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defaultThemeVersion="202300"/>
  <mc:AlternateContent xmlns:mc="http://schemas.openxmlformats.org/markup-compatibility/2006">
    <mc:Choice Requires="x15">
      <x15ac:absPath xmlns:x15ac="http://schemas.microsoft.com/office/spreadsheetml/2010/11/ac" url="U:\COORC\PESQUISAS DE PREÇOS\2025\00200.018336-2025-39 - Projetos de recuperação das esquadrias do EDPR\"/>
    </mc:Choice>
  </mc:AlternateContent>
  <xr:revisionPtr revIDLastSave="0" documentId="13_ncr:1_{C5BE82FE-B3B8-495F-AEE8-ACF912C4443A}" xr6:coauthVersionLast="47" xr6:coauthVersionMax="47" xr10:uidLastSave="{00000000-0000-0000-0000-000000000000}"/>
  <bookViews>
    <workbookView xWindow="-120" yWindow="-120" windowWidth="29040" windowHeight="15840" activeTab="3" xr2:uid="{8337A247-5E2A-48FB-A70C-EF5BD19265A9}"/>
  </bookViews>
  <sheets>
    <sheet name="Composições" sheetId="5" r:id="rId1"/>
    <sheet name="Comp.Aux1" sheetId="6" r:id="rId2"/>
    <sheet name="Comp.Aux2" sheetId="7" r:id="rId3"/>
    <sheet name="Orçamentária" sheetId="8" r:id="rId4"/>
    <sheet name="BDI" sheetId="10" r:id="rId5"/>
  </sheets>
  <externalReferences>
    <externalReference r:id="rId6"/>
  </externalReferences>
  <definedNames>
    <definedName name="_FilterDatabase" localSheetId="1" hidden="1">'Comp.Aux1'!$A$5:$I$790</definedName>
    <definedName name="_FilterDatabase" localSheetId="2" hidden="1">'Comp.Aux2'!$A$5:$I$5</definedName>
    <definedName name="_FilterDatabase" localSheetId="0" hidden="1">Composições!$A$5:$J$10873</definedName>
    <definedName name="_FilterDatabase" localSheetId="3" hidden="1">Orçamentária!$A$5:$L$4614</definedName>
    <definedName name="_xlnm._FilterDatabase" localSheetId="1" hidden="1">'Comp.Aux1'!$A$5:$I$813</definedName>
    <definedName name="_xlnm._FilterDatabase" localSheetId="2" hidden="1">'Comp.Aux2'!$A$5:$I$172</definedName>
    <definedName name="_xlnm._FilterDatabase" localSheetId="0" hidden="1">Composições!$A$5:$M$9999</definedName>
    <definedName name="_xlnm._FilterDatabase" localSheetId="3" hidden="1">Orçamentária!$A$5:$K$4886</definedName>
    <definedName name="Arial">#REF!</definedName>
    <definedName name="Print_Area" localSheetId="1">'Comp.Aux1'!$A$1:$G$772</definedName>
    <definedName name="Print_Area" localSheetId="2">'Comp.Aux2'!$A$1:$G$153</definedName>
    <definedName name="Print_Area" localSheetId="0">Composições!$A$1:$H$9823</definedName>
    <definedName name="Print_Area" localSheetId="3">Orçamentária!$A$1:$I$4884</definedName>
    <definedName name="Print_Titles" localSheetId="1">'Comp.Aux1'!$1:$5</definedName>
    <definedName name="Print_Titles" localSheetId="2">'Comp.Aux2'!$1:$5</definedName>
    <definedName name="Print_Titles" localSheetId="0">Composições!$1:$5</definedName>
    <definedName name="Print_Titles" localSheetId="3">Orçamentária!$1:$5</definedName>
    <definedName name="_xlnm.Print_Titles" localSheetId="1">'Comp.Aux1'!$1:$5</definedName>
    <definedName name="_xlnm.Print_Titles" localSheetId="2">'Comp.Aux2'!$1:$5</definedName>
    <definedName name="_xlnm.Print_Titles" localSheetId="0">Composições!$1:$5</definedName>
    <definedName name="_xlnm.Print_Titles" localSheetId="3">Orçamentária!$1:$5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8" l="1"/>
  <c r="G23" i="8"/>
  <c r="G4793" i="8"/>
  <c r="G4794" i="8"/>
  <c r="G4795" i="8"/>
  <c r="G4873" i="8"/>
  <c r="G4874" i="8"/>
  <c r="G4875" i="8"/>
  <c r="G4876" i="8"/>
  <c r="G4877" i="8"/>
  <c r="G4878" i="8"/>
  <c r="G4879" i="8"/>
  <c r="G4880" i="8"/>
  <c r="E4882" i="8"/>
  <c r="E4461" i="8"/>
  <c r="E4356" i="8"/>
  <c r="E4317" i="8"/>
  <c r="E1813" i="8"/>
  <c r="E1396" i="8"/>
  <c r="E17" i="10"/>
  <c r="B17" i="10"/>
  <c r="G1234" i="8" s="1"/>
  <c r="A4883" i="8"/>
  <c r="F172" i="7"/>
  <c r="F161" i="7"/>
  <c r="F155" i="7"/>
  <c r="F154" i="7"/>
  <c r="F153" i="7"/>
  <c r="F149" i="7"/>
  <c r="F148" i="7"/>
  <c r="F147" i="7"/>
  <c r="F141" i="7"/>
  <c r="F140" i="7"/>
  <c r="F139" i="7"/>
  <c r="F136" i="7"/>
  <c r="F135" i="7"/>
  <c r="F134" i="7"/>
  <c r="F130" i="7"/>
  <c r="F129" i="7"/>
  <c r="F128" i="7"/>
  <c r="F125" i="7"/>
  <c r="F124" i="7"/>
  <c r="F123" i="7"/>
  <c r="F122" i="7"/>
  <c r="F121" i="7"/>
  <c r="D120" i="7"/>
  <c r="D119" i="7"/>
  <c r="F113" i="7"/>
  <c r="F110" i="7"/>
  <c r="F109" i="7"/>
  <c r="F108" i="7"/>
  <c r="F107" i="7"/>
  <c r="F106" i="7"/>
  <c r="D105" i="7"/>
  <c r="D104" i="7"/>
  <c r="F99" i="7"/>
  <c r="F98" i="7"/>
  <c r="F96" i="7"/>
  <c r="F95" i="7"/>
  <c r="F94" i="7"/>
  <c r="F93" i="7"/>
  <c r="F92" i="7"/>
  <c r="D91" i="7"/>
  <c r="D90" i="7"/>
  <c r="F89" i="7"/>
  <c r="F87" i="7"/>
  <c r="F85" i="7"/>
  <c r="F84" i="7"/>
  <c r="F82" i="7"/>
  <c r="F81" i="7"/>
  <c r="F80" i="7"/>
  <c r="F78" i="7"/>
  <c r="F76" i="7"/>
  <c r="F75" i="7"/>
  <c r="F74" i="7"/>
  <c r="F73" i="7"/>
  <c r="F72" i="7"/>
  <c r="F71" i="7"/>
  <c r="F70" i="7"/>
  <c r="F69" i="7"/>
  <c r="D68" i="7"/>
  <c r="D67" i="7"/>
  <c r="F63" i="7"/>
  <c r="F61" i="7"/>
  <c r="F60" i="7"/>
  <c r="F59" i="7"/>
  <c r="F58" i="7"/>
  <c r="F57" i="7"/>
  <c r="F56" i="7"/>
  <c r="F55" i="7"/>
  <c r="D54" i="7"/>
  <c r="D53" i="7"/>
  <c r="F52" i="7"/>
  <c r="F51" i="7"/>
  <c r="F49" i="7"/>
  <c r="F48" i="7"/>
  <c r="F47" i="7"/>
  <c r="F46" i="7"/>
  <c r="F45" i="7"/>
  <c r="F39" i="7"/>
  <c r="F38" i="7"/>
  <c r="F37" i="7"/>
  <c r="F36" i="7"/>
  <c r="F35" i="7"/>
  <c r="F34" i="7"/>
  <c r="F33" i="7"/>
  <c r="D32" i="7"/>
  <c r="D31" i="7"/>
  <c r="F26" i="7"/>
  <c r="F25" i="7"/>
  <c r="F24" i="7"/>
  <c r="F23" i="7"/>
  <c r="F20" i="7"/>
  <c r="F18" i="7"/>
  <c r="F17" i="7"/>
  <c r="F16" i="7"/>
  <c r="F15" i="7"/>
  <c r="F14" i="7"/>
  <c r="F13" i="7"/>
  <c r="F12" i="7"/>
  <c r="F11" i="7"/>
  <c r="F10" i="7"/>
  <c r="F9" i="7"/>
  <c r="F8" i="7"/>
  <c r="G8" i="7" s="1"/>
  <c r="F7" i="7"/>
  <c r="F6" i="7"/>
  <c r="F813" i="6"/>
  <c r="F811" i="6"/>
  <c r="F810" i="6"/>
  <c r="F804" i="6"/>
  <c r="F803" i="6"/>
  <c r="F802" i="6"/>
  <c r="F801" i="6"/>
  <c r="F798" i="6"/>
  <c r="F797" i="6"/>
  <c r="F796" i="6"/>
  <c r="F792" i="6"/>
  <c r="F791" i="6"/>
  <c r="F790" i="6"/>
  <c r="F779" i="6"/>
  <c r="F776" i="6"/>
  <c r="F775" i="6"/>
  <c r="F774" i="6"/>
  <c r="F773" i="6"/>
  <c r="F772" i="6"/>
  <c r="F770" i="6"/>
  <c r="F769" i="6"/>
  <c r="F768" i="6"/>
  <c r="F767" i="6"/>
  <c r="F765" i="6"/>
  <c r="F764" i="6"/>
  <c r="F763" i="6"/>
  <c r="F762" i="6"/>
  <c r="F757" i="6"/>
  <c r="F756" i="6"/>
  <c r="F753" i="6"/>
  <c r="F752" i="6"/>
  <c r="F751" i="6"/>
  <c r="F750" i="6"/>
  <c r="F743" i="6"/>
  <c r="F742" i="6"/>
  <c r="F741" i="6"/>
  <c r="F738" i="6"/>
  <c r="F736" i="6"/>
  <c r="F735" i="6"/>
  <c r="F734" i="6"/>
  <c r="F732" i="6"/>
  <c r="F731" i="6"/>
  <c r="F730" i="6"/>
  <c r="F729" i="6"/>
  <c r="F728" i="6"/>
  <c r="F727" i="6"/>
  <c r="F726" i="6"/>
  <c r="D725" i="6"/>
  <c r="D724" i="6"/>
  <c r="F722" i="6"/>
  <c r="F720" i="6"/>
  <c r="F717" i="6"/>
  <c r="F716" i="6"/>
  <c r="F715" i="6"/>
  <c r="D714" i="6"/>
  <c r="D713" i="6"/>
  <c r="F707" i="6"/>
  <c r="F706" i="6"/>
  <c r="F705" i="6"/>
  <c r="F704" i="6"/>
  <c r="F703" i="6"/>
  <c r="D702" i="6"/>
  <c r="D701" i="6"/>
  <c r="F698" i="6"/>
  <c r="F696" i="6"/>
  <c r="F695" i="6"/>
  <c r="F694" i="6"/>
  <c r="F693" i="6"/>
  <c r="F692" i="6"/>
  <c r="F689" i="6"/>
  <c r="F687" i="6"/>
  <c r="F682" i="6"/>
  <c r="F681" i="6"/>
  <c r="F680" i="6"/>
  <c r="F679" i="6"/>
  <c r="F678" i="6"/>
  <c r="F677" i="6"/>
  <c r="D676" i="6"/>
  <c r="D675" i="6"/>
  <c r="F667" i="6"/>
  <c r="F666" i="6"/>
  <c r="F659" i="6"/>
  <c r="F658" i="6"/>
  <c r="F657" i="6"/>
  <c r="F652" i="6"/>
  <c r="F651" i="6"/>
  <c r="F650" i="6"/>
  <c r="F649" i="6"/>
  <c r="F648" i="6"/>
  <c r="D647" i="6"/>
  <c r="D646" i="6"/>
  <c r="F640" i="6"/>
  <c r="F639" i="6"/>
  <c r="F638" i="6"/>
  <c r="F637" i="6"/>
  <c r="F636" i="6"/>
  <c r="F635" i="6"/>
  <c r="D634" i="6"/>
  <c r="D633" i="6"/>
  <c r="F627" i="6"/>
  <c r="F625" i="6"/>
  <c r="F624" i="6"/>
  <c r="F623" i="6"/>
  <c r="F619" i="6"/>
  <c r="F618" i="6"/>
  <c r="F617" i="6"/>
  <c r="F614" i="6"/>
  <c r="F613" i="6"/>
  <c r="F612" i="6"/>
  <c r="F609" i="6"/>
  <c r="F608" i="6"/>
  <c r="F607" i="6"/>
  <c r="F603" i="6"/>
  <c r="F602" i="6"/>
  <c r="F594" i="6"/>
  <c r="F593" i="6"/>
  <c r="F590" i="6"/>
  <c r="F589" i="6"/>
  <c r="F588" i="6"/>
  <c r="F587" i="6"/>
  <c r="F586" i="6"/>
  <c r="D585" i="6"/>
  <c r="D584" i="6"/>
  <c r="F576" i="6"/>
  <c r="F575" i="6"/>
  <c r="F572" i="6"/>
  <c r="F571" i="6"/>
  <c r="F570" i="6"/>
  <c r="F565" i="6"/>
  <c r="F564" i="6"/>
  <c r="F563" i="6"/>
  <c r="F559" i="6"/>
  <c r="F558" i="6"/>
  <c r="F557" i="6"/>
  <c r="F556" i="6"/>
  <c r="D554" i="6"/>
  <c r="D553" i="6"/>
  <c r="F547" i="6"/>
  <c r="F546" i="6"/>
  <c r="F545" i="6"/>
  <c r="F544" i="6"/>
  <c r="F540" i="6"/>
  <c r="F539" i="6"/>
  <c r="F538" i="6"/>
  <c r="F537" i="6"/>
  <c r="F533" i="6"/>
  <c r="F532" i="6"/>
  <c r="F531" i="6"/>
  <c r="F528" i="6"/>
  <c r="F527" i="6"/>
  <c r="F526" i="6"/>
  <c r="F522" i="6"/>
  <c r="F513" i="6"/>
  <c r="F509" i="6"/>
  <c r="F508" i="6"/>
  <c r="F507" i="6"/>
  <c r="F506" i="6"/>
  <c r="F505" i="6"/>
  <c r="D504" i="6"/>
  <c r="D503" i="6"/>
  <c r="F501" i="6"/>
  <c r="F498" i="6"/>
  <c r="F497" i="6"/>
  <c r="D493" i="6"/>
  <c r="D492" i="6"/>
  <c r="F491" i="6"/>
  <c r="F486" i="6"/>
  <c r="F485" i="6"/>
  <c r="F484" i="6"/>
  <c r="F483" i="6"/>
  <c r="F482" i="6"/>
  <c r="F467" i="6"/>
  <c r="F466" i="6"/>
  <c r="F465" i="6"/>
  <c r="F464" i="6"/>
  <c r="F463" i="6"/>
  <c r="D462" i="6"/>
  <c r="D461" i="6"/>
  <c r="F453" i="6"/>
  <c r="F452" i="6"/>
  <c r="F451" i="6"/>
  <c r="F450" i="6"/>
  <c r="F449" i="6"/>
  <c r="F432" i="6"/>
  <c r="F431" i="6"/>
  <c r="F430" i="6"/>
  <c r="D429" i="6"/>
  <c r="D428" i="6"/>
  <c r="F422" i="6"/>
  <c r="F421" i="6"/>
  <c r="D417" i="6"/>
  <c r="D416" i="6"/>
  <c r="F415" i="6"/>
  <c r="F412" i="6"/>
  <c r="F408" i="6"/>
  <c r="F407" i="6"/>
  <c r="D406" i="6"/>
  <c r="D405" i="6"/>
  <c r="F401" i="6"/>
  <c r="F400" i="6"/>
  <c r="F399" i="6"/>
  <c r="F398" i="6"/>
  <c r="F397" i="6"/>
  <c r="F396" i="6"/>
  <c r="F395" i="6"/>
  <c r="D394" i="6"/>
  <c r="D393" i="6"/>
  <c r="F385" i="6"/>
  <c r="F377" i="6"/>
  <c r="F376" i="6"/>
  <c r="F375" i="6"/>
  <c r="F370" i="6"/>
  <c r="F367" i="6"/>
  <c r="F366" i="6"/>
  <c r="F362" i="6"/>
  <c r="F361" i="6"/>
  <c r="F360" i="6"/>
  <c r="F356" i="6"/>
  <c r="F355" i="6"/>
  <c r="F354" i="6"/>
  <c r="F350" i="6"/>
  <c r="F347" i="6"/>
  <c r="F346" i="6"/>
  <c r="F341" i="6"/>
  <c r="F340" i="6"/>
  <c r="F331" i="6"/>
  <c r="F330" i="6"/>
  <c r="D329" i="6"/>
  <c r="D328" i="6"/>
  <c r="F323" i="6"/>
  <c r="F322" i="6"/>
  <c r="F321" i="6"/>
  <c r="D317" i="6"/>
  <c r="D316" i="6"/>
  <c r="F311" i="6"/>
  <c r="F308" i="6"/>
  <c r="F307" i="6"/>
  <c r="D303" i="6"/>
  <c r="D302" i="6"/>
  <c r="F301" i="6"/>
  <c r="F294" i="6"/>
  <c r="F293" i="6"/>
  <c r="F284" i="6"/>
  <c r="F283" i="6"/>
  <c r="F281" i="6"/>
  <c r="F280" i="6"/>
  <c r="F279" i="6"/>
  <c r="D275" i="6"/>
  <c r="D274" i="6"/>
  <c r="F265" i="6"/>
  <c r="F264" i="6"/>
  <c r="F262" i="6"/>
  <c r="F261" i="6"/>
  <c r="F260" i="6"/>
  <c r="D256" i="6"/>
  <c r="D255" i="6"/>
  <c r="F252" i="6"/>
  <c r="F251" i="6"/>
  <c r="F250" i="6"/>
  <c r="D246" i="6"/>
  <c r="D245" i="6"/>
  <c r="F244" i="6"/>
  <c r="F237" i="6"/>
  <c r="F234" i="6"/>
  <c r="D231" i="6"/>
  <c r="D230" i="6"/>
  <c r="F223" i="6"/>
  <c r="F220" i="6"/>
  <c r="F219" i="6"/>
  <c r="F218" i="6"/>
  <c r="D217" i="6"/>
  <c r="D216" i="6"/>
  <c r="F199" i="6"/>
  <c r="F196" i="6"/>
  <c r="F190" i="6"/>
  <c r="F189" i="6"/>
  <c r="F186" i="6"/>
  <c r="F185" i="6"/>
  <c r="F184" i="6"/>
  <c r="F181" i="6"/>
  <c r="F180" i="6"/>
  <c r="F179" i="6"/>
  <c r="F178" i="6"/>
  <c r="F175" i="6"/>
  <c r="F174" i="6"/>
  <c r="F166" i="6"/>
  <c r="F165" i="6"/>
  <c r="D164" i="6"/>
  <c r="D163" i="6"/>
  <c r="F160" i="6"/>
  <c r="F159" i="6"/>
  <c r="F157" i="6"/>
  <c r="F156" i="6"/>
  <c r="F155" i="6"/>
  <c r="F154" i="6"/>
  <c r="F153" i="6"/>
  <c r="D152" i="6"/>
  <c r="D151" i="6"/>
  <c r="F149" i="6"/>
  <c r="F146" i="6"/>
  <c r="F145" i="6"/>
  <c r="F143" i="6"/>
  <c r="F142" i="6"/>
  <c r="F141" i="6"/>
  <c r="F137" i="6"/>
  <c r="F136" i="6"/>
  <c r="F135" i="6"/>
  <c r="F134" i="6"/>
  <c r="F133" i="6"/>
  <c r="F132" i="6"/>
  <c r="F131" i="6"/>
  <c r="F130" i="6"/>
  <c r="F129" i="6"/>
  <c r="F128" i="6"/>
  <c r="F127" i="6"/>
  <c r="G126" i="6"/>
  <c r="F126" i="6"/>
  <c r="F125" i="6"/>
  <c r="F124" i="6"/>
  <c r="F123" i="6"/>
  <c r="F122" i="6"/>
  <c r="F121" i="6"/>
  <c r="F120" i="6"/>
  <c r="G120" i="6" s="1"/>
  <c r="F119" i="6"/>
  <c r="F118" i="6"/>
  <c r="F117" i="6"/>
  <c r="F116" i="6"/>
  <c r="F115" i="6"/>
  <c r="G114" i="6" s="1"/>
  <c r="F114" i="6"/>
  <c r="F113" i="6"/>
  <c r="F112" i="6"/>
  <c r="F111" i="6"/>
  <c r="F108" i="6"/>
  <c r="F107" i="6"/>
  <c r="F106" i="6"/>
  <c r="F105" i="6"/>
  <c r="F104" i="6"/>
  <c r="F103" i="6"/>
  <c r="D102" i="6"/>
  <c r="D101" i="6"/>
  <c r="F97" i="6"/>
  <c r="F96" i="6"/>
  <c r="F94" i="6"/>
  <c r="D92" i="6"/>
  <c r="D91" i="6"/>
  <c r="F87" i="6"/>
  <c r="F86" i="6"/>
  <c r="F85" i="6"/>
  <c r="F81" i="6"/>
  <c r="F80" i="6"/>
  <c r="F79" i="6"/>
  <c r="F77" i="6"/>
  <c r="D75" i="6"/>
  <c r="D74" i="6"/>
  <c r="F71" i="6"/>
  <c r="F70" i="6"/>
  <c r="F69" i="6"/>
  <c r="F61" i="6"/>
  <c r="F60" i="6"/>
  <c r="F59" i="6"/>
  <c r="F58" i="6"/>
  <c r="D57" i="6"/>
  <c r="D56" i="6"/>
  <c r="F51" i="6"/>
  <c r="F48" i="6"/>
  <c r="F39" i="6"/>
  <c r="F38" i="6"/>
  <c r="F28" i="6"/>
  <c r="F27" i="6"/>
  <c r="F26" i="6"/>
  <c r="F25" i="6"/>
  <c r="F22" i="6"/>
  <c r="F21" i="6"/>
  <c r="F18" i="6"/>
  <c r="F17" i="6"/>
  <c r="F16" i="6"/>
  <c r="F14" i="6"/>
  <c r="D12" i="6"/>
  <c r="D11" i="6"/>
  <c r="F8" i="6"/>
  <c r="F7" i="6"/>
  <c r="F6" i="6"/>
  <c r="E11985" i="5"/>
  <c r="G11981" i="5"/>
  <c r="G11977" i="5"/>
  <c r="G11975" i="5"/>
  <c r="G11962" i="5"/>
  <c r="G11958" i="5"/>
  <c r="G11957" i="5"/>
  <c r="G11956" i="5"/>
  <c r="G11955" i="5"/>
  <c r="G11945" i="5"/>
  <c r="G11944" i="5"/>
  <c r="G11940" i="5"/>
  <c r="G11939" i="5"/>
  <c r="G11938" i="5"/>
  <c r="G11933" i="5"/>
  <c r="G11932" i="5"/>
  <c r="G11906" i="5"/>
  <c r="G11905" i="5"/>
  <c r="G11903" i="5"/>
  <c r="G11894" i="5"/>
  <c r="G11893" i="5"/>
  <c r="G11888" i="5"/>
  <c r="G11881" i="5"/>
  <c r="G11879" i="5"/>
  <c r="G11874" i="5"/>
  <c r="G11862" i="5"/>
  <c r="G11857" i="5"/>
  <c r="G11852" i="5"/>
  <c r="G11850" i="5"/>
  <c r="E11849" i="5"/>
  <c r="G11847" i="5"/>
  <c r="E11846" i="5"/>
  <c r="E11845" i="5"/>
  <c r="E11844" i="5"/>
  <c r="E11843" i="5"/>
  <c r="E11842" i="5"/>
  <c r="G11841" i="5"/>
  <c r="G11839" i="5"/>
  <c r="G11832" i="5"/>
  <c r="G11825" i="5"/>
  <c r="G11812" i="5"/>
  <c r="G11809" i="5"/>
  <c r="G11807" i="5"/>
  <c r="G11804" i="5"/>
  <c r="G11802" i="5"/>
  <c r="E11802" i="5"/>
  <c r="E11801" i="5"/>
  <c r="G11800" i="5"/>
  <c r="G11793" i="5"/>
  <c r="G11789" i="5"/>
  <c r="G11787" i="5"/>
  <c r="G11782" i="5"/>
  <c r="G11780" i="5"/>
  <c r="G11777" i="5"/>
  <c r="G11775" i="5"/>
  <c r="E11772" i="5"/>
  <c r="G11771" i="5"/>
  <c r="G11769" i="5"/>
  <c r="G11767" i="5"/>
  <c r="E11767" i="5"/>
  <c r="E11766" i="5"/>
  <c r="E11765" i="5"/>
  <c r="E11764" i="5"/>
  <c r="G11762" i="5"/>
  <c r="G11757" i="5"/>
  <c r="G11753" i="5"/>
  <c r="G11751" i="5"/>
  <c r="E11751" i="5"/>
  <c r="E11750" i="5"/>
  <c r="E11749" i="5"/>
  <c r="G11748" i="5"/>
  <c r="G11747" i="5"/>
  <c r="G11746" i="5"/>
  <c r="G11745" i="5"/>
  <c r="E11745" i="5"/>
  <c r="E11744" i="5"/>
  <c r="G11743" i="5"/>
  <c r="E11743" i="5"/>
  <c r="G11742" i="5"/>
  <c r="G11738" i="5"/>
  <c r="E11735" i="5"/>
  <c r="G11734" i="5"/>
  <c r="E11734" i="5"/>
  <c r="E11733" i="5"/>
  <c r="E11732" i="5"/>
  <c r="E11731" i="5"/>
  <c r="E11730" i="5"/>
  <c r="E11729" i="5"/>
  <c r="E11728" i="5"/>
  <c r="E11727" i="5"/>
  <c r="E11726" i="5"/>
  <c r="E11725" i="5"/>
  <c r="E11724" i="5"/>
  <c r="G11723" i="5"/>
  <c r="G11721" i="5"/>
  <c r="G11718" i="5"/>
  <c r="G11712" i="5"/>
  <c r="E11709" i="5"/>
  <c r="E11708" i="5"/>
  <c r="G11707" i="5"/>
  <c r="G11705" i="5"/>
  <c r="G11696" i="5"/>
  <c r="G11690" i="5"/>
  <c r="G11689" i="5"/>
  <c r="G11678" i="5"/>
  <c r="G11672" i="5"/>
  <c r="G11671" i="5"/>
  <c r="G11670" i="5"/>
  <c r="G11669" i="5"/>
  <c r="G11668" i="5"/>
  <c r="G11667" i="5"/>
  <c r="G11664" i="5"/>
  <c r="G11663" i="5"/>
  <c r="G11656" i="5"/>
  <c r="G11654" i="5"/>
  <c r="G11648" i="5"/>
  <c r="G11647" i="5"/>
  <c r="E11646" i="5"/>
  <c r="E11645" i="5"/>
  <c r="E11644" i="5"/>
  <c r="E11643" i="5"/>
  <c r="E11642" i="5"/>
  <c r="E11641" i="5"/>
  <c r="G11639" i="5"/>
  <c r="E11638" i="5"/>
  <c r="E11637" i="5"/>
  <c r="G11634" i="5"/>
  <c r="E11632" i="5"/>
  <c r="E11627" i="5"/>
  <c r="G11617" i="5"/>
  <c r="G11614" i="5"/>
  <c r="G11612" i="5"/>
  <c r="G11609" i="5"/>
  <c r="G11608" i="5"/>
  <c r="G11607" i="5"/>
  <c r="E11606" i="5"/>
  <c r="G11602" i="5"/>
  <c r="G11601" i="5"/>
  <c r="G11598" i="5"/>
  <c r="G11597" i="5"/>
  <c r="G11596" i="5"/>
  <c r="G11594" i="5"/>
  <c r="G11590" i="5"/>
  <c r="G11589" i="5"/>
  <c r="G11588" i="5"/>
  <c r="G11587" i="5"/>
  <c r="G11585" i="5"/>
  <c r="G11581" i="5"/>
  <c r="G11578" i="5"/>
  <c r="G11577" i="5"/>
  <c r="G11576" i="5"/>
  <c r="G11574" i="5"/>
  <c r="G11573" i="5"/>
  <c r="G11572" i="5"/>
  <c r="G11571" i="5"/>
  <c r="H11571" i="5" s="1"/>
  <c r="E4773" i="8" s="1"/>
  <c r="G11570" i="5"/>
  <c r="G11568" i="5"/>
  <c r="G11565" i="5"/>
  <c r="G11564" i="5"/>
  <c r="G11563" i="5"/>
  <c r="G11562" i="5"/>
  <c r="G11559" i="5"/>
  <c r="G11556" i="5"/>
  <c r="G11553" i="5"/>
  <c r="G11552" i="5"/>
  <c r="G11551" i="5"/>
  <c r="G11550" i="5"/>
  <c r="G11549" i="5"/>
  <c r="G11544" i="5"/>
  <c r="G11543" i="5"/>
  <c r="G11541" i="5"/>
  <c r="G11530" i="5"/>
  <c r="G11523" i="5"/>
  <c r="G11521" i="5"/>
  <c r="E11519" i="5"/>
  <c r="E11518" i="5"/>
  <c r="G11517" i="5"/>
  <c r="G11512" i="5"/>
  <c r="G11505" i="5"/>
  <c r="G11503" i="5"/>
  <c r="G11500" i="5"/>
  <c r="G11498" i="5"/>
  <c r="G11497" i="5"/>
  <c r="G11496" i="5"/>
  <c r="G11495" i="5"/>
  <c r="G11493" i="5"/>
  <c r="G11492" i="5"/>
  <c r="G11491" i="5"/>
  <c r="G11489" i="5"/>
  <c r="G11487" i="5"/>
  <c r="G11485" i="5"/>
  <c r="G11480" i="5"/>
  <c r="G11477" i="5"/>
  <c r="G11474" i="5"/>
  <c r="E11468" i="5"/>
  <c r="E11465" i="5"/>
  <c r="G11457" i="5"/>
  <c r="G11456" i="5"/>
  <c r="G11454" i="5"/>
  <c r="G11452" i="5"/>
  <c r="G11446" i="5"/>
  <c r="G11445" i="5"/>
  <c r="G11444" i="5"/>
  <c r="G11443" i="5"/>
  <c r="H11443" i="5" s="1"/>
  <c r="E4735" i="8" s="1"/>
  <c r="G11442" i="5"/>
  <c r="G11441" i="5"/>
  <c r="G11440" i="5"/>
  <c r="G11439" i="5"/>
  <c r="E11436" i="5"/>
  <c r="E11435" i="5"/>
  <c r="E11434" i="5"/>
  <c r="G11433" i="5"/>
  <c r="G11431" i="5"/>
  <c r="E11430" i="5"/>
  <c r="E11429" i="5"/>
  <c r="E11428" i="5"/>
  <c r="G11427" i="5"/>
  <c r="E11427" i="5"/>
  <c r="E11426" i="5"/>
  <c r="E11425" i="5"/>
  <c r="G11424" i="5"/>
  <c r="G11422" i="5"/>
  <c r="G11418" i="5"/>
  <c r="G11417" i="5"/>
  <c r="E11412" i="5"/>
  <c r="G11411" i="5"/>
  <c r="G11410" i="5"/>
  <c r="G11408" i="5"/>
  <c r="G11405" i="5"/>
  <c r="G11404" i="5"/>
  <c r="G11402" i="5"/>
  <c r="G11398" i="5"/>
  <c r="G11396" i="5"/>
  <c r="G11394" i="5"/>
  <c r="G11391" i="5"/>
  <c r="G11387" i="5"/>
  <c r="G11386" i="5"/>
  <c r="G11385" i="5"/>
  <c r="G11379" i="5"/>
  <c r="G11376" i="5"/>
  <c r="G11374" i="5"/>
  <c r="G11370" i="5"/>
  <c r="G11363" i="5"/>
  <c r="G11362" i="5"/>
  <c r="G11358" i="5"/>
  <c r="G11355" i="5"/>
  <c r="G11350" i="5"/>
  <c r="G11349" i="5"/>
  <c r="G11348" i="5"/>
  <c r="G11347" i="5"/>
  <c r="G11345" i="5"/>
  <c r="G11340" i="5"/>
  <c r="G11338" i="5"/>
  <c r="G11337" i="5"/>
  <c r="G11336" i="5"/>
  <c r="G11335" i="5"/>
  <c r="G11331" i="5"/>
  <c r="G11330" i="5"/>
  <c r="G11328" i="5"/>
  <c r="G11327" i="5"/>
  <c r="G11326" i="5"/>
  <c r="G11322" i="5"/>
  <c r="G11317" i="5"/>
  <c r="G11316" i="5"/>
  <c r="G11313" i="5"/>
  <c r="G11311" i="5"/>
  <c r="G11310" i="5"/>
  <c r="G11309" i="5"/>
  <c r="G11305" i="5"/>
  <c r="G11302" i="5"/>
  <c r="G11301" i="5"/>
  <c r="G11300" i="5"/>
  <c r="G11298" i="5"/>
  <c r="G11295" i="5"/>
  <c r="G11294" i="5"/>
  <c r="G11289" i="5"/>
  <c r="G11288" i="5"/>
  <c r="G11286" i="5"/>
  <c r="G11283" i="5"/>
  <c r="G11282" i="5"/>
  <c r="G11278" i="5"/>
  <c r="G11276" i="5"/>
  <c r="G11275" i="5"/>
  <c r="E11275" i="5"/>
  <c r="E11274" i="5"/>
  <c r="E11271" i="5"/>
  <c r="G11268" i="5"/>
  <c r="G11263" i="5"/>
  <c r="G11262" i="5"/>
  <c r="G11258" i="5"/>
  <c r="G11257" i="5"/>
  <c r="G11253" i="5"/>
  <c r="G11247" i="5"/>
  <c r="G11245" i="5"/>
  <c r="G11244" i="5"/>
  <c r="G11242" i="5"/>
  <c r="G11241" i="5"/>
  <c r="E11240" i="5"/>
  <c r="E11239" i="5"/>
  <c r="E11238" i="5"/>
  <c r="E11237" i="5"/>
  <c r="E11236" i="5"/>
  <c r="E11235" i="5"/>
  <c r="E11234" i="5"/>
  <c r="E11233" i="5"/>
  <c r="E11232" i="5"/>
  <c r="E11231" i="5"/>
  <c r="E11230" i="5"/>
  <c r="E11229" i="5"/>
  <c r="E11228" i="5"/>
  <c r="E11227" i="5"/>
  <c r="E11226" i="5"/>
  <c r="E11225" i="5"/>
  <c r="E11224" i="5"/>
  <c r="E11223" i="5"/>
  <c r="E11222" i="5"/>
  <c r="E11221" i="5"/>
  <c r="E11220" i="5"/>
  <c r="E11219" i="5"/>
  <c r="E11218" i="5"/>
  <c r="E11217" i="5"/>
  <c r="E11216" i="5"/>
  <c r="E11215" i="5"/>
  <c r="E11214" i="5"/>
  <c r="G11213" i="5"/>
  <c r="G11210" i="5"/>
  <c r="G11207" i="5"/>
  <c r="E11205" i="5"/>
  <c r="E11204" i="5"/>
  <c r="G11203" i="5"/>
  <c r="G11200" i="5"/>
  <c r="G11197" i="5"/>
  <c r="E11195" i="5"/>
  <c r="E11194" i="5"/>
  <c r="G11193" i="5"/>
  <c r="G11191" i="5"/>
  <c r="G11188" i="5"/>
  <c r="G11186" i="5"/>
  <c r="G11185" i="5"/>
  <c r="G11184" i="5"/>
  <c r="G11178" i="5"/>
  <c r="G11177" i="5"/>
  <c r="G11171" i="5"/>
  <c r="G11167" i="5"/>
  <c r="G11165" i="5"/>
  <c r="G11163" i="5"/>
  <c r="G11156" i="5"/>
  <c r="G11151" i="5"/>
  <c r="G11144" i="5"/>
  <c r="G11137" i="5"/>
  <c r="G11135" i="5"/>
  <c r="E11134" i="5"/>
  <c r="E11133" i="5"/>
  <c r="E11132" i="5"/>
  <c r="G11131" i="5"/>
  <c r="E11130" i="5"/>
  <c r="G11127" i="5"/>
  <c r="E11126" i="5"/>
  <c r="E11125" i="5"/>
  <c r="E11124" i="5"/>
  <c r="E11122" i="5"/>
  <c r="G11115" i="5"/>
  <c r="G11114" i="5"/>
  <c r="G11112" i="5"/>
  <c r="G11109" i="5"/>
  <c r="G11107" i="5"/>
  <c r="G11090" i="5"/>
  <c r="G11088" i="5"/>
  <c r="G11079" i="5"/>
  <c r="G11077" i="5"/>
  <c r="E11075" i="5"/>
  <c r="E11074" i="5"/>
  <c r="E11073" i="5"/>
  <c r="E11071" i="5"/>
  <c r="G11070" i="5"/>
  <c r="G11069" i="5"/>
  <c r="E11067" i="5"/>
  <c r="E11066" i="5"/>
  <c r="E11065" i="5"/>
  <c r="E11063" i="5"/>
  <c r="E11059" i="5"/>
  <c r="E11058" i="5"/>
  <c r="E11057" i="5"/>
  <c r="G11056" i="5"/>
  <c r="E11055" i="5"/>
  <c r="G11054" i="5"/>
  <c r="E11051" i="5"/>
  <c r="E11050" i="5"/>
  <c r="E11049" i="5"/>
  <c r="E11047" i="5"/>
  <c r="G11046" i="5"/>
  <c r="G11045" i="5"/>
  <c r="G11044" i="5"/>
  <c r="G11042" i="5"/>
  <c r="E11041" i="5"/>
  <c r="E11040" i="5"/>
  <c r="G11038" i="5"/>
  <c r="E11033" i="5"/>
  <c r="E11032" i="5"/>
  <c r="G11031" i="5"/>
  <c r="G11030" i="5"/>
  <c r="G11028" i="5"/>
  <c r="G11027" i="5"/>
  <c r="E11025" i="5"/>
  <c r="E11024" i="5"/>
  <c r="G11023" i="5"/>
  <c r="E11019" i="5"/>
  <c r="E11018" i="5"/>
  <c r="E11017" i="5"/>
  <c r="G11016" i="5"/>
  <c r="E11015" i="5"/>
  <c r="G11012" i="5"/>
  <c r="E11011" i="5"/>
  <c r="E11010" i="5"/>
  <c r="E11009" i="5"/>
  <c r="G11008" i="5"/>
  <c r="E11007" i="5"/>
  <c r="G11006" i="5"/>
  <c r="E11003" i="5"/>
  <c r="E11002" i="5"/>
  <c r="E11001" i="5"/>
  <c r="E10999" i="5"/>
  <c r="G10998" i="5"/>
  <c r="G10996" i="5"/>
  <c r="G10995" i="5"/>
  <c r="G10994" i="5"/>
  <c r="E10984" i="5"/>
  <c r="E10983" i="5"/>
  <c r="E10982" i="5"/>
  <c r="E10980" i="5"/>
  <c r="G10979" i="5"/>
  <c r="E10976" i="5"/>
  <c r="E10975" i="5"/>
  <c r="E10974" i="5"/>
  <c r="G10973" i="5"/>
  <c r="E10972" i="5"/>
  <c r="G10969" i="5"/>
  <c r="E10968" i="5"/>
  <c r="E10967" i="5"/>
  <c r="E10966" i="5"/>
  <c r="E10964" i="5"/>
  <c r="G10963" i="5"/>
  <c r="G10962" i="5"/>
  <c r="G10960" i="5"/>
  <c r="G10955" i="5"/>
  <c r="G10954" i="5"/>
  <c r="G10949" i="5"/>
  <c r="G10946" i="5"/>
  <c r="G10941" i="5"/>
  <c r="G10939" i="5"/>
  <c r="G10937" i="5"/>
  <c r="G10935" i="5"/>
  <c r="G10931" i="5"/>
  <c r="G10930" i="5"/>
  <c r="G10923" i="5"/>
  <c r="G10921" i="5"/>
  <c r="G10918" i="5"/>
  <c r="G10917" i="5"/>
  <c r="G10914" i="5"/>
  <c r="G10910" i="5"/>
  <c r="G10907" i="5"/>
  <c r="G10905" i="5"/>
  <c r="G10903" i="5"/>
  <c r="G10902" i="5"/>
  <c r="G10899" i="5"/>
  <c r="G10897" i="5"/>
  <c r="G10895" i="5"/>
  <c r="G10892" i="5"/>
  <c r="G10891" i="5"/>
  <c r="G10890" i="5"/>
  <c r="G10888" i="5"/>
  <c r="G10887" i="5"/>
  <c r="G10886" i="5"/>
  <c r="G10885" i="5"/>
  <c r="G10881" i="5"/>
  <c r="G10880" i="5"/>
  <c r="G10873" i="5"/>
  <c r="G10868" i="5"/>
  <c r="G10867" i="5"/>
  <c r="G10863" i="5"/>
  <c r="G10861" i="5"/>
  <c r="G10860" i="5"/>
  <c r="G10858" i="5"/>
  <c r="G10851" i="5"/>
  <c r="G10848" i="5"/>
  <c r="G10847" i="5"/>
  <c r="G10846" i="5"/>
  <c r="G10845" i="5"/>
  <c r="E10844" i="5"/>
  <c r="E10841" i="5"/>
  <c r="G10828" i="5"/>
  <c r="G10827" i="5"/>
  <c r="G10826" i="5"/>
  <c r="G10825" i="5"/>
  <c r="G10814" i="5"/>
  <c r="G10813" i="5"/>
  <c r="E10812" i="5"/>
  <c r="E10811" i="5"/>
  <c r="E10810" i="5"/>
  <c r="E10809" i="5"/>
  <c r="E10808" i="5"/>
  <c r="E10807" i="5"/>
  <c r="E10806" i="5"/>
  <c r="G10805" i="5"/>
  <c r="G10800" i="5"/>
  <c r="G10799" i="5"/>
  <c r="G10792" i="5"/>
  <c r="G10788" i="5"/>
  <c r="G10787" i="5"/>
  <c r="G10781" i="5"/>
  <c r="G10780" i="5"/>
  <c r="G10779" i="5"/>
  <c r="G10777" i="5"/>
  <c r="G10774" i="5"/>
  <c r="G10772" i="5"/>
  <c r="G10768" i="5"/>
  <c r="G10766" i="5"/>
  <c r="G10765" i="5"/>
  <c r="E10745" i="5"/>
  <c r="E10744" i="5"/>
  <c r="G10742" i="5"/>
  <c r="G10741" i="5"/>
  <c r="G10738" i="5"/>
  <c r="G10735" i="5"/>
  <c r="G10734" i="5"/>
  <c r="G10728" i="5"/>
  <c r="G10727" i="5"/>
  <c r="G10726" i="5"/>
  <c r="G10722" i="5"/>
  <c r="G10721" i="5"/>
  <c r="G10720" i="5"/>
  <c r="G10719" i="5"/>
  <c r="G10715" i="5"/>
  <c r="G10709" i="5"/>
  <c r="G10708" i="5"/>
  <c r="G10706" i="5"/>
  <c r="G10700" i="5"/>
  <c r="G10697" i="5"/>
  <c r="G10695" i="5"/>
  <c r="G10694" i="5"/>
  <c r="G10691" i="5"/>
  <c r="G10690" i="5"/>
  <c r="G10687" i="5"/>
  <c r="G10683" i="5"/>
  <c r="G10682" i="5"/>
  <c r="G10680" i="5"/>
  <c r="G10679" i="5"/>
  <c r="G10678" i="5"/>
  <c r="G10675" i="5"/>
  <c r="G10674" i="5"/>
  <c r="G10670" i="5"/>
  <c r="G10668" i="5"/>
  <c r="G10667" i="5"/>
  <c r="G10665" i="5"/>
  <c r="G10663" i="5"/>
  <c r="G10662" i="5"/>
  <c r="G10660" i="5"/>
  <c r="G10659" i="5"/>
  <c r="G10657" i="5"/>
  <c r="G10655" i="5"/>
  <c r="G10653" i="5"/>
  <c r="G10651" i="5"/>
  <c r="G10650" i="5"/>
  <c r="G10647" i="5"/>
  <c r="G10646" i="5"/>
  <c r="G10645" i="5"/>
  <c r="G10644" i="5"/>
  <c r="G10641" i="5"/>
  <c r="G10638" i="5"/>
  <c r="G10635" i="5"/>
  <c r="G10634" i="5"/>
  <c r="G10633" i="5"/>
  <c r="G10632" i="5"/>
  <c r="G10631" i="5"/>
  <c r="G10630" i="5"/>
  <c r="G10629" i="5"/>
  <c r="G10626" i="5"/>
  <c r="G10625" i="5"/>
  <c r="G10623" i="5"/>
  <c r="G10617" i="5"/>
  <c r="G10614" i="5"/>
  <c r="G10613" i="5"/>
  <c r="G10611" i="5"/>
  <c r="G10609" i="5"/>
  <c r="G10602" i="5"/>
  <c r="G10600" i="5"/>
  <c r="H10600" i="5" s="1"/>
  <c r="E4531" i="8" s="1"/>
  <c r="G10599" i="5"/>
  <c r="G10598" i="5"/>
  <c r="G10594" i="5"/>
  <c r="G10593" i="5"/>
  <c r="G10590" i="5"/>
  <c r="G10589" i="5"/>
  <c r="G10586" i="5"/>
  <c r="G10585" i="5"/>
  <c r="G10582" i="5"/>
  <c r="G10581" i="5"/>
  <c r="G10579" i="5"/>
  <c r="G10578" i="5"/>
  <c r="G10577" i="5"/>
  <c r="G10575" i="5"/>
  <c r="G10574" i="5"/>
  <c r="G10570" i="5"/>
  <c r="G10569" i="5"/>
  <c r="G10566" i="5"/>
  <c r="G10565" i="5"/>
  <c r="G10563" i="5"/>
  <c r="G10561" i="5"/>
  <c r="G10558" i="5"/>
  <c r="G10555" i="5"/>
  <c r="G10554" i="5"/>
  <c r="G10553" i="5"/>
  <c r="G10552" i="5"/>
  <c r="G10551" i="5"/>
  <c r="G10549" i="5"/>
  <c r="G10548" i="5"/>
  <c r="G10547" i="5"/>
  <c r="G10546" i="5"/>
  <c r="G10540" i="5"/>
  <c r="H10540" i="5" s="1"/>
  <c r="E4505" i="8" s="1"/>
  <c r="G10537" i="5"/>
  <c r="G10535" i="5"/>
  <c r="G10533" i="5"/>
  <c r="G10531" i="5"/>
  <c r="G10530" i="5"/>
  <c r="G10529" i="5"/>
  <c r="G10528" i="5"/>
  <c r="H10528" i="5"/>
  <c r="E4502" i="8" s="1"/>
  <c r="G10527" i="5"/>
  <c r="G10526" i="5"/>
  <c r="G10522" i="5"/>
  <c r="G10521" i="5"/>
  <c r="G10518" i="5"/>
  <c r="G10517" i="5"/>
  <c r="G10515" i="5"/>
  <c r="G10513" i="5"/>
  <c r="G10511" i="5"/>
  <c r="G10510" i="5"/>
  <c r="G10509" i="5"/>
  <c r="G10506" i="5"/>
  <c r="G10505" i="5"/>
  <c r="G10504" i="5"/>
  <c r="G10503" i="5"/>
  <c r="G10497" i="5"/>
  <c r="G10495" i="5"/>
  <c r="G10494" i="5"/>
  <c r="G10493" i="5"/>
  <c r="G10491" i="5"/>
  <c r="G10490" i="5"/>
  <c r="G10487" i="5"/>
  <c r="G10483" i="5"/>
  <c r="G10482" i="5"/>
  <c r="G10479" i="5"/>
  <c r="G10478" i="5"/>
  <c r="G10477" i="5"/>
  <c r="G10473" i="5"/>
  <c r="G10472" i="5"/>
  <c r="H10472" i="5" s="1"/>
  <c r="E4484" i="8" s="1"/>
  <c r="G10469" i="5"/>
  <c r="G10465" i="5"/>
  <c r="G10463" i="5"/>
  <c r="G10461" i="5"/>
  <c r="G10456" i="5"/>
  <c r="H10456" i="5" s="1"/>
  <c r="E4480" i="8" s="1"/>
  <c r="G10455" i="5"/>
  <c r="G10454" i="5"/>
  <c r="G10451" i="5"/>
  <c r="G10450" i="5"/>
  <c r="G10449" i="5"/>
  <c r="E10448" i="5"/>
  <c r="E10447" i="5"/>
  <c r="E10446" i="5"/>
  <c r="E10445" i="5"/>
  <c r="E10444" i="5"/>
  <c r="E10443" i="5"/>
  <c r="E10442" i="5"/>
  <c r="G10441" i="5"/>
  <c r="G10438" i="5"/>
  <c r="G10431" i="5"/>
  <c r="G10426" i="5"/>
  <c r="G10424" i="5"/>
  <c r="G10420" i="5"/>
  <c r="G10418" i="5"/>
  <c r="G10416" i="5"/>
  <c r="G10412" i="5"/>
  <c r="G10411" i="5"/>
  <c r="G10410" i="5"/>
  <c r="G10409" i="5"/>
  <c r="H10409" i="5" s="1"/>
  <c r="G10407" i="5"/>
  <c r="G10406" i="5"/>
  <c r="G10405" i="5"/>
  <c r="H10405" i="5" s="1"/>
  <c r="E4460" i="8" s="1"/>
  <c r="G10397" i="5"/>
  <c r="G10396" i="5"/>
  <c r="G10395" i="5"/>
  <c r="G10392" i="5"/>
  <c r="G10390" i="5"/>
  <c r="G10387" i="5"/>
  <c r="G10385" i="5"/>
  <c r="G10384" i="5"/>
  <c r="G10382" i="5"/>
  <c r="G10380" i="5"/>
  <c r="G10378" i="5"/>
  <c r="G10376" i="5"/>
  <c r="G10375" i="5"/>
  <c r="G10371" i="5"/>
  <c r="G10369" i="5"/>
  <c r="G10364" i="5"/>
  <c r="G10363" i="5"/>
  <c r="G10360" i="5"/>
  <c r="G10356" i="5"/>
  <c r="G10354" i="5"/>
  <c r="G10350" i="5"/>
  <c r="G10344" i="5"/>
  <c r="G10343" i="5"/>
  <c r="G10342" i="5"/>
  <c r="G10340" i="5"/>
  <c r="G10336" i="5"/>
  <c r="G10334" i="5"/>
  <c r="G10331" i="5"/>
  <c r="G10327" i="5"/>
  <c r="G10324" i="5"/>
  <c r="G10323" i="5"/>
  <c r="G10322" i="5"/>
  <c r="G10319" i="5"/>
  <c r="G10316" i="5"/>
  <c r="G10315" i="5"/>
  <c r="G10314" i="5"/>
  <c r="G10310" i="5"/>
  <c r="G10308" i="5"/>
  <c r="G10306" i="5"/>
  <c r="G10303" i="5"/>
  <c r="G10302" i="5"/>
  <c r="G10301" i="5"/>
  <c r="G10298" i="5"/>
  <c r="G10295" i="5"/>
  <c r="G10292" i="5"/>
  <c r="G10290" i="5"/>
  <c r="G10288" i="5"/>
  <c r="G10287" i="5"/>
  <c r="G10286" i="5"/>
  <c r="G10280" i="5"/>
  <c r="G10279" i="5"/>
  <c r="G10275" i="5"/>
  <c r="G10272" i="5"/>
  <c r="G10270" i="5"/>
  <c r="G10268" i="5"/>
  <c r="G10267" i="5"/>
  <c r="G10263" i="5"/>
  <c r="G10260" i="5"/>
  <c r="G10256" i="5"/>
  <c r="G10255" i="5"/>
  <c r="G10251" i="5"/>
  <c r="G10248" i="5"/>
  <c r="G10247" i="5"/>
  <c r="G10246" i="5"/>
  <c r="G10245" i="5"/>
  <c r="G10243" i="5"/>
  <c r="G10241" i="5"/>
  <c r="G10240" i="5"/>
  <c r="G10236" i="5"/>
  <c r="G10233" i="5"/>
  <c r="G10232" i="5"/>
  <c r="G10231" i="5"/>
  <c r="G10229" i="5"/>
  <c r="G10228" i="5"/>
  <c r="H10222" i="5"/>
  <c r="E4377" i="8" s="1"/>
  <c r="G10222" i="5"/>
  <c r="G10220" i="5"/>
  <c r="G10219" i="5"/>
  <c r="G10216" i="5"/>
  <c r="G10215" i="5"/>
  <c r="G10214" i="5"/>
  <c r="H10214" i="5" s="1"/>
  <c r="E4375" i="8" s="1"/>
  <c r="G10213" i="5"/>
  <c r="G10212" i="5"/>
  <c r="G10210" i="5"/>
  <c r="G10209" i="5"/>
  <c r="G10207" i="5"/>
  <c r="G10203" i="5"/>
  <c r="G10200" i="5"/>
  <c r="G10199" i="5"/>
  <c r="G10197" i="5"/>
  <c r="G10196" i="5"/>
  <c r="G10195" i="5"/>
  <c r="G10191" i="5"/>
  <c r="G10189" i="5"/>
  <c r="G10187" i="5"/>
  <c r="G10185" i="5"/>
  <c r="G10184" i="5"/>
  <c r="G10180" i="5"/>
  <c r="G10176" i="5"/>
  <c r="G10175" i="5"/>
  <c r="G10173" i="5"/>
  <c r="G10172" i="5"/>
  <c r="G10167" i="5"/>
  <c r="G10165" i="5"/>
  <c r="G10163" i="5"/>
  <c r="G10159" i="5"/>
  <c r="G10156" i="5"/>
  <c r="G10151" i="5"/>
  <c r="H10150" i="5"/>
  <c r="G10150" i="5"/>
  <c r="G10147" i="5"/>
  <c r="G10146" i="5"/>
  <c r="H10146" i="5" s="1"/>
  <c r="E4355" i="8" s="1"/>
  <c r="G10144" i="5"/>
  <c r="G10139" i="5"/>
  <c r="G10136" i="5"/>
  <c r="G10135" i="5"/>
  <c r="G10128" i="5"/>
  <c r="G10124" i="5"/>
  <c r="G10121" i="5"/>
  <c r="G10115" i="5"/>
  <c r="G10114" i="5"/>
  <c r="G10113" i="5"/>
  <c r="G10112" i="5"/>
  <c r="G10111" i="5"/>
  <c r="G10107" i="5"/>
  <c r="G10105" i="5"/>
  <c r="G10103" i="5"/>
  <c r="G10101" i="5"/>
  <c r="G10100" i="5"/>
  <c r="G10099" i="5"/>
  <c r="G10098" i="5"/>
  <c r="G10097" i="5"/>
  <c r="G10094" i="5"/>
  <c r="G10093" i="5"/>
  <c r="G10091" i="5"/>
  <c r="G10087" i="5"/>
  <c r="G10084" i="5"/>
  <c r="G10081" i="5"/>
  <c r="G10080" i="5"/>
  <c r="G10079" i="5"/>
  <c r="G10078" i="5"/>
  <c r="G10077" i="5"/>
  <c r="G10076" i="5"/>
  <c r="G10069" i="5"/>
  <c r="G10068" i="5"/>
  <c r="G10067" i="5"/>
  <c r="G10065" i="5"/>
  <c r="G10063" i="5"/>
  <c r="G10059" i="5"/>
  <c r="G10057" i="5"/>
  <c r="G10056" i="5"/>
  <c r="G10055" i="5"/>
  <c r="G10054" i="5"/>
  <c r="G10053" i="5"/>
  <c r="G10052" i="5"/>
  <c r="G10051" i="5"/>
  <c r="G10044" i="5"/>
  <c r="G10040" i="5"/>
  <c r="G10032" i="5"/>
  <c r="G10028" i="5"/>
  <c r="G10026" i="5"/>
  <c r="H10026" i="5"/>
  <c r="E4325" i="8" s="1"/>
  <c r="G10025" i="5"/>
  <c r="G10024" i="5"/>
  <c r="G10023" i="5"/>
  <c r="G10022" i="5"/>
  <c r="G10021" i="5"/>
  <c r="G10020" i="5"/>
  <c r="G10019" i="5"/>
  <c r="G10018" i="5"/>
  <c r="G10016" i="5"/>
  <c r="G10012" i="5"/>
  <c r="G10011" i="5"/>
  <c r="G10010" i="5"/>
  <c r="H10010" i="5" s="1"/>
  <c r="E4321" i="8" s="1"/>
  <c r="G10009" i="5"/>
  <c r="G10008" i="5"/>
  <c r="G10005" i="5"/>
  <c r="G10004" i="5"/>
  <c r="G10003" i="5"/>
  <c r="G9997" i="5"/>
  <c r="G9996" i="5"/>
  <c r="G9995" i="5"/>
  <c r="G9994" i="5"/>
  <c r="H9994" i="5" s="1"/>
  <c r="G9992" i="5"/>
  <c r="G9991" i="5"/>
  <c r="G9988" i="5"/>
  <c r="G9979" i="5"/>
  <c r="G9978" i="5"/>
  <c r="G9975" i="5"/>
  <c r="G9973" i="5"/>
  <c r="G9972" i="5"/>
  <c r="G9971" i="5"/>
  <c r="G9969" i="5"/>
  <c r="G9968" i="5"/>
  <c r="G9962" i="5"/>
  <c r="G9961" i="5"/>
  <c r="G9955" i="5"/>
  <c r="G9951" i="5"/>
  <c r="G9949" i="5"/>
  <c r="G9947" i="5"/>
  <c r="G9944" i="5"/>
  <c r="G9939" i="5"/>
  <c r="G9938" i="5"/>
  <c r="G9937" i="5"/>
  <c r="G9936" i="5"/>
  <c r="G9932" i="5"/>
  <c r="G9925" i="5"/>
  <c r="G9924" i="5"/>
  <c r="G9923" i="5"/>
  <c r="G9922" i="5"/>
  <c r="H9922" i="5" s="1"/>
  <c r="E4299" i="8" s="1"/>
  <c r="G9921" i="5"/>
  <c r="G9915" i="5"/>
  <c r="G9912" i="5"/>
  <c r="G9905" i="5"/>
  <c r="G9904" i="5"/>
  <c r="G9903" i="5"/>
  <c r="G9900" i="5"/>
  <c r="G9893" i="5"/>
  <c r="G9891" i="5"/>
  <c r="G9887" i="5"/>
  <c r="G9885" i="5"/>
  <c r="G9884" i="5"/>
  <c r="G9883" i="5"/>
  <c r="G9881" i="5"/>
  <c r="G9880" i="5"/>
  <c r="G9877" i="5"/>
  <c r="G9876" i="5"/>
  <c r="G9875" i="5"/>
  <c r="G9873" i="5"/>
  <c r="G9865" i="5"/>
  <c r="G9863" i="5"/>
  <c r="H9862" i="5"/>
  <c r="E4284" i="8" s="1"/>
  <c r="G9862" i="5"/>
  <c r="G9861" i="5"/>
  <c r="G9860" i="5"/>
  <c r="G9859" i="5"/>
  <c r="G9851" i="5"/>
  <c r="G9849" i="5"/>
  <c r="G9848" i="5"/>
  <c r="G9846" i="5"/>
  <c r="H9846" i="5" s="1"/>
  <c r="E4280" i="8" s="1"/>
  <c r="G9843" i="5"/>
  <c r="G9841" i="5"/>
  <c r="G9840" i="5"/>
  <c r="G9839" i="5"/>
  <c r="G9836" i="5"/>
  <c r="G9834" i="5"/>
  <c r="G9830" i="5"/>
  <c r="G9829" i="5"/>
  <c r="G9828" i="5"/>
  <c r="G9825" i="5"/>
  <c r="G9824" i="5"/>
  <c r="E9822" i="5"/>
  <c r="E9821" i="5"/>
  <c r="G9818" i="5"/>
  <c r="E9818" i="5"/>
  <c r="E9817" i="5"/>
  <c r="E9816" i="5"/>
  <c r="E9814" i="5"/>
  <c r="G9806" i="5"/>
  <c r="G9805" i="5"/>
  <c r="G9804" i="5"/>
  <c r="G9799" i="5"/>
  <c r="G9792" i="5"/>
  <c r="G9791" i="5"/>
  <c r="G9784" i="5"/>
  <c r="G9775" i="5"/>
  <c r="G9774" i="5"/>
  <c r="G9765" i="5"/>
  <c r="G9764" i="5"/>
  <c r="G9763" i="5"/>
  <c r="G9754" i="5"/>
  <c r="G9743" i="5"/>
  <c r="G9732" i="5"/>
  <c r="G9730" i="5"/>
  <c r="E9725" i="5"/>
  <c r="E9719" i="5"/>
  <c r="E9718" i="5"/>
  <c r="E9717" i="5"/>
  <c r="G9710" i="5"/>
  <c r="G9706" i="5"/>
  <c r="G9704" i="5"/>
  <c r="G9694" i="5"/>
  <c r="G9693" i="5"/>
  <c r="G9692" i="5"/>
  <c r="G9685" i="5"/>
  <c r="G9683" i="5"/>
  <c r="G9682" i="5"/>
  <c r="G9680" i="5"/>
  <c r="E9679" i="5"/>
  <c r="E9674" i="5"/>
  <c r="G9666" i="5"/>
  <c r="G9664" i="5"/>
  <c r="G9663" i="5"/>
  <c r="G9658" i="5"/>
  <c r="G9657" i="5"/>
  <c r="G9656" i="5"/>
  <c r="E9649" i="5"/>
  <c r="G9646" i="5"/>
  <c r="E9644" i="5"/>
  <c r="G9643" i="5"/>
  <c r="G9642" i="5"/>
  <c r="G9638" i="5"/>
  <c r="E9633" i="5"/>
  <c r="E9628" i="5"/>
  <c r="G9626" i="5"/>
  <c r="G9625" i="5"/>
  <c r="G9623" i="5"/>
  <c r="G9621" i="5"/>
  <c r="G9617" i="5"/>
  <c r="G9612" i="5"/>
  <c r="G9611" i="5"/>
  <c r="G9610" i="5"/>
  <c r="G9607" i="5"/>
  <c r="G9604" i="5"/>
  <c r="G9597" i="5"/>
  <c r="G9596" i="5"/>
  <c r="G9591" i="5"/>
  <c r="G9590" i="5"/>
  <c r="G9587" i="5"/>
  <c r="G9585" i="5"/>
  <c r="G9576" i="5"/>
  <c r="G9574" i="5"/>
  <c r="G9570" i="5"/>
  <c r="G9568" i="5"/>
  <c r="G9564" i="5"/>
  <c r="G9563" i="5"/>
  <c r="G9561" i="5"/>
  <c r="G9560" i="5"/>
  <c r="G9556" i="5"/>
  <c r="G9553" i="5"/>
  <c r="G9552" i="5"/>
  <c r="G9548" i="5"/>
  <c r="G9547" i="5"/>
  <c r="G9546" i="5"/>
  <c r="G9539" i="5"/>
  <c r="G9537" i="5"/>
  <c r="E9535" i="5"/>
  <c r="E9534" i="5"/>
  <c r="G9532" i="5"/>
  <c r="G9530" i="5"/>
  <c r="G9528" i="5"/>
  <c r="E9527" i="5"/>
  <c r="E9526" i="5"/>
  <c r="G9525" i="5"/>
  <c r="G9524" i="5"/>
  <c r="G9522" i="5"/>
  <c r="G9511" i="5"/>
  <c r="G9509" i="5"/>
  <c r="G9503" i="5"/>
  <c r="G9497" i="5"/>
  <c r="G9496" i="5"/>
  <c r="G9495" i="5"/>
  <c r="G9491" i="5"/>
  <c r="G9488" i="5"/>
  <c r="G9484" i="5"/>
  <c r="G9483" i="5"/>
  <c r="G9482" i="5"/>
  <c r="G9479" i="5"/>
  <c r="G9478" i="5"/>
  <c r="G9475" i="5"/>
  <c r="G9473" i="5"/>
  <c r="G9467" i="5"/>
  <c r="G9454" i="5"/>
  <c r="G9453" i="5"/>
  <c r="G9452" i="5"/>
  <c r="G9444" i="5"/>
  <c r="G9436" i="5"/>
  <c r="G9431" i="5"/>
  <c r="G9420" i="5"/>
  <c r="G9419" i="5"/>
  <c r="G9417" i="5"/>
  <c r="G9415" i="5"/>
  <c r="G9413" i="5"/>
  <c r="G9411" i="5"/>
  <c r="G9409" i="5"/>
  <c r="G9408" i="5"/>
  <c r="G9407" i="5"/>
  <c r="G9405" i="5"/>
  <c r="G9404" i="5"/>
  <c r="G9403" i="5"/>
  <c r="G9401" i="5"/>
  <c r="G9400" i="5"/>
  <c r="G9399" i="5"/>
  <c r="G9397" i="5"/>
  <c r="G9395" i="5"/>
  <c r="G9391" i="5"/>
  <c r="G9388" i="5"/>
  <c r="G9387" i="5"/>
  <c r="G9385" i="5"/>
  <c r="G9384" i="5"/>
  <c r="G9383" i="5"/>
  <c r="G9379" i="5"/>
  <c r="G9376" i="5"/>
  <c r="G9375" i="5"/>
  <c r="G9372" i="5"/>
  <c r="G9371" i="5"/>
  <c r="G9369" i="5"/>
  <c r="G9368" i="5"/>
  <c r="G9367" i="5"/>
  <c r="G9363" i="5"/>
  <c r="G9359" i="5"/>
  <c r="G9358" i="5"/>
  <c r="H9358" i="5" s="1"/>
  <c r="E4053" i="8" s="1"/>
  <c r="G9356" i="5"/>
  <c r="G9355" i="5"/>
  <c r="G9351" i="5"/>
  <c r="G9347" i="5"/>
  <c r="G9344" i="5"/>
  <c r="G9343" i="5"/>
  <c r="G9341" i="5"/>
  <c r="G9340" i="5"/>
  <c r="G9339" i="5"/>
  <c r="G9337" i="5"/>
  <c r="G9336" i="5"/>
  <c r="G9335" i="5"/>
  <c r="G9333" i="5"/>
  <c r="G9331" i="5"/>
  <c r="G9330" i="5"/>
  <c r="G9327" i="5"/>
  <c r="G9324" i="5"/>
  <c r="G9323" i="5"/>
  <c r="G9321" i="5"/>
  <c r="G9320" i="5"/>
  <c r="G9319" i="5"/>
  <c r="G9317" i="5"/>
  <c r="G9315" i="5"/>
  <c r="G9311" i="5"/>
  <c r="H9310" i="5"/>
  <c r="E4028" i="8" s="1"/>
  <c r="G9310" i="5"/>
  <c r="G9309" i="5"/>
  <c r="G9308" i="5"/>
  <c r="G9307" i="5"/>
  <c r="G9305" i="5"/>
  <c r="G9304" i="5"/>
  <c r="G9303" i="5"/>
  <c r="G9299" i="5"/>
  <c r="G9295" i="5"/>
  <c r="G9294" i="5"/>
  <c r="H9294" i="5" s="1"/>
  <c r="E4002" i="8" s="1"/>
  <c r="G9292" i="5"/>
  <c r="G9291" i="5"/>
  <c r="G9289" i="5"/>
  <c r="G9287" i="5"/>
  <c r="G9285" i="5"/>
  <c r="G9283" i="5"/>
  <c r="G9281" i="5"/>
  <c r="G9280" i="5"/>
  <c r="G9279" i="5"/>
  <c r="G9278" i="5"/>
  <c r="G9277" i="5"/>
  <c r="G9276" i="5"/>
  <c r="G9275" i="5"/>
  <c r="G9272" i="5"/>
  <c r="G9271" i="5"/>
  <c r="G9267" i="5"/>
  <c r="G9263" i="5"/>
  <c r="G9262" i="5"/>
  <c r="G9259" i="5"/>
  <c r="G9256" i="5"/>
  <c r="G9255" i="5"/>
  <c r="G9251" i="5"/>
  <c r="G9250" i="5"/>
  <c r="G9248" i="5"/>
  <c r="G9247" i="5"/>
  <c r="G9244" i="5"/>
  <c r="G9243" i="5"/>
  <c r="G9240" i="5"/>
  <c r="G9239" i="5"/>
  <c r="G9235" i="5"/>
  <c r="G9232" i="5"/>
  <c r="G9231" i="5"/>
  <c r="H9230" i="5"/>
  <c r="E3986" i="8" s="1"/>
  <c r="G9230" i="5"/>
  <c r="G9228" i="5"/>
  <c r="G9227" i="5"/>
  <c r="G9224" i="5"/>
  <c r="G9223" i="5"/>
  <c r="G9219" i="5"/>
  <c r="G9217" i="5"/>
  <c r="G9216" i="5"/>
  <c r="G9215" i="5"/>
  <c r="G9212" i="5"/>
  <c r="G9211" i="5"/>
  <c r="G9209" i="5"/>
  <c r="G9208" i="5"/>
  <c r="G9207" i="5"/>
  <c r="G9205" i="5"/>
  <c r="G9203" i="5"/>
  <c r="G9200" i="5"/>
  <c r="G9199" i="5"/>
  <c r="G9195" i="5"/>
  <c r="G9193" i="5"/>
  <c r="G9192" i="5"/>
  <c r="G9191" i="5"/>
  <c r="G9187" i="5"/>
  <c r="G9183" i="5"/>
  <c r="G9181" i="5"/>
  <c r="G9180" i="5"/>
  <c r="G9179" i="5"/>
  <c r="G9177" i="5"/>
  <c r="G9175" i="5"/>
  <c r="G9172" i="5"/>
  <c r="G9171" i="5"/>
  <c r="G9168" i="5"/>
  <c r="G9167" i="5"/>
  <c r="G9163" i="5"/>
  <c r="G9162" i="5"/>
  <c r="G9161" i="5"/>
  <c r="G9160" i="5"/>
  <c r="G9159" i="5"/>
  <c r="G9156" i="5"/>
  <c r="G9155" i="5"/>
  <c r="G9152" i="5"/>
  <c r="G9151" i="5"/>
  <c r="G9149" i="5"/>
  <c r="G9147" i="5"/>
  <c r="G9145" i="5"/>
  <c r="G9144" i="5"/>
  <c r="G9143" i="5"/>
  <c r="G9141" i="5"/>
  <c r="G9139" i="5"/>
  <c r="G9136" i="5"/>
  <c r="G9135" i="5"/>
  <c r="G9132" i="5"/>
  <c r="G9131" i="5"/>
  <c r="G9129" i="5"/>
  <c r="G9127" i="5"/>
  <c r="G9123" i="5"/>
  <c r="G9120" i="5"/>
  <c r="G9119" i="5"/>
  <c r="G9117" i="5"/>
  <c r="G9116" i="5"/>
  <c r="G9115" i="5"/>
  <c r="G9113" i="5"/>
  <c r="G9111" i="5"/>
  <c r="G9108" i="5"/>
  <c r="G9107" i="5"/>
  <c r="G9106" i="5"/>
  <c r="G9105" i="5"/>
  <c r="G9104" i="5"/>
  <c r="G9103" i="5"/>
  <c r="G9102" i="5"/>
  <c r="G9101" i="5"/>
  <c r="G9099" i="5"/>
  <c r="G9098" i="5"/>
  <c r="H9098" i="5"/>
  <c r="E3950" i="8" s="1"/>
  <c r="G9096" i="5"/>
  <c r="G9095" i="5"/>
  <c r="G9091" i="5"/>
  <c r="G9089" i="5"/>
  <c r="G9087" i="5"/>
  <c r="G9083" i="5"/>
  <c r="G9081" i="5"/>
  <c r="G9080" i="5"/>
  <c r="G9079" i="5"/>
  <c r="G9077" i="5"/>
  <c r="G9075" i="5"/>
  <c r="G9072" i="5"/>
  <c r="G9071" i="5"/>
  <c r="G9069" i="5"/>
  <c r="G9067" i="5"/>
  <c r="G9065" i="5"/>
  <c r="G9064" i="5"/>
  <c r="G9063" i="5"/>
  <c r="G9059" i="5"/>
  <c r="G9056" i="5"/>
  <c r="G9055" i="5"/>
  <c r="G9052" i="5"/>
  <c r="G9051" i="5"/>
  <c r="G9049" i="5"/>
  <c r="G9048" i="5"/>
  <c r="G9047" i="5"/>
  <c r="G9045" i="5"/>
  <c r="G9043" i="5"/>
  <c r="G9039" i="5"/>
  <c r="G9037" i="5"/>
  <c r="G9035" i="5"/>
  <c r="G9033" i="5"/>
  <c r="G9032" i="5"/>
  <c r="G9031" i="5"/>
  <c r="G9030" i="5"/>
  <c r="G9028" i="5"/>
  <c r="G9027" i="5"/>
  <c r="G9026" i="5"/>
  <c r="G9023" i="5"/>
  <c r="G9021" i="5"/>
  <c r="G9019" i="5"/>
  <c r="G9017" i="5"/>
  <c r="G9015" i="5"/>
  <c r="G9013" i="5"/>
  <c r="G9007" i="5"/>
  <c r="G9005" i="5"/>
  <c r="G9004" i="5"/>
  <c r="G9003" i="5"/>
  <c r="G9000" i="5"/>
  <c r="G8999" i="5"/>
  <c r="G8998" i="5"/>
  <c r="G8997" i="5"/>
  <c r="G8996" i="5"/>
  <c r="G8994" i="5"/>
  <c r="G8993" i="5"/>
  <c r="G8992" i="5"/>
  <c r="G8991" i="5"/>
  <c r="H8991" i="5" s="1"/>
  <c r="E3868" i="8" s="1"/>
  <c r="G8989" i="5"/>
  <c r="G8988" i="5"/>
  <c r="G8985" i="5"/>
  <c r="G8984" i="5"/>
  <c r="G8980" i="5"/>
  <c r="G8978" i="5"/>
  <c r="G8977" i="5"/>
  <c r="G8975" i="5"/>
  <c r="G8973" i="5"/>
  <c r="G8969" i="5"/>
  <c r="G8967" i="5"/>
  <c r="G8966" i="5"/>
  <c r="G8965" i="5"/>
  <c r="G8963" i="5"/>
  <c r="G8962" i="5"/>
  <c r="G8961" i="5"/>
  <c r="G8958" i="5"/>
  <c r="G8957" i="5"/>
  <c r="G8955" i="5"/>
  <c r="G8953" i="5"/>
  <c r="G8950" i="5"/>
  <c r="G8949" i="5"/>
  <c r="G8947" i="5"/>
  <c r="G8945" i="5"/>
  <c r="G8943" i="5"/>
  <c r="G8942" i="5"/>
  <c r="G8941" i="5"/>
  <c r="G8939" i="5"/>
  <c r="G8938" i="5"/>
  <c r="G8937" i="5"/>
  <c r="G8935" i="5"/>
  <c r="G8934" i="5"/>
  <c r="G8933" i="5"/>
  <c r="G8931" i="5"/>
  <c r="G8930" i="5"/>
  <c r="G8929" i="5"/>
  <c r="G8926" i="5"/>
  <c r="G8925" i="5"/>
  <c r="G8923" i="5"/>
  <c r="G8921" i="5"/>
  <c r="G8918" i="5"/>
  <c r="G8913" i="5"/>
  <c r="G8912" i="5"/>
  <c r="G8908" i="5"/>
  <c r="G8905" i="5"/>
  <c r="G8903" i="5"/>
  <c r="G8900" i="5"/>
  <c r="G8898" i="5"/>
  <c r="G8897" i="5"/>
  <c r="G8891" i="5"/>
  <c r="G8890" i="5"/>
  <c r="G8886" i="5"/>
  <c r="G8879" i="5"/>
  <c r="G8877" i="5"/>
  <c r="G8861" i="5"/>
  <c r="G8858" i="5"/>
  <c r="G8857" i="5"/>
  <c r="G8855" i="5"/>
  <c r="G8852" i="5"/>
  <c r="G8849" i="5"/>
  <c r="E8847" i="5"/>
  <c r="E8846" i="5"/>
  <c r="G8843" i="5"/>
  <c r="G8838" i="5"/>
  <c r="G8837" i="5"/>
  <c r="E8835" i="5"/>
  <c r="E8834" i="5"/>
  <c r="G8833" i="5"/>
  <c r="G8831" i="5"/>
  <c r="G8830" i="5"/>
  <c r="G8825" i="5"/>
  <c r="G8820" i="5"/>
  <c r="G8818" i="5"/>
  <c r="E8816" i="5"/>
  <c r="E8815" i="5"/>
  <c r="G8814" i="5"/>
  <c r="G8813" i="5"/>
  <c r="G8812" i="5"/>
  <c r="G8808" i="5"/>
  <c r="G8806" i="5"/>
  <c r="G8801" i="5"/>
  <c r="G8799" i="5"/>
  <c r="G8791" i="5"/>
  <c r="G8789" i="5"/>
  <c r="G8786" i="5"/>
  <c r="G8779" i="5"/>
  <c r="G8775" i="5"/>
  <c r="G8773" i="5"/>
  <c r="G8772" i="5"/>
  <c r="G8771" i="5"/>
  <c r="G8766" i="5"/>
  <c r="G8765" i="5"/>
  <c r="G8764" i="5"/>
  <c r="G8763" i="5"/>
  <c r="G8762" i="5"/>
  <c r="G8761" i="5"/>
  <c r="G8759" i="5"/>
  <c r="G8757" i="5"/>
  <c r="G8755" i="5"/>
  <c r="G8753" i="5"/>
  <c r="G8749" i="5"/>
  <c r="G8748" i="5"/>
  <c r="G8747" i="5"/>
  <c r="G8732" i="5"/>
  <c r="G8731" i="5"/>
  <c r="G8730" i="5"/>
  <c r="G8720" i="5"/>
  <c r="G8713" i="5"/>
  <c r="G8712" i="5"/>
  <c r="G8711" i="5"/>
  <c r="G8706" i="5"/>
  <c r="G8697" i="5"/>
  <c r="G8694" i="5"/>
  <c r="G8688" i="5"/>
  <c r="G8686" i="5"/>
  <c r="G8683" i="5"/>
  <c r="G8682" i="5"/>
  <c r="G8681" i="5"/>
  <c r="G8677" i="5"/>
  <c r="G8676" i="5"/>
  <c r="G8675" i="5"/>
  <c r="G8672" i="5"/>
  <c r="G8667" i="5"/>
  <c r="G8665" i="5"/>
  <c r="G8663" i="5"/>
  <c r="G8662" i="5"/>
  <c r="G8661" i="5"/>
  <c r="G8656" i="5"/>
  <c r="G8654" i="5"/>
  <c r="G8653" i="5"/>
  <c r="G8652" i="5"/>
  <c r="G8650" i="5"/>
  <c r="G8648" i="5"/>
  <c r="G8646" i="5"/>
  <c r="G8645" i="5"/>
  <c r="G8639" i="5"/>
  <c r="G8637" i="5"/>
  <c r="G8636" i="5"/>
  <c r="G8634" i="5"/>
  <c r="G8632" i="5"/>
  <c r="G8629" i="5"/>
  <c r="G8628" i="5"/>
  <c r="G8625" i="5"/>
  <c r="G8624" i="5"/>
  <c r="G8622" i="5"/>
  <c r="G8619" i="5"/>
  <c r="G8618" i="5"/>
  <c r="G8613" i="5"/>
  <c r="G8609" i="5"/>
  <c r="G8607" i="5"/>
  <c r="G8604" i="5"/>
  <c r="G8598" i="5"/>
  <c r="G8595" i="5"/>
  <c r="G8593" i="5"/>
  <c r="G8588" i="5"/>
  <c r="G8574" i="5"/>
  <c r="G8573" i="5"/>
  <c r="G8565" i="5"/>
  <c r="G8564" i="5"/>
  <c r="G8563" i="5"/>
  <c r="G8558" i="5"/>
  <c r="G8557" i="5"/>
  <c r="G8553" i="5"/>
  <c r="G8550" i="5"/>
  <c r="G8549" i="5"/>
  <c r="G8542" i="5"/>
  <c r="G8537" i="5"/>
  <c r="G8534" i="5"/>
  <c r="G8533" i="5"/>
  <c r="G8530" i="5"/>
  <c r="G8529" i="5"/>
  <c r="G8525" i="5"/>
  <c r="G8523" i="5"/>
  <c r="G8522" i="5"/>
  <c r="G8521" i="5"/>
  <c r="G8517" i="5"/>
  <c r="G8505" i="5"/>
  <c r="E8504" i="5"/>
  <c r="G8503" i="5"/>
  <c r="G8502" i="5"/>
  <c r="G8501" i="5"/>
  <c r="G8497" i="5"/>
  <c r="G8496" i="5"/>
  <c r="G8489" i="5"/>
  <c r="G8487" i="5"/>
  <c r="G8486" i="5"/>
  <c r="G8485" i="5"/>
  <c r="G8484" i="5"/>
  <c r="E8483" i="5"/>
  <c r="E8482" i="5"/>
  <c r="G8466" i="5"/>
  <c r="G8457" i="5"/>
  <c r="G8455" i="5"/>
  <c r="E8454" i="5"/>
  <c r="G8453" i="5"/>
  <c r="G8452" i="5"/>
  <c r="G8450" i="5"/>
  <c r="G8449" i="5"/>
  <c r="G8448" i="5"/>
  <c r="G8446" i="5"/>
  <c r="G8445" i="5"/>
  <c r="G8444" i="5"/>
  <c r="G8442" i="5"/>
  <c r="G8440" i="5"/>
  <c r="G8439" i="5"/>
  <c r="G8438" i="5"/>
  <c r="G8434" i="5"/>
  <c r="G8428" i="5"/>
  <c r="G8427" i="5"/>
  <c r="G8424" i="5"/>
  <c r="G8423" i="5"/>
  <c r="G8422" i="5"/>
  <c r="G8419" i="5"/>
  <c r="G8418" i="5"/>
  <c r="G8412" i="5"/>
  <c r="G8411" i="5"/>
  <c r="G8410" i="5"/>
  <c r="G8408" i="5"/>
  <c r="G8407" i="5"/>
  <c r="G8406" i="5"/>
  <c r="G8404" i="5"/>
  <c r="G8403" i="5"/>
  <c r="G8402" i="5"/>
  <c r="G8400" i="5"/>
  <c r="G8395" i="5"/>
  <c r="G8394" i="5"/>
  <c r="G8387" i="5"/>
  <c r="G8386" i="5"/>
  <c r="G8380" i="5"/>
  <c r="G8378" i="5"/>
  <c r="G8375" i="5"/>
  <c r="G8372" i="5"/>
  <c r="G8370" i="5"/>
  <c r="G8368" i="5"/>
  <c r="G8366" i="5"/>
  <c r="G8364" i="5"/>
  <c r="G8362" i="5"/>
  <c r="G8352" i="5"/>
  <c r="G8351" i="5"/>
  <c r="G8350" i="5"/>
  <c r="G8348" i="5"/>
  <c r="G8347" i="5"/>
  <c r="G8346" i="5"/>
  <c r="G8336" i="5"/>
  <c r="G8334" i="5"/>
  <c r="G8332" i="5"/>
  <c r="G8331" i="5"/>
  <c r="G8328" i="5"/>
  <c r="G8326" i="5"/>
  <c r="G8315" i="5"/>
  <c r="G8304" i="5"/>
  <c r="G8302" i="5"/>
  <c r="G8300" i="5"/>
  <c r="G8298" i="5"/>
  <c r="G8288" i="5"/>
  <c r="G8287" i="5"/>
  <c r="G8286" i="5"/>
  <c r="G8284" i="5"/>
  <c r="G8283" i="5"/>
  <c r="G8276" i="5"/>
  <c r="G8275" i="5"/>
  <c r="G8272" i="5"/>
  <c r="G8271" i="5"/>
  <c r="G8270" i="5"/>
  <c r="G8268" i="5"/>
  <c r="G8267" i="5"/>
  <c r="G8251" i="5"/>
  <c r="G8242" i="5"/>
  <c r="G8240" i="5"/>
  <c r="G8238" i="5"/>
  <c r="G8236" i="5"/>
  <c r="G8234" i="5"/>
  <c r="G8224" i="5"/>
  <c r="G8223" i="5"/>
  <c r="G8222" i="5"/>
  <c r="G8220" i="5"/>
  <c r="G8219" i="5"/>
  <c r="G8211" i="5"/>
  <c r="G8208" i="5"/>
  <c r="G8206" i="5"/>
  <c r="G8204" i="5"/>
  <c r="G8203" i="5"/>
  <c r="G8200" i="5"/>
  <c r="G8198" i="5"/>
  <c r="G8194" i="5"/>
  <c r="G8192" i="5"/>
  <c r="G8191" i="5"/>
  <c r="G8190" i="5"/>
  <c r="G8188" i="5"/>
  <c r="G8187" i="5"/>
  <c r="G8183" i="5"/>
  <c r="G8180" i="5"/>
  <c r="G8175" i="5"/>
  <c r="G8172" i="5"/>
  <c r="G8171" i="5"/>
  <c r="G8170" i="5"/>
  <c r="G8167" i="5"/>
  <c r="G8164" i="5"/>
  <c r="G8163" i="5"/>
  <c r="G8162" i="5"/>
  <c r="G8160" i="5"/>
  <c r="G8158" i="5"/>
  <c r="G8155" i="5"/>
  <c r="G8154" i="5"/>
  <c r="G8151" i="5"/>
  <c r="G8146" i="5"/>
  <c r="G8144" i="5"/>
  <c r="G8142" i="5"/>
  <c r="G8140" i="5"/>
  <c r="G8139" i="5"/>
  <c r="G8138" i="5"/>
  <c r="G8134" i="5"/>
  <c r="G8128" i="5"/>
  <c r="G8127" i="5"/>
  <c r="G8124" i="5"/>
  <c r="G8123" i="5"/>
  <c r="G8122" i="5"/>
  <c r="G8119" i="5"/>
  <c r="G8118" i="5"/>
  <c r="G8116" i="5"/>
  <c r="G8114" i="5"/>
  <c r="G8112" i="5"/>
  <c r="G8107" i="5"/>
  <c r="G8104" i="5"/>
  <c r="G8102" i="5"/>
  <c r="G8100" i="5"/>
  <c r="G8099" i="5"/>
  <c r="G8094" i="5"/>
  <c r="G8084" i="5"/>
  <c r="G8083" i="5"/>
  <c r="G8074" i="5"/>
  <c r="G8072" i="5"/>
  <c r="G8070" i="5"/>
  <c r="G8068" i="5"/>
  <c r="G8066" i="5"/>
  <c r="G8060" i="5"/>
  <c r="G8056" i="5"/>
  <c r="G8054" i="5"/>
  <c r="G8052" i="5"/>
  <c r="G8051" i="5"/>
  <c r="G8050" i="5"/>
  <c r="G8047" i="5"/>
  <c r="G8044" i="5"/>
  <c r="G8042" i="5"/>
  <c r="G8040" i="5"/>
  <c r="G8039" i="5"/>
  <c r="G8035" i="5"/>
  <c r="G8026" i="5"/>
  <c r="G8024" i="5"/>
  <c r="G8022" i="5"/>
  <c r="G8020" i="5"/>
  <c r="G8019" i="5"/>
  <c r="G8018" i="5"/>
  <c r="G8015" i="5"/>
  <c r="G8012" i="5"/>
  <c r="G8007" i="5"/>
  <c r="G8006" i="5"/>
  <c r="G8004" i="5"/>
  <c r="G8003" i="5"/>
  <c r="G8002" i="5"/>
  <c r="G7999" i="5"/>
  <c r="G7994" i="5"/>
  <c r="G7990" i="5"/>
  <c r="G7988" i="5"/>
  <c r="G7987" i="5"/>
  <c r="G7986" i="5"/>
  <c r="G7980" i="5"/>
  <c r="G7976" i="5"/>
  <c r="G7975" i="5"/>
  <c r="G7974" i="5"/>
  <c r="G7972" i="5"/>
  <c r="G7967" i="5"/>
  <c r="G7962" i="5"/>
  <c r="G7960" i="5"/>
  <c r="G7959" i="5"/>
  <c r="G7958" i="5"/>
  <c r="G7956" i="5"/>
  <c r="G7955" i="5"/>
  <c r="G7946" i="5"/>
  <c r="G7944" i="5"/>
  <c r="G7943" i="5"/>
  <c r="G7939" i="5"/>
  <c r="G7938" i="5"/>
  <c r="G7932" i="5"/>
  <c r="G7930" i="5"/>
  <c r="G7928" i="5"/>
  <c r="G7926" i="5"/>
  <c r="G7925" i="5"/>
  <c r="G7923" i="5"/>
  <c r="G7922" i="5"/>
  <c r="G7916" i="5"/>
  <c r="G7911" i="5"/>
  <c r="G7908" i="5"/>
  <c r="G7906" i="5"/>
  <c r="G7903" i="5"/>
  <c r="G7900" i="5"/>
  <c r="G7896" i="5"/>
  <c r="G7894" i="5"/>
  <c r="G7892" i="5"/>
  <c r="G7891" i="5"/>
  <c r="G7890" i="5"/>
  <c r="G7887" i="5"/>
  <c r="G7882" i="5"/>
  <c r="G7880" i="5"/>
  <c r="G7878" i="5"/>
  <c r="G7876" i="5"/>
  <c r="G7875" i="5"/>
  <c r="G7874" i="5"/>
  <c r="G7871" i="5"/>
  <c r="G7866" i="5"/>
  <c r="G7864" i="5"/>
  <c r="G7862" i="5"/>
  <c r="G7860" i="5"/>
  <c r="G7859" i="5"/>
  <c r="G7858" i="5"/>
  <c r="G7855" i="5"/>
  <c r="G7850" i="5"/>
  <c r="G7848" i="5"/>
  <c r="G7846" i="5"/>
  <c r="G7844" i="5"/>
  <c r="G7843" i="5"/>
  <c r="G7842" i="5"/>
  <c r="G7839" i="5"/>
  <c r="G7834" i="5"/>
  <c r="G7832" i="5"/>
  <c r="G7830" i="5"/>
  <c r="G7828" i="5"/>
  <c r="G7827" i="5"/>
  <c r="G7826" i="5"/>
  <c r="G7823" i="5"/>
  <c r="G7818" i="5"/>
  <c r="G7816" i="5"/>
  <c r="G7814" i="5"/>
  <c r="G7812" i="5"/>
  <c r="G7811" i="5"/>
  <c r="G7810" i="5"/>
  <c r="G7807" i="5"/>
  <c r="G7802" i="5"/>
  <c r="G7798" i="5"/>
  <c r="G7797" i="5"/>
  <c r="G7795" i="5"/>
  <c r="G7782" i="5"/>
  <c r="G7781" i="5"/>
  <c r="G7776" i="5"/>
  <c r="G7775" i="5"/>
  <c r="G7769" i="5"/>
  <c r="G7768" i="5"/>
  <c r="G7763" i="5"/>
  <c r="G7762" i="5"/>
  <c r="G7757" i="5"/>
  <c r="G7755" i="5"/>
  <c r="G7754" i="5"/>
  <c r="G7752" i="5"/>
  <c r="G7748" i="5"/>
  <c r="G7742" i="5"/>
  <c r="G7741" i="5"/>
  <c r="G7736" i="5"/>
  <c r="G7734" i="5"/>
  <c r="G7720" i="5"/>
  <c r="G7719" i="5"/>
  <c r="G7718" i="5"/>
  <c r="G7711" i="5"/>
  <c r="G7701" i="5"/>
  <c r="G7700" i="5"/>
  <c r="G7699" i="5"/>
  <c r="G7697" i="5"/>
  <c r="G7695" i="5"/>
  <c r="G7690" i="5"/>
  <c r="G7688" i="5"/>
  <c r="G7684" i="5"/>
  <c r="G7683" i="5"/>
  <c r="G7681" i="5"/>
  <c r="G7670" i="5"/>
  <c r="G7667" i="5"/>
  <c r="G7659" i="5"/>
  <c r="G7657" i="5"/>
  <c r="G7652" i="5"/>
  <c r="G7649" i="5"/>
  <c r="G7648" i="5"/>
  <c r="G7642" i="5"/>
  <c r="G7637" i="5"/>
  <c r="G7636" i="5"/>
  <c r="G7634" i="5"/>
  <c r="G7630" i="5"/>
  <c r="G7629" i="5"/>
  <c r="G7628" i="5"/>
  <c r="G7626" i="5"/>
  <c r="G7623" i="5"/>
  <c r="G7621" i="5"/>
  <c r="G7616" i="5"/>
  <c r="G7615" i="5"/>
  <c r="G7602" i="5"/>
  <c r="G7601" i="5"/>
  <c r="G7594" i="5"/>
  <c r="G7592" i="5"/>
  <c r="G7589" i="5"/>
  <c r="G7588" i="5"/>
  <c r="G7583" i="5"/>
  <c r="G7570" i="5"/>
  <c r="G7569" i="5"/>
  <c r="G7562" i="5"/>
  <c r="G7561" i="5"/>
  <c r="G7560" i="5"/>
  <c r="G7556" i="5"/>
  <c r="G7554" i="5"/>
  <c r="G7549" i="5"/>
  <c r="G7547" i="5"/>
  <c r="G7545" i="5"/>
  <c r="G7544" i="5"/>
  <c r="G7541" i="5"/>
  <c r="G7535" i="5"/>
  <c r="G7527" i="5"/>
  <c r="G7525" i="5"/>
  <c r="G7523" i="5"/>
  <c r="G7521" i="5"/>
  <c r="G7517" i="5"/>
  <c r="G7515" i="5"/>
  <c r="G7513" i="5"/>
  <c r="G7512" i="5"/>
  <c r="G7509" i="5"/>
  <c r="G7508" i="5"/>
  <c r="G7507" i="5"/>
  <c r="G7505" i="5"/>
  <c r="G7504" i="5"/>
  <c r="G7503" i="5"/>
  <c r="G7500" i="5"/>
  <c r="G7497" i="5"/>
  <c r="G7496" i="5"/>
  <c r="G7492" i="5"/>
  <c r="G7491" i="5"/>
  <c r="G7490" i="5"/>
  <c r="G7489" i="5"/>
  <c r="G7484" i="5"/>
  <c r="G7483" i="5"/>
  <c r="G7477" i="5"/>
  <c r="G7468" i="5"/>
  <c r="G7463" i="5"/>
  <c r="G7459" i="5"/>
  <c r="G7458" i="5"/>
  <c r="G7456" i="5"/>
  <c r="G7453" i="5"/>
  <c r="G7452" i="5"/>
  <c r="G7448" i="5"/>
  <c r="G7443" i="5"/>
  <c r="G7441" i="5"/>
  <c r="G7440" i="5"/>
  <c r="G7435" i="5"/>
  <c r="G7434" i="5"/>
  <c r="G7432" i="5"/>
  <c r="G7430" i="5"/>
  <c r="G7429" i="5"/>
  <c r="G7428" i="5"/>
  <c r="G7426" i="5"/>
  <c r="G7424" i="5"/>
  <c r="G7418" i="5"/>
  <c r="G7412" i="5"/>
  <c r="G7407" i="5"/>
  <c r="G7400" i="5"/>
  <c r="G7399" i="5"/>
  <c r="G7398" i="5"/>
  <c r="G7394" i="5"/>
  <c r="G7381" i="5"/>
  <c r="G7380" i="5"/>
  <c r="G7379" i="5"/>
  <c r="G7377" i="5"/>
  <c r="G7376" i="5"/>
  <c r="G7375" i="5"/>
  <c r="G7373" i="5"/>
  <c r="G7372" i="5"/>
  <c r="G7371" i="5"/>
  <c r="G7369" i="5"/>
  <c r="G7368" i="5"/>
  <c r="G7362" i="5"/>
  <c r="G7356" i="5"/>
  <c r="G7355" i="5"/>
  <c r="G7352" i="5"/>
  <c r="G7345" i="5"/>
  <c r="G7343" i="5"/>
  <c r="G7340" i="5"/>
  <c r="G7339" i="5"/>
  <c r="G7338" i="5"/>
  <c r="G7337" i="5"/>
  <c r="G7334" i="5"/>
  <c r="G7329" i="5"/>
  <c r="G7326" i="5"/>
  <c r="G7323" i="5"/>
  <c r="G7322" i="5"/>
  <c r="G7321" i="5"/>
  <c r="G7320" i="5"/>
  <c r="G7319" i="5"/>
  <c r="G7314" i="5"/>
  <c r="G7308" i="5"/>
  <c r="G7307" i="5"/>
  <c r="G7304" i="5"/>
  <c r="G7301" i="5"/>
  <c r="G7300" i="5"/>
  <c r="G7296" i="5"/>
  <c r="G7295" i="5"/>
  <c r="G7292" i="5"/>
  <c r="G7288" i="5"/>
  <c r="G7284" i="5"/>
  <c r="G7281" i="5"/>
  <c r="G7280" i="5"/>
  <c r="G7277" i="5"/>
  <c r="G7275" i="5"/>
  <c r="G7272" i="5"/>
  <c r="G7271" i="5"/>
  <c r="G7268" i="5"/>
  <c r="G7265" i="5"/>
  <c r="G7264" i="5"/>
  <c r="G7261" i="5"/>
  <c r="G7259" i="5"/>
  <c r="G7255" i="5"/>
  <c r="G7252" i="5"/>
  <c r="G7244" i="5"/>
  <c r="G7243" i="5"/>
  <c r="G7240" i="5"/>
  <c r="G7237" i="5"/>
  <c r="G7235" i="5"/>
  <c r="G7231" i="5"/>
  <c r="G7224" i="5"/>
  <c r="G7220" i="5"/>
  <c r="G7217" i="5"/>
  <c r="G7216" i="5"/>
  <c r="G7213" i="5"/>
  <c r="G7208" i="5"/>
  <c r="G7207" i="5"/>
  <c r="G7204" i="5"/>
  <c r="G7201" i="5"/>
  <c r="G7200" i="5"/>
  <c r="G7197" i="5"/>
  <c r="G7195" i="5"/>
  <c r="G7191" i="5"/>
  <c r="G7185" i="5"/>
  <c r="G7183" i="5"/>
  <c r="G7181" i="5"/>
  <c r="G7180" i="5"/>
  <c r="G7179" i="5"/>
  <c r="G7175" i="5"/>
  <c r="G7172" i="5"/>
  <c r="G7168" i="5"/>
  <c r="G7164" i="5"/>
  <c r="G7161" i="5"/>
  <c r="G7159" i="5"/>
  <c r="G7153" i="5"/>
  <c r="G7152" i="5"/>
  <c r="G7151" i="5"/>
  <c r="G7149" i="5"/>
  <c r="G7148" i="5"/>
  <c r="G7147" i="5"/>
  <c r="G7140" i="5"/>
  <c r="G7133" i="5"/>
  <c r="G7131" i="5"/>
  <c r="G7129" i="5"/>
  <c r="G7127" i="5"/>
  <c r="G7121" i="5"/>
  <c r="G7119" i="5"/>
  <c r="G7117" i="5"/>
  <c r="G7116" i="5"/>
  <c r="G7115" i="5"/>
  <c r="G7112" i="5"/>
  <c r="G7107" i="5"/>
  <c r="G7105" i="5"/>
  <c r="G7103" i="5"/>
  <c r="G7097" i="5"/>
  <c r="G7096" i="5"/>
  <c r="G7095" i="5"/>
  <c r="G7093" i="5"/>
  <c r="G7092" i="5"/>
  <c r="G7091" i="5"/>
  <c r="G7089" i="5"/>
  <c r="G7087" i="5"/>
  <c r="G7084" i="5"/>
  <c r="G7080" i="5"/>
  <c r="G7075" i="5"/>
  <c r="G7073" i="5"/>
  <c r="G7071" i="5"/>
  <c r="G7065" i="5"/>
  <c r="G7064" i="5"/>
  <c r="G7063" i="5"/>
  <c r="G7061" i="5"/>
  <c r="G7060" i="5"/>
  <c r="G7059" i="5"/>
  <c r="G7055" i="5"/>
  <c r="G7052" i="5"/>
  <c r="G7048" i="5"/>
  <c r="G7043" i="5"/>
  <c r="G7041" i="5"/>
  <c r="G7039" i="5"/>
  <c r="G7033" i="5"/>
  <c r="G7032" i="5"/>
  <c r="G7031" i="5"/>
  <c r="G7029" i="5"/>
  <c r="G7028" i="5"/>
  <c r="G7027" i="5"/>
  <c r="G7025" i="5"/>
  <c r="G7023" i="5"/>
  <c r="G7020" i="5"/>
  <c r="G7016" i="5"/>
  <c r="G7011" i="5"/>
  <c r="G7009" i="5"/>
  <c r="G7007" i="5"/>
  <c r="G7001" i="5"/>
  <c r="G7000" i="5"/>
  <c r="G6999" i="5"/>
  <c r="G6997" i="5"/>
  <c r="G6996" i="5"/>
  <c r="G6995" i="5"/>
  <c r="G6991" i="5"/>
  <c r="G6988" i="5"/>
  <c r="G6979" i="5"/>
  <c r="G6977" i="5"/>
  <c r="G6975" i="5"/>
  <c r="G6969" i="5"/>
  <c r="G6964" i="5"/>
  <c r="G6961" i="5"/>
  <c r="G6959" i="5"/>
  <c r="G6953" i="5"/>
  <c r="G6952" i="5"/>
  <c r="G6951" i="5"/>
  <c r="G6949" i="5"/>
  <c r="G6948" i="5"/>
  <c r="G6947" i="5"/>
  <c r="G6943" i="5"/>
  <c r="G6940" i="5"/>
  <c r="G6931" i="5"/>
  <c r="G6929" i="5"/>
  <c r="G6927" i="5"/>
  <c r="G6921" i="5"/>
  <c r="G6920" i="5"/>
  <c r="G6919" i="5"/>
  <c r="G6917" i="5"/>
  <c r="G6916" i="5"/>
  <c r="G6915" i="5"/>
  <c r="G6911" i="5"/>
  <c r="G6908" i="5"/>
  <c r="G6904" i="5"/>
  <c r="G6899" i="5"/>
  <c r="G6897" i="5"/>
  <c r="G6895" i="5"/>
  <c r="G6889" i="5"/>
  <c r="G6887" i="5"/>
  <c r="G6884" i="5"/>
  <c r="G6883" i="5"/>
  <c r="G6881" i="5"/>
  <c r="G6876" i="5"/>
  <c r="G6872" i="5"/>
  <c r="G6867" i="5"/>
  <c r="G6865" i="5"/>
  <c r="G6863" i="5"/>
  <c r="G6857" i="5"/>
  <c r="G6855" i="5"/>
  <c r="G6852" i="5"/>
  <c r="G6851" i="5"/>
  <c r="G6844" i="5"/>
  <c r="G6840" i="5"/>
  <c r="G6835" i="5"/>
  <c r="G6833" i="5"/>
  <c r="G6831" i="5"/>
  <c r="G6825" i="5"/>
  <c r="G6824" i="5"/>
  <c r="G6823" i="5"/>
  <c r="G6821" i="5"/>
  <c r="G6820" i="5"/>
  <c r="G6819" i="5"/>
  <c r="G6812" i="5"/>
  <c r="G6805" i="5"/>
  <c r="G6804" i="5"/>
  <c r="G6801" i="5"/>
  <c r="G6799" i="5"/>
  <c r="G6793" i="5"/>
  <c r="G6791" i="5"/>
  <c r="G6788" i="5"/>
  <c r="G6787" i="5"/>
  <c r="G6785" i="5"/>
  <c r="G6780" i="5"/>
  <c r="G6776" i="5"/>
  <c r="G6771" i="5"/>
  <c r="G6769" i="5"/>
  <c r="G6767" i="5"/>
  <c r="G6761" i="5"/>
  <c r="G6760" i="5"/>
  <c r="G6759" i="5"/>
  <c r="G6757" i="5"/>
  <c r="G6756" i="5"/>
  <c r="G6751" i="5"/>
  <c r="G6748" i="5"/>
  <c r="G6744" i="5"/>
  <c r="G6741" i="5"/>
  <c r="G6737" i="5"/>
  <c r="G6735" i="5"/>
  <c r="G6729" i="5"/>
  <c r="G6727" i="5"/>
  <c r="G6725" i="5"/>
  <c r="G6724" i="5"/>
  <c r="G6723" i="5"/>
  <c r="G6721" i="5"/>
  <c r="G6716" i="5"/>
  <c r="G6712" i="5"/>
  <c r="G6705" i="5"/>
  <c r="G6703" i="5"/>
  <c r="G6697" i="5"/>
  <c r="G6695" i="5"/>
  <c r="G6693" i="5"/>
  <c r="G6692" i="5"/>
  <c r="G6687" i="5"/>
  <c r="G6684" i="5"/>
  <c r="G6677" i="5"/>
  <c r="G6676" i="5"/>
  <c r="G6673" i="5"/>
  <c r="G6671" i="5"/>
  <c r="G6665" i="5"/>
  <c r="G6663" i="5"/>
  <c r="G6660" i="5"/>
  <c r="G6659" i="5"/>
  <c r="G6657" i="5"/>
  <c r="G6652" i="5"/>
  <c r="G6647" i="5"/>
  <c r="G6646" i="5"/>
  <c r="G6645" i="5"/>
  <c r="G6633" i="5"/>
  <c r="G6632" i="5"/>
  <c r="G6627" i="5"/>
  <c r="G6624" i="5"/>
  <c r="G6620" i="5"/>
  <c r="G6608" i="5"/>
  <c r="G6607" i="5"/>
  <c r="G6596" i="5"/>
  <c r="G6593" i="5"/>
  <c r="G6591" i="5"/>
  <c r="G6587" i="5"/>
  <c r="E6580" i="5"/>
  <c r="G6579" i="5"/>
  <c r="G6578" i="5"/>
  <c r="G6577" i="5"/>
  <c r="G6574" i="5"/>
  <c r="G6569" i="5"/>
  <c r="G6568" i="5"/>
  <c r="G6559" i="5"/>
  <c r="G6557" i="5"/>
  <c r="G6552" i="5"/>
  <c r="E6550" i="5"/>
  <c r="E6549" i="5"/>
  <c r="G6546" i="5"/>
  <c r="G6545" i="5"/>
  <c r="G6540" i="5"/>
  <c r="E6540" i="5"/>
  <c r="E6539" i="5"/>
  <c r="E6535" i="5"/>
  <c r="G6521" i="5"/>
  <c r="G6517" i="5"/>
  <c r="G6511" i="5"/>
  <c r="E6494" i="5"/>
  <c r="G6469" i="5"/>
  <c r="G6467" i="5"/>
  <c r="G6458" i="5"/>
  <c r="G6454" i="5"/>
  <c r="G6444" i="5"/>
  <c r="G6442" i="5"/>
  <c r="G6434" i="5"/>
  <c r="G6423" i="5"/>
  <c r="G6411" i="5"/>
  <c r="G6408" i="5"/>
  <c r="G6403" i="5"/>
  <c r="E6393" i="5"/>
  <c r="E6392" i="5"/>
  <c r="G6391" i="5"/>
  <c r="G6389" i="5"/>
  <c r="G6376" i="5"/>
  <c r="G6375" i="5"/>
  <c r="G6368" i="5"/>
  <c r="G6366" i="5"/>
  <c r="G6365" i="5"/>
  <c r="E6363" i="5"/>
  <c r="G6360" i="5"/>
  <c r="G6359" i="5"/>
  <c r="G6358" i="5"/>
  <c r="G6355" i="5"/>
  <c r="G6353" i="5"/>
  <c r="G6349" i="5"/>
  <c r="G6343" i="5"/>
  <c r="G6342" i="5"/>
  <c r="G6341" i="5"/>
  <c r="E6340" i="5"/>
  <c r="G6336" i="5"/>
  <c r="G6332" i="5"/>
  <c r="G6331" i="5"/>
  <c r="G6330" i="5"/>
  <c r="G6329" i="5"/>
  <c r="E6329" i="5"/>
  <c r="G6328" i="5"/>
  <c r="G6325" i="5"/>
  <c r="E6323" i="5"/>
  <c r="E6322" i="5"/>
  <c r="G6321" i="5"/>
  <c r="G6319" i="5"/>
  <c r="G6316" i="5"/>
  <c r="G6313" i="5"/>
  <c r="G6311" i="5"/>
  <c r="G6309" i="5"/>
  <c r="G6308" i="5"/>
  <c r="G6307" i="5"/>
  <c r="G6306" i="5"/>
  <c r="G6304" i="5"/>
  <c r="G6301" i="5"/>
  <c r="G6299" i="5"/>
  <c r="E6298" i="5"/>
  <c r="G6296" i="5"/>
  <c r="G6293" i="5"/>
  <c r="G6289" i="5"/>
  <c r="G6287" i="5"/>
  <c r="G6285" i="5"/>
  <c r="G6284" i="5"/>
  <c r="G6283" i="5"/>
  <c r="G6280" i="5"/>
  <c r="G6272" i="5"/>
  <c r="G6269" i="5"/>
  <c r="G6267" i="5"/>
  <c r="G6265" i="5"/>
  <c r="G6264" i="5"/>
  <c r="G6263" i="5"/>
  <c r="G6260" i="5"/>
  <c r="G6257" i="5"/>
  <c r="G6255" i="5"/>
  <c r="G6253" i="5"/>
  <c r="G6252" i="5"/>
  <c r="G6251" i="5"/>
  <c r="G6248" i="5"/>
  <c r="G6240" i="5"/>
  <c r="G6235" i="5"/>
  <c r="G6232" i="5"/>
  <c r="G6227" i="5"/>
  <c r="G6224" i="5"/>
  <c r="G6219" i="5"/>
  <c r="G6217" i="5"/>
  <c r="G6216" i="5"/>
  <c r="G6215" i="5"/>
  <c r="G6212" i="5"/>
  <c r="G6202" i="5"/>
  <c r="G6200" i="5"/>
  <c r="G6197" i="5"/>
  <c r="G6195" i="5"/>
  <c r="G6193" i="5"/>
  <c r="G6191" i="5"/>
  <c r="G6188" i="5"/>
  <c r="G6186" i="5"/>
  <c r="H6186" i="5" s="1"/>
  <c r="E1930" i="8" s="1"/>
  <c r="G6185" i="5"/>
  <c r="G6183" i="5"/>
  <c r="G6182" i="5"/>
  <c r="G6180" i="5"/>
  <c r="G6178" i="5"/>
  <c r="G6177" i="5"/>
  <c r="G6175" i="5"/>
  <c r="G6173" i="5"/>
  <c r="G6171" i="5"/>
  <c r="G6166" i="5"/>
  <c r="H6166" i="5" s="1"/>
  <c r="E1922" i="8" s="1"/>
  <c r="G6165" i="5"/>
  <c r="G6164" i="5"/>
  <c r="G6163" i="5"/>
  <c r="G6161" i="5"/>
  <c r="G6159" i="5"/>
  <c r="G6156" i="5"/>
  <c r="G6153" i="5"/>
  <c r="G6151" i="5"/>
  <c r="G6148" i="5"/>
  <c r="G6133" i="5"/>
  <c r="G6129" i="5"/>
  <c r="G6128" i="5"/>
  <c r="G6127" i="5"/>
  <c r="G6124" i="5"/>
  <c r="G6121" i="5"/>
  <c r="G6119" i="5"/>
  <c r="G6116" i="5"/>
  <c r="G6106" i="5"/>
  <c r="G6104" i="5"/>
  <c r="G6101" i="5"/>
  <c r="G6099" i="5"/>
  <c r="G6097" i="5"/>
  <c r="G6095" i="5"/>
  <c r="G6092" i="5"/>
  <c r="G6089" i="5"/>
  <c r="G6087" i="5"/>
  <c r="G6084" i="5"/>
  <c r="G6069" i="5"/>
  <c r="G6065" i="5"/>
  <c r="G6064" i="5"/>
  <c r="G6063" i="5"/>
  <c r="G6060" i="5"/>
  <c r="G6057" i="5"/>
  <c r="G6055" i="5"/>
  <c r="G6052" i="5"/>
  <c r="G6042" i="5"/>
  <c r="G6040" i="5"/>
  <c r="G6033" i="5"/>
  <c r="G6031" i="5"/>
  <c r="G6028" i="5"/>
  <c r="G6025" i="5"/>
  <c r="G6023" i="5"/>
  <c r="G6021" i="5"/>
  <c r="G6020" i="5"/>
  <c r="G6019" i="5"/>
  <c r="G6017" i="5"/>
  <c r="G6016" i="5"/>
  <c r="G6015" i="5"/>
  <c r="G6012" i="5"/>
  <c r="G6001" i="5"/>
  <c r="G5999" i="5"/>
  <c r="G5996" i="5"/>
  <c r="G5993" i="5"/>
  <c r="G5991" i="5"/>
  <c r="G5989" i="5"/>
  <c r="G5988" i="5"/>
  <c r="G5987" i="5"/>
  <c r="G5985" i="5"/>
  <c r="G5984" i="5"/>
  <c r="G5983" i="5"/>
  <c r="G5980" i="5"/>
  <c r="G5969" i="5"/>
  <c r="G5967" i="5"/>
  <c r="G5964" i="5"/>
  <c r="G5961" i="5"/>
  <c r="G5959" i="5"/>
  <c r="G5957" i="5"/>
  <c r="G5956" i="5"/>
  <c r="G5953" i="5"/>
  <c r="G5951" i="5"/>
  <c r="G5948" i="5"/>
  <c r="G5945" i="5"/>
  <c r="G5939" i="5"/>
  <c r="G5937" i="5"/>
  <c r="G5936" i="5"/>
  <c r="G5933" i="5"/>
  <c r="G5909" i="5"/>
  <c r="G5905" i="5"/>
  <c r="G5903" i="5"/>
  <c r="G5902" i="5"/>
  <c r="G5900" i="5"/>
  <c r="G5899" i="5"/>
  <c r="G5897" i="5"/>
  <c r="G5895" i="5"/>
  <c r="G5894" i="5"/>
  <c r="H5894" i="5" s="1"/>
  <c r="E1818" i="8" s="1"/>
  <c r="G5892" i="5"/>
  <c r="G5889" i="5"/>
  <c r="G5874" i="5"/>
  <c r="H5874" i="5" s="1"/>
  <c r="G5873" i="5"/>
  <c r="G5872" i="5"/>
  <c r="G5868" i="5"/>
  <c r="G5867" i="5"/>
  <c r="G5849" i="5"/>
  <c r="G5847" i="5"/>
  <c r="G5844" i="5"/>
  <c r="G5843" i="5"/>
  <c r="G5840" i="5"/>
  <c r="G5829" i="5"/>
  <c r="G5823" i="5"/>
  <c r="G5816" i="5"/>
  <c r="G5815" i="5"/>
  <c r="G5812" i="5"/>
  <c r="G5805" i="5"/>
  <c r="G5803" i="5"/>
  <c r="G5801" i="5"/>
  <c r="G5800" i="5"/>
  <c r="G5789" i="5"/>
  <c r="G5787" i="5"/>
  <c r="G5784" i="5"/>
  <c r="G5783" i="5"/>
  <c r="G5780" i="5"/>
  <c r="G5773" i="5"/>
  <c r="G5771" i="5"/>
  <c r="G5769" i="5"/>
  <c r="G5768" i="5"/>
  <c r="G5766" i="5"/>
  <c r="G5763" i="5"/>
  <c r="G5762" i="5"/>
  <c r="G5761" i="5"/>
  <c r="G5760" i="5"/>
  <c r="G5756" i="5"/>
  <c r="G5755" i="5"/>
  <c r="G5754" i="5"/>
  <c r="G5750" i="5"/>
  <c r="G5749" i="5"/>
  <c r="G5748" i="5"/>
  <c r="G5745" i="5"/>
  <c r="G5744" i="5"/>
  <c r="G5742" i="5"/>
  <c r="G5739" i="5"/>
  <c r="G5738" i="5"/>
  <c r="G5736" i="5"/>
  <c r="G5732" i="5"/>
  <c r="G5731" i="5"/>
  <c r="G5730" i="5"/>
  <c r="G5726" i="5"/>
  <c r="G5725" i="5"/>
  <c r="G5724" i="5"/>
  <c r="G5721" i="5"/>
  <c r="G5720" i="5"/>
  <c r="G5718" i="5"/>
  <c r="G5715" i="5"/>
  <c r="G5714" i="5"/>
  <c r="G5712" i="5"/>
  <c r="G5708" i="5"/>
  <c r="G5707" i="5"/>
  <c r="G5706" i="5"/>
  <c r="G5702" i="5"/>
  <c r="G5701" i="5"/>
  <c r="G5700" i="5"/>
  <c r="G5697" i="5"/>
  <c r="G5696" i="5"/>
  <c r="G5694" i="5"/>
  <c r="G5691" i="5"/>
  <c r="G5690" i="5"/>
  <c r="G5688" i="5"/>
  <c r="G5684" i="5"/>
  <c r="G5683" i="5"/>
  <c r="G5682" i="5"/>
  <c r="G5678" i="5"/>
  <c r="G5677" i="5"/>
  <c r="G5676" i="5"/>
  <c r="G5673" i="5"/>
  <c r="G5672" i="5"/>
  <c r="G5670" i="5"/>
  <c r="G5667" i="5"/>
  <c r="G5666" i="5"/>
  <c r="G5664" i="5"/>
  <c r="G5660" i="5"/>
  <c r="G5659" i="5"/>
  <c r="G5658" i="5"/>
  <c r="G5654" i="5"/>
  <c r="G5653" i="5"/>
  <c r="G5652" i="5"/>
  <c r="G5649" i="5"/>
  <c r="G5648" i="5"/>
  <c r="G5646" i="5"/>
  <c r="H5646" i="5" s="1"/>
  <c r="G5645" i="5"/>
  <c r="G5643" i="5"/>
  <c r="G5628" i="5"/>
  <c r="G5626" i="5"/>
  <c r="G5621" i="5"/>
  <c r="G5620" i="5"/>
  <c r="G5616" i="5"/>
  <c r="G5614" i="5"/>
  <c r="G5611" i="5"/>
  <c r="G5609" i="5"/>
  <c r="G5604" i="5"/>
  <c r="G5603" i="5"/>
  <c r="G5598" i="5"/>
  <c r="E5588" i="5"/>
  <c r="E5587" i="5"/>
  <c r="E5586" i="5"/>
  <c r="E5585" i="5"/>
  <c r="E5584" i="5"/>
  <c r="E5583" i="5"/>
  <c r="E5582" i="5"/>
  <c r="E5578" i="5"/>
  <c r="E5577" i="5"/>
  <c r="E5576" i="5"/>
  <c r="E5575" i="5"/>
  <c r="E5574" i="5"/>
  <c r="E5573" i="5"/>
  <c r="E5572" i="5"/>
  <c r="G5571" i="5"/>
  <c r="G5570" i="5"/>
  <c r="E5568" i="5"/>
  <c r="E5567" i="5"/>
  <c r="G5563" i="5"/>
  <c r="G5561" i="5"/>
  <c r="G5554" i="5"/>
  <c r="G5552" i="5"/>
  <c r="G5548" i="5"/>
  <c r="G5545" i="5"/>
  <c r="G5543" i="5"/>
  <c r="G5540" i="5"/>
  <c r="G5539" i="5"/>
  <c r="G5531" i="5"/>
  <c r="G5529" i="5"/>
  <c r="G5525" i="5"/>
  <c r="G5524" i="5"/>
  <c r="G5522" i="5"/>
  <c r="E5520" i="5"/>
  <c r="E5519" i="5"/>
  <c r="G5517" i="5"/>
  <c r="G5513" i="5"/>
  <c r="G5512" i="5"/>
  <c r="G5510" i="5"/>
  <c r="G5505" i="5"/>
  <c r="G5504" i="5"/>
  <c r="G5503" i="5"/>
  <c r="G5492" i="5"/>
  <c r="G5491" i="5"/>
  <c r="G5490" i="5"/>
  <c r="G5489" i="5"/>
  <c r="G5484" i="5"/>
  <c r="G5468" i="5"/>
  <c r="G5467" i="5"/>
  <c r="G5465" i="5"/>
  <c r="G5462" i="5"/>
  <c r="G5461" i="5"/>
  <c r="G5460" i="5"/>
  <c r="G5459" i="5"/>
  <c r="G5455" i="5"/>
  <c r="G5454" i="5"/>
  <c r="G5453" i="5"/>
  <c r="G5442" i="5"/>
  <c r="G5441" i="5"/>
  <c r="G5440" i="5"/>
  <c r="G5436" i="5"/>
  <c r="G5434" i="5"/>
  <c r="G5431" i="5"/>
  <c r="G5428" i="5"/>
  <c r="G5422" i="5"/>
  <c r="G5420" i="5"/>
  <c r="G5415" i="5"/>
  <c r="G5413" i="5"/>
  <c r="G5401" i="5"/>
  <c r="G5400" i="5"/>
  <c r="G5399" i="5"/>
  <c r="E5398" i="5"/>
  <c r="E5397" i="5"/>
  <c r="E5396" i="5"/>
  <c r="E5395" i="5"/>
  <c r="E5394" i="5"/>
  <c r="E5393" i="5"/>
  <c r="E5392" i="5"/>
  <c r="E5391" i="5"/>
  <c r="E5390" i="5"/>
  <c r="G5389" i="5"/>
  <c r="G5387" i="5"/>
  <c r="G5382" i="5"/>
  <c r="G5380" i="5"/>
  <c r="G5377" i="5"/>
  <c r="G5376" i="5"/>
  <c r="G5375" i="5"/>
  <c r="G5374" i="5"/>
  <c r="G5370" i="5"/>
  <c r="G5369" i="5"/>
  <c r="G5368" i="5"/>
  <c r="G5362" i="5"/>
  <c r="G5359" i="5"/>
  <c r="G5357" i="5"/>
  <c r="G5354" i="5"/>
  <c r="G5352" i="5"/>
  <c r="G5351" i="5"/>
  <c r="G5350" i="5"/>
  <c r="G5341" i="5"/>
  <c r="E5340" i="5"/>
  <c r="E5339" i="5"/>
  <c r="E5338" i="5"/>
  <c r="G5337" i="5"/>
  <c r="E5336" i="5"/>
  <c r="E5335" i="5"/>
  <c r="E5334" i="5"/>
  <c r="E5333" i="5"/>
  <c r="E5332" i="5"/>
  <c r="E5331" i="5"/>
  <c r="G5327" i="5"/>
  <c r="G5326" i="5"/>
  <c r="E5325" i="5"/>
  <c r="E5324" i="5"/>
  <c r="E5323" i="5"/>
  <c r="E5321" i="5"/>
  <c r="E5320" i="5"/>
  <c r="E5319" i="5"/>
  <c r="E5318" i="5"/>
  <c r="E5317" i="5"/>
  <c r="E5316" i="5"/>
  <c r="E5312" i="5"/>
  <c r="E5311" i="5"/>
  <c r="E5310" i="5"/>
  <c r="G5309" i="5"/>
  <c r="E5308" i="5"/>
  <c r="G5306" i="5"/>
  <c r="E5304" i="5"/>
  <c r="E5303" i="5"/>
  <c r="E5302" i="5"/>
  <c r="G5301" i="5"/>
  <c r="E5300" i="5"/>
  <c r="G5299" i="5"/>
  <c r="G5298" i="5"/>
  <c r="G5291" i="5"/>
  <c r="G5289" i="5"/>
  <c r="E5286" i="5"/>
  <c r="E5285" i="5"/>
  <c r="G5284" i="5"/>
  <c r="G5283" i="5"/>
  <c r="G5282" i="5"/>
  <c r="G5281" i="5"/>
  <c r="E5280" i="5"/>
  <c r="E5279" i="5"/>
  <c r="E5278" i="5"/>
  <c r="E5276" i="5"/>
  <c r="G5275" i="5"/>
  <c r="G5273" i="5"/>
  <c r="G5270" i="5"/>
  <c r="G5269" i="5"/>
  <c r="G5268" i="5"/>
  <c r="G5267" i="5"/>
  <c r="E5266" i="5"/>
  <c r="E5265" i="5"/>
  <c r="E5264" i="5"/>
  <c r="E5262" i="5"/>
  <c r="G5261" i="5"/>
  <c r="G5259" i="5"/>
  <c r="E5258" i="5"/>
  <c r="E5257" i="5"/>
  <c r="E5256" i="5"/>
  <c r="E5254" i="5"/>
  <c r="G5254" i="5" s="1"/>
  <c r="E5250" i="5"/>
  <c r="E5249" i="5"/>
  <c r="E5248" i="5"/>
  <c r="G5247" i="5"/>
  <c r="E5246" i="5"/>
  <c r="E5242" i="5"/>
  <c r="E5241" i="5"/>
  <c r="E5240" i="5"/>
  <c r="G5239" i="5"/>
  <c r="E5238" i="5"/>
  <c r="G5236" i="5"/>
  <c r="G5235" i="5"/>
  <c r="G5234" i="5"/>
  <c r="G5230" i="5"/>
  <c r="G5227" i="5"/>
  <c r="G5225" i="5"/>
  <c r="E5224" i="5"/>
  <c r="E5223" i="5"/>
  <c r="E5222" i="5"/>
  <c r="E5221" i="5"/>
  <c r="G5220" i="5"/>
  <c r="G5219" i="5"/>
  <c r="G5218" i="5"/>
  <c r="E5217" i="5"/>
  <c r="E5216" i="5"/>
  <c r="E5215" i="5"/>
  <c r="E5214" i="5"/>
  <c r="G5213" i="5"/>
  <c r="G5212" i="5"/>
  <c r="G5211" i="5"/>
  <c r="E5208" i="5"/>
  <c r="E5207" i="5"/>
  <c r="G5203" i="5"/>
  <c r="G5202" i="5"/>
  <c r="G5197" i="5"/>
  <c r="G5195" i="5"/>
  <c r="G5192" i="5"/>
  <c r="G5191" i="5"/>
  <c r="G5190" i="5"/>
  <c r="G5189" i="5"/>
  <c r="G5185" i="5"/>
  <c r="G5184" i="5"/>
  <c r="G5183" i="5"/>
  <c r="G5180" i="5"/>
  <c r="G5179" i="5"/>
  <c r="G5178" i="5"/>
  <c r="G5177" i="5"/>
  <c r="E5176" i="5"/>
  <c r="G5171" i="5"/>
  <c r="G5170" i="5"/>
  <c r="G5169" i="5"/>
  <c r="G5165" i="5"/>
  <c r="G5164" i="5"/>
  <c r="G5163" i="5"/>
  <c r="G5162" i="5"/>
  <c r="G5161" i="5"/>
  <c r="E5160" i="5"/>
  <c r="G5160" i="5" s="1"/>
  <c r="G5156" i="5"/>
  <c r="G5151" i="5"/>
  <c r="G5149" i="5"/>
  <c r="G5148" i="5"/>
  <c r="G5147" i="5"/>
  <c r="G5142" i="5"/>
  <c r="G5138" i="5"/>
  <c r="G5137" i="5"/>
  <c r="G5136" i="5"/>
  <c r="G5135" i="5"/>
  <c r="G5133" i="5"/>
  <c r="G5132" i="5"/>
  <c r="G5131" i="5"/>
  <c r="G5130" i="5"/>
  <c r="G5126" i="5"/>
  <c r="G5125" i="5"/>
  <c r="G5124" i="5"/>
  <c r="G5113" i="5"/>
  <c r="G5112" i="5"/>
  <c r="G5111" i="5"/>
  <c r="E5110" i="5"/>
  <c r="E5109" i="5"/>
  <c r="E5108" i="5"/>
  <c r="E5107" i="5"/>
  <c r="G5106" i="5"/>
  <c r="G5105" i="5"/>
  <c r="G5104" i="5"/>
  <c r="E5103" i="5"/>
  <c r="E5102" i="5"/>
  <c r="G5099" i="5"/>
  <c r="E5097" i="5"/>
  <c r="E5096" i="5"/>
  <c r="G5094" i="5"/>
  <c r="G5093" i="5"/>
  <c r="G5092" i="5"/>
  <c r="E5091" i="5"/>
  <c r="E5090" i="5"/>
  <c r="G5088" i="5"/>
  <c r="E5085" i="5"/>
  <c r="E5084" i="5"/>
  <c r="G5082" i="5"/>
  <c r="G5081" i="5"/>
  <c r="G5080" i="5"/>
  <c r="E5074" i="5"/>
  <c r="E5073" i="5"/>
  <c r="G5072" i="5"/>
  <c r="G5070" i="5"/>
  <c r="G5069" i="5"/>
  <c r="G5068" i="5"/>
  <c r="E5067" i="5"/>
  <c r="E5066" i="5"/>
  <c r="G5058" i="5"/>
  <c r="G5056" i="5"/>
  <c r="G5055" i="5"/>
  <c r="G5054" i="5"/>
  <c r="G5051" i="5"/>
  <c r="G5050" i="5"/>
  <c r="G5049" i="5"/>
  <c r="G5048" i="5"/>
  <c r="G5047" i="5"/>
  <c r="G5044" i="5"/>
  <c r="G5042" i="5"/>
  <c r="G5039" i="5"/>
  <c r="G5037" i="5"/>
  <c r="G5036" i="5"/>
  <c r="G5035" i="5"/>
  <c r="G5025" i="5"/>
  <c r="G5024" i="5"/>
  <c r="G5023" i="5"/>
  <c r="G5022" i="5"/>
  <c r="G5021" i="5"/>
  <c r="G5016" i="5"/>
  <c r="G5014" i="5"/>
  <c r="G5009" i="5"/>
  <c r="G5008" i="5"/>
  <c r="G5007" i="5"/>
  <c r="G5000" i="5"/>
  <c r="G4998" i="5"/>
  <c r="G4992" i="5"/>
  <c r="G4991" i="5"/>
  <c r="G4990" i="5"/>
  <c r="G4989" i="5"/>
  <c r="G4988" i="5"/>
  <c r="G4987" i="5"/>
  <c r="G4985" i="5"/>
  <c r="G4982" i="5"/>
  <c r="G4980" i="5"/>
  <c r="G4978" i="5"/>
  <c r="G4977" i="5"/>
  <c r="G4973" i="5"/>
  <c r="G4971" i="5"/>
  <c r="G4970" i="5"/>
  <c r="G4966" i="5"/>
  <c r="G4964" i="5"/>
  <c r="G4963" i="5"/>
  <c r="G4956" i="5"/>
  <c r="G4953" i="5"/>
  <c r="G4946" i="5"/>
  <c r="G4945" i="5"/>
  <c r="G4941" i="5"/>
  <c r="G4939" i="5"/>
  <c r="G4938" i="5"/>
  <c r="G4937" i="5"/>
  <c r="G4934" i="5"/>
  <c r="G4933" i="5"/>
  <c r="G4932" i="5"/>
  <c r="G4931" i="5"/>
  <c r="G4930" i="5"/>
  <c r="G4926" i="5"/>
  <c r="G4925" i="5"/>
  <c r="G4924" i="5"/>
  <c r="G4923" i="5"/>
  <c r="G4921" i="5"/>
  <c r="G4920" i="5"/>
  <c r="G4919" i="5"/>
  <c r="G4918" i="5"/>
  <c r="G4916" i="5"/>
  <c r="G4915" i="5"/>
  <c r="G4914" i="5"/>
  <c r="G4913" i="5"/>
  <c r="G4911" i="5"/>
  <c r="G4910" i="5"/>
  <c r="G4909" i="5"/>
  <c r="E4905" i="5"/>
  <c r="E4904" i="5"/>
  <c r="E4902" i="5"/>
  <c r="G4900" i="5"/>
  <c r="E4895" i="5"/>
  <c r="E4894" i="5"/>
  <c r="E4892" i="5"/>
  <c r="G4891" i="5"/>
  <c r="G4887" i="5"/>
  <c r="G4886" i="5"/>
  <c r="G4880" i="5"/>
  <c r="G4878" i="5"/>
  <c r="E4878" i="5"/>
  <c r="G4874" i="5"/>
  <c r="G4873" i="5"/>
  <c r="G4869" i="5"/>
  <c r="G4868" i="5"/>
  <c r="G4866" i="5"/>
  <c r="G4862" i="5"/>
  <c r="G4860" i="5"/>
  <c r="G4857" i="5"/>
  <c r="G4853" i="5"/>
  <c r="G4850" i="5"/>
  <c r="G4849" i="5"/>
  <c r="G4846" i="5"/>
  <c r="G4840" i="5"/>
  <c r="G4838" i="5"/>
  <c r="E4835" i="5"/>
  <c r="G4834" i="5"/>
  <c r="G4833" i="5"/>
  <c r="G4832" i="5"/>
  <c r="G4831" i="5"/>
  <c r="E4829" i="5"/>
  <c r="E4828" i="5"/>
  <c r="G4826" i="5"/>
  <c r="G4825" i="5"/>
  <c r="G4823" i="5"/>
  <c r="G4822" i="5"/>
  <c r="G4815" i="5"/>
  <c r="G4814" i="5"/>
  <c r="G4813" i="5"/>
  <c r="G4812" i="5"/>
  <c r="G4811" i="5"/>
  <c r="E4809" i="5"/>
  <c r="G4808" i="5"/>
  <c r="G4804" i="5"/>
  <c r="G4803" i="5"/>
  <c r="G4795" i="5"/>
  <c r="G4794" i="5"/>
  <c r="G4792" i="5"/>
  <c r="G4790" i="5"/>
  <c r="G4788" i="5"/>
  <c r="G4785" i="5"/>
  <c r="G4780" i="5"/>
  <c r="G4779" i="5"/>
  <c r="G4778" i="5"/>
  <c r="G4769" i="5"/>
  <c r="G4768" i="5"/>
  <c r="G4762" i="5"/>
  <c r="G4761" i="5"/>
  <c r="G4760" i="5"/>
  <c r="G4754" i="5"/>
  <c r="G4747" i="5"/>
  <c r="G4746" i="5"/>
  <c r="G4744" i="5"/>
  <c r="G4742" i="5"/>
  <c r="G4737" i="5"/>
  <c r="G4736" i="5"/>
  <c r="G4735" i="5"/>
  <c r="E4734" i="5"/>
  <c r="E4733" i="5"/>
  <c r="G4726" i="5"/>
  <c r="G4725" i="5"/>
  <c r="G4724" i="5"/>
  <c r="G4721" i="5"/>
  <c r="G4717" i="5"/>
  <c r="G4716" i="5"/>
  <c r="E4716" i="5"/>
  <c r="G4704" i="5"/>
  <c r="G4702" i="5"/>
  <c r="E4701" i="5"/>
  <c r="E4700" i="5"/>
  <c r="E4699" i="5"/>
  <c r="E4698" i="5"/>
  <c r="E4697" i="5"/>
  <c r="G4696" i="5"/>
  <c r="G4695" i="5"/>
  <c r="G4694" i="5"/>
  <c r="G4692" i="5"/>
  <c r="E4691" i="5"/>
  <c r="E4690" i="5"/>
  <c r="G4676" i="5"/>
  <c r="E4674" i="5"/>
  <c r="E4673" i="5"/>
  <c r="E4672" i="5"/>
  <c r="E4671" i="5"/>
  <c r="E4670" i="5"/>
  <c r="E4669" i="5"/>
  <c r="E4668" i="5"/>
  <c r="E4667" i="5"/>
  <c r="E4666" i="5"/>
  <c r="G4665" i="5"/>
  <c r="G4664" i="5"/>
  <c r="G4663" i="5"/>
  <c r="G4653" i="5"/>
  <c r="G4652" i="5"/>
  <c r="E4648" i="5"/>
  <c r="G4647" i="5"/>
  <c r="G4646" i="5"/>
  <c r="G4645" i="5"/>
  <c r="G4641" i="5"/>
  <c r="G4640" i="5"/>
  <c r="E4639" i="5"/>
  <c r="G4634" i="5"/>
  <c r="G4633" i="5"/>
  <c r="G4620" i="5"/>
  <c r="G4614" i="5"/>
  <c r="G4613" i="5"/>
  <c r="G4608" i="5"/>
  <c r="G4600" i="5"/>
  <c r="G4599" i="5"/>
  <c r="G4598" i="5"/>
  <c r="G4597" i="5"/>
  <c r="E4595" i="5"/>
  <c r="G4593" i="5"/>
  <c r="G4592" i="5"/>
  <c r="G4590" i="5"/>
  <c r="G4589" i="5"/>
  <c r="E4586" i="5"/>
  <c r="E4581" i="5"/>
  <c r="G4573" i="5"/>
  <c r="G4572" i="5"/>
  <c r="G4571" i="5"/>
  <c r="G4567" i="5"/>
  <c r="G4566" i="5"/>
  <c r="E4561" i="5"/>
  <c r="G4558" i="5"/>
  <c r="G4556" i="5"/>
  <c r="E4546" i="5"/>
  <c r="G4525" i="5"/>
  <c r="G4524" i="5"/>
  <c r="G4515" i="5"/>
  <c r="G4513" i="5"/>
  <c r="G4505" i="5"/>
  <c r="G4504" i="5"/>
  <c r="G4503" i="5"/>
  <c r="E4502" i="5"/>
  <c r="E4500" i="5"/>
  <c r="E4499" i="5"/>
  <c r="E4498" i="5"/>
  <c r="G4497" i="5"/>
  <c r="G4495" i="5"/>
  <c r="E4494" i="5"/>
  <c r="E4492" i="5"/>
  <c r="E4491" i="5"/>
  <c r="E4490" i="5"/>
  <c r="G4489" i="5"/>
  <c r="G4488" i="5"/>
  <c r="G4478" i="5"/>
  <c r="G4472" i="5"/>
  <c r="G4470" i="5"/>
  <c r="G4469" i="5"/>
  <c r="G4468" i="5"/>
  <c r="G4460" i="5"/>
  <c r="G4459" i="5"/>
  <c r="G4454" i="5"/>
  <c r="G4452" i="5"/>
  <c r="G4450" i="5"/>
  <c r="G4443" i="5"/>
  <c r="G4442" i="5"/>
  <c r="G4441" i="5"/>
  <c r="G4432" i="5"/>
  <c r="G4430" i="5"/>
  <c r="E4429" i="5"/>
  <c r="E4428" i="5"/>
  <c r="G4427" i="5"/>
  <c r="G4425" i="5"/>
  <c r="G4423" i="5"/>
  <c r="E4422" i="5"/>
  <c r="E4421" i="5"/>
  <c r="E4395" i="5"/>
  <c r="E4394" i="5"/>
  <c r="G4383" i="5"/>
  <c r="E4378" i="5"/>
  <c r="E4377" i="5"/>
  <c r="E4376" i="5"/>
  <c r="G4375" i="5"/>
  <c r="G4373" i="5"/>
  <c r="G4363" i="5"/>
  <c r="G4338" i="5"/>
  <c r="G4336" i="5"/>
  <c r="G4334" i="5"/>
  <c r="E4331" i="5"/>
  <c r="G4329" i="5"/>
  <c r="G4309" i="5"/>
  <c r="G4302" i="5"/>
  <c r="G4300" i="5"/>
  <c r="E4298" i="5"/>
  <c r="G4297" i="5"/>
  <c r="G4296" i="5"/>
  <c r="G4294" i="5"/>
  <c r="G4280" i="5"/>
  <c r="G4277" i="5"/>
  <c r="G4275" i="5"/>
  <c r="G4270" i="5"/>
  <c r="G4269" i="5"/>
  <c r="E4268" i="5"/>
  <c r="G4262" i="5"/>
  <c r="G4261" i="5"/>
  <c r="E4260" i="5"/>
  <c r="E4251" i="5"/>
  <c r="G4247" i="5"/>
  <c r="G4245" i="5"/>
  <c r="G4242" i="5"/>
  <c r="G4226" i="5"/>
  <c r="G4224" i="5"/>
  <c r="G4218" i="5"/>
  <c r="G4212" i="5"/>
  <c r="G4210" i="5"/>
  <c r="E4209" i="5"/>
  <c r="G4208" i="5"/>
  <c r="G4206" i="5"/>
  <c r="G4204" i="5"/>
  <c r="G4202" i="5"/>
  <c r="G4200" i="5"/>
  <c r="G4194" i="5"/>
  <c r="G4188" i="5"/>
  <c r="G4183" i="5"/>
  <c r="G4181" i="5"/>
  <c r="G4174" i="5"/>
  <c r="G4172" i="5"/>
  <c r="G4165" i="5"/>
  <c r="G4163" i="5"/>
  <c r="G4156" i="5"/>
  <c r="G4154" i="5"/>
  <c r="G4147" i="5"/>
  <c r="G4145" i="5"/>
  <c r="G4137" i="5"/>
  <c r="G4129" i="5"/>
  <c r="G4127" i="5"/>
  <c r="G4120" i="5"/>
  <c r="G4118" i="5"/>
  <c r="G4111" i="5"/>
  <c r="G4109" i="5"/>
  <c r="G4106" i="5"/>
  <c r="G4103" i="5"/>
  <c r="G4101" i="5"/>
  <c r="E4099" i="5"/>
  <c r="G4097" i="5"/>
  <c r="G4085" i="5"/>
  <c r="G4084" i="5"/>
  <c r="G4083" i="5"/>
  <c r="G4082" i="5"/>
  <c r="E4080" i="5"/>
  <c r="E4079" i="5"/>
  <c r="G4073" i="5"/>
  <c r="G4071" i="5"/>
  <c r="G4066" i="5"/>
  <c r="G4057" i="5"/>
  <c r="G4048" i="5"/>
  <c r="G4046" i="5"/>
  <c r="G4040" i="5"/>
  <c r="G4039" i="5"/>
  <c r="G4038" i="5"/>
  <c r="G4035" i="5"/>
  <c r="G4034" i="5"/>
  <c r="G4031" i="5"/>
  <c r="G4029" i="5"/>
  <c r="E4028" i="5"/>
  <c r="E4027" i="5"/>
  <c r="E4026" i="5"/>
  <c r="G4025" i="5"/>
  <c r="E4025" i="5"/>
  <c r="G4024" i="5"/>
  <c r="G4022" i="5"/>
  <c r="G4017" i="5"/>
  <c r="G4012" i="5"/>
  <c r="G4010" i="5"/>
  <c r="G4006" i="5"/>
  <c r="G4005" i="5"/>
  <c r="G4004" i="5"/>
  <c r="G3988" i="5"/>
  <c r="G3986" i="5"/>
  <c r="G3983" i="5"/>
  <c r="G3981" i="5"/>
  <c r="G3980" i="5"/>
  <c r="G3979" i="5"/>
  <c r="G3978" i="5"/>
  <c r="G3966" i="5"/>
  <c r="G3964" i="5"/>
  <c r="G3962" i="5"/>
  <c r="E3961" i="5"/>
  <c r="E3960" i="5"/>
  <c r="G3953" i="5"/>
  <c r="G3947" i="5"/>
  <c r="G3946" i="5"/>
  <c r="G3944" i="5"/>
  <c r="E3934" i="5"/>
  <c r="E3933" i="5"/>
  <c r="E3932" i="5"/>
  <c r="E3931" i="5"/>
  <c r="E3930" i="5"/>
  <c r="E3929" i="5"/>
  <c r="E3928" i="5"/>
  <c r="G3927" i="5"/>
  <c r="G3926" i="5"/>
  <c r="G3925" i="5"/>
  <c r="G3924" i="5"/>
  <c r="G3923" i="5"/>
  <c r="G3919" i="5"/>
  <c r="G3914" i="5"/>
  <c r="G3912" i="5"/>
  <c r="E3912" i="5"/>
  <c r="E3911" i="5"/>
  <c r="G3910" i="5"/>
  <c r="G3904" i="5"/>
  <c r="G3890" i="5"/>
  <c r="G3880" i="5"/>
  <c r="G3866" i="5"/>
  <c r="G3856" i="5"/>
  <c r="G3850" i="5"/>
  <c r="G3848" i="5"/>
  <c r="G3847" i="5"/>
  <c r="G3846" i="5"/>
  <c r="G3845" i="5"/>
  <c r="G3844" i="5"/>
  <c r="G3842" i="5"/>
  <c r="G3841" i="5"/>
  <c r="G3840" i="5"/>
  <c r="G3838" i="5"/>
  <c r="G3837" i="5"/>
  <c r="G3836" i="5"/>
  <c r="G3827" i="5"/>
  <c r="E3825" i="5"/>
  <c r="E3824" i="5"/>
  <c r="G3823" i="5"/>
  <c r="E3823" i="5"/>
  <c r="G3822" i="5"/>
  <c r="E3819" i="5"/>
  <c r="G3817" i="5"/>
  <c r="G3816" i="5"/>
  <c r="G3815" i="5"/>
  <c r="G3807" i="5"/>
  <c r="G3806" i="5"/>
  <c r="G3805" i="5"/>
  <c r="G3803" i="5"/>
  <c r="G3802" i="5"/>
  <c r="G3801" i="5"/>
  <c r="G3800" i="5"/>
  <c r="G3799" i="5"/>
  <c r="E3798" i="5"/>
  <c r="G3797" i="5"/>
  <c r="G3796" i="5"/>
  <c r="E3796" i="5"/>
  <c r="G3795" i="5"/>
  <c r="E3795" i="5"/>
  <c r="E3794" i="5"/>
  <c r="E3793" i="5"/>
  <c r="G3791" i="5"/>
  <c r="G3789" i="5"/>
  <c r="E3787" i="5"/>
  <c r="E3786" i="5"/>
  <c r="G3778" i="5"/>
  <c r="G3776" i="5"/>
  <c r="E3774" i="5"/>
  <c r="E3773" i="5"/>
  <c r="G3767" i="5"/>
  <c r="G3765" i="5"/>
  <c r="G3763" i="5"/>
  <c r="E3762" i="5"/>
  <c r="E3761" i="5"/>
  <c r="E3760" i="5"/>
  <c r="G3759" i="5"/>
  <c r="G3757" i="5"/>
  <c r="G3756" i="5"/>
  <c r="E3752" i="5"/>
  <c r="E3751" i="5"/>
  <c r="E3750" i="5"/>
  <c r="E3749" i="5"/>
  <c r="E3748" i="5"/>
  <c r="G3744" i="5"/>
  <c r="G3738" i="5"/>
  <c r="G3737" i="5"/>
  <c r="G3736" i="5"/>
  <c r="G3733" i="5"/>
  <c r="E3729" i="5"/>
  <c r="G3726" i="5"/>
  <c r="G3725" i="5"/>
  <c r="G3724" i="5"/>
  <c r="G3720" i="5"/>
  <c r="G3715" i="5"/>
  <c r="G3706" i="5"/>
  <c r="G3704" i="5"/>
  <c r="G3700" i="5"/>
  <c r="G3692" i="5"/>
  <c r="G3687" i="5"/>
  <c r="G3686" i="5"/>
  <c r="G3685" i="5"/>
  <c r="G3684" i="5"/>
  <c r="G3673" i="5"/>
  <c r="G3671" i="5"/>
  <c r="G3669" i="5"/>
  <c r="G3668" i="5"/>
  <c r="E3668" i="5"/>
  <c r="G3666" i="5"/>
  <c r="G3665" i="5"/>
  <c r="G3664" i="5"/>
  <c r="E3663" i="5"/>
  <c r="E3662" i="5"/>
  <c r="E3661" i="5"/>
  <c r="E3660" i="5"/>
  <c r="G3659" i="5"/>
  <c r="G3658" i="5"/>
  <c r="G3656" i="5"/>
  <c r="G3655" i="5"/>
  <c r="G3652" i="5"/>
  <c r="G3651" i="5"/>
  <c r="G3650" i="5"/>
  <c r="G3649" i="5"/>
  <c r="G3646" i="5"/>
  <c r="G3645" i="5"/>
  <c r="G3644" i="5"/>
  <c r="G3643" i="5"/>
  <c r="G3642" i="5"/>
  <c r="G3641" i="5"/>
  <c r="G3639" i="5"/>
  <c r="E3639" i="5"/>
  <c r="G3638" i="5"/>
  <c r="E3638" i="5"/>
  <c r="G3637" i="5"/>
  <c r="E3637" i="5"/>
  <c r="E3636" i="5"/>
  <c r="E3633" i="5"/>
  <c r="E3631" i="5"/>
  <c r="G3630" i="5"/>
  <c r="G3629" i="5"/>
  <c r="G3628" i="5"/>
  <c r="G3622" i="5"/>
  <c r="G3620" i="5"/>
  <c r="G3618" i="5"/>
  <c r="E3618" i="5"/>
  <c r="G3617" i="5"/>
  <c r="E3617" i="5"/>
  <c r="G3613" i="5"/>
  <c r="G3611" i="5"/>
  <c r="G3609" i="5"/>
  <c r="E3609" i="5"/>
  <c r="G3608" i="5"/>
  <c r="E3608" i="5"/>
  <c r="G3604" i="5"/>
  <c r="G3602" i="5"/>
  <c r="G3600" i="5"/>
  <c r="G3599" i="5"/>
  <c r="G3597" i="5"/>
  <c r="E3597" i="5"/>
  <c r="E3596" i="5"/>
  <c r="E3595" i="5"/>
  <c r="E3594" i="5"/>
  <c r="E3591" i="5"/>
  <c r="E3589" i="5"/>
  <c r="G3588" i="5"/>
  <c r="G3587" i="5"/>
  <c r="G3586" i="5"/>
  <c r="G3585" i="5"/>
  <c r="G3578" i="5"/>
  <c r="G3576" i="5"/>
  <c r="G3574" i="5"/>
  <c r="G3572" i="5"/>
  <c r="E3572" i="5"/>
  <c r="E3571" i="5"/>
  <c r="G3570" i="5"/>
  <c r="E3570" i="5"/>
  <c r="E3569" i="5"/>
  <c r="E3566" i="5"/>
  <c r="E3564" i="5"/>
  <c r="G3563" i="5"/>
  <c r="G3561" i="5"/>
  <c r="G3555" i="5"/>
  <c r="G3550" i="5"/>
  <c r="E3549" i="5"/>
  <c r="E3547" i="5"/>
  <c r="E3546" i="5"/>
  <c r="E3545" i="5"/>
  <c r="E3544" i="5"/>
  <c r="G3543" i="5"/>
  <c r="G3542" i="5"/>
  <c r="G3541" i="5"/>
  <c r="G3540" i="5"/>
  <c r="G3539" i="5"/>
  <c r="E3538" i="5"/>
  <c r="G3537" i="5"/>
  <c r="G3536" i="5"/>
  <c r="E3536" i="5"/>
  <c r="E3535" i="5"/>
  <c r="E3534" i="5"/>
  <c r="E3533" i="5"/>
  <c r="G3532" i="5"/>
  <c r="G3530" i="5"/>
  <c r="G3528" i="5"/>
  <c r="E3527" i="5"/>
  <c r="E3526" i="5"/>
  <c r="E3525" i="5"/>
  <c r="E3524" i="5"/>
  <c r="E3523" i="5"/>
  <c r="G3522" i="5"/>
  <c r="G3521" i="5"/>
  <c r="G3520" i="5"/>
  <c r="G3518" i="5"/>
  <c r="G3517" i="5"/>
  <c r="G3516" i="5"/>
  <c r="G3514" i="5"/>
  <c r="G3513" i="5"/>
  <c r="G3512" i="5"/>
  <c r="G3509" i="5"/>
  <c r="G3507" i="5"/>
  <c r="G3499" i="5"/>
  <c r="G3498" i="5"/>
  <c r="G3497" i="5"/>
  <c r="G3492" i="5"/>
  <c r="G3490" i="5"/>
  <c r="G3486" i="5"/>
  <c r="G3485" i="5"/>
  <c r="G3484" i="5"/>
  <c r="G3483" i="5"/>
  <c r="G3478" i="5"/>
  <c r="G3476" i="5"/>
  <c r="G3473" i="5"/>
  <c r="G3465" i="5"/>
  <c r="G3463" i="5"/>
  <c r="G3461" i="5"/>
  <c r="G3460" i="5"/>
  <c r="G3459" i="5"/>
  <c r="G3457" i="5"/>
  <c r="G3456" i="5"/>
  <c r="G3455" i="5"/>
  <c r="G3445" i="5"/>
  <c r="G3444" i="5"/>
  <c r="G3443" i="5"/>
  <c r="G3442" i="5"/>
  <c r="G3441" i="5"/>
  <c r="G3437" i="5"/>
  <c r="G3436" i="5"/>
  <c r="G3435" i="5"/>
  <c r="G3434" i="5"/>
  <c r="G3431" i="5"/>
  <c r="G3429" i="5"/>
  <c r="G3427" i="5"/>
  <c r="E3424" i="5"/>
  <c r="G3422" i="5"/>
  <c r="G3416" i="5"/>
  <c r="G3415" i="5"/>
  <c r="G3404" i="5"/>
  <c r="G3402" i="5"/>
  <c r="G3396" i="5"/>
  <c r="G3395" i="5"/>
  <c r="G3394" i="5"/>
  <c r="G3389" i="5"/>
  <c r="G3387" i="5"/>
  <c r="G3376" i="5"/>
  <c r="G3368" i="5"/>
  <c r="G3367" i="5"/>
  <c r="G3366" i="5"/>
  <c r="G3362" i="5"/>
  <c r="G3361" i="5"/>
  <c r="G3359" i="5"/>
  <c r="G3348" i="5"/>
  <c r="G3346" i="5"/>
  <c r="G3341" i="5"/>
  <c r="G3340" i="5"/>
  <c r="G3339" i="5"/>
  <c r="G3338" i="5"/>
  <c r="G3336" i="5"/>
  <c r="G3335" i="5"/>
  <c r="G3334" i="5"/>
  <c r="G3333" i="5"/>
  <c r="G3332" i="5"/>
  <c r="G3325" i="5"/>
  <c r="G3323" i="5"/>
  <c r="G3320" i="5"/>
  <c r="G3319" i="5"/>
  <c r="G3318" i="5"/>
  <c r="G3311" i="5"/>
  <c r="G3308" i="5"/>
  <c r="G3307" i="5"/>
  <c r="G3306" i="5"/>
  <c r="G3305" i="5"/>
  <c r="G3304" i="5"/>
  <c r="E3302" i="5"/>
  <c r="E3301" i="5"/>
  <c r="G3295" i="5"/>
  <c r="G3293" i="5"/>
  <c r="G3287" i="5"/>
  <c r="G3282" i="5"/>
  <c r="E3281" i="5"/>
  <c r="G3279" i="5"/>
  <c r="G3278" i="5"/>
  <c r="G3277" i="5"/>
  <c r="G3269" i="5"/>
  <c r="G3264" i="5"/>
  <c r="G3263" i="5"/>
  <c r="G3261" i="5"/>
  <c r="G3259" i="5"/>
  <c r="G3258" i="5"/>
  <c r="G3254" i="5"/>
  <c r="G3252" i="5"/>
  <c r="G3248" i="5"/>
  <c r="G3247" i="5"/>
  <c r="G3244" i="5"/>
  <c r="G3243" i="5"/>
  <c r="G3241" i="5"/>
  <c r="G3238" i="5"/>
  <c r="G3237" i="5"/>
  <c r="G3236" i="5"/>
  <c r="G3232" i="5"/>
  <c r="G3231" i="5"/>
  <c r="G3230" i="5"/>
  <c r="G3226" i="5"/>
  <c r="G3224" i="5"/>
  <c r="G3219" i="5"/>
  <c r="G3217" i="5"/>
  <c r="G3216" i="5"/>
  <c r="G3214" i="5"/>
  <c r="G3213" i="5"/>
  <c r="G3212" i="5"/>
  <c r="G3211" i="5"/>
  <c r="G3209" i="5"/>
  <c r="G3208" i="5"/>
  <c r="G3206" i="5"/>
  <c r="G3203" i="5"/>
  <c r="G3202" i="5"/>
  <c r="G3196" i="5"/>
  <c r="G3193" i="5"/>
  <c r="G3191" i="5"/>
  <c r="G3188" i="5"/>
  <c r="G3187" i="5"/>
  <c r="G3184" i="5"/>
  <c r="G3182" i="5"/>
  <c r="G3179" i="5"/>
  <c r="G3178" i="5"/>
  <c r="G3177" i="5"/>
  <c r="G3176" i="5"/>
  <c r="G3174" i="5"/>
  <c r="G3173" i="5"/>
  <c r="G3172" i="5"/>
  <c r="G3171" i="5"/>
  <c r="G3169" i="5"/>
  <c r="G3168" i="5"/>
  <c r="G3161" i="5"/>
  <c r="G3160" i="5"/>
  <c r="G3159" i="5"/>
  <c r="G3158" i="5"/>
  <c r="G3156" i="5"/>
  <c r="G3155" i="5"/>
  <c r="G3154" i="5"/>
  <c r="G3153" i="5"/>
  <c r="G3148" i="5"/>
  <c r="G3146" i="5"/>
  <c r="G3144" i="5"/>
  <c r="G3143" i="5"/>
  <c r="G3140" i="5"/>
  <c r="G3136" i="5"/>
  <c r="G3135" i="5"/>
  <c r="G3129" i="5"/>
  <c r="G3127" i="5"/>
  <c r="G3126" i="5"/>
  <c r="G3122" i="5"/>
  <c r="G3118" i="5"/>
  <c r="G3115" i="5"/>
  <c r="G3106" i="5"/>
  <c r="G3105" i="5"/>
  <c r="G3096" i="5"/>
  <c r="G3093" i="5"/>
  <c r="G3091" i="5"/>
  <c r="G3090" i="5"/>
  <c r="G3087" i="5"/>
  <c r="G3086" i="5"/>
  <c r="G3083" i="5"/>
  <c r="G3081" i="5"/>
  <c r="G3078" i="5"/>
  <c r="G3076" i="5"/>
  <c r="G3069" i="5"/>
  <c r="G3068" i="5"/>
  <c r="G3065" i="5"/>
  <c r="G3063" i="5"/>
  <c r="G3062" i="5"/>
  <c r="G3061" i="5"/>
  <c r="G3013" i="5"/>
  <c r="G3005" i="5"/>
  <c r="G2997" i="5"/>
  <c r="G2989" i="5"/>
  <c r="G2981" i="5"/>
  <c r="G2892" i="5"/>
  <c r="G2882" i="5"/>
  <c r="G2879" i="5"/>
  <c r="G2878" i="5"/>
  <c r="G2868" i="5"/>
  <c r="G2867" i="5"/>
  <c r="G2866" i="5"/>
  <c r="G2858" i="5"/>
  <c r="G2856" i="5"/>
  <c r="G2853" i="5"/>
  <c r="G2852" i="5"/>
  <c r="G2851" i="5"/>
  <c r="G2848" i="5"/>
  <c r="G2837" i="5"/>
  <c r="G2835" i="5"/>
  <c r="G2832" i="5"/>
  <c r="G2821" i="5"/>
  <c r="G2820" i="5"/>
  <c r="G2819" i="5"/>
  <c r="G2813" i="5"/>
  <c r="G2811" i="5"/>
  <c r="G2808" i="5"/>
  <c r="G2801" i="5"/>
  <c r="G2800" i="5"/>
  <c r="G2799" i="5"/>
  <c r="G2793" i="5"/>
  <c r="G2787" i="5"/>
  <c r="G2781" i="5"/>
  <c r="G2775" i="5"/>
  <c r="G2769" i="5"/>
  <c r="G2763" i="5"/>
  <c r="G2757" i="5"/>
  <c r="G2751" i="5"/>
  <c r="G2745" i="5"/>
  <c r="G2739" i="5"/>
  <c r="G2727" i="5"/>
  <c r="G2725" i="5"/>
  <c r="G2724" i="5"/>
  <c r="G2723" i="5"/>
  <c r="G2721" i="5"/>
  <c r="G2720" i="5"/>
  <c r="G2719" i="5"/>
  <c r="G2717" i="5"/>
  <c r="G2716" i="5"/>
  <c r="G2715" i="5"/>
  <c r="G2712" i="5"/>
  <c r="G2693" i="5"/>
  <c r="G2691" i="5"/>
  <c r="G2689" i="5"/>
  <c r="G2688" i="5"/>
  <c r="G2687" i="5"/>
  <c r="G2685" i="5"/>
  <c r="G2683" i="5"/>
  <c r="G2681" i="5"/>
  <c r="G2680" i="5"/>
  <c r="G2679" i="5"/>
  <c r="G2677" i="5"/>
  <c r="G2676" i="5"/>
  <c r="G2675" i="5"/>
  <c r="G2672" i="5"/>
  <c r="G2670" i="5"/>
  <c r="G2669" i="5"/>
  <c r="E2668" i="5"/>
  <c r="E2667" i="5"/>
  <c r="E2660" i="5"/>
  <c r="E2659" i="5"/>
  <c r="G2657" i="5"/>
  <c r="G2656" i="5"/>
  <c r="G2655" i="5"/>
  <c r="G2654" i="5"/>
  <c r="E2652" i="5"/>
  <c r="E2651" i="5"/>
  <c r="G2633" i="5"/>
  <c r="G2631" i="5"/>
  <c r="G2629" i="5"/>
  <c r="G2628" i="5"/>
  <c r="G2627" i="5"/>
  <c r="G2625" i="5"/>
  <c r="G2624" i="5"/>
  <c r="G2623" i="5"/>
  <c r="G2620" i="5"/>
  <c r="G2601" i="5"/>
  <c r="G2599" i="5"/>
  <c r="G2597" i="5"/>
  <c r="G2596" i="5"/>
  <c r="G2595" i="5"/>
  <c r="G2593" i="5"/>
  <c r="G2592" i="5"/>
  <c r="G2591" i="5"/>
  <c r="G2588" i="5"/>
  <c r="G2569" i="5"/>
  <c r="G2567" i="5"/>
  <c r="G2565" i="5"/>
  <c r="G2564" i="5"/>
  <c r="G2563" i="5"/>
  <c r="G2561" i="5"/>
  <c r="G2560" i="5"/>
  <c r="G2559" i="5"/>
  <c r="G2556" i="5"/>
  <c r="G2537" i="5"/>
  <c r="G2535" i="5"/>
  <c r="G2533" i="5"/>
  <c r="G2532" i="5"/>
  <c r="G2531" i="5"/>
  <c r="E2530" i="5"/>
  <c r="G2528" i="5"/>
  <c r="G2509" i="5"/>
  <c r="G2507" i="5"/>
  <c r="G2505" i="5"/>
  <c r="G2504" i="5"/>
  <c r="G2503" i="5"/>
  <c r="G2501" i="5"/>
  <c r="G2500" i="5"/>
  <c r="G2499" i="5"/>
  <c r="G2496" i="5"/>
  <c r="G2486" i="5"/>
  <c r="G2484" i="5"/>
  <c r="G2477" i="5"/>
  <c r="G2475" i="5"/>
  <c r="G2473" i="5"/>
  <c r="G2472" i="5"/>
  <c r="G2471" i="5"/>
  <c r="G2470" i="5"/>
  <c r="G2467" i="5"/>
  <c r="G2466" i="5"/>
  <c r="G2465" i="5"/>
  <c r="G2450" i="5"/>
  <c r="E2449" i="5"/>
  <c r="E2448" i="5"/>
  <c r="G2447" i="5"/>
  <c r="G2446" i="5"/>
  <c r="G2445" i="5"/>
  <c r="E2444" i="5"/>
  <c r="E2443" i="5"/>
  <c r="G2439" i="5"/>
  <c r="G2438" i="5"/>
  <c r="G2437" i="5"/>
  <c r="G2436" i="5"/>
  <c r="G2432" i="5"/>
  <c r="G2430" i="5"/>
  <c r="E2429" i="5"/>
  <c r="G2413" i="5"/>
  <c r="G2407" i="5"/>
  <c r="G2406" i="5"/>
  <c r="G2404" i="5"/>
  <c r="G2401" i="5"/>
  <c r="G2400" i="5"/>
  <c r="G2399" i="5"/>
  <c r="G2398" i="5"/>
  <c r="G2387" i="5"/>
  <c r="G2385" i="5"/>
  <c r="G2376" i="5"/>
  <c r="E2375" i="5"/>
  <c r="E2374" i="5"/>
  <c r="E2373" i="5"/>
  <c r="E2372" i="5"/>
  <c r="G2370" i="5"/>
  <c r="G2369" i="5"/>
  <c r="G2368" i="5"/>
  <c r="G2367" i="5"/>
  <c r="E2365" i="5"/>
  <c r="G2364" i="5"/>
  <c r="E2364" i="5"/>
  <c r="E2363" i="5"/>
  <c r="E2362" i="5"/>
  <c r="G2361" i="5"/>
  <c r="G2359" i="5"/>
  <c r="G2357" i="5"/>
  <c r="E2355" i="5"/>
  <c r="E2354" i="5"/>
  <c r="E2353" i="5"/>
  <c r="E2352" i="5"/>
  <c r="G2349" i="5"/>
  <c r="G2347" i="5"/>
  <c r="G2346" i="5"/>
  <c r="E2345" i="5"/>
  <c r="G2344" i="5"/>
  <c r="E2344" i="5"/>
  <c r="E2343" i="5"/>
  <c r="E2342" i="5"/>
  <c r="G2340" i="5"/>
  <c r="G2338" i="5"/>
  <c r="E2335" i="5"/>
  <c r="E2334" i="5"/>
  <c r="E2333" i="5"/>
  <c r="E2332" i="5"/>
  <c r="G2328" i="5"/>
  <c r="E2319" i="5"/>
  <c r="E2318" i="5"/>
  <c r="E2317" i="5"/>
  <c r="E2315" i="5"/>
  <c r="E2314" i="5"/>
  <c r="G2310" i="5"/>
  <c r="G2308" i="5"/>
  <c r="G2304" i="5"/>
  <c r="G2303" i="5"/>
  <c r="G2302" i="5"/>
  <c r="G2301" i="5"/>
  <c r="G2298" i="5"/>
  <c r="G2296" i="5"/>
  <c r="G2290" i="5"/>
  <c r="E2286" i="5"/>
  <c r="G2283" i="5"/>
  <c r="G2279" i="5"/>
  <c r="G2278" i="5"/>
  <c r="G2276" i="5"/>
  <c r="E2274" i="5"/>
  <c r="E2273" i="5"/>
  <c r="G2270" i="5"/>
  <c r="G2268" i="5"/>
  <c r="G2267" i="5"/>
  <c r="E2266" i="5"/>
  <c r="E2265" i="5"/>
  <c r="G2259" i="5"/>
  <c r="E2258" i="5"/>
  <c r="E2257" i="5"/>
  <c r="G2256" i="5"/>
  <c r="G2255" i="5"/>
  <c r="G2253" i="5"/>
  <c r="E2250" i="5"/>
  <c r="E2249" i="5"/>
  <c r="G2246" i="5"/>
  <c r="G2244" i="5"/>
  <c r="G2243" i="5"/>
  <c r="E2242" i="5"/>
  <c r="E2241" i="5"/>
  <c r="G2238" i="5"/>
  <c r="G2236" i="5"/>
  <c r="G2235" i="5"/>
  <c r="E2234" i="5"/>
  <c r="E2233" i="5"/>
  <c r="G2231" i="5"/>
  <c r="G2230" i="5"/>
  <c r="G2229" i="5"/>
  <c r="G2228" i="5"/>
  <c r="E2226" i="5"/>
  <c r="E2225" i="5"/>
  <c r="G2223" i="5"/>
  <c r="G2221" i="5"/>
  <c r="G2219" i="5"/>
  <c r="E2218" i="5"/>
  <c r="E2217" i="5"/>
  <c r="G2209" i="5"/>
  <c r="G2208" i="5"/>
  <c r="G2207" i="5"/>
  <c r="G2202" i="5"/>
  <c r="G2197" i="5"/>
  <c r="G2195" i="5"/>
  <c r="G2190" i="5"/>
  <c r="G2188" i="5"/>
  <c r="G2185" i="5"/>
  <c r="G2183" i="5"/>
  <c r="G2181" i="5"/>
  <c r="E2180" i="5"/>
  <c r="E2179" i="5"/>
  <c r="G2176" i="5"/>
  <c r="G2174" i="5"/>
  <c r="E2172" i="5"/>
  <c r="E2171" i="5"/>
  <c r="G2168" i="5"/>
  <c r="G2165" i="5"/>
  <c r="E2164" i="5"/>
  <c r="E2163" i="5"/>
  <c r="E2156" i="5"/>
  <c r="E2155" i="5"/>
  <c r="G2154" i="5"/>
  <c r="G2153" i="5"/>
  <c r="G2151" i="5"/>
  <c r="E2148" i="5"/>
  <c r="E2147" i="5"/>
  <c r="G2146" i="5"/>
  <c r="G2145" i="5"/>
  <c r="G2144" i="5"/>
  <c r="G2143" i="5"/>
  <c r="G2142" i="5"/>
  <c r="E2140" i="5"/>
  <c r="E2139" i="5"/>
  <c r="G2137" i="5"/>
  <c r="G2136" i="5"/>
  <c r="G2135" i="5"/>
  <c r="G2134" i="5"/>
  <c r="G2133" i="5"/>
  <c r="E2132" i="5"/>
  <c r="E2131" i="5"/>
  <c r="G2128" i="5"/>
  <c r="G2126" i="5"/>
  <c r="G2125" i="5"/>
  <c r="E2124" i="5"/>
  <c r="E2123" i="5"/>
  <c r="G2122" i="5"/>
  <c r="G2121" i="5"/>
  <c r="G2119" i="5"/>
  <c r="G2117" i="5"/>
  <c r="E2116" i="5"/>
  <c r="E2115" i="5"/>
  <c r="G2112" i="5"/>
  <c r="G2110" i="5"/>
  <c r="E2108" i="5"/>
  <c r="E2107" i="5"/>
  <c r="G2102" i="5"/>
  <c r="G2101" i="5"/>
  <c r="E2100" i="5"/>
  <c r="E2099" i="5"/>
  <c r="G2091" i="5"/>
  <c r="G2089" i="5"/>
  <c r="G2084" i="5"/>
  <c r="G2082" i="5"/>
  <c r="G2077" i="5"/>
  <c r="G2075" i="5"/>
  <c r="G2070" i="5"/>
  <c r="G2068" i="5"/>
  <c r="G2062" i="5"/>
  <c r="G2061" i="5"/>
  <c r="G2054" i="5"/>
  <c r="G2047" i="5"/>
  <c r="G2045" i="5"/>
  <c r="G2043" i="5"/>
  <c r="G2040" i="5"/>
  <c r="G2038" i="5"/>
  <c r="G2036" i="5"/>
  <c r="G2030" i="5"/>
  <c r="G2027" i="5"/>
  <c r="G2025" i="5"/>
  <c r="G2020" i="5"/>
  <c r="G2018" i="5"/>
  <c r="G2013" i="5"/>
  <c r="G2008" i="5"/>
  <c r="G2001" i="5"/>
  <c r="G1998" i="5"/>
  <c r="G1996" i="5"/>
  <c r="G1993" i="5"/>
  <c r="G1987" i="5"/>
  <c r="E1985" i="5"/>
  <c r="E1984" i="5"/>
  <c r="G1983" i="5"/>
  <c r="G1981" i="5"/>
  <c r="G1977" i="5"/>
  <c r="G1975" i="5"/>
  <c r="G1971" i="5"/>
  <c r="G1970" i="5"/>
  <c r="G1969" i="5"/>
  <c r="G1963" i="5"/>
  <c r="G1959" i="5"/>
  <c r="G1953" i="5"/>
  <c r="G1951" i="5"/>
  <c r="G1950" i="5"/>
  <c r="G1946" i="5"/>
  <c r="G1945" i="5"/>
  <c r="G1944" i="5"/>
  <c r="G1941" i="5"/>
  <c r="G1940" i="5"/>
  <c r="G1939" i="5"/>
  <c r="G1938" i="5"/>
  <c r="G1935" i="5"/>
  <c r="G1934" i="5"/>
  <c r="G1932" i="5"/>
  <c r="G1920" i="5"/>
  <c r="G1917" i="5"/>
  <c r="G1916" i="5"/>
  <c r="G1915" i="5"/>
  <c r="G1910" i="5"/>
  <c r="G1909" i="5"/>
  <c r="G1906" i="5"/>
  <c r="G1904" i="5"/>
  <c r="G1903" i="5"/>
  <c r="G1902" i="5"/>
  <c r="G1901" i="5"/>
  <c r="G1898" i="5"/>
  <c r="G1896" i="5"/>
  <c r="G1895" i="5"/>
  <c r="G1891" i="5"/>
  <c r="G1890" i="5"/>
  <c r="G1887" i="5"/>
  <c r="G1886" i="5"/>
  <c r="G1881" i="5"/>
  <c r="G1880" i="5"/>
  <c r="G1869" i="5"/>
  <c r="G1866" i="5"/>
  <c r="G1864" i="5"/>
  <c r="G1860" i="5"/>
  <c r="G1849" i="5"/>
  <c r="G1848" i="5"/>
  <c r="G1847" i="5"/>
  <c r="G1844" i="5"/>
  <c r="G1823" i="5"/>
  <c r="G1822" i="5"/>
  <c r="G1821" i="5"/>
  <c r="G1818" i="5"/>
  <c r="G1812" i="5"/>
  <c r="G1811" i="5"/>
  <c r="G1805" i="5"/>
  <c r="G1799" i="5"/>
  <c r="G1798" i="5"/>
  <c r="G1793" i="5"/>
  <c r="G1792" i="5"/>
  <c r="G1791" i="5"/>
  <c r="G1788" i="5"/>
  <c r="G1784" i="5"/>
  <c r="G1781" i="5"/>
  <c r="G1778" i="5"/>
  <c r="G1777" i="5"/>
  <c r="G1776" i="5"/>
  <c r="G1771" i="5"/>
  <c r="G1769" i="5"/>
  <c r="G1760" i="5"/>
  <c r="G1756" i="5"/>
  <c r="G1755" i="5"/>
  <c r="G1750" i="5"/>
  <c r="G1749" i="5"/>
  <c r="G1748" i="5"/>
  <c r="G1743" i="5"/>
  <c r="G1735" i="5"/>
  <c r="G1733" i="5"/>
  <c r="G1732" i="5"/>
  <c r="G1725" i="5"/>
  <c r="G1724" i="5"/>
  <c r="G1723" i="5"/>
  <c r="G1722" i="5"/>
  <c r="G1717" i="5"/>
  <c r="G1714" i="5"/>
  <c r="G1712" i="5"/>
  <c r="G1711" i="5"/>
  <c r="G1707" i="5"/>
  <c r="G1703" i="5"/>
  <c r="G1702" i="5"/>
  <c r="G1699" i="5"/>
  <c r="G1694" i="5"/>
  <c r="G1693" i="5"/>
  <c r="G1689" i="5"/>
  <c r="G1688" i="5"/>
  <c r="G1686" i="5"/>
  <c r="G1682" i="5"/>
  <c r="G1681" i="5"/>
  <c r="G1679" i="5"/>
  <c r="G1675" i="5"/>
  <c r="G1674" i="5"/>
  <c r="G1673" i="5"/>
  <c r="G1672" i="5"/>
  <c r="G1668" i="5"/>
  <c r="G1663" i="5"/>
  <c r="G1658" i="5"/>
  <c r="G1653" i="5"/>
  <c r="E1650" i="5"/>
  <c r="E1649" i="5"/>
  <c r="G1647" i="5"/>
  <c r="G1642" i="5"/>
  <c r="G1640" i="5"/>
  <c r="G1633" i="5"/>
  <c r="G1630" i="5"/>
  <c r="G1623" i="5"/>
  <c r="G1617" i="5"/>
  <c r="G1613" i="5"/>
  <c r="G1611" i="5"/>
  <c r="G1610" i="5"/>
  <c r="G1608" i="5"/>
  <c r="G1607" i="5"/>
  <c r="G1606" i="5"/>
  <c r="G1605" i="5"/>
  <c r="G1604" i="5"/>
  <c r="E1603" i="5"/>
  <c r="E1602" i="5"/>
  <c r="G1601" i="5"/>
  <c r="G1599" i="5"/>
  <c r="G1595" i="5"/>
  <c r="G1594" i="5"/>
  <c r="G1586" i="5"/>
  <c r="G1585" i="5"/>
  <c r="G1580" i="5"/>
  <c r="G1576" i="5"/>
  <c r="G1558" i="5"/>
  <c r="G1556" i="5"/>
  <c r="G1550" i="5"/>
  <c r="G1544" i="5"/>
  <c r="G1543" i="5"/>
  <c r="G1542" i="5"/>
  <c r="G1529" i="5"/>
  <c r="G1526" i="5"/>
  <c r="G1513" i="5"/>
  <c r="G1512" i="5"/>
  <c r="G1511" i="5"/>
  <c r="G1507" i="5"/>
  <c r="G1506" i="5"/>
  <c r="G1505" i="5"/>
  <c r="G1504" i="5"/>
  <c r="G1502" i="5"/>
  <c r="G1491" i="5"/>
  <c r="G1490" i="5"/>
  <c r="G1489" i="5"/>
  <c r="G1488" i="5"/>
  <c r="G1486" i="5"/>
  <c r="G1477" i="5"/>
  <c r="G1470" i="5"/>
  <c r="G1468" i="5"/>
  <c r="G1460" i="5"/>
  <c r="G1451" i="5"/>
  <c r="G1450" i="5"/>
  <c r="G1436" i="5"/>
  <c r="G1432" i="5"/>
  <c r="G1431" i="5"/>
  <c r="G1430" i="5"/>
  <c r="G1429" i="5"/>
  <c r="G1412" i="5"/>
  <c r="G1406" i="5"/>
  <c r="G1401" i="5"/>
  <c r="G1395" i="5"/>
  <c r="G1394" i="5"/>
  <c r="G1393" i="5"/>
  <c r="G1388" i="5"/>
  <c r="G1386" i="5"/>
  <c r="G1373" i="5"/>
  <c r="G1358" i="5"/>
  <c r="G1356" i="5"/>
  <c r="G1351" i="5"/>
  <c r="G1349" i="5"/>
  <c r="G1344" i="5"/>
  <c r="G1338" i="5"/>
  <c r="G1337" i="5"/>
  <c r="G1336" i="5"/>
  <c r="G1331" i="5"/>
  <c r="G1327" i="5"/>
  <c r="G1320" i="5"/>
  <c r="G1318" i="5"/>
  <c r="G1313" i="5"/>
  <c r="G1311" i="5"/>
  <c r="G1296" i="5"/>
  <c r="G1290" i="5"/>
  <c r="G1288" i="5"/>
  <c r="G1277" i="5"/>
  <c r="G1276" i="5"/>
  <c r="G1274" i="5"/>
  <c r="G1269" i="5"/>
  <c r="G1268" i="5"/>
  <c r="G1267" i="5"/>
  <c r="G1266" i="5"/>
  <c r="G1262" i="5"/>
  <c r="G1251" i="5"/>
  <c r="G1248" i="5"/>
  <c r="G1237" i="5"/>
  <c r="G1236" i="5"/>
  <c r="G1234" i="5"/>
  <c r="G1231" i="5"/>
  <c r="G1229" i="5"/>
  <c r="G1224" i="5"/>
  <c r="G1222" i="5"/>
  <c r="G1219" i="5"/>
  <c r="G1217" i="5"/>
  <c r="G1205" i="5"/>
  <c r="G1203" i="5"/>
  <c r="G1196" i="5"/>
  <c r="G1191" i="5"/>
  <c r="G1184" i="5"/>
  <c r="G1182" i="5"/>
  <c r="G1177" i="5"/>
  <c r="G1175" i="5"/>
  <c r="G1168" i="5"/>
  <c r="G1163" i="5"/>
  <c r="G1154" i="5"/>
  <c r="G1142" i="5"/>
  <c r="G1140" i="5"/>
  <c r="G1133" i="5"/>
  <c r="G1123" i="5"/>
  <c r="G1121" i="5"/>
  <c r="G1118" i="5"/>
  <c r="G1116" i="5"/>
  <c r="G1113" i="5"/>
  <c r="G1111" i="5"/>
  <c r="G1106" i="5"/>
  <c r="G1104" i="5"/>
  <c r="G1102" i="5"/>
  <c r="E1100" i="5"/>
  <c r="E1099" i="5"/>
  <c r="G1095" i="5"/>
  <c r="G1093" i="5"/>
  <c r="G1086" i="5"/>
  <c r="G1079" i="5"/>
  <c r="G1077" i="5"/>
  <c r="G1075" i="5"/>
  <c r="E1074" i="5"/>
  <c r="E1073" i="5"/>
  <c r="G1063" i="5"/>
  <c r="G1061" i="5"/>
  <c r="G1056" i="5"/>
  <c r="G1054" i="5"/>
  <c r="G1042" i="5"/>
  <c r="G1040" i="5"/>
  <c r="G1033" i="5"/>
  <c r="G1031" i="5"/>
  <c r="G1025" i="5"/>
  <c r="G1022" i="5"/>
  <c r="G1019" i="5"/>
  <c r="G1017" i="5"/>
  <c r="G1005" i="5"/>
  <c r="G1000" i="5"/>
  <c r="G989" i="5"/>
  <c r="G980" i="5"/>
  <c r="G973" i="5"/>
  <c r="G967" i="5"/>
  <c r="G959" i="5"/>
  <c r="G947" i="5"/>
  <c r="G945" i="5"/>
  <c r="G933" i="5"/>
  <c r="G931" i="5"/>
  <c r="G919" i="5"/>
  <c r="G917" i="5"/>
  <c r="G912" i="5"/>
  <c r="G910" i="5"/>
  <c r="G907" i="5"/>
  <c r="E905" i="5"/>
  <c r="E894" i="5"/>
  <c r="E893" i="5"/>
  <c r="G891" i="5"/>
  <c r="G875" i="5"/>
  <c r="G873" i="5"/>
  <c r="E871" i="5"/>
  <c r="G863" i="5"/>
  <c r="G861" i="5"/>
  <c r="G857" i="5"/>
  <c r="G855" i="5"/>
  <c r="E853" i="5"/>
  <c r="G840" i="5"/>
  <c r="G838" i="5"/>
  <c r="G832" i="5"/>
  <c r="E825" i="5"/>
  <c r="E820" i="5"/>
  <c r="G819" i="5"/>
  <c r="G817" i="5"/>
  <c r="G814" i="5"/>
  <c r="G805" i="5"/>
  <c r="G803" i="5"/>
  <c r="G772" i="5"/>
  <c r="E770" i="5"/>
  <c r="G767" i="5"/>
  <c r="G765" i="5"/>
  <c r="G756" i="5"/>
  <c r="G754" i="5"/>
  <c r="G751" i="5"/>
  <c r="E751" i="5"/>
  <c r="E750" i="5"/>
  <c r="G748" i="5"/>
  <c r="G746" i="5"/>
  <c r="H746" i="5" s="1"/>
  <c r="E143" i="8" s="1"/>
  <c r="G745" i="5"/>
  <c r="G743" i="5"/>
  <c r="E742" i="5"/>
  <c r="E741" i="5"/>
  <c r="E740" i="5"/>
  <c r="E739" i="5"/>
  <c r="G738" i="5"/>
  <c r="E738" i="5"/>
  <c r="G737" i="5"/>
  <c r="G735" i="5"/>
  <c r="E728" i="5"/>
  <c r="E727" i="5"/>
  <c r="E726" i="5"/>
  <c r="E725" i="5"/>
  <c r="E721" i="5"/>
  <c r="E720" i="5"/>
  <c r="E719" i="5"/>
  <c r="E718" i="5"/>
  <c r="E717" i="5"/>
  <c r="E716" i="5"/>
  <c r="G716" i="5" s="1"/>
  <c r="G714" i="5"/>
  <c r="E712" i="5"/>
  <c r="E711" i="5"/>
  <c r="E710" i="5"/>
  <c r="E709" i="5"/>
  <c r="G708" i="5"/>
  <c r="E708" i="5"/>
  <c r="E707" i="5"/>
  <c r="E706" i="5"/>
  <c r="E702" i="5"/>
  <c r="E701" i="5"/>
  <c r="E700" i="5"/>
  <c r="E699" i="5"/>
  <c r="E698" i="5"/>
  <c r="G687" i="5"/>
  <c r="G685" i="5"/>
  <c r="E684" i="5"/>
  <c r="E683" i="5"/>
  <c r="E682" i="5"/>
  <c r="E681" i="5"/>
  <c r="E680" i="5"/>
  <c r="E679" i="5"/>
  <c r="E678" i="5"/>
  <c r="E674" i="5"/>
  <c r="E673" i="5"/>
  <c r="E672" i="5"/>
  <c r="E671" i="5"/>
  <c r="E670" i="5"/>
  <c r="G663" i="5"/>
  <c r="G660" i="5"/>
  <c r="G659" i="5"/>
  <c r="G656" i="5"/>
  <c r="G643" i="5"/>
  <c r="G637" i="5"/>
  <c r="G635" i="5"/>
  <c r="G630" i="5"/>
  <c r="G622" i="5"/>
  <c r="G621" i="5"/>
  <c r="G620" i="5"/>
  <c r="G612" i="5"/>
  <c r="E611" i="5"/>
  <c r="E610" i="5"/>
  <c r="E609" i="5"/>
  <c r="G608" i="5"/>
  <c r="E608" i="5"/>
  <c r="G607" i="5"/>
  <c r="G605" i="5"/>
  <c r="G604" i="5"/>
  <c r="G603" i="5"/>
  <c r="E602" i="5"/>
  <c r="E601" i="5"/>
  <c r="E600" i="5"/>
  <c r="E599" i="5"/>
  <c r="E598" i="5"/>
  <c r="G595" i="5"/>
  <c r="G589" i="5"/>
  <c r="G588" i="5"/>
  <c r="G587" i="5"/>
  <c r="G586" i="5"/>
  <c r="G585" i="5"/>
  <c r="E584" i="5"/>
  <c r="E583" i="5"/>
  <c r="E582" i="5"/>
  <c r="E581" i="5"/>
  <c r="E575" i="5"/>
  <c r="E574" i="5"/>
  <c r="E573" i="5"/>
  <c r="E572" i="5"/>
  <c r="G571" i="5"/>
  <c r="E571" i="5"/>
  <c r="G569" i="5"/>
  <c r="G567" i="5"/>
  <c r="G553" i="5"/>
  <c r="G546" i="5"/>
  <c r="G544" i="5"/>
  <c r="G532" i="5"/>
  <c r="G530" i="5"/>
  <c r="E527" i="5"/>
  <c r="G525" i="5"/>
  <c r="G522" i="5"/>
  <c r="E519" i="5"/>
  <c r="G512" i="5"/>
  <c r="G511" i="5"/>
  <c r="G510" i="5"/>
  <c r="G500" i="5"/>
  <c r="G498" i="5"/>
  <c r="G497" i="5"/>
  <c r="G496" i="5"/>
  <c r="G495" i="5"/>
  <c r="G493" i="5"/>
  <c r="E492" i="5"/>
  <c r="E491" i="5"/>
  <c r="G490" i="5"/>
  <c r="G488" i="5"/>
  <c r="G484" i="5"/>
  <c r="G483" i="5"/>
  <c r="G482" i="5"/>
  <c r="G481" i="5"/>
  <c r="G479" i="5"/>
  <c r="E476" i="5"/>
  <c r="G472" i="5"/>
  <c r="G470" i="5"/>
  <c r="E469" i="5"/>
  <c r="E468" i="5"/>
  <c r="E467" i="5"/>
  <c r="E466" i="5"/>
  <c r="E457" i="5"/>
  <c r="E456" i="5"/>
  <c r="G455" i="5"/>
  <c r="G454" i="5"/>
  <c r="G453" i="5"/>
  <c r="G452" i="5"/>
  <c r="G451" i="5"/>
  <c r="E450" i="5"/>
  <c r="G447" i="5"/>
  <c r="G446" i="5"/>
  <c r="G445" i="5"/>
  <c r="G435" i="5"/>
  <c r="G433" i="5"/>
  <c r="G423" i="5"/>
  <c r="G422" i="5"/>
  <c r="G421" i="5"/>
  <c r="E420" i="5"/>
  <c r="E419" i="5"/>
  <c r="G417" i="5"/>
  <c r="G415" i="5"/>
  <c r="G402" i="5"/>
  <c r="G401" i="5"/>
  <c r="G400" i="5"/>
  <c r="G393" i="5"/>
  <c r="G381" i="5"/>
  <c r="G380" i="5"/>
  <c r="G379" i="5"/>
  <c r="G373" i="5"/>
  <c r="G370" i="5"/>
  <c r="G366" i="5"/>
  <c r="G365" i="5"/>
  <c r="G364" i="5"/>
  <c r="G363" i="5"/>
  <c r="G362" i="5"/>
  <c r="E361" i="5"/>
  <c r="E360" i="5"/>
  <c r="G352" i="5"/>
  <c r="G351" i="5"/>
  <c r="G350" i="5"/>
  <c r="G342" i="5"/>
  <c r="G341" i="5"/>
  <c r="G340" i="5"/>
  <c r="E339" i="5"/>
  <c r="G338" i="5"/>
  <c r="E334" i="5"/>
  <c r="G321" i="5"/>
  <c r="G320" i="5"/>
  <c r="G319" i="5"/>
  <c r="G318" i="5"/>
  <c r="G316" i="5"/>
  <c r="E315" i="5"/>
  <c r="E314" i="5"/>
  <c r="G305" i="5"/>
  <c r="G303" i="5"/>
  <c r="G302" i="5"/>
  <c r="G301" i="5"/>
  <c r="E300" i="5"/>
  <c r="E299" i="5"/>
  <c r="G293" i="5"/>
  <c r="G290" i="5"/>
  <c r="G288" i="5"/>
  <c r="G284" i="5"/>
  <c r="G283" i="5"/>
  <c r="G282" i="5"/>
  <c r="G278" i="5"/>
  <c r="G277" i="5"/>
  <c r="G276" i="5"/>
  <c r="G269" i="5"/>
  <c r="G268" i="5"/>
  <c r="G265" i="5"/>
  <c r="G264" i="5"/>
  <c r="G263" i="5"/>
  <c r="G250" i="5"/>
  <c r="G242" i="5"/>
  <c r="G232" i="5"/>
  <c r="G229" i="5"/>
  <c r="G228" i="5"/>
  <c r="G226" i="5"/>
  <c r="G225" i="5"/>
  <c r="G224" i="5"/>
  <c r="G221" i="5"/>
  <c r="G220" i="5"/>
  <c r="G219" i="5"/>
  <c r="G215" i="5"/>
  <c r="G210" i="5"/>
  <c r="G208" i="5"/>
  <c r="G207" i="5"/>
  <c r="G205" i="5"/>
  <c r="E204" i="5"/>
  <c r="G203" i="5"/>
  <c r="G202" i="5"/>
  <c r="G201" i="5"/>
  <c r="G198" i="5"/>
  <c r="G197" i="5"/>
  <c r="G192" i="5"/>
  <c r="G191" i="5"/>
  <c r="G189" i="5"/>
  <c r="E187" i="5"/>
  <c r="E186" i="5"/>
  <c r="G185" i="5"/>
  <c r="G184" i="5"/>
  <c r="G181" i="5"/>
  <c r="G179" i="5"/>
  <c r="E178" i="5"/>
  <c r="E174" i="5"/>
  <c r="G173" i="5"/>
  <c r="G171" i="5"/>
  <c r="G168" i="5"/>
  <c r="G166" i="5"/>
  <c r="G163" i="5"/>
  <c r="G162" i="5"/>
  <c r="G161" i="5"/>
  <c r="G160" i="5"/>
  <c r="G159" i="5"/>
  <c r="E158" i="5"/>
  <c r="E157" i="5"/>
  <c r="G156" i="5"/>
  <c r="G155" i="5"/>
  <c r="G154" i="5"/>
  <c r="G149" i="5"/>
  <c r="G146" i="5"/>
  <c r="G145" i="5"/>
  <c r="G144" i="5"/>
  <c r="G141" i="5"/>
  <c r="G140" i="5"/>
  <c r="G139" i="5"/>
  <c r="E138" i="5"/>
  <c r="G128" i="5"/>
  <c r="G127" i="5"/>
  <c r="G123" i="5"/>
  <c r="G122" i="5"/>
  <c r="G121" i="5"/>
  <c r="G120" i="5"/>
  <c r="G118" i="5"/>
  <c r="G117" i="5"/>
  <c r="G113" i="5"/>
  <c r="G108" i="5"/>
  <c r="G107" i="5"/>
  <c r="E105" i="5"/>
  <c r="G104" i="5"/>
  <c r="G103" i="5"/>
  <c r="G102" i="5"/>
  <c r="G98" i="5"/>
  <c r="E96" i="5"/>
  <c r="E95" i="5"/>
  <c r="G93" i="5"/>
  <c r="E91" i="5"/>
  <c r="E90" i="5"/>
  <c r="G89" i="5"/>
  <c r="G88" i="5"/>
  <c r="G87" i="5"/>
  <c r="G86" i="5"/>
  <c r="G83" i="5"/>
  <c r="G78" i="5"/>
  <c r="G71" i="5"/>
  <c r="G65" i="5"/>
  <c r="G60" i="5"/>
  <c r="G59" i="5"/>
  <c r="G53" i="5"/>
  <c r="G52" i="5"/>
  <c r="G51" i="5"/>
  <c r="E50" i="5"/>
  <c r="E49" i="5"/>
  <c r="G47" i="5"/>
  <c r="G43" i="5"/>
  <c r="G41" i="5"/>
  <c r="G37" i="5"/>
  <c r="G29" i="5"/>
  <c r="G27" i="5"/>
  <c r="G15" i="5"/>
  <c r="G13" i="5"/>
  <c r="G11" i="5"/>
  <c r="G10" i="5"/>
  <c r="G9" i="5"/>
  <c r="G6" i="5"/>
  <c r="G13" i="7" l="1"/>
  <c r="G132" i="6"/>
  <c r="G4881" i="8"/>
  <c r="G4865" i="8"/>
  <c r="G4857" i="8"/>
  <c r="G4847" i="8"/>
  <c r="G4834" i="8"/>
  <c r="G4819" i="8"/>
  <c r="G4803" i="8"/>
  <c r="G4787" i="8"/>
  <c r="G4768" i="8"/>
  <c r="G4746" i="8"/>
  <c r="G4723" i="8"/>
  <c r="G4704" i="8"/>
  <c r="G4682" i="8"/>
  <c r="G4659" i="8"/>
  <c r="G4640" i="8"/>
  <c r="G4618" i="8"/>
  <c r="G4595" i="8"/>
  <c r="G4576" i="8"/>
  <c r="G4554" i="8"/>
  <c r="G4531" i="8"/>
  <c r="G4512" i="8"/>
  <c r="G4490" i="8"/>
  <c r="G4467" i="8"/>
  <c r="G4448" i="8"/>
  <c r="G4426" i="8"/>
  <c r="G4403" i="8"/>
  <c r="G4384" i="8"/>
  <c r="G4362" i="8"/>
  <c r="G4339" i="8"/>
  <c r="G4320" i="8"/>
  <c r="G4298" i="8"/>
  <c r="G4275" i="8"/>
  <c r="G4256" i="8"/>
  <c r="G4234" i="8"/>
  <c r="G4211" i="8"/>
  <c r="G4192" i="8"/>
  <c r="G4170" i="8"/>
  <c r="G4147" i="8"/>
  <c r="G4128" i="8"/>
  <c r="G4106" i="8"/>
  <c r="G4083" i="8"/>
  <c r="G4064" i="8"/>
  <c r="G4042" i="8"/>
  <c r="G4019" i="8"/>
  <c r="G4000" i="8"/>
  <c r="G3978" i="8"/>
  <c r="G3955" i="8"/>
  <c r="G3936" i="8"/>
  <c r="G3914" i="8"/>
  <c r="G3891" i="8"/>
  <c r="G3872" i="8"/>
  <c r="G3850" i="8"/>
  <c r="G3827" i="8"/>
  <c r="G3805" i="8"/>
  <c r="G3775" i="8"/>
  <c r="G3743" i="8"/>
  <c r="G3712" i="8"/>
  <c r="G3678" i="8"/>
  <c r="G3631" i="8"/>
  <c r="G3592" i="8"/>
  <c r="G3543" i="8"/>
  <c r="G3480" i="8"/>
  <c r="G3416" i="8"/>
  <c r="G3328" i="8"/>
  <c r="G3220" i="8"/>
  <c r="G2976" i="8"/>
  <c r="G2624" i="8"/>
  <c r="G2162" i="8"/>
  <c r="G4872" i="8"/>
  <c r="G4864" i="8"/>
  <c r="G4856" i="8"/>
  <c r="G4845" i="8"/>
  <c r="G4832" i="8"/>
  <c r="G4818" i="8"/>
  <c r="G4802" i="8"/>
  <c r="G4786" i="8"/>
  <c r="G4763" i="8"/>
  <c r="G4744" i="8"/>
  <c r="G4722" i="8"/>
  <c r="G4699" i="8"/>
  <c r="G4680" i="8"/>
  <c r="G4658" i="8"/>
  <c r="G4635" i="8"/>
  <c r="G4616" i="8"/>
  <c r="G4594" i="8"/>
  <c r="G4571" i="8"/>
  <c r="G4552" i="8"/>
  <c r="G4530" i="8"/>
  <c r="G4507" i="8"/>
  <c r="G4488" i="8"/>
  <c r="G4466" i="8"/>
  <c r="G4443" i="8"/>
  <c r="G4424" i="8"/>
  <c r="G4402" i="8"/>
  <c r="G4379" i="8"/>
  <c r="G4360" i="8"/>
  <c r="G4338" i="8"/>
  <c r="G4315" i="8"/>
  <c r="G4296" i="8"/>
  <c r="G4274" i="8"/>
  <c r="G4251" i="8"/>
  <c r="G4232" i="8"/>
  <c r="G4210" i="8"/>
  <c r="G4187" i="8"/>
  <c r="G4168" i="8"/>
  <c r="G4146" i="8"/>
  <c r="G4123" i="8"/>
  <c r="G4104" i="8"/>
  <c r="G4082" i="8"/>
  <c r="G4059" i="8"/>
  <c r="G4040" i="8"/>
  <c r="G4018" i="8"/>
  <c r="G3995" i="8"/>
  <c r="G3976" i="8"/>
  <c r="G3954" i="8"/>
  <c r="G3931" i="8"/>
  <c r="G3912" i="8"/>
  <c r="G3890" i="8"/>
  <c r="G3867" i="8"/>
  <c r="G3848" i="8"/>
  <c r="G3826" i="8"/>
  <c r="G3798" i="8"/>
  <c r="G3773" i="8"/>
  <c r="G3742" i="8"/>
  <c r="G3704" i="8"/>
  <c r="G3672" i="8"/>
  <c r="G3630" i="8"/>
  <c r="G3583" i="8"/>
  <c r="G3536" i="8"/>
  <c r="G3479" i="8"/>
  <c r="G3399" i="8"/>
  <c r="G3320" i="8"/>
  <c r="G3206" i="8"/>
  <c r="G2910" i="8"/>
  <c r="G2592" i="8"/>
  <c r="G2098" i="8"/>
  <c r="G4871" i="8"/>
  <c r="G4863" i="8"/>
  <c r="G4855" i="8"/>
  <c r="G4843" i="8"/>
  <c r="G4831" i="8"/>
  <c r="G4816" i="8"/>
  <c r="G4800" i="8"/>
  <c r="G4784" i="8"/>
  <c r="G4762" i="8"/>
  <c r="G4739" i="8"/>
  <c r="G4720" i="8"/>
  <c r="G4698" i="8"/>
  <c r="G4675" i="8"/>
  <c r="G4656" i="8"/>
  <c r="G4634" i="8"/>
  <c r="G4611" i="8"/>
  <c r="G4592" i="8"/>
  <c r="G4570" i="8"/>
  <c r="G4547" i="8"/>
  <c r="G4528" i="8"/>
  <c r="G4506" i="8"/>
  <c r="G4483" i="8"/>
  <c r="G4464" i="8"/>
  <c r="G4442" i="8"/>
  <c r="G4419" i="8"/>
  <c r="G4400" i="8"/>
  <c r="G4378" i="8"/>
  <c r="G4355" i="8"/>
  <c r="G4336" i="8"/>
  <c r="G4314" i="8"/>
  <c r="G4291" i="8"/>
  <c r="G4272" i="8"/>
  <c r="G4250" i="8"/>
  <c r="G4227" i="8"/>
  <c r="G4208" i="8"/>
  <c r="G4186" i="8"/>
  <c r="G4163" i="8"/>
  <c r="G4144" i="8"/>
  <c r="G4122" i="8"/>
  <c r="G4099" i="8"/>
  <c r="G4080" i="8"/>
  <c r="G4058" i="8"/>
  <c r="G4035" i="8"/>
  <c r="G4016" i="8"/>
  <c r="G3994" i="8"/>
  <c r="G3971" i="8"/>
  <c r="G3952" i="8"/>
  <c r="G3930" i="8"/>
  <c r="G3907" i="8"/>
  <c r="G3888" i="8"/>
  <c r="G3866" i="8"/>
  <c r="G3843" i="8"/>
  <c r="G3824" i="8"/>
  <c r="G3797" i="8"/>
  <c r="G3766" i="8"/>
  <c r="G3737" i="8"/>
  <c r="G3703" i="8"/>
  <c r="G3663" i="8"/>
  <c r="G3624" i="8"/>
  <c r="G3582" i="8"/>
  <c r="G3521" i="8"/>
  <c r="G3472" i="8"/>
  <c r="G3392" i="8"/>
  <c r="G3303" i="8"/>
  <c r="G3188" i="8"/>
  <c r="G2880" i="8"/>
  <c r="G2526" i="8"/>
  <c r="G1865" i="8"/>
  <c r="G4870" i="8"/>
  <c r="G4862" i="8"/>
  <c r="G4853" i="8"/>
  <c r="G4842" i="8"/>
  <c r="G4829" i="8"/>
  <c r="G4815" i="8"/>
  <c r="G4799" i="8"/>
  <c r="G4779" i="8"/>
  <c r="G4760" i="8"/>
  <c r="G4738" i="8"/>
  <c r="G4715" i="8"/>
  <c r="G4696" i="8"/>
  <c r="G4674" i="8"/>
  <c r="G4651" i="8"/>
  <c r="G4632" i="8"/>
  <c r="G4610" i="8"/>
  <c r="G4587" i="8"/>
  <c r="G4568" i="8"/>
  <c r="G4546" i="8"/>
  <c r="G4523" i="8"/>
  <c r="G4504" i="8"/>
  <c r="G4482" i="8"/>
  <c r="G4459" i="8"/>
  <c r="G4440" i="8"/>
  <c r="G4418" i="8"/>
  <c r="G4395" i="8"/>
  <c r="G4376" i="8"/>
  <c r="G4354" i="8"/>
  <c r="G4331" i="8"/>
  <c r="G4312" i="8"/>
  <c r="G4290" i="8"/>
  <c r="G4267" i="8"/>
  <c r="G4248" i="8"/>
  <c r="G4226" i="8"/>
  <c r="G4203" i="8"/>
  <c r="G4184" i="8"/>
  <c r="G4162" i="8"/>
  <c r="G4139" i="8"/>
  <c r="G4120" i="8"/>
  <c r="G4098" i="8"/>
  <c r="G4075" i="8"/>
  <c r="G4056" i="8"/>
  <c r="G4034" i="8"/>
  <c r="G4011" i="8"/>
  <c r="G3992" i="8"/>
  <c r="G3970" i="8"/>
  <c r="G3947" i="8"/>
  <c r="G3928" i="8"/>
  <c r="G3906" i="8"/>
  <c r="G3883" i="8"/>
  <c r="G3864" i="8"/>
  <c r="G3842" i="8"/>
  <c r="G3819" i="8"/>
  <c r="G3793" i="8"/>
  <c r="G3765" i="8"/>
  <c r="G3729" i="8"/>
  <c r="G3699" i="8"/>
  <c r="G3662" i="8"/>
  <c r="G3615" i="8"/>
  <c r="G3576" i="8"/>
  <c r="G3520" i="8"/>
  <c r="G3457" i="8"/>
  <c r="G3384" i="8"/>
  <c r="G3296" i="8"/>
  <c r="G3142" i="8"/>
  <c r="G2848" i="8"/>
  <c r="G2496" i="8"/>
  <c r="G1746" i="8"/>
  <c r="G4869" i="8"/>
  <c r="G4861" i="8"/>
  <c r="G4852" i="8"/>
  <c r="G4840" i="8"/>
  <c r="G4827" i="8"/>
  <c r="G4811" i="8"/>
  <c r="G4778" i="8"/>
  <c r="G4755" i="8"/>
  <c r="G4736" i="8"/>
  <c r="G4714" i="8"/>
  <c r="G4691" i="8"/>
  <c r="G4672" i="8"/>
  <c r="G4650" i="8"/>
  <c r="G4627" i="8"/>
  <c r="G4608" i="8"/>
  <c r="G4586" i="8"/>
  <c r="G4563" i="8"/>
  <c r="G4544" i="8"/>
  <c r="G4522" i="8"/>
  <c r="G4499" i="8"/>
  <c r="G4480" i="8"/>
  <c r="G4458" i="8"/>
  <c r="G4435" i="8"/>
  <c r="G4416" i="8"/>
  <c r="G4394" i="8"/>
  <c r="G4371" i="8"/>
  <c r="G4352" i="8"/>
  <c r="G4330" i="8"/>
  <c r="G4307" i="8"/>
  <c r="G4288" i="8"/>
  <c r="G4266" i="8"/>
  <c r="G4243" i="8"/>
  <c r="G4224" i="8"/>
  <c r="G4202" i="8"/>
  <c r="G4179" i="8"/>
  <c r="G4160" i="8"/>
  <c r="G4138" i="8"/>
  <c r="G4115" i="8"/>
  <c r="G4096" i="8"/>
  <c r="G4074" i="8"/>
  <c r="G4051" i="8"/>
  <c r="G4032" i="8"/>
  <c r="G4010" i="8"/>
  <c r="G3987" i="8"/>
  <c r="G3968" i="8"/>
  <c r="G3946" i="8"/>
  <c r="G3923" i="8"/>
  <c r="G3904" i="8"/>
  <c r="G3882" i="8"/>
  <c r="G3859" i="8"/>
  <c r="G3840" i="8"/>
  <c r="G3817" i="8"/>
  <c r="G3787" i="8"/>
  <c r="G3761" i="8"/>
  <c r="G3728" i="8"/>
  <c r="G3691" i="8"/>
  <c r="G3656" i="8"/>
  <c r="G3614" i="8"/>
  <c r="G3567" i="8"/>
  <c r="G3513" i="8"/>
  <c r="G3456" i="8"/>
  <c r="G3367" i="8"/>
  <c r="G3288" i="8"/>
  <c r="G3124" i="8"/>
  <c r="G2782" i="8"/>
  <c r="G2464" i="8"/>
  <c r="G1362" i="8"/>
  <c r="G4868" i="8"/>
  <c r="G4860" i="8"/>
  <c r="G4851" i="8"/>
  <c r="G4839" i="8"/>
  <c r="G4826" i="8"/>
  <c r="G4810" i="8"/>
  <c r="G4776" i="8"/>
  <c r="G4754" i="8"/>
  <c r="G4731" i="8"/>
  <c r="G4712" i="8"/>
  <c r="G4690" i="8"/>
  <c r="G4667" i="8"/>
  <c r="G4648" i="8"/>
  <c r="G4626" i="8"/>
  <c r="G4603" i="8"/>
  <c r="G4584" i="8"/>
  <c r="G4562" i="8"/>
  <c r="G4539" i="8"/>
  <c r="G4520" i="8"/>
  <c r="G4498" i="8"/>
  <c r="G4475" i="8"/>
  <c r="G4456" i="8"/>
  <c r="G4434" i="8"/>
  <c r="G4411" i="8"/>
  <c r="G4392" i="8"/>
  <c r="G4370" i="8"/>
  <c r="G4347" i="8"/>
  <c r="G4328" i="8"/>
  <c r="G4306" i="8"/>
  <c r="G4283" i="8"/>
  <c r="G4264" i="8"/>
  <c r="G4242" i="8"/>
  <c r="G4219" i="8"/>
  <c r="G4200" i="8"/>
  <c r="G4178" i="8"/>
  <c r="G4155" i="8"/>
  <c r="G4136" i="8"/>
  <c r="G4114" i="8"/>
  <c r="G4091" i="8"/>
  <c r="G4072" i="8"/>
  <c r="G4050" i="8"/>
  <c r="G4027" i="8"/>
  <c r="G4008" i="8"/>
  <c r="G3986" i="8"/>
  <c r="G3963" i="8"/>
  <c r="G3944" i="8"/>
  <c r="G3922" i="8"/>
  <c r="G3899" i="8"/>
  <c r="G3880" i="8"/>
  <c r="G3858" i="8"/>
  <c r="G3835" i="8"/>
  <c r="G3815" i="8"/>
  <c r="G3785" i="8"/>
  <c r="G3755" i="8"/>
  <c r="G3726" i="8"/>
  <c r="G3689" i="8"/>
  <c r="G3647" i="8"/>
  <c r="G3608" i="8"/>
  <c r="G3561" i="8"/>
  <c r="G3503" i="8"/>
  <c r="G3448" i="8"/>
  <c r="G3360" i="8"/>
  <c r="G3271" i="8"/>
  <c r="G3102" i="8"/>
  <c r="G2752" i="8"/>
  <c r="G2398" i="8"/>
  <c r="G6" i="8"/>
  <c r="G14" i="8"/>
  <c r="G30" i="8"/>
  <c r="G38" i="8"/>
  <c r="G46" i="8"/>
  <c r="G54" i="8"/>
  <c r="G62" i="8"/>
  <c r="G70" i="8"/>
  <c r="G78" i="8"/>
  <c r="G86" i="8"/>
  <c r="G94" i="8"/>
  <c r="G102" i="8"/>
  <c r="G110" i="8"/>
  <c r="G118" i="8"/>
  <c r="G126" i="8"/>
  <c r="G134" i="8"/>
  <c r="G142" i="8"/>
  <c r="G150" i="8"/>
  <c r="G158" i="8"/>
  <c r="G166" i="8"/>
  <c r="G174" i="8"/>
  <c r="G182" i="8"/>
  <c r="G190" i="8"/>
  <c r="G198" i="8"/>
  <c r="G206" i="8"/>
  <c r="G214" i="8"/>
  <c r="G222" i="8"/>
  <c r="G230" i="8"/>
  <c r="G238" i="8"/>
  <c r="G246" i="8"/>
  <c r="G254" i="8"/>
  <c r="G262" i="8"/>
  <c r="G270" i="8"/>
  <c r="G278" i="8"/>
  <c r="G286" i="8"/>
  <c r="G294" i="8"/>
  <c r="G302" i="8"/>
  <c r="G310" i="8"/>
  <c r="G318" i="8"/>
  <c r="G326" i="8"/>
  <c r="G334" i="8"/>
  <c r="G342" i="8"/>
  <c r="G350" i="8"/>
  <c r="G358" i="8"/>
  <c r="G366" i="8"/>
  <c r="G374" i="8"/>
  <c r="G382" i="8"/>
  <c r="G390" i="8"/>
  <c r="G398" i="8"/>
  <c r="G406" i="8"/>
  <c r="G414" i="8"/>
  <c r="G422" i="8"/>
  <c r="G430" i="8"/>
  <c r="G438" i="8"/>
  <c r="G446" i="8"/>
  <c r="G454" i="8"/>
  <c r="G462" i="8"/>
  <c r="G470" i="8"/>
  <c r="G478" i="8"/>
  <c r="G486" i="8"/>
  <c r="G494" i="8"/>
  <c r="G502" i="8"/>
  <c r="G510" i="8"/>
  <c r="G518" i="8"/>
  <c r="G526" i="8"/>
  <c r="G534" i="8"/>
  <c r="G542" i="8"/>
  <c r="G550" i="8"/>
  <c r="G558" i="8"/>
  <c r="G566" i="8"/>
  <c r="G574" i="8"/>
  <c r="G582" i="8"/>
  <c r="G590" i="8"/>
  <c r="G598" i="8"/>
  <c r="G606" i="8"/>
  <c r="G614" i="8"/>
  <c r="G622" i="8"/>
  <c r="G630" i="8"/>
  <c r="G638" i="8"/>
  <c r="G646" i="8"/>
  <c r="G654" i="8"/>
  <c r="G662" i="8"/>
  <c r="G670" i="8"/>
  <c r="G678" i="8"/>
  <c r="G686" i="8"/>
  <c r="G7" i="8"/>
  <c r="G15" i="8"/>
  <c r="G31" i="8"/>
  <c r="G39" i="8"/>
  <c r="G47" i="8"/>
  <c r="G55" i="8"/>
  <c r="G63" i="8"/>
  <c r="G71" i="8"/>
  <c r="G79" i="8"/>
  <c r="G87" i="8"/>
  <c r="G95" i="8"/>
  <c r="G103" i="8"/>
  <c r="G111" i="8"/>
  <c r="G119" i="8"/>
  <c r="G127" i="8"/>
  <c r="G135" i="8"/>
  <c r="G143" i="8"/>
  <c r="G151" i="8"/>
  <c r="G159" i="8"/>
  <c r="G167" i="8"/>
  <c r="G175" i="8"/>
  <c r="G183" i="8"/>
  <c r="G191" i="8"/>
  <c r="G199" i="8"/>
  <c r="G207" i="8"/>
  <c r="G215" i="8"/>
  <c r="G223" i="8"/>
  <c r="G231" i="8"/>
  <c r="G239" i="8"/>
  <c r="G247" i="8"/>
  <c r="G255" i="8"/>
  <c r="G263" i="8"/>
  <c r="G271" i="8"/>
  <c r="G279" i="8"/>
  <c r="G287" i="8"/>
  <c r="G295" i="8"/>
  <c r="G303" i="8"/>
  <c r="G311" i="8"/>
  <c r="G319" i="8"/>
  <c r="G327" i="8"/>
  <c r="G335" i="8"/>
  <c r="G343" i="8"/>
  <c r="G351" i="8"/>
  <c r="G359" i="8"/>
  <c r="G367" i="8"/>
  <c r="G375" i="8"/>
  <c r="G383" i="8"/>
  <c r="G391" i="8"/>
  <c r="G399" i="8"/>
  <c r="G407" i="8"/>
  <c r="G415" i="8"/>
  <c r="G423" i="8"/>
  <c r="G431" i="8"/>
  <c r="G439" i="8"/>
  <c r="G447" i="8"/>
  <c r="G455" i="8"/>
  <c r="G463" i="8"/>
  <c r="G471" i="8"/>
  <c r="G479" i="8"/>
  <c r="G487" i="8"/>
  <c r="G495" i="8"/>
  <c r="G503" i="8"/>
  <c r="G511" i="8"/>
  <c r="G519" i="8"/>
  <c r="G527" i="8"/>
  <c r="G535" i="8"/>
  <c r="G543" i="8"/>
  <c r="G551" i="8"/>
  <c r="G559" i="8"/>
  <c r="G567" i="8"/>
  <c r="G575" i="8"/>
  <c r="G583" i="8"/>
  <c r="G591" i="8"/>
  <c r="G599" i="8"/>
  <c r="G607" i="8"/>
  <c r="G615" i="8"/>
  <c r="G623" i="8"/>
  <c r="G631" i="8"/>
  <c r="G8" i="8"/>
  <c r="G16" i="8"/>
  <c r="G24" i="8"/>
  <c r="G32" i="8"/>
  <c r="G40" i="8"/>
  <c r="G48" i="8"/>
  <c r="G56" i="8"/>
  <c r="G64" i="8"/>
  <c r="G72" i="8"/>
  <c r="G80" i="8"/>
  <c r="G88" i="8"/>
  <c r="G96" i="8"/>
  <c r="G104" i="8"/>
  <c r="G112" i="8"/>
  <c r="G120" i="8"/>
  <c r="G128" i="8"/>
  <c r="G136" i="8"/>
  <c r="G144" i="8"/>
  <c r="G152" i="8"/>
  <c r="G160" i="8"/>
  <c r="G168" i="8"/>
  <c r="G176" i="8"/>
  <c r="G184" i="8"/>
  <c r="G192" i="8"/>
  <c r="G200" i="8"/>
  <c r="G208" i="8"/>
  <c r="G216" i="8"/>
  <c r="G224" i="8"/>
  <c r="G232" i="8"/>
  <c r="G240" i="8"/>
  <c r="G248" i="8"/>
  <c r="G256" i="8"/>
  <c r="G264" i="8"/>
  <c r="G272" i="8"/>
  <c r="G280" i="8"/>
  <c r="G288" i="8"/>
  <c r="G296" i="8"/>
  <c r="G304" i="8"/>
  <c r="G312" i="8"/>
  <c r="G320" i="8"/>
  <c r="G328" i="8"/>
  <c r="G336" i="8"/>
  <c r="G344" i="8"/>
  <c r="G352" i="8"/>
  <c r="G360" i="8"/>
  <c r="G368" i="8"/>
  <c r="G376" i="8"/>
  <c r="G384" i="8"/>
  <c r="G392" i="8"/>
  <c r="G400" i="8"/>
  <c r="G408" i="8"/>
  <c r="G416" i="8"/>
  <c r="G424" i="8"/>
  <c r="G432" i="8"/>
  <c r="G440" i="8"/>
  <c r="G448" i="8"/>
  <c r="G456" i="8"/>
  <c r="G464" i="8"/>
  <c r="G472" i="8"/>
  <c r="G480" i="8"/>
  <c r="G488" i="8"/>
  <c r="G496" i="8"/>
  <c r="G504" i="8"/>
  <c r="G512" i="8"/>
  <c r="G520" i="8"/>
  <c r="G528" i="8"/>
  <c r="G536" i="8"/>
  <c r="G544" i="8"/>
  <c r="G552" i="8"/>
  <c r="G560" i="8"/>
  <c r="G568" i="8"/>
  <c r="G576" i="8"/>
  <c r="G584" i="8"/>
  <c r="G592" i="8"/>
  <c r="G600" i="8"/>
  <c r="G608" i="8"/>
  <c r="G616" i="8"/>
  <c r="G624" i="8"/>
  <c r="G632" i="8"/>
  <c r="G640" i="8"/>
  <c r="G648" i="8"/>
  <c r="G656" i="8"/>
  <c r="G664" i="8"/>
  <c r="G672" i="8"/>
  <c r="G680" i="8"/>
  <c r="G9" i="8"/>
  <c r="G17" i="8"/>
  <c r="G25" i="8"/>
  <c r="G33" i="8"/>
  <c r="G41" i="8"/>
  <c r="G49" i="8"/>
  <c r="G57" i="8"/>
  <c r="G65" i="8"/>
  <c r="G73" i="8"/>
  <c r="G81" i="8"/>
  <c r="G89" i="8"/>
  <c r="G97" i="8"/>
  <c r="G105" i="8"/>
  <c r="G113" i="8"/>
  <c r="G121" i="8"/>
  <c r="G129" i="8"/>
  <c r="G137" i="8"/>
  <c r="G145" i="8"/>
  <c r="G153" i="8"/>
  <c r="G161" i="8"/>
  <c r="G169" i="8"/>
  <c r="G177" i="8"/>
  <c r="G185" i="8"/>
  <c r="G193" i="8"/>
  <c r="G201" i="8"/>
  <c r="G209" i="8"/>
  <c r="G217" i="8"/>
  <c r="G225" i="8"/>
  <c r="G233" i="8"/>
  <c r="G241" i="8"/>
  <c r="G249" i="8"/>
  <c r="G257" i="8"/>
  <c r="G265" i="8"/>
  <c r="G273" i="8"/>
  <c r="G281" i="8"/>
  <c r="G289" i="8"/>
  <c r="G297" i="8"/>
  <c r="G305" i="8"/>
  <c r="G313" i="8"/>
  <c r="G321" i="8"/>
  <c r="G329" i="8"/>
  <c r="G337" i="8"/>
  <c r="G345" i="8"/>
  <c r="G353" i="8"/>
  <c r="G361" i="8"/>
  <c r="G369" i="8"/>
  <c r="G377" i="8"/>
  <c r="G385" i="8"/>
  <c r="G393" i="8"/>
  <c r="G401" i="8"/>
  <c r="G409" i="8"/>
  <c r="G417" i="8"/>
  <c r="G425" i="8"/>
  <c r="G433" i="8"/>
  <c r="G441" i="8"/>
  <c r="G449" i="8"/>
  <c r="G457" i="8"/>
  <c r="G465" i="8"/>
  <c r="G473" i="8"/>
  <c r="G481" i="8"/>
  <c r="G489" i="8"/>
  <c r="G497" i="8"/>
  <c r="G505" i="8"/>
  <c r="G513" i="8"/>
  <c r="G521" i="8"/>
  <c r="G529" i="8"/>
  <c r="G537" i="8"/>
  <c r="G545" i="8"/>
  <c r="G553" i="8"/>
  <c r="G561" i="8"/>
  <c r="G569" i="8"/>
  <c r="G577" i="8"/>
  <c r="G585" i="8"/>
  <c r="G593" i="8"/>
  <c r="G601" i="8"/>
  <c r="G609" i="8"/>
  <c r="G617" i="8"/>
  <c r="G625" i="8"/>
  <c r="G633" i="8"/>
  <c r="G641" i="8"/>
  <c r="G649" i="8"/>
  <c r="G657" i="8"/>
  <c r="G665" i="8"/>
  <c r="G673" i="8"/>
  <c r="G681" i="8"/>
  <c r="G10" i="8"/>
  <c r="G18" i="8"/>
  <c r="G26" i="8"/>
  <c r="G34" i="8"/>
  <c r="G42" i="8"/>
  <c r="G50" i="8"/>
  <c r="G58" i="8"/>
  <c r="G66" i="8"/>
  <c r="G74" i="8"/>
  <c r="G82" i="8"/>
  <c r="G90" i="8"/>
  <c r="G98" i="8"/>
  <c r="G106" i="8"/>
  <c r="G114" i="8"/>
  <c r="G122" i="8"/>
  <c r="G130" i="8"/>
  <c r="G138" i="8"/>
  <c r="G146" i="8"/>
  <c r="G154" i="8"/>
  <c r="G162" i="8"/>
  <c r="G170" i="8"/>
  <c r="G178" i="8"/>
  <c r="G186" i="8"/>
  <c r="G194" i="8"/>
  <c r="G202" i="8"/>
  <c r="G210" i="8"/>
  <c r="G218" i="8"/>
  <c r="G226" i="8"/>
  <c r="G234" i="8"/>
  <c r="G242" i="8"/>
  <c r="G250" i="8"/>
  <c r="G258" i="8"/>
  <c r="G266" i="8"/>
  <c r="G274" i="8"/>
  <c r="G282" i="8"/>
  <c r="G290" i="8"/>
  <c r="G298" i="8"/>
  <c r="G306" i="8"/>
  <c r="G314" i="8"/>
  <c r="G322" i="8"/>
  <c r="G330" i="8"/>
  <c r="G338" i="8"/>
  <c r="G346" i="8"/>
  <c r="G354" i="8"/>
  <c r="G362" i="8"/>
  <c r="G370" i="8"/>
  <c r="G378" i="8"/>
  <c r="G386" i="8"/>
  <c r="G394" i="8"/>
  <c r="G402" i="8"/>
  <c r="G410" i="8"/>
  <c r="G418" i="8"/>
  <c r="G426" i="8"/>
  <c r="G434" i="8"/>
  <c r="G442" i="8"/>
  <c r="G450" i="8"/>
  <c r="G458" i="8"/>
  <c r="G466" i="8"/>
  <c r="G474" i="8"/>
  <c r="G482" i="8"/>
  <c r="G490" i="8"/>
  <c r="G498" i="8"/>
  <c r="G506" i="8"/>
  <c r="G514" i="8"/>
  <c r="G522" i="8"/>
  <c r="G530" i="8"/>
  <c r="G538" i="8"/>
  <c r="G546" i="8"/>
  <c r="G554" i="8"/>
  <c r="G562" i="8"/>
  <c r="G570" i="8"/>
  <c r="G578" i="8"/>
  <c r="G586" i="8"/>
  <c r="G594" i="8"/>
  <c r="G602" i="8"/>
  <c r="G610" i="8"/>
  <c r="G618" i="8"/>
  <c r="G626" i="8"/>
  <c r="G634" i="8"/>
  <c r="G642" i="8"/>
  <c r="G650" i="8"/>
  <c r="G658" i="8"/>
  <c r="G666" i="8"/>
  <c r="G674" i="8"/>
  <c r="G682" i="8"/>
  <c r="G12" i="8"/>
  <c r="G20" i="8"/>
  <c r="G28" i="8"/>
  <c r="G36" i="8"/>
  <c r="G44" i="8"/>
  <c r="G52" i="8"/>
  <c r="G60" i="8"/>
  <c r="G68" i="8"/>
  <c r="G76" i="8"/>
  <c r="G84" i="8"/>
  <c r="G92" i="8"/>
  <c r="G100" i="8"/>
  <c r="G108" i="8"/>
  <c r="G116" i="8"/>
  <c r="G124" i="8"/>
  <c r="G132" i="8"/>
  <c r="G140" i="8"/>
  <c r="G148" i="8"/>
  <c r="G156" i="8"/>
  <c r="G164" i="8"/>
  <c r="G172" i="8"/>
  <c r="G180" i="8"/>
  <c r="G188" i="8"/>
  <c r="G196" i="8"/>
  <c r="G204" i="8"/>
  <c r="G212" i="8"/>
  <c r="G220" i="8"/>
  <c r="G228" i="8"/>
  <c r="G236" i="8"/>
  <c r="G244" i="8"/>
  <c r="G252" i="8"/>
  <c r="G260" i="8"/>
  <c r="G268" i="8"/>
  <c r="G276" i="8"/>
  <c r="G284" i="8"/>
  <c r="G292" i="8"/>
  <c r="G300" i="8"/>
  <c r="G308" i="8"/>
  <c r="G316" i="8"/>
  <c r="G324" i="8"/>
  <c r="G332" i="8"/>
  <c r="G340" i="8"/>
  <c r="G348" i="8"/>
  <c r="G356" i="8"/>
  <c r="G364" i="8"/>
  <c r="G372" i="8"/>
  <c r="G380" i="8"/>
  <c r="G388" i="8"/>
  <c r="G396" i="8"/>
  <c r="G404" i="8"/>
  <c r="G412" i="8"/>
  <c r="G420" i="8"/>
  <c r="G428" i="8"/>
  <c r="G436" i="8"/>
  <c r="G444" i="8"/>
  <c r="G452" i="8"/>
  <c r="G460" i="8"/>
  <c r="G468" i="8"/>
  <c r="G476" i="8"/>
  <c r="G484" i="8"/>
  <c r="G492" i="8"/>
  <c r="G500" i="8"/>
  <c r="G508" i="8"/>
  <c r="G516" i="8"/>
  <c r="G524" i="8"/>
  <c r="G532" i="8"/>
  <c r="G540" i="8"/>
  <c r="G548" i="8"/>
  <c r="G556" i="8"/>
  <c r="G564" i="8"/>
  <c r="G572" i="8"/>
  <c r="G580" i="8"/>
  <c r="G588" i="8"/>
  <c r="G596" i="8"/>
  <c r="G604" i="8"/>
  <c r="G612" i="8"/>
  <c r="G620" i="8"/>
  <c r="G628" i="8"/>
  <c r="G636" i="8"/>
  <c r="G644" i="8"/>
  <c r="G652" i="8"/>
  <c r="G660" i="8"/>
  <c r="G668" i="8"/>
  <c r="G676" i="8"/>
  <c r="G684" i="8"/>
  <c r="G11" i="8"/>
  <c r="G35" i="8"/>
  <c r="G67" i="8"/>
  <c r="G99" i="8"/>
  <c r="G131" i="8"/>
  <c r="G163" i="8"/>
  <c r="G195" i="8"/>
  <c r="G227" i="8"/>
  <c r="G259" i="8"/>
  <c r="G291" i="8"/>
  <c r="G323" i="8"/>
  <c r="G355" i="8"/>
  <c r="G387" i="8"/>
  <c r="G419" i="8"/>
  <c r="G451" i="8"/>
  <c r="G483" i="8"/>
  <c r="G515" i="8"/>
  <c r="G547" i="8"/>
  <c r="G579" i="8"/>
  <c r="G611" i="8"/>
  <c r="G639" i="8"/>
  <c r="G661" i="8"/>
  <c r="G683" i="8"/>
  <c r="G693" i="8"/>
  <c r="G701" i="8"/>
  <c r="G709" i="8"/>
  <c r="G717" i="8"/>
  <c r="G725" i="8"/>
  <c r="G733" i="8"/>
  <c r="G741" i="8"/>
  <c r="G749" i="8"/>
  <c r="G757" i="8"/>
  <c r="G765" i="8"/>
  <c r="G773" i="8"/>
  <c r="G781" i="8"/>
  <c r="G789" i="8"/>
  <c r="G797" i="8"/>
  <c r="G805" i="8"/>
  <c r="G813" i="8"/>
  <c r="G821" i="8"/>
  <c r="G829" i="8"/>
  <c r="G837" i="8"/>
  <c r="G845" i="8"/>
  <c r="G853" i="8"/>
  <c r="G861" i="8"/>
  <c r="G869" i="8"/>
  <c r="G877" i="8"/>
  <c r="G885" i="8"/>
  <c r="G893" i="8"/>
  <c r="G901" i="8"/>
  <c r="G909" i="8"/>
  <c r="G917" i="8"/>
  <c r="G925" i="8"/>
  <c r="G933" i="8"/>
  <c r="G941" i="8"/>
  <c r="G949" i="8"/>
  <c r="G957" i="8"/>
  <c r="G965" i="8"/>
  <c r="G973" i="8"/>
  <c r="G981" i="8"/>
  <c r="G989" i="8"/>
  <c r="G997" i="8"/>
  <c r="G1005" i="8"/>
  <c r="G1013" i="8"/>
  <c r="G1021" i="8"/>
  <c r="G1029" i="8"/>
  <c r="G1037" i="8"/>
  <c r="G1045" i="8"/>
  <c r="G1053" i="8"/>
  <c r="G1061" i="8"/>
  <c r="G1069" i="8"/>
  <c r="G1077" i="8"/>
  <c r="G1085" i="8"/>
  <c r="G1093" i="8"/>
  <c r="G1101" i="8"/>
  <c r="G1109" i="8"/>
  <c r="G1117" i="8"/>
  <c r="G1125" i="8"/>
  <c r="G1133" i="8"/>
  <c r="G1141" i="8"/>
  <c r="G1149" i="8"/>
  <c r="G1157" i="8"/>
  <c r="G1165" i="8"/>
  <c r="G1173" i="8"/>
  <c r="G1181" i="8"/>
  <c r="G1189" i="8"/>
  <c r="G13" i="8"/>
  <c r="G37" i="8"/>
  <c r="G69" i="8"/>
  <c r="G101" i="8"/>
  <c r="G133" i="8"/>
  <c r="G165" i="8"/>
  <c r="G197" i="8"/>
  <c r="G229" i="8"/>
  <c r="G261" i="8"/>
  <c r="G293" i="8"/>
  <c r="G325" i="8"/>
  <c r="G357" i="8"/>
  <c r="G389" i="8"/>
  <c r="G421" i="8"/>
  <c r="G453" i="8"/>
  <c r="G485" i="8"/>
  <c r="G517" i="8"/>
  <c r="G549" i="8"/>
  <c r="G581" i="8"/>
  <c r="G613" i="8"/>
  <c r="G643" i="8"/>
  <c r="G663" i="8"/>
  <c r="G685" i="8"/>
  <c r="G694" i="8"/>
  <c r="G702" i="8"/>
  <c r="G710" i="8"/>
  <c r="G718" i="8"/>
  <c r="G726" i="8"/>
  <c r="G734" i="8"/>
  <c r="G742" i="8"/>
  <c r="G750" i="8"/>
  <c r="G758" i="8"/>
  <c r="G766" i="8"/>
  <c r="G774" i="8"/>
  <c r="G782" i="8"/>
  <c r="G790" i="8"/>
  <c r="G798" i="8"/>
  <c r="G806" i="8"/>
  <c r="G814" i="8"/>
  <c r="G822" i="8"/>
  <c r="G830" i="8"/>
  <c r="G838" i="8"/>
  <c r="G846" i="8"/>
  <c r="G854" i="8"/>
  <c r="G862" i="8"/>
  <c r="G870" i="8"/>
  <c r="G878" i="8"/>
  <c r="G886" i="8"/>
  <c r="G894" i="8"/>
  <c r="G902" i="8"/>
  <c r="G910" i="8"/>
  <c r="G918" i="8"/>
  <c r="G926" i="8"/>
  <c r="G934" i="8"/>
  <c r="G942" i="8"/>
  <c r="G950" i="8"/>
  <c r="G958" i="8"/>
  <c r="G966" i="8"/>
  <c r="G974" i="8"/>
  <c r="G982" i="8"/>
  <c r="G990" i="8"/>
  <c r="G998" i="8"/>
  <c r="G1006" i="8"/>
  <c r="G1014" i="8"/>
  <c r="G1022" i="8"/>
  <c r="G1030" i="8"/>
  <c r="G1038" i="8"/>
  <c r="G1046" i="8"/>
  <c r="G1054" i="8"/>
  <c r="G1062" i="8"/>
  <c r="G1070" i="8"/>
  <c r="G1078" i="8"/>
  <c r="G1086" i="8"/>
  <c r="G1094" i="8"/>
  <c r="G1102" i="8"/>
  <c r="G1110" i="8"/>
  <c r="G1118" i="8"/>
  <c r="G1126" i="8"/>
  <c r="G1134" i="8"/>
  <c r="G1142" i="8"/>
  <c r="G1150" i="8"/>
  <c r="G1158" i="8"/>
  <c r="G1166" i="8"/>
  <c r="G1174" i="8"/>
  <c r="G1182" i="8"/>
  <c r="G19" i="8"/>
  <c r="G43" i="8"/>
  <c r="G75" i="8"/>
  <c r="G107" i="8"/>
  <c r="G139" i="8"/>
  <c r="G171" i="8"/>
  <c r="G203" i="8"/>
  <c r="G235" i="8"/>
  <c r="G267" i="8"/>
  <c r="G299" i="8"/>
  <c r="G331" i="8"/>
  <c r="G363" i="8"/>
  <c r="G395" i="8"/>
  <c r="G427" i="8"/>
  <c r="G459" i="8"/>
  <c r="G491" i="8"/>
  <c r="G523" i="8"/>
  <c r="G555" i="8"/>
  <c r="G587" i="8"/>
  <c r="G619" i="8"/>
  <c r="G645" i="8"/>
  <c r="G667" i="8"/>
  <c r="G687" i="8"/>
  <c r="G695" i="8"/>
  <c r="G703" i="8"/>
  <c r="G711" i="8"/>
  <c r="G719" i="8"/>
  <c r="G727" i="8"/>
  <c r="G735" i="8"/>
  <c r="G743" i="8"/>
  <c r="G751" i="8"/>
  <c r="G759" i="8"/>
  <c r="G767" i="8"/>
  <c r="G775" i="8"/>
  <c r="G783" i="8"/>
  <c r="G791" i="8"/>
  <c r="G799" i="8"/>
  <c r="G807" i="8"/>
  <c r="G815" i="8"/>
  <c r="G823" i="8"/>
  <c r="G831" i="8"/>
  <c r="G839" i="8"/>
  <c r="G847" i="8"/>
  <c r="G855" i="8"/>
  <c r="G863" i="8"/>
  <c r="G871" i="8"/>
  <c r="G879" i="8"/>
  <c r="G887" i="8"/>
  <c r="G895" i="8"/>
  <c r="G903" i="8"/>
  <c r="G911" i="8"/>
  <c r="G919" i="8"/>
  <c r="G927" i="8"/>
  <c r="G935" i="8"/>
  <c r="G943" i="8"/>
  <c r="G951" i="8"/>
  <c r="G959" i="8"/>
  <c r="G967" i="8"/>
  <c r="G975" i="8"/>
  <c r="G983" i="8"/>
  <c r="G991" i="8"/>
  <c r="G999" i="8"/>
  <c r="G1007" i="8"/>
  <c r="G1015" i="8"/>
  <c r="G1023" i="8"/>
  <c r="G1031" i="8"/>
  <c r="G1039" i="8"/>
  <c r="G1047" i="8"/>
  <c r="G1055" i="8"/>
  <c r="G1063" i="8"/>
  <c r="G1071" i="8"/>
  <c r="G1079" i="8"/>
  <c r="G1087" i="8"/>
  <c r="G1095" i="8"/>
  <c r="G1103" i="8"/>
  <c r="G1111" i="8"/>
  <c r="G1119" i="8"/>
  <c r="G1127" i="8"/>
  <c r="G1135" i="8"/>
  <c r="G1143" i="8"/>
  <c r="G1151" i="8"/>
  <c r="G1159" i="8"/>
  <c r="G1167" i="8"/>
  <c r="G1175" i="8"/>
  <c r="G1183" i="8"/>
  <c r="G1191" i="8"/>
  <c r="G21" i="8"/>
  <c r="G45" i="8"/>
  <c r="G77" i="8"/>
  <c r="G109" i="8"/>
  <c r="G141" i="8"/>
  <c r="G173" i="8"/>
  <c r="G205" i="8"/>
  <c r="G237" i="8"/>
  <c r="G269" i="8"/>
  <c r="G301" i="8"/>
  <c r="G333" i="8"/>
  <c r="G365" i="8"/>
  <c r="G397" i="8"/>
  <c r="G429" i="8"/>
  <c r="G461" i="8"/>
  <c r="G493" i="8"/>
  <c r="G525" i="8"/>
  <c r="G557" i="8"/>
  <c r="G589" i="8"/>
  <c r="G621" i="8"/>
  <c r="G647" i="8"/>
  <c r="G669" i="8"/>
  <c r="G688" i="8"/>
  <c r="G696" i="8"/>
  <c r="G704" i="8"/>
  <c r="G712" i="8"/>
  <c r="G720" i="8"/>
  <c r="G728" i="8"/>
  <c r="G736" i="8"/>
  <c r="G744" i="8"/>
  <c r="G752" i="8"/>
  <c r="G760" i="8"/>
  <c r="G768" i="8"/>
  <c r="G776" i="8"/>
  <c r="G784" i="8"/>
  <c r="G792" i="8"/>
  <c r="G800" i="8"/>
  <c r="G808" i="8"/>
  <c r="G816" i="8"/>
  <c r="G824" i="8"/>
  <c r="G832" i="8"/>
  <c r="G840" i="8"/>
  <c r="G848" i="8"/>
  <c r="G856" i="8"/>
  <c r="G864" i="8"/>
  <c r="G872" i="8"/>
  <c r="G880" i="8"/>
  <c r="G888" i="8"/>
  <c r="G896" i="8"/>
  <c r="G904" i="8"/>
  <c r="G912" i="8"/>
  <c r="G920" i="8"/>
  <c r="G928" i="8"/>
  <c r="G936" i="8"/>
  <c r="G944" i="8"/>
  <c r="G952" i="8"/>
  <c r="G960" i="8"/>
  <c r="G968" i="8"/>
  <c r="G976" i="8"/>
  <c r="G984" i="8"/>
  <c r="G992" i="8"/>
  <c r="G1000" i="8"/>
  <c r="G1008" i="8"/>
  <c r="G1016" i="8"/>
  <c r="G1024" i="8"/>
  <c r="G1032" i="8"/>
  <c r="G1040" i="8"/>
  <c r="G1048" i="8"/>
  <c r="G1056" i="8"/>
  <c r="G1064" i="8"/>
  <c r="G1072" i="8"/>
  <c r="G1080" i="8"/>
  <c r="G1088" i="8"/>
  <c r="G1096" i="8"/>
  <c r="G1104" i="8"/>
  <c r="G1112" i="8"/>
  <c r="G1120" i="8"/>
  <c r="G1128" i="8"/>
  <c r="G1136" i="8"/>
  <c r="G1144" i="8"/>
  <c r="G1152" i="8"/>
  <c r="G1160" i="8"/>
  <c r="G1168" i="8"/>
  <c r="G1176" i="8"/>
  <c r="G1184" i="8"/>
  <c r="G51" i="8"/>
  <c r="G83" i="8"/>
  <c r="G115" i="8"/>
  <c r="G147" i="8"/>
  <c r="G179" i="8"/>
  <c r="G211" i="8"/>
  <c r="G243" i="8"/>
  <c r="G275" i="8"/>
  <c r="G307" i="8"/>
  <c r="G339" i="8"/>
  <c r="G371" i="8"/>
  <c r="G403" i="8"/>
  <c r="G435" i="8"/>
  <c r="G467" i="8"/>
  <c r="G499" i="8"/>
  <c r="G531" i="8"/>
  <c r="G563" i="8"/>
  <c r="G595" i="8"/>
  <c r="G627" i="8"/>
  <c r="G651" i="8"/>
  <c r="G671" i="8"/>
  <c r="G689" i="8"/>
  <c r="G697" i="8"/>
  <c r="G705" i="8"/>
  <c r="G713" i="8"/>
  <c r="G721" i="8"/>
  <c r="G729" i="8"/>
  <c r="G737" i="8"/>
  <c r="G745" i="8"/>
  <c r="G753" i="8"/>
  <c r="G761" i="8"/>
  <c r="G769" i="8"/>
  <c r="G777" i="8"/>
  <c r="G785" i="8"/>
  <c r="G793" i="8"/>
  <c r="G801" i="8"/>
  <c r="G809" i="8"/>
  <c r="G817" i="8"/>
  <c r="G825" i="8"/>
  <c r="G833" i="8"/>
  <c r="G841" i="8"/>
  <c r="G849" i="8"/>
  <c r="G857" i="8"/>
  <c r="G865" i="8"/>
  <c r="G873" i="8"/>
  <c r="G881" i="8"/>
  <c r="G889" i="8"/>
  <c r="G897" i="8"/>
  <c r="G905" i="8"/>
  <c r="G913" i="8"/>
  <c r="G921" i="8"/>
  <c r="G929" i="8"/>
  <c r="G937" i="8"/>
  <c r="G945" i="8"/>
  <c r="G953" i="8"/>
  <c r="G961" i="8"/>
  <c r="G969" i="8"/>
  <c r="G977" i="8"/>
  <c r="G985" i="8"/>
  <c r="G993" i="8"/>
  <c r="G1001" i="8"/>
  <c r="G1009" i="8"/>
  <c r="G1017" i="8"/>
  <c r="G1025" i="8"/>
  <c r="G1033" i="8"/>
  <c r="G1041" i="8"/>
  <c r="G1049" i="8"/>
  <c r="G1057" i="8"/>
  <c r="G1065" i="8"/>
  <c r="G1073" i="8"/>
  <c r="G1081" i="8"/>
  <c r="G1089" i="8"/>
  <c r="G1097" i="8"/>
  <c r="G1105" i="8"/>
  <c r="G1113" i="8"/>
  <c r="G1121" i="8"/>
  <c r="G1129" i="8"/>
  <c r="G1137" i="8"/>
  <c r="G1145" i="8"/>
  <c r="G1153" i="8"/>
  <c r="G1161" i="8"/>
  <c r="G1169" i="8"/>
  <c r="G1177" i="8"/>
  <c r="G1185" i="8"/>
  <c r="G53" i="8"/>
  <c r="G85" i="8"/>
  <c r="G117" i="8"/>
  <c r="G149" i="8"/>
  <c r="G181" i="8"/>
  <c r="G213" i="8"/>
  <c r="G245" i="8"/>
  <c r="G277" i="8"/>
  <c r="G309" i="8"/>
  <c r="G341" i="8"/>
  <c r="G373" i="8"/>
  <c r="G405" i="8"/>
  <c r="G437" i="8"/>
  <c r="G469" i="8"/>
  <c r="G501" i="8"/>
  <c r="G533" i="8"/>
  <c r="G565" i="8"/>
  <c r="G597" i="8"/>
  <c r="G629" i="8"/>
  <c r="G653" i="8"/>
  <c r="G675" i="8"/>
  <c r="G690" i="8"/>
  <c r="G698" i="8"/>
  <c r="G706" i="8"/>
  <c r="G714" i="8"/>
  <c r="G722" i="8"/>
  <c r="G730" i="8"/>
  <c r="G738" i="8"/>
  <c r="G746" i="8"/>
  <c r="G754" i="8"/>
  <c r="G762" i="8"/>
  <c r="G770" i="8"/>
  <c r="G778" i="8"/>
  <c r="G786" i="8"/>
  <c r="G794" i="8"/>
  <c r="G802" i="8"/>
  <c r="G810" i="8"/>
  <c r="G818" i="8"/>
  <c r="G826" i="8"/>
  <c r="G834" i="8"/>
  <c r="G842" i="8"/>
  <c r="G850" i="8"/>
  <c r="G858" i="8"/>
  <c r="G866" i="8"/>
  <c r="G874" i="8"/>
  <c r="G882" i="8"/>
  <c r="G890" i="8"/>
  <c r="G898" i="8"/>
  <c r="G906" i="8"/>
  <c r="G914" i="8"/>
  <c r="G922" i="8"/>
  <c r="G930" i="8"/>
  <c r="G938" i="8"/>
  <c r="G946" i="8"/>
  <c r="G954" i="8"/>
  <c r="G962" i="8"/>
  <c r="G970" i="8"/>
  <c r="G978" i="8"/>
  <c r="G986" i="8"/>
  <c r="G994" i="8"/>
  <c r="G1002" i="8"/>
  <c r="G1010" i="8"/>
  <c r="G1018" i="8"/>
  <c r="G1026" i="8"/>
  <c r="G1034" i="8"/>
  <c r="G1042" i="8"/>
  <c r="G1050" i="8"/>
  <c r="G1058" i="8"/>
  <c r="G1066" i="8"/>
  <c r="G1074" i="8"/>
  <c r="G1082" i="8"/>
  <c r="G1090" i="8"/>
  <c r="G1098" i="8"/>
  <c r="G1106" i="8"/>
  <c r="G1114" i="8"/>
  <c r="G1122" i="8"/>
  <c r="G1130" i="8"/>
  <c r="G1138" i="8"/>
  <c r="G1146" i="8"/>
  <c r="G1154" i="8"/>
  <c r="G1162" i="8"/>
  <c r="G1170" i="8"/>
  <c r="G1178" i="8"/>
  <c r="G1186" i="8"/>
  <c r="G123" i="8"/>
  <c r="G251" i="8"/>
  <c r="G379" i="8"/>
  <c r="G507" i="8"/>
  <c r="G635" i="8"/>
  <c r="G699" i="8"/>
  <c r="G731" i="8"/>
  <c r="G763" i="8"/>
  <c r="G795" i="8"/>
  <c r="G827" i="8"/>
  <c r="G859" i="8"/>
  <c r="G891" i="8"/>
  <c r="G923" i="8"/>
  <c r="G955" i="8"/>
  <c r="G987" i="8"/>
  <c r="G1019" i="8"/>
  <c r="G1051" i="8"/>
  <c r="G1083" i="8"/>
  <c r="G1115" i="8"/>
  <c r="G1147" i="8"/>
  <c r="G1179" i="8"/>
  <c r="G1195" i="8"/>
  <c r="G1203" i="8"/>
  <c r="G1211" i="8"/>
  <c r="G1219" i="8"/>
  <c r="G1227" i="8"/>
  <c r="G1235" i="8"/>
  <c r="G1243" i="8"/>
  <c r="G1251" i="8"/>
  <c r="G1259" i="8"/>
  <c r="G1267" i="8"/>
  <c r="G1275" i="8"/>
  <c r="G1283" i="8"/>
  <c r="G1291" i="8"/>
  <c r="G1299" i="8"/>
  <c r="G1307" i="8"/>
  <c r="G1315" i="8"/>
  <c r="G1323" i="8"/>
  <c r="G1331" i="8"/>
  <c r="G1339" i="8"/>
  <c r="G1347" i="8"/>
  <c r="G1355" i="8"/>
  <c r="G1363" i="8"/>
  <c r="G1371" i="8"/>
  <c r="G1379" i="8"/>
  <c r="G1387" i="8"/>
  <c r="G1395" i="8"/>
  <c r="G1403" i="8"/>
  <c r="G1411" i="8"/>
  <c r="G1419" i="8"/>
  <c r="G1427" i="8"/>
  <c r="G1435" i="8"/>
  <c r="G1443" i="8"/>
  <c r="G1451" i="8"/>
  <c r="G1459" i="8"/>
  <c r="G1467" i="8"/>
  <c r="G1475" i="8"/>
  <c r="G1483" i="8"/>
  <c r="G1491" i="8"/>
  <c r="G1499" i="8"/>
  <c r="G1507" i="8"/>
  <c r="G1515" i="8"/>
  <c r="G1523" i="8"/>
  <c r="G1531" i="8"/>
  <c r="G1539" i="8"/>
  <c r="G1547" i="8"/>
  <c r="G1555" i="8"/>
  <c r="G1563" i="8"/>
  <c r="G1571" i="8"/>
  <c r="G1579" i="8"/>
  <c r="G1587" i="8"/>
  <c r="G1595" i="8"/>
  <c r="G1603" i="8"/>
  <c r="G1611" i="8"/>
  <c r="G1619" i="8"/>
  <c r="G1627" i="8"/>
  <c r="G1635" i="8"/>
  <c r="G1643" i="8"/>
  <c r="G1651" i="8"/>
  <c r="G1659" i="8"/>
  <c r="G1667" i="8"/>
  <c r="G1675" i="8"/>
  <c r="G1683" i="8"/>
  <c r="G1691" i="8"/>
  <c r="G1699" i="8"/>
  <c r="G1707" i="8"/>
  <c r="G1715" i="8"/>
  <c r="G1723" i="8"/>
  <c r="G1731" i="8"/>
  <c r="G1739" i="8"/>
  <c r="G1747" i="8"/>
  <c r="G1755" i="8"/>
  <c r="G1763" i="8"/>
  <c r="G1771" i="8"/>
  <c r="G1779" i="8"/>
  <c r="G1787" i="8"/>
  <c r="G1795" i="8"/>
  <c r="G1803" i="8"/>
  <c r="G1811" i="8"/>
  <c r="G1819" i="8"/>
  <c r="G1827" i="8"/>
  <c r="G1835" i="8"/>
  <c r="G1843" i="8"/>
  <c r="G1851" i="8"/>
  <c r="G1859" i="8"/>
  <c r="G1867" i="8"/>
  <c r="G1875" i="8"/>
  <c r="G1883" i="8"/>
  <c r="G1891" i="8"/>
  <c r="G1899" i="8"/>
  <c r="G1907" i="8"/>
  <c r="G1915" i="8"/>
  <c r="G1923" i="8"/>
  <c r="G1931" i="8"/>
  <c r="G1939" i="8"/>
  <c r="G1947" i="8"/>
  <c r="G1955" i="8"/>
  <c r="G1963" i="8"/>
  <c r="G1971" i="8"/>
  <c r="G1979" i="8"/>
  <c r="G1987" i="8"/>
  <c r="G1995" i="8"/>
  <c r="G2003" i="8"/>
  <c r="G2011" i="8"/>
  <c r="G2019" i="8"/>
  <c r="G2027" i="8"/>
  <c r="G2035" i="8"/>
  <c r="G2043" i="8"/>
  <c r="G2051" i="8"/>
  <c r="G2059" i="8"/>
  <c r="G2067" i="8"/>
  <c r="G2075" i="8"/>
  <c r="G2083" i="8"/>
  <c r="G2091" i="8"/>
  <c r="G2099" i="8"/>
  <c r="G2107" i="8"/>
  <c r="G2115" i="8"/>
  <c r="G2123" i="8"/>
  <c r="G2131" i="8"/>
  <c r="G2139" i="8"/>
  <c r="G2147" i="8"/>
  <c r="G2155" i="8"/>
  <c r="G2163" i="8"/>
  <c r="G2171" i="8"/>
  <c r="G2179" i="8"/>
  <c r="G2187" i="8"/>
  <c r="G2195" i="8"/>
  <c r="G2203" i="8"/>
  <c r="G2211" i="8"/>
  <c r="G2219" i="8"/>
  <c r="G2227" i="8"/>
  <c r="G2235" i="8"/>
  <c r="G2243" i="8"/>
  <c r="G2251" i="8"/>
  <c r="G2259" i="8"/>
  <c r="G2267" i="8"/>
  <c r="G2275" i="8"/>
  <c r="G2283" i="8"/>
  <c r="G2291" i="8"/>
  <c r="G2299" i="8"/>
  <c r="G2307" i="8"/>
  <c r="G2315" i="8"/>
  <c r="G2323" i="8"/>
  <c r="G2331" i="8"/>
  <c r="G2339" i="8"/>
  <c r="G2347" i="8"/>
  <c r="G2355" i="8"/>
  <c r="G2363" i="8"/>
  <c r="G2371" i="8"/>
  <c r="G2379" i="8"/>
  <c r="G125" i="8"/>
  <c r="G253" i="8"/>
  <c r="G381" i="8"/>
  <c r="G509" i="8"/>
  <c r="G637" i="8"/>
  <c r="G700" i="8"/>
  <c r="G732" i="8"/>
  <c r="G764" i="8"/>
  <c r="G796" i="8"/>
  <c r="G828" i="8"/>
  <c r="G860" i="8"/>
  <c r="G892" i="8"/>
  <c r="G924" i="8"/>
  <c r="G956" i="8"/>
  <c r="G988" i="8"/>
  <c r="G1020" i="8"/>
  <c r="G1052" i="8"/>
  <c r="G1084" i="8"/>
  <c r="G1116" i="8"/>
  <c r="G1148" i="8"/>
  <c r="G1180" i="8"/>
  <c r="G1196" i="8"/>
  <c r="G1204" i="8"/>
  <c r="G1212" i="8"/>
  <c r="G1220" i="8"/>
  <c r="G1228" i="8"/>
  <c r="G1236" i="8"/>
  <c r="G1244" i="8"/>
  <c r="G1252" i="8"/>
  <c r="G1260" i="8"/>
  <c r="G1268" i="8"/>
  <c r="G1276" i="8"/>
  <c r="G1284" i="8"/>
  <c r="G1292" i="8"/>
  <c r="G1300" i="8"/>
  <c r="G1308" i="8"/>
  <c r="G1316" i="8"/>
  <c r="G1324" i="8"/>
  <c r="G1332" i="8"/>
  <c r="G1340" i="8"/>
  <c r="G1348" i="8"/>
  <c r="G1356" i="8"/>
  <c r="G1364" i="8"/>
  <c r="G1372" i="8"/>
  <c r="G1380" i="8"/>
  <c r="G1388" i="8"/>
  <c r="G1396" i="8"/>
  <c r="G1404" i="8"/>
  <c r="G1412" i="8"/>
  <c r="G1420" i="8"/>
  <c r="G1428" i="8"/>
  <c r="G1436" i="8"/>
  <c r="G1444" i="8"/>
  <c r="G1452" i="8"/>
  <c r="G1460" i="8"/>
  <c r="G1468" i="8"/>
  <c r="G1476" i="8"/>
  <c r="G1484" i="8"/>
  <c r="G1492" i="8"/>
  <c r="G1500" i="8"/>
  <c r="G1508" i="8"/>
  <c r="G1516" i="8"/>
  <c r="G1524" i="8"/>
  <c r="G1532" i="8"/>
  <c r="G1540" i="8"/>
  <c r="G1548" i="8"/>
  <c r="G1556" i="8"/>
  <c r="G1564" i="8"/>
  <c r="G1572" i="8"/>
  <c r="G1580" i="8"/>
  <c r="G1588" i="8"/>
  <c r="G1596" i="8"/>
  <c r="G1604" i="8"/>
  <c r="G1612" i="8"/>
  <c r="G1620" i="8"/>
  <c r="G1628" i="8"/>
  <c r="G1636" i="8"/>
  <c r="G1644" i="8"/>
  <c r="G1652" i="8"/>
  <c r="G1660" i="8"/>
  <c r="G1668" i="8"/>
  <c r="G1676" i="8"/>
  <c r="G1684" i="8"/>
  <c r="G1692" i="8"/>
  <c r="G1700" i="8"/>
  <c r="G1708" i="8"/>
  <c r="G1716" i="8"/>
  <c r="G1724" i="8"/>
  <c r="G1732" i="8"/>
  <c r="G1740" i="8"/>
  <c r="G1748" i="8"/>
  <c r="G1756" i="8"/>
  <c r="G1764" i="8"/>
  <c r="G1772" i="8"/>
  <c r="G1780" i="8"/>
  <c r="G1788" i="8"/>
  <c r="G1796" i="8"/>
  <c r="G1804" i="8"/>
  <c r="G1812" i="8"/>
  <c r="G1820" i="8"/>
  <c r="G1828" i="8"/>
  <c r="G1836" i="8"/>
  <c r="G1844" i="8"/>
  <c r="G1852" i="8"/>
  <c r="G1860" i="8"/>
  <c r="G1868" i="8"/>
  <c r="G1876" i="8"/>
  <c r="G1884" i="8"/>
  <c r="G1892" i="8"/>
  <c r="G1900" i="8"/>
  <c r="G1908" i="8"/>
  <c r="G1916" i="8"/>
  <c r="G1924" i="8"/>
  <c r="G1932" i="8"/>
  <c r="G1940" i="8"/>
  <c r="G1948" i="8"/>
  <c r="G1956" i="8"/>
  <c r="G1964" i="8"/>
  <c r="G1972" i="8"/>
  <c r="G1980" i="8"/>
  <c r="G1988" i="8"/>
  <c r="G1996" i="8"/>
  <c r="G2004" i="8"/>
  <c r="G2012" i="8"/>
  <c r="G2020" i="8"/>
  <c r="G2028" i="8"/>
  <c r="G2036" i="8"/>
  <c r="G2044" i="8"/>
  <c r="G2052" i="8"/>
  <c r="G2060" i="8"/>
  <c r="G2068" i="8"/>
  <c r="G2076" i="8"/>
  <c r="G2084" i="8"/>
  <c r="G2092" i="8"/>
  <c r="G2100" i="8"/>
  <c r="G2108" i="8"/>
  <c r="G2116" i="8"/>
  <c r="G2124" i="8"/>
  <c r="G2132" i="8"/>
  <c r="G2140" i="8"/>
  <c r="G2148" i="8"/>
  <c r="G2156" i="8"/>
  <c r="G2164" i="8"/>
  <c r="G2172" i="8"/>
  <c r="G2180" i="8"/>
  <c r="G2188" i="8"/>
  <c r="G27" i="8"/>
  <c r="G155" i="8"/>
  <c r="G283" i="8"/>
  <c r="G411" i="8"/>
  <c r="G539" i="8"/>
  <c r="G655" i="8"/>
  <c r="G707" i="8"/>
  <c r="G739" i="8"/>
  <c r="G771" i="8"/>
  <c r="G803" i="8"/>
  <c r="G835" i="8"/>
  <c r="G867" i="8"/>
  <c r="G899" i="8"/>
  <c r="G931" i="8"/>
  <c r="G963" i="8"/>
  <c r="G995" i="8"/>
  <c r="G1027" i="8"/>
  <c r="G1059" i="8"/>
  <c r="G1091" i="8"/>
  <c r="G1123" i="8"/>
  <c r="G1155" i="8"/>
  <c r="G1187" i="8"/>
  <c r="G1197" i="8"/>
  <c r="G1205" i="8"/>
  <c r="G1213" i="8"/>
  <c r="G1221" i="8"/>
  <c r="G1229" i="8"/>
  <c r="G1237" i="8"/>
  <c r="G1245" i="8"/>
  <c r="G1253" i="8"/>
  <c r="G1261" i="8"/>
  <c r="G1269" i="8"/>
  <c r="G1277" i="8"/>
  <c r="G1285" i="8"/>
  <c r="G1293" i="8"/>
  <c r="G1301" i="8"/>
  <c r="G1309" i="8"/>
  <c r="G1317" i="8"/>
  <c r="G1325" i="8"/>
  <c r="G1333" i="8"/>
  <c r="G1341" i="8"/>
  <c r="G1349" i="8"/>
  <c r="G1357" i="8"/>
  <c r="G1365" i="8"/>
  <c r="G1373" i="8"/>
  <c r="G1381" i="8"/>
  <c r="G1389" i="8"/>
  <c r="G1397" i="8"/>
  <c r="G1405" i="8"/>
  <c r="G1413" i="8"/>
  <c r="G1421" i="8"/>
  <c r="G1429" i="8"/>
  <c r="G1437" i="8"/>
  <c r="G1445" i="8"/>
  <c r="G1453" i="8"/>
  <c r="G1461" i="8"/>
  <c r="G1469" i="8"/>
  <c r="G1477" i="8"/>
  <c r="G1485" i="8"/>
  <c r="G1493" i="8"/>
  <c r="G1501" i="8"/>
  <c r="G1509" i="8"/>
  <c r="G1517" i="8"/>
  <c r="G1525" i="8"/>
  <c r="G1533" i="8"/>
  <c r="G1541" i="8"/>
  <c r="G1549" i="8"/>
  <c r="G1557" i="8"/>
  <c r="G1565" i="8"/>
  <c r="G1573" i="8"/>
  <c r="G1581" i="8"/>
  <c r="G1589" i="8"/>
  <c r="G1597" i="8"/>
  <c r="G1605" i="8"/>
  <c r="G1613" i="8"/>
  <c r="G1621" i="8"/>
  <c r="G1629" i="8"/>
  <c r="G1637" i="8"/>
  <c r="G1645" i="8"/>
  <c r="G1653" i="8"/>
  <c r="G1661" i="8"/>
  <c r="G1669" i="8"/>
  <c r="G1677" i="8"/>
  <c r="G1685" i="8"/>
  <c r="G1693" i="8"/>
  <c r="G1701" i="8"/>
  <c r="G1709" i="8"/>
  <c r="G1717" i="8"/>
  <c r="G1725" i="8"/>
  <c r="G1733" i="8"/>
  <c r="G1741" i="8"/>
  <c r="G1749" i="8"/>
  <c r="G1757" i="8"/>
  <c r="G1765" i="8"/>
  <c r="G1773" i="8"/>
  <c r="G1781" i="8"/>
  <c r="G1789" i="8"/>
  <c r="G1797" i="8"/>
  <c r="G1805" i="8"/>
  <c r="G1813" i="8"/>
  <c r="G1821" i="8"/>
  <c r="G1829" i="8"/>
  <c r="G1837" i="8"/>
  <c r="G1845" i="8"/>
  <c r="G1853" i="8"/>
  <c r="G1861" i="8"/>
  <c r="G1869" i="8"/>
  <c r="G1877" i="8"/>
  <c r="G1885" i="8"/>
  <c r="G1893" i="8"/>
  <c r="G1901" i="8"/>
  <c r="G1909" i="8"/>
  <c r="G1917" i="8"/>
  <c r="G1925" i="8"/>
  <c r="G1933" i="8"/>
  <c r="G1941" i="8"/>
  <c r="G1949" i="8"/>
  <c r="G1957" i="8"/>
  <c r="G1965" i="8"/>
  <c r="G1973" i="8"/>
  <c r="G1981" i="8"/>
  <c r="G1989" i="8"/>
  <c r="G1997" i="8"/>
  <c r="G2005" i="8"/>
  <c r="G2013" i="8"/>
  <c r="G2021" i="8"/>
  <c r="G2029" i="8"/>
  <c r="G2037" i="8"/>
  <c r="G2045" i="8"/>
  <c r="G2053" i="8"/>
  <c r="G2061" i="8"/>
  <c r="G2069" i="8"/>
  <c r="G2077" i="8"/>
  <c r="G2085" i="8"/>
  <c r="G2093" i="8"/>
  <c r="G2101" i="8"/>
  <c r="G2109" i="8"/>
  <c r="G2117" i="8"/>
  <c r="G2125" i="8"/>
  <c r="G2133" i="8"/>
  <c r="G2141" i="8"/>
  <c r="G2149" i="8"/>
  <c r="G2157" i="8"/>
  <c r="G2165" i="8"/>
  <c r="G2173" i="8"/>
  <c r="G2181" i="8"/>
  <c r="G2189" i="8"/>
  <c r="G2197" i="8"/>
  <c r="G2205" i="8"/>
  <c r="G2213" i="8"/>
  <c r="G2221" i="8"/>
  <c r="G2229" i="8"/>
  <c r="G2237" i="8"/>
  <c r="G2245" i="8"/>
  <c r="G2253" i="8"/>
  <c r="G2261" i="8"/>
  <c r="G2269" i="8"/>
  <c r="G2277" i="8"/>
  <c r="G2285" i="8"/>
  <c r="G2293" i="8"/>
  <c r="G2301" i="8"/>
  <c r="G2309" i="8"/>
  <c r="G29" i="8"/>
  <c r="G157" i="8"/>
  <c r="G285" i="8"/>
  <c r="G413" i="8"/>
  <c r="G541" i="8"/>
  <c r="G659" i="8"/>
  <c r="G708" i="8"/>
  <c r="G740" i="8"/>
  <c r="G772" i="8"/>
  <c r="G804" i="8"/>
  <c r="G836" i="8"/>
  <c r="G868" i="8"/>
  <c r="G900" i="8"/>
  <c r="G932" i="8"/>
  <c r="G964" i="8"/>
  <c r="G996" i="8"/>
  <c r="G1028" i="8"/>
  <c r="G1060" i="8"/>
  <c r="G1092" i="8"/>
  <c r="G1124" i="8"/>
  <c r="G1156" i="8"/>
  <c r="G1188" i="8"/>
  <c r="G1198" i="8"/>
  <c r="G1206" i="8"/>
  <c r="G1214" i="8"/>
  <c r="G1222" i="8"/>
  <c r="G1230" i="8"/>
  <c r="G1238" i="8"/>
  <c r="G1246" i="8"/>
  <c r="G1254" i="8"/>
  <c r="G1262" i="8"/>
  <c r="G1270" i="8"/>
  <c r="G1278" i="8"/>
  <c r="G1286" i="8"/>
  <c r="G1294" i="8"/>
  <c r="G1302" i="8"/>
  <c r="G1310" i="8"/>
  <c r="G1318" i="8"/>
  <c r="G1326" i="8"/>
  <c r="G1334" i="8"/>
  <c r="G1342" i="8"/>
  <c r="G1350" i="8"/>
  <c r="G1358" i="8"/>
  <c r="G1366" i="8"/>
  <c r="G1374" i="8"/>
  <c r="G1382" i="8"/>
  <c r="G1390" i="8"/>
  <c r="G1398" i="8"/>
  <c r="G1406" i="8"/>
  <c r="G1414" i="8"/>
  <c r="G1422" i="8"/>
  <c r="G1430" i="8"/>
  <c r="G1438" i="8"/>
  <c r="G1446" i="8"/>
  <c r="G1454" i="8"/>
  <c r="G1462" i="8"/>
  <c r="G1470" i="8"/>
  <c r="G1478" i="8"/>
  <c r="G1486" i="8"/>
  <c r="G1494" i="8"/>
  <c r="G1502" i="8"/>
  <c r="G1510" i="8"/>
  <c r="G1518" i="8"/>
  <c r="G1526" i="8"/>
  <c r="G1534" i="8"/>
  <c r="G1542" i="8"/>
  <c r="G1550" i="8"/>
  <c r="G1558" i="8"/>
  <c r="G1566" i="8"/>
  <c r="G1574" i="8"/>
  <c r="G1582" i="8"/>
  <c r="G1590" i="8"/>
  <c r="G1598" i="8"/>
  <c r="G1606" i="8"/>
  <c r="G1614" i="8"/>
  <c r="G1622" i="8"/>
  <c r="G1630" i="8"/>
  <c r="G1638" i="8"/>
  <c r="G1646" i="8"/>
  <c r="G1654" i="8"/>
  <c r="G1662" i="8"/>
  <c r="G1670" i="8"/>
  <c r="G1678" i="8"/>
  <c r="G1686" i="8"/>
  <c r="G1694" i="8"/>
  <c r="G1702" i="8"/>
  <c r="G1710" i="8"/>
  <c r="G1718" i="8"/>
  <c r="G1726" i="8"/>
  <c r="G1734" i="8"/>
  <c r="G1742" i="8"/>
  <c r="G1750" i="8"/>
  <c r="G1758" i="8"/>
  <c r="G1766" i="8"/>
  <c r="G1774" i="8"/>
  <c r="G1782" i="8"/>
  <c r="G1790" i="8"/>
  <c r="G1798" i="8"/>
  <c r="G1806" i="8"/>
  <c r="G1814" i="8"/>
  <c r="G1822" i="8"/>
  <c r="G1830" i="8"/>
  <c r="G1838" i="8"/>
  <c r="G1846" i="8"/>
  <c r="G1854" i="8"/>
  <c r="G1862" i="8"/>
  <c r="G1870" i="8"/>
  <c r="G1878" i="8"/>
  <c r="G1886" i="8"/>
  <c r="G1894" i="8"/>
  <c r="G1902" i="8"/>
  <c r="G1910" i="8"/>
  <c r="G1918" i="8"/>
  <c r="G1926" i="8"/>
  <c r="G1934" i="8"/>
  <c r="G1942" i="8"/>
  <c r="G1950" i="8"/>
  <c r="G1958" i="8"/>
  <c r="G1966" i="8"/>
  <c r="G1974" i="8"/>
  <c r="G1982" i="8"/>
  <c r="G1990" i="8"/>
  <c r="G1998" i="8"/>
  <c r="G2006" i="8"/>
  <c r="G2014" i="8"/>
  <c r="G2022" i="8"/>
  <c r="G2030" i="8"/>
  <c r="G2038" i="8"/>
  <c r="G2046" i="8"/>
  <c r="G2054" i="8"/>
  <c r="G2062" i="8"/>
  <c r="G2070" i="8"/>
  <c r="G2078" i="8"/>
  <c r="G2086" i="8"/>
  <c r="G2094" i="8"/>
  <c r="G2102" i="8"/>
  <c r="G2110" i="8"/>
  <c r="G2118" i="8"/>
  <c r="G2126" i="8"/>
  <c r="G2134" i="8"/>
  <c r="G2142" i="8"/>
  <c r="G2150" i="8"/>
  <c r="G2158" i="8"/>
  <c r="G2166" i="8"/>
  <c r="G2174" i="8"/>
  <c r="G2182" i="8"/>
  <c r="G2190" i="8"/>
  <c r="G2198" i="8"/>
  <c r="G2206" i="8"/>
  <c r="G2214" i="8"/>
  <c r="G2222" i="8"/>
  <c r="G2230" i="8"/>
  <c r="G2238" i="8"/>
  <c r="G2246" i="8"/>
  <c r="G2254" i="8"/>
  <c r="G2262" i="8"/>
  <c r="G2270" i="8"/>
  <c r="G2278" i="8"/>
  <c r="G2286" i="8"/>
  <c r="G2294" i="8"/>
  <c r="G2302" i="8"/>
  <c r="G2310" i="8"/>
  <c r="G2318" i="8"/>
  <c r="G2326" i="8"/>
  <c r="G2334" i="8"/>
  <c r="G2342" i="8"/>
  <c r="G2350" i="8"/>
  <c r="G2358" i="8"/>
  <c r="G2366" i="8"/>
  <c r="G2374" i="8"/>
  <c r="G59" i="8"/>
  <c r="G187" i="8"/>
  <c r="G315" i="8"/>
  <c r="G443" i="8"/>
  <c r="G571" i="8"/>
  <c r="G677" i="8"/>
  <c r="G715" i="8"/>
  <c r="G747" i="8"/>
  <c r="G779" i="8"/>
  <c r="G811" i="8"/>
  <c r="G843" i="8"/>
  <c r="G875" i="8"/>
  <c r="G907" i="8"/>
  <c r="G939" i="8"/>
  <c r="G971" i="8"/>
  <c r="G1003" i="8"/>
  <c r="G1035" i="8"/>
  <c r="G1067" i="8"/>
  <c r="G1099" i="8"/>
  <c r="G1131" i="8"/>
  <c r="G1163" i="8"/>
  <c r="G1190" i="8"/>
  <c r="G1199" i="8"/>
  <c r="G1207" i="8"/>
  <c r="G1215" i="8"/>
  <c r="G1223" i="8"/>
  <c r="G1231" i="8"/>
  <c r="G1239" i="8"/>
  <c r="G1247" i="8"/>
  <c r="G1255" i="8"/>
  <c r="G1263" i="8"/>
  <c r="G1271" i="8"/>
  <c r="G1279" i="8"/>
  <c r="G1287" i="8"/>
  <c r="G1295" i="8"/>
  <c r="G1303" i="8"/>
  <c r="G1311" i="8"/>
  <c r="G1319" i="8"/>
  <c r="G1327" i="8"/>
  <c r="G1335" i="8"/>
  <c r="G1343" i="8"/>
  <c r="G1351" i="8"/>
  <c r="G1359" i="8"/>
  <c r="G1367" i="8"/>
  <c r="G1375" i="8"/>
  <c r="G1383" i="8"/>
  <c r="G1391" i="8"/>
  <c r="G1399" i="8"/>
  <c r="G1407" i="8"/>
  <c r="G1415" i="8"/>
  <c r="G1423" i="8"/>
  <c r="G1431" i="8"/>
  <c r="G1439" i="8"/>
  <c r="G1447" i="8"/>
  <c r="G1455" i="8"/>
  <c r="G1463" i="8"/>
  <c r="G1471" i="8"/>
  <c r="G1479" i="8"/>
  <c r="G1487" i="8"/>
  <c r="G1495" i="8"/>
  <c r="G1503" i="8"/>
  <c r="G1511" i="8"/>
  <c r="G1519" i="8"/>
  <c r="G1527" i="8"/>
  <c r="G1535" i="8"/>
  <c r="G1543" i="8"/>
  <c r="G1551" i="8"/>
  <c r="G1559" i="8"/>
  <c r="G1567" i="8"/>
  <c r="G1575" i="8"/>
  <c r="G1583" i="8"/>
  <c r="G1591" i="8"/>
  <c r="G1599" i="8"/>
  <c r="G1607" i="8"/>
  <c r="G1615" i="8"/>
  <c r="G1623" i="8"/>
  <c r="G1631" i="8"/>
  <c r="G1639" i="8"/>
  <c r="G1647" i="8"/>
  <c r="G1655" i="8"/>
  <c r="G1663" i="8"/>
  <c r="G1671" i="8"/>
  <c r="G1679" i="8"/>
  <c r="G1687" i="8"/>
  <c r="G1695" i="8"/>
  <c r="G1703" i="8"/>
  <c r="G1711" i="8"/>
  <c r="G1719" i="8"/>
  <c r="G1727" i="8"/>
  <c r="G1735" i="8"/>
  <c r="G1743" i="8"/>
  <c r="G1751" i="8"/>
  <c r="G1759" i="8"/>
  <c r="G1767" i="8"/>
  <c r="G1775" i="8"/>
  <c r="G1783" i="8"/>
  <c r="G1791" i="8"/>
  <c r="G1799" i="8"/>
  <c r="G1807" i="8"/>
  <c r="G1815" i="8"/>
  <c r="G1823" i="8"/>
  <c r="G1831" i="8"/>
  <c r="G1839" i="8"/>
  <c r="G1847" i="8"/>
  <c r="G1855" i="8"/>
  <c r="G1863" i="8"/>
  <c r="G1871" i="8"/>
  <c r="G1879" i="8"/>
  <c r="G1887" i="8"/>
  <c r="G1895" i="8"/>
  <c r="G1903" i="8"/>
  <c r="G1911" i="8"/>
  <c r="G1919" i="8"/>
  <c r="G1927" i="8"/>
  <c r="G1935" i="8"/>
  <c r="G1943" i="8"/>
  <c r="G1951" i="8"/>
  <c r="G1959" i="8"/>
  <c r="G1967" i="8"/>
  <c r="G1975" i="8"/>
  <c r="G1983" i="8"/>
  <c r="G1991" i="8"/>
  <c r="G1999" i="8"/>
  <c r="G2007" i="8"/>
  <c r="G2015" i="8"/>
  <c r="G2023" i="8"/>
  <c r="G2031" i="8"/>
  <c r="G91" i="8"/>
  <c r="G219" i="8"/>
  <c r="G347" i="8"/>
  <c r="G475" i="8"/>
  <c r="G603" i="8"/>
  <c r="G691" i="8"/>
  <c r="G723" i="8"/>
  <c r="G755" i="8"/>
  <c r="G787" i="8"/>
  <c r="G819" i="8"/>
  <c r="G851" i="8"/>
  <c r="G883" i="8"/>
  <c r="G915" i="8"/>
  <c r="G947" i="8"/>
  <c r="G979" i="8"/>
  <c r="G1011" i="8"/>
  <c r="G1043" i="8"/>
  <c r="G1075" i="8"/>
  <c r="G1107" i="8"/>
  <c r="G1139" i="8"/>
  <c r="G1171" i="8"/>
  <c r="G1193" i="8"/>
  <c r="G1201" i="8"/>
  <c r="G1209" i="8"/>
  <c r="G1217" i="8"/>
  <c r="G1225" i="8"/>
  <c r="G1233" i="8"/>
  <c r="G1241" i="8"/>
  <c r="G1249" i="8"/>
  <c r="G1257" i="8"/>
  <c r="G1265" i="8"/>
  <c r="G1273" i="8"/>
  <c r="G1281" i="8"/>
  <c r="G1289" i="8"/>
  <c r="G1297" i="8"/>
  <c r="G1305" i="8"/>
  <c r="G1313" i="8"/>
  <c r="G1321" i="8"/>
  <c r="G1329" i="8"/>
  <c r="G1337" i="8"/>
  <c r="G1345" i="8"/>
  <c r="G1353" i="8"/>
  <c r="G1361" i="8"/>
  <c r="G1369" i="8"/>
  <c r="G1377" i="8"/>
  <c r="G1385" i="8"/>
  <c r="G1393" i="8"/>
  <c r="G1401" i="8"/>
  <c r="G1409" i="8"/>
  <c r="G1417" i="8"/>
  <c r="G1425" i="8"/>
  <c r="G1433" i="8"/>
  <c r="G1441" i="8"/>
  <c r="G1449" i="8"/>
  <c r="G1457" i="8"/>
  <c r="G1465" i="8"/>
  <c r="G1473" i="8"/>
  <c r="G1481" i="8"/>
  <c r="G1489" i="8"/>
  <c r="G1497" i="8"/>
  <c r="G1505" i="8"/>
  <c r="G1513" i="8"/>
  <c r="G1521" i="8"/>
  <c r="G1529" i="8"/>
  <c r="G1537" i="8"/>
  <c r="G1545" i="8"/>
  <c r="G1553" i="8"/>
  <c r="G1561" i="8"/>
  <c r="G1569" i="8"/>
  <c r="G1577" i="8"/>
  <c r="G1585" i="8"/>
  <c r="G1593" i="8"/>
  <c r="G1601" i="8"/>
  <c r="G1609" i="8"/>
  <c r="G1617" i="8"/>
  <c r="G1625" i="8"/>
  <c r="G1633" i="8"/>
  <c r="G1641" i="8"/>
  <c r="G1649" i="8"/>
  <c r="G1657" i="8"/>
  <c r="G1665" i="8"/>
  <c r="G1673" i="8"/>
  <c r="G1681" i="8"/>
  <c r="G1689" i="8"/>
  <c r="G1697" i="8"/>
  <c r="G1705" i="8"/>
  <c r="G1713" i="8"/>
  <c r="G1721" i="8"/>
  <c r="G1729" i="8"/>
  <c r="G1737" i="8"/>
  <c r="G1745" i="8"/>
  <c r="G1753" i="8"/>
  <c r="G1761" i="8"/>
  <c r="G1769" i="8"/>
  <c r="G1777" i="8"/>
  <c r="G1785" i="8"/>
  <c r="G1793" i="8"/>
  <c r="G1801" i="8"/>
  <c r="G1809" i="8"/>
  <c r="G1817" i="8"/>
  <c r="G1825" i="8"/>
  <c r="G1833" i="8"/>
  <c r="G1841" i="8"/>
  <c r="G445" i="8"/>
  <c r="G748" i="8"/>
  <c r="G876" i="8"/>
  <c r="G1004" i="8"/>
  <c r="G1132" i="8"/>
  <c r="G1208" i="8"/>
  <c r="G1240" i="8"/>
  <c r="G1272" i="8"/>
  <c r="G1304" i="8"/>
  <c r="G1336" i="8"/>
  <c r="G1368" i="8"/>
  <c r="G1400" i="8"/>
  <c r="G1432" i="8"/>
  <c r="G1464" i="8"/>
  <c r="G1496" i="8"/>
  <c r="G1528" i="8"/>
  <c r="G1560" i="8"/>
  <c r="G1592" i="8"/>
  <c r="G1624" i="8"/>
  <c r="G1656" i="8"/>
  <c r="G1688" i="8"/>
  <c r="G1720" i="8"/>
  <c r="G1752" i="8"/>
  <c r="G1784" i="8"/>
  <c r="G1816" i="8"/>
  <c r="G1848" i="8"/>
  <c r="G1866" i="8"/>
  <c r="G1889" i="8"/>
  <c r="G1912" i="8"/>
  <c r="G1930" i="8"/>
  <c r="G1953" i="8"/>
  <c r="G1976" i="8"/>
  <c r="G1994" i="8"/>
  <c r="G2017" i="8"/>
  <c r="G2039" i="8"/>
  <c r="G2055" i="8"/>
  <c r="G2071" i="8"/>
  <c r="G2087" i="8"/>
  <c r="G2103" i="8"/>
  <c r="G2119" i="8"/>
  <c r="G2135" i="8"/>
  <c r="G2151" i="8"/>
  <c r="G2167" i="8"/>
  <c r="G2183" i="8"/>
  <c r="G2196" i="8"/>
  <c r="G2209" i="8"/>
  <c r="G2223" i="8"/>
  <c r="G2234" i="8"/>
  <c r="G2248" i="8"/>
  <c r="G2260" i="8"/>
  <c r="G2273" i="8"/>
  <c r="G2287" i="8"/>
  <c r="G2298" i="8"/>
  <c r="G2312" i="8"/>
  <c r="G2322" i="8"/>
  <c r="G2333" i="8"/>
  <c r="G2344" i="8"/>
  <c r="G2354" i="8"/>
  <c r="G2365" i="8"/>
  <c r="G2376" i="8"/>
  <c r="G2385" i="8"/>
  <c r="G2393" i="8"/>
  <c r="G2401" i="8"/>
  <c r="G2409" i="8"/>
  <c r="G2417" i="8"/>
  <c r="G2425" i="8"/>
  <c r="G2433" i="8"/>
  <c r="G2441" i="8"/>
  <c r="G2449" i="8"/>
  <c r="G2457" i="8"/>
  <c r="G2465" i="8"/>
  <c r="G2473" i="8"/>
  <c r="G2481" i="8"/>
  <c r="G2489" i="8"/>
  <c r="G2497" i="8"/>
  <c r="G2505" i="8"/>
  <c r="G2513" i="8"/>
  <c r="G2521" i="8"/>
  <c r="G2529" i="8"/>
  <c r="G2537" i="8"/>
  <c r="G2545" i="8"/>
  <c r="G2553" i="8"/>
  <c r="G2561" i="8"/>
  <c r="G2569" i="8"/>
  <c r="G2577" i="8"/>
  <c r="G2585" i="8"/>
  <c r="G2593" i="8"/>
  <c r="G2601" i="8"/>
  <c r="G2609" i="8"/>
  <c r="G2617" i="8"/>
  <c r="G2625" i="8"/>
  <c r="G2633" i="8"/>
  <c r="G2641" i="8"/>
  <c r="G2649" i="8"/>
  <c r="G2657" i="8"/>
  <c r="G2665" i="8"/>
  <c r="G2673" i="8"/>
  <c r="G2681" i="8"/>
  <c r="G2689" i="8"/>
  <c r="G2697" i="8"/>
  <c r="G2705" i="8"/>
  <c r="G2713" i="8"/>
  <c r="G2721" i="8"/>
  <c r="G2729" i="8"/>
  <c r="G2737" i="8"/>
  <c r="G2745" i="8"/>
  <c r="G2753" i="8"/>
  <c r="G2761" i="8"/>
  <c r="G2769" i="8"/>
  <c r="G2777" i="8"/>
  <c r="G2785" i="8"/>
  <c r="G2793" i="8"/>
  <c r="G2801" i="8"/>
  <c r="G2809" i="8"/>
  <c r="G2817" i="8"/>
  <c r="G2825" i="8"/>
  <c r="G2833" i="8"/>
  <c r="G2841" i="8"/>
  <c r="G2849" i="8"/>
  <c r="G2857" i="8"/>
  <c r="G2865" i="8"/>
  <c r="G2873" i="8"/>
  <c r="G2881" i="8"/>
  <c r="G2889" i="8"/>
  <c r="G2897" i="8"/>
  <c r="G2905" i="8"/>
  <c r="G2913" i="8"/>
  <c r="G2921" i="8"/>
  <c r="G2929" i="8"/>
  <c r="G2937" i="8"/>
  <c r="G2945" i="8"/>
  <c r="G2953" i="8"/>
  <c r="G2961" i="8"/>
  <c r="G2969" i="8"/>
  <c r="G2977" i="8"/>
  <c r="G2985" i="8"/>
  <c r="G2993" i="8"/>
  <c r="G3001" i="8"/>
  <c r="G3009" i="8"/>
  <c r="G3017" i="8"/>
  <c r="G3025" i="8"/>
  <c r="G3033" i="8"/>
  <c r="G3041" i="8"/>
  <c r="G3049" i="8"/>
  <c r="G3057" i="8"/>
  <c r="G3065" i="8"/>
  <c r="G3073" i="8"/>
  <c r="G3081" i="8"/>
  <c r="G3089" i="8"/>
  <c r="G3097" i="8"/>
  <c r="G3105" i="8"/>
  <c r="G3113" i="8"/>
  <c r="G3121" i="8"/>
  <c r="G3129" i="8"/>
  <c r="G3137" i="8"/>
  <c r="G3145" i="8"/>
  <c r="G3153" i="8"/>
  <c r="G3161" i="8"/>
  <c r="G3169" i="8"/>
  <c r="G3177" i="8"/>
  <c r="G3185" i="8"/>
  <c r="G3193" i="8"/>
  <c r="G3201" i="8"/>
  <c r="G3209" i="8"/>
  <c r="G3217" i="8"/>
  <c r="G3225" i="8"/>
  <c r="G3233" i="8"/>
  <c r="G3241" i="8"/>
  <c r="G3249" i="8"/>
  <c r="G3257" i="8"/>
  <c r="G477" i="8"/>
  <c r="G756" i="8"/>
  <c r="G884" i="8"/>
  <c r="G1012" i="8"/>
  <c r="G1140" i="8"/>
  <c r="G1210" i="8"/>
  <c r="G1242" i="8"/>
  <c r="G1274" i="8"/>
  <c r="G1306" i="8"/>
  <c r="G1338" i="8"/>
  <c r="G1370" i="8"/>
  <c r="G1402" i="8"/>
  <c r="G1434" i="8"/>
  <c r="G1466" i="8"/>
  <c r="G1498" i="8"/>
  <c r="G1530" i="8"/>
  <c r="G1562" i="8"/>
  <c r="G1594" i="8"/>
  <c r="G1626" i="8"/>
  <c r="G1658" i="8"/>
  <c r="G1690" i="8"/>
  <c r="G1722" i="8"/>
  <c r="G1754" i="8"/>
  <c r="G1786" i="8"/>
  <c r="G1818" i="8"/>
  <c r="G1849" i="8"/>
  <c r="G1872" i="8"/>
  <c r="G1890" i="8"/>
  <c r="G1913" i="8"/>
  <c r="G1936" i="8"/>
  <c r="G1954" i="8"/>
  <c r="G1977" i="8"/>
  <c r="G2000" i="8"/>
  <c r="G2018" i="8"/>
  <c r="G2040" i="8"/>
  <c r="G2056" i="8"/>
  <c r="G2072" i="8"/>
  <c r="G2088" i="8"/>
  <c r="G2104" i="8"/>
  <c r="G2120" i="8"/>
  <c r="G2136" i="8"/>
  <c r="G2152" i="8"/>
  <c r="G2168" i="8"/>
  <c r="G2184" i="8"/>
  <c r="G2199" i="8"/>
  <c r="G2210" i="8"/>
  <c r="G2224" i="8"/>
  <c r="G2236" i="8"/>
  <c r="G2249" i="8"/>
  <c r="G2263" i="8"/>
  <c r="G2274" i="8"/>
  <c r="G2288" i="8"/>
  <c r="G2300" i="8"/>
  <c r="G2313" i="8"/>
  <c r="G2324" i="8"/>
  <c r="G2335" i="8"/>
  <c r="G2345" i="8"/>
  <c r="G2356" i="8"/>
  <c r="G2367" i="8"/>
  <c r="G2377" i="8"/>
  <c r="G2386" i="8"/>
  <c r="G2394" i="8"/>
  <c r="G2402" i="8"/>
  <c r="G2410" i="8"/>
  <c r="G2418" i="8"/>
  <c r="G2426" i="8"/>
  <c r="G2434" i="8"/>
  <c r="G2442" i="8"/>
  <c r="G2450" i="8"/>
  <c r="G2458" i="8"/>
  <c r="G2466" i="8"/>
  <c r="G2474" i="8"/>
  <c r="G2482" i="8"/>
  <c r="G2490" i="8"/>
  <c r="G2498" i="8"/>
  <c r="G2506" i="8"/>
  <c r="G2514" i="8"/>
  <c r="G2522" i="8"/>
  <c r="G2530" i="8"/>
  <c r="G2538" i="8"/>
  <c r="G2546" i="8"/>
  <c r="G2554" i="8"/>
  <c r="G2562" i="8"/>
  <c r="G2570" i="8"/>
  <c r="G2578" i="8"/>
  <c r="G2586" i="8"/>
  <c r="G2594" i="8"/>
  <c r="G2602" i="8"/>
  <c r="G2610" i="8"/>
  <c r="G2618" i="8"/>
  <c r="G2626" i="8"/>
  <c r="G2634" i="8"/>
  <c r="G2642" i="8"/>
  <c r="G2650" i="8"/>
  <c r="G2658" i="8"/>
  <c r="G2666" i="8"/>
  <c r="G2674" i="8"/>
  <c r="G2682" i="8"/>
  <c r="G2690" i="8"/>
  <c r="G2698" i="8"/>
  <c r="G2706" i="8"/>
  <c r="G2714" i="8"/>
  <c r="G2722" i="8"/>
  <c r="G2730" i="8"/>
  <c r="G2738" i="8"/>
  <c r="G2746" i="8"/>
  <c r="G2754" i="8"/>
  <c r="G2762" i="8"/>
  <c r="G2770" i="8"/>
  <c r="G2778" i="8"/>
  <c r="G2786" i="8"/>
  <c r="G2794" i="8"/>
  <c r="G2802" i="8"/>
  <c r="G2810" i="8"/>
  <c r="G2818" i="8"/>
  <c r="G2826" i="8"/>
  <c r="G2834" i="8"/>
  <c r="G2842" i="8"/>
  <c r="G2850" i="8"/>
  <c r="G2858" i="8"/>
  <c r="G2866" i="8"/>
  <c r="G2874" i="8"/>
  <c r="G2882" i="8"/>
  <c r="G2890" i="8"/>
  <c r="G2898" i="8"/>
  <c r="G2906" i="8"/>
  <c r="G2914" i="8"/>
  <c r="G2922" i="8"/>
  <c r="G2930" i="8"/>
  <c r="G2938" i="8"/>
  <c r="G2946" i="8"/>
  <c r="G2954" i="8"/>
  <c r="G2962" i="8"/>
  <c r="G2970" i="8"/>
  <c r="G2978" i="8"/>
  <c r="G2986" i="8"/>
  <c r="G2994" i="8"/>
  <c r="G3002" i="8"/>
  <c r="G3010" i="8"/>
  <c r="G3018" i="8"/>
  <c r="G3026" i="8"/>
  <c r="G3034" i="8"/>
  <c r="G3042" i="8"/>
  <c r="G3050" i="8"/>
  <c r="G3058" i="8"/>
  <c r="G3066" i="8"/>
  <c r="G3074" i="8"/>
  <c r="G3082" i="8"/>
  <c r="G3090" i="8"/>
  <c r="G3098" i="8"/>
  <c r="G3106" i="8"/>
  <c r="G3114" i="8"/>
  <c r="G3122" i="8"/>
  <c r="G3130" i="8"/>
  <c r="G3138" i="8"/>
  <c r="G3146" i="8"/>
  <c r="G3154" i="8"/>
  <c r="G3162" i="8"/>
  <c r="G3170" i="8"/>
  <c r="G3178" i="8"/>
  <c r="G3186" i="8"/>
  <c r="G3194" i="8"/>
  <c r="G61" i="8"/>
  <c r="G573" i="8"/>
  <c r="G780" i="8"/>
  <c r="G908" i="8"/>
  <c r="G1036" i="8"/>
  <c r="G1164" i="8"/>
  <c r="G1216" i="8"/>
  <c r="G1248" i="8"/>
  <c r="G1280" i="8"/>
  <c r="G1312" i="8"/>
  <c r="G1344" i="8"/>
  <c r="G1376" i="8"/>
  <c r="G1408" i="8"/>
  <c r="G1440" i="8"/>
  <c r="G1472" i="8"/>
  <c r="G1504" i="8"/>
  <c r="G1536" i="8"/>
  <c r="G1568" i="8"/>
  <c r="G1600" i="8"/>
  <c r="G1632" i="8"/>
  <c r="G1664" i="8"/>
  <c r="G1696" i="8"/>
  <c r="G1728" i="8"/>
  <c r="G1760" i="8"/>
  <c r="G1792" i="8"/>
  <c r="G1824" i="8"/>
  <c r="G1850" i="8"/>
  <c r="G1873" i="8"/>
  <c r="G1896" i="8"/>
  <c r="G1914" i="8"/>
  <c r="G1937" i="8"/>
  <c r="G1960" i="8"/>
  <c r="G1978" i="8"/>
  <c r="G2001" i="8"/>
  <c r="G2024" i="8"/>
  <c r="G2041" i="8"/>
  <c r="G2057" i="8"/>
  <c r="G2073" i="8"/>
  <c r="G2089" i="8"/>
  <c r="G2105" i="8"/>
  <c r="G2121" i="8"/>
  <c r="G2137" i="8"/>
  <c r="G2153" i="8"/>
  <c r="G2169" i="8"/>
  <c r="G2185" i="8"/>
  <c r="G2200" i="8"/>
  <c r="G2212" i="8"/>
  <c r="G2225" i="8"/>
  <c r="G2239" i="8"/>
  <c r="G2250" i="8"/>
  <c r="G2264" i="8"/>
  <c r="G2276" i="8"/>
  <c r="G2289" i="8"/>
  <c r="G2303" i="8"/>
  <c r="G2314" i="8"/>
  <c r="G2325" i="8"/>
  <c r="G2336" i="8"/>
  <c r="G2346" i="8"/>
  <c r="G2357" i="8"/>
  <c r="G2368" i="8"/>
  <c r="G2378" i="8"/>
  <c r="G2387" i="8"/>
  <c r="G2395" i="8"/>
  <c r="G2403" i="8"/>
  <c r="G2411" i="8"/>
  <c r="G2419" i="8"/>
  <c r="G2427" i="8"/>
  <c r="G2435" i="8"/>
  <c r="G2443" i="8"/>
  <c r="G2451" i="8"/>
  <c r="G2459" i="8"/>
  <c r="G2467" i="8"/>
  <c r="G2475" i="8"/>
  <c r="G2483" i="8"/>
  <c r="G2491" i="8"/>
  <c r="G2499" i="8"/>
  <c r="G2507" i="8"/>
  <c r="G2515" i="8"/>
  <c r="G2523" i="8"/>
  <c r="G2531" i="8"/>
  <c r="G2539" i="8"/>
  <c r="G2547" i="8"/>
  <c r="G2555" i="8"/>
  <c r="G2563" i="8"/>
  <c r="G2571" i="8"/>
  <c r="G2579" i="8"/>
  <c r="G2587" i="8"/>
  <c r="G2595" i="8"/>
  <c r="G2603" i="8"/>
  <c r="G2611" i="8"/>
  <c r="G2619" i="8"/>
  <c r="G2627" i="8"/>
  <c r="G2635" i="8"/>
  <c r="G2643" i="8"/>
  <c r="G2651" i="8"/>
  <c r="G2659" i="8"/>
  <c r="G2667" i="8"/>
  <c r="G2675" i="8"/>
  <c r="G2683" i="8"/>
  <c r="G2691" i="8"/>
  <c r="G2699" i="8"/>
  <c r="G2707" i="8"/>
  <c r="G2715" i="8"/>
  <c r="G2723" i="8"/>
  <c r="G2731" i="8"/>
  <c r="G2739" i="8"/>
  <c r="G2747" i="8"/>
  <c r="G2755" i="8"/>
  <c r="G2763" i="8"/>
  <c r="G2771" i="8"/>
  <c r="G2779" i="8"/>
  <c r="G2787" i="8"/>
  <c r="G2795" i="8"/>
  <c r="G2803" i="8"/>
  <c r="G2811" i="8"/>
  <c r="G2819" i="8"/>
  <c r="G2827" i="8"/>
  <c r="G2835" i="8"/>
  <c r="G2843" i="8"/>
  <c r="G2851" i="8"/>
  <c r="G2859" i="8"/>
  <c r="G2867" i="8"/>
  <c r="G2875" i="8"/>
  <c r="G2883" i="8"/>
  <c r="G2891" i="8"/>
  <c r="G2899" i="8"/>
  <c r="G2907" i="8"/>
  <c r="G2915" i="8"/>
  <c r="G2923" i="8"/>
  <c r="G2931" i="8"/>
  <c r="G2939" i="8"/>
  <c r="G2947" i="8"/>
  <c r="G2955" i="8"/>
  <c r="G2963" i="8"/>
  <c r="G2971" i="8"/>
  <c r="G2979" i="8"/>
  <c r="G2987" i="8"/>
  <c r="G2995" i="8"/>
  <c r="G3003" i="8"/>
  <c r="G3011" i="8"/>
  <c r="G3019" i="8"/>
  <c r="G3027" i="8"/>
  <c r="G3035" i="8"/>
  <c r="G3043" i="8"/>
  <c r="G3051" i="8"/>
  <c r="G3059" i="8"/>
  <c r="G3067" i="8"/>
  <c r="G3075" i="8"/>
  <c r="G3083" i="8"/>
  <c r="G3091" i="8"/>
  <c r="G3099" i="8"/>
  <c r="G3107" i="8"/>
  <c r="G3115" i="8"/>
  <c r="G3123" i="8"/>
  <c r="G3131" i="8"/>
  <c r="G3139" i="8"/>
  <c r="G3147" i="8"/>
  <c r="G3155" i="8"/>
  <c r="G3163" i="8"/>
  <c r="G3171" i="8"/>
  <c r="G3179" i="8"/>
  <c r="G3187" i="8"/>
  <c r="G3195" i="8"/>
  <c r="G3203" i="8"/>
  <c r="G3211" i="8"/>
  <c r="G3219" i="8"/>
  <c r="G3227" i="8"/>
  <c r="G3235" i="8"/>
  <c r="G3243" i="8"/>
  <c r="G3251" i="8"/>
  <c r="G93" i="8"/>
  <c r="G605" i="8"/>
  <c r="G788" i="8"/>
  <c r="G916" i="8"/>
  <c r="G1044" i="8"/>
  <c r="G1172" i="8"/>
  <c r="G1218" i="8"/>
  <c r="G1250" i="8"/>
  <c r="G1282" i="8"/>
  <c r="G1314" i="8"/>
  <c r="G1346" i="8"/>
  <c r="G1378" i="8"/>
  <c r="G1410" i="8"/>
  <c r="G1442" i="8"/>
  <c r="G1474" i="8"/>
  <c r="G1506" i="8"/>
  <c r="G1538" i="8"/>
  <c r="G1570" i="8"/>
  <c r="G1602" i="8"/>
  <c r="G1634" i="8"/>
  <c r="G1666" i="8"/>
  <c r="G1698" i="8"/>
  <c r="G1730" i="8"/>
  <c r="G1762" i="8"/>
  <c r="G1794" i="8"/>
  <c r="G1826" i="8"/>
  <c r="G1856" i="8"/>
  <c r="G1874" i="8"/>
  <c r="G1897" i="8"/>
  <c r="G1920" i="8"/>
  <c r="G1938" i="8"/>
  <c r="G1961" i="8"/>
  <c r="G1984" i="8"/>
  <c r="G2002" i="8"/>
  <c r="G2025" i="8"/>
  <c r="G2042" i="8"/>
  <c r="G2058" i="8"/>
  <c r="G2074" i="8"/>
  <c r="G2090" i="8"/>
  <c r="G2106" i="8"/>
  <c r="G2122" i="8"/>
  <c r="G2138" i="8"/>
  <c r="G2154" i="8"/>
  <c r="G2170" i="8"/>
  <c r="G2186" i="8"/>
  <c r="G2201" i="8"/>
  <c r="G2215" i="8"/>
  <c r="G2226" i="8"/>
  <c r="G2240" i="8"/>
  <c r="G2252" i="8"/>
  <c r="G2265" i="8"/>
  <c r="G2279" i="8"/>
  <c r="G2290" i="8"/>
  <c r="G2304" i="8"/>
  <c r="G2316" i="8"/>
  <c r="G2327" i="8"/>
  <c r="G2337" i="8"/>
  <c r="G2348" i="8"/>
  <c r="G2359" i="8"/>
  <c r="G2369" i="8"/>
  <c r="G2380" i="8"/>
  <c r="G2388" i="8"/>
  <c r="G2396" i="8"/>
  <c r="G2404" i="8"/>
  <c r="G2412" i="8"/>
  <c r="G2420" i="8"/>
  <c r="G2428" i="8"/>
  <c r="G2436" i="8"/>
  <c r="G2444" i="8"/>
  <c r="G2452" i="8"/>
  <c r="G2460" i="8"/>
  <c r="G2468" i="8"/>
  <c r="G2476" i="8"/>
  <c r="G2484" i="8"/>
  <c r="G2492" i="8"/>
  <c r="G2500" i="8"/>
  <c r="G2508" i="8"/>
  <c r="G2516" i="8"/>
  <c r="G2524" i="8"/>
  <c r="G2532" i="8"/>
  <c r="G2540" i="8"/>
  <c r="G2548" i="8"/>
  <c r="G2556" i="8"/>
  <c r="G2564" i="8"/>
  <c r="G2572" i="8"/>
  <c r="G2580" i="8"/>
  <c r="G2588" i="8"/>
  <c r="G2596" i="8"/>
  <c r="G2604" i="8"/>
  <c r="G2612" i="8"/>
  <c r="G2620" i="8"/>
  <c r="G2628" i="8"/>
  <c r="G2636" i="8"/>
  <c r="G2644" i="8"/>
  <c r="G2652" i="8"/>
  <c r="G2660" i="8"/>
  <c r="G2668" i="8"/>
  <c r="G2676" i="8"/>
  <c r="G2684" i="8"/>
  <c r="G2692" i="8"/>
  <c r="G2700" i="8"/>
  <c r="G2708" i="8"/>
  <c r="G2716" i="8"/>
  <c r="G2724" i="8"/>
  <c r="G2732" i="8"/>
  <c r="G2740" i="8"/>
  <c r="G2748" i="8"/>
  <c r="G2756" i="8"/>
  <c r="G2764" i="8"/>
  <c r="G2772" i="8"/>
  <c r="G2780" i="8"/>
  <c r="G2788" i="8"/>
  <c r="G2796" i="8"/>
  <c r="G2804" i="8"/>
  <c r="G2812" i="8"/>
  <c r="G2820" i="8"/>
  <c r="G2828" i="8"/>
  <c r="G2836" i="8"/>
  <c r="G2844" i="8"/>
  <c r="G2852" i="8"/>
  <c r="G2860" i="8"/>
  <c r="G2868" i="8"/>
  <c r="G2876" i="8"/>
  <c r="G2884" i="8"/>
  <c r="G2892" i="8"/>
  <c r="G2900" i="8"/>
  <c r="G2908" i="8"/>
  <c r="G2916" i="8"/>
  <c r="G2924" i="8"/>
  <c r="G2932" i="8"/>
  <c r="G2940" i="8"/>
  <c r="G2948" i="8"/>
  <c r="G2956" i="8"/>
  <c r="G2964" i="8"/>
  <c r="G2972" i="8"/>
  <c r="G2980" i="8"/>
  <c r="G2988" i="8"/>
  <c r="G2996" i="8"/>
  <c r="G3004" i="8"/>
  <c r="G3012" i="8"/>
  <c r="G3020" i="8"/>
  <c r="G3028" i="8"/>
  <c r="G3036" i="8"/>
  <c r="G3044" i="8"/>
  <c r="G3052" i="8"/>
  <c r="G3060" i="8"/>
  <c r="G3068" i="8"/>
  <c r="G3076" i="8"/>
  <c r="G3084" i="8"/>
  <c r="G3092" i="8"/>
  <c r="G189" i="8"/>
  <c r="G679" i="8"/>
  <c r="G812" i="8"/>
  <c r="G940" i="8"/>
  <c r="G1068" i="8"/>
  <c r="G1192" i="8"/>
  <c r="G1224" i="8"/>
  <c r="G1256" i="8"/>
  <c r="G1288" i="8"/>
  <c r="G1320" i="8"/>
  <c r="G1352" i="8"/>
  <c r="G1384" i="8"/>
  <c r="G1416" i="8"/>
  <c r="G1448" i="8"/>
  <c r="G1480" i="8"/>
  <c r="G1512" i="8"/>
  <c r="G1544" i="8"/>
  <c r="G1576" i="8"/>
  <c r="G1608" i="8"/>
  <c r="G1640" i="8"/>
  <c r="G1672" i="8"/>
  <c r="G1704" i="8"/>
  <c r="G1736" i="8"/>
  <c r="G1768" i="8"/>
  <c r="G1800" i="8"/>
  <c r="G1832" i="8"/>
  <c r="G1857" i="8"/>
  <c r="G1880" i="8"/>
  <c r="G1898" i="8"/>
  <c r="G1921" i="8"/>
  <c r="G1944" i="8"/>
  <c r="G1962" i="8"/>
  <c r="G1985" i="8"/>
  <c r="G2008" i="8"/>
  <c r="G2026" i="8"/>
  <c r="G2047" i="8"/>
  <c r="G2063" i="8"/>
  <c r="G2079" i="8"/>
  <c r="G2095" i="8"/>
  <c r="G2111" i="8"/>
  <c r="G2127" i="8"/>
  <c r="G2143" i="8"/>
  <c r="G2159" i="8"/>
  <c r="G2175" i="8"/>
  <c r="G2191" i="8"/>
  <c r="G2202" i="8"/>
  <c r="G2216" i="8"/>
  <c r="G2228" i="8"/>
  <c r="G2241" i="8"/>
  <c r="G2255" i="8"/>
  <c r="G2266" i="8"/>
  <c r="G2280" i="8"/>
  <c r="G2292" i="8"/>
  <c r="G2305" i="8"/>
  <c r="G2317" i="8"/>
  <c r="G2328" i="8"/>
  <c r="G2338" i="8"/>
  <c r="G2349" i="8"/>
  <c r="G2360" i="8"/>
  <c r="G2370" i="8"/>
  <c r="G2381" i="8"/>
  <c r="G2389" i="8"/>
  <c r="G2397" i="8"/>
  <c r="G2405" i="8"/>
  <c r="G2413" i="8"/>
  <c r="G2421" i="8"/>
  <c r="G2429" i="8"/>
  <c r="G2437" i="8"/>
  <c r="G2445" i="8"/>
  <c r="G2453" i="8"/>
  <c r="G2461" i="8"/>
  <c r="G2469" i="8"/>
  <c r="G2477" i="8"/>
  <c r="G2485" i="8"/>
  <c r="G2493" i="8"/>
  <c r="G2501" i="8"/>
  <c r="G2509" i="8"/>
  <c r="G2517" i="8"/>
  <c r="G2525" i="8"/>
  <c r="G2533" i="8"/>
  <c r="G2541" i="8"/>
  <c r="G2549" i="8"/>
  <c r="G2557" i="8"/>
  <c r="G2565" i="8"/>
  <c r="G2573" i="8"/>
  <c r="G2581" i="8"/>
  <c r="G2589" i="8"/>
  <c r="G2597" i="8"/>
  <c r="G2605" i="8"/>
  <c r="G2613" i="8"/>
  <c r="G2621" i="8"/>
  <c r="G2629" i="8"/>
  <c r="G2637" i="8"/>
  <c r="G2645" i="8"/>
  <c r="G2653" i="8"/>
  <c r="G2661" i="8"/>
  <c r="G2669" i="8"/>
  <c r="G2677" i="8"/>
  <c r="G2685" i="8"/>
  <c r="G2693" i="8"/>
  <c r="G2701" i="8"/>
  <c r="G2709" i="8"/>
  <c r="G2717" i="8"/>
  <c r="G2725" i="8"/>
  <c r="G2733" i="8"/>
  <c r="G2741" i="8"/>
  <c r="G2749" i="8"/>
  <c r="G2757" i="8"/>
  <c r="G2765" i="8"/>
  <c r="G2773" i="8"/>
  <c r="G2781" i="8"/>
  <c r="G2789" i="8"/>
  <c r="G2797" i="8"/>
  <c r="G2805" i="8"/>
  <c r="G2813" i="8"/>
  <c r="G2821" i="8"/>
  <c r="G2829" i="8"/>
  <c r="G2837" i="8"/>
  <c r="G2845" i="8"/>
  <c r="G2853" i="8"/>
  <c r="G2861" i="8"/>
  <c r="G2869" i="8"/>
  <c r="G2877" i="8"/>
  <c r="G2885" i="8"/>
  <c r="G2893" i="8"/>
  <c r="G2901" i="8"/>
  <c r="G2909" i="8"/>
  <c r="G2917" i="8"/>
  <c r="G2925" i="8"/>
  <c r="G2933" i="8"/>
  <c r="G2941" i="8"/>
  <c r="G2949" i="8"/>
  <c r="G2957" i="8"/>
  <c r="G2965" i="8"/>
  <c r="G2973" i="8"/>
  <c r="G2981" i="8"/>
  <c r="G2989" i="8"/>
  <c r="G2997" i="8"/>
  <c r="G3005" i="8"/>
  <c r="G3013" i="8"/>
  <c r="G3021" i="8"/>
  <c r="G3029" i="8"/>
  <c r="G3037" i="8"/>
  <c r="G3045" i="8"/>
  <c r="G3053" i="8"/>
  <c r="G3061" i="8"/>
  <c r="G3069" i="8"/>
  <c r="G3077" i="8"/>
  <c r="G3085" i="8"/>
  <c r="G3093" i="8"/>
  <c r="G3101" i="8"/>
  <c r="G3109" i="8"/>
  <c r="G3117" i="8"/>
  <c r="G3125" i="8"/>
  <c r="G3133" i="8"/>
  <c r="G3141" i="8"/>
  <c r="G3149" i="8"/>
  <c r="G3157" i="8"/>
  <c r="G3165" i="8"/>
  <c r="G3173" i="8"/>
  <c r="G3181" i="8"/>
  <c r="G3189" i="8"/>
  <c r="G3197" i="8"/>
  <c r="G3205" i="8"/>
  <c r="G3213" i="8"/>
  <c r="G3221" i="8"/>
  <c r="G3229" i="8"/>
  <c r="G3237" i="8"/>
  <c r="G3245" i="8"/>
  <c r="G3253" i="8"/>
  <c r="G317" i="8"/>
  <c r="G716" i="8"/>
  <c r="G844" i="8"/>
  <c r="G972" i="8"/>
  <c r="G1100" i="8"/>
  <c r="G1200" i="8"/>
  <c r="G1232" i="8"/>
  <c r="G1264" i="8"/>
  <c r="G1296" i="8"/>
  <c r="G1328" i="8"/>
  <c r="G1360" i="8"/>
  <c r="G1392" i="8"/>
  <c r="G1424" i="8"/>
  <c r="G1456" i="8"/>
  <c r="G1488" i="8"/>
  <c r="G1520" i="8"/>
  <c r="G1552" i="8"/>
  <c r="G1584" i="8"/>
  <c r="G1616" i="8"/>
  <c r="G1648" i="8"/>
  <c r="G1680" i="8"/>
  <c r="G1712" i="8"/>
  <c r="G1744" i="8"/>
  <c r="G1776" i="8"/>
  <c r="G1808" i="8"/>
  <c r="G1840" i="8"/>
  <c r="G1864" i="8"/>
  <c r="G1882" i="8"/>
  <c r="G1905" i="8"/>
  <c r="G1928" i="8"/>
  <c r="G1946" i="8"/>
  <c r="G1969" i="8"/>
  <c r="G1992" i="8"/>
  <c r="G2010" i="8"/>
  <c r="G2033" i="8"/>
  <c r="G2049" i="8"/>
  <c r="G2065" i="8"/>
  <c r="G2081" i="8"/>
  <c r="G2097" i="8"/>
  <c r="G2113" i="8"/>
  <c r="G2129" i="8"/>
  <c r="G2145" i="8"/>
  <c r="G2161" i="8"/>
  <c r="G2177" i="8"/>
  <c r="G2193" i="8"/>
  <c r="G2207" i="8"/>
  <c r="G2218" i="8"/>
  <c r="G2232" i="8"/>
  <c r="G2244" i="8"/>
  <c r="G2257" i="8"/>
  <c r="G2271" i="8"/>
  <c r="G2282" i="8"/>
  <c r="G2296" i="8"/>
  <c r="G2308" i="8"/>
  <c r="G2320" i="8"/>
  <c r="G2330" i="8"/>
  <c r="G2341" i="8"/>
  <c r="G2352" i="8"/>
  <c r="G2362" i="8"/>
  <c r="G2373" i="8"/>
  <c r="G2383" i="8"/>
  <c r="G2391" i="8"/>
  <c r="G2399" i="8"/>
  <c r="G2407" i="8"/>
  <c r="G2415" i="8"/>
  <c r="G2423" i="8"/>
  <c r="G2431" i="8"/>
  <c r="G2439" i="8"/>
  <c r="G2447" i="8"/>
  <c r="G2455" i="8"/>
  <c r="G2463" i="8"/>
  <c r="G2471" i="8"/>
  <c r="G2479" i="8"/>
  <c r="G2487" i="8"/>
  <c r="G2495" i="8"/>
  <c r="G2503" i="8"/>
  <c r="G2511" i="8"/>
  <c r="G2519" i="8"/>
  <c r="G2527" i="8"/>
  <c r="G2535" i="8"/>
  <c r="G2543" i="8"/>
  <c r="G2551" i="8"/>
  <c r="G2559" i="8"/>
  <c r="G2567" i="8"/>
  <c r="G2575" i="8"/>
  <c r="G2583" i="8"/>
  <c r="G2591" i="8"/>
  <c r="G2599" i="8"/>
  <c r="G2607" i="8"/>
  <c r="G2615" i="8"/>
  <c r="G2623" i="8"/>
  <c r="G2631" i="8"/>
  <c r="G2639" i="8"/>
  <c r="G2647" i="8"/>
  <c r="G2655" i="8"/>
  <c r="G2663" i="8"/>
  <c r="G2671" i="8"/>
  <c r="G2679" i="8"/>
  <c r="G2687" i="8"/>
  <c r="G2695" i="8"/>
  <c r="G2703" i="8"/>
  <c r="G2711" i="8"/>
  <c r="G2719" i="8"/>
  <c r="G2727" i="8"/>
  <c r="G2735" i="8"/>
  <c r="G2743" i="8"/>
  <c r="G2751" i="8"/>
  <c r="G2759" i="8"/>
  <c r="G2767" i="8"/>
  <c r="G2775" i="8"/>
  <c r="G2783" i="8"/>
  <c r="G2791" i="8"/>
  <c r="G2799" i="8"/>
  <c r="G2807" i="8"/>
  <c r="G2815" i="8"/>
  <c r="G2823" i="8"/>
  <c r="G2831" i="8"/>
  <c r="G2839" i="8"/>
  <c r="G2847" i="8"/>
  <c r="G2855" i="8"/>
  <c r="G2863" i="8"/>
  <c r="G2871" i="8"/>
  <c r="G2879" i="8"/>
  <c r="G2887" i="8"/>
  <c r="G2895" i="8"/>
  <c r="G2903" i="8"/>
  <c r="G2911" i="8"/>
  <c r="G2919" i="8"/>
  <c r="G2927" i="8"/>
  <c r="G2935" i="8"/>
  <c r="G2943" i="8"/>
  <c r="G2951" i="8"/>
  <c r="G2959" i="8"/>
  <c r="G2967" i="8"/>
  <c r="G2975" i="8"/>
  <c r="G2983" i="8"/>
  <c r="G2991" i="8"/>
  <c r="G2999" i="8"/>
  <c r="G3007" i="8"/>
  <c r="G3015" i="8"/>
  <c r="G3023" i="8"/>
  <c r="G3031" i="8"/>
  <c r="G3039" i="8"/>
  <c r="G3047" i="8"/>
  <c r="G3055" i="8"/>
  <c r="G3063" i="8"/>
  <c r="G3071" i="8"/>
  <c r="G3079" i="8"/>
  <c r="G3087" i="8"/>
  <c r="G3095" i="8"/>
  <c r="G3103" i="8"/>
  <c r="G3111" i="8"/>
  <c r="G3119" i="8"/>
  <c r="G3127" i="8"/>
  <c r="G3135" i="8"/>
  <c r="G3143" i="8"/>
  <c r="G3151" i="8"/>
  <c r="G3159" i="8"/>
  <c r="G3167" i="8"/>
  <c r="G3175" i="8"/>
  <c r="G3183" i="8"/>
  <c r="G3191" i="8"/>
  <c r="G3199" i="8"/>
  <c r="G3207" i="8"/>
  <c r="G3215" i="8"/>
  <c r="G3223" i="8"/>
  <c r="G3231" i="8"/>
  <c r="G3239" i="8"/>
  <c r="G3247" i="8"/>
  <c r="G3255" i="8"/>
  <c r="G948" i="8"/>
  <c r="G1258" i="8"/>
  <c r="G1386" i="8"/>
  <c r="G1514" i="8"/>
  <c r="G1642" i="8"/>
  <c r="G1770" i="8"/>
  <c r="G1881" i="8"/>
  <c r="G1968" i="8"/>
  <c r="G2048" i="8"/>
  <c r="G2112" i="8"/>
  <c r="G2176" i="8"/>
  <c r="G2231" i="8"/>
  <c r="G2281" i="8"/>
  <c r="G2329" i="8"/>
  <c r="G2372" i="8"/>
  <c r="G2406" i="8"/>
  <c r="G2438" i="8"/>
  <c r="G2470" i="8"/>
  <c r="G2502" i="8"/>
  <c r="G2534" i="8"/>
  <c r="G2566" i="8"/>
  <c r="G2598" i="8"/>
  <c r="G2630" i="8"/>
  <c r="G2662" i="8"/>
  <c r="G2694" i="8"/>
  <c r="G2726" i="8"/>
  <c r="G2758" i="8"/>
  <c r="G2790" i="8"/>
  <c r="G2822" i="8"/>
  <c r="G2854" i="8"/>
  <c r="G2886" i="8"/>
  <c r="G2918" i="8"/>
  <c r="G2950" i="8"/>
  <c r="G2982" i="8"/>
  <c r="G3014" i="8"/>
  <c r="G3046" i="8"/>
  <c r="G3078" i="8"/>
  <c r="G3104" i="8"/>
  <c r="G3126" i="8"/>
  <c r="G3148" i="8"/>
  <c r="G3168" i="8"/>
  <c r="G3190" i="8"/>
  <c r="G3208" i="8"/>
  <c r="G3224" i="8"/>
  <c r="G3240" i="8"/>
  <c r="G3256" i="8"/>
  <c r="G3265" i="8"/>
  <c r="G3273" i="8"/>
  <c r="G3281" i="8"/>
  <c r="G3289" i="8"/>
  <c r="G3297" i="8"/>
  <c r="G3305" i="8"/>
  <c r="G3313" i="8"/>
  <c r="G3321" i="8"/>
  <c r="G3329" i="8"/>
  <c r="G3337" i="8"/>
  <c r="G3345" i="8"/>
  <c r="G3353" i="8"/>
  <c r="G3361" i="8"/>
  <c r="G3369" i="8"/>
  <c r="G3377" i="8"/>
  <c r="G3385" i="8"/>
  <c r="G3393" i="8"/>
  <c r="G3401" i="8"/>
  <c r="G3409" i="8"/>
  <c r="G3417" i="8"/>
  <c r="G3425" i="8"/>
  <c r="G3433" i="8"/>
  <c r="G3441" i="8"/>
  <c r="G3449" i="8"/>
  <c r="G980" i="8"/>
  <c r="G1266" i="8"/>
  <c r="G1394" i="8"/>
  <c r="G1522" i="8"/>
  <c r="G1650" i="8"/>
  <c r="G1778" i="8"/>
  <c r="G1888" i="8"/>
  <c r="G1970" i="8"/>
  <c r="G2050" i="8"/>
  <c r="G2114" i="8"/>
  <c r="G2178" i="8"/>
  <c r="G2233" i="8"/>
  <c r="G2284" i="8"/>
  <c r="G2332" i="8"/>
  <c r="G2375" i="8"/>
  <c r="G2408" i="8"/>
  <c r="G2440" i="8"/>
  <c r="G2472" i="8"/>
  <c r="G2504" i="8"/>
  <c r="G2536" i="8"/>
  <c r="G2568" i="8"/>
  <c r="G2600" i="8"/>
  <c r="G2632" i="8"/>
  <c r="G2664" i="8"/>
  <c r="G2696" i="8"/>
  <c r="G2728" i="8"/>
  <c r="G2760" i="8"/>
  <c r="G2792" i="8"/>
  <c r="G2824" i="8"/>
  <c r="G2856" i="8"/>
  <c r="G2888" i="8"/>
  <c r="G2920" i="8"/>
  <c r="G2952" i="8"/>
  <c r="G2984" i="8"/>
  <c r="G3016" i="8"/>
  <c r="G3048" i="8"/>
  <c r="G3080" i="8"/>
  <c r="G3108" i="8"/>
  <c r="G3128" i="8"/>
  <c r="G3150" i="8"/>
  <c r="G3172" i="8"/>
  <c r="G3192" i="8"/>
  <c r="G3210" i="8"/>
  <c r="G3226" i="8"/>
  <c r="G3242" i="8"/>
  <c r="G3258" i="8"/>
  <c r="G3266" i="8"/>
  <c r="G3274" i="8"/>
  <c r="G3282" i="8"/>
  <c r="G3290" i="8"/>
  <c r="G3298" i="8"/>
  <c r="G3306" i="8"/>
  <c r="G3314" i="8"/>
  <c r="G3322" i="8"/>
  <c r="G3330" i="8"/>
  <c r="G3338" i="8"/>
  <c r="G3346" i="8"/>
  <c r="G3354" i="8"/>
  <c r="G3362" i="8"/>
  <c r="G3370" i="8"/>
  <c r="G3378" i="8"/>
  <c r="G3386" i="8"/>
  <c r="G3394" i="8"/>
  <c r="G3402" i="8"/>
  <c r="G3410" i="8"/>
  <c r="G3418" i="8"/>
  <c r="G3426" i="8"/>
  <c r="G3434" i="8"/>
  <c r="G3442" i="8"/>
  <c r="G3450" i="8"/>
  <c r="G3458" i="8"/>
  <c r="G3466" i="8"/>
  <c r="G3474" i="8"/>
  <c r="G3482" i="8"/>
  <c r="G3490" i="8"/>
  <c r="G3498" i="8"/>
  <c r="G3506" i="8"/>
  <c r="G3514" i="8"/>
  <c r="G3522" i="8"/>
  <c r="G3530" i="8"/>
  <c r="G3538" i="8"/>
  <c r="G3546" i="8"/>
  <c r="G3554" i="8"/>
  <c r="G3562" i="8"/>
  <c r="G3570" i="8"/>
  <c r="G3578" i="8"/>
  <c r="G3586" i="8"/>
  <c r="G3594" i="8"/>
  <c r="G3602" i="8"/>
  <c r="G3610" i="8"/>
  <c r="G3618" i="8"/>
  <c r="G3626" i="8"/>
  <c r="G3634" i="8"/>
  <c r="G3642" i="8"/>
  <c r="G3650" i="8"/>
  <c r="G3658" i="8"/>
  <c r="G3666" i="8"/>
  <c r="G3674" i="8"/>
  <c r="G3682" i="8"/>
  <c r="G3690" i="8"/>
  <c r="G3698" i="8"/>
  <c r="G3706" i="8"/>
  <c r="G3714" i="8"/>
  <c r="G3722" i="8"/>
  <c r="G3730" i="8"/>
  <c r="G3738" i="8"/>
  <c r="G3746" i="8"/>
  <c r="G3754" i="8"/>
  <c r="G3762" i="8"/>
  <c r="G3770" i="8"/>
  <c r="G3778" i="8"/>
  <c r="G3786" i="8"/>
  <c r="G3794" i="8"/>
  <c r="G3802" i="8"/>
  <c r="G3810" i="8"/>
  <c r="G3818" i="8"/>
  <c r="G221" i="8"/>
  <c r="G1076" i="8"/>
  <c r="G1290" i="8"/>
  <c r="G1418" i="8"/>
  <c r="G1546" i="8"/>
  <c r="G1674" i="8"/>
  <c r="G1802" i="8"/>
  <c r="G1904" i="8"/>
  <c r="G1986" i="8"/>
  <c r="G2064" i="8"/>
  <c r="G2128" i="8"/>
  <c r="G2192" i="8"/>
  <c r="G2242" i="8"/>
  <c r="G2295" i="8"/>
  <c r="G2340" i="8"/>
  <c r="G2382" i="8"/>
  <c r="G2414" i="8"/>
  <c r="G2446" i="8"/>
  <c r="G2478" i="8"/>
  <c r="G2510" i="8"/>
  <c r="G2542" i="8"/>
  <c r="G2574" i="8"/>
  <c r="G2606" i="8"/>
  <c r="G2638" i="8"/>
  <c r="G2670" i="8"/>
  <c r="G2702" i="8"/>
  <c r="G2734" i="8"/>
  <c r="G2766" i="8"/>
  <c r="G2798" i="8"/>
  <c r="G2830" i="8"/>
  <c r="G2862" i="8"/>
  <c r="G2894" i="8"/>
  <c r="G2926" i="8"/>
  <c r="G2958" i="8"/>
  <c r="G2990" i="8"/>
  <c r="G3022" i="8"/>
  <c r="G3054" i="8"/>
  <c r="G3086" i="8"/>
  <c r="G3110" i="8"/>
  <c r="G3132" i="8"/>
  <c r="G3152" i="8"/>
  <c r="G3174" i="8"/>
  <c r="G3196" i="8"/>
  <c r="G3212" i="8"/>
  <c r="G3228" i="8"/>
  <c r="G3244" i="8"/>
  <c r="G3259" i="8"/>
  <c r="G3267" i="8"/>
  <c r="G3275" i="8"/>
  <c r="G3283" i="8"/>
  <c r="G3291" i="8"/>
  <c r="G3299" i="8"/>
  <c r="G3307" i="8"/>
  <c r="G3315" i="8"/>
  <c r="G3323" i="8"/>
  <c r="G3331" i="8"/>
  <c r="G3339" i="8"/>
  <c r="G3347" i="8"/>
  <c r="G3355" i="8"/>
  <c r="G3363" i="8"/>
  <c r="G3371" i="8"/>
  <c r="G3379" i="8"/>
  <c r="G3387" i="8"/>
  <c r="G3395" i="8"/>
  <c r="G3403" i="8"/>
  <c r="G3411" i="8"/>
  <c r="G3419" i="8"/>
  <c r="G3427" i="8"/>
  <c r="G3435" i="8"/>
  <c r="G3443" i="8"/>
  <c r="G3451" i="8"/>
  <c r="G3459" i="8"/>
  <c r="G3467" i="8"/>
  <c r="G3475" i="8"/>
  <c r="G3483" i="8"/>
  <c r="G3491" i="8"/>
  <c r="G3499" i="8"/>
  <c r="G3507" i="8"/>
  <c r="G3515" i="8"/>
  <c r="G3523" i="8"/>
  <c r="G3531" i="8"/>
  <c r="G3539" i="8"/>
  <c r="G3547" i="8"/>
  <c r="G3555" i="8"/>
  <c r="G3563" i="8"/>
  <c r="G3571" i="8"/>
  <c r="G3579" i="8"/>
  <c r="G3587" i="8"/>
  <c r="G3595" i="8"/>
  <c r="G3603" i="8"/>
  <c r="G3611" i="8"/>
  <c r="G3619" i="8"/>
  <c r="G3627" i="8"/>
  <c r="G3635" i="8"/>
  <c r="G3643" i="8"/>
  <c r="G3651" i="8"/>
  <c r="G3659" i="8"/>
  <c r="G3667" i="8"/>
  <c r="G3675" i="8"/>
  <c r="G349" i="8"/>
  <c r="G1108" i="8"/>
  <c r="G1298" i="8"/>
  <c r="G1426" i="8"/>
  <c r="G1554" i="8"/>
  <c r="G1682" i="8"/>
  <c r="G1810" i="8"/>
  <c r="G1906" i="8"/>
  <c r="G1993" i="8"/>
  <c r="G2066" i="8"/>
  <c r="G2130" i="8"/>
  <c r="G2194" i="8"/>
  <c r="G2247" i="8"/>
  <c r="G2297" i="8"/>
  <c r="G2343" i="8"/>
  <c r="G2384" i="8"/>
  <c r="G2416" i="8"/>
  <c r="G2448" i="8"/>
  <c r="G2480" i="8"/>
  <c r="G2512" i="8"/>
  <c r="G2544" i="8"/>
  <c r="G2576" i="8"/>
  <c r="G2608" i="8"/>
  <c r="G2640" i="8"/>
  <c r="G2672" i="8"/>
  <c r="G2704" i="8"/>
  <c r="G2736" i="8"/>
  <c r="G2768" i="8"/>
  <c r="G2800" i="8"/>
  <c r="G2832" i="8"/>
  <c r="G2864" i="8"/>
  <c r="G2896" i="8"/>
  <c r="G2928" i="8"/>
  <c r="G2960" i="8"/>
  <c r="G2992" i="8"/>
  <c r="G3024" i="8"/>
  <c r="G3056" i="8"/>
  <c r="G3088" i="8"/>
  <c r="G3112" i="8"/>
  <c r="G3134" i="8"/>
  <c r="G3156" i="8"/>
  <c r="G3176" i="8"/>
  <c r="G3198" i="8"/>
  <c r="G3214" i="8"/>
  <c r="G3230" i="8"/>
  <c r="G3246" i="8"/>
  <c r="G3260" i="8"/>
  <c r="G3268" i="8"/>
  <c r="G3276" i="8"/>
  <c r="G3284" i="8"/>
  <c r="G3292" i="8"/>
  <c r="G3300" i="8"/>
  <c r="G3308" i="8"/>
  <c r="G3316" i="8"/>
  <c r="G3324" i="8"/>
  <c r="G3332" i="8"/>
  <c r="G3340" i="8"/>
  <c r="G3348" i="8"/>
  <c r="G3356" i="8"/>
  <c r="G3364" i="8"/>
  <c r="G3372" i="8"/>
  <c r="G3380" i="8"/>
  <c r="G3388" i="8"/>
  <c r="G3396" i="8"/>
  <c r="G3404" i="8"/>
  <c r="G3412" i="8"/>
  <c r="G3420" i="8"/>
  <c r="G3428" i="8"/>
  <c r="G3436" i="8"/>
  <c r="G3444" i="8"/>
  <c r="G3452" i="8"/>
  <c r="G3460" i="8"/>
  <c r="G3468" i="8"/>
  <c r="G3476" i="8"/>
  <c r="G3484" i="8"/>
  <c r="G3492" i="8"/>
  <c r="G3500" i="8"/>
  <c r="G3508" i="8"/>
  <c r="G3516" i="8"/>
  <c r="G3524" i="8"/>
  <c r="G3532" i="8"/>
  <c r="G3540" i="8"/>
  <c r="G3548" i="8"/>
  <c r="G3556" i="8"/>
  <c r="G3564" i="8"/>
  <c r="G3572" i="8"/>
  <c r="G3580" i="8"/>
  <c r="G3588" i="8"/>
  <c r="G3596" i="8"/>
  <c r="G3604" i="8"/>
  <c r="G3612" i="8"/>
  <c r="G3620" i="8"/>
  <c r="G3628" i="8"/>
  <c r="G3636" i="8"/>
  <c r="G3644" i="8"/>
  <c r="G3652" i="8"/>
  <c r="G3660" i="8"/>
  <c r="G3668" i="8"/>
  <c r="G3676" i="8"/>
  <c r="G3684" i="8"/>
  <c r="G3692" i="8"/>
  <c r="G3700" i="8"/>
  <c r="G3708" i="8"/>
  <c r="G3716" i="8"/>
  <c r="G3724" i="8"/>
  <c r="G3732" i="8"/>
  <c r="G3740" i="8"/>
  <c r="G3748" i="8"/>
  <c r="G3756" i="8"/>
  <c r="G3764" i="8"/>
  <c r="G3772" i="8"/>
  <c r="G3780" i="8"/>
  <c r="G3788" i="8"/>
  <c r="G3796" i="8"/>
  <c r="G3804" i="8"/>
  <c r="G3812" i="8"/>
  <c r="G692" i="8"/>
  <c r="G1194" i="8"/>
  <c r="G1322" i="8"/>
  <c r="G1450" i="8"/>
  <c r="G1578" i="8"/>
  <c r="G1706" i="8"/>
  <c r="G1834" i="8"/>
  <c r="G1922" i="8"/>
  <c r="G2009" i="8"/>
  <c r="G2080" i="8"/>
  <c r="G2144" i="8"/>
  <c r="G2204" i="8"/>
  <c r="G2256" i="8"/>
  <c r="G2306" i="8"/>
  <c r="G2351" i="8"/>
  <c r="G2390" i="8"/>
  <c r="G2422" i="8"/>
  <c r="G2454" i="8"/>
  <c r="G2486" i="8"/>
  <c r="G2518" i="8"/>
  <c r="G2550" i="8"/>
  <c r="G2582" i="8"/>
  <c r="G2614" i="8"/>
  <c r="G2646" i="8"/>
  <c r="G2678" i="8"/>
  <c r="G2710" i="8"/>
  <c r="G2742" i="8"/>
  <c r="G2774" i="8"/>
  <c r="G2806" i="8"/>
  <c r="G2838" i="8"/>
  <c r="G2870" i="8"/>
  <c r="G2902" i="8"/>
  <c r="G2934" i="8"/>
  <c r="G2966" i="8"/>
  <c r="G2998" i="8"/>
  <c r="G3030" i="8"/>
  <c r="G3062" i="8"/>
  <c r="G3094" i="8"/>
  <c r="G3116" i="8"/>
  <c r="G3136" i="8"/>
  <c r="G3158" i="8"/>
  <c r="G3180" i="8"/>
  <c r="G3200" i="8"/>
  <c r="G3216" i="8"/>
  <c r="G3232" i="8"/>
  <c r="G3248" i="8"/>
  <c r="G3261" i="8"/>
  <c r="G3269" i="8"/>
  <c r="G3277" i="8"/>
  <c r="G3285" i="8"/>
  <c r="G3293" i="8"/>
  <c r="G3301" i="8"/>
  <c r="G3309" i="8"/>
  <c r="G3317" i="8"/>
  <c r="G3325" i="8"/>
  <c r="G3333" i="8"/>
  <c r="G3341" i="8"/>
  <c r="G3349" i="8"/>
  <c r="G3357" i="8"/>
  <c r="G3365" i="8"/>
  <c r="G3373" i="8"/>
  <c r="G3381" i="8"/>
  <c r="G3389" i="8"/>
  <c r="G3397" i="8"/>
  <c r="G3405" i="8"/>
  <c r="G3413" i="8"/>
  <c r="G3421" i="8"/>
  <c r="G3429" i="8"/>
  <c r="G3437" i="8"/>
  <c r="G3445" i="8"/>
  <c r="G3453" i="8"/>
  <c r="G3461" i="8"/>
  <c r="G3469" i="8"/>
  <c r="G3477" i="8"/>
  <c r="G3485" i="8"/>
  <c r="G3493" i="8"/>
  <c r="G3501" i="8"/>
  <c r="G3509" i="8"/>
  <c r="G3517" i="8"/>
  <c r="G3525" i="8"/>
  <c r="G3533" i="8"/>
  <c r="G3541" i="8"/>
  <c r="G3549" i="8"/>
  <c r="G3557" i="8"/>
  <c r="G3565" i="8"/>
  <c r="G3573" i="8"/>
  <c r="G3581" i="8"/>
  <c r="G3589" i="8"/>
  <c r="G3597" i="8"/>
  <c r="G3605" i="8"/>
  <c r="G3613" i="8"/>
  <c r="G3621" i="8"/>
  <c r="G3629" i="8"/>
  <c r="G3637" i="8"/>
  <c r="G3645" i="8"/>
  <c r="G3653" i="8"/>
  <c r="G3661" i="8"/>
  <c r="G3669" i="8"/>
  <c r="G3677" i="8"/>
  <c r="G3685" i="8"/>
  <c r="G3693" i="8"/>
  <c r="G3701" i="8"/>
  <c r="G3709" i="8"/>
  <c r="G3717" i="8"/>
  <c r="G3725" i="8"/>
  <c r="G3733" i="8"/>
  <c r="G3741" i="8"/>
  <c r="G3749" i="8"/>
  <c r="G724" i="8"/>
  <c r="G1202" i="8"/>
  <c r="G1330" i="8"/>
  <c r="G1458" i="8"/>
  <c r="G1586" i="8"/>
  <c r="G1714" i="8"/>
  <c r="G1842" i="8"/>
  <c r="G1929" i="8"/>
  <c r="G2016" i="8"/>
  <c r="G2082" i="8"/>
  <c r="G2146" i="8"/>
  <c r="G2208" i="8"/>
  <c r="G2258" i="8"/>
  <c r="G2311" i="8"/>
  <c r="G2353" i="8"/>
  <c r="G2392" i="8"/>
  <c r="G2424" i="8"/>
  <c r="G2456" i="8"/>
  <c r="G2488" i="8"/>
  <c r="G2520" i="8"/>
  <c r="G2552" i="8"/>
  <c r="G2584" i="8"/>
  <c r="G2616" i="8"/>
  <c r="G2648" i="8"/>
  <c r="G2680" i="8"/>
  <c r="G2712" i="8"/>
  <c r="G2744" i="8"/>
  <c r="G2776" i="8"/>
  <c r="G2808" i="8"/>
  <c r="G2840" i="8"/>
  <c r="G2872" i="8"/>
  <c r="G2904" i="8"/>
  <c r="G2936" i="8"/>
  <c r="G2968" i="8"/>
  <c r="G3000" i="8"/>
  <c r="G3032" i="8"/>
  <c r="G3064" i="8"/>
  <c r="G3096" i="8"/>
  <c r="G3118" i="8"/>
  <c r="G3140" i="8"/>
  <c r="G3160" i="8"/>
  <c r="G3182" i="8"/>
  <c r="G3202" i="8"/>
  <c r="G3218" i="8"/>
  <c r="G3234" i="8"/>
  <c r="G3250" i="8"/>
  <c r="G3262" i="8"/>
  <c r="G3270" i="8"/>
  <c r="G3278" i="8"/>
  <c r="G3286" i="8"/>
  <c r="G3294" i="8"/>
  <c r="G3302" i="8"/>
  <c r="G3310" i="8"/>
  <c r="G3318" i="8"/>
  <c r="G3326" i="8"/>
  <c r="G3334" i="8"/>
  <c r="G3342" i="8"/>
  <c r="G3350" i="8"/>
  <c r="G3358" i="8"/>
  <c r="G3366" i="8"/>
  <c r="G3374" i="8"/>
  <c r="G3382" i="8"/>
  <c r="G3390" i="8"/>
  <c r="G3398" i="8"/>
  <c r="G3406" i="8"/>
  <c r="G3414" i="8"/>
  <c r="G3422" i="8"/>
  <c r="G3430" i="8"/>
  <c r="G3438" i="8"/>
  <c r="G3446" i="8"/>
  <c r="G3454" i="8"/>
  <c r="G3462" i="8"/>
  <c r="G3470" i="8"/>
  <c r="G3478" i="8"/>
  <c r="G3486" i="8"/>
  <c r="G3494" i="8"/>
  <c r="G3502" i="8"/>
  <c r="G3510" i="8"/>
  <c r="G3518" i="8"/>
  <c r="G3526" i="8"/>
  <c r="G3534" i="8"/>
  <c r="G3542" i="8"/>
  <c r="G3550" i="8"/>
  <c r="G3558" i="8"/>
  <c r="G3566" i="8"/>
  <c r="G1482" i="8"/>
  <c r="G1945" i="8"/>
  <c r="G2217" i="8"/>
  <c r="G1490" i="8"/>
  <c r="G1952" i="8"/>
  <c r="G2220" i="8"/>
  <c r="G2400" i="8"/>
  <c r="G2528" i="8"/>
  <c r="G2656" i="8"/>
  <c r="G2784" i="8"/>
  <c r="G2912" i="8"/>
  <c r="G3040" i="8"/>
  <c r="G3144" i="8"/>
  <c r="G3222" i="8"/>
  <c r="G3272" i="8"/>
  <c r="G3304" i="8"/>
  <c r="G3336" i="8"/>
  <c r="G3368" i="8"/>
  <c r="G3400" i="8"/>
  <c r="G3432" i="8"/>
  <c r="G3463" i="8"/>
  <c r="G3481" i="8"/>
  <c r="G3504" i="8"/>
  <c r="G3527" i="8"/>
  <c r="G3545" i="8"/>
  <c r="G3568" i="8"/>
  <c r="G3584" i="8"/>
  <c r="G3600" i="8"/>
  <c r="G3616" i="8"/>
  <c r="G3632" i="8"/>
  <c r="G3648" i="8"/>
  <c r="G3664" i="8"/>
  <c r="G3680" i="8"/>
  <c r="G3694" i="8"/>
  <c r="G3705" i="8"/>
  <c r="G3719" i="8"/>
  <c r="G3731" i="8"/>
  <c r="G3744" i="8"/>
  <c r="G3757" i="8"/>
  <c r="G3767" i="8"/>
  <c r="G3777" i="8"/>
  <c r="G3789" i="8"/>
  <c r="G3799" i="8"/>
  <c r="G3809" i="8"/>
  <c r="G3820" i="8"/>
  <c r="G3828" i="8"/>
  <c r="G3836" i="8"/>
  <c r="G3844" i="8"/>
  <c r="G3852" i="8"/>
  <c r="G3860" i="8"/>
  <c r="G3868" i="8"/>
  <c r="G3876" i="8"/>
  <c r="G3884" i="8"/>
  <c r="G3892" i="8"/>
  <c r="G3900" i="8"/>
  <c r="G3908" i="8"/>
  <c r="G3916" i="8"/>
  <c r="G3924" i="8"/>
  <c r="G3932" i="8"/>
  <c r="G3940" i="8"/>
  <c r="G3948" i="8"/>
  <c r="G3956" i="8"/>
  <c r="G3964" i="8"/>
  <c r="G3972" i="8"/>
  <c r="G3980" i="8"/>
  <c r="G3988" i="8"/>
  <c r="G3996" i="8"/>
  <c r="G4004" i="8"/>
  <c r="G4012" i="8"/>
  <c r="G4020" i="8"/>
  <c r="G4028" i="8"/>
  <c r="G4036" i="8"/>
  <c r="G4044" i="8"/>
  <c r="G4052" i="8"/>
  <c r="G4060" i="8"/>
  <c r="G4068" i="8"/>
  <c r="G4076" i="8"/>
  <c r="G4084" i="8"/>
  <c r="G4092" i="8"/>
  <c r="G4100" i="8"/>
  <c r="G4108" i="8"/>
  <c r="G4116" i="8"/>
  <c r="G4124" i="8"/>
  <c r="G4132" i="8"/>
  <c r="G4140" i="8"/>
  <c r="G4148" i="8"/>
  <c r="G4156" i="8"/>
  <c r="G4164" i="8"/>
  <c r="G4172" i="8"/>
  <c r="G4180" i="8"/>
  <c r="G4188" i="8"/>
  <c r="G4196" i="8"/>
  <c r="G4204" i="8"/>
  <c r="G4212" i="8"/>
  <c r="G4220" i="8"/>
  <c r="G4228" i="8"/>
  <c r="G4236" i="8"/>
  <c r="G4244" i="8"/>
  <c r="G4252" i="8"/>
  <c r="G4260" i="8"/>
  <c r="G4268" i="8"/>
  <c r="G4276" i="8"/>
  <c r="G4284" i="8"/>
  <c r="G4292" i="8"/>
  <c r="G4300" i="8"/>
  <c r="G4308" i="8"/>
  <c r="G4316" i="8"/>
  <c r="G4324" i="8"/>
  <c r="G4332" i="8"/>
  <c r="G4340" i="8"/>
  <c r="G4348" i="8"/>
  <c r="G4356" i="8"/>
  <c r="G4364" i="8"/>
  <c r="G4372" i="8"/>
  <c r="G4380" i="8"/>
  <c r="G4388" i="8"/>
  <c r="G4396" i="8"/>
  <c r="G4404" i="8"/>
  <c r="G4412" i="8"/>
  <c r="G4420" i="8"/>
  <c r="G4428" i="8"/>
  <c r="G4436" i="8"/>
  <c r="G4444" i="8"/>
  <c r="G4452" i="8"/>
  <c r="G4460" i="8"/>
  <c r="G4468" i="8"/>
  <c r="G4476" i="8"/>
  <c r="G4484" i="8"/>
  <c r="G4492" i="8"/>
  <c r="G4500" i="8"/>
  <c r="G4508" i="8"/>
  <c r="G4516" i="8"/>
  <c r="G4524" i="8"/>
  <c r="G4532" i="8"/>
  <c r="G4540" i="8"/>
  <c r="G4548" i="8"/>
  <c r="G4556" i="8"/>
  <c r="G4564" i="8"/>
  <c r="G4572" i="8"/>
  <c r="G4580" i="8"/>
  <c r="G4588" i="8"/>
  <c r="G4596" i="8"/>
  <c r="G4604" i="8"/>
  <c r="G4612" i="8"/>
  <c r="G4620" i="8"/>
  <c r="G4628" i="8"/>
  <c r="G4636" i="8"/>
  <c r="G4644" i="8"/>
  <c r="G4652" i="8"/>
  <c r="G4660" i="8"/>
  <c r="G4668" i="8"/>
  <c r="G4676" i="8"/>
  <c r="G4684" i="8"/>
  <c r="G4692" i="8"/>
  <c r="G4700" i="8"/>
  <c r="G4708" i="8"/>
  <c r="G4716" i="8"/>
  <c r="G4724" i="8"/>
  <c r="G4732" i="8"/>
  <c r="G4740" i="8"/>
  <c r="G4748" i="8"/>
  <c r="G4756" i="8"/>
  <c r="G4764" i="8"/>
  <c r="G4772" i="8"/>
  <c r="G4780" i="8"/>
  <c r="G4788" i="8"/>
  <c r="G4796" i="8"/>
  <c r="G4804" i="8"/>
  <c r="G4812" i="8"/>
  <c r="G4820" i="8"/>
  <c r="G4828" i="8"/>
  <c r="G4836" i="8"/>
  <c r="G4844" i="8"/>
  <c r="G820" i="8"/>
  <c r="G1610" i="8"/>
  <c r="G2032" i="8"/>
  <c r="G2268" i="8"/>
  <c r="G2430" i="8"/>
  <c r="G2558" i="8"/>
  <c r="G2686" i="8"/>
  <c r="G2814" i="8"/>
  <c r="G2942" i="8"/>
  <c r="G3070" i="8"/>
  <c r="G3164" i="8"/>
  <c r="G3236" i="8"/>
  <c r="G3279" i="8"/>
  <c r="G3311" i="8"/>
  <c r="G3343" i="8"/>
  <c r="G3375" i="8"/>
  <c r="G3407" i="8"/>
  <c r="G3439" i="8"/>
  <c r="G3464" i="8"/>
  <c r="G3487" i="8"/>
  <c r="G3505" i="8"/>
  <c r="G3528" i="8"/>
  <c r="G3551" i="8"/>
  <c r="G3569" i="8"/>
  <c r="G3585" i="8"/>
  <c r="G3601" i="8"/>
  <c r="G3617" i="8"/>
  <c r="G3633" i="8"/>
  <c r="G3649" i="8"/>
  <c r="G3665" i="8"/>
  <c r="G3681" i="8"/>
  <c r="G3695" i="8"/>
  <c r="G3707" i="8"/>
  <c r="G3720" i="8"/>
  <c r="G3734" i="8"/>
  <c r="G3745" i="8"/>
  <c r="G3758" i="8"/>
  <c r="G3768" i="8"/>
  <c r="G3779" i="8"/>
  <c r="G3790" i="8"/>
  <c r="G3800" i="8"/>
  <c r="G3811" i="8"/>
  <c r="G3821" i="8"/>
  <c r="G3829" i="8"/>
  <c r="G3837" i="8"/>
  <c r="G3845" i="8"/>
  <c r="G3853" i="8"/>
  <c r="G3861" i="8"/>
  <c r="G3869" i="8"/>
  <c r="G3877" i="8"/>
  <c r="G3885" i="8"/>
  <c r="G3893" i="8"/>
  <c r="G3901" i="8"/>
  <c r="G3909" i="8"/>
  <c r="G3917" i="8"/>
  <c r="G3925" i="8"/>
  <c r="G3933" i="8"/>
  <c r="G3941" i="8"/>
  <c r="G3949" i="8"/>
  <c r="G3957" i="8"/>
  <c r="G3965" i="8"/>
  <c r="G3973" i="8"/>
  <c r="G3981" i="8"/>
  <c r="G3989" i="8"/>
  <c r="G3997" i="8"/>
  <c r="G4005" i="8"/>
  <c r="G4013" i="8"/>
  <c r="G4021" i="8"/>
  <c r="G4029" i="8"/>
  <c r="G4037" i="8"/>
  <c r="G4045" i="8"/>
  <c r="G4053" i="8"/>
  <c r="G4061" i="8"/>
  <c r="G4069" i="8"/>
  <c r="G4077" i="8"/>
  <c r="G4085" i="8"/>
  <c r="G4093" i="8"/>
  <c r="G4101" i="8"/>
  <c r="G4109" i="8"/>
  <c r="G4117" i="8"/>
  <c r="G4125" i="8"/>
  <c r="G4133" i="8"/>
  <c r="G4141" i="8"/>
  <c r="G4149" i="8"/>
  <c r="G4157" i="8"/>
  <c r="G4165" i="8"/>
  <c r="G4173" i="8"/>
  <c r="G4181" i="8"/>
  <c r="G4189" i="8"/>
  <c r="G4197" i="8"/>
  <c r="G4205" i="8"/>
  <c r="G4213" i="8"/>
  <c r="G4221" i="8"/>
  <c r="G4229" i="8"/>
  <c r="G4237" i="8"/>
  <c r="G4245" i="8"/>
  <c r="G4253" i="8"/>
  <c r="G4261" i="8"/>
  <c r="G4269" i="8"/>
  <c r="G4277" i="8"/>
  <c r="G4285" i="8"/>
  <c r="G4293" i="8"/>
  <c r="G4301" i="8"/>
  <c r="G4309" i="8"/>
  <c r="G4317" i="8"/>
  <c r="G4325" i="8"/>
  <c r="G4333" i="8"/>
  <c r="G4341" i="8"/>
  <c r="G4349" i="8"/>
  <c r="G4357" i="8"/>
  <c r="G4365" i="8"/>
  <c r="G4373" i="8"/>
  <c r="G4381" i="8"/>
  <c r="G4389" i="8"/>
  <c r="G4397" i="8"/>
  <c r="G4405" i="8"/>
  <c r="G4413" i="8"/>
  <c r="G4421" i="8"/>
  <c r="G4429" i="8"/>
  <c r="G4437" i="8"/>
  <c r="G4445" i="8"/>
  <c r="G4453" i="8"/>
  <c r="G4461" i="8"/>
  <c r="G4469" i="8"/>
  <c r="G4477" i="8"/>
  <c r="G4485" i="8"/>
  <c r="G4493" i="8"/>
  <c r="G4501" i="8"/>
  <c r="G4509" i="8"/>
  <c r="G4517" i="8"/>
  <c r="G4525" i="8"/>
  <c r="G4533" i="8"/>
  <c r="G4541" i="8"/>
  <c r="G4549" i="8"/>
  <c r="G4557" i="8"/>
  <c r="G4565" i="8"/>
  <c r="G4573" i="8"/>
  <c r="G4581" i="8"/>
  <c r="G4589" i="8"/>
  <c r="G4597" i="8"/>
  <c r="G4605" i="8"/>
  <c r="G4613" i="8"/>
  <c r="G4621" i="8"/>
  <c r="G4629" i="8"/>
  <c r="G4637" i="8"/>
  <c r="G4645" i="8"/>
  <c r="G4653" i="8"/>
  <c r="G4661" i="8"/>
  <c r="G4669" i="8"/>
  <c r="G4677" i="8"/>
  <c r="G4685" i="8"/>
  <c r="G4693" i="8"/>
  <c r="G4701" i="8"/>
  <c r="G4709" i="8"/>
  <c r="G4717" i="8"/>
  <c r="G4725" i="8"/>
  <c r="G4733" i="8"/>
  <c r="G4741" i="8"/>
  <c r="G4749" i="8"/>
  <c r="G4757" i="8"/>
  <c r="G4765" i="8"/>
  <c r="G4773" i="8"/>
  <c r="G4781" i="8"/>
  <c r="G4789" i="8"/>
  <c r="G4797" i="8"/>
  <c r="G4805" i="8"/>
  <c r="G4813" i="8"/>
  <c r="G4821" i="8"/>
  <c r="G852" i="8"/>
  <c r="G1618" i="8"/>
  <c r="G2034" i="8"/>
  <c r="G2272" i="8"/>
  <c r="G2432" i="8"/>
  <c r="G2560" i="8"/>
  <c r="G2688" i="8"/>
  <c r="G2816" i="8"/>
  <c r="G2944" i="8"/>
  <c r="G3072" i="8"/>
  <c r="G3166" i="8"/>
  <c r="G3238" i="8"/>
  <c r="G3280" i="8"/>
  <c r="G3312" i="8"/>
  <c r="G3344" i="8"/>
  <c r="G3376" i="8"/>
  <c r="G3408" i="8"/>
  <c r="G3440" i="8"/>
  <c r="G3465" i="8"/>
  <c r="G3488" i="8"/>
  <c r="G3511" i="8"/>
  <c r="G3529" i="8"/>
  <c r="G3552" i="8"/>
  <c r="G3574" i="8"/>
  <c r="G3590" i="8"/>
  <c r="G3606" i="8"/>
  <c r="G3622" i="8"/>
  <c r="G3638" i="8"/>
  <c r="G3654" i="8"/>
  <c r="G3670" i="8"/>
  <c r="G3683" i="8"/>
  <c r="G3696" i="8"/>
  <c r="G3710" i="8"/>
  <c r="G3721" i="8"/>
  <c r="G3735" i="8"/>
  <c r="G3747" i="8"/>
  <c r="G3759" i="8"/>
  <c r="G3769" i="8"/>
  <c r="G3781" i="8"/>
  <c r="G3791" i="8"/>
  <c r="G3801" i="8"/>
  <c r="G3813" i="8"/>
  <c r="G3822" i="8"/>
  <c r="G3830" i="8"/>
  <c r="G3838" i="8"/>
  <c r="G3846" i="8"/>
  <c r="G3854" i="8"/>
  <c r="G3862" i="8"/>
  <c r="G3870" i="8"/>
  <c r="G3878" i="8"/>
  <c r="G3886" i="8"/>
  <c r="G3894" i="8"/>
  <c r="G3902" i="8"/>
  <c r="G3910" i="8"/>
  <c r="G3918" i="8"/>
  <c r="G3926" i="8"/>
  <c r="G3934" i="8"/>
  <c r="G3942" i="8"/>
  <c r="G3950" i="8"/>
  <c r="G3958" i="8"/>
  <c r="G3966" i="8"/>
  <c r="G3974" i="8"/>
  <c r="G3982" i="8"/>
  <c r="G3990" i="8"/>
  <c r="G3998" i="8"/>
  <c r="G4006" i="8"/>
  <c r="G4014" i="8"/>
  <c r="G4022" i="8"/>
  <c r="G4030" i="8"/>
  <c r="G4038" i="8"/>
  <c r="G4046" i="8"/>
  <c r="G4054" i="8"/>
  <c r="G4062" i="8"/>
  <c r="G4070" i="8"/>
  <c r="G4078" i="8"/>
  <c r="G4086" i="8"/>
  <c r="G4094" i="8"/>
  <c r="G4102" i="8"/>
  <c r="G4110" i="8"/>
  <c r="G4118" i="8"/>
  <c r="G4126" i="8"/>
  <c r="G4134" i="8"/>
  <c r="G4142" i="8"/>
  <c r="G4150" i="8"/>
  <c r="G4158" i="8"/>
  <c r="G4166" i="8"/>
  <c r="G4174" i="8"/>
  <c r="G4182" i="8"/>
  <c r="G4190" i="8"/>
  <c r="G4198" i="8"/>
  <c r="G4206" i="8"/>
  <c r="G4214" i="8"/>
  <c r="G4222" i="8"/>
  <c r="G4230" i="8"/>
  <c r="G4238" i="8"/>
  <c r="G4246" i="8"/>
  <c r="G4254" i="8"/>
  <c r="G4262" i="8"/>
  <c r="G4270" i="8"/>
  <c r="G4278" i="8"/>
  <c r="G4286" i="8"/>
  <c r="G4294" i="8"/>
  <c r="G4302" i="8"/>
  <c r="G4310" i="8"/>
  <c r="G4318" i="8"/>
  <c r="G4326" i="8"/>
  <c r="G4334" i="8"/>
  <c r="G4342" i="8"/>
  <c r="G4350" i="8"/>
  <c r="G4358" i="8"/>
  <c r="G4366" i="8"/>
  <c r="G4374" i="8"/>
  <c r="G4382" i="8"/>
  <c r="G4390" i="8"/>
  <c r="G4398" i="8"/>
  <c r="G4406" i="8"/>
  <c r="G4414" i="8"/>
  <c r="G4422" i="8"/>
  <c r="G4430" i="8"/>
  <c r="G4438" i="8"/>
  <c r="G4446" i="8"/>
  <c r="G4454" i="8"/>
  <c r="G4462" i="8"/>
  <c r="G4470" i="8"/>
  <c r="G4478" i="8"/>
  <c r="G4486" i="8"/>
  <c r="G4494" i="8"/>
  <c r="G4502" i="8"/>
  <c r="G4510" i="8"/>
  <c r="G4518" i="8"/>
  <c r="G4526" i="8"/>
  <c r="G4534" i="8"/>
  <c r="G4542" i="8"/>
  <c r="G4550" i="8"/>
  <c r="G4558" i="8"/>
  <c r="G4566" i="8"/>
  <c r="G4574" i="8"/>
  <c r="G4582" i="8"/>
  <c r="G4590" i="8"/>
  <c r="G4598" i="8"/>
  <c r="G4606" i="8"/>
  <c r="G4614" i="8"/>
  <c r="G4622" i="8"/>
  <c r="G4630" i="8"/>
  <c r="G4638" i="8"/>
  <c r="G4646" i="8"/>
  <c r="G4654" i="8"/>
  <c r="G4662" i="8"/>
  <c r="G4670" i="8"/>
  <c r="G4678" i="8"/>
  <c r="G4686" i="8"/>
  <c r="G4694" i="8"/>
  <c r="G4702" i="8"/>
  <c r="G4710" i="8"/>
  <c r="G4718" i="8"/>
  <c r="G4726" i="8"/>
  <c r="G4734" i="8"/>
  <c r="G4742" i="8"/>
  <c r="G4750" i="8"/>
  <c r="G4758" i="8"/>
  <c r="G4766" i="8"/>
  <c r="G4774" i="8"/>
  <c r="G4782" i="8"/>
  <c r="G4790" i="8"/>
  <c r="G4798" i="8"/>
  <c r="G4806" i="8"/>
  <c r="G4814" i="8"/>
  <c r="G4822" i="8"/>
  <c r="G4830" i="8"/>
  <c r="G4838" i="8"/>
  <c r="G4846" i="8"/>
  <c r="G4854" i="8"/>
  <c r="G1226" i="8"/>
  <c r="G1738" i="8"/>
  <c r="G2096" i="8"/>
  <c r="G2319" i="8"/>
  <c r="G2462" i="8"/>
  <c r="G2590" i="8"/>
  <c r="G2718" i="8"/>
  <c r="G2846" i="8"/>
  <c r="G2974" i="8"/>
  <c r="G3100" i="8"/>
  <c r="G3184" i="8"/>
  <c r="G3252" i="8"/>
  <c r="G3287" i="8"/>
  <c r="G3319" i="8"/>
  <c r="G3351" i="8"/>
  <c r="G3383" i="8"/>
  <c r="G3415" i="8"/>
  <c r="G3447" i="8"/>
  <c r="G3471" i="8"/>
  <c r="G3489" i="8"/>
  <c r="G3512" i="8"/>
  <c r="G3535" i="8"/>
  <c r="G3553" i="8"/>
  <c r="G3575" i="8"/>
  <c r="G3591" i="8"/>
  <c r="G3607" i="8"/>
  <c r="G3623" i="8"/>
  <c r="G3639" i="8"/>
  <c r="G3655" i="8"/>
  <c r="G3671" i="8"/>
  <c r="G3686" i="8"/>
  <c r="G3697" i="8"/>
  <c r="G3711" i="8"/>
  <c r="G3723" i="8"/>
  <c r="G3736" i="8"/>
  <c r="G3750" i="8"/>
  <c r="G3760" i="8"/>
  <c r="G3771" i="8"/>
  <c r="G3782" i="8"/>
  <c r="G3792" i="8"/>
  <c r="G3803" i="8"/>
  <c r="G3814" i="8"/>
  <c r="G3823" i="8"/>
  <c r="G3831" i="8"/>
  <c r="G3839" i="8"/>
  <c r="G3847" i="8"/>
  <c r="G3855" i="8"/>
  <c r="G3863" i="8"/>
  <c r="G3871" i="8"/>
  <c r="G3879" i="8"/>
  <c r="G3887" i="8"/>
  <c r="G3895" i="8"/>
  <c r="G3903" i="8"/>
  <c r="G3911" i="8"/>
  <c r="G3919" i="8"/>
  <c r="G3927" i="8"/>
  <c r="G3935" i="8"/>
  <c r="G3943" i="8"/>
  <c r="G3951" i="8"/>
  <c r="G3959" i="8"/>
  <c r="G3967" i="8"/>
  <c r="G3975" i="8"/>
  <c r="G3983" i="8"/>
  <c r="G3991" i="8"/>
  <c r="G3999" i="8"/>
  <c r="G4007" i="8"/>
  <c r="G4015" i="8"/>
  <c r="G4023" i="8"/>
  <c r="G4031" i="8"/>
  <c r="G4039" i="8"/>
  <c r="G4047" i="8"/>
  <c r="G4055" i="8"/>
  <c r="G4063" i="8"/>
  <c r="G4071" i="8"/>
  <c r="G4079" i="8"/>
  <c r="G4087" i="8"/>
  <c r="G4095" i="8"/>
  <c r="G4103" i="8"/>
  <c r="G4111" i="8"/>
  <c r="G4119" i="8"/>
  <c r="G4127" i="8"/>
  <c r="G4135" i="8"/>
  <c r="G4143" i="8"/>
  <c r="G4151" i="8"/>
  <c r="G4159" i="8"/>
  <c r="G4167" i="8"/>
  <c r="G4175" i="8"/>
  <c r="G4183" i="8"/>
  <c r="G4191" i="8"/>
  <c r="G4199" i="8"/>
  <c r="G4207" i="8"/>
  <c r="G4215" i="8"/>
  <c r="G4223" i="8"/>
  <c r="G4231" i="8"/>
  <c r="G4239" i="8"/>
  <c r="G4247" i="8"/>
  <c r="G4255" i="8"/>
  <c r="G4263" i="8"/>
  <c r="G4271" i="8"/>
  <c r="G4279" i="8"/>
  <c r="G4287" i="8"/>
  <c r="G4295" i="8"/>
  <c r="G4303" i="8"/>
  <c r="G4311" i="8"/>
  <c r="G4319" i="8"/>
  <c r="G4327" i="8"/>
  <c r="G4335" i="8"/>
  <c r="G4343" i="8"/>
  <c r="G4351" i="8"/>
  <c r="G4359" i="8"/>
  <c r="G4367" i="8"/>
  <c r="G4375" i="8"/>
  <c r="G4383" i="8"/>
  <c r="G4391" i="8"/>
  <c r="G4399" i="8"/>
  <c r="G4407" i="8"/>
  <c r="G4415" i="8"/>
  <c r="G4423" i="8"/>
  <c r="G4431" i="8"/>
  <c r="G4439" i="8"/>
  <c r="G4447" i="8"/>
  <c r="G4455" i="8"/>
  <c r="G4463" i="8"/>
  <c r="G4471" i="8"/>
  <c r="G4479" i="8"/>
  <c r="G4487" i="8"/>
  <c r="G4495" i="8"/>
  <c r="G4503" i="8"/>
  <c r="G4511" i="8"/>
  <c r="G4519" i="8"/>
  <c r="G4527" i="8"/>
  <c r="G4535" i="8"/>
  <c r="G4543" i="8"/>
  <c r="G4551" i="8"/>
  <c r="G4559" i="8"/>
  <c r="G4567" i="8"/>
  <c r="G4575" i="8"/>
  <c r="G4583" i="8"/>
  <c r="G4591" i="8"/>
  <c r="G4599" i="8"/>
  <c r="G4607" i="8"/>
  <c r="G4615" i="8"/>
  <c r="G4623" i="8"/>
  <c r="G4631" i="8"/>
  <c r="G4639" i="8"/>
  <c r="G4647" i="8"/>
  <c r="G4655" i="8"/>
  <c r="G4663" i="8"/>
  <c r="G4671" i="8"/>
  <c r="G4679" i="8"/>
  <c r="G4687" i="8"/>
  <c r="G4695" i="8"/>
  <c r="G4703" i="8"/>
  <c r="G4711" i="8"/>
  <c r="G4719" i="8"/>
  <c r="G4727" i="8"/>
  <c r="G4735" i="8"/>
  <c r="G4743" i="8"/>
  <c r="G4751" i="8"/>
  <c r="G4759" i="8"/>
  <c r="G4767" i="8"/>
  <c r="G4775" i="8"/>
  <c r="G4783" i="8"/>
  <c r="G4791" i="8"/>
  <c r="G1354" i="8"/>
  <c r="G1858" i="8"/>
  <c r="G2160" i="8"/>
  <c r="G2361" i="8"/>
  <c r="G2494" i="8"/>
  <c r="G2622" i="8"/>
  <c r="G2750" i="8"/>
  <c r="G2878" i="8"/>
  <c r="G3006" i="8"/>
  <c r="G3120" i="8"/>
  <c r="G3204" i="8"/>
  <c r="G3263" i="8"/>
  <c r="G3295" i="8"/>
  <c r="G3327" i="8"/>
  <c r="G3359" i="8"/>
  <c r="G3391" i="8"/>
  <c r="G3423" i="8"/>
  <c r="G3455" i="8"/>
  <c r="G3473" i="8"/>
  <c r="G3496" i="8"/>
  <c r="G3519" i="8"/>
  <c r="G3537" i="8"/>
  <c r="G3560" i="8"/>
  <c r="G3577" i="8"/>
  <c r="G3593" i="8"/>
  <c r="G3609" i="8"/>
  <c r="G3625" i="8"/>
  <c r="G3641" i="8"/>
  <c r="G3657" i="8"/>
  <c r="G3673" i="8"/>
  <c r="G3688" i="8"/>
  <c r="G3702" i="8"/>
  <c r="G3713" i="8"/>
  <c r="G3727" i="8"/>
  <c r="G3739" i="8"/>
  <c r="G3752" i="8"/>
  <c r="G3763" i="8"/>
  <c r="G3774" i="8"/>
  <c r="G3784" i="8"/>
  <c r="G3795" i="8"/>
  <c r="G3806" i="8"/>
  <c r="G3816" i="8"/>
  <c r="G3825" i="8"/>
  <c r="G3833" i="8"/>
  <c r="G3841" i="8"/>
  <c r="G3849" i="8"/>
  <c r="G3857" i="8"/>
  <c r="G3865" i="8"/>
  <c r="G3873" i="8"/>
  <c r="G3881" i="8"/>
  <c r="G3889" i="8"/>
  <c r="G3897" i="8"/>
  <c r="G3905" i="8"/>
  <c r="G3913" i="8"/>
  <c r="G3921" i="8"/>
  <c r="G3929" i="8"/>
  <c r="G3937" i="8"/>
  <c r="G3945" i="8"/>
  <c r="G3953" i="8"/>
  <c r="G3961" i="8"/>
  <c r="G3969" i="8"/>
  <c r="G3977" i="8"/>
  <c r="G3985" i="8"/>
  <c r="G3993" i="8"/>
  <c r="G4001" i="8"/>
  <c r="G4009" i="8"/>
  <c r="G4017" i="8"/>
  <c r="G4025" i="8"/>
  <c r="G4033" i="8"/>
  <c r="G4041" i="8"/>
  <c r="G4049" i="8"/>
  <c r="G4057" i="8"/>
  <c r="G4065" i="8"/>
  <c r="G4073" i="8"/>
  <c r="G4081" i="8"/>
  <c r="G4089" i="8"/>
  <c r="G4097" i="8"/>
  <c r="G4105" i="8"/>
  <c r="G4113" i="8"/>
  <c r="G4121" i="8"/>
  <c r="G4129" i="8"/>
  <c r="G4137" i="8"/>
  <c r="G4145" i="8"/>
  <c r="G4153" i="8"/>
  <c r="G4161" i="8"/>
  <c r="G4169" i="8"/>
  <c r="G4177" i="8"/>
  <c r="G4185" i="8"/>
  <c r="G4193" i="8"/>
  <c r="G4201" i="8"/>
  <c r="G4209" i="8"/>
  <c r="G4217" i="8"/>
  <c r="G4225" i="8"/>
  <c r="G4233" i="8"/>
  <c r="G4241" i="8"/>
  <c r="G4249" i="8"/>
  <c r="G4257" i="8"/>
  <c r="G4265" i="8"/>
  <c r="G4273" i="8"/>
  <c r="G4281" i="8"/>
  <c r="G4289" i="8"/>
  <c r="G4297" i="8"/>
  <c r="G4305" i="8"/>
  <c r="G4313" i="8"/>
  <c r="G4321" i="8"/>
  <c r="G4329" i="8"/>
  <c r="G4337" i="8"/>
  <c r="G4345" i="8"/>
  <c r="G4353" i="8"/>
  <c r="G4361" i="8"/>
  <c r="G4369" i="8"/>
  <c r="G4377" i="8"/>
  <c r="G4385" i="8"/>
  <c r="G4393" i="8"/>
  <c r="G4401" i="8"/>
  <c r="G4409" i="8"/>
  <c r="G4417" i="8"/>
  <c r="G4425" i="8"/>
  <c r="G4433" i="8"/>
  <c r="G4441" i="8"/>
  <c r="G4449" i="8"/>
  <c r="G4457" i="8"/>
  <c r="G4465" i="8"/>
  <c r="G4473" i="8"/>
  <c r="G4481" i="8"/>
  <c r="G4489" i="8"/>
  <c r="G4497" i="8"/>
  <c r="G4505" i="8"/>
  <c r="G4513" i="8"/>
  <c r="G4521" i="8"/>
  <c r="G4529" i="8"/>
  <c r="G4537" i="8"/>
  <c r="G4545" i="8"/>
  <c r="G4553" i="8"/>
  <c r="G4561" i="8"/>
  <c r="G4569" i="8"/>
  <c r="G4577" i="8"/>
  <c r="G4585" i="8"/>
  <c r="G4593" i="8"/>
  <c r="G4601" i="8"/>
  <c r="G4609" i="8"/>
  <c r="G4617" i="8"/>
  <c r="G4625" i="8"/>
  <c r="G4633" i="8"/>
  <c r="G4641" i="8"/>
  <c r="G4649" i="8"/>
  <c r="G4657" i="8"/>
  <c r="G4665" i="8"/>
  <c r="G4673" i="8"/>
  <c r="G4681" i="8"/>
  <c r="G4689" i="8"/>
  <c r="G4697" i="8"/>
  <c r="G4705" i="8"/>
  <c r="G4713" i="8"/>
  <c r="G4721" i="8"/>
  <c r="G4729" i="8"/>
  <c r="G4737" i="8"/>
  <c r="G4745" i="8"/>
  <c r="G4753" i="8"/>
  <c r="G4761" i="8"/>
  <c r="G4769" i="8"/>
  <c r="G4777" i="8"/>
  <c r="G4785" i="8"/>
  <c r="G4801" i="8"/>
  <c r="G4809" i="8"/>
  <c r="G4817" i="8"/>
  <c r="G4825" i="8"/>
  <c r="G4833" i="8"/>
  <c r="G4841" i="8"/>
  <c r="G4849" i="8"/>
  <c r="G4867" i="8"/>
  <c r="G4859" i="8"/>
  <c r="G4850" i="8"/>
  <c r="G4837" i="8"/>
  <c r="G4824" i="8"/>
  <c r="G4808" i="8"/>
  <c r="G4771" i="8"/>
  <c r="G4752" i="8"/>
  <c r="G4730" i="8"/>
  <c r="G4707" i="8"/>
  <c r="G4688" i="8"/>
  <c r="G4666" i="8"/>
  <c r="G4643" i="8"/>
  <c r="G4624" i="8"/>
  <c r="G4602" i="8"/>
  <c r="G4579" i="8"/>
  <c r="G4560" i="8"/>
  <c r="G4538" i="8"/>
  <c r="G4515" i="8"/>
  <c r="G4496" i="8"/>
  <c r="G4474" i="8"/>
  <c r="G4451" i="8"/>
  <c r="G4432" i="8"/>
  <c r="G4410" i="8"/>
  <c r="G4387" i="8"/>
  <c r="G4368" i="8"/>
  <c r="G4346" i="8"/>
  <c r="G4323" i="8"/>
  <c r="G4304" i="8"/>
  <c r="G4282" i="8"/>
  <c r="G4259" i="8"/>
  <c r="G4240" i="8"/>
  <c r="G4218" i="8"/>
  <c r="G4195" i="8"/>
  <c r="G4176" i="8"/>
  <c r="G4154" i="8"/>
  <c r="G4131" i="8"/>
  <c r="G4112" i="8"/>
  <c r="G4090" i="8"/>
  <c r="G4067" i="8"/>
  <c r="G4048" i="8"/>
  <c r="G4026" i="8"/>
  <c r="G4003" i="8"/>
  <c r="G3984" i="8"/>
  <c r="G3962" i="8"/>
  <c r="G3939" i="8"/>
  <c r="G3920" i="8"/>
  <c r="G3898" i="8"/>
  <c r="G3875" i="8"/>
  <c r="G3856" i="8"/>
  <c r="G3834" i="8"/>
  <c r="G3808" i="8"/>
  <c r="G3783" i="8"/>
  <c r="G3753" i="8"/>
  <c r="G3718" i="8"/>
  <c r="G3687" i="8"/>
  <c r="G3646" i="8"/>
  <c r="G3599" i="8"/>
  <c r="G3559" i="8"/>
  <c r="G3497" i="8"/>
  <c r="G3431" i="8"/>
  <c r="G3352" i="8"/>
  <c r="G3264" i="8"/>
  <c r="G3038" i="8"/>
  <c r="G2720" i="8"/>
  <c r="G2364" i="8"/>
  <c r="G4866" i="8"/>
  <c r="G4858" i="8"/>
  <c r="G4848" i="8"/>
  <c r="G4835" i="8"/>
  <c r="G4823" i="8"/>
  <c r="G4807" i="8"/>
  <c r="G4792" i="8"/>
  <c r="G4770" i="8"/>
  <c r="G4747" i="8"/>
  <c r="G4728" i="8"/>
  <c r="G4706" i="8"/>
  <c r="G4683" i="8"/>
  <c r="G4664" i="8"/>
  <c r="G4642" i="8"/>
  <c r="G4619" i="8"/>
  <c r="G4600" i="8"/>
  <c r="G4578" i="8"/>
  <c r="G4555" i="8"/>
  <c r="G4536" i="8"/>
  <c r="G4514" i="8"/>
  <c r="G4491" i="8"/>
  <c r="G4472" i="8"/>
  <c r="G4450" i="8"/>
  <c r="G4427" i="8"/>
  <c r="G4408" i="8"/>
  <c r="G4386" i="8"/>
  <c r="G4363" i="8"/>
  <c r="G4344" i="8"/>
  <c r="G4322" i="8"/>
  <c r="G4299" i="8"/>
  <c r="G4280" i="8"/>
  <c r="G4258" i="8"/>
  <c r="G4235" i="8"/>
  <c r="G4216" i="8"/>
  <c r="G4194" i="8"/>
  <c r="G4171" i="8"/>
  <c r="G4152" i="8"/>
  <c r="G4130" i="8"/>
  <c r="G4107" i="8"/>
  <c r="G4088" i="8"/>
  <c r="G4066" i="8"/>
  <c r="G4043" i="8"/>
  <c r="G4024" i="8"/>
  <c r="G4002" i="8"/>
  <c r="G3979" i="8"/>
  <c r="G3960" i="8"/>
  <c r="G3938" i="8"/>
  <c r="G3915" i="8"/>
  <c r="G3896" i="8"/>
  <c r="G3874" i="8"/>
  <c r="G3851" i="8"/>
  <c r="G3832" i="8"/>
  <c r="G3807" i="8"/>
  <c r="G3776" i="8"/>
  <c r="G3751" i="8"/>
  <c r="G3715" i="8"/>
  <c r="G3679" i="8"/>
  <c r="G3640" i="8"/>
  <c r="G3598" i="8"/>
  <c r="G3544" i="8"/>
  <c r="G3495" i="8"/>
  <c r="G3424" i="8"/>
  <c r="G3335" i="8"/>
  <c r="G3254" i="8"/>
  <c r="G3008" i="8"/>
  <c r="G2654" i="8"/>
  <c r="G2321" i="8"/>
  <c r="G48" i="5"/>
  <c r="G111" i="5"/>
  <c r="G131" i="5"/>
  <c r="G218" i="5"/>
  <c r="G475" i="5"/>
  <c r="G517" i="5"/>
  <c r="G580" i="5"/>
  <c r="G7" i="5"/>
  <c r="G14" i="5"/>
  <c r="G18" i="5"/>
  <c r="G21" i="5"/>
  <c r="G23" i="5"/>
  <c r="G33" i="5"/>
  <c r="G36" i="5"/>
  <c r="G66" i="5"/>
  <c r="G137" i="5"/>
  <c r="G150" i="5"/>
  <c r="G247" i="5"/>
  <c r="G478" i="5"/>
  <c r="G521" i="5"/>
  <c r="G16" i="5"/>
  <c r="G81" i="5"/>
  <c r="G112" i="5"/>
  <c r="G132" i="5"/>
  <c r="G260" i="5"/>
  <c r="G324" i="5"/>
  <c r="G354" i="5"/>
  <c r="G441" i="5"/>
  <c r="G609" i="5"/>
  <c r="G17" i="5"/>
  <c r="G22" i="5"/>
  <c r="G32" i="5"/>
  <c r="G46" i="5"/>
  <c r="G172" i="5"/>
  <c r="G214" i="5"/>
  <c r="G238" i="5"/>
  <c r="G253" i="5"/>
  <c r="G262" i="5"/>
  <c r="G492" i="5"/>
  <c r="G82" i="5"/>
  <c r="G177" i="5"/>
  <c r="G233" i="5"/>
  <c r="G536" i="5"/>
  <c r="G42" i="5"/>
  <c r="G237" i="5"/>
  <c r="G358" i="5"/>
  <c r="G383" i="5"/>
  <c r="G505" i="5"/>
  <c r="G538" i="5"/>
  <c r="G629" i="5"/>
  <c r="G44" i="5"/>
  <c r="G84" i="5"/>
  <c r="G175" i="5"/>
  <c r="G188" i="5"/>
  <c r="G216" i="5"/>
  <c r="G240" i="5"/>
  <c r="G245" i="5"/>
  <c r="G326" i="5"/>
  <c r="G439" i="5"/>
  <c r="G561" i="5"/>
  <c r="G19" i="5"/>
  <c r="G24" i="5"/>
  <c r="G34" i="5"/>
  <c r="G38" i="5"/>
  <c r="G58" i="5"/>
  <c r="G135" i="5"/>
  <c r="G394" i="5"/>
  <c r="G821" i="5"/>
  <c r="G70" i="5"/>
  <c r="G77" i="5"/>
  <c r="G92" i="5"/>
  <c r="G151" i="5"/>
  <c r="G371" i="5"/>
  <c r="G395" i="5"/>
  <c r="G414" i="5"/>
  <c r="G434" i="5"/>
  <c r="G463" i="5"/>
  <c r="G465" i="5"/>
  <c r="G489" i="5"/>
  <c r="G516" i="5"/>
  <c r="G523" i="5"/>
  <c r="G562" i="5"/>
  <c r="G570" i="5"/>
  <c r="G645" i="5"/>
  <c r="G655" i="5"/>
  <c r="G665" i="5"/>
  <c r="G670" i="5"/>
  <c r="G704" i="5"/>
  <c r="G705" i="5"/>
  <c r="G804" i="5"/>
  <c r="G815" i="5"/>
  <c r="G846" i="5"/>
  <c r="G858" i="5"/>
  <c r="G884" i="5"/>
  <c r="G892" i="5"/>
  <c r="G900" i="5"/>
  <c r="G918" i="5"/>
  <c r="G939" i="5"/>
  <c r="G958" i="5"/>
  <c r="G965" i="5"/>
  <c r="G979" i="5"/>
  <c r="G1023" i="5"/>
  <c r="G1032" i="5"/>
  <c r="G1055" i="5"/>
  <c r="G1117" i="5"/>
  <c r="G1129" i="5"/>
  <c r="G1134" i="5"/>
  <c r="G1153" i="5"/>
  <c r="G1174" i="5"/>
  <c r="G1190" i="5"/>
  <c r="G1195" i="5"/>
  <c r="G1261" i="5"/>
  <c r="G1321" i="5"/>
  <c r="G1325" i="5"/>
  <c r="G1375" i="5"/>
  <c r="G1437" i="5"/>
  <c r="G1458" i="5"/>
  <c r="G1471" i="5"/>
  <c r="G1487" i="5"/>
  <c r="G1574" i="5"/>
  <c r="G1592" i="5"/>
  <c r="G1636" i="5"/>
  <c r="G1721" i="5"/>
  <c r="G1746" i="5"/>
  <c r="G1782" i="5"/>
  <c r="G1814" i="5"/>
  <c r="G1825" i="5"/>
  <c r="G1835" i="5"/>
  <c r="G1855" i="5"/>
  <c r="G1875" i="5"/>
  <c r="G1877" i="5"/>
  <c r="G1885" i="5"/>
  <c r="G1922" i="5"/>
  <c r="G1923" i="5"/>
  <c r="G2019" i="5"/>
  <c r="G241" i="5"/>
  <c r="G289" i="5"/>
  <c r="G461" i="5"/>
  <c r="G537" i="5"/>
  <c r="G554" i="5"/>
  <c r="G568" i="5"/>
  <c r="G581" i="5"/>
  <c r="G627" i="5"/>
  <c r="G638" i="5"/>
  <c r="G657" i="5"/>
  <c r="G678" i="5"/>
  <c r="G713" i="5"/>
  <c r="G723" i="5"/>
  <c r="G724" i="5"/>
  <c r="G789" i="5"/>
  <c r="G813" i="5"/>
  <c r="G823" i="5"/>
  <c r="G845" i="5"/>
  <c r="G867" i="5"/>
  <c r="G868" i="5"/>
  <c r="G876" i="5"/>
  <c r="G903" i="5"/>
  <c r="G904" i="5"/>
  <c r="G906" i="5"/>
  <c r="G911" i="5"/>
  <c r="G940" i="5"/>
  <c r="G952" i="5"/>
  <c r="G1009" i="5"/>
  <c r="G1080" i="5"/>
  <c r="G1087" i="5"/>
  <c r="G1181" i="5"/>
  <c r="G1211" i="5"/>
  <c r="G1212" i="5"/>
  <c r="G1230" i="5"/>
  <c r="G1263" i="5"/>
  <c r="G1275" i="5"/>
  <c r="G1305" i="5"/>
  <c r="G1314" i="5"/>
  <c r="G1324" i="5"/>
  <c r="G1367" i="5"/>
  <c r="G1402" i="5"/>
  <c r="G1407" i="5"/>
  <c r="G1462" i="5"/>
  <c r="G1508" i="5"/>
  <c r="G1519" i="5"/>
  <c r="G1532" i="5"/>
  <c r="G1535" i="5"/>
  <c r="G1566" i="5"/>
  <c r="G1569" i="5"/>
  <c r="G1573" i="5"/>
  <c r="G1578" i="5"/>
  <c r="G1662" i="5"/>
  <c r="G1690" i="5"/>
  <c r="G1705" i="5"/>
  <c r="G1706" i="5"/>
  <c r="G1727" i="5"/>
  <c r="G1768" i="5"/>
  <c r="G1927" i="5"/>
  <c r="G1929" i="5"/>
  <c r="G1964" i="5"/>
  <c r="G1992" i="5"/>
  <c r="G2021" i="5"/>
  <c r="G2052" i="5"/>
  <c r="G2272" i="5"/>
  <c r="G503" i="5"/>
  <c r="G527" i="5"/>
  <c r="G552" i="5"/>
  <c r="G594" i="5"/>
  <c r="G613" i="5"/>
  <c r="G614" i="5"/>
  <c r="G636" i="5"/>
  <c r="G651" i="5"/>
  <c r="G661" i="5"/>
  <c r="G695" i="5"/>
  <c r="G757" i="5"/>
  <c r="G768" i="5"/>
  <c r="G773" i="5"/>
  <c r="G774" i="5"/>
  <c r="G787" i="5"/>
  <c r="G797" i="5"/>
  <c r="G818" i="5"/>
  <c r="G826" i="5"/>
  <c r="G925" i="5"/>
  <c r="G983" i="5"/>
  <c r="G1007" i="5"/>
  <c r="G1010" i="5"/>
  <c r="G1119" i="5"/>
  <c r="G1127" i="5"/>
  <c r="G1128" i="5"/>
  <c r="G1162" i="5"/>
  <c r="G1167" i="5"/>
  <c r="G1188" i="5"/>
  <c r="G1189" i="5"/>
  <c r="G1202" i="5"/>
  <c r="G1247" i="5"/>
  <c r="G1249" i="5"/>
  <c r="G1304" i="5"/>
  <c r="G1308" i="5"/>
  <c r="G1315" i="5"/>
  <c r="G1330" i="5"/>
  <c r="G1333" i="5"/>
  <c r="G1357" i="5"/>
  <c r="G1376" i="5"/>
  <c r="G1377" i="5"/>
  <c r="G1400" i="5"/>
  <c r="G1405" i="5"/>
  <c r="G1426" i="5"/>
  <c r="G1435" i="5"/>
  <c r="G1443" i="5"/>
  <c r="G1466" i="5"/>
  <c r="G1496" i="5"/>
  <c r="G1523" i="5"/>
  <c r="G1536" i="5"/>
  <c r="G1537" i="5"/>
  <c r="G1551" i="5"/>
  <c r="G1570" i="5"/>
  <c r="G1575" i="5"/>
  <c r="G1664" i="5"/>
  <c r="G1728" i="5"/>
  <c r="G1763" i="5"/>
  <c r="G1870" i="5"/>
  <c r="G2063" i="5"/>
  <c r="E10906" i="5"/>
  <c r="E10900" i="5"/>
  <c r="E11303" i="5"/>
  <c r="E11666" i="5"/>
  <c r="E11285" i="5"/>
  <c r="E11297" i="5"/>
  <c r="E11291" i="5"/>
  <c r="E10857" i="5"/>
  <c r="E8944" i="5"/>
  <c r="E8964" i="5"/>
  <c r="E8932" i="5"/>
  <c r="E8972" i="5"/>
  <c r="E8458" i="5"/>
  <c r="E8936" i="5"/>
  <c r="E8920" i="5"/>
  <c r="E8635" i="5"/>
  <c r="E8928" i="5"/>
  <c r="E8968" i="5"/>
  <c r="E8532" i="5"/>
  <c r="E8940" i="5"/>
  <c r="E8924" i="5"/>
  <c r="E8651" i="5"/>
  <c r="E8960" i="5"/>
  <c r="E8956" i="5"/>
  <c r="E8952" i="5"/>
  <c r="E7360" i="5"/>
  <c r="E7312" i="5"/>
  <c r="E7342" i="5"/>
  <c r="E8948" i="5"/>
  <c r="E7336" i="5"/>
  <c r="E7324" i="5"/>
  <c r="E7318" i="5"/>
  <c r="E5764" i="5"/>
  <c r="E5758" i="5"/>
  <c r="E5752" i="5"/>
  <c r="E5746" i="5"/>
  <c r="E5740" i="5"/>
  <c r="E5734" i="5"/>
  <c r="E5728" i="5"/>
  <c r="E5722" i="5"/>
  <c r="E5716" i="5"/>
  <c r="E5710" i="5"/>
  <c r="E5704" i="5"/>
  <c r="E5698" i="5"/>
  <c r="E5692" i="5"/>
  <c r="E5686" i="5"/>
  <c r="E5680" i="5"/>
  <c r="E5674" i="5"/>
  <c r="E5668" i="5"/>
  <c r="E5662" i="5"/>
  <c r="E5656" i="5"/>
  <c r="E5650" i="5"/>
  <c r="E7330" i="5"/>
  <c r="E7354" i="5"/>
  <c r="E7306" i="5"/>
  <c r="E7348" i="5"/>
  <c r="E4203" i="5"/>
  <c r="E3905" i="5"/>
  <c r="E3899" i="5"/>
  <c r="E3893" i="5"/>
  <c r="E3887" i="5"/>
  <c r="E3881" i="5"/>
  <c r="E3875" i="5"/>
  <c r="E3869" i="5"/>
  <c r="E3863" i="5"/>
  <c r="E3857" i="5"/>
  <c r="E3851" i="5"/>
  <c r="E2792" i="5"/>
  <c r="E2786" i="5"/>
  <c r="E2780" i="5"/>
  <c r="E2774" i="5"/>
  <c r="E2768" i="5"/>
  <c r="E2762" i="5"/>
  <c r="E2756" i="5"/>
  <c r="E2750" i="5"/>
  <c r="E2744" i="5"/>
  <c r="E2738" i="5"/>
  <c r="G28" i="5"/>
  <c r="G72" i="5"/>
  <c r="G79" i="5"/>
  <c r="G94" i="5"/>
  <c r="G105" i="5"/>
  <c r="G106" i="5"/>
  <c r="G126" i="5"/>
  <c r="G167" i="5"/>
  <c r="G169" i="5"/>
  <c r="G180" i="5"/>
  <c r="G183" i="5"/>
  <c r="G190" i="5"/>
  <c r="G211" i="5"/>
  <c r="G212" i="5"/>
  <c r="G236" i="5"/>
  <c r="G248" i="5"/>
  <c r="G249" i="5"/>
  <c r="G308" i="5"/>
  <c r="G343" i="5"/>
  <c r="G462" i="5"/>
  <c r="G531" i="5"/>
  <c r="G579" i="5"/>
  <c r="G597" i="5"/>
  <c r="G598" i="5"/>
  <c r="G648" i="5"/>
  <c r="G664" i="5"/>
  <c r="G668" i="5"/>
  <c r="G676" i="5"/>
  <c r="G729" i="5"/>
  <c r="G749" i="5"/>
  <c r="G779" i="5"/>
  <c r="G790" i="5"/>
  <c r="G791" i="5"/>
  <c r="G824" i="5"/>
  <c r="G839" i="5"/>
  <c r="G849" i="5"/>
  <c r="G862" i="5"/>
  <c r="G882" i="5"/>
  <c r="G926" i="5"/>
  <c r="G938" i="5"/>
  <c r="G981" i="5"/>
  <c r="G1004" i="5"/>
  <c r="G1008" i="5"/>
  <c r="G1034" i="5"/>
  <c r="G1041" i="5"/>
  <c r="G1050" i="5"/>
  <c r="G1057" i="5"/>
  <c r="G1094" i="5"/>
  <c r="G1122" i="5"/>
  <c r="G1132" i="5"/>
  <c r="G1183" i="5"/>
  <c r="G1209" i="5"/>
  <c r="G1210" i="5"/>
  <c r="G1235" i="5"/>
  <c r="G1256" i="5"/>
  <c r="G1257" i="5"/>
  <c r="G1293" i="5"/>
  <c r="G1303" i="5"/>
  <c r="G1312" i="5"/>
  <c r="G1332" i="5"/>
  <c r="G1368" i="5"/>
  <c r="G1383" i="5"/>
  <c r="G1420" i="5"/>
  <c r="G1427" i="5"/>
  <c r="G1428" i="5"/>
  <c r="G1444" i="5"/>
  <c r="G1447" i="5"/>
  <c r="G1454" i="5"/>
  <c r="G1472" i="5"/>
  <c r="G1480" i="5"/>
  <c r="G1481" i="5"/>
  <c r="G1497" i="5"/>
  <c r="G1652" i="5"/>
  <c r="G1731" i="5"/>
  <c r="G1747" i="5"/>
  <c r="G1762" i="5"/>
  <c r="G1789" i="5"/>
  <c r="G1829" i="5"/>
  <c r="G2200" i="5"/>
  <c r="G97" i="5"/>
  <c r="G176" i="5"/>
  <c r="G199" i="5"/>
  <c r="G230" i="5"/>
  <c r="G270" i="5"/>
  <c r="G304" i="5"/>
  <c r="G317" i="5"/>
  <c r="G372" i="5"/>
  <c r="G416" i="5"/>
  <c r="G425" i="5"/>
  <c r="G471" i="5"/>
  <c r="G494" i="5"/>
  <c r="G518" i="5"/>
  <c r="G519" i="5"/>
  <c r="G529" i="5"/>
  <c r="G545" i="5"/>
  <c r="G576" i="5"/>
  <c r="G644" i="5"/>
  <c r="G649" i="5"/>
  <c r="G652" i="5"/>
  <c r="G653" i="5"/>
  <c r="G669" i="5"/>
  <c r="G677" i="5"/>
  <c r="G696" i="5"/>
  <c r="G697" i="5"/>
  <c r="G715" i="5"/>
  <c r="G736" i="5"/>
  <c r="G747" i="5"/>
  <c r="G771" i="5"/>
  <c r="G827" i="5"/>
  <c r="G828" i="5"/>
  <c r="G851" i="5"/>
  <c r="G874" i="5"/>
  <c r="G895" i="5"/>
  <c r="G901" i="5"/>
  <c r="G946" i="5"/>
  <c r="G966" i="5"/>
  <c r="G974" i="5"/>
  <c r="G975" i="5"/>
  <c r="G990" i="5"/>
  <c r="G1002" i="5"/>
  <c r="G1016" i="5"/>
  <c r="G1047" i="5"/>
  <c r="G1049" i="5"/>
  <c r="G1085" i="5"/>
  <c r="G1101" i="5"/>
  <c r="G1103" i="5"/>
  <c r="G1105" i="5"/>
  <c r="G1112" i="5"/>
  <c r="G1124" i="5"/>
  <c r="G1148" i="5"/>
  <c r="G1149" i="5"/>
  <c r="G1160" i="5"/>
  <c r="G1161" i="5"/>
  <c r="G1204" i="5"/>
  <c r="G1254" i="5"/>
  <c r="G1255" i="5"/>
  <c r="G1270" i="5"/>
  <c r="G1345" i="5"/>
  <c r="G1350" i="5"/>
  <c r="G1421" i="5"/>
  <c r="G1445" i="5"/>
  <c r="G1446" i="5"/>
  <c r="G1455" i="5"/>
  <c r="G1465" i="5"/>
  <c r="G1473" i="5"/>
  <c r="G1492" i="5"/>
  <c r="G1499" i="5"/>
  <c r="G1501" i="5"/>
  <c r="G1549" i="5"/>
  <c r="G1587" i="5"/>
  <c r="G1619" i="5"/>
  <c r="G1629" i="5"/>
  <c r="G1654" i="5"/>
  <c r="G1667" i="5"/>
  <c r="G1716" i="5"/>
  <c r="G1753" i="5"/>
  <c r="G1774" i="5"/>
  <c r="G1790" i="5"/>
  <c r="G1801" i="5"/>
  <c r="G1836" i="5"/>
  <c r="G1914" i="5"/>
  <c r="G464" i="5"/>
  <c r="G480" i="5"/>
  <c r="G487" i="5"/>
  <c r="G524" i="5"/>
  <c r="G560" i="5"/>
  <c r="G577" i="5"/>
  <c r="G615" i="5"/>
  <c r="G689" i="5"/>
  <c r="G698" i="5"/>
  <c r="G730" i="5"/>
  <c r="G731" i="5"/>
  <c r="G755" i="5"/>
  <c r="G766" i="5"/>
  <c r="G782" i="5"/>
  <c r="G792" i="5"/>
  <c r="G808" i="5"/>
  <c r="G822" i="5"/>
  <c r="G833" i="5"/>
  <c r="G850" i="5"/>
  <c r="G856" i="5"/>
  <c r="G890" i="5"/>
  <c r="G916" i="5"/>
  <c r="G924" i="5"/>
  <c r="G999" i="5"/>
  <c r="G1003" i="5"/>
  <c r="G1043" i="5"/>
  <c r="G1048" i="5"/>
  <c r="G1062" i="5"/>
  <c r="G1076" i="5"/>
  <c r="G1139" i="5"/>
  <c r="G1197" i="5"/>
  <c r="G1216" i="5"/>
  <c r="G1218" i="5"/>
  <c r="G1223" i="5"/>
  <c r="G1242" i="5"/>
  <c r="G1243" i="5"/>
  <c r="G1281" i="5"/>
  <c r="G1284" i="5"/>
  <c r="G1295" i="5"/>
  <c r="G1298" i="5"/>
  <c r="G1326" i="5"/>
  <c r="G1348" i="5"/>
  <c r="G1361" i="5"/>
  <c r="G1364" i="5"/>
  <c r="G1369" i="5"/>
  <c r="G1370" i="5"/>
  <c r="G1387" i="5"/>
  <c r="G1413" i="5"/>
  <c r="G1417" i="5"/>
  <c r="G1422" i="5"/>
  <c r="G1439" i="5"/>
  <c r="G1461" i="5"/>
  <c r="G1469" i="5"/>
  <c r="G1476" i="5"/>
  <c r="G1482" i="5"/>
  <c r="G1531" i="5"/>
  <c r="G1557" i="5"/>
  <c r="G1565" i="5"/>
  <c r="G1618" i="5"/>
  <c r="G1627" i="5"/>
  <c r="G1635" i="5"/>
  <c r="G1669" i="5"/>
  <c r="G1685" i="5"/>
  <c r="G1834" i="5"/>
  <c r="G1840" i="5"/>
  <c r="G1851" i="5"/>
  <c r="G405" i="5"/>
  <c r="G450" i="5"/>
  <c r="G477" i="5"/>
  <c r="G504" i="5"/>
  <c r="G528" i="5"/>
  <c r="G606" i="5"/>
  <c r="G616" i="5"/>
  <c r="G628" i="5"/>
  <c r="G686" i="5"/>
  <c r="G703" i="5"/>
  <c r="G744" i="5"/>
  <c r="G788" i="5"/>
  <c r="G896" i="5"/>
  <c r="G897" i="5"/>
  <c r="G932" i="5"/>
  <c r="G953" i="5"/>
  <c r="G960" i="5"/>
  <c r="G972" i="5"/>
  <c r="G988" i="5"/>
  <c r="G997" i="5"/>
  <c r="G1021" i="5"/>
  <c r="G1068" i="5"/>
  <c r="G1070" i="5"/>
  <c r="G1114" i="5"/>
  <c r="G1146" i="5"/>
  <c r="G1147" i="5"/>
  <c r="G1225" i="5"/>
  <c r="G1228" i="5"/>
  <c r="G1240" i="5"/>
  <c r="G1241" i="5"/>
  <c r="G1282" i="5"/>
  <c r="G1283" i="5"/>
  <c r="G1297" i="5"/>
  <c r="G1319" i="5"/>
  <c r="G1343" i="5"/>
  <c r="G1362" i="5"/>
  <c r="G1363" i="5"/>
  <c r="G1374" i="5"/>
  <c r="G1381" i="5"/>
  <c r="G1382" i="5"/>
  <c r="G1390" i="5"/>
  <c r="G1409" i="5"/>
  <c r="G1414" i="5"/>
  <c r="G1424" i="5"/>
  <c r="G1425" i="5"/>
  <c r="G1440" i="5"/>
  <c r="G1441" i="5"/>
  <c r="G1442" i="5"/>
  <c r="G1456" i="5"/>
  <c r="G1467" i="5"/>
  <c r="G1514" i="5"/>
  <c r="G1517" i="5"/>
  <c r="G1518" i="5"/>
  <c r="G1564" i="5"/>
  <c r="G1571" i="5"/>
  <c r="G1624" i="5"/>
  <c r="G1634" i="5"/>
  <c r="G1657" i="5"/>
  <c r="G1698" i="5"/>
  <c r="G1704" i="5"/>
  <c r="G1764" i="5"/>
  <c r="G1871" i="5"/>
  <c r="G1921" i="5"/>
  <c r="G1974" i="5"/>
  <c r="G1980" i="5"/>
  <c r="G67" i="5"/>
  <c r="G99" i="5"/>
  <c r="G116" i="5"/>
  <c r="G133" i="5"/>
  <c r="G136" i="5"/>
  <c r="G206" i="5"/>
  <c r="G234" i="5"/>
  <c r="G325" i="5"/>
  <c r="G440" i="5"/>
  <c r="G460" i="5"/>
  <c r="G578" i="5"/>
  <c r="G596" i="5"/>
  <c r="G647" i="5"/>
  <c r="G667" i="5"/>
  <c r="G675" i="5"/>
  <c r="G680" i="5"/>
  <c r="G709" i="5"/>
  <c r="G722" i="5"/>
  <c r="G783" i="5"/>
  <c r="G784" i="5"/>
  <c r="G831" i="5"/>
  <c r="G844" i="5"/>
  <c r="G848" i="5"/>
  <c r="G866" i="5"/>
  <c r="G872" i="5"/>
  <c r="G883" i="5"/>
  <c r="G902" i="5"/>
  <c r="G908" i="5"/>
  <c r="G913" i="5"/>
  <c r="G954" i="5"/>
  <c r="G998" i="5"/>
  <c r="G1018" i="5"/>
  <c r="G1064" i="5"/>
  <c r="G1069" i="5"/>
  <c r="G1078" i="5"/>
  <c r="G1141" i="5"/>
  <c r="G1155" i="5"/>
  <c r="G1169" i="5"/>
  <c r="G1170" i="5"/>
  <c r="G1176" i="5"/>
  <c r="G1289" i="5"/>
  <c r="G1389" i="5"/>
  <c r="G1410" i="5"/>
  <c r="G1411" i="5"/>
  <c r="G1415" i="5"/>
  <c r="G1416" i="5"/>
  <c r="G1452" i="5"/>
  <c r="G1457" i="5"/>
  <c r="G1485" i="5"/>
  <c r="G1495" i="5"/>
  <c r="G1500" i="5"/>
  <c r="G1503" i="5"/>
  <c r="G1530" i="5"/>
  <c r="G1659" i="5"/>
  <c r="G1738" i="5"/>
  <c r="G1968" i="5"/>
  <c r="G1520" i="5"/>
  <c r="G1579" i="5"/>
  <c r="G1695" i="5"/>
  <c r="G1700" i="5"/>
  <c r="G1713" i="5"/>
  <c r="G1718" i="5"/>
  <c r="G1736" i="5"/>
  <c r="G1757" i="5"/>
  <c r="G1767" i="5"/>
  <c r="G1770" i="5"/>
  <c r="G1892" i="5"/>
  <c r="G1897" i="5"/>
  <c r="G1947" i="5"/>
  <c r="G1952" i="5"/>
  <c r="G1958" i="5"/>
  <c r="G1965" i="5"/>
  <c r="G2016" i="5"/>
  <c r="G2024" i="5"/>
  <c r="G2076" i="5"/>
  <c r="G2138" i="5"/>
  <c r="G2152" i="5"/>
  <c r="G2157" i="5"/>
  <c r="G2159" i="5"/>
  <c r="G2161" i="5"/>
  <c r="G2175" i="5"/>
  <c r="G2177" i="5"/>
  <c r="G2184" i="5"/>
  <c r="G2189" i="5"/>
  <c r="G2213" i="5"/>
  <c r="G2215" i="5"/>
  <c r="G2247" i="5"/>
  <c r="G2252" i="5"/>
  <c r="G2321" i="5"/>
  <c r="G2323" i="5"/>
  <c r="G2330" i="5"/>
  <c r="G2337" i="5"/>
  <c r="G2348" i="5"/>
  <c r="G2421" i="5"/>
  <c r="G2427" i="5"/>
  <c r="G2428" i="5"/>
  <c r="G2481" i="5"/>
  <c r="G2489" i="5"/>
  <c r="G2491" i="5"/>
  <c r="G2513" i="5"/>
  <c r="G2521" i="5"/>
  <c r="G2529" i="5"/>
  <c r="G2555" i="5"/>
  <c r="G2686" i="5"/>
  <c r="G2692" i="5"/>
  <c r="G2708" i="5"/>
  <c r="G2748" i="5"/>
  <c r="G2776" i="5"/>
  <c r="G2796" i="5"/>
  <c r="G2817" i="5"/>
  <c r="G2825" i="5"/>
  <c r="G2874" i="5"/>
  <c r="G2898" i="5"/>
  <c r="G2911" i="5"/>
  <c r="G2913" i="5"/>
  <c r="G2921" i="5"/>
  <c r="G2929" i="5"/>
  <c r="G2941" i="5"/>
  <c r="G2949" i="5"/>
  <c r="G2954" i="5"/>
  <c r="G2966" i="5"/>
  <c r="G3028" i="5"/>
  <c r="G3056" i="5"/>
  <c r="G3204" i="5"/>
  <c r="G1986" i="5"/>
  <c r="G2002" i="5"/>
  <c r="G2004" i="5"/>
  <c r="G2031" i="5"/>
  <c r="G2033" i="5"/>
  <c r="G2191" i="5"/>
  <c r="G2329" i="5"/>
  <c r="G2356" i="5"/>
  <c r="G2452" i="5"/>
  <c r="G2458" i="5"/>
  <c r="G2476" i="5"/>
  <c r="G2487" i="5"/>
  <c r="G2539" i="5"/>
  <c r="G2544" i="5"/>
  <c r="G2547" i="5"/>
  <c r="G2587" i="5"/>
  <c r="G2746" i="5"/>
  <c r="G2766" i="5"/>
  <c r="G2794" i="5"/>
  <c r="G2831" i="5"/>
  <c r="G2877" i="5"/>
  <c r="G2916" i="5"/>
  <c r="G2975" i="5"/>
  <c r="G3020" i="5"/>
  <c r="G3048" i="5"/>
  <c r="G3085" i="5"/>
  <c r="G3098" i="5"/>
  <c r="G3113" i="5"/>
  <c r="G3116" i="5"/>
  <c r="G3257" i="5"/>
  <c r="G3390" i="5"/>
  <c r="G1459" i="5"/>
  <c r="G1475" i="5"/>
  <c r="G1525" i="5"/>
  <c r="G1563" i="5"/>
  <c r="G1593" i="5"/>
  <c r="G1600" i="5"/>
  <c r="G1625" i="5"/>
  <c r="G1628" i="5"/>
  <c r="G1641" i="5"/>
  <c r="G1678" i="5"/>
  <c r="G1701" i="5"/>
  <c r="G1737" i="5"/>
  <c r="G1742" i="5"/>
  <c r="G1797" i="5"/>
  <c r="G1810" i="5"/>
  <c r="G1859" i="5"/>
  <c r="G1926" i="5"/>
  <c r="G1976" i="5"/>
  <c r="G2003" i="5"/>
  <c r="G2007" i="5"/>
  <c r="G2009" i="5"/>
  <c r="G2032" i="5"/>
  <c r="G2055" i="5"/>
  <c r="G2064" i="5"/>
  <c r="G2095" i="5"/>
  <c r="G2097" i="5"/>
  <c r="G2111" i="5"/>
  <c r="G2113" i="5"/>
  <c r="G2120" i="5"/>
  <c r="G2141" i="5"/>
  <c r="G2162" i="5"/>
  <c r="G2170" i="5"/>
  <c r="G2201" i="5"/>
  <c r="G2203" i="5"/>
  <c r="G2220" i="5"/>
  <c r="G2277" i="5"/>
  <c r="G2354" i="5"/>
  <c r="G2374" i="5"/>
  <c r="G2378" i="5"/>
  <c r="G2417" i="5"/>
  <c r="G2536" i="5"/>
  <c r="G2552" i="5"/>
  <c r="G2571" i="5"/>
  <c r="G2576" i="5"/>
  <c r="G2579" i="5"/>
  <c r="G2619" i="5"/>
  <c r="G2697" i="5"/>
  <c r="G2705" i="5"/>
  <c r="G2713" i="5"/>
  <c r="G2736" i="5"/>
  <c r="G2764" i="5"/>
  <c r="G2784" i="5"/>
  <c r="G2847" i="5"/>
  <c r="G2857" i="5"/>
  <c r="G2904" i="5"/>
  <c r="G2926" i="5"/>
  <c r="G2934" i="5"/>
  <c r="G2946" i="5"/>
  <c r="G2963" i="5"/>
  <c r="G2971" i="5"/>
  <c r="G2976" i="5"/>
  <c r="G2984" i="5"/>
  <c r="G2992" i="5"/>
  <c r="G3000" i="5"/>
  <c r="G3008" i="5"/>
  <c r="G3016" i="5"/>
  <c r="G3021" i="5"/>
  <c r="G3033" i="5"/>
  <c r="G3043" i="5"/>
  <c r="G3369" i="5"/>
  <c r="G1612" i="5"/>
  <c r="G2012" i="5"/>
  <c r="G2014" i="5"/>
  <c r="G2083" i="5"/>
  <c r="G2104" i="5"/>
  <c r="G2150" i="5"/>
  <c r="G2173" i="5"/>
  <c r="G2182" i="5"/>
  <c r="G2261" i="5"/>
  <c r="G2263" i="5"/>
  <c r="G2282" i="5"/>
  <c r="G2295" i="5"/>
  <c r="G2339" i="5"/>
  <c r="G2405" i="5"/>
  <c r="G2422" i="5"/>
  <c r="G2423" i="5"/>
  <c r="G2479" i="5"/>
  <c r="G2492" i="5"/>
  <c r="G2493" i="5"/>
  <c r="G2568" i="5"/>
  <c r="G2584" i="5"/>
  <c r="G2603" i="5"/>
  <c r="G2608" i="5"/>
  <c r="G2611" i="5"/>
  <c r="G2653" i="5"/>
  <c r="G2671" i="5"/>
  <c r="G2729" i="5"/>
  <c r="G2754" i="5"/>
  <c r="G2782" i="5"/>
  <c r="G2807" i="5"/>
  <c r="G2839" i="5"/>
  <c r="G2884" i="5"/>
  <c r="G2896" i="5"/>
  <c r="G2908" i="5"/>
  <c r="G2956" i="5"/>
  <c r="G3038" i="5"/>
  <c r="G3088" i="5"/>
  <c r="G3101" i="5"/>
  <c r="G3107" i="5"/>
  <c r="G3355" i="5"/>
  <c r="G2017" i="5"/>
  <c r="G2046" i="5"/>
  <c r="G2053" i="5"/>
  <c r="G2060" i="5"/>
  <c r="G2098" i="5"/>
  <c r="G2106" i="5"/>
  <c r="G2127" i="5"/>
  <c r="G2129" i="5"/>
  <c r="G2196" i="5"/>
  <c r="G2264" i="5"/>
  <c r="G2284" i="5"/>
  <c r="G2297" i="5"/>
  <c r="G2366" i="5"/>
  <c r="G2377" i="5"/>
  <c r="G2392" i="5"/>
  <c r="G2412" i="5"/>
  <c r="G2425" i="5"/>
  <c r="G2459" i="5"/>
  <c r="G2460" i="5"/>
  <c r="G2495" i="5"/>
  <c r="G2527" i="5"/>
  <c r="G2541" i="5"/>
  <c r="G2549" i="5"/>
  <c r="G2557" i="5"/>
  <c r="G2600" i="5"/>
  <c r="G2616" i="5"/>
  <c r="G2635" i="5"/>
  <c r="G2640" i="5"/>
  <c r="G2643" i="5"/>
  <c r="G2664" i="5"/>
  <c r="G2733" i="5"/>
  <c r="G2752" i="5"/>
  <c r="G2772" i="5"/>
  <c r="G2844" i="5"/>
  <c r="G2894" i="5"/>
  <c r="G2918" i="5"/>
  <c r="G2931" i="5"/>
  <c r="G2939" i="5"/>
  <c r="G2951" i="5"/>
  <c r="G2959" i="5"/>
  <c r="G2968" i="5"/>
  <c r="G3026" i="5"/>
  <c r="G3045" i="5"/>
  <c r="G3053" i="5"/>
  <c r="G3082" i="5"/>
  <c r="G3103" i="5"/>
  <c r="G3151" i="5"/>
  <c r="G3201" i="5"/>
  <c r="G3253" i="5"/>
  <c r="G1872" i="5"/>
  <c r="G2069" i="5"/>
  <c r="G2109" i="5"/>
  <c r="G2118" i="5"/>
  <c r="G2254" i="5"/>
  <c r="G2275" i="5"/>
  <c r="G2309" i="5"/>
  <c r="G2313" i="5"/>
  <c r="G2331" i="5"/>
  <c r="G2379" i="5"/>
  <c r="G2380" i="5"/>
  <c r="G2426" i="5"/>
  <c r="G2433" i="5"/>
  <c r="G2441" i="5"/>
  <c r="H2486" i="5"/>
  <c r="E414" i="8" s="1"/>
  <c r="G2490" i="5"/>
  <c r="G2511" i="5"/>
  <c r="G2516" i="5"/>
  <c r="G2519" i="5"/>
  <c r="G2573" i="5"/>
  <c r="G2581" i="5"/>
  <c r="G2589" i="5"/>
  <c r="G2632" i="5"/>
  <c r="G2648" i="5"/>
  <c r="G2742" i="5"/>
  <c r="G2770" i="5"/>
  <c r="G2790" i="5"/>
  <c r="G2815" i="5"/>
  <c r="G2823" i="5"/>
  <c r="G2828" i="5"/>
  <c r="G2833" i="5"/>
  <c r="G2836" i="5"/>
  <c r="G2906" i="5"/>
  <c r="G3040" i="5"/>
  <c r="G3046" i="5"/>
  <c r="G3058" i="5"/>
  <c r="G3397" i="5"/>
  <c r="G1474" i="5"/>
  <c r="G1484" i="5"/>
  <c r="G1524" i="5"/>
  <c r="G1577" i="5"/>
  <c r="G1648" i="5"/>
  <c r="G1680" i="5"/>
  <c r="G1687" i="5"/>
  <c r="G1715" i="5"/>
  <c r="G1734" i="5"/>
  <c r="G1741" i="5"/>
  <c r="G1785" i="5"/>
  <c r="G1858" i="5"/>
  <c r="G1882" i="5"/>
  <c r="G1911" i="5"/>
  <c r="G1933" i="5"/>
  <c r="G1957" i="5"/>
  <c r="G1962" i="5"/>
  <c r="G1982" i="5"/>
  <c r="G1991" i="5"/>
  <c r="G1997" i="5"/>
  <c r="G2006" i="5"/>
  <c r="G2026" i="5"/>
  <c r="G2039" i="5"/>
  <c r="G2090" i="5"/>
  <c r="G2130" i="5"/>
  <c r="G2227" i="5"/>
  <c r="G2307" i="5"/>
  <c r="G2320" i="5"/>
  <c r="G2327" i="5"/>
  <c r="G2334" i="5"/>
  <c r="G2350" i="5"/>
  <c r="G2440" i="5"/>
  <c r="G2442" i="5"/>
  <c r="G2454" i="5"/>
  <c r="G2461" i="5"/>
  <c r="G2508" i="5"/>
  <c r="G2524" i="5"/>
  <c r="G2605" i="5"/>
  <c r="G2613" i="5"/>
  <c r="G2621" i="5"/>
  <c r="G2684" i="5"/>
  <c r="G2711" i="5"/>
  <c r="G2740" i="5"/>
  <c r="G2760" i="5"/>
  <c r="G2788" i="5"/>
  <c r="G2841" i="5"/>
  <c r="G2849" i="5"/>
  <c r="G2901" i="5"/>
  <c r="G2919" i="5"/>
  <c r="G2924" i="5"/>
  <c r="G2936" i="5"/>
  <c r="G2944" i="5"/>
  <c r="G2961" i="5"/>
  <c r="G2973" i="5"/>
  <c r="G2977" i="5"/>
  <c r="G2985" i="5"/>
  <c r="G2993" i="5"/>
  <c r="G3001" i="5"/>
  <c r="G3009" i="5"/>
  <c r="G3018" i="5"/>
  <c r="G3023" i="5"/>
  <c r="G3031" i="5"/>
  <c r="G3041" i="5"/>
  <c r="G3055" i="5"/>
  <c r="G3110" i="5"/>
  <c r="G3220" i="5"/>
  <c r="G3383" i="5"/>
  <c r="G3971" i="5"/>
  <c r="G1646" i="5"/>
  <c r="G1651" i="5"/>
  <c r="G1656" i="5"/>
  <c r="G1661" i="5"/>
  <c r="G1666" i="5"/>
  <c r="G1708" i="5"/>
  <c r="G1726" i="5"/>
  <c r="G1783" i="5"/>
  <c r="G1928" i="5"/>
  <c r="G1956" i="5"/>
  <c r="G1988" i="5"/>
  <c r="G2011" i="5"/>
  <c r="G2051" i="5"/>
  <c r="G2059" i="5"/>
  <c r="G2166" i="5"/>
  <c r="G2222" i="5"/>
  <c r="G2245" i="5"/>
  <c r="G2318" i="5"/>
  <c r="G2386" i="5"/>
  <c r="G2393" i="5"/>
  <c r="G2394" i="5"/>
  <c r="G2410" i="5"/>
  <c r="G2431" i="5"/>
  <c r="G2488" i="5"/>
  <c r="G2497" i="5"/>
  <c r="G2637" i="5"/>
  <c r="G2645" i="5"/>
  <c r="G2662" i="5"/>
  <c r="G2673" i="5"/>
  <c r="G2695" i="5"/>
  <c r="G2700" i="5"/>
  <c r="G2703" i="5"/>
  <c r="G2758" i="5"/>
  <c r="G2778" i="5"/>
  <c r="G2804" i="5"/>
  <c r="G2809" i="5"/>
  <c r="G2812" i="5"/>
  <c r="G2897" i="5"/>
  <c r="G2907" i="5"/>
  <c r="G2953" i="5"/>
  <c r="G2982" i="5"/>
  <c r="G2990" i="5"/>
  <c r="G2998" i="5"/>
  <c r="G3006" i="5"/>
  <c r="G3014" i="5"/>
  <c r="G3036" i="5"/>
  <c r="G3051" i="5"/>
  <c r="G3092" i="5"/>
  <c r="G3095" i="5"/>
  <c r="G3571" i="5"/>
  <c r="G2094" i="5"/>
  <c r="G2096" i="5"/>
  <c r="G2103" i="5"/>
  <c r="G2105" i="5"/>
  <c r="G2114" i="5"/>
  <c r="G2149" i="5"/>
  <c r="G2158" i="5"/>
  <c r="G2160" i="5"/>
  <c r="G2167" i="5"/>
  <c r="G2169" i="5"/>
  <c r="G2178" i="5"/>
  <c r="G2214" i="5"/>
  <c r="G2237" i="5"/>
  <c r="G2239" i="5"/>
  <c r="G2251" i="5"/>
  <c r="G2260" i="5"/>
  <c r="G2262" i="5"/>
  <c r="G2269" i="5"/>
  <c r="G2271" i="5"/>
  <c r="G2289" i="5"/>
  <c r="G2291" i="5"/>
  <c r="G2322" i="5"/>
  <c r="G2324" i="5"/>
  <c r="G2336" i="5"/>
  <c r="G2358" i="5"/>
  <c r="G2360" i="5"/>
  <c r="G2411" i="5"/>
  <c r="G2416" i="5"/>
  <c r="G2418" i="5"/>
  <c r="G2451" i="5"/>
  <c r="G2453" i="5"/>
  <c r="G2480" i="5"/>
  <c r="G2483" i="5"/>
  <c r="G2485" i="5"/>
  <c r="G2512" i="5"/>
  <c r="G2515" i="5"/>
  <c r="G2517" i="5"/>
  <c r="G2540" i="5"/>
  <c r="G2543" i="5"/>
  <c r="G2545" i="5"/>
  <c r="G2572" i="5"/>
  <c r="G2575" i="5"/>
  <c r="G2577" i="5"/>
  <c r="G2604" i="5"/>
  <c r="G2607" i="5"/>
  <c r="G2609" i="5"/>
  <c r="G2636" i="5"/>
  <c r="G2639" i="5"/>
  <c r="G2641" i="5"/>
  <c r="G2663" i="5"/>
  <c r="G2665" i="5"/>
  <c r="G2696" i="5"/>
  <c r="G2699" i="5"/>
  <c r="G2701" i="5"/>
  <c r="G2728" i="5"/>
  <c r="G2731" i="5"/>
  <c r="G2803" i="5"/>
  <c r="G2805" i="5"/>
  <c r="G2824" i="5"/>
  <c r="G2827" i="5"/>
  <c r="G2829" i="5"/>
  <c r="G2872" i="5"/>
  <c r="G2883" i="5"/>
  <c r="G2893" i="5"/>
  <c r="G2899" i="5"/>
  <c r="G2902" i="5"/>
  <c r="G2914" i="5"/>
  <c r="G3060" i="5"/>
  <c r="G3100" i="5"/>
  <c r="G3121" i="5"/>
  <c r="G3130" i="5"/>
  <c r="G3141" i="5"/>
  <c r="G3186" i="5"/>
  <c r="G3194" i="5"/>
  <c r="G3197" i="5"/>
  <c r="G3229" i="5"/>
  <c r="G3317" i="5"/>
  <c r="G3353" i="5"/>
  <c r="G3360" i="5"/>
  <c r="G3373" i="5"/>
  <c r="G3414" i="5"/>
  <c r="G3424" i="5"/>
  <c r="G3449" i="5"/>
  <c r="G3535" i="5"/>
  <c r="G3553" i="5"/>
  <c r="G3560" i="5"/>
  <c r="G3596" i="5"/>
  <c r="G3612" i="5"/>
  <c r="G3621" i="5"/>
  <c r="G3728" i="5"/>
  <c r="G3734" i="5"/>
  <c r="G3820" i="5"/>
  <c r="G3830" i="5"/>
  <c r="G3854" i="5"/>
  <c r="G3858" i="5"/>
  <c r="G3868" i="5"/>
  <c r="G3878" i="5"/>
  <c r="G3882" i="5"/>
  <c r="G3892" i="5"/>
  <c r="G3902" i="5"/>
  <c r="G3906" i="5"/>
  <c r="G3937" i="5"/>
  <c r="G3987" i="5"/>
  <c r="G4018" i="5"/>
  <c r="G4100" i="5"/>
  <c r="G4138" i="5"/>
  <c r="G4167" i="5"/>
  <c r="G4184" i="5"/>
  <c r="G4187" i="5"/>
  <c r="G4216" i="5"/>
  <c r="G4219" i="5"/>
  <c r="G4246" i="5"/>
  <c r="G4272" i="5"/>
  <c r="G4279" i="5"/>
  <c r="G4356" i="5"/>
  <c r="G4357" i="5"/>
  <c r="G4367" i="5"/>
  <c r="G4477" i="5"/>
  <c r="G4484" i="5"/>
  <c r="G4533" i="5"/>
  <c r="G4615" i="5"/>
  <c r="G4630" i="5"/>
  <c r="G4712" i="5"/>
  <c r="G4718" i="5"/>
  <c r="G4774" i="5"/>
  <c r="G4816" i="5"/>
  <c r="G5152" i="5"/>
  <c r="G5215" i="5"/>
  <c r="G5253" i="5"/>
  <c r="G5274" i="5"/>
  <c r="G5313" i="5"/>
  <c r="G3120" i="5"/>
  <c r="G3189" i="5"/>
  <c r="G3192" i="5"/>
  <c r="G3198" i="5"/>
  <c r="G3249" i="5"/>
  <c r="G3270" i="5"/>
  <c r="G3347" i="5"/>
  <c r="G3352" i="5"/>
  <c r="G3381" i="5"/>
  <c r="G3388" i="5"/>
  <c r="G3401" i="5"/>
  <c r="G3423" i="5"/>
  <c r="G3472" i="5"/>
  <c r="G3502" i="5"/>
  <c r="G3504" i="5"/>
  <c r="G3529" i="5"/>
  <c r="G3551" i="5"/>
  <c r="G3614" i="5"/>
  <c r="G3623" i="5"/>
  <c r="G3660" i="5"/>
  <c r="G3755" i="5"/>
  <c r="G3790" i="5"/>
  <c r="G3859" i="5"/>
  <c r="G3873" i="5"/>
  <c r="G3883" i="5"/>
  <c r="G3897" i="5"/>
  <c r="G3907" i="5"/>
  <c r="G3945" i="5"/>
  <c r="G4019" i="5"/>
  <c r="G4074" i="5"/>
  <c r="G4105" i="5"/>
  <c r="G4130" i="5"/>
  <c r="G4155" i="5"/>
  <c r="G4217" i="5"/>
  <c r="G4227" i="5"/>
  <c r="G4233" i="5"/>
  <c r="G4241" i="5"/>
  <c r="G4265" i="5"/>
  <c r="G4273" i="5"/>
  <c r="G4274" i="5"/>
  <c r="G4322" i="5"/>
  <c r="G4337" i="5"/>
  <c r="G4345" i="5"/>
  <c r="G4368" i="5"/>
  <c r="G4377" i="5"/>
  <c r="G4382" i="5"/>
  <c r="G4415" i="5"/>
  <c r="G4424" i="5"/>
  <c r="G4431" i="5"/>
  <c r="G4462" i="5"/>
  <c r="G4492" i="5"/>
  <c r="G4502" i="5"/>
  <c r="G4535" i="5"/>
  <c r="G4539" i="5"/>
  <c r="G4565" i="5"/>
  <c r="G4596" i="5"/>
  <c r="G4609" i="5"/>
  <c r="G4683" i="5"/>
  <c r="G4775" i="5"/>
  <c r="G4786" i="5"/>
  <c r="G4819" i="5"/>
  <c r="G4852" i="5"/>
  <c r="G2520" i="5"/>
  <c r="G2523" i="5"/>
  <c r="G2525" i="5"/>
  <c r="G2548" i="5"/>
  <c r="G2551" i="5"/>
  <c r="G2553" i="5"/>
  <c r="G2580" i="5"/>
  <c r="G2583" i="5"/>
  <c r="G2585" i="5"/>
  <c r="G2612" i="5"/>
  <c r="G2615" i="5"/>
  <c r="G2617" i="5"/>
  <c r="G2644" i="5"/>
  <c r="G2647" i="5"/>
  <c r="G2649" i="5"/>
  <c r="G2661" i="5"/>
  <c r="G2704" i="5"/>
  <c r="G2707" i="5"/>
  <c r="G2709" i="5"/>
  <c r="G2732" i="5"/>
  <c r="G2735" i="5"/>
  <c r="G2737" i="5"/>
  <c r="G2741" i="5"/>
  <c r="G2743" i="5"/>
  <c r="G2747" i="5"/>
  <c r="G2749" i="5"/>
  <c r="G2753" i="5"/>
  <c r="G2755" i="5"/>
  <c r="G2759" i="5"/>
  <c r="G2761" i="5"/>
  <c r="G2765" i="5"/>
  <c r="G2767" i="5"/>
  <c r="G2771" i="5"/>
  <c r="G2773" i="5"/>
  <c r="G2777" i="5"/>
  <c r="G2779" i="5"/>
  <c r="G2783" i="5"/>
  <c r="G2785" i="5"/>
  <c r="G2789" i="5"/>
  <c r="G2791" i="5"/>
  <c r="G2795" i="5"/>
  <c r="G2797" i="5"/>
  <c r="G2816" i="5"/>
  <c r="G2840" i="5"/>
  <c r="G2843" i="5"/>
  <c r="G2845" i="5"/>
  <c r="G2873" i="5"/>
  <c r="G2903" i="5"/>
  <c r="G2909" i="5"/>
  <c r="G2912" i="5"/>
  <c r="G2915" i="5"/>
  <c r="G2920" i="5"/>
  <c r="G2923" i="5"/>
  <c r="G2925" i="5"/>
  <c r="G2928" i="5"/>
  <c r="G2930" i="5"/>
  <c r="G2933" i="5"/>
  <c r="G2935" i="5"/>
  <c r="G2938" i="5"/>
  <c r="G2940" i="5"/>
  <c r="G2943" i="5"/>
  <c r="G2945" i="5"/>
  <c r="G2948" i="5"/>
  <c r="G2950" i="5"/>
  <c r="G2955" i="5"/>
  <c r="G2960" i="5"/>
  <c r="G2962" i="5"/>
  <c r="G2965" i="5"/>
  <c r="G2967" i="5"/>
  <c r="G2970" i="5"/>
  <c r="G2972" i="5"/>
  <c r="G2978" i="5"/>
  <c r="G2983" i="5"/>
  <c r="G2986" i="5"/>
  <c r="G2991" i="5"/>
  <c r="G2994" i="5"/>
  <c r="G2999" i="5"/>
  <c r="G3002" i="5"/>
  <c r="G3007" i="5"/>
  <c r="G3010" i="5"/>
  <c r="G3015" i="5"/>
  <c r="G3017" i="5"/>
  <c r="G3022" i="5"/>
  <c r="G3025" i="5"/>
  <c r="G3027" i="5"/>
  <c r="G3030" i="5"/>
  <c r="G3032" i="5"/>
  <c r="G3035" i="5"/>
  <c r="G3037" i="5"/>
  <c r="G3042" i="5"/>
  <c r="G3047" i="5"/>
  <c r="G3050" i="5"/>
  <c r="G3052" i="5"/>
  <c r="G3057" i="5"/>
  <c r="G3066" i="5"/>
  <c r="G3067" i="5"/>
  <c r="G3077" i="5"/>
  <c r="G3080" i="5"/>
  <c r="G3097" i="5"/>
  <c r="G3112" i="5"/>
  <c r="G3133" i="5"/>
  <c r="G3162" i="5"/>
  <c r="G3183" i="5"/>
  <c r="G3225" i="5"/>
  <c r="G3242" i="5"/>
  <c r="G3262" i="5"/>
  <c r="G3283" i="5"/>
  <c r="G3294" i="5"/>
  <c r="G3312" i="5"/>
  <c r="G3324" i="5"/>
  <c r="G3375" i="5"/>
  <c r="G3380" i="5"/>
  <c r="G3409" i="5"/>
  <c r="G3464" i="5"/>
  <c r="G3474" i="5"/>
  <c r="G3531" i="5"/>
  <c r="G3547" i="5"/>
  <c r="G3610" i="5"/>
  <c r="G3619" i="5"/>
  <c r="G3672" i="5"/>
  <c r="G3691" i="5"/>
  <c r="G3705" i="5"/>
  <c r="G3719" i="5"/>
  <c r="G3742" i="5"/>
  <c r="G3758" i="5"/>
  <c r="G3831" i="5"/>
  <c r="G3860" i="5"/>
  <c r="G3864" i="5"/>
  <c r="G3874" i="5"/>
  <c r="G3884" i="5"/>
  <c r="G3888" i="5"/>
  <c r="G3898" i="5"/>
  <c r="G3908" i="5"/>
  <c r="G3915" i="5"/>
  <c r="G4011" i="5"/>
  <c r="G4164" i="5"/>
  <c r="G4201" i="5"/>
  <c r="G4248" i="5"/>
  <c r="G4281" i="5"/>
  <c r="G4289" i="5"/>
  <c r="G4295" i="5"/>
  <c r="G4301" i="5"/>
  <c r="G4303" i="5"/>
  <c r="G4306" i="5"/>
  <c r="G4312" i="5"/>
  <c r="G4324" i="5"/>
  <c r="G4339" i="5"/>
  <c r="G4365" i="5"/>
  <c r="G4479" i="5"/>
  <c r="G4486" i="5"/>
  <c r="G4576" i="5"/>
  <c r="G4632" i="5"/>
  <c r="G4729" i="5"/>
  <c r="G4845" i="5"/>
  <c r="G5030" i="5"/>
  <c r="G3117" i="5"/>
  <c r="G3123" i="5"/>
  <c r="G3139" i="5"/>
  <c r="G3147" i="5"/>
  <c r="G3218" i="5"/>
  <c r="G3403" i="5"/>
  <c r="G3408" i="5"/>
  <c r="G3421" i="5"/>
  <c r="G3448" i="5"/>
  <c r="G3450" i="5"/>
  <c r="G3469" i="5"/>
  <c r="G3508" i="5"/>
  <c r="G3526" i="5"/>
  <c r="G3552" i="5"/>
  <c r="G3554" i="5"/>
  <c r="G3577" i="5"/>
  <c r="G3595" i="5"/>
  <c r="G3601" i="5"/>
  <c r="G3605" i="5"/>
  <c r="G3677" i="5"/>
  <c r="G3699" i="5"/>
  <c r="G3732" i="5"/>
  <c r="G3751" i="5"/>
  <c r="G3855" i="5"/>
  <c r="G3865" i="5"/>
  <c r="G3879" i="5"/>
  <c r="G3889" i="5"/>
  <c r="G3903" i="5"/>
  <c r="G3935" i="5"/>
  <c r="G4119" i="5"/>
  <c r="G4157" i="5"/>
  <c r="G4255" i="5"/>
  <c r="G4308" i="5"/>
  <c r="G4323" i="5"/>
  <c r="G4366" i="5"/>
  <c r="G4378" i="5"/>
  <c r="G4384" i="5"/>
  <c r="G4398" i="5"/>
  <c r="G4426" i="5"/>
  <c r="G4433" i="5"/>
  <c r="G4440" i="5"/>
  <c r="G4570" i="5"/>
  <c r="G4649" i="5"/>
  <c r="G4743" i="5"/>
  <c r="G4776" i="5"/>
  <c r="G4890" i="5"/>
  <c r="G4969" i="5"/>
  <c r="G5260" i="5"/>
  <c r="G5333" i="5"/>
  <c r="G3284" i="5"/>
  <c r="G3286" i="5"/>
  <c r="G3313" i="5"/>
  <c r="G3354" i="5"/>
  <c r="G3525" i="5"/>
  <c r="G3546" i="5"/>
  <c r="G3579" i="5"/>
  <c r="G3603" i="5"/>
  <c r="G3821" i="5"/>
  <c r="G3828" i="5"/>
  <c r="G3829" i="5"/>
  <c r="H3847" i="5"/>
  <c r="E1036" i="8" s="1"/>
  <c r="G3870" i="5"/>
  <c r="G3894" i="5"/>
  <c r="G3913" i="5"/>
  <c r="G4013" i="5"/>
  <c r="G4033" i="5"/>
  <c r="G4056" i="5"/>
  <c r="G4096" i="5"/>
  <c r="G4166" i="5"/>
  <c r="G4193" i="5"/>
  <c r="G4195" i="5"/>
  <c r="G4235" i="5"/>
  <c r="G4243" i="5"/>
  <c r="G4259" i="5"/>
  <c r="G4276" i="5"/>
  <c r="G4278" i="5"/>
  <c r="G4307" i="5"/>
  <c r="G4325" i="5"/>
  <c r="G4360" i="5"/>
  <c r="G4379" i="5"/>
  <c r="G4396" i="5"/>
  <c r="G4461" i="5"/>
  <c r="G4482" i="5"/>
  <c r="G4485" i="5"/>
  <c r="G4493" i="5"/>
  <c r="G4494" i="5"/>
  <c r="G4542" i="5"/>
  <c r="G4543" i="5"/>
  <c r="G4569" i="5"/>
  <c r="G4601" i="5"/>
  <c r="G4623" i="5"/>
  <c r="G4720" i="5"/>
  <c r="G4738" i="5"/>
  <c r="G4799" i="5"/>
  <c r="G4885" i="5"/>
  <c r="G4896" i="5"/>
  <c r="G5075" i="5"/>
  <c r="G3131" i="5"/>
  <c r="G3167" i="5"/>
  <c r="G3303" i="5"/>
  <c r="G3382" i="5"/>
  <c r="G3428" i="5"/>
  <c r="G3477" i="5"/>
  <c r="G3562" i="5"/>
  <c r="G3779" i="5"/>
  <c r="G3861" i="5"/>
  <c r="G3871" i="5"/>
  <c r="G3885" i="5"/>
  <c r="G3895" i="5"/>
  <c r="G3909" i="5"/>
  <c r="G3989" i="5"/>
  <c r="G4016" i="5"/>
  <c r="G4030" i="5"/>
  <c r="G4072" i="5"/>
  <c r="G4102" i="5"/>
  <c r="G4121" i="5"/>
  <c r="G4189" i="5"/>
  <c r="G4205" i="5"/>
  <c r="G4314" i="5"/>
  <c r="G4328" i="5"/>
  <c r="G4353" i="5"/>
  <c r="G4362" i="5"/>
  <c r="G4380" i="5"/>
  <c r="G4429" i="5"/>
  <c r="G4501" i="5"/>
  <c r="G4514" i="5"/>
  <c r="G4538" i="5"/>
  <c r="G4625" i="5"/>
  <c r="G4797" i="5"/>
  <c r="G4976" i="5"/>
  <c r="G5290" i="5"/>
  <c r="G5866" i="5"/>
  <c r="G3102" i="5"/>
  <c r="G3108" i="5"/>
  <c r="G3111" i="5"/>
  <c r="G3128" i="5"/>
  <c r="G3134" i="5"/>
  <c r="G3142" i="5"/>
  <c r="G3181" i="5"/>
  <c r="G3199" i="5"/>
  <c r="G3260" i="5"/>
  <c r="G3271" i="5"/>
  <c r="G3374" i="5"/>
  <c r="G3410" i="5"/>
  <c r="G3420" i="5"/>
  <c r="G3430" i="5"/>
  <c r="G3468" i="5"/>
  <c r="G3470" i="5"/>
  <c r="G3491" i="5"/>
  <c r="G3503" i="5"/>
  <c r="G3575" i="5"/>
  <c r="G3580" i="5"/>
  <c r="G3657" i="5"/>
  <c r="G3676" i="5"/>
  <c r="G3678" i="5"/>
  <c r="G3698" i="5"/>
  <c r="G3714" i="5"/>
  <c r="G3852" i="5"/>
  <c r="G3862" i="5"/>
  <c r="G3872" i="5"/>
  <c r="G3876" i="5"/>
  <c r="G3886" i="5"/>
  <c r="G3896" i="5"/>
  <c r="G3900" i="5"/>
  <c r="G3930" i="5"/>
  <c r="G3936" i="5"/>
  <c r="G4058" i="5"/>
  <c r="G4064" i="5"/>
  <c r="G4098" i="5"/>
  <c r="G4107" i="5"/>
  <c r="G4128" i="5"/>
  <c r="G4136" i="5"/>
  <c r="G4182" i="5"/>
  <c r="G4249" i="5"/>
  <c r="G4286" i="5"/>
  <c r="G4355" i="5"/>
  <c r="G4361" i="5"/>
  <c r="G4400" i="5"/>
  <c r="G4693" i="5"/>
  <c r="G4727" i="5"/>
  <c r="G4764" i="5"/>
  <c r="G4793" i="5"/>
  <c r="G5116" i="5"/>
  <c r="G3207" i="5"/>
  <c r="G3288" i="5"/>
  <c r="G3345" i="5"/>
  <c r="G3548" i="5"/>
  <c r="G3688" i="5"/>
  <c r="G3693" i="5"/>
  <c r="G3716" i="5"/>
  <c r="G3721" i="5"/>
  <c r="G3743" i="5"/>
  <c r="G3777" i="5"/>
  <c r="G3792" i="5"/>
  <c r="G3849" i="5"/>
  <c r="G3853" i="5"/>
  <c r="G3867" i="5"/>
  <c r="G3877" i="5"/>
  <c r="G3891" i="5"/>
  <c r="G3901" i="5"/>
  <c r="G3958" i="5"/>
  <c r="G4032" i="5"/>
  <c r="G4081" i="5"/>
  <c r="G4104" i="5"/>
  <c r="G4207" i="5"/>
  <c r="G4225" i="5"/>
  <c r="G4253" i="5"/>
  <c r="G4263" i="5"/>
  <c r="G4271" i="5"/>
  <c r="G4287" i="5"/>
  <c r="G4330" i="5"/>
  <c r="G4335" i="5"/>
  <c r="G4354" i="5"/>
  <c r="G4374" i="5"/>
  <c r="G4540" i="5"/>
  <c r="G4651" i="5"/>
  <c r="G4655" i="5"/>
  <c r="G4781" i="5"/>
  <c r="G4842" i="5"/>
  <c r="G5061" i="5"/>
  <c r="G4496" i="5"/>
  <c r="G4559" i="5"/>
  <c r="G4677" i="5"/>
  <c r="G4686" i="5"/>
  <c r="G4711" i="5"/>
  <c r="G4739" i="5"/>
  <c r="G4777" i="5"/>
  <c r="G4791" i="5"/>
  <c r="G4836" i="5"/>
  <c r="G4856" i="5"/>
  <c r="G4942" i="5"/>
  <c r="G4986" i="5"/>
  <c r="G5032" i="5"/>
  <c r="G5098" i="5"/>
  <c r="G5119" i="5"/>
  <c r="G5157" i="5"/>
  <c r="G5228" i="5"/>
  <c r="G5231" i="5"/>
  <c r="G5244" i="5"/>
  <c r="G5287" i="5"/>
  <c r="G5297" i="5"/>
  <c r="G5329" i="5"/>
  <c r="G5408" i="5"/>
  <c r="G5447" i="5"/>
  <c r="G5473" i="5"/>
  <c r="G5485" i="5"/>
  <c r="G5506" i="5"/>
  <c r="G5518" i="5"/>
  <c r="G5536" i="5"/>
  <c r="G5553" i="5"/>
  <c r="G5569" i="5"/>
  <c r="G5615" i="5"/>
  <c r="G5636" i="5"/>
  <c r="G5651" i="5"/>
  <c r="G5671" i="5"/>
  <c r="G5685" i="5"/>
  <c r="G5699" i="5"/>
  <c r="G5719" i="5"/>
  <c r="G5733" i="5"/>
  <c r="G5747" i="5"/>
  <c r="G5767" i="5"/>
  <c r="G5785" i="5"/>
  <c r="G5799" i="5"/>
  <c r="G5836" i="5"/>
  <c r="G5848" i="5"/>
  <c r="G5878" i="5"/>
  <c r="G5886" i="5"/>
  <c r="G5890" i="5"/>
  <c r="H5902" i="5"/>
  <c r="E1829" i="8" s="1"/>
  <c r="G5920" i="5"/>
  <c r="G5923" i="5"/>
  <c r="G5932" i="5"/>
  <c r="G5940" i="5"/>
  <c r="G5941" i="5"/>
  <c r="G5955" i="5"/>
  <c r="G5972" i="5"/>
  <c r="G6007" i="5"/>
  <c r="G6037" i="5"/>
  <c r="G6068" i="5"/>
  <c r="G6132" i="5"/>
  <c r="H6178" i="5"/>
  <c r="E1926" i="8" s="1"/>
  <c r="G6236" i="5"/>
  <c r="G6410" i="5"/>
  <c r="G6435" i="5"/>
  <c r="G6783" i="5"/>
  <c r="G6849" i="5"/>
  <c r="G7057" i="5"/>
  <c r="G7335" i="5"/>
  <c r="G7364" i="5"/>
  <c r="G4929" i="5"/>
  <c r="G4949" i="5"/>
  <c r="G4955" i="5"/>
  <c r="G4962" i="5"/>
  <c r="G5015" i="5"/>
  <c r="G5143" i="5"/>
  <c r="G5155" i="5"/>
  <c r="G5186" i="5"/>
  <c r="G5196" i="5"/>
  <c r="G5252" i="5"/>
  <c r="G5371" i="5"/>
  <c r="G5478" i="5"/>
  <c r="G5497" i="5"/>
  <c r="G5521" i="5"/>
  <c r="G5537" i="5"/>
  <c r="G5591" i="5"/>
  <c r="G5612" i="5"/>
  <c r="G5622" i="5"/>
  <c r="G5640" i="5"/>
  <c r="G5655" i="5"/>
  <c r="G5669" i="5"/>
  <c r="G5689" i="5"/>
  <c r="G5703" i="5"/>
  <c r="G5717" i="5"/>
  <c r="G5737" i="5"/>
  <c r="G5751" i="5"/>
  <c r="G5765" i="5"/>
  <c r="G5772" i="5"/>
  <c r="G5777" i="5"/>
  <c r="G5795" i="5"/>
  <c r="G5804" i="5"/>
  <c r="G5820" i="5"/>
  <c r="G5821" i="5"/>
  <c r="G5871" i="5"/>
  <c r="G5875" i="5"/>
  <c r="G5882" i="5"/>
  <c r="G5921" i="5"/>
  <c r="G5925" i="5"/>
  <c r="G5929" i="5"/>
  <c r="G6041" i="5"/>
  <c r="G6105" i="5"/>
  <c r="G6174" i="5"/>
  <c r="G6201" i="5"/>
  <c r="G6223" i="5"/>
  <c r="G6502" i="5"/>
  <c r="G6543" i="5"/>
  <c r="G6583" i="5"/>
  <c r="G6900" i="5"/>
  <c r="G7132" i="5"/>
  <c r="G7447" i="5"/>
  <c r="G3764" i="5"/>
  <c r="G3766" i="5"/>
  <c r="G3775" i="5"/>
  <c r="G3788" i="5"/>
  <c r="G3826" i="5"/>
  <c r="G3931" i="5"/>
  <c r="G3952" i="5"/>
  <c r="G3954" i="5"/>
  <c r="G3963" i="5"/>
  <c r="G3965" i="5"/>
  <c r="G4023" i="5"/>
  <c r="G4047" i="5"/>
  <c r="G4050" i="5"/>
  <c r="G4063" i="5"/>
  <c r="G4065" i="5"/>
  <c r="G4110" i="5"/>
  <c r="G4146" i="5"/>
  <c r="G4173" i="5"/>
  <c r="G4176" i="5"/>
  <c r="G4211" i="5"/>
  <c r="G4232" i="5"/>
  <c r="G4234" i="5"/>
  <c r="G4254" i="5"/>
  <c r="G4264" i="5"/>
  <c r="G4266" i="5"/>
  <c r="G4288" i="5"/>
  <c r="G4313" i="5"/>
  <c r="G4344" i="5"/>
  <c r="G4346" i="5"/>
  <c r="G4397" i="5"/>
  <c r="G4399" i="5"/>
  <c r="G4487" i="5"/>
  <c r="G4541" i="5"/>
  <c r="G4557" i="5"/>
  <c r="G4603" i="5"/>
  <c r="G4619" i="5"/>
  <c r="G4675" i="5"/>
  <c r="G4719" i="5"/>
  <c r="G4753" i="5"/>
  <c r="G4787" i="5"/>
  <c r="G4802" i="5"/>
  <c r="G4820" i="5"/>
  <c r="G4830" i="5"/>
  <c r="G4844" i="5"/>
  <c r="G4848" i="5"/>
  <c r="G4855" i="5"/>
  <c r="G4858" i="5"/>
  <c r="G4864" i="5"/>
  <c r="G4879" i="5"/>
  <c r="G4899" i="5"/>
  <c r="G4940" i="5"/>
  <c r="G4965" i="5"/>
  <c r="G4974" i="5"/>
  <c r="G4999" i="5"/>
  <c r="G5018" i="5"/>
  <c r="G5062" i="5"/>
  <c r="G5076" i="5"/>
  <c r="G5086" i="5"/>
  <c r="G5237" i="5"/>
  <c r="G5243" i="5"/>
  <c r="G5314" i="5"/>
  <c r="G5328" i="5"/>
  <c r="G5343" i="5"/>
  <c r="G5345" i="5"/>
  <c r="G5365" i="5"/>
  <c r="G5381" i="5"/>
  <c r="G5409" i="5"/>
  <c r="G5474" i="5"/>
  <c r="G5580" i="5"/>
  <c r="G5627" i="5"/>
  <c r="G5687" i="5"/>
  <c r="G5735" i="5"/>
  <c r="G5855" i="5"/>
  <c r="G5879" i="5"/>
  <c r="G5924" i="5"/>
  <c r="G6032" i="5"/>
  <c r="G6036" i="5"/>
  <c r="G6039" i="5"/>
  <c r="G6073" i="5"/>
  <c r="G6098" i="5"/>
  <c r="G6103" i="5"/>
  <c r="G6137" i="5"/>
  <c r="G6194" i="5"/>
  <c r="G6199" i="5"/>
  <c r="G6231" i="5"/>
  <c r="G6817" i="5"/>
  <c r="G7279" i="5"/>
  <c r="E3753" i="5"/>
  <c r="G4624" i="5"/>
  <c r="G4705" i="5"/>
  <c r="G4854" i="5"/>
  <c r="G4947" i="5"/>
  <c r="G4957" i="5"/>
  <c r="G5087" i="5"/>
  <c r="G5118" i="5"/>
  <c r="G5141" i="5"/>
  <c r="G5305" i="5"/>
  <c r="G5421" i="5"/>
  <c r="G5446" i="5"/>
  <c r="G5448" i="5"/>
  <c r="G5466" i="5"/>
  <c r="G5471" i="5"/>
  <c r="G5496" i="5"/>
  <c r="G5511" i="5"/>
  <c r="G5538" i="5"/>
  <c r="G5562" i="5"/>
  <c r="G5581" i="5"/>
  <c r="G5632" i="5"/>
  <c r="G5657" i="5"/>
  <c r="G5705" i="5"/>
  <c r="G5753" i="5"/>
  <c r="G5791" i="5"/>
  <c r="G5828" i="5"/>
  <c r="G5839" i="5"/>
  <c r="G5845" i="5"/>
  <c r="G5852" i="5"/>
  <c r="G5977" i="5"/>
  <c r="G6225" i="5"/>
  <c r="G6239" i="5"/>
  <c r="G6268" i="5"/>
  <c r="G6772" i="5"/>
  <c r="G6847" i="5"/>
  <c r="G6967" i="5"/>
  <c r="G7076" i="5"/>
  <c r="G7143" i="5"/>
  <c r="G7145" i="5"/>
  <c r="G4607" i="5"/>
  <c r="G4643" i="5"/>
  <c r="G4861" i="5"/>
  <c r="G4865" i="5"/>
  <c r="G4950" i="5"/>
  <c r="G5028" i="5"/>
  <c r="G5043" i="5"/>
  <c r="G5251" i="5"/>
  <c r="G5288" i="5"/>
  <c r="G5293" i="5"/>
  <c r="G5358" i="5"/>
  <c r="G5435" i="5"/>
  <c r="G5456" i="5"/>
  <c r="G5477" i="5"/>
  <c r="G5479" i="5"/>
  <c r="G5498" i="5"/>
  <c r="G5507" i="5"/>
  <c r="G5516" i="5"/>
  <c r="G5528" i="5"/>
  <c r="G5592" i="5"/>
  <c r="G5599" i="5"/>
  <c r="G5600" i="5"/>
  <c r="G5605" i="5"/>
  <c r="G5637" i="5"/>
  <c r="G5644" i="5"/>
  <c r="G5647" i="5"/>
  <c r="G5661" i="5"/>
  <c r="G5675" i="5"/>
  <c r="G5695" i="5"/>
  <c r="G5709" i="5"/>
  <c r="G5723" i="5"/>
  <c r="G5743" i="5"/>
  <c r="G5757" i="5"/>
  <c r="G5796" i="5"/>
  <c r="G5807" i="5"/>
  <c r="G5831" i="5"/>
  <c r="G5857" i="5"/>
  <c r="G5876" i="5"/>
  <c r="G5880" i="5"/>
  <c r="G5883" i="5"/>
  <c r="G5893" i="5"/>
  <c r="G5896" i="5"/>
  <c r="G5908" i="5"/>
  <c r="G5911" i="5"/>
  <c r="G5975" i="5"/>
  <c r="G6000" i="5"/>
  <c r="G6005" i="5"/>
  <c r="G6071" i="5"/>
  <c r="G6135" i="5"/>
  <c r="G6226" i="5"/>
  <c r="G6233" i="5"/>
  <c r="G6500" i="5"/>
  <c r="G6516" i="5"/>
  <c r="G6581" i="5"/>
  <c r="G6655" i="5"/>
  <c r="G6689" i="5"/>
  <c r="G6753" i="5"/>
  <c r="G6868" i="5"/>
  <c r="G6879" i="5"/>
  <c r="G6993" i="5"/>
  <c r="G7444" i="5"/>
  <c r="E3754" i="5"/>
  <c r="G4451" i="5"/>
  <c r="G4642" i="5"/>
  <c r="G4703" i="5"/>
  <c r="G4713" i="5"/>
  <c r="G4770" i="5"/>
  <c r="G4817" i="5"/>
  <c r="G4818" i="5"/>
  <c r="G4837" i="5"/>
  <c r="G4870" i="5"/>
  <c r="G4884" i="5"/>
  <c r="G4889" i="5"/>
  <c r="G4958" i="5"/>
  <c r="G4981" i="5"/>
  <c r="G5046" i="5"/>
  <c r="G5201" i="5"/>
  <c r="G5229" i="5"/>
  <c r="G5245" i="5"/>
  <c r="G5255" i="5"/>
  <c r="G5330" i="5"/>
  <c r="G5407" i="5"/>
  <c r="G5483" i="5"/>
  <c r="G5523" i="5"/>
  <c r="G5530" i="5"/>
  <c r="G5535" i="5"/>
  <c r="G5593" i="5"/>
  <c r="G5610" i="5"/>
  <c r="G5631" i="5"/>
  <c r="G5665" i="5"/>
  <c r="G5679" i="5"/>
  <c r="G5693" i="5"/>
  <c r="G5713" i="5"/>
  <c r="G5727" i="5"/>
  <c r="G5741" i="5"/>
  <c r="G5775" i="5"/>
  <c r="G5817" i="5"/>
  <c r="G5819" i="5"/>
  <c r="G5825" i="5"/>
  <c r="G5881" i="5"/>
  <c r="G5916" i="5"/>
  <c r="G5917" i="5"/>
  <c r="G5943" i="5"/>
  <c r="G5968" i="5"/>
  <c r="G6234" i="5"/>
  <c r="G6241" i="5"/>
  <c r="G6364" i="5"/>
  <c r="G6708" i="5"/>
  <c r="G6815" i="5"/>
  <c r="G6913" i="5"/>
  <c r="G6945" i="5"/>
  <c r="G7108" i="5"/>
  <c r="G4881" i="5"/>
  <c r="G4901" i="5"/>
  <c r="G4948" i="5"/>
  <c r="G4954" i="5"/>
  <c r="G4961" i="5"/>
  <c r="G4972" i="5"/>
  <c r="G4979" i="5"/>
  <c r="G5010" i="5"/>
  <c r="G5063" i="5"/>
  <c r="G5065" i="5"/>
  <c r="G5077" i="5"/>
  <c r="G5100" i="5"/>
  <c r="G5307" i="5"/>
  <c r="G5315" i="5"/>
  <c r="G5424" i="5"/>
  <c r="G5472" i="5"/>
  <c r="G5480" i="5"/>
  <c r="G5499" i="5"/>
  <c r="G5544" i="5"/>
  <c r="G5633" i="5"/>
  <c r="G5638" i="5"/>
  <c r="G5663" i="5"/>
  <c r="G5711" i="5"/>
  <c r="G5759" i="5"/>
  <c r="G5792" i="5"/>
  <c r="G5797" i="5"/>
  <c r="G5832" i="5"/>
  <c r="G5835" i="5"/>
  <c r="G5861" i="5"/>
  <c r="G5864" i="5"/>
  <c r="G5865" i="5"/>
  <c r="G5904" i="5"/>
  <c r="G5907" i="5"/>
  <c r="G5919" i="5"/>
  <c r="G5935" i="5"/>
  <c r="G5971" i="5"/>
  <c r="G5973" i="5"/>
  <c r="G6004" i="5"/>
  <c r="G6220" i="5"/>
  <c r="G6273" i="5"/>
  <c r="G6424" i="5"/>
  <c r="G6531" i="5"/>
  <c r="G6631" i="5"/>
  <c r="G6740" i="5"/>
  <c r="G6980" i="5"/>
  <c r="G7012" i="5"/>
  <c r="G7332" i="5"/>
  <c r="G7397" i="5"/>
  <c r="G4483" i="5"/>
  <c r="G4500" i="5"/>
  <c r="G4523" i="5"/>
  <c r="G4534" i="5"/>
  <c r="G4591" i="5"/>
  <c r="G4617" i="5"/>
  <c r="G4618" i="5"/>
  <c r="G4745" i="5"/>
  <c r="G4752" i="5"/>
  <c r="G4824" i="5"/>
  <c r="G5001" i="5"/>
  <c r="G5029" i="5"/>
  <c r="G5117" i="5"/>
  <c r="G5263" i="5"/>
  <c r="G5277" i="5"/>
  <c r="G5342" i="5"/>
  <c r="G5344" i="5"/>
  <c r="G5388" i="5"/>
  <c r="G5406" i="5"/>
  <c r="G5414" i="5"/>
  <c r="G5427" i="5"/>
  <c r="G5429" i="5"/>
  <c r="G5534" i="5"/>
  <c r="G5579" i="5"/>
  <c r="G5594" i="5"/>
  <c r="G5597" i="5"/>
  <c r="G5608" i="5"/>
  <c r="G5634" i="5"/>
  <c r="G5681" i="5"/>
  <c r="G5729" i="5"/>
  <c r="G5788" i="5"/>
  <c r="G5793" i="5"/>
  <c r="G5809" i="5"/>
  <c r="G5833" i="5"/>
  <c r="G5837" i="5"/>
  <c r="G5841" i="5"/>
  <c r="G5851" i="5"/>
  <c r="G5869" i="5"/>
  <c r="G5884" i="5"/>
  <c r="G5888" i="5"/>
  <c r="G5913" i="5"/>
  <c r="G5927" i="5"/>
  <c r="G6009" i="5"/>
  <c r="G6100" i="5"/>
  <c r="G6196" i="5"/>
  <c r="G6228" i="5"/>
  <c r="G6271" i="5"/>
  <c r="G6292" i="5"/>
  <c r="G6369" i="5"/>
  <c r="G6640" i="5"/>
  <c r="G6719" i="5"/>
  <c r="G6836" i="5"/>
  <c r="G6932" i="5"/>
  <c r="G7044" i="5"/>
  <c r="G7177" i="5"/>
  <c r="G7215" i="5"/>
  <c r="G7385" i="5"/>
  <c r="G7445" i="5"/>
  <c r="G7464" i="5"/>
  <c r="G5958" i="5"/>
  <c r="G5990" i="5"/>
  <c r="G6022" i="5"/>
  <c r="H6042" i="5"/>
  <c r="E1874" i="8" s="1"/>
  <c r="G6047" i="5"/>
  <c r="G6049" i="5"/>
  <c r="H6106" i="5"/>
  <c r="E1895" i="8" s="1"/>
  <c r="G6111" i="5"/>
  <c r="G6113" i="5"/>
  <c r="H6202" i="5"/>
  <c r="E1953" i="8" s="1"/>
  <c r="G6207" i="5"/>
  <c r="G6209" i="5"/>
  <c r="G6276" i="5"/>
  <c r="G6300" i="5"/>
  <c r="G6317" i="5"/>
  <c r="G6512" i="5"/>
  <c r="G6544" i="5"/>
  <c r="G6573" i="5"/>
  <c r="G6618" i="5"/>
  <c r="G6637" i="5"/>
  <c r="G6653" i="5"/>
  <c r="G6667" i="5"/>
  <c r="G6747" i="5"/>
  <c r="G6752" i="5"/>
  <c r="G6861" i="5"/>
  <c r="G6891" i="5"/>
  <c r="G6907" i="5"/>
  <c r="G6965" i="5"/>
  <c r="G7019" i="5"/>
  <c r="G7083" i="5"/>
  <c r="G7157" i="5"/>
  <c r="G7193" i="5"/>
  <c r="G7209" i="5"/>
  <c r="G7212" i="5"/>
  <c r="G7309" i="5"/>
  <c r="G7357" i="5"/>
  <c r="G7413" i="5"/>
  <c r="G7536" i="5"/>
  <c r="G7548" i="5"/>
  <c r="G7597" i="5"/>
  <c r="G7646" i="5"/>
  <c r="G7713" i="5"/>
  <c r="G7904" i="5"/>
  <c r="G8061" i="5"/>
  <c r="G5827" i="5"/>
  <c r="G5860" i="5"/>
  <c r="G5863" i="5"/>
  <c r="G5885" i="5"/>
  <c r="G5887" i="5"/>
  <c r="G5898" i="5"/>
  <c r="G5915" i="5"/>
  <c r="G5931" i="5"/>
  <c r="G5944" i="5"/>
  <c r="G5952" i="5"/>
  <c r="G5965" i="5"/>
  <c r="G5981" i="5"/>
  <c r="G5997" i="5"/>
  <c r="G6013" i="5"/>
  <c r="G6029" i="5"/>
  <c r="G6048" i="5"/>
  <c r="G6075" i="5"/>
  <c r="G6077" i="5"/>
  <c r="G6083" i="5"/>
  <c r="G6085" i="5"/>
  <c r="G6093" i="5"/>
  <c r="G6112" i="5"/>
  <c r="G6139" i="5"/>
  <c r="G6141" i="5"/>
  <c r="G6147" i="5"/>
  <c r="G6149" i="5"/>
  <c r="G6157" i="5"/>
  <c r="G6162" i="5"/>
  <c r="G6172" i="5"/>
  <c r="G6176" i="5"/>
  <c r="G6179" i="5"/>
  <c r="G6189" i="5"/>
  <c r="G6208" i="5"/>
  <c r="G6211" i="5"/>
  <c r="G6288" i="5"/>
  <c r="G6340" i="5"/>
  <c r="G6404" i="5"/>
  <c r="G6409" i="5"/>
  <c r="G6459" i="5"/>
  <c r="G6468" i="5"/>
  <c r="G6491" i="5"/>
  <c r="G6503" i="5"/>
  <c r="G6542" i="5"/>
  <c r="G6553" i="5"/>
  <c r="G6558" i="5"/>
  <c r="G6565" i="5"/>
  <c r="G6570" i="5"/>
  <c r="G6604" i="5"/>
  <c r="G6672" i="5"/>
  <c r="G6685" i="5"/>
  <c r="G6699" i="5"/>
  <c r="G6709" i="5"/>
  <c r="G6779" i="5"/>
  <c r="G6784" i="5"/>
  <c r="G6789" i="5"/>
  <c r="G6792" i="5"/>
  <c r="G6803" i="5"/>
  <c r="G6808" i="5"/>
  <c r="G6912" i="5"/>
  <c r="G7024" i="5"/>
  <c r="G7088" i="5"/>
  <c r="G7123" i="5"/>
  <c r="G7136" i="5"/>
  <c r="G7160" i="5"/>
  <c r="G7165" i="5"/>
  <c r="G7173" i="5"/>
  <c r="G7187" i="5"/>
  <c r="G7211" i="5"/>
  <c r="G7233" i="5"/>
  <c r="G7245" i="5"/>
  <c r="G7251" i="5"/>
  <c r="G7260" i="5"/>
  <c r="G7305" i="5"/>
  <c r="G7313" i="5"/>
  <c r="G7353" i="5"/>
  <c r="G7361" i="5"/>
  <c r="G7531" i="5"/>
  <c r="G7537" i="5"/>
  <c r="G7540" i="5"/>
  <c r="G7579" i="5"/>
  <c r="G7582" i="5"/>
  <c r="G7617" i="5"/>
  <c r="G7647" i="5"/>
  <c r="G8199" i="5"/>
  <c r="G8259" i="5"/>
  <c r="G6076" i="5"/>
  <c r="G6140" i="5"/>
  <c r="G6279" i="5"/>
  <c r="G6281" i="5"/>
  <c r="G6305" i="5"/>
  <c r="G6312" i="5"/>
  <c r="G6315" i="5"/>
  <c r="G6390" i="5"/>
  <c r="G6395" i="5"/>
  <c r="G6450" i="5"/>
  <c r="G6554" i="5"/>
  <c r="G6597" i="5"/>
  <c r="G6610" i="5"/>
  <c r="G6625" i="5"/>
  <c r="G6639" i="5"/>
  <c r="G6669" i="5"/>
  <c r="G6704" i="5"/>
  <c r="G6717" i="5"/>
  <c r="G6731" i="5"/>
  <c r="G6811" i="5"/>
  <c r="G6816" i="5"/>
  <c r="G6893" i="5"/>
  <c r="G6957" i="5"/>
  <c r="G7005" i="5"/>
  <c r="G7069" i="5"/>
  <c r="G7139" i="5"/>
  <c r="G7203" i="5"/>
  <c r="G7219" i="5"/>
  <c r="G7221" i="5"/>
  <c r="G7367" i="5"/>
  <c r="G7467" i="5"/>
  <c r="G7555" i="5"/>
  <c r="G7640" i="5"/>
  <c r="G7643" i="5"/>
  <c r="G8048" i="5"/>
  <c r="G5623" i="5"/>
  <c r="G5776" i="5"/>
  <c r="G5779" i="5"/>
  <c r="G5781" i="5"/>
  <c r="G5808" i="5"/>
  <c r="G5811" i="5"/>
  <c r="G5813" i="5"/>
  <c r="G5853" i="5"/>
  <c r="G5859" i="5"/>
  <c r="G5877" i="5"/>
  <c r="G5891" i="5"/>
  <c r="G5901" i="5"/>
  <c r="G5928" i="5"/>
  <c r="G6088" i="5"/>
  <c r="G6091" i="5"/>
  <c r="G6152" i="5"/>
  <c r="G6155" i="5"/>
  <c r="G6170" i="5"/>
  <c r="G6187" i="5"/>
  <c r="G6243" i="5"/>
  <c r="G6245" i="5"/>
  <c r="G6261" i="5"/>
  <c r="G6324" i="5"/>
  <c r="G6335" i="5"/>
  <c r="G6383" i="5"/>
  <c r="G6414" i="5"/>
  <c r="G6436" i="5"/>
  <c r="G6528" i="5"/>
  <c r="G6575" i="5"/>
  <c r="G6582" i="5"/>
  <c r="G6609" i="5"/>
  <c r="G6644" i="5"/>
  <c r="G6691" i="5"/>
  <c r="G6701" i="5"/>
  <c r="G6736" i="5"/>
  <c r="G6749" i="5"/>
  <c r="G6763" i="5"/>
  <c r="G6773" i="5"/>
  <c r="G6843" i="5"/>
  <c r="G6848" i="5"/>
  <c r="G6853" i="5"/>
  <c r="G6856" i="5"/>
  <c r="G6875" i="5"/>
  <c r="G6896" i="5"/>
  <c r="G6901" i="5"/>
  <c r="G6909" i="5"/>
  <c r="G6923" i="5"/>
  <c r="G6936" i="5"/>
  <c r="G6960" i="5"/>
  <c r="G6971" i="5"/>
  <c r="G6984" i="5"/>
  <c r="G7008" i="5"/>
  <c r="G7013" i="5"/>
  <c r="G7021" i="5"/>
  <c r="G7035" i="5"/>
  <c r="G7072" i="5"/>
  <c r="G7077" i="5"/>
  <c r="G7085" i="5"/>
  <c r="G7099" i="5"/>
  <c r="G7144" i="5"/>
  <c r="G7199" i="5"/>
  <c r="G7225" i="5"/>
  <c r="G7229" i="5"/>
  <c r="G7249" i="5"/>
  <c r="G7257" i="5"/>
  <c r="G7273" i="5"/>
  <c r="G7276" i="5"/>
  <c r="G7317" i="5"/>
  <c r="G7365" i="5"/>
  <c r="G7539" i="5"/>
  <c r="G7618" i="5"/>
  <c r="G7669" i="5"/>
  <c r="G7753" i="5"/>
  <c r="G8080" i="5"/>
  <c r="G8178" i="5"/>
  <c r="G8196" i="5"/>
  <c r="G8246" i="5"/>
  <c r="G8323" i="5"/>
  <c r="G6079" i="5"/>
  <c r="G6081" i="5"/>
  <c r="G6143" i="5"/>
  <c r="G6145" i="5"/>
  <c r="G6158" i="5"/>
  <c r="G6167" i="5"/>
  <c r="G6169" i="5"/>
  <c r="G6244" i="5"/>
  <c r="G6443" i="5"/>
  <c r="G6493" i="5"/>
  <c r="G6733" i="5"/>
  <c r="G6768" i="5"/>
  <c r="G6781" i="5"/>
  <c r="G6795" i="5"/>
  <c r="G6880" i="5"/>
  <c r="G6939" i="5"/>
  <c r="G6987" i="5"/>
  <c r="G7051" i="5"/>
  <c r="G7125" i="5"/>
  <c r="G7189" i="5"/>
  <c r="G7327" i="5"/>
  <c r="G7419" i="5"/>
  <c r="G7433" i="5"/>
  <c r="G7524" i="5"/>
  <c r="G7631" i="5"/>
  <c r="G7675" i="5"/>
  <c r="G7766" i="5"/>
  <c r="G8382" i="5"/>
  <c r="G6003" i="5"/>
  <c r="G6035" i="5"/>
  <c r="G6043" i="5"/>
  <c r="G6045" i="5"/>
  <c r="G6051" i="5"/>
  <c r="G6053" i="5"/>
  <c r="G6054" i="5"/>
  <c r="G6061" i="5"/>
  <c r="G6080" i="5"/>
  <c r="G6082" i="5"/>
  <c r="G6107" i="5"/>
  <c r="G6109" i="5"/>
  <c r="G6115" i="5"/>
  <c r="G6117" i="5"/>
  <c r="G6118" i="5"/>
  <c r="G6125" i="5"/>
  <c r="G6144" i="5"/>
  <c r="G6146" i="5"/>
  <c r="G6168" i="5"/>
  <c r="G6203" i="5"/>
  <c r="G6205" i="5"/>
  <c r="G6256" i="5"/>
  <c r="G6259" i="5"/>
  <c r="G6320" i="5"/>
  <c r="G6374" i="5"/>
  <c r="G6397" i="5"/>
  <c r="G6452" i="5"/>
  <c r="G6510" i="5"/>
  <c r="G6651" i="5"/>
  <c r="G6656" i="5"/>
  <c r="G6661" i="5"/>
  <c r="G6664" i="5"/>
  <c r="G6675" i="5"/>
  <c r="G6680" i="5"/>
  <c r="G6755" i="5"/>
  <c r="G6765" i="5"/>
  <c r="G6800" i="5"/>
  <c r="G6813" i="5"/>
  <c r="G6827" i="5"/>
  <c r="G6837" i="5"/>
  <c r="G6885" i="5"/>
  <c r="G6888" i="5"/>
  <c r="G6944" i="5"/>
  <c r="G6963" i="5"/>
  <c r="G6992" i="5"/>
  <c r="G7056" i="5"/>
  <c r="G7128" i="5"/>
  <c r="G7141" i="5"/>
  <c r="G7155" i="5"/>
  <c r="G7247" i="5"/>
  <c r="G7253" i="5"/>
  <c r="G7267" i="5"/>
  <c r="G7283" i="5"/>
  <c r="G7285" i="5"/>
  <c r="G7297" i="5"/>
  <c r="G7303" i="5"/>
  <c r="G7349" i="5"/>
  <c r="G7351" i="5"/>
  <c r="G7401" i="5"/>
  <c r="G7439" i="5"/>
  <c r="G7449" i="5"/>
  <c r="G7451" i="5"/>
  <c r="G7455" i="5"/>
  <c r="G7485" i="5"/>
  <c r="G7529" i="5"/>
  <c r="G7543" i="5"/>
  <c r="G7705" i="5"/>
  <c r="G7792" i="5"/>
  <c r="G7934" i="5"/>
  <c r="G8095" i="5"/>
  <c r="G8143" i="5"/>
  <c r="G8312" i="5"/>
  <c r="G8512" i="5"/>
  <c r="G5949" i="5"/>
  <c r="G5962" i="5"/>
  <c r="G5963" i="5"/>
  <c r="G5976" i="5"/>
  <c r="G5978" i="5"/>
  <c r="G5979" i="5"/>
  <c r="G5986" i="5"/>
  <c r="G5994" i="5"/>
  <c r="G5995" i="5"/>
  <c r="G6008" i="5"/>
  <c r="G6010" i="5"/>
  <c r="G6011" i="5"/>
  <c r="G6018" i="5"/>
  <c r="G6026" i="5"/>
  <c r="G6027" i="5"/>
  <c r="G6044" i="5"/>
  <c r="G6067" i="5"/>
  <c r="G6072" i="5"/>
  <c r="G6096" i="5"/>
  <c r="G6108" i="5"/>
  <c r="G6131" i="5"/>
  <c r="G6136" i="5"/>
  <c r="H6182" i="5"/>
  <c r="E1928" i="8" s="1"/>
  <c r="G6192" i="5"/>
  <c r="G6204" i="5"/>
  <c r="G6221" i="5"/>
  <c r="G6229" i="5"/>
  <c r="G6237" i="5"/>
  <c r="G6242" i="5"/>
  <c r="G6247" i="5"/>
  <c r="G6249" i="5"/>
  <c r="G6291" i="5"/>
  <c r="G6295" i="5"/>
  <c r="G6297" i="5"/>
  <c r="G6354" i="5"/>
  <c r="G6363" i="5"/>
  <c r="G6367" i="5"/>
  <c r="G6385" i="5"/>
  <c r="G6402" i="5"/>
  <c r="G6416" i="5"/>
  <c r="G6457" i="5"/>
  <c r="G6530" i="5"/>
  <c r="G6551" i="5"/>
  <c r="G6616" i="5"/>
  <c r="G6683" i="5"/>
  <c r="G6688" i="5"/>
  <c r="G6696" i="5"/>
  <c r="G6707" i="5"/>
  <c r="G6797" i="5"/>
  <c r="G6832" i="5"/>
  <c r="G6845" i="5"/>
  <c r="G6859" i="5"/>
  <c r="G6869" i="5"/>
  <c r="G6877" i="5"/>
  <c r="G6925" i="5"/>
  <c r="G6968" i="5"/>
  <c r="G6973" i="5"/>
  <c r="G7037" i="5"/>
  <c r="G7101" i="5"/>
  <c r="G7120" i="5"/>
  <c r="G7163" i="5"/>
  <c r="G7171" i="5"/>
  <c r="G7184" i="5"/>
  <c r="G7196" i="5"/>
  <c r="G7228" i="5"/>
  <c r="G7263" i="5"/>
  <c r="G7289" i="5"/>
  <c r="G7299" i="5"/>
  <c r="G7310" i="5"/>
  <c r="G7333" i="5"/>
  <c r="G7358" i="5"/>
  <c r="G7389" i="5"/>
  <c r="G7438" i="5"/>
  <c r="G7475" i="5"/>
  <c r="G7575" i="5"/>
  <c r="G7599" i="5"/>
  <c r="G7641" i="5"/>
  <c r="G7770" i="5"/>
  <c r="G7779" i="5"/>
  <c r="G8327" i="5"/>
  <c r="G8471" i="5"/>
  <c r="G5947" i="5"/>
  <c r="G5960" i="5"/>
  <c r="G5992" i="5"/>
  <c r="G6024" i="5"/>
  <c r="G6056" i="5"/>
  <c r="G6059" i="5"/>
  <c r="G6120" i="5"/>
  <c r="G6123" i="5"/>
  <c r="G6160" i="5"/>
  <c r="G6181" i="5"/>
  <c r="G6184" i="5"/>
  <c r="G6213" i="5"/>
  <c r="G6275" i="5"/>
  <c r="G6277" i="5"/>
  <c r="G6348" i="5"/>
  <c r="G6350" i="5"/>
  <c r="G6425" i="5"/>
  <c r="G6501" i="5"/>
  <c r="G6515" i="5"/>
  <c r="G6592" i="5"/>
  <c r="G6595" i="5"/>
  <c r="G6602" i="5"/>
  <c r="G6623" i="5"/>
  <c r="G6630" i="5"/>
  <c r="G6715" i="5"/>
  <c r="G6720" i="5"/>
  <c r="G6728" i="5"/>
  <c r="G6739" i="5"/>
  <c r="G6829" i="5"/>
  <c r="G6864" i="5"/>
  <c r="G6928" i="5"/>
  <c r="G6933" i="5"/>
  <c r="G6941" i="5"/>
  <c r="G6955" i="5"/>
  <c r="G6976" i="5"/>
  <c r="G6981" i="5"/>
  <c r="G6989" i="5"/>
  <c r="G7003" i="5"/>
  <c r="G7040" i="5"/>
  <c r="G7045" i="5"/>
  <c r="G7053" i="5"/>
  <c r="G7067" i="5"/>
  <c r="G7104" i="5"/>
  <c r="G7109" i="5"/>
  <c r="G7176" i="5"/>
  <c r="G7241" i="5"/>
  <c r="G7291" i="5"/>
  <c r="G7311" i="5"/>
  <c r="G7316" i="5"/>
  <c r="G7325" i="5"/>
  <c r="G7341" i="5"/>
  <c r="G7350" i="5"/>
  <c r="G7359" i="5"/>
  <c r="G7393" i="5"/>
  <c r="G7427" i="5"/>
  <c r="G7437" i="5"/>
  <c r="G7469" i="5"/>
  <c r="G7528" i="5"/>
  <c r="G8443" i="5"/>
  <c r="G7499" i="5"/>
  <c r="G7511" i="5"/>
  <c r="G7532" i="5"/>
  <c r="G7622" i="5"/>
  <c r="G7660" i="5"/>
  <c r="G7673" i="5"/>
  <c r="G7729" i="5"/>
  <c r="G7751" i="5"/>
  <c r="G7918" i="5"/>
  <c r="G7998" i="5"/>
  <c r="G8008" i="5"/>
  <c r="G8016" i="5"/>
  <c r="G8078" i="5"/>
  <c r="G8087" i="5"/>
  <c r="G8090" i="5"/>
  <c r="G8131" i="5"/>
  <c r="G8150" i="5"/>
  <c r="G8263" i="5"/>
  <c r="G8291" i="5"/>
  <c r="G8379" i="5"/>
  <c r="G8469" i="5"/>
  <c r="G8498" i="5"/>
  <c r="G8572" i="5"/>
  <c r="G8580" i="5"/>
  <c r="G8700" i="5"/>
  <c r="G8758" i="5"/>
  <c r="G8776" i="5"/>
  <c r="G8802" i="5"/>
  <c r="G8896" i="5"/>
  <c r="G8927" i="5"/>
  <c r="G9097" i="5"/>
  <c r="H9162" i="5"/>
  <c r="E3967" i="8" s="1"/>
  <c r="G9261" i="5"/>
  <c r="H9330" i="5"/>
  <c r="E4044" i="8" s="1"/>
  <c r="G9412" i="5"/>
  <c r="G9752" i="5"/>
  <c r="G6384" i="5"/>
  <c r="G6396" i="5"/>
  <c r="G6415" i="5"/>
  <c r="G6451" i="5"/>
  <c r="G6492" i="5"/>
  <c r="G6529" i="5"/>
  <c r="G6541" i="5"/>
  <c r="G6564" i="5"/>
  <c r="G6566" i="5"/>
  <c r="G6586" i="5"/>
  <c r="G6588" i="5"/>
  <c r="G6603" i="5"/>
  <c r="G6617" i="5"/>
  <c r="G6638" i="5"/>
  <c r="G6668" i="5"/>
  <c r="G6679" i="5"/>
  <c r="G6681" i="5"/>
  <c r="G6700" i="5"/>
  <c r="G6711" i="5"/>
  <c r="G6713" i="5"/>
  <c r="G6732" i="5"/>
  <c r="G6743" i="5"/>
  <c r="G6745" i="5"/>
  <c r="G6764" i="5"/>
  <c r="G6775" i="5"/>
  <c r="G6777" i="5"/>
  <c r="G6796" i="5"/>
  <c r="G6807" i="5"/>
  <c r="G6809" i="5"/>
  <c r="G6828" i="5"/>
  <c r="G6839" i="5"/>
  <c r="G6841" i="5"/>
  <c r="G6860" i="5"/>
  <c r="G6871" i="5"/>
  <c r="G6873" i="5"/>
  <c r="G6892" i="5"/>
  <c r="G6903" i="5"/>
  <c r="G6905" i="5"/>
  <c r="G6924" i="5"/>
  <c r="G6935" i="5"/>
  <c r="G6937" i="5"/>
  <c r="G6956" i="5"/>
  <c r="G6972" i="5"/>
  <c r="G6983" i="5"/>
  <c r="G6985" i="5"/>
  <c r="G7004" i="5"/>
  <c r="G7015" i="5"/>
  <c r="G7017" i="5"/>
  <c r="G7036" i="5"/>
  <c r="G7047" i="5"/>
  <c r="G7049" i="5"/>
  <c r="G7068" i="5"/>
  <c r="G7079" i="5"/>
  <c r="G7081" i="5"/>
  <c r="G7100" i="5"/>
  <c r="G7111" i="5"/>
  <c r="G7113" i="5"/>
  <c r="G7124" i="5"/>
  <c r="G7135" i="5"/>
  <c r="G7137" i="5"/>
  <c r="G7156" i="5"/>
  <c r="G7167" i="5"/>
  <c r="G7169" i="5"/>
  <c r="G7188" i="5"/>
  <c r="G7205" i="5"/>
  <c r="G7223" i="5"/>
  <c r="G7227" i="5"/>
  <c r="G7232" i="5"/>
  <c r="G7236" i="5"/>
  <c r="G7239" i="5"/>
  <c r="G7248" i="5"/>
  <c r="G7269" i="5"/>
  <c r="G7287" i="5"/>
  <c r="G7293" i="5"/>
  <c r="G7315" i="5"/>
  <c r="G7328" i="5"/>
  <c r="G7331" i="5"/>
  <c r="G7344" i="5"/>
  <c r="G7347" i="5"/>
  <c r="G7363" i="5"/>
  <c r="G7392" i="5"/>
  <c r="G7408" i="5"/>
  <c r="G7411" i="5"/>
  <c r="G7417" i="5"/>
  <c r="G7425" i="5"/>
  <c r="G7431" i="5"/>
  <c r="G7436" i="5"/>
  <c r="G7457" i="5"/>
  <c r="G7470" i="5"/>
  <c r="G7471" i="5"/>
  <c r="G7476" i="5"/>
  <c r="G7516" i="5"/>
  <c r="G7593" i="5"/>
  <c r="G7654" i="5"/>
  <c r="G7707" i="5"/>
  <c r="G7722" i="5"/>
  <c r="G7726" i="5"/>
  <c r="G7746" i="5"/>
  <c r="G7747" i="5"/>
  <c r="G7777" i="5"/>
  <c r="G7907" i="5"/>
  <c r="G7910" i="5"/>
  <c r="H7925" i="5"/>
  <c r="E3324" i="8" s="1"/>
  <c r="G7936" i="5"/>
  <c r="G7940" i="5"/>
  <c r="G7954" i="5"/>
  <c r="G7982" i="5"/>
  <c r="G8001" i="5"/>
  <c r="G8011" i="5"/>
  <c r="G8034" i="5"/>
  <c r="G8091" i="5"/>
  <c r="G8147" i="5"/>
  <c r="G8184" i="5"/>
  <c r="G8243" i="5"/>
  <c r="G8316" i="5"/>
  <c r="G8340" i="5"/>
  <c r="G8355" i="5"/>
  <c r="G8371" i="5"/>
  <c r="G8430" i="5"/>
  <c r="G8435" i="5"/>
  <c r="G8460" i="5"/>
  <c r="G8506" i="5"/>
  <c r="G8554" i="5"/>
  <c r="G8582" i="5"/>
  <c r="G8591" i="5"/>
  <c r="G8592" i="5"/>
  <c r="G8817" i="5"/>
  <c r="G8850" i="5"/>
  <c r="G9029" i="5"/>
  <c r="G9093" i="5"/>
  <c r="H9106" i="5"/>
  <c r="E3952" i="8" s="1"/>
  <c r="G9204" i="5"/>
  <c r="G9301" i="5"/>
  <c r="G7522" i="5"/>
  <c r="G7608" i="5"/>
  <c r="G7612" i="5"/>
  <c r="G7658" i="5"/>
  <c r="G7674" i="5"/>
  <c r="G7689" i="5"/>
  <c r="G7728" i="5"/>
  <c r="G7778" i="5"/>
  <c r="G7796" i="5"/>
  <c r="G7914" i="5"/>
  <c r="G7920" i="5"/>
  <c r="G7963" i="5"/>
  <c r="G7979" i="5"/>
  <c r="G7991" i="5"/>
  <c r="G8027" i="5"/>
  <c r="G8058" i="5"/>
  <c r="G8075" i="5"/>
  <c r="G8135" i="5"/>
  <c r="G8152" i="5"/>
  <c r="G8156" i="5"/>
  <c r="G8166" i="5"/>
  <c r="G8215" i="5"/>
  <c r="G8226" i="5"/>
  <c r="G8231" i="5"/>
  <c r="G8248" i="5"/>
  <c r="G8256" i="5"/>
  <c r="G8307" i="5"/>
  <c r="G8415" i="5"/>
  <c r="G8479" i="5"/>
  <c r="G8516" i="5"/>
  <c r="G8581" i="5"/>
  <c r="G8586" i="5"/>
  <c r="G8614" i="5"/>
  <c r="G8623" i="5"/>
  <c r="G8638" i="5"/>
  <c r="G8647" i="5"/>
  <c r="G8780" i="5"/>
  <c r="G8794" i="5"/>
  <c r="G8826" i="5"/>
  <c r="G9076" i="5"/>
  <c r="G9326" i="5"/>
  <c r="G9487" i="5"/>
  <c r="G7462" i="5"/>
  <c r="G7478" i="5"/>
  <c r="G7482" i="5"/>
  <c r="G7495" i="5"/>
  <c r="G7533" i="5"/>
  <c r="G7606" i="5"/>
  <c r="G7607" i="5"/>
  <c r="G7635" i="5"/>
  <c r="G7668" i="5"/>
  <c r="G7710" i="5"/>
  <c r="G7745" i="5"/>
  <c r="G7767" i="5"/>
  <c r="G7789" i="5"/>
  <c r="G7793" i="5"/>
  <c r="G7803" i="5"/>
  <c r="G7819" i="5"/>
  <c r="G7835" i="5"/>
  <c r="G7851" i="5"/>
  <c r="G7867" i="5"/>
  <c r="G7883" i="5"/>
  <c r="G7915" i="5"/>
  <c r="G7924" i="5"/>
  <c r="G7931" i="5"/>
  <c r="G7947" i="5"/>
  <c r="G7968" i="5"/>
  <c r="G7978" i="5"/>
  <c r="G8010" i="5"/>
  <c r="G8023" i="5"/>
  <c r="G8063" i="5"/>
  <c r="G8088" i="5"/>
  <c r="G8103" i="5"/>
  <c r="G8130" i="5"/>
  <c r="G8132" i="5"/>
  <c r="G8148" i="5"/>
  <c r="G8176" i="5"/>
  <c r="G8186" i="5"/>
  <c r="G8202" i="5"/>
  <c r="G8228" i="5"/>
  <c r="G8235" i="5"/>
  <c r="G8264" i="5"/>
  <c r="G8279" i="5"/>
  <c r="G8299" i="5"/>
  <c r="G8318" i="5"/>
  <c r="G8324" i="5"/>
  <c r="G8339" i="5"/>
  <c r="G8390" i="5"/>
  <c r="G8431" i="5"/>
  <c r="G8436" i="5"/>
  <c r="G8615" i="5"/>
  <c r="G8657" i="5"/>
  <c r="G8819" i="5"/>
  <c r="G8946" i="5"/>
  <c r="G9297" i="5"/>
  <c r="G9519" i="5"/>
  <c r="G9567" i="5"/>
  <c r="G7568" i="5"/>
  <c r="G7578" i="5"/>
  <c r="G7584" i="5"/>
  <c r="G7653" i="5"/>
  <c r="G7696" i="5"/>
  <c r="G7721" i="5"/>
  <c r="G7740" i="5"/>
  <c r="G7899" i="5"/>
  <c r="G7902" i="5"/>
  <c r="G7935" i="5"/>
  <c r="G7964" i="5"/>
  <c r="G7971" i="5"/>
  <c r="G7984" i="5"/>
  <c r="G8000" i="5"/>
  <c r="G8014" i="5"/>
  <c r="G8028" i="5"/>
  <c r="G8067" i="5"/>
  <c r="G8096" i="5"/>
  <c r="G8126" i="5"/>
  <c r="G8136" i="5"/>
  <c r="G8159" i="5"/>
  <c r="G8168" i="5"/>
  <c r="G8260" i="5"/>
  <c r="G8266" i="5"/>
  <c r="G8290" i="5"/>
  <c r="G8310" i="5"/>
  <c r="G8319" i="5"/>
  <c r="G8343" i="5"/>
  <c r="G8363" i="5"/>
  <c r="G8383" i="5"/>
  <c r="G8459" i="5"/>
  <c r="G8510" i="5"/>
  <c r="G8555" i="5"/>
  <c r="G8601" i="5"/>
  <c r="G8603" i="5"/>
  <c r="G8605" i="5"/>
  <c r="G8612" i="5"/>
  <c r="G8726" i="5"/>
  <c r="G8839" i="5"/>
  <c r="G8869" i="5"/>
  <c r="G9157" i="5"/>
  <c r="G9173" i="5"/>
  <c r="G9186" i="5"/>
  <c r="G9361" i="5"/>
  <c r="G9603" i="5"/>
  <c r="G9652" i="5"/>
  <c r="G7682" i="5"/>
  <c r="G7735" i="5"/>
  <c r="G7790" i="5"/>
  <c r="G7794" i="5"/>
  <c r="G7898" i="5"/>
  <c r="G7948" i="5"/>
  <c r="G7950" i="5"/>
  <c r="G7970" i="5"/>
  <c r="G8017" i="5"/>
  <c r="G8030" i="5"/>
  <c r="G8092" i="5"/>
  <c r="G8098" i="5"/>
  <c r="G8106" i="5"/>
  <c r="G8174" i="5"/>
  <c r="G8195" i="5"/>
  <c r="G8207" i="5"/>
  <c r="G8212" i="5"/>
  <c r="G8216" i="5"/>
  <c r="G8262" i="5"/>
  <c r="G8306" i="5"/>
  <c r="G8320" i="5"/>
  <c r="G8335" i="5"/>
  <c r="G8354" i="5"/>
  <c r="G8384" i="5"/>
  <c r="G8388" i="5"/>
  <c r="G8392" i="5"/>
  <c r="G8396" i="5"/>
  <c r="G8398" i="5"/>
  <c r="G8416" i="5"/>
  <c r="G8426" i="5"/>
  <c r="G8432" i="5"/>
  <c r="G8577" i="5"/>
  <c r="G8587" i="5"/>
  <c r="G8597" i="5"/>
  <c r="G8725" i="5"/>
  <c r="G8990" i="5"/>
  <c r="G9001" i="5"/>
  <c r="G9125" i="5"/>
  <c r="G9142" i="5"/>
  <c r="G9241" i="5"/>
  <c r="G7577" i="5"/>
  <c r="G7727" i="5"/>
  <c r="G7756" i="5"/>
  <c r="G7761" i="5"/>
  <c r="G7791" i="5"/>
  <c r="G7804" i="5"/>
  <c r="G7806" i="5"/>
  <c r="G7820" i="5"/>
  <c r="G7822" i="5"/>
  <c r="G7836" i="5"/>
  <c r="G7838" i="5"/>
  <c r="G7852" i="5"/>
  <c r="G7854" i="5"/>
  <c r="G7868" i="5"/>
  <c r="G7870" i="5"/>
  <c r="G7884" i="5"/>
  <c r="G7886" i="5"/>
  <c r="G7895" i="5"/>
  <c r="G7969" i="5"/>
  <c r="G8036" i="5"/>
  <c r="G8046" i="5"/>
  <c r="G8110" i="5"/>
  <c r="G8111" i="5"/>
  <c r="G8115" i="5"/>
  <c r="G8173" i="5"/>
  <c r="G8214" i="5"/>
  <c r="G8254" i="5"/>
  <c r="G8330" i="5"/>
  <c r="H8449" i="5"/>
  <c r="E3471" i="8" s="1"/>
  <c r="G8480" i="5"/>
  <c r="G8515" i="5"/>
  <c r="G8518" i="5"/>
  <c r="G8535" i="5"/>
  <c r="G8540" i="5"/>
  <c r="G8556" i="5"/>
  <c r="G8668" i="5"/>
  <c r="G8767" i="5"/>
  <c r="G8783" i="5"/>
  <c r="G8796" i="5"/>
  <c r="G9020" i="5"/>
  <c r="G9134" i="5"/>
  <c r="G9214" i="5"/>
  <c r="G9352" i="5"/>
  <c r="G9381" i="5"/>
  <c r="G9618" i="5"/>
  <c r="G7501" i="5"/>
  <c r="G7519" i="5"/>
  <c r="G7520" i="5"/>
  <c r="G7576" i="5"/>
  <c r="G7587" i="5"/>
  <c r="G7702" i="5"/>
  <c r="G7712" i="5"/>
  <c r="G7760" i="5"/>
  <c r="G7780" i="5"/>
  <c r="G7783" i="5"/>
  <c r="G7808" i="5"/>
  <c r="G7824" i="5"/>
  <c r="G7840" i="5"/>
  <c r="G7856" i="5"/>
  <c r="G7872" i="5"/>
  <c r="G7888" i="5"/>
  <c r="G7927" i="5"/>
  <c r="G7951" i="5"/>
  <c r="G7992" i="5"/>
  <c r="G7996" i="5"/>
  <c r="G8031" i="5"/>
  <c r="G8043" i="5"/>
  <c r="G8059" i="5"/>
  <c r="G8086" i="5"/>
  <c r="G8218" i="5"/>
  <c r="G8227" i="5"/>
  <c r="G8252" i="5"/>
  <c r="G8255" i="5"/>
  <c r="G8258" i="5"/>
  <c r="G8282" i="5"/>
  <c r="G8376" i="5"/>
  <c r="G8391" i="5"/>
  <c r="G8414" i="5"/>
  <c r="G8470" i="5"/>
  <c r="G8551" i="5"/>
  <c r="G8559" i="5"/>
  <c r="H8595" i="5"/>
  <c r="E3508" i="8" s="1"/>
  <c r="G8617" i="5"/>
  <c r="G8649" i="5"/>
  <c r="G8784" i="5"/>
  <c r="G8793" i="5"/>
  <c r="G8807" i="5"/>
  <c r="G8811" i="5"/>
  <c r="G8951" i="5"/>
  <c r="G9006" i="5"/>
  <c r="H9026" i="5"/>
  <c r="E3930" i="8" s="1"/>
  <c r="G9332" i="5"/>
  <c r="G9443" i="5"/>
  <c r="G8655" i="5"/>
  <c r="G8674" i="5"/>
  <c r="G8743" i="5"/>
  <c r="G8788" i="5"/>
  <c r="G8844" i="5"/>
  <c r="G8892" i="5"/>
  <c r="G8911" i="5"/>
  <c r="G8974" i="5"/>
  <c r="G9036" i="5"/>
  <c r="G9040" i="5"/>
  <c r="G9068" i="5"/>
  <c r="G9109" i="5"/>
  <c r="G9148" i="5"/>
  <c r="G9198" i="5"/>
  <c r="G9328" i="5"/>
  <c r="G9416" i="5"/>
  <c r="G9462" i="5"/>
  <c r="G9544" i="5"/>
  <c r="G9614" i="5"/>
  <c r="G9631" i="5"/>
  <c r="G9651" i="5"/>
  <c r="G9864" i="5"/>
  <c r="H9938" i="5"/>
  <c r="E4303" i="8" s="1"/>
  <c r="G9952" i="5"/>
  <c r="G10030" i="5"/>
  <c r="G10037" i="5"/>
  <c r="G10088" i="5"/>
  <c r="G10096" i="5"/>
  <c r="G10131" i="5"/>
  <c r="G10158" i="5"/>
  <c r="G8541" i="5"/>
  <c r="G8673" i="5"/>
  <c r="G8680" i="5"/>
  <c r="G8692" i="5"/>
  <c r="G8693" i="5"/>
  <c r="G8699" i="5"/>
  <c r="G8701" i="5"/>
  <c r="G8718" i="5"/>
  <c r="G8741" i="5"/>
  <c r="G8781" i="5"/>
  <c r="G8785" i="5"/>
  <c r="G8805" i="5"/>
  <c r="G8827" i="5"/>
  <c r="G8832" i="5"/>
  <c r="G8848" i="5"/>
  <c r="G8919" i="5"/>
  <c r="G8971" i="5"/>
  <c r="H8999" i="5"/>
  <c r="E3870" i="8" s="1"/>
  <c r="G9002" i="5"/>
  <c r="H9003" i="5"/>
  <c r="E3871" i="8" s="1"/>
  <c r="G9012" i="5"/>
  <c r="G9024" i="5"/>
  <c r="H9030" i="5"/>
  <c r="E3931" i="8" s="1"/>
  <c r="G9041" i="5"/>
  <c r="G9088" i="5"/>
  <c r="H9102" i="5"/>
  <c r="E3951" i="8" s="1"/>
  <c r="G9133" i="5"/>
  <c r="G9137" i="5"/>
  <c r="G9196" i="5"/>
  <c r="G9201" i="5"/>
  <c r="G9252" i="5"/>
  <c r="G9264" i="5"/>
  <c r="G9269" i="5"/>
  <c r="G9421" i="5"/>
  <c r="G9465" i="5"/>
  <c r="G9529" i="5"/>
  <c r="G9636" i="5"/>
  <c r="G9681" i="5"/>
  <c r="G9715" i="5"/>
  <c r="G9748" i="5"/>
  <c r="G9878" i="5"/>
  <c r="G9993" i="5"/>
  <c r="G10035" i="5"/>
  <c r="G10082" i="5"/>
  <c r="G10145" i="5"/>
  <c r="G7952" i="5"/>
  <c r="G7966" i="5"/>
  <c r="G8032" i="5"/>
  <c r="G8079" i="5"/>
  <c r="G8182" i="5"/>
  <c r="G8247" i="5"/>
  <c r="G8311" i="5"/>
  <c r="G8511" i="5"/>
  <c r="G8536" i="5"/>
  <c r="G8594" i="5"/>
  <c r="G8633" i="5"/>
  <c r="G8644" i="5"/>
  <c r="G8795" i="5"/>
  <c r="G8842" i="5"/>
  <c r="G8860" i="5"/>
  <c r="G8870" i="5"/>
  <c r="G8881" i="5"/>
  <c r="G8954" i="5"/>
  <c r="G8959" i="5"/>
  <c r="G8986" i="5"/>
  <c r="G9061" i="5"/>
  <c r="G9100" i="5"/>
  <c r="G9124" i="5"/>
  <c r="G9202" i="5"/>
  <c r="G9213" i="5"/>
  <c r="G9237" i="5"/>
  <c r="G9245" i="5"/>
  <c r="G9300" i="5"/>
  <c r="G9345" i="5"/>
  <c r="G9373" i="5"/>
  <c r="G9422" i="5"/>
  <c r="G9516" i="5"/>
  <c r="G9517" i="5"/>
  <c r="G9592" i="5"/>
  <c r="G9630" i="5"/>
  <c r="G9709" i="5"/>
  <c r="G9762" i="5"/>
  <c r="G9832" i="5"/>
  <c r="G9868" i="5"/>
  <c r="G9977" i="5"/>
  <c r="G10073" i="5"/>
  <c r="G10154" i="5"/>
  <c r="G7815" i="5"/>
  <c r="G7831" i="5"/>
  <c r="G7847" i="5"/>
  <c r="G7863" i="5"/>
  <c r="G7879" i="5"/>
  <c r="G7912" i="5"/>
  <c r="G7942" i="5"/>
  <c r="G7983" i="5"/>
  <c r="G7995" i="5"/>
  <c r="G8038" i="5"/>
  <c r="G8055" i="5"/>
  <c r="G8062" i="5"/>
  <c r="G8064" i="5"/>
  <c r="G8071" i="5"/>
  <c r="G8076" i="5"/>
  <c r="G8082" i="5"/>
  <c r="G8108" i="5"/>
  <c r="G8120" i="5"/>
  <c r="G8179" i="5"/>
  <c r="G8210" i="5"/>
  <c r="G8230" i="5"/>
  <c r="G8232" i="5"/>
  <c r="G8239" i="5"/>
  <c r="G8244" i="5"/>
  <c r="G8250" i="5"/>
  <c r="G8274" i="5"/>
  <c r="G8294" i="5"/>
  <c r="G8296" i="5"/>
  <c r="G8303" i="5"/>
  <c r="G8308" i="5"/>
  <c r="G8314" i="5"/>
  <c r="G8338" i="5"/>
  <c r="G8358" i="5"/>
  <c r="G8360" i="5"/>
  <c r="G8367" i="5"/>
  <c r="G8374" i="5"/>
  <c r="G8420" i="5"/>
  <c r="H8445" i="5"/>
  <c r="E3470" i="8" s="1"/>
  <c r="G8451" i="5"/>
  <c r="G8500" i="5"/>
  <c r="G8507" i="5"/>
  <c r="G8524" i="5"/>
  <c r="G8539" i="5"/>
  <c r="G8616" i="5"/>
  <c r="G8671" i="5"/>
  <c r="G8691" i="5"/>
  <c r="G8704" i="5"/>
  <c r="G8754" i="5"/>
  <c r="G8878" i="5"/>
  <c r="G8884" i="5"/>
  <c r="G8917" i="5"/>
  <c r="G9016" i="5"/>
  <c r="G9057" i="5"/>
  <c r="G9153" i="5"/>
  <c r="G9184" i="5"/>
  <c r="G9188" i="5"/>
  <c r="G9197" i="5"/>
  <c r="G9220" i="5"/>
  <c r="G9249" i="5"/>
  <c r="G9273" i="5"/>
  <c r="G9293" i="5"/>
  <c r="G9312" i="5"/>
  <c r="G9325" i="5"/>
  <c r="G9342" i="5"/>
  <c r="G9398" i="5"/>
  <c r="G9435" i="5"/>
  <c r="G9523" i="5"/>
  <c r="G9555" i="5"/>
  <c r="G9562" i="5"/>
  <c r="G9584" i="5"/>
  <c r="G9606" i="5"/>
  <c r="G9647" i="5"/>
  <c r="G9650" i="5"/>
  <c r="G9705" i="5"/>
  <c r="G9719" i="5"/>
  <c r="G9857" i="5"/>
  <c r="G9911" i="5"/>
  <c r="H9962" i="5"/>
  <c r="E4309" i="8" s="1"/>
  <c r="G8295" i="5"/>
  <c r="G8359" i="5"/>
  <c r="G8596" i="5"/>
  <c r="G8626" i="5"/>
  <c r="G8627" i="5"/>
  <c r="G8714" i="5"/>
  <c r="G8770" i="5"/>
  <c r="G8800" i="5"/>
  <c r="G8836" i="5"/>
  <c r="G8859" i="5"/>
  <c r="G8863" i="5"/>
  <c r="G8880" i="5"/>
  <c r="G8979" i="5"/>
  <c r="G9011" i="5"/>
  <c r="G9053" i="5"/>
  <c r="G9084" i="5"/>
  <c r="G9092" i="5"/>
  <c r="G9169" i="5"/>
  <c r="G9176" i="5"/>
  <c r="G9189" i="5"/>
  <c r="G9221" i="5"/>
  <c r="G9233" i="5"/>
  <c r="H9250" i="5"/>
  <c r="E3991" i="8" s="1"/>
  <c r="G9313" i="5"/>
  <c r="G9316" i="5"/>
  <c r="G9349" i="5"/>
  <c r="G9365" i="5"/>
  <c r="G9433" i="5"/>
  <c r="G9504" i="5"/>
  <c r="G9540" i="5"/>
  <c r="G9627" i="5"/>
  <c r="G9640" i="5"/>
  <c r="H9834" i="5"/>
  <c r="E4275" i="8" s="1"/>
  <c r="G9835" i="5"/>
  <c r="G9856" i="5"/>
  <c r="G9889" i="5"/>
  <c r="G8278" i="5"/>
  <c r="G8280" i="5"/>
  <c r="G8292" i="5"/>
  <c r="G8322" i="5"/>
  <c r="G8342" i="5"/>
  <c r="G8344" i="5"/>
  <c r="G8356" i="5"/>
  <c r="G8447" i="5"/>
  <c r="G8456" i="5"/>
  <c r="G8461" i="5"/>
  <c r="G8481" i="5"/>
  <c r="G8499" i="5"/>
  <c r="G8531" i="5"/>
  <c r="G8640" i="5"/>
  <c r="G8707" i="5"/>
  <c r="G8724" i="5"/>
  <c r="G8774" i="5"/>
  <c r="G8845" i="5"/>
  <c r="G8856" i="5"/>
  <c r="G8874" i="5"/>
  <c r="G8922" i="5"/>
  <c r="G8970" i="5"/>
  <c r="G9008" i="5"/>
  <c r="G9073" i="5"/>
  <c r="G9128" i="5"/>
  <c r="G9140" i="5"/>
  <c r="G9164" i="5"/>
  <c r="G9165" i="5"/>
  <c r="G9185" i="5"/>
  <c r="G9225" i="5"/>
  <c r="H9278" i="5"/>
  <c r="E3998" i="8" s="1"/>
  <c r="G9284" i="5"/>
  <c r="G9348" i="5"/>
  <c r="G9360" i="5"/>
  <c r="G9392" i="5"/>
  <c r="G9441" i="5"/>
  <c r="G9442" i="5"/>
  <c r="G9538" i="5"/>
  <c r="G9571" i="5"/>
  <c r="G9578" i="5"/>
  <c r="G9727" i="5"/>
  <c r="G9896" i="5"/>
  <c r="G9941" i="5"/>
  <c r="G9622" i="5"/>
  <c r="G9635" i="5"/>
  <c r="G9687" i="5"/>
  <c r="G9773" i="5"/>
  <c r="G9919" i="5"/>
  <c r="G10013" i="5"/>
  <c r="G10043" i="5"/>
  <c r="G8687" i="5"/>
  <c r="G8705" i="5"/>
  <c r="G8719" i="5"/>
  <c r="G8752" i="5"/>
  <c r="G8790" i="5"/>
  <c r="G8824" i="5"/>
  <c r="G8868" i="5"/>
  <c r="G9025" i="5"/>
  <c r="G9158" i="5"/>
  <c r="G9253" i="5"/>
  <c r="G9257" i="5"/>
  <c r="G9288" i="5"/>
  <c r="G9329" i="5"/>
  <c r="G9390" i="5"/>
  <c r="G9414" i="5"/>
  <c r="G9583" i="5"/>
  <c r="G9598" i="5"/>
  <c r="G9844" i="5"/>
  <c r="G9888" i="5"/>
  <c r="G9918" i="5"/>
  <c r="G10014" i="5"/>
  <c r="G10294" i="5"/>
  <c r="G10320" i="5"/>
  <c r="G10459" i="5"/>
  <c r="G9931" i="5"/>
  <c r="G9974" i="5"/>
  <c r="G9976" i="5"/>
  <c r="G9981" i="5"/>
  <c r="G10089" i="5"/>
  <c r="G10090" i="5"/>
  <c r="H10094" i="5"/>
  <c r="E4342" i="8" s="1"/>
  <c r="G10171" i="5"/>
  <c r="H10397" i="5"/>
  <c r="E4458" i="8" s="1"/>
  <c r="G9121" i="5"/>
  <c r="G9377" i="5"/>
  <c r="G9430" i="5"/>
  <c r="G9432" i="5"/>
  <c r="G9480" i="5"/>
  <c r="G9531" i="5"/>
  <c r="G9600" i="5"/>
  <c r="G9722" i="5"/>
  <c r="G9744" i="5"/>
  <c r="G9767" i="5"/>
  <c r="G9772" i="5"/>
  <c r="G9800" i="5"/>
  <c r="G9812" i="5"/>
  <c r="G9814" i="5"/>
  <c r="G9852" i="5"/>
  <c r="G9879" i="5"/>
  <c r="G9898" i="5"/>
  <c r="G9916" i="5"/>
  <c r="G9945" i="5"/>
  <c r="G9965" i="5"/>
  <c r="H9978" i="5"/>
  <c r="E4313" i="8" s="1"/>
  <c r="G10119" i="5"/>
  <c r="G10293" i="5"/>
  <c r="G10471" i="5"/>
  <c r="G9634" i="5"/>
  <c r="G9717" i="5"/>
  <c r="G9753" i="5"/>
  <c r="G9785" i="5"/>
  <c r="G9831" i="5"/>
  <c r="G9869" i="5"/>
  <c r="G9874" i="5"/>
  <c r="G9892" i="5"/>
  <c r="G9958" i="5"/>
  <c r="G10047" i="5"/>
  <c r="G10132" i="5"/>
  <c r="G10557" i="5"/>
  <c r="G10616" i="5"/>
  <c r="G9112" i="5"/>
  <c r="G9357" i="5"/>
  <c r="G9364" i="5"/>
  <c r="G9533" i="5"/>
  <c r="G9577" i="5"/>
  <c r="G9619" i="5"/>
  <c r="G9783" i="5"/>
  <c r="G9833" i="5"/>
  <c r="G9867" i="5"/>
  <c r="G9927" i="5"/>
  <c r="G9953" i="5"/>
  <c r="G9957" i="5"/>
  <c r="G9982" i="5"/>
  <c r="G9986" i="5"/>
  <c r="G9987" i="5"/>
  <c r="G9989" i="5"/>
  <c r="G10001" i="5"/>
  <c r="G10034" i="5"/>
  <c r="G10061" i="5"/>
  <c r="G10149" i="5"/>
  <c r="G10347" i="5"/>
  <c r="G10372" i="5"/>
  <c r="G8666" i="5"/>
  <c r="G9060" i="5"/>
  <c r="G9085" i="5"/>
  <c r="G9229" i="5"/>
  <c r="G9236" i="5"/>
  <c r="H9262" i="5"/>
  <c r="E3994" i="8" s="1"/>
  <c r="G9296" i="5"/>
  <c r="G9353" i="5"/>
  <c r="G9466" i="5"/>
  <c r="G9536" i="5"/>
  <c r="G9569" i="5"/>
  <c r="G9586" i="5"/>
  <c r="G9595" i="5"/>
  <c r="G9644" i="5"/>
  <c r="G9845" i="5"/>
  <c r="G9871" i="5"/>
  <c r="G9909" i="5"/>
  <c r="G9928" i="5"/>
  <c r="G9980" i="5"/>
  <c r="G10039" i="5"/>
  <c r="G10102" i="5"/>
  <c r="H10114" i="5"/>
  <c r="E4347" i="8" s="1"/>
  <c r="G10129" i="5"/>
  <c r="H10301" i="5"/>
  <c r="E4399" i="8" s="1"/>
  <c r="G10429" i="5"/>
  <c r="G10462" i="5"/>
  <c r="G9380" i="5"/>
  <c r="G9389" i="5"/>
  <c r="G9502" i="5"/>
  <c r="G9605" i="5"/>
  <c r="G9641" i="5"/>
  <c r="G9811" i="5"/>
  <c r="G9826" i="5"/>
  <c r="G9853" i="5"/>
  <c r="G9870" i="5"/>
  <c r="G9964" i="5"/>
  <c r="G9999" i="5"/>
  <c r="G10072" i="5"/>
  <c r="G10074" i="5"/>
  <c r="G10117" i="5"/>
  <c r="G10202" i="5"/>
  <c r="G10425" i="5"/>
  <c r="G10512" i="5"/>
  <c r="G10274" i="5"/>
  <c r="H10369" i="5"/>
  <c r="E4427" i="8" s="1"/>
  <c r="H10632" i="5"/>
  <c r="E4542" i="8" s="1"/>
  <c r="G10652" i="5"/>
  <c r="G10669" i="5"/>
  <c r="G10685" i="5"/>
  <c r="G9731" i="5"/>
  <c r="G9790" i="5"/>
  <c r="G9813" i="5"/>
  <c r="G9847" i="5"/>
  <c r="G9998" i="5"/>
  <c r="G10017" i="5"/>
  <c r="G10036" i="5"/>
  <c r="G10060" i="5"/>
  <c r="G10143" i="5"/>
  <c r="G10161" i="5"/>
  <c r="G10162" i="5"/>
  <c r="G10183" i="5"/>
  <c r="G10259" i="5"/>
  <c r="G10271" i="5"/>
  <c r="G10282" i="5"/>
  <c r="G10296" i="5"/>
  <c r="G10351" i="5"/>
  <c r="G10393" i="5"/>
  <c r="G10404" i="5"/>
  <c r="G10417" i="5"/>
  <c r="G10467" i="5"/>
  <c r="G10480" i="5"/>
  <c r="G10481" i="5"/>
  <c r="G10539" i="5"/>
  <c r="G9489" i="5"/>
  <c r="G9490" i="5"/>
  <c r="G9510" i="5"/>
  <c r="G9545" i="5"/>
  <c r="G9554" i="5"/>
  <c r="G9581" i="5"/>
  <c r="G9665" i="5"/>
  <c r="G9726" i="5"/>
  <c r="G9797" i="5"/>
  <c r="G9842" i="5"/>
  <c r="G9906" i="5"/>
  <c r="G9907" i="5"/>
  <c r="G9913" i="5"/>
  <c r="G9917" i="5"/>
  <c r="G9948" i="5"/>
  <c r="G9960" i="5"/>
  <c r="H10022" i="5"/>
  <c r="E4324" i="8" s="1"/>
  <c r="G10029" i="5"/>
  <c r="G10041" i="5"/>
  <c r="G10070" i="5"/>
  <c r="H10078" i="5"/>
  <c r="E4338" i="8" s="1"/>
  <c r="G10085" i="5"/>
  <c r="G10104" i="5"/>
  <c r="G10127" i="5"/>
  <c r="G10148" i="5"/>
  <c r="G10153" i="5"/>
  <c r="G10239" i="5"/>
  <c r="G10330" i="5"/>
  <c r="G10391" i="5"/>
  <c r="G10394" i="5"/>
  <c r="G10400" i="5"/>
  <c r="G10534" i="5"/>
  <c r="G10622" i="5"/>
  <c r="G10637" i="5"/>
  <c r="G10815" i="5"/>
  <c r="G9711" i="5"/>
  <c r="G9742" i="5"/>
  <c r="G9798" i="5"/>
  <c r="G9822" i="5"/>
  <c r="G9837" i="5"/>
  <c r="G9901" i="5"/>
  <c r="G9920" i="5"/>
  <c r="G9935" i="5"/>
  <c r="G9959" i="5"/>
  <c r="G9983" i="5"/>
  <c r="G9984" i="5"/>
  <c r="G9985" i="5"/>
  <c r="G10000" i="5"/>
  <c r="G10152" i="5"/>
  <c r="G10157" i="5"/>
  <c r="G10168" i="5"/>
  <c r="G10181" i="5"/>
  <c r="G10188" i="5"/>
  <c r="G10190" i="5"/>
  <c r="G10204" i="5"/>
  <c r="G10211" i="5"/>
  <c r="G10223" i="5"/>
  <c r="G10273" i="5"/>
  <c r="G10370" i="5"/>
  <c r="G10388" i="5"/>
  <c r="G10398" i="5"/>
  <c r="G10414" i="5"/>
  <c r="G10458" i="5"/>
  <c r="G10520" i="5"/>
  <c r="G10618" i="5"/>
  <c r="G10689" i="5"/>
  <c r="G10707" i="5"/>
  <c r="G10748" i="5"/>
  <c r="G10859" i="5"/>
  <c r="G9815" i="5"/>
  <c r="G9823" i="5"/>
  <c r="H9830" i="5"/>
  <c r="E4273" i="8" s="1"/>
  <c r="G9855" i="5"/>
  <c r="G9872" i="5"/>
  <c r="G9897" i="5"/>
  <c r="G9908" i="5"/>
  <c r="G9956" i="5"/>
  <c r="G9967" i="5"/>
  <c r="G10007" i="5"/>
  <c r="G10031" i="5"/>
  <c r="G10045" i="5"/>
  <c r="G10048" i="5"/>
  <c r="G10095" i="5"/>
  <c r="G10108" i="5"/>
  <c r="G10109" i="5"/>
  <c r="G10123" i="5"/>
  <c r="G10137" i="5"/>
  <c r="G10224" i="5"/>
  <c r="G10300" i="5"/>
  <c r="G10332" i="5"/>
  <c r="G10368" i="5"/>
  <c r="G10430" i="5"/>
  <c r="G10486" i="5"/>
  <c r="G10500" i="5"/>
  <c r="G10502" i="5"/>
  <c r="G10615" i="5"/>
  <c r="G9265" i="5"/>
  <c r="G9393" i="5"/>
  <c r="G9518" i="5"/>
  <c r="G9720" i="5"/>
  <c r="G9929" i="5"/>
  <c r="G9933" i="5"/>
  <c r="G9943" i="5"/>
  <c r="G10015" i="5"/>
  <c r="H10018" i="5"/>
  <c r="E4323" i="8" s="1"/>
  <c r="G10071" i="5"/>
  <c r="G10116" i="5"/>
  <c r="G10177" i="5"/>
  <c r="G10283" i="5"/>
  <c r="G10291" i="5"/>
  <c r="G10311" i="5"/>
  <c r="G10339" i="5"/>
  <c r="G10346" i="5"/>
  <c r="G10362" i="5"/>
  <c r="G10381" i="5"/>
  <c r="G10401" i="5"/>
  <c r="H10668" i="5"/>
  <c r="E4554" i="8" s="1"/>
  <c r="G10671" i="5"/>
  <c r="G10244" i="5"/>
  <c r="G10258" i="5"/>
  <c r="G10262" i="5"/>
  <c r="G10276" i="5"/>
  <c r="G10318" i="5"/>
  <c r="G10379" i="5"/>
  <c r="H10385" i="5"/>
  <c r="E4437" i="8" s="1"/>
  <c r="G10466" i="5"/>
  <c r="G10538" i="5"/>
  <c r="G10620" i="5"/>
  <c r="G9827" i="5"/>
  <c r="G9895" i="5"/>
  <c r="G9899" i="5"/>
  <c r="G10027" i="5"/>
  <c r="G10038" i="5"/>
  <c r="H10054" i="5"/>
  <c r="E4332" i="8" s="1"/>
  <c r="G10064" i="5"/>
  <c r="G10075" i="5"/>
  <c r="G10086" i="5"/>
  <c r="G10120" i="5"/>
  <c r="G10125" i="5"/>
  <c r="G10160" i="5"/>
  <c r="G10201" i="5"/>
  <c r="G10206" i="5"/>
  <c r="H10210" i="5"/>
  <c r="E4374" i="8" s="1"/>
  <c r="G10217" i="5"/>
  <c r="G10227" i="5"/>
  <c r="G10237" i="5"/>
  <c r="H10246" i="5"/>
  <c r="E4383" i="8" s="1"/>
  <c r="G10254" i="5"/>
  <c r="G10261" i="5"/>
  <c r="G10278" i="5"/>
  <c r="G10304" i="5"/>
  <c r="G10352" i="5"/>
  <c r="G10359" i="5"/>
  <c r="G10374" i="5"/>
  <c r="G10464" i="5"/>
  <c r="G10542" i="5"/>
  <c r="H10552" i="5"/>
  <c r="E4517" i="8" s="1"/>
  <c r="G10560" i="5"/>
  <c r="G10681" i="5"/>
  <c r="G10763" i="5"/>
  <c r="G10782" i="5"/>
  <c r="G10033" i="5"/>
  <c r="G10083" i="5"/>
  <c r="G10155" i="5"/>
  <c r="G10169" i="5"/>
  <c r="G10221" i="5"/>
  <c r="G10225" i="5"/>
  <c r="G10266" i="5"/>
  <c r="G10284" i="5"/>
  <c r="G10366" i="5"/>
  <c r="G10427" i="5"/>
  <c r="G10428" i="5"/>
  <c r="G10440" i="5"/>
  <c r="G10475" i="5"/>
  <c r="G10544" i="5"/>
  <c r="G10545" i="5"/>
  <c r="G10573" i="5"/>
  <c r="G10587" i="5"/>
  <c r="G10595" i="5"/>
  <c r="G10597" i="5"/>
  <c r="G10606" i="5"/>
  <c r="G10621" i="5"/>
  <c r="G10649" i="5"/>
  <c r="G10673" i="5"/>
  <c r="G10714" i="5"/>
  <c r="G10746" i="5"/>
  <c r="G10752" i="5"/>
  <c r="G10778" i="5"/>
  <c r="G10790" i="5"/>
  <c r="G10794" i="5"/>
  <c r="G10833" i="5"/>
  <c r="G10844" i="5"/>
  <c r="G10943" i="5"/>
  <c r="G10950" i="5"/>
  <c r="G11084" i="5"/>
  <c r="G11206" i="5"/>
  <c r="G11240" i="5"/>
  <c r="G11246" i="5"/>
  <c r="G9963" i="5"/>
  <c r="G10092" i="5"/>
  <c r="H10098" i="5"/>
  <c r="E4343" i="8" s="1"/>
  <c r="G10133" i="5"/>
  <c r="G10140" i="5"/>
  <c r="G10164" i="5"/>
  <c r="G10193" i="5"/>
  <c r="G10205" i="5"/>
  <c r="G10235" i="5"/>
  <c r="G10249" i="5"/>
  <c r="G10299" i="5"/>
  <c r="G10326" i="5"/>
  <c r="G10338" i="5"/>
  <c r="G10355" i="5"/>
  <c r="G10367" i="5"/>
  <c r="G10383" i="5"/>
  <c r="G10386" i="5"/>
  <c r="G10389" i="5"/>
  <c r="G10413" i="5"/>
  <c r="G10423" i="5"/>
  <c r="G10432" i="5"/>
  <c r="G10435" i="5"/>
  <c r="G10436" i="5"/>
  <c r="G10457" i="5"/>
  <c r="G10523" i="5"/>
  <c r="G10525" i="5"/>
  <c r="G10532" i="5"/>
  <c r="G10536" i="5"/>
  <c r="G10572" i="5"/>
  <c r="G10607" i="5"/>
  <c r="G10619" i="5"/>
  <c r="G10686" i="5"/>
  <c r="G10712" i="5"/>
  <c r="G10716" i="5"/>
  <c r="G10786" i="5"/>
  <c r="G10919" i="5"/>
  <c r="G11035" i="5"/>
  <c r="G11043" i="5"/>
  <c r="G11048" i="5"/>
  <c r="G11062" i="5"/>
  <c r="G11082" i="5"/>
  <c r="G11192" i="5"/>
  <c r="G11438" i="5"/>
  <c r="G10875" i="5"/>
  <c r="G10901" i="5"/>
  <c r="G10911" i="5"/>
  <c r="G10986" i="5"/>
  <c r="G11052" i="5"/>
  <c r="G11173" i="5"/>
  <c r="G11254" i="5"/>
  <c r="G11261" i="5"/>
  <c r="G11357" i="5"/>
  <c r="G10335" i="5"/>
  <c r="G10408" i="5"/>
  <c r="G10485" i="5"/>
  <c r="G10516" i="5"/>
  <c r="G10524" i="5"/>
  <c r="H10548" i="5"/>
  <c r="E4507" i="8" s="1"/>
  <c r="G10567" i="5"/>
  <c r="G10601" i="5"/>
  <c r="G10773" i="5"/>
  <c r="G10783" i="5"/>
  <c r="G10796" i="5"/>
  <c r="G10933" i="5"/>
  <c r="G10951" i="5"/>
  <c r="G11208" i="5"/>
  <c r="G10192" i="5"/>
  <c r="G10208" i="5"/>
  <c r="G10307" i="5"/>
  <c r="G10328" i="5"/>
  <c r="G10399" i="5"/>
  <c r="G10415" i="5"/>
  <c r="G10419" i="5"/>
  <c r="G10434" i="5"/>
  <c r="G10439" i="5"/>
  <c r="G10474" i="5"/>
  <c r="G10501" i="5"/>
  <c r="G10507" i="5"/>
  <c r="G10508" i="5"/>
  <c r="G10514" i="5"/>
  <c r="G10519" i="5"/>
  <c r="G10543" i="5"/>
  <c r="G10550" i="5"/>
  <c r="G10583" i="5"/>
  <c r="G10588" i="5"/>
  <c r="G10639" i="5"/>
  <c r="G10642" i="5"/>
  <c r="H10644" i="5"/>
  <c r="E4545" i="8" s="1"/>
  <c r="G10661" i="5"/>
  <c r="G10703" i="5"/>
  <c r="G10749" i="5"/>
  <c r="G10753" i="5"/>
  <c r="G10769" i="5"/>
  <c r="G10771" i="5"/>
  <c r="G10849" i="5"/>
  <c r="G10855" i="5"/>
  <c r="G10915" i="5"/>
  <c r="G10938" i="5"/>
  <c r="G10945" i="5"/>
  <c r="G10956" i="5"/>
  <c r="G10971" i="5"/>
  <c r="G10987" i="5"/>
  <c r="G11037" i="5"/>
  <c r="G11150" i="5"/>
  <c r="G11172" i="5"/>
  <c r="G11277" i="5"/>
  <c r="G10489" i="5"/>
  <c r="G10541" i="5"/>
  <c r="G10559" i="5"/>
  <c r="G10564" i="5"/>
  <c r="G10571" i="5"/>
  <c r="G10603" i="5"/>
  <c r="G10610" i="5"/>
  <c r="G10612" i="5"/>
  <c r="G10628" i="5"/>
  <c r="G10666" i="5"/>
  <c r="G10701" i="5"/>
  <c r="G10733" i="5"/>
  <c r="G10795" i="5"/>
  <c r="G10889" i="5"/>
  <c r="G10909" i="5"/>
  <c r="G11014" i="5"/>
  <c r="G11450" i="5"/>
  <c r="G11473" i="5"/>
  <c r="G10179" i="5"/>
  <c r="G10348" i="5"/>
  <c r="G10402" i="5"/>
  <c r="G10403" i="5"/>
  <c r="G10422" i="5"/>
  <c r="G10470" i="5"/>
  <c r="G10498" i="5"/>
  <c r="G10499" i="5"/>
  <c r="H10504" i="5"/>
  <c r="E4493" i="8" s="1"/>
  <c r="G10640" i="5"/>
  <c r="G10648" i="5"/>
  <c r="G10654" i="5"/>
  <c r="H10660" i="5"/>
  <c r="E4551" i="8" s="1"/>
  <c r="G10677" i="5"/>
  <c r="G10764" i="5"/>
  <c r="G10791" i="5"/>
  <c r="G10874" i="5"/>
  <c r="G10904" i="5"/>
  <c r="G10908" i="5"/>
  <c r="G10929" i="5"/>
  <c r="G10942" i="5"/>
  <c r="G10947" i="5"/>
  <c r="G10957" i="5"/>
  <c r="G10978" i="5"/>
  <c r="G10997" i="5"/>
  <c r="G11223" i="5"/>
  <c r="G11455" i="5"/>
  <c r="G10049" i="5"/>
  <c r="G10050" i="5"/>
  <c r="G10066" i="5"/>
  <c r="G10138" i="5"/>
  <c r="G10141" i="5"/>
  <c r="G10264" i="5"/>
  <c r="G10312" i="5"/>
  <c r="G10358" i="5"/>
  <c r="G10453" i="5"/>
  <c r="G10562" i="5"/>
  <c r="G10627" i="5"/>
  <c r="G10643" i="5"/>
  <c r="G10658" i="5"/>
  <c r="G10676" i="5"/>
  <c r="G10754" i="5"/>
  <c r="G10832" i="5"/>
  <c r="G10856" i="5"/>
  <c r="G10862" i="5"/>
  <c r="G10869" i="5"/>
  <c r="G10879" i="5"/>
  <c r="G10898" i="5"/>
  <c r="G10926" i="5"/>
  <c r="G10927" i="5"/>
  <c r="G10965" i="5"/>
  <c r="G10970" i="5"/>
  <c r="G11036" i="5"/>
  <c r="G11123" i="5"/>
  <c r="G11293" i="5"/>
  <c r="G11436" i="5"/>
  <c r="G10605" i="5"/>
  <c r="G10737" i="5"/>
  <c r="G10743" i="5"/>
  <c r="G10770" i="5"/>
  <c r="G11034" i="5"/>
  <c r="G11068" i="5"/>
  <c r="G11085" i="5"/>
  <c r="G11142" i="5"/>
  <c r="G11170" i="5"/>
  <c r="G11216" i="5"/>
  <c r="G11264" i="5"/>
  <c r="G11325" i="5"/>
  <c r="G11354" i="5"/>
  <c r="G11488" i="5"/>
  <c r="G11499" i="5"/>
  <c r="G11510" i="5"/>
  <c r="G11511" i="5"/>
  <c r="G11515" i="5"/>
  <c r="G11270" i="5"/>
  <c r="G11290" i="5"/>
  <c r="G11307" i="5"/>
  <c r="G11341" i="5"/>
  <c r="G11356" i="5"/>
  <c r="G11375" i="5"/>
  <c r="G11416" i="5"/>
  <c r="G11430" i="5"/>
  <c r="G11434" i="5"/>
  <c r="G11437" i="5"/>
  <c r="G11447" i="5"/>
  <c r="G11453" i="5"/>
  <c r="G11558" i="5"/>
  <c r="G11680" i="5"/>
  <c r="G11739" i="5"/>
  <c r="G11484" i="5"/>
  <c r="G11513" i="5"/>
  <c r="G11528" i="5"/>
  <c r="G11534" i="5"/>
  <c r="H11587" i="5"/>
  <c r="E4777" i="8" s="1"/>
  <c r="G11618" i="5"/>
  <c r="G11631" i="5"/>
  <c r="G11644" i="5"/>
  <c r="G10725" i="5"/>
  <c r="G10834" i="5"/>
  <c r="G10850" i="5"/>
  <c r="G10913" i="5"/>
  <c r="G10961" i="5"/>
  <c r="G10977" i="5"/>
  <c r="G10992" i="5"/>
  <c r="G11013" i="5"/>
  <c r="G11099" i="5"/>
  <c r="G11106" i="5"/>
  <c r="G11121" i="5"/>
  <c r="G11149" i="5"/>
  <c r="G11196" i="5"/>
  <c r="G11198" i="5"/>
  <c r="G11252" i="5"/>
  <c r="G11296" i="5"/>
  <c r="G11321" i="5"/>
  <c r="G11360" i="5"/>
  <c r="G11409" i="5"/>
  <c r="G11432" i="5"/>
  <c r="G11468" i="5"/>
  <c r="G11470" i="5"/>
  <c r="G11504" i="5"/>
  <c r="G11508" i="5"/>
  <c r="G11633" i="5"/>
  <c r="G11816" i="5"/>
  <c r="G11039" i="5"/>
  <c r="G11053" i="5"/>
  <c r="G11061" i="5"/>
  <c r="G11100" i="5"/>
  <c r="G11129" i="5"/>
  <c r="G11158" i="5"/>
  <c r="G11202" i="5"/>
  <c r="G11304" i="5"/>
  <c r="G11346" i="5"/>
  <c r="G11364" i="5"/>
  <c r="G11381" i="5"/>
  <c r="G11392" i="5"/>
  <c r="G11428" i="5"/>
  <c r="G11509" i="5"/>
  <c r="G11516" i="5"/>
  <c r="G11536" i="5"/>
  <c r="G11545" i="5"/>
  <c r="G11582" i="5"/>
  <c r="G11592" i="5"/>
  <c r="G11710" i="5"/>
  <c r="H10680" i="5"/>
  <c r="E4560" i="8" s="1"/>
  <c r="G10696" i="5"/>
  <c r="G10922" i="5"/>
  <c r="G10985" i="5"/>
  <c r="G11005" i="5"/>
  <c r="G11022" i="5"/>
  <c r="G11029" i="5"/>
  <c r="G11072" i="5"/>
  <c r="G11076" i="5"/>
  <c r="G11091" i="5"/>
  <c r="G11120" i="5"/>
  <c r="G11157" i="5"/>
  <c r="G11179" i="5"/>
  <c r="G11201" i="5"/>
  <c r="G11211" i="5"/>
  <c r="G11249" i="5"/>
  <c r="G11269" i="5"/>
  <c r="G11334" i="5"/>
  <c r="G11425" i="5"/>
  <c r="G11448" i="5"/>
  <c r="G11501" i="5"/>
  <c r="G11533" i="5"/>
  <c r="G11557" i="5"/>
  <c r="G11622" i="5"/>
  <c r="G10591" i="5"/>
  <c r="G10702" i="5"/>
  <c r="G10732" i="5"/>
  <c r="G10736" i="5"/>
  <c r="G10747" i="5"/>
  <c r="G10802" i="5"/>
  <c r="G10803" i="5"/>
  <c r="G10804" i="5"/>
  <c r="G10854" i="5"/>
  <c r="G10866" i="5"/>
  <c r="G10925" i="5"/>
  <c r="G10934" i="5"/>
  <c r="G10999" i="5"/>
  <c r="G11000" i="5"/>
  <c r="G11004" i="5"/>
  <c r="G11020" i="5"/>
  <c r="G11064" i="5"/>
  <c r="G11078" i="5"/>
  <c r="G11083" i="5"/>
  <c r="G11105" i="5"/>
  <c r="G11174" i="5"/>
  <c r="G11212" i="5"/>
  <c r="G11279" i="5"/>
  <c r="G11284" i="5"/>
  <c r="G11306" i="5"/>
  <c r="G11308" i="5"/>
  <c r="G11393" i="5"/>
  <c r="G11479" i="5"/>
  <c r="G11483" i="5"/>
  <c r="G11507" i="5"/>
  <c r="G11569" i="5"/>
  <c r="G11579" i="5"/>
  <c r="G11635" i="5"/>
  <c r="G11679" i="5"/>
  <c r="G11089" i="5"/>
  <c r="G11101" i="5"/>
  <c r="G11113" i="5"/>
  <c r="G11119" i="5"/>
  <c r="G11181" i="5"/>
  <c r="G11243" i="5"/>
  <c r="G11287" i="5"/>
  <c r="G11318" i="5"/>
  <c r="G11458" i="5"/>
  <c r="G11467" i="5"/>
  <c r="G11471" i="5"/>
  <c r="G11524" i="5"/>
  <c r="G11529" i="5"/>
  <c r="G11542" i="5"/>
  <c r="G11546" i="5"/>
  <c r="G11606" i="5"/>
  <c r="G11324" i="5"/>
  <c r="G11371" i="5"/>
  <c r="G11449" i="5"/>
  <c r="G11535" i="5"/>
  <c r="G11652" i="5"/>
  <c r="G11700" i="5"/>
  <c r="G11784" i="5"/>
  <c r="G11792" i="5"/>
  <c r="G11824" i="5"/>
  <c r="G11833" i="5"/>
  <c r="G11875" i="5"/>
  <c r="G11887" i="5"/>
  <c r="G11060" i="5"/>
  <c r="G11128" i="5"/>
  <c r="G11136" i="5"/>
  <c r="G11164" i="5"/>
  <c r="G11299" i="5"/>
  <c r="G11312" i="5"/>
  <c r="G11329" i="5"/>
  <c r="G11344" i="5"/>
  <c r="G11384" i="5"/>
  <c r="G11419" i="5"/>
  <c r="G11429" i="5"/>
  <c r="G11451" i="5"/>
  <c r="G11478" i="5"/>
  <c r="H11498" i="5"/>
  <c r="E4754" i="8" s="1"/>
  <c r="G11522" i="5"/>
  <c r="G11584" i="5"/>
  <c r="G11591" i="5"/>
  <c r="G11687" i="5"/>
  <c r="G11730" i="5"/>
  <c r="G11732" i="5"/>
  <c r="G11741" i="5"/>
  <c r="G11744" i="5"/>
  <c r="G11886" i="5"/>
  <c r="G11926" i="5"/>
  <c r="G11655" i="5"/>
  <c r="G11688" i="5"/>
  <c r="G11731" i="5"/>
  <c r="G11768" i="5"/>
  <c r="G11912" i="5"/>
  <c r="G11026" i="5"/>
  <c r="G11586" i="5"/>
  <c r="G11662" i="5"/>
  <c r="G11819" i="5"/>
  <c r="G11848" i="5"/>
  <c r="G10798" i="5"/>
  <c r="G10878" i="5"/>
  <c r="G11259" i="5"/>
  <c r="G11292" i="5"/>
  <c r="G11380" i="5"/>
  <c r="G11403" i="5"/>
  <c r="G11423" i="5"/>
  <c r="G11613" i="5"/>
  <c r="G11649" i="5"/>
  <c r="G11665" i="5"/>
  <c r="G11682" i="5"/>
  <c r="G11733" i="5"/>
  <c r="G11736" i="5"/>
  <c r="G11737" i="5"/>
  <c r="G11813" i="5"/>
  <c r="G11818" i="5"/>
  <c r="G11845" i="5"/>
  <c r="G11869" i="5"/>
  <c r="G11891" i="5"/>
  <c r="G11752" i="5"/>
  <c r="G11758" i="5"/>
  <c r="G11761" i="5"/>
  <c r="G11791" i="5"/>
  <c r="G11794" i="5"/>
  <c r="G11803" i="5"/>
  <c r="G11808" i="5"/>
  <c r="G11320" i="5"/>
  <c r="G11339" i="5"/>
  <c r="G11351" i="5"/>
  <c r="G11369" i="5"/>
  <c r="G11520" i="5"/>
  <c r="G11575" i="5"/>
  <c r="G11580" i="5"/>
  <c r="G11593" i="5"/>
  <c r="G11619" i="5"/>
  <c r="G11697" i="5"/>
  <c r="G11706" i="5"/>
  <c r="G11756" i="5"/>
  <c r="G11770" i="5"/>
  <c r="G11849" i="5"/>
  <c r="G11583" i="5"/>
  <c r="G11711" i="5"/>
  <c r="G11805" i="5"/>
  <c r="G11826" i="5"/>
  <c r="G11830" i="5"/>
  <c r="G11842" i="5"/>
  <c r="G11851" i="5"/>
  <c r="G11853" i="5"/>
  <c r="G11856" i="5"/>
  <c r="G11880" i="5"/>
  <c r="G11885" i="5"/>
  <c r="G11898" i="5"/>
  <c r="G11899" i="5"/>
  <c r="G11917" i="5"/>
  <c r="G11949" i="5"/>
  <c r="G11971" i="5"/>
  <c r="G11985" i="5"/>
  <c r="F53" i="6"/>
  <c r="F82" i="6"/>
  <c r="F224" i="6"/>
  <c r="F227" i="6"/>
  <c r="F228" i="6"/>
  <c r="F238" i="6"/>
  <c r="F299" i="6"/>
  <c r="F389" i="6"/>
  <c r="F478" i="6"/>
  <c r="G11868" i="5"/>
  <c r="G11873" i="5"/>
  <c r="G11878" i="5"/>
  <c r="G11915" i="5"/>
  <c r="G11930" i="5"/>
  <c r="G11946" i="5"/>
  <c r="G11950" i="5"/>
  <c r="F19" i="6"/>
  <c r="F32" i="6"/>
  <c r="F55" i="6"/>
  <c r="F63" i="6"/>
  <c r="F84" i="6"/>
  <c r="F215" i="6"/>
  <c r="F383" i="6"/>
  <c r="F384" i="6"/>
  <c r="F460" i="6"/>
  <c r="F596" i="6"/>
  <c r="F712" i="6"/>
  <c r="G11986" i="5"/>
  <c r="F36" i="6"/>
  <c r="F40" i="6"/>
  <c r="F45" i="6"/>
  <c r="F150" i="6"/>
  <c r="F172" i="6"/>
  <c r="F195" i="6"/>
  <c r="F213" i="6"/>
  <c r="F313" i="6"/>
  <c r="F379" i="6"/>
  <c r="F380" i="6"/>
  <c r="F535" i="6"/>
  <c r="G11909" i="5"/>
  <c r="G11927" i="5"/>
  <c r="G11969" i="5"/>
  <c r="F44" i="6"/>
  <c r="F52" i="6"/>
  <c r="F66" i="6"/>
  <c r="F72" i="6"/>
  <c r="G81" i="6"/>
  <c r="F110" i="6"/>
  <c r="F158" i="6"/>
  <c r="F241" i="6"/>
  <c r="F242" i="6"/>
  <c r="F324" i="6"/>
  <c r="F343" i="6"/>
  <c r="F364" i="6"/>
  <c r="F365" i="6"/>
  <c r="F437" i="6"/>
  <c r="F548" i="6"/>
  <c r="F581" i="6"/>
  <c r="F604" i="6"/>
  <c r="G11763" i="5"/>
  <c r="G11952" i="5"/>
  <c r="F9" i="6"/>
  <c r="G18" i="6"/>
  <c r="F89" i="6"/>
  <c r="F90" i="6"/>
  <c r="F182" i="6"/>
  <c r="F187" i="6"/>
  <c r="G187" i="6" s="1"/>
  <c r="F194" i="6"/>
  <c r="F200" i="6"/>
  <c r="G199" i="6" s="1"/>
  <c r="F225" i="6"/>
  <c r="F229" i="6"/>
  <c r="F296" i="6"/>
  <c r="F300" i="6"/>
  <c r="F470" i="6"/>
  <c r="F475" i="6"/>
  <c r="G11698" i="5"/>
  <c r="G11740" i="5"/>
  <c r="G11759" i="5"/>
  <c r="G11786" i="5"/>
  <c r="G11788" i="5"/>
  <c r="G11817" i="5"/>
  <c r="G11844" i="5"/>
  <c r="G11858" i="5"/>
  <c r="G11861" i="5"/>
  <c r="G11867" i="5"/>
  <c r="G11870" i="5"/>
  <c r="G11892" i="5"/>
  <c r="G11951" i="5"/>
  <c r="F23" i="6"/>
  <c r="F30" i="6"/>
  <c r="F31" i="6"/>
  <c r="F35" i="6"/>
  <c r="F46" i="6"/>
  <c r="F100" i="6"/>
  <c r="F170" i="6"/>
  <c r="G170" i="6" s="1"/>
  <c r="F171" i="6"/>
  <c r="F176" i="6"/>
  <c r="F271" i="6"/>
  <c r="F290" i="6"/>
  <c r="F327" i="6"/>
  <c r="F338" i="6"/>
  <c r="F567" i="6"/>
  <c r="F629" i="6"/>
  <c r="G11722" i="5"/>
  <c r="G11781" i="5"/>
  <c r="G11783" i="5"/>
  <c r="G11916" i="5"/>
  <c r="G11934" i="5"/>
  <c r="G11963" i="5"/>
  <c r="G11980" i="5"/>
  <c r="F29" i="6"/>
  <c r="F43" i="6"/>
  <c r="F88" i="6"/>
  <c r="F109" i="6"/>
  <c r="F345" i="6"/>
  <c r="F381" i="6"/>
  <c r="F403" i="6"/>
  <c r="F510" i="6"/>
  <c r="F534" i="6"/>
  <c r="F578" i="6"/>
  <c r="G11764" i="5"/>
  <c r="G11774" i="5"/>
  <c r="G11776" i="5"/>
  <c r="G11831" i="5"/>
  <c r="G11840" i="5"/>
  <c r="G11843" i="5"/>
  <c r="G11863" i="5"/>
  <c r="G11882" i="5"/>
  <c r="G11910" i="5"/>
  <c r="G11943" i="5"/>
  <c r="G11964" i="5"/>
  <c r="G11970" i="5"/>
  <c r="F50" i="6"/>
  <c r="F139" i="6"/>
  <c r="F144" i="6"/>
  <c r="F147" i="6"/>
  <c r="F211" i="6"/>
  <c r="F326" i="6"/>
  <c r="F337" i="6"/>
  <c r="F342" i="6"/>
  <c r="F456" i="6"/>
  <c r="F541" i="6"/>
  <c r="F542" i="6"/>
  <c r="F622" i="6"/>
  <c r="F626" i="6"/>
  <c r="G11897" i="5"/>
  <c r="G11900" i="5"/>
  <c r="G11911" i="5"/>
  <c r="F47" i="6"/>
  <c r="F62" i="6"/>
  <c r="F99" i="6"/>
  <c r="F138" i="6"/>
  <c r="F167" i="6"/>
  <c r="F169" i="6"/>
  <c r="F210" i="6"/>
  <c r="F214" i="6"/>
  <c r="F233" i="6"/>
  <c r="F295" i="6"/>
  <c r="F298" i="6"/>
  <c r="F332" i="6"/>
  <c r="F378" i="6"/>
  <c r="F388" i="6"/>
  <c r="F487" i="6"/>
  <c r="F514" i="6"/>
  <c r="F515" i="6"/>
  <c r="F519" i="6"/>
  <c r="F566" i="6"/>
  <c r="F579" i="6"/>
  <c r="F641" i="6"/>
  <c r="F777" i="6"/>
  <c r="F41" i="7"/>
  <c r="F64" i="7"/>
  <c r="F240" i="6"/>
  <c r="F263" i="6"/>
  <c r="F282" i="6"/>
  <c r="F390" i="6"/>
  <c r="F424" i="6"/>
  <c r="F471" i="6"/>
  <c r="F500" i="6"/>
  <c r="F598" i="6"/>
  <c r="F683" i="6"/>
  <c r="F721" i="6"/>
  <c r="F740" i="6"/>
  <c r="F755" i="6"/>
  <c r="F808" i="6"/>
  <c r="F43" i="7"/>
  <c r="F20" i="6"/>
  <c r="F64" i="6"/>
  <c r="F98" i="6"/>
  <c r="F148" i="6"/>
  <c r="F162" i="6"/>
  <c r="F173" i="6"/>
  <c r="F177" i="6"/>
  <c r="F310" i="6"/>
  <c r="F314" i="6"/>
  <c r="F435" i="6"/>
  <c r="F555" i="6"/>
  <c r="F606" i="6"/>
  <c r="F616" i="6"/>
  <c r="F660" i="6"/>
  <c r="F668" i="6"/>
  <c r="F744" i="6"/>
  <c r="F778" i="6"/>
  <c r="G11974" i="5"/>
  <c r="G11976" i="5"/>
  <c r="F34" i="6"/>
  <c r="F41" i="6"/>
  <c r="F42" i="6"/>
  <c r="F49" i="6"/>
  <c r="F67" i="6"/>
  <c r="F93" i="6"/>
  <c r="F95" i="6"/>
  <c r="F206" i="6"/>
  <c r="F212" i="6"/>
  <c r="F239" i="6"/>
  <c r="F243" i="6"/>
  <c r="F309" i="6"/>
  <c r="F312" i="6"/>
  <c r="F325" i="6"/>
  <c r="F348" i="6"/>
  <c r="F368" i="6"/>
  <c r="F413" i="6"/>
  <c r="F433" i="6"/>
  <c r="F434" i="6"/>
  <c r="F439" i="6"/>
  <c r="F489" i="6"/>
  <c r="F550" i="6"/>
  <c r="F560" i="6"/>
  <c r="F573" i="6"/>
  <c r="F674" i="6"/>
  <c r="F719" i="6"/>
  <c r="F737" i="6"/>
  <c r="F809" i="6"/>
  <c r="F27" i="7"/>
  <c r="F83" i="6"/>
  <c r="F193" i="6"/>
  <c r="F209" i="6"/>
  <c r="F254" i="6"/>
  <c r="F267" i="6"/>
  <c r="F273" i="6"/>
  <c r="F286" i="6"/>
  <c r="F333" i="6"/>
  <c r="F349" i="6"/>
  <c r="F369" i="6"/>
  <c r="F436" i="6"/>
  <c r="F468" i="6"/>
  <c r="F476" i="6"/>
  <c r="F477" i="6"/>
  <c r="F592" i="6"/>
  <c r="F601" i="6"/>
  <c r="F610" i="6"/>
  <c r="F642" i="6"/>
  <c r="F662" i="6"/>
  <c r="F718" i="6"/>
  <c r="F21" i="7"/>
  <c r="F168" i="6"/>
  <c r="F270" i="6"/>
  <c r="F289" i="6"/>
  <c r="F297" i="6"/>
  <c r="F414" i="6"/>
  <c r="F423" i="6"/>
  <c r="F499" i="6"/>
  <c r="F549" i="6"/>
  <c r="F684" i="6"/>
  <c r="G11904" i="5"/>
  <c r="G11925" i="5"/>
  <c r="G11967" i="5"/>
  <c r="F13" i="6"/>
  <c r="F15" i="6"/>
  <c r="F37" i="6"/>
  <c r="F68" i="6"/>
  <c r="F76" i="6"/>
  <c r="F78" i="6"/>
  <c r="F201" i="6"/>
  <c r="F232" i="6"/>
  <c r="F253" i="6"/>
  <c r="F272" i="6"/>
  <c r="F334" i="6"/>
  <c r="F409" i="6"/>
  <c r="F454" i="6"/>
  <c r="F469" i="6"/>
  <c r="F686" i="6"/>
  <c r="F708" i="6"/>
  <c r="F795" i="6"/>
  <c r="F812" i="6"/>
  <c r="F22" i="7"/>
  <c r="F29" i="7"/>
  <c r="F40" i="7"/>
  <c r="F24" i="6"/>
  <c r="F335" i="6"/>
  <c r="F459" i="6"/>
  <c r="F516" i="6"/>
  <c r="F562" i="6"/>
  <c r="F577" i="6"/>
  <c r="F582" i="6"/>
  <c r="F595" i="6"/>
  <c r="F615" i="6"/>
  <c r="F671" i="6"/>
  <c r="F685" i="6"/>
  <c r="F745" i="6"/>
  <c r="F754" i="6"/>
  <c r="F65" i="7"/>
  <c r="F88" i="7"/>
  <c r="F116" i="7"/>
  <c r="F131" i="7"/>
  <c r="F77" i="7"/>
  <c r="F114" i="7"/>
  <c r="F115" i="7"/>
  <c r="F144" i="7"/>
  <c r="F150" i="7"/>
  <c r="F62" i="7"/>
  <c r="F188" i="6"/>
  <c r="F197" i="6"/>
  <c r="F198" i="6"/>
  <c r="F202" i="6"/>
  <c r="F203" i="6"/>
  <c r="F207" i="6"/>
  <c r="F208" i="6"/>
  <c r="F221" i="6"/>
  <c r="F222" i="6"/>
  <c r="F235" i="6"/>
  <c r="F236" i="6"/>
  <c r="F247" i="6"/>
  <c r="F248" i="6"/>
  <c r="F249" i="6"/>
  <c r="F257" i="6"/>
  <c r="F258" i="6"/>
  <c r="F259" i="6"/>
  <c r="F268" i="6"/>
  <c r="F269" i="6"/>
  <c r="F276" i="6"/>
  <c r="F277" i="6"/>
  <c r="F278" i="6"/>
  <c r="F287" i="6"/>
  <c r="F288" i="6"/>
  <c r="F292" i="6"/>
  <c r="F304" i="6"/>
  <c r="F305" i="6"/>
  <c r="F306" i="6"/>
  <c r="F318" i="6"/>
  <c r="F319" i="6"/>
  <c r="F320" i="6"/>
  <c r="F339" i="6"/>
  <c r="F386" i="6"/>
  <c r="F387" i="6"/>
  <c r="F410" i="6"/>
  <c r="F411" i="6"/>
  <c r="F418" i="6"/>
  <c r="F419" i="6"/>
  <c r="F420" i="6"/>
  <c r="F494" i="6"/>
  <c r="F495" i="6"/>
  <c r="F496" i="6"/>
  <c r="F520" i="6"/>
  <c r="F521" i="6"/>
  <c r="F525" i="6"/>
  <c r="F111" i="7"/>
  <c r="F126" i="7"/>
  <c r="F137" i="7"/>
  <c r="F142" i="7"/>
  <c r="F143" i="7"/>
  <c r="F156" i="7"/>
  <c r="F165" i="7"/>
  <c r="F665" i="6"/>
  <c r="F669" i="6"/>
  <c r="F100" i="7"/>
  <c r="F138" i="7"/>
  <c r="F164" i="7"/>
  <c r="F169" i="7"/>
  <c r="F146" i="7"/>
  <c r="F132" i="7"/>
  <c r="F86" i="7"/>
  <c r="F112" i="7"/>
  <c r="F117" i="7"/>
  <c r="F133" i="7"/>
  <c r="F151" i="7"/>
  <c r="F168" i="7"/>
  <c r="F101" i="7"/>
  <c r="F145" i="7"/>
  <c r="F152" i="7"/>
  <c r="F159" i="7"/>
  <c r="F162" i="7"/>
  <c r="F163" i="7"/>
  <c r="G131" i="7" l="1"/>
  <c r="G615" i="6"/>
  <c r="G23" i="6"/>
  <c r="G137" i="7"/>
  <c r="F102" i="7"/>
  <c r="G7526" i="5"/>
  <c r="F157" i="7"/>
  <c r="F628" i="6"/>
  <c r="F226" i="6"/>
  <c r="F166" i="7"/>
  <c r="F780" i="6"/>
  <c r="F599" i="6"/>
  <c r="F661" i="6"/>
  <c r="F438" i="6"/>
  <c r="F351" i="6"/>
  <c r="F653" i="6"/>
  <c r="F574" i="6"/>
  <c r="F427" i="6"/>
  <c r="F591" i="6"/>
  <c r="G591" i="6" s="1"/>
  <c r="F781" i="6"/>
  <c r="F709" i="6"/>
  <c r="F656" i="6"/>
  <c r="F663" i="6"/>
  <c r="F352" i="6"/>
  <c r="G108" i="6"/>
  <c r="G11918" i="5"/>
  <c r="G11937" i="5"/>
  <c r="G11961" i="5"/>
  <c r="H11583" i="5"/>
  <c r="E4776" i="8" s="1"/>
  <c r="G11413" i="5"/>
  <c r="H11575" i="5"/>
  <c r="E4774" i="8" s="1"/>
  <c r="G11837" i="5"/>
  <c r="G11797" i="5"/>
  <c r="G11754" i="5"/>
  <c r="H11451" i="5"/>
  <c r="E4737" i="8" s="1"/>
  <c r="G11461" i="5"/>
  <c r="H10138" i="5"/>
  <c r="E4353" i="8" s="1"/>
  <c r="G11152" i="5"/>
  <c r="G10584" i="5"/>
  <c r="G10170" i="5"/>
  <c r="H10500" i="5"/>
  <c r="E4492" i="8" s="1"/>
  <c r="G10361" i="5"/>
  <c r="H10273" i="5"/>
  <c r="E4392" i="8" s="1"/>
  <c r="G9882" i="5"/>
  <c r="G10126" i="5"/>
  <c r="H9906" i="5"/>
  <c r="E4295" i="8" s="1"/>
  <c r="H10393" i="5"/>
  <c r="E4439" i="8" s="1"/>
  <c r="G9787" i="5"/>
  <c r="G10198" i="5"/>
  <c r="H10102" i="5"/>
  <c r="E4344" i="8" s="1"/>
  <c r="G9210" i="5"/>
  <c r="H9874" i="5"/>
  <c r="E4287" i="8" s="1"/>
  <c r="G9910" i="5"/>
  <c r="G8437" i="5"/>
  <c r="G8369" i="5"/>
  <c r="G8085" i="5"/>
  <c r="G10421" i="5"/>
  <c r="G10118" i="5"/>
  <c r="G9940" i="5"/>
  <c r="H9414" i="5"/>
  <c r="E4080" i="8" s="1"/>
  <c r="G8562" i="5"/>
  <c r="G9746" i="5"/>
  <c r="H9398" i="5"/>
  <c r="E4071" i="8" s="1"/>
  <c r="G9258" i="5"/>
  <c r="G8885" i="5"/>
  <c r="H10154" i="5"/>
  <c r="E4357" i="8" s="1"/>
  <c r="G9662" i="5"/>
  <c r="G9469" i="5"/>
  <c r="G9677" i="5"/>
  <c r="H10158" i="5"/>
  <c r="E4358" i="8" s="1"/>
  <c r="H10030" i="5"/>
  <c r="E4326" i="8" s="1"/>
  <c r="G8907" i="5"/>
  <c r="H9134" i="5"/>
  <c r="E3960" i="8" s="1"/>
  <c r="G8033" i="5"/>
  <c r="G7919" i="5"/>
  <c r="H9142" i="5"/>
  <c r="E3962" i="8" s="1"/>
  <c r="G9402" i="5"/>
  <c r="G7530" i="5"/>
  <c r="G8872" i="5"/>
  <c r="G8037" i="5"/>
  <c r="G7611" i="5"/>
  <c r="G9260" i="5"/>
  <c r="G7446" i="5"/>
  <c r="G7600" i="5"/>
  <c r="G7698" i="5"/>
  <c r="G7405" i="5"/>
  <c r="G6478" i="5"/>
  <c r="H6082" i="5"/>
  <c r="E1889" i="8" s="1"/>
  <c r="G6070" i="5"/>
  <c r="H6158" i="5"/>
  <c r="E1920" i="8" s="1"/>
  <c r="G6254" i="5"/>
  <c r="G5856" i="5"/>
  <c r="G7691" i="5"/>
  <c r="G5912" i="5"/>
  <c r="G5854" i="5"/>
  <c r="G7784" i="5"/>
  <c r="G6894" i="5"/>
  <c r="G6310" i="5"/>
  <c r="H5990" i="5"/>
  <c r="E1858" i="8" s="1"/>
  <c r="G6274" i="5"/>
  <c r="G6034" i="5"/>
  <c r="G5347" i="5"/>
  <c r="G5922" i="5"/>
  <c r="G3970" i="5"/>
  <c r="G4159" i="5"/>
  <c r="G3955" i="5"/>
  <c r="G5778" i="5"/>
  <c r="G5176" i="5"/>
  <c r="H5886" i="5"/>
  <c r="E1816" i="8" s="1"/>
  <c r="G4340" i="5"/>
  <c r="G4749" i="5"/>
  <c r="G4319" i="5"/>
  <c r="G4093" i="5"/>
  <c r="G3626" i="5"/>
  <c r="G2478" i="5"/>
  <c r="G5121" i="5"/>
  <c r="G4763" i="5"/>
  <c r="G4386" i="5"/>
  <c r="G4283" i="5"/>
  <c r="G3769" i="5"/>
  <c r="G3480" i="5"/>
  <c r="G4622" i="5"/>
  <c r="G4437" i="5"/>
  <c r="G4231" i="5"/>
  <c r="G4124" i="5"/>
  <c r="G5383" i="5"/>
  <c r="G3932" i="5"/>
  <c r="G4463" i="5"/>
  <c r="G4133" i="5"/>
  <c r="G4413" i="5"/>
  <c r="G4311" i="5"/>
  <c r="G5549" i="5"/>
  <c r="G4654" i="5"/>
  <c r="G4574" i="5"/>
  <c r="G3760" i="5"/>
  <c r="G3398" i="5"/>
  <c r="G2690" i="5"/>
  <c r="G2085" i="5"/>
  <c r="G2474" i="5"/>
  <c r="G1837" i="5"/>
  <c r="G2726" i="5"/>
  <c r="G2224" i="5"/>
  <c r="G2861" i="5"/>
  <c r="G2606" i="5"/>
  <c r="G2212" i="5"/>
  <c r="G3948" i="5"/>
  <c r="G2642" i="5"/>
  <c r="G3223" i="5"/>
  <c r="G2658" i="5"/>
  <c r="G1803" i="5"/>
  <c r="G725" i="5"/>
  <c r="G1620" i="5"/>
  <c r="G719" i="5"/>
  <c r="G623" i="5"/>
  <c r="G1028" i="5"/>
  <c r="G1215" i="5"/>
  <c r="G382" i="5"/>
  <c r="G1761" i="5"/>
  <c r="G795" i="5"/>
  <c r="G758" i="5"/>
  <c r="G1853" i="5"/>
  <c r="G750" i="5"/>
  <c r="G2494" i="5"/>
  <c r="G1378" i="5"/>
  <c r="G1342" i="5"/>
  <c r="G1220" i="5"/>
  <c r="G681" i="5"/>
  <c r="G312" i="5"/>
  <c r="G75" i="5"/>
  <c r="G968" i="5"/>
  <c r="G590" i="5"/>
  <c r="G514" i="5"/>
  <c r="G62" i="5"/>
  <c r="G254" i="5"/>
  <c r="G91" i="5"/>
  <c r="G549" i="5"/>
  <c r="G239" i="5"/>
  <c r="G152" i="5"/>
  <c r="G515" i="5"/>
  <c r="G333" i="5"/>
  <c r="G520" i="5"/>
  <c r="G374" i="5"/>
  <c r="G881" i="5"/>
  <c r="G625" i="5"/>
  <c r="G307" i="5"/>
  <c r="G8" i="5"/>
  <c r="F723" i="6"/>
  <c r="F597" i="6"/>
  <c r="F315" i="6"/>
  <c r="F530" i="6"/>
  <c r="F488" i="6"/>
  <c r="F699" i="6"/>
  <c r="F457" i="6"/>
  <c r="F697" i="6"/>
  <c r="G11815" i="5"/>
  <c r="G11629" i="5"/>
  <c r="G11502" i="5"/>
  <c r="G11490" i="5"/>
  <c r="G11361" i="5"/>
  <c r="G11159" i="5"/>
  <c r="G11021" i="5"/>
  <c r="H11510" i="5"/>
  <c r="E4757" i="8" s="1"/>
  <c r="G11063" i="5"/>
  <c r="H10050" i="5"/>
  <c r="E4331" i="8" s="1"/>
  <c r="G10758" i="5"/>
  <c r="G10688" i="5"/>
  <c r="H10648" i="5"/>
  <c r="E4547" i="8" s="1"/>
  <c r="G10797" i="5"/>
  <c r="H10588" i="5"/>
  <c r="E4528" i="8" s="1"/>
  <c r="G10713" i="5"/>
  <c r="H10524" i="5"/>
  <c r="E4501" i="8" s="1"/>
  <c r="H10413" i="5"/>
  <c r="E4462" i="8" s="1"/>
  <c r="H10038" i="5"/>
  <c r="E4328" i="8" s="1"/>
  <c r="G9946" i="5"/>
  <c r="G10604" i="5"/>
  <c r="G10166" i="5"/>
  <c r="G10281" i="5"/>
  <c r="H10520" i="5"/>
  <c r="E4500" i="8" s="1"/>
  <c r="G10174" i="5"/>
  <c r="G10460" i="5"/>
  <c r="H10417" i="5"/>
  <c r="E4463" i="8" s="1"/>
  <c r="H9826" i="5"/>
  <c r="E4272" i="8" s="1"/>
  <c r="G9914" i="5"/>
  <c r="H10293" i="5"/>
  <c r="E4397" i="8" s="1"/>
  <c r="H10090" i="5"/>
  <c r="E4341" i="8" s="1"/>
  <c r="G9481" i="5"/>
  <c r="G9733" i="5"/>
  <c r="G9470" i="5"/>
  <c r="G9354" i="5"/>
  <c r="H8499" i="5"/>
  <c r="E3485" i="8" s="1"/>
  <c r="G8197" i="5"/>
  <c r="G9749" i="5"/>
  <c r="G9286" i="5"/>
  <c r="G9174" i="5"/>
  <c r="G9050" i="5"/>
  <c r="G9118" i="5"/>
  <c r="G9447" i="5"/>
  <c r="G9042" i="5"/>
  <c r="G8873" i="5"/>
  <c r="H9214" i="5"/>
  <c r="E3981" i="8" s="1"/>
  <c r="G8906" i="5"/>
  <c r="H8173" i="5"/>
  <c r="E3386" i="8" s="1"/>
  <c r="G8575" i="5"/>
  <c r="G8756" i="5"/>
  <c r="G8887" i="5"/>
  <c r="G9182" i="5"/>
  <c r="G8472" i="5"/>
  <c r="G7861" i="5"/>
  <c r="G7739" i="5"/>
  <c r="G7664" i="5"/>
  <c r="G7534" i="5"/>
  <c r="G7598" i="5"/>
  <c r="H7427" i="5"/>
  <c r="E3164" i="8" s="1"/>
  <c r="G8021" i="5"/>
  <c r="G7370" i="5"/>
  <c r="H5978" i="5"/>
  <c r="E1853" i="8" s="1"/>
  <c r="H6146" i="5"/>
  <c r="E1905" i="8" s="1"/>
  <c r="G6134" i="5"/>
  <c r="G7542" i="5"/>
  <c r="G6198" i="5"/>
  <c r="G5954" i="5"/>
  <c r="G5198" i="5"/>
  <c r="G5790" i="5"/>
  <c r="G5276" i="5"/>
  <c r="G5017" i="5"/>
  <c r="G4197" i="5"/>
  <c r="G4151" i="5"/>
  <c r="G6238" i="5"/>
  <c r="G5974" i="5"/>
  <c r="G5057" i="5"/>
  <c r="G4782" i="5"/>
  <c r="G6426" i="5"/>
  <c r="H6098" i="5"/>
  <c r="E1893" i="8" s="1"/>
  <c r="G5946" i="5"/>
  <c r="G4347" i="5"/>
  <c r="G7388" i="5"/>
  <c r="G5572" i="5"/>
  <c r="G4685" i="5"/>
  <c r="G4122" i="5"/>
  <c r="G3695" i="5"/>
  <c r="G3594" i="5"/>
  <c r="G5078" i="5"/>
  <c r="G4602" i="5"/>
  <c r="G4527" i="5"/>
  <c r="G4141" i="5"/>
  <c r="G4108" i="5"/>
  <c r="G4051" i="5"/>
  <c r="G3968" i="5"/>
  <c r="G3818" i="5"/>
  <c r="G3342" i="5"/>
  <c r="G2855" i="5"/>
  <c r="G2634" i="5"/>
  <c r="G2316" i="5"/>
  <c r="G4658" i="5"/>
  <c r="G4436" i="5"/>
  <c r="G4131" i="5"/>
  <c r="H4278" i="5"/>
  <c r="E1118" i="8" s="1"/>
  <c r="G4331" i="5"/>
  <c r="G4043" i="5"/>
  <c r="G4385" i="5"/>
  <c r="G4305" i="5"/>
  <c r="G3584" i="5"/>
  <c r="G2710" i="5"/>
  <c r="G2586" i="5"/>
  <c r="G4381" i="5"/>
  <c r="G4316" i="5"/>
  <c r="G3972" i="5"/>
  <c r="G3832" i="5"/>
  <c r="G1278" i="5"/>
  <c r="G3959" i="5"/>
  <c r="G2646" i="5"/>
  <c r="G3583" i="5"/>
  <c r="G3152" i="5"/>
  <c r="G2598" i="5"/>
  <c r="G2550" i="5"/>
  <c r="G3681" i="5"/>
  <c r="G3405" i="5"/>
  <c r="G2722" i="5"/>
  <c r="G1285" i="5"/>
  <c r="G1013" i="5"/>
  <c r="G40" i="5"/>
  <c r="G1827" i="5"/>
  <c r="G865" i="5"/>
  <c r="G1065" i="5"/>
  <c r="G920" i="5"/>
  <c r="G1553" i="5"/>
  <c r="G1294" i="5"/>
  <c r="G556" i="5"/>
  <c r="G389" i="5"/>
  <c r="G384" i="5"/>
  <c r="G799" i="5"/>
  <c r="G54" i="5"/>
  <c r="G1138" i="5"/>
  <c r="G1125" i="5"/>
  <c r="G1090" i="5"/>
  <c r="G984" i="5"/>
  <c r="G853" i="5"/>
  <c r="G812" i="5"/>
  <c r="G412" i="5"/>
  <c r="G1596" i="5"/>
  <c r="G964" i="5"/>
  <c r="G887" i="5"/>
  <c r="G860" i="5"/>
  <c r="G692" i="5"/>
  <c r="G682" i="5"/>
  <c r="G1547" i="5"/>
  <c r="G1300" i="5"/>
  <c r="G992" i="5"/>
  <c r="G921" i="5"/>
  <c r="G339" i="5"/>
  <c r="G593" i="5"/>
  <c r="G574" i="5"/>
  <c r="G438" i="5"/>
  <c r="G12" i="5"/>
  <c r="G502" i="5"/>
  <c r="G392" i="5"/>
  <c r="G31" i="5"/>
  <c r="G68" i="5"/>
  <c r="G674" i="5"/>
  <c r="G213" i="5"/>
  <c r="G923" i="5"/>
  <c r="G281" i="5"/>
  <c r="G186" i="5"/>
  <c r="G11699" i="5"/>
  <c r="G11465" i="5"/>
  <c r="G10993" i="5"/>
  <c r="G11368" i="5"/>
  <c r="G11472" i="5"/>
  <c r="H10560" i="5"/>
  <c r="E4521" i="8" s="1"/>
  <c r="H10464" i="5"/>
  <c r="E4482" i="8" s="1"/>
  <c r="G10608" i="5"/>
  <c r="H10652" i="5"/>
  <c r="E4549" i="8" s="1"/>
  <c r="G8137" i="5"/>
  <c r="G9378" i="5"/>
  <c r="G9786" i="5"/>
  <c r="G9150" i="5"/>
  <c r="G7905" i="5"/>
  <c r="G7387" i="5"/>
  <c r="H5986" i="5"/>
  <c r="E1856" i="8" s="1"/>
  <c r="G7723" i="5"/>
  <c r="H6054" i="5"/>
  <c r="E1880" i="8" s="1"/>
  <c r="G7421" i="5"/>
  <c r="G7384" i="5"/>
  <c r="G5846" i="5"/>
  <c r="G7450" i="5"/>
  <c r="G7290" i="5"/>
  <c r="G5926" i="5"/>
  <c r="H8061" i="5"/>
  <c r="E3358" i="8" s="1"/>
  <c r="H5958" i="5"/>
  <c r="E1847" i="8" s="1"/>
  <c r="G7404" i="5"/>
  <c r="G5292" i="5"/>
  <c r="G4318" i="5"/>
  <c r="G3922" i="5"/>
  <c r="G3784" i="5"/>
  <c r="G7403" i="5"/>
  <c r="G6314" i="5"/>
  <c r="G6138" i="5"/>
  <c r="G6074" i="5"/>
  <c r="G5166" i="5"/>
  <c r="G4995" i="5"/>
  <c r="G6394" i="5"/>
  <c r="G5942" i="5"/>
  <c r="G5322" i="5"/>
  <c r="G5214" i="5"/>
  <c r="G5906" i="5"/>
  <c r="G5443" i="5"/>
  <c r="G4067" i="5"/>
  <c r="G6522" i="5"/>
  <c r="G5910" i="5"/>
  <c r="G6473" i="5"/>
  <c r="G6058" i="5"/>
  <c r="H5878" i="5"/>
  <c r="E1814" i="8" s="1"/>
  <c r="G5617" i="5"/>
  <c r="G3969" i="5"/>
  <c r="G4220" i="5"/>
  <c r="G4092" i="5"/>
  <c r="G2538" i="5"/>
  <c r="G2311" i="5"/>
  <c r="G5120" i="5"/>
  <c r="G4190" i="5"/>
  <c r="G3804" i="5"/>
  <c r="G3568" i="5"/>
  <c r="G5858" i="5"/>
  <c r="G4796" i="5"/>
  <c r="G4550" i="5"/>
  <c r="G4238" i="5"/>
  <c r="G3752" i="5"/>
  <c r="G3712" i="5"/>
  <c r="G3683" i="5"/>
  <c r="G5822" i="5"/>
  <c r="G5127" i="5"/>
  <c r="G4968" i="5"/>
  <c r="G4756" i="5"/>
  <c r="G4588" i="5"/>
  <c r="G3941" i="5"/>
  <c r="G4160" i="5"/>
  <c r="G2526" i="5"/>
  <c r="G5031" i="5"/>
  <c r="G3982" i="5"/>
  <c r="G3682" i="5"/>
  <c r="G5502" i="5"/>
  <c r="G4639" i="5"/>
  <c r="G4228" i="5"/>
  <c r="G4089" i="5"/>
  <c r="G2522" i="5"/>
  <c r="G3567" i="5"/>
  <c r="G2630" i="5"/>
  <c r="G2371" i="5"/>
  <c r="G3675" i="5"/>
  <c r="G3298" i="5"/>
  <c r="G2734" i="5"/>
  <c r="G2050" i="5"/>
  <c r="G1842" i="5"/>
  <c r="G2395" i="5"/>
  <c r="G1423" i="5"/>
  <c r="G1185" i="5"/>
  <c r="G1081" i="5"/>
  <c r="G550" i="5"/>
  <c r="G337" i="5"/>
  <c r="G1841" i="5"/>
  <c r="G1399" i="5"/>
  <c r="G1027" i="5"/>
  <c r="G810" i="5"/>
  <c r="G1559" i="5"/>
  <c r="G1398" i="5"/>
  <c r="G671" i="5"/>
  <c r="G1258" i="5"/>
  <c r="G1178" i="5"/>
  <c r="G915" i="5"/>
  <c r="G418" i="5"/>
  <c r="G1108" i="5"/>
  <c r="G976" i="5"/>
  <c r="G1328" i="5"/>
  <c r="G1292" i="5"/>
  <c r="G1060" i="5"/>
  <c r="G1024" i="5"/>
  <c r="G431" i="5"/>
  <c r="G1815" i="5"/>
  <c r="G950" i="5"/>
  <c r="G775" i="5"/>
  <c r="G403" i="5"/>
  <c r="G367" i="5"/>
  <c r="G246" i="5"/>
  <c r="G147" i="5"/>
  <c r="G64" i="5"/>
  <c r="G252" i="5"/>
  <c r="G261" i="5"/>
  <c r="G280" i="5"/>
  <c r="G196" i="5"/>
  <c r="G345" i="5"/>
  <c r="G114" i="5"/>
  <c r="G825" i="5"/>
  <c r="G255" i="5"/>
  <c r="G158" i="5"/>
  <c r="F336" i="6"/>
  <c r="F33" i="6"/>
  <c r="G573" i="6"/>
  <c r="G10624" i="5"/>
  <c r="G10944" i="5"/>
  <c r="G11071" i="5"/>
  <c r="G9970" i="5"/>
  <c r="G10178" i="5"/>
  <c r="G9769" i="5"/>
  <c r="G10182" i="5"/>
  <c r="H9898" i="5"/>
  <c r="E4293" i="8" s="1"/>
  <c r="G9066" i="5"/>
  <c r="G9306" i="5"/>
  <c r="G7953" i="5"/>
  <c r="G7538" i="5"/>
  <c r="G9318" i="5"/>
  <c r="G8904" i="5"/>
  <c r="G9194" i="5"/>
  <c r="G8041" i="5"/>
  <c r="G8738" i="5"/>
  <c r="G7813" i="5"/>
  <c r="H7437" i="5"/>
  <c r="E3185" i="8" s="1"/>
  <c r="F127" i="7"/>
  <c r="G126" i="7" s="1"/>
  <c r="F171" i="7"/>
  <c r="F806" i="6"/>
  <c r="F771" i="6"/>
  <c r="G770" i="6" s="1"/>
  <c r="F783" i="6"/>
  <c r="G335" i="6"/>
  <c r="F266" i="6"/>
  <c r="G262" i="6" s="1"/>
  <c r="F620" i="6"/>
  <c r="F568" i="6"/>
  <c r="F371" i="6"/>
  <c r="F747" i="6"/>
  <c r="F645" i="6"/>
  <c r="F758" i="6"/>
  <c r="F711" i="6"/>
  <c r="F690" i="6"/>
  <c r="F373" i="6"/>
  <c r="F511" i="6"/>
  <c r="F404" i="6"/>
  <c r="F746" i="6"/>
  <c r="F691" i="6"/>
  <c r="F761" i="6"/>
  <c r="F749" i="6"/>
  <c r="F710" i="6"/>
  <c r="F512" i="6"/>
  <c r="F382" i="6"/>
  <c r="F344" i="6"/>
  <c r="G342" i="6" s="1"/>
  <c r="G11814" i="5"/>
  <c r="G11779" i="5"/>
  <c r="G40" i="6"/>
  <c r="G11661" i="5"/>
  <c r="G11166" i="5"/>
  <c r="G11222" i="5"/>
  <c r="G10981" i="5"/>
  <c r="G11228" i="5"/>
  <c r="H11447" i="5"/>
  <c r="E4736" i="8" s="1"/>
  <c r="G11235" i="5"/>
  <c r="H10612" i="5"/>
  <c r="E4533" i="8" s="1"/>
  <c r="H10572" i="5"/>
  <c r="E4524" i="8" s="1"/>
  <c r="H10536" i="5"/>
  <c r="E4504" i="8" s="1"/>
  <c r="H10544" i="5"/>
  <c r="E4506" i="8" s="1"/>
  <c r="G10329" i="5"/>
  <c r="G10226" i="5"/>
  <c r="H10480" i="5"/>
  <c r="E4486" i="8" s="1"/>
  <c r="G10337" i="5"/>
  <c r="H10202" i="5"/>
  <c r="E4371" i="8" s="1"/>
  <c r="H10034" i="5"/>
  <c r="E4327" i="8" s="1"/>
  <c r="H10616" i="5"/>
  <c r="E4537" i="8" s="1"/>
  <c r="H9958" i="5"/>
  <c r="E4308" i="8" s="1"/>
  <c r="G9559" i="5"/>
  <c r="H10014" i="5"/>
  <c r="E4322" i="8" s="1"/>
  <c r="G9474" i="5"/>
  <c r="G8658" i="5"/>
  <c r="G9637" i="5"/>
  <c r="G9266" i="5"/>
  <c r="H10082" i="5"/>
  <c r="E4339" i="8" s="1"/>
  <c r="G9725" i="5"/>
  <c r="G9461" i="5"/>
  <c r="G7663" i="5"/>
  <c r="G8569" i="5"/>
  <c r="G8488" i="5"/>
  <c r="H8017" i="5"/>
  <c r="E3347" i="8" s="1"/>
  <c r="G7703" i="5"/>
  <c r="G9226" i="5"/>
  <c r="G8987" i="5"/>
  <c r="G8185" i="5"/>
  <c r="G9457" i="5"/>
  <c r="G8157" i="5"/>
  <c r="G8189" i="5"/>
  <c r="G7546" i="5"/>
  <c r="G9094" i="5"/>
  <c r="G7893" i="5"/>
  <c r="G7506" i="5"/>
  <c r="G6298" i="5"/>
  <c r="G7514" i="5"/>
  <c r="G5410" i="5"/>
  <c r="H6118" i="5"/>
  <c r="E1898" i="8" s="1"/>
  <c r="G7038" i="5"/>
  <c r="G6345" i="5"/>
  <c r="G6798" i="5"/>
  <c r="G6270" i="5"/>
  <c r="G7256" i="5"/>
  <c r="G6150" i="5"/>
  <c r="G7346" i="5"/>
  <c r="G7070" i="5"/>
  <c r="G6958" i="5"/>
  <c r="G6538" i="5"/>
  <c r="G5930" i="5"/>
  <c r="G5450" i="5"/>
  <c r="G5364" i="5"/>
  <c r="G4944" i="5"/>
  <c r="G4807" i="5"/>
  <c r="G4650" i="5"/>
  <c r="G5557" i="5"/>
  <c r="G6462" i="5"/>
  <c r="G6230" i="5"/>
  <c r="G5360" i="5"/>
  <c r="G6599" i="5"/>
  <c r="G6370" i="5"/>
  <c r="G6258" i="5"/>
  <c r="G6222" i="5"/>
  <c r="G5206" i="5"/>
  <c r="G4506" i="5"/>
  <c r="G3975" i="5"/>
  <c r="H5882" i="5"/>
  <c r="E1815" i="8" s="1"/>
  <c r="G5838" i="5"/>
  <c r="H4104" i="5"/>
  <c r="E1087" i="8" s="1"/>
  <c r="G4444" i="5"/>
  <c r="G4139" i="5"/>
  <c r="G3356" i="5"/>
  <c r="G3273" i="5"/>
  <c r="G3235" i="5"/>
  <c r="G4258" i="5"/>
  <c r="G4042" i="5"/>
  <c r="G5423" i="5"/>
  <c r="G3990" i="5"/>
  <c r="G3780" i="5"/>
  <c r="G3708" i="5"/>
  <c r="G2846" i="5"/>
  <c r="G2618" i="5"/>
  <c r="G4551" i="5"/>
  <c r="G3690" i="5"/>
  <c r="G2312" i="5"/>
  <c r="G2871" i="5"/>
  <c r="G2506" i="5"/>
  <c r="G2037" i="5"/>
  <c r="G2842" i="5"/>
  <c r="G739" i="5"/>
  <c r="G2530" i="5"/>
  <c r="G2885" i="5"/>
  <c r="G2860" i="5"/>
  <c r="G2071" i="5"/>
  <c r="G1905" i="5"/>
  <c r="H2686" i="5"/>
  <c r="E579" i="8" s="1"/>
  <c r="G2578" i="5"/>
  <c r="G2482" i="5"/>
  <c r="G1816" i="5"/>
  <c r="G1614" i="5"/>
  <c r="G1271" i="5"/>
  <c r="G854" i="5"/>
  <c r="G1643" i="5"/>
  <c r="G777" i="5"/>
  <c r="G1754" i="5"/>
  <c r="G1250" i="5"/>
  <c r="G1159" i="5"/>
  <c r="G949" i="5"/>
  <c r="G1044" i="5"/>
  <c r="G836" i="5"/>
  <c r="G780" i="5"/>
  <c r="G1588" i="5"/>
  <c r="G1340" i="5"/>
  <c r="G1246" i="5"/>
  <c r="G1089" i="5"/>
  <c r="G1006" i="5"/>
  <c r="G599" i="5"/>
  <c r="G390" i="5"/>
  <c r="G948" i="5"/>
  <c r="G1206" i="5"/>
  <c r="G793" i="5"/>
  <c r="G885" i="5"/>
  <c r="G187" i="5"/>
  <c r="G941" i="5"/>
  <c r="G602" i="5"/>
  <c r="G466" i="5"/>
  <c r="G375" i="5"/>
  <c r="G50" i="5"/>
  <c r="G323" i="5"/>
  <c r="G650" i="5"/>
  <c r="F807" i="6"/>
  <c r="F529" i="6"/>
  <c r="G11836" i="5"/>
  <c r="G10762" i="5"/>
  <c r="G10818" i="5"/>
  <c r="H10401" i="5"/>
  <c r="E4459" i="8" s="1"/>
  <c r="G10492" i="5"/>
  <c r="G8069" i="5"/>
  <c r="G9166" i="5"/>
  <c r="G9044" i="5"/>
  <c r="G9282" i="5"/>
  <c r="G9966" i="5"/>
  <c r="F158" i="7"/>
  <c r="F170" i="7"/>
  <c r="F632" i="6"/>
  <c r="F440" i="6"/>
  <c r="F205" i="6"/>
  <c r="F192" i="6"/>
  <c r="F446" i="6"/>
  <c r="F536" i="6"/>
  <c r="G534" i="6" s="1"/>
  <c r="F786" i="6"/>
  <c r="F672" i="6"/>
  <c r="F402" i="6"/>
  <c r="F785" i="6"/>
  <c r="F583" i="6"/>
  <c r="F44" i="7"/>
  <c r="F748" i="6"/>
  <c r="F630" i="6"/>
  <c r="F605" i="6"/>
  <c r="F502" i="6"/>
  <c r="F443" i="6"/>
  <c r="F140" i="6"/>
  <c r="G138" i="6" s="1"/>
  <c r="G11968" i="5"/>
  <c r="G11047" i="5"/>
  <c r="G10808" i="5"/>
  <c r="G11138" i="5"/>
  <c r="G11636" i="5"/>
  <c r="G11643" i="5"/>
  <c r="G11469" i="5"/>
  <c r="G10002" i="5"/>
  <c r="H10640" i="5"/>
  <c r="E4544" i="8" s="1"/>
  <c r="G10444" i="5"/>
  <c r="G11224" i="5"/>
  <c r="H10620" i="5"/>
  <c r="E4538" i="8" s="1"/>
  <c r="G10341" i="5"/>
  <c r="G9736" i="5"/>
  <c r="G9684" i="5"/>
  <c r="G10242" i="5"/>
  <c r="G9942" i="5"/>
  <c r="H10512" i="5"/>
  <c r="E4498" i="8" s="1"/>
  <c r="G9724" i="5"/>
  <c r="H10429" i="5"/>
  <c r="E4468" i="8" s="1"/>
  <c r="G9703" i="5"/>
  <c r="G10234" i="5"/>
  <c r="G9543" i="5"/>
  <c r="G9648" i="5"/>
  <c r="G8744" i="5"/>
  <c r="G8476" i="5"/>
  <c r="G9653" i="5"/>
  <c r="G9270" i="5"/>
  <c r="G9472" i="5"/>
  <c r="G9018" i="5"/>
  <c r="G9322" i="5"/>
  <c r="G9246" i="5"/>
  <c r="H9878" i="5"/>
  <c r="E4288" i="8" s="1"/>
  <c r="G9445" i="5"/>
  <c r="G8760" i="5"/>
  <c r="G8871" i="5"/>
  <c r="G8490" i="5"/>
  <c r="H7522" i="5"/>
  <c r="E3228" i="8" s="1"/>
  <c r="H8001" i="5"/>
  <c r="E3343" i="8" s="1"/>
  <c r="G7845" i="5"/>
  <c r="H5994" i="5"/>
  <c r="E1859" i="8" s="1"/>
  <c r="G7989" i="5"/>
  <c r="G6535" i="5"/>
  <c r="G8053" i="5"/>
  <c r="G7692" i="5"/>
  <c r="G7567" i="5"/>
  <c r="G6611" i="5"/>
  <c r="G6734" i="5"/>
  <c r="G6086" i="5"/>
  <c r="G7510" i="5"/>
  <c r="G6470" i="5"/>
  <c r="G5210" i="5"/>
  <c r="G5071" i="5"/>
  <c r="G4544" i="5"/>
  <c r="G4903" i="5"/>
  <c r="G4841" i="5"/>
  <c r="G4091" i="5"/>
  <c r="G6518" i="5"/>
  <c r="G6122" i="5"/>
  <c r="G4150" i="5"/>
  <c r="G4516" i="5"/>
  <c r="G4215" i="5"/>
  <c r="G2602" i="5"/>
  <c r="G2388" i="5"/>
  <c r="H5866" i="5"/>
  <c r="E1608" i="8" s="1"/>
  <c r="G4740" i="5"/>
  <c r="G4657" i="5"/>
  <c r="G4471" i="5"/>
  <c r="G4158" i="5"/>
  <c r="G4142" i="5"/>
  <c r="G4088" i="5"/>
  <c r="G4250" i="5"/>
  <c r="G4679" i="5"/>
  <c r="G5437" i="5"/>
  <c r="G5004" i="5"/>
  <c r="G4629" i="5"/>
  <c r="G4445" i="5"/>
  <c r="G4196" i="5"/>
  <c r="G4132" i="5"/>
  <c r="G3635" i="5"/>
  <c r="G5806" i="5"/>
  <c r="G5064" i="5"/>
  <c r="G4821" i="5"/>
  <c r="G4114" i="5"/>
  <c r="G2546" i="5"/>
  <c r="G2826" i="5"/>
  <c r="G1096" i="5"/>
  <c r="G3938" i="5"/>
  <c r="G2702" i="5"/>
  <c r="G2638" i="5"/>
  <c r="H2490" i="5"/>
  <c r="E416" i="8" s="1"/>
  <c r="G3377" i="5"/>
  <c r="G2582" i="5"/>
  <c r="G2542" i="5"/>
  <c r="G3750" i="5"/>
  <c r="G2534" i="5"/>
  <c r="G2706" i="5"/>
  <c r="G217" i="5"/>
  <c r="G1560" i="5"/>
  <c r="G1051" i="5"/>
  <c r="G702" i="5"/>
  <c r="G1538" i="5"/>
  <c r="G1026" i="5"/>
  <c r="G796" i="5"/>
  <c r="G1171" i="5"/>
  <c r="G769" i="5"/>
  <c r="G1862" i="5"/>
  <c r="G1107" i="5"/>
  <c r="G969" i="5"/>
  <c r="G871" i="5"/>
  <c r="G728" i="5"/>
  <c r="G457" i="5"/>
  <c r="G406" i="5"/>
  <c r="G330" i="5"/>
  <c r="G85" i="5"/>
  <c r="G1408" i="5"/>
  <c r="G1323" i="5"/>
  <c r="G1059" i="5"/>
  <c r="G1037" i="5"/>
  <c r="G1011" i="5"/>
  <c r="G619" i="5"/>
  <c r="G1863" i="5"/>
  <c r="G1082" i="5"/>
  <c r="G982" i="5"/>
  <c r="G760" i="5"/>
  <c r="G45" i="5"/>
  <c r="G130" i="5"/>
  <c r="G592" i="5"/>
  <c r="G356" i="5"/>
  <c r="G429" i="5"/>
  <c r="G294" i="5"/>
  <c r="G396" i="5"/>
  <c r="G563" i="5"/>
  <c r="G344" i="5"/>
  <c r="G740" i="5"/>
  <c r="G310" i="5"/>
  <c r="G134" i="5"/>
  <c r="G10257" i="5"/>
  <c r="G10760" i="5"/>
  <c r="G9894" i="5"/>
  <c r="G9471" i="5"/>
  <c r="F787" i="6"/>
  <c r="G142" i="7"/>
  <c r="F733" i="6"/>
  <c r="G731" i="6" s="1"/>
  <c r="F479" i="6"/>
  <c r="F644" i="6"/>
  <c r="F445" i="6"/>
  <c r="F19" i="7"/>
  <c r="F543" i="6"/>
  <c r="G540" i="6" s="1"/>
  <c r="F523" i="6"/>
  <c r="F425" i="6"/>
  <c r="F739" i="6"/>
  <c r="G737" i="6" s="1"/>
  <c r="F688" i="6"/>
  <c r="G682" i="6" s="1"/>
  <c r="F473" i="6"/>
  <c r="F426" i="6"/>
  <c r="G378" i="6"/>
  <c r="G176" i="6"/>
  <c r="G11806" i="5"/>
  <c r="G11627" i="5"/>
  <c r="H11591" i="5"/>
  <c r="E4778" i="8" s="1"/>
  <c r="G11755" i="5"/>
  <c r="G11093" i="5"/>
  <c r="G11143" i="5"/>
  <c r="G11233" i="5"/>
  <c r="H10676" i="5"/>
  <c r="E4559" i="8" s="1"/>
  <c r="H10066" i="5"/>
  <c r="E4335" i="8" s="1"/>
  <c r="G11007" i="5"/>
  <c r="H10516" i="5"/>
  <c r="E4499" i="8" s="1"/>
  <c r="H11357" i="5"/>
  <c r="E4705" i="8" s="1"/>
  <c r="G10843" i="5"/>
  <c r="G11130" i="5"/>
  <c r="G10964" i="5"/>
  <c r="H10261" i="5"/>
  <c r="E4388" i="8" s="1"/>
  <c r="H10206" i="5"/>
  <c r="E4373" i="8" s="1"/>
  <c r="G10576" i="5"/>
  <c r="H10190" i="5"/>
  <c r="E4368" i="8" s="1"/>
  <c r="G10488" i="5"/>
  <c r="G10277" i="5"/>
  <c r="H10070" i="5"/>
  <c r="E4336" i="8" s="1"/>
  <c r="H9842" i="5"/>
  <c r="E4279" i="8" s="1"/>
  <c r="H9986" i="5"/>
  <c r="E4315" i="8" s="1"/>
  <c r="G9755" i="5"/>
  <c r="G8269" i="5"/>
  <c r="H9918" i="5"/>
  <c r="E4298" i="8" s="1"/>
  <c r="G9446" i="5"/>
  <c r="G9406" i="5"/>
  <c r="H9158" i="5"/>
  <c r="E3966" i="8" s="1"/>
  <c r="G8568" i="5"/>
  <c r="G9676" i="5"/>
  <c r="G9038" i="5"/>
  <c r="G9346" i="5"/>
  <c r="G9268" i="5"/>
  <c r="G9460" i="5"/>
  <c r="G9394" i="5"/>
  <c r="H9342" i="5"/>
  <c r="E4047" i="8" s="1"/>
  <c r="G8465" i="5"/>
  <c r="G9668" i="5"/>
  <c r="G8734" i="5"/>
  <c r="G10110" i="5"/>
  <c r="G9424" i="5"/>
  <c r="G8101" i="5"/>
  <c r="G8606" i="5"/>
  <c r="G8567" i="5"/>
  <c r="H8556" i="5"/>
  <c r="E3497" i="8" s="1"/>
  <c r="G7945" i="5"/>
  <c r="G7557" i="5"/>
  <c r="G8708" i="5"/>
  <c r="G7714" i="5"/>
  <c r="G9110" i="5"/>
  <c r="G8914" i="5"/>
  <c r="G8399" i="5"/>
  <c r="G8583" i="5"/>
  <c r="G8463" i="5"/>
  <c r="G7937" i="5"/>
  <c r="G7706" i="5"/>
  <c r="G6670" i="5"/>
  <c r="G7731" i="5"/>
  <c r="H6242" i="5"/>
  <c r="E2217" i="8" s="1"/>
  <c r="H6026" i="5"/>
  <c r="E1869" i="8" s="1"/>
  <c r="G5794" i="5"/>
  <c r="G6477" i="5"/>
  <c r="G6519" i="5"/>
  <c r="G6102" i="5"/>
  <c r="H6022" i="5"/>
  <c r="E1868" i="8" s="1"/>
  <c r="G6537" i="5"/>
  <c r="G5810" i="5"/>
  <c r="G4936" i="5"/>
  <c r="G5262" i="5"/>
  <c r="G5786" i="5"/>
  <c r="G4140" i="5"/>
  <c r="G4115" i="5"/>
  <c r="G3670" i="5"/>
  <c r="G5392" i="5"/>
  <c r="G5221" i="5"/>
  <c r="G6445" i="5"/>
  <c r="H6194" i="5"/>
  <c r="E1949" i="8" s="1"/>
  <c r="G6472" i="5"/>
  <c r="G6050" i="5"/>
  <c r="G4859" i="5"/>
  <c r="G4678" i="5"/>
  <c r="G4528" i="5"/>
  <c r="G3370" i="5"/>
  <c r="G3349" i="5"/>
  <c r="G4369" i="5"/>
  <c r="G3327" i="5"/>
  <c r="G2510" i="5"/>
  <c r="G2341" i="5"/>
  <c r="G3991" i="5"/>
  <c r="G4806" i="5"/>
  <c r="G4291" i="5"/>
  <c r="G3663" i="5"/>
  <c r="G4765" i="5"/>
  <c r="G4586" i="5"/>
  <c r="G4068" i="5"/>
  <c r="G4026" i="5"/>
  <c r="G4839" i="5"/>
  <c r="G3949" i="5"/>
  <c r="G2650" i="5"/>
  <c r="G4090" i="5"/>
  <c r="G3592" i="5"/>
  <c r="G3138" i="5"/>
  <c r="G5363" i="5"/>
  <c r="G3438" i="5"/>
  <c r="G2514" i="5"/>
  <c r="G2863" i="5"/>
  <c r="G2614" i="5"/>
  <c r="G2232" i="5"/>
  <c r="G3559" i="5"/>
  <c r="G2870" i="5"/>
  <c r="G2822" i="5"/>
  <c r="G2610" i="5"/>
  <c r="G2216" i="5"/>
  <c r="G2381" i="5"/>
  <c r="G706" i="5"/>
  <c r="G1380" i="5"/>
  <c r="G1299" i="5"/>
  <c r="G1838" i="5"/>
  <c r="G935" i="5"/>
  <c r="G878" i="5"/>
  <c r="G778" i="5"/>
  <c r="G1192" i="5"/>
  <c r="G506" i="5"/>
  <c r="G411" i="5"/>
  <c r="G1854" i="5"/>
  <c r="G985" i="5"/>
  <c r="G690" i="5"/>
  <c r="G404" i="5"/>
  <c r="G1637" i="5"/>
  <c r="G1187" i="5"/>
  <c r="G994" i="5"/>
  <c r="G835" i="5"/>
  <c r="G688" i="5"/>
  <c r="G662" i="5"/>
  <c r="G707" i="5"/>
  <c r="G1775" i="5"/>
  <c r="G1136" i="5"/>
  <c r="G1098" i="5"/>
  <c r="G807" i="5"/>
  <c r="G235" i="5"/>
  <c r="G256" i="5"/>
  <c r="G809" i="5"/>
  <c r="G298" i="5"/>
  <c r="G153" i="5"/>
  <c r="G355" i="5"/>
  <c r="G631" i="5"/>
  <c r="G534" i="5"/>
  <c r="G194" i="5"/>
  <c r="G69" i="5"/>
  <c r="G951" i="5"/>
  <c r="F118" i="7"/>
  <c r="F291" i="6"/>
  <c r="G289" i="6" s="1"/>
  <c r="F458" i="6"/>
  <c r="F73" i="6"/>
  <c r="F54" i="6"/>
  <c r="F183" i="6"/>
  <c r="G182" i="6" s="1"/>
  <c r="F167" i="7"/>
  <c r="F103" i="7"/>
  <c r="G150" i="7"/>
  <c r="F784" i="6"/>
  <c r="F760" i="6"/>
  <c r="F782" i="6"/>
  <c r="F552" i="6"/>
  <c r="F474" i="6"/>
  <c r="F391" i="6"/>
  <c r="F517" i="6"/>
  <c r="F204" i="6"/>
  <c r="G204" i="6" s="1"/>
  <c r="F800" i="6"/>
  <c r="F664" i="6"/>
  <c r="G660" i="6" s="1"/>
  <c r="F441" i="6"/>
  <c r="F392" i="6"/>
  <c r="F670" i="6"/>
  <c r="F700" i="6"/>
  <c r="F643" i="6"/>
  <c r="G604" i="6"/>
  <c r="G11798" i="5"/>
  <c r="G11225" i="5"/>
  <c r="G11641" i="5"/>
  <c r="G11094" i="5"/>
  <c r="G10325" i="5"/>
  <c r="G9990" i="5"/>
  <c r="H11455" i="5"/>
  <c r="E4740" i="8" s="1"/>
  <c r="G10496" i="5"/>
  <c r="G10250" i="5"/>
  <c r="G11248" i="5"/>
  <c r="H10508" i="5"/>
  <c r="E4494" i="8" s="1"/>
  <c r="G10321" i="5"/>
  <c r="G11359" i="5"/>
  <c r="G11412" i="5"/>
  <c r="G10580" i="5"/>
  <c r="H10532" i="5"/>
  <c r="E4503" i="8" s="1"/>
  <c r="G10373" i="5"/>
  <c r="G9714" i="5"/>
  <c r="G10238" i="5"/>
  <c r="H10381" i="5"/>
  <c r="E4430" i="8" s="1"/>
  <c r="G9721" i="5"/>
  <c r="G10636" i="5"/>
  <c r="G10468" i="5"/>
  <c r="H10074" i="5"/>
  <c r="E4337" i="8" s="1"/>
  <c r="H9870" i="5"/>
  <c r="E4286" i="8" s="1"/>
  <c r="G9866" i="5"/>
  <c r="G9686" i="5"/>
  <c r="G8389" i="5"/>
  <c r="H9974" i="5"/>
  <c r="E4312" i="8" s="1"/>
  <c r="G9620" i="5"/>
  <c r="H9390" i="5"/>
  <c r="E4069" i="8" s="1"/>
  <c r="G9801" i="5"/>
  <c r="G9735" i="5"/>
  <c r="G9154" i="5"/>
  <c r="G9758" i="5"/>
  <c r="G9082" i="5"/>
  <c r="G9757" i="5"/>
  <c r="G9362" i="5"/>
  <c r="H7969" i="5"/>
  <c r="E3335" i="8" s="1"/>
  <c r="G9396" i="5"/>
  <c r="G9418" i="5"/>
  <c r="H9186" i="5"/>
  <c r="E3974" i="8" s="1"/>
  <c r="G8475" i="5"/>
  <c r="G8153" i="5"/>
  <c r="G9046" i="5"/>
  <c r="G7877" i="5"/>
  <c r="G7406" i="5"/>
  <c r="G7192" i="5"/>
  <c r="H6018" i="5"/>
  <c r="E1867" i="8" s="1"/>
  <c r="H6010" i="5"/>
  <c r="E1864" i="8" s="1"/>
  <c r="H5962" i="5"/>
  <c r="E1848" i="8" s="1"/>
  <c r="G6130" i="5"/>
  <c r="G7330" i="5"/>
  <c r="H7330" i="5" s="1"/>
  <c r="E3093" i="8" s="1"/>
  <c r="H6162" i="5"/>
  <c r="E1921" i="8" s="1"/>
  <c r="H5898" i="5"/>
  <c r="E1819" i="8" s="1"/>
  <c r="G4877" i="5"/>
  <c r="G5300" i="5"/>
  <c r="G4960" i="5"/>
  <c r="G4906" i="5"/>
  <c r="H6234" i="5"/>
  <c r="E2100" i="8" s="1"/>
  <c r="G4928" i="5"/>
  <c r="H4817" i="5"/>
  <c r="E1183" i="8" s="1"/>
  <c r="H6226" i="5"/>
  <c r="E2096" i="8" s="1"/>
  <c r="G6461" i="5"/>
  <c r="G6002" i="5"/>
  <c r="G5818" i="5"/>
  <c r="H4855" i="5"/>
  <c r="E1219" i="8" s="1"/>
  <c r="G4669" i="5"/>
  <c r="G4123" i="5"/>
  <c r="G3781" i="5"/>
  <c r="H6174" i="5"/>
  <c r="E1924" i="8" s="1"/>
  <c r="G4894" i="5"/>
  <c r="G5770" i="5"/>
  <c r="G5095" i="5"/>
  <c r="G4697" i="5"/>
  <c r="G4149" i="5"/>
  <c r="G5564" i="5"/>
  <c r="G4905" i="5"/>
  <c r="G4087" i="5"/>
  <c r="G3992" i="5"/>
  <c r="G2859" i="5"/>
  <c r="G2694" i="5"/>
  <c r="G5774" i="5"/>
  <c r="G4387" i="5"/>
  <c r="G3929" i="5"/>
  <c r="G4453" i="5"/>
  <c r="G4348" i="5"/>
  <c r="G4244" i="5"/>
  <c r="G4994" i="5"/>
  <c r="G4635" i="5"/>
  <c r="G4341" i="5"/>
  <c r="G4350" i="5"/>
  <c r="G5416" i="5"/>
  <c r="G5003" i="5"/>
  <c r="G4517" i="5"/>
  <c r="G4414" i="5"/>
  <c r="G4371" i="5"/>
  <c r="G4282" i="5"/>
  <c r="G3627" i="5"/>
  <c r="G4667" i="5"/>
  <c r="G4113" i="5"/>
  <c r="G3451" i="5"/>
  <c r="G3634" i="5"/>
  <c r="G3125" i="5"/>
  <c r="G1355" i="5"/>
  <c r="G2682" i="5"/>
  <c r="G2078" i="5"/>
  <c r="G2886" i="5"/>
  <c r="G3694" i="5"/>
  <c r="G3071" i="5"/>
  <c r="G3163" i="5"/>
  <c r="G2666" i="5"/>
  <c r="G2566" i="5"/>
  <c r="G3070" i="5"/>
  <c r="G2730" i="5"/>
  <c r="G710" i="5"/>
  <c r="G539" i="5"/>
  <c r="G1828" i="5"/>
  <c r="G1453" i="5"/>
  <c r="G1244" i="5"/>
  <c r="G1164" i="5"/>
  <c r="G424" i="5"/>
  <c r="G1802" i="5"/>
  <c r="G1199" i="5"/>
  <c r="G1071" i="5"/>
  <c r="G806" i="5"/>
  <c r="G763" i="5"/>
  <c r="G2194" i="5"/>
  <c r="G1850" i="5"/>
  <c r="G1498" i="5"/>
  <c r="G1309" i="5"/>
  <c r="G1150" i="5"/>
  <c r="G955" i="5"/>
  <c r="G762" i="5"/>
  <c r="G572" i="5"/>
  <c r="H519" i="5"/>
  <c r="E106" i="8" s="1"/>
  <c r="G124" i="5"/>
  <c r="G1483" i="5"/>
  <c r="G1143" i="5"/>
  <c r="G962" i="5"/>
  <c r="G934" i="5"/>
  <c r="G1873" i="5"/>
  <c r="G1221" i="5"/>
  <c r="G1036" i="5"/>
  <c r="G474" i="5"/>
  <c r="G347" i="5"/>
  <c r="G1438" i="5"/>
  <c r="G204" i="5"/>
  <c r="G1572" i="5"/>
  <c r="G499" i="5"/>
  <c r="G39" i="5"/>
  <c r="G559" i="5"/>
  <c r="G437" i="5"/>
  <c r="G548" i="5"/>
  <c r="G426" i="5"/>
  <c r="G90" i="5"/>
  <c r="G259" i="5"/>
  <c r="G142" i="5"/>
  <c r="G95" i="5"/>
  <c r="H16" i="5"/>
  <c r="E8" i="8" s="1"/>
  <c r="G385" i="5"/>
  <c r="G626" i="5"/>
  <c r="G309" i="5"/>
  <c r="F673" i="6"/>
  <c r="F442" i="6"/>
  <c r="F455" i="6"/>
  <c r="F374" i="6"/>
  <c r="F793" i="6"/>
  <c r="F766" i="6"/>
  <c r="G765" i="6" s="1"/>
  <c r="F551" i="6"/>
  <c r="F66" i="7"/>
  <c r="F759" i="6"/>
  <c r="F611" i="6"/>
  <c r="G610" i="6" s="1"/>
  <c r="F580" i="6"/>
  <c r="F490" i="6"/>
  <c r="F444" i="6"/>
  <c r="F10" i="6"/>
  <c r="F631" i="6"/>
  <c r="F561" i="6"/>
  <c r="G560" i="6" s="1"/>
  <c r="F472" i="6"/>
  <c r="F161" i="6"/>
  <c r="F30" i="7"/>
  <c r="F359" i="6"/>
  <c r="G29" i="6"/>
  <c r="G10932" i="5"/>
  <c r="G11931" i="5"/>
  <c r="G11823" i="5"/>
  <c r="G11829" i="5"/>
  <c r="G11659" i="5"/>
  <c r="G10896" i="5"/>
  <c r="G11790" i="5"/>
  <c r="H11579" i="5"/>
  <c r="E4775" i="8" s="1"/>
  <c r="G11319" i="5"/>
  <c r="G11180" i="5"/>
  <c r="G10476" i="5"/>
  <c r="G10345" i="5"/>
  <c r="G9808" i="5"/>
  <c r="G9747" i="5"/>
  <c r="H10628" i="5"/>
  <c r="E4541" i="8" s="1"/>
  <c r="H10564" i="5"/>
  <c r="E4522" i="8" s="1"/>
  <c r="G11232" i="5"/>
  <c r="H10389" i="5"/>
  <c r="E4438" i="8" s="1"/>
  <c r="G10305" i="5"/>
  <c r="G10684" i="5"/>
  <c r="H10086" i="5"/>
  <c r="E4340" i="8" s="1"/>
  <c r="G9794" i="5"/>
  <c r="G10142" i="5"/>
  <c r="G9756" i="5"/>
  <c r="G10265" i="5"/>
  <c r="G10194" i="5"/>
  <c r="H10162" i="5"/>
  <c r="E4359" i="8" s="1"/>
  <c r="H9998" i="5"/>
  <c r="E4318" i="8" s="1"/>
  <c r="H10425" i="5"/>
  <c r="E4467" i="8" s="1"/>
  <c r="G9674" i="5"/>
  <c r="H9982" i="5"/>
  <c r="E4314" i="8" s="1"/>
  <c r="G10006" i="5"/>
  <c r="G9850" i="5"/>
  <c r="G8317" i="5"/>
  <c r="G8253" i="5"/>
  <c r="G9930" i="5"/>
  <c r="G9456" i="5"/>
  <c r="G9086" i="5"/>
  <c r="G9716" i="5"/>
  <c r="G9070" i="5"/>
  <c r="G9374" i="5"/>
  <c r="H9202" i="5"/>
  <c r="E3978" i="8" s="1"/>
  <c r="G9078" i="5"/>
  <c r="G9678" i="5"/>
  <c r="G9022" i="5"/>
  <c r="G8602" i="5"/>
  <c r="H9198" i="5"/>
  <c r="E3977" i="8" s="1"/>
  <c r="G9386" i="5"/>
  <c r="G8995" i="5"/>
  <c r="G8729" i="5"/>
  <c r="G7941" i="5"/>
  <c r="G7704" i="5"/>
  <c r="G7627" i="5"/>
  <c r="H9326" i="5"/>
  <c r="E4043" i="8" s="1"/>
  <c r="G9234" i="5"/>
  <c r="H8647" i="5"/>
  <c r="E3518" i="8" s="1"/>
  <c r="G7957" i="5"/>
  <c r="G7829" i="5"/>
  <c r="G6286" i="5"/>
  <c r="G7550" i="5"/>
  <c r="H7432" i="5"/>
  <c r="E3172" i="8" s="1"/>
  <c r="H6170" i="5"/>
  <c r="E1923" i="8" s="1"/>
  <c r="G6066" i="5"/>
  <c r="G5824" i="5"/>
  <c r="G4349" i="5"/>
  <c r="G6154" i="5"/>
  <c r="G6090" i="5"/>
  <c r="G5834" i="5"/>
  <c r="G5150" i="5"/>
  <c r="G6437" i="5"/>
  <c r="G6038" i="5"/>
  <c r="G6438" i="5"/>
  <c r="G3993" i="5"/>
  <c r="G3940" i="5"/>
  <c r="G4555" i="5"/>
  <c r="G6114" i="5"/>
  <c r="G6006" i="5"/>
  <c r="H5890" i="5"/>
  <c r="E1817" i="8" s="1"/>
  <c r="G5802" i="5"/>
  <c r="G5089" i="5"/>
  <c r="G4595" i="5"/>
  <c r="G3329" i="5"/>
  <c r="G2570" i="5"/>
  <c r="G5222" i="5"/>
  <c r="G4892" i="5"/>
  <c r="G4582" i="5"/>
  <c r="G4237" i="5"/>
  <c r="G4059" i="5"/>
  <c r="G3839" i="5"/>
  <c r="G4699" i="5"/>
  <c r="G4757" i="5"/>
  <c r="G4223" i="5"/>
  <c r="G3272" i="5"/>
  <c r="G5238" i="5"/>
  <c r="G4580" i="5"/>
  <c r="G3713" i="5"/>
  <c r="G2554" i="5"/>
  <c r="G4731" i="5"/>
  <c r="G3973" i="5"/>
  <c r="G4545" i="5"/>
  <c r="G4317" i="5"/>
  <c r="G3265" i="5"/>
  <c r="G2294" i="5"/>
  <c r="G2888" i="5"/>
  <c r="G2574" i="5"/>
  <c r="G2518" i="5"/>
  <c r="G2287" i="5"/>
  <c r="G3384" i="5"/>
  <c r="G2698" i="5"/>
  <c r="G2317" i="5"/>
  <c r="G1824" i="5"/>
  <c r="G879" i="5"/>
  <c r="G1581" i="5"/>
  <c r="G476" i="5"/>
  <c r="G640" i="5"/>
  <c r="G407" i="5"/>
  <c r="H105" i="5"/>
  <c r="E26" i="8" s="1"/>
  <c r="G1186" i="5"/>
  <c r="G1126" i="5"/>
  <c r="G899" i="5"/>
  <c r="G798" i="5"/>
  <c r="G1156" i="5"/>
  <c r="G717" i="5"/>
  <c r="G456" i="5"/>
  <c r="G334" i="5"/>
  <c r="G1876" i="5"/>
  <c r="G1097" i="5"/>
  <c r="G993" i="5"/>
  <c r="G322" i="5"/>
  <c r="G110" i="5"/>
  <c r="G535" i="5"/>
  <c r="G272" i="5"/>
  <c r="G165" i="5"/>
  <c r="G143" i="5"/>
  <c r="G76" i="5"/>
  <c r="G693" i="5"/>
  <c r="G501" i="5"/>
  <c r="G927" i="5"/>
  <c r="G528" i="6" l="1"/>
  <c r="G510" i="6"/>
  <c r="G164" i="7"/>
  <c r="G6970" i="5"/>
  <c r="G6962" i="5"/>
  <c r="G6380" i="5"/>
  <c r="G834" i="5"/>
  <c r="G2240" i="5"/>
  <c r="G6550" i="5"/>
  <c r="G8690" i="5"/>
  <c r="H8317" i="5"/>
  <c r="E3422" i="8" s="1"/>
  <c r="G10980" i="5"/>
  <c r="H10932" i="5"/>
  <c r="E4621" i="8" s="1"/>
  <c r="G485" i="5"/>
  <c r="G1807" i="5"/>
  <c r="G11126" i="5"/>
  <c r="G3466" i="5"/>
  <c r="G582" i="5"/>
  <c r="G1396" i="5"/>
  <c r="H2682" i="5"/>
  <c r="E578" i="8" s="1"/>
  <c r="G3857" i="5"/>
  <c r="G2830" i="5"/>
  <c r="G4153" i="5"/>
  <c r="G3717" i="5"/>
  <c r="G4214" i="5"/>
  <c r="G8464" i="5"/>
  <c r="G10447" i="5"/>
  <c r="G8329" i="5"/>
  <c r="G9541" i="5"/>
  <c r="H10580" i="5"/>
  <c r="E4526" i="8" s="1"/>
  <c r="G10884" i="5"/>
  <c r="G10724" i="5"/>
  <c r="G11685" i="5"/>
  <c r="G11595" i="5"/>
  <c r="G11537" i="5"/>
  <c r="G5129" i="5"/>
  <c r="G4912" i="5"/>
  <c r="G540" i="5"/>
  <c r="G109" i="5"/>
  <c r="G1751" i="5"/>
  <c r="G956" i="5"/>
  <c r="G1555" i="5"/>
  <c r="G566" i="5"/>
  <c r="G2265" i="5"/>
  <c r="G2952" i="5"/>
  <c r="G2204" i="5"/>
  <c r="G2363" i="5"/>
  <c r="G3012" i="5"/>
  <c r="G3399" i="5"/>
  <c r="G3606" i="5"/>
  <c r="G4251" i="5"/>
  <c r="G5710" i="5"/>
  <c r="G1972" i="5"/>
  <c r="G9675" i="5"/>
  <c r="G9426" i="5"/>
  <c r="G3482" i="5"/>
  <c r="G5159" i="5"/>
  <c r="G2448" i="5"/>
  <c r="G753" i="5"/>
  <c r="G1632" i="5"/>
  <c r="G541" i="5"/>
  <c r="G2274" i="5"/>
  <c r="G3632" i="5"/>
  <c r="G2869" i="5"/>
  <c r="G3556" i="5"/>
  <c r="G3104" i="5"/>
  <c r="G1744" i="5"/>
  <c r="G1567" i="5"/>
  <c r="G3488" i="5"/>
  <c r="G3942" i="5"/>
  <c r="H3938" i="5" s="1"/>
  <c r="E1065" i="8" s="1"/>
  <c r="G4125" i="5"/>
  <c r="G4320" i="5"/>
  <c r="G3489" i="5"/>
  <c r="G4186" i="5"/>
  <c r="G5174" i="5"/>
  <c r="G5587" i="5"/>
  <c r="H6154" i="5"/>
  <c r="E1907" i="8" s="1"/>
  <c r="G5541" i="5"/>
  <c r="G5114" i="5"/>
  <c r="G5934" i="5"/>
  <c r="H6286" i="5"/>
  <c r="E2333" i="8" s="1"/>
  <c r="H7829" i="5"/>
  <c r="E3300" i="8" s="1"/>
  <c r="G7409" i="5"/>
  <c r="G7336" i="5"/>
  <c r="G9090" i="5"/>
  <c r="G7716" i="5"/>
  <c r="G7591" i="5"/>
  <c r="H9022" i="5"/>
  <c r="E3929" i="8" s="1"/>
  <c r="G9615" i="5"/>
  <c r="G9382" i="5"/>
  <c r="G9649" i="5"/>
  <c r="H10684" i="5"/>
  <c r="E4564" i="8" s="1"/>
  <c r="G10218" i="5"/>
  <c r="H10476" i="5"/>
  <c r="E4485" i="8" s="1"/>
  <c r="G11406" i="5"/>
  <c r="G11134" i="5"/>
  <c r="G11009" i="5"/>
  <c r="H11789" i="5"/>
  <c r="E4827" i="8" s="1"/>
  <c r="G1765" i="5"/>
  <c r="G164" i="5"/>
  <c r="G398" i="5"/>
  <c r="G4578" i="5"/>
  <c r="G4412" i="5"/>
  <c r="G5509" i="5"/>
  <c r="G3425" i="5"/>
  <c r="G3267" i="5"/>
  <c r="G1272" i="5"/>
  <c r="G74" i="5"/>
  <c r="G1310" i="5"/>
  <c r="G2124" i="5"/>
  <c r="H2730" i="5"/>
  <c r="E597" i="8" s="1"/>
  <c r="G4579" i="5"/>
  <c r="G3748" i="5"/>
  <c r="G4466" i="5"/>
  <c r="G4448" i="5"/>
  <c r="G3812" i="5"/>
  <c r="G4732" i="5"/>
  <c r="H5774" i="5"/>
  <c r="E1499" i="8" s="1"/>
  <c r="G4438" i="5"/>
  <c r="H5770" i="5"/>
  <c r="E1493" i="8" s="1"/>
  <c r="G4490" i="5"/>
  <c r="G4755" i="5"/>
  <c r="G4439" i="5"/>
  <c r="G7662" i="5"/>
  <c r="G7574" i="5"/>
  <c r="H9362" i="5"/>
  <c r="E4056" i="8" s="1"/>
  <c r="G9242" i="5"/>
  <c r="H9620" i="5"/>
  <c r="E4243" i="8" s="1"/>
  <c r="G8821" i="5"/>
  <c r="H10468" i="5"/>
  <c r="E4483" i="8" s="1"/>
  <c r="H10496" i="5"/>
  <c r="E4490" i="8" s="1"/>
  <c r="G11693" i="5"/>
  <c r="G11714" i="5"/>
  <c r="F654" i="6"/>
  <c r="G1720" i="5"/>
  <c r="G11140" i="5"/>
  <c r="G7686" i="5"/>
  <c r="G3440" i="5"/>
  <c r="G2193" i="5"/>
  <c r="G1339" i="5"/>
  <c r="G1200" i="5"/>
  <c r="G1397" i="5"/>
  <c r="G711" i="5"/>
  <c r="G888" i="5"/>
  <c r="G1874" i="5"/>
  <c r="H2610" i="5"/>
  <c r="E519" i="8" s="1"/>
  <c r="G2079" i="5"/>
  <c r="G2187" i="5"/>
  <c r="G3255" i="5"/>
  <c r="G4648" i="5"/>
  <c r="G3994" i="5"/>
  <c r="G4342" i="5"/>
  <c r="G5629" i="5"/>
  <c r="G3314" i="5"/>
  <c r="G3997" i="5"/>
  <c r="G5033" i="5"/>
  <c r="G6463" i="5"/>
  <c r="G4784" i="5"/>
  <c r="H6670" i="5"/>
  <c r="E2735" i="8" s="1"/>
  <c r="G7581" i="5"/>
  <c r="G6094" i="5"/>
  <c r="G8377" i="5"/>
  <c r="G8840" i="5"/>
  <c r="G9459" i="5"/>
  <c r="G8854" i="5"/>
  <c r="G7817" i="5"/>
  <c r="G8570" i="5"/>
  <c r="G11190" i="5"/>
  <c r="G10656" i="5"/>
  <c r="G10134" i="5"/>
  <c r="G10776" i="5"/>
  <c r="G11475" i="5"/>
  <c r="G9493" i="5"/>
  <c r="H10257" i="5"/>
  <c r="E4385" i="8" s="1"/>
  <c r="G286" i="5"/>
  <c r="G2179" i="5"/>
  <c r="G7687" i="5"/>
  <c r="G3316" i="5"/>
  <c r="G2087" i="5"/>
  <c r="G1907" i="5"/>
  <c r="H85" i="5"/>
  <c r="E22" i="8" s="1"/>
  <c r="G1280" i="5"/>
  <c r="G444" i="5"/>
  <c r="G1245" i="5"/>
  <c r="H2706" i="5"/>
  <c r="E584" i="8" s="1"/>
  <c r="G1839" i="5"/>
  <c r="G3297" i="5"/>
  <c r="G2048" i="5"/>
  <c r="G4773" i="5"/>
  <c r="G4358" i="5"/>
  <c r="G4222" i="5"/>
  <c r="H4220" i="5" s="1"/>
  <c r="E1111" i="8" s="1"/>
  <c r="G4419" i="5"/>
  <c r="G3296" i="5"/>
  <c r="G3433" i="5"/>
  <c r="G3565" i="5"/>
  <c r="G4902" i="5"/>
  <c r="G4771" i="5"/>
  <c r="G5582" i="5"/>
  <c r="G6471" i="5"/>
  <c r="G6532" i="5"/>
  <c r="H7989" i="5"/>
  <c r="E3340" i="8" s="1"/>
  <c r="G5830" i="5"/>
  <c r="G7422" i="5"/>
  <c r="G7788" i="5"/>
  <c r="G7771" i="5"/>
  <c r="G8576" i="5"/>
  <c r="G9190" i="5"/>
  <c r="G8815" i="5"/>
  <c r="H9322" i="5"/>
  <c r="E4042" i="8" s="1"/>
  <c r="G7758" i="5"/>
  <c r="G9802" i="5"/>
  <c r="G9558" i="5"/>
  <c r="G10353" i="5"/>
  <c r="G10952" i="5"/>
  <c r="G11251" i="5"/>
  <c r="G11055" i="5"/>
  <c r="G10989" i="5"/>
  <c r="G11519" i="5"/>
  <c r="G11353" i="5"/>
  <c r="G11865" i="5"/>
  <c r="F32" i="7"/>
  <c r="G9628" i="5"/>
  <c r="G11010" i="5"/>
  <c r="G11645" i="5"/>
  <c r="G10672" i="5"/>
  <c r="G10967" i="5"/>
  <c r="H650" i="5"/>
  <c r="E123" i="8" s="1"/>
  <c r="G377" i="5"/>
  <c r="G1110" i="5"/>
  <c r="H1005" i="5"/>
  <c r="E184" i="8" s="1"/>
  <c r="G9660" i="5"/>
  <c r="G8482" i="5"/>
  <c r="G7610" i="5"/>
  <c r="G3996" i="5"/>
  <c r="G3275" i="5"/>
  <c r="G2073" i="5"/>
  <c r="G764" i="5"/>
  <c r="G1208" i="5"/>
  <c r="G1539" i="5"/>
  <c r="G63" i="5"/>
  <c r="G987" i="5"/>
  <c r="G679" i="5"/>
  <c r="G944" i="5"/>
  <c r="G2365" i="5"/>
  <c r="H2578" i="5"/>
  <c r="E511" i="8" s="1"/>
  <c r="G1843" i="5"/>
  <c r="H2530" i="5"/>
  <c r="E494" i="8" s="1"/>
  <c r="H2842" i="5"/>
  <c r="E834" i="8" s="1"/>
  <c r="H2506" i="5"/>
  <c r="E448" i="8" s="1"/>
  <c r="G1931" i="5"/>
  <c r="G2455" i="5"/>
  <c r="G1598" i="5"/>
  <c r="G3350" i="5"/>
  <c r="G4435" i="5"/>
  <c r="G3783" i="5"/>
  <c r="G4585" i="5"/>
  <c r="G4410" i="5"/>
  <c r="G5515" i="5"/>
  <c r="G4680" i="5"/>
  <c r="G5618" i="5"/>
  <c r="G6505" i="5"/>
  <c r="G4789" i="5"/>
  <c r="G6110" i="5"/>
  <c r="H6298" i="5"/>
  <c r="E2368" i="8" s="1"/>
  <c r="G7750" i="5"/>
  <c r="H8189" i="5"/>
  <c r="E3390" i="8" s="1"/>
  <c r="G6405" i="5"/>
  <c r="G8715" i="5"/>
  <c r="G6406" i="5"/>
  <c r="H10329" i="5"/>
  <c r="E4406" i="8" s="1"/>
  <c r="G10062" i="5"/>
  <c r="G10974" i="5"/>
  <c r="G9886" i="5"/>
  <c r="G11506" i="5"/>
  <c r="G11081" i="5"/>
  <c r="G10835" i="5"/>
  <c r="G11098" i="5"/>
  <c r="G11846" i="5"/>
  <c r="G10809" i="5"/>
  <c r="G11838" i="5"/>
  <c r="H9318" i="5"/>
  <c r="E4041" i="8" s="1"/>
  <c r="G8981" i="5"/>
  <c r="H9066" i="5"/>
  <c r="E3941" i="8" s="1"/>
  <c r="G10692" i="5"/>
  <c r="G11373" i="5"/>
  <c r="G11942" i="5"/>
  <c r="G1084" i="5"/>
  <c r="G1833" i="5"/>
  <c r="G311" i="5"/>
  <c r="G11749" i="5"/>
  <c r="G5059" i="5"/>
  <c r="G4221" i="5"/>
  <c r="G4728" i="5"/>
  <c r="G2891" i="5"/>
  <c r="G2186" i="5"/>
  <c r="G353" i="5"/>
  <c r="G1039" i="5"/>
  <c r="G776" i="5"/>
  <c r="G1012" i="5"/>
  <c r="G1562" i="5"/>
  <c r="G1826" i="5"/>
  <c r="G2456" i="5"/>
  <c r="G3175" i="5"/>
  <c r="G3569" i="5"/>
  <c r="G4052" i="5"/>
  <c r="G4406" i="5"/>
  <c r="G5226" i="5"/>
  <c r="G3393" i="5"/>
  <c r="G4171" i="5"/>
  <c r="G4801" i="5"/>
  <c r="G4673" i="5"/>
  <c r="G5053" i="5"/>
  <c r="G5187" i="5"/>
  <c r="G5432" i="5"/>
  <c r="H5906" i="5"/>
  <c r="E1831" i="8" s="1"/>
  <c r="G6600" i="5"/>
  <c r="G5574" i="5"/>
  <c r="G6562" i="5"/>
  <c r="G4519" i="5"/>
  <c r="G4584" i="5"/>
  <c r="G7573" i="5"/>
  <c r="G9729" i="5"/>
  <c r="G11073" i="5"/>
  <c r="G2299" i="5"/>
  <c r="G292" i="5"/>
  <c r="G11713" i="5"/>
  <c r="G3957" i="5"/>
  <c r="G4922" i="5"/>
  <c r="G2435" i="5"/>
  <c r="G297" i="5"/>
  <c r="G1830" i="5"/>
  <c r="G408" i="5"/>
  <c r="G801" i="5"/>
  <c r="H2722" i="5"/>
  <c r="E588" i="8" s="1"/>
  <c r="G2123" i="5"/>
  <c r="G2900" i="5"/>
  <c r="G2140" i="5"/>
  <c r="G2744" i="5"/>
  <c r="G4520" i="5"/>
  <c r="G5395" i="5"/>
  <c r="G4446" i="5"/>
  <c r="H4444" i="5" s="1"/>
  <c r="E1138" i="8" s="1"/>
  <c r="G5430" i="5"/>
  <c r="H5946" i="5"/>
  <c r="E1843" i="8" s="1"/>
  <c r="G4417" i="5"/>
  <c r="G6614" i="5"/>
  <c r="G6589" i="5"/>
  <c r="H8021" i="5"/>
  <c r="E3348" i="8" s="1"/>
  <c r="G8642" i="5"/>
  <c r="G7694" i="5"/>
  <c r="G7487" i="5"/>
  <c r="G9712" i="5"/>
  <c r="H10460" i="5"/>
  <c r="E4481" i="8" s="1"/>
  <c r="H10166" i="5"/>
  <c r="E4360" i="8" s="1"/>
  <c r="H9946" i="5"/>
  <c r="E4305" i="8" s="1"/>
  <c r="H10688" i="5"/>
  <c r="E4569" i="8" s="1"/>
  <c r="G11169" i="5"/>
  <c r="G11215" i="5"/>
  <c r="G11303" i="5"/>
  <c r="G11395" i="5"/>
  <c r="G11626" i="5"/>
  <c r="G11642" i="5"/>
  <c r="G11884" i="5"/>
  <c r="G11653" i="5"/>
  <c r="G11822" i="5"/>
  <c r="G10698" i="5"/>
  <c r="G6498" i="5"/>
  <c r="G5463" i="5"/>
  <c r="G1238" i="5"/>
  <c r="G786" i="5"/>
  <c r="G1264" i="5"/>
  <c r="G1510" i="5"/>
  <c r="G2005" i="5"/>
  <c r="G486" i="5"/>
  <c r="G1528" i="5"/>
  <c r="G886" i="5"/>
  <c r="H885" i="5" s="1"/>
  <c r="E163" i="8" s="1"/>
  <c r="G2066" i="5"/>
  <c r="G1889" i="5"/>
  <c r="G3150" i="5"/>
  <c r="H2726" i="5"/>
  <c r="E593" i="8" s="1"/>
  <c r="G2420" i="5"/>
  <c r="G3475" i="5"/>
  <c r="G4298" i="5"/>
  <c r="G2375" i="5"/>
  <c r="G5200" i="5"/>
  <c r="G4672" i="5"/>
  <c r="G5019" i="5"/>
  <c r="G5158" i="5"/>
  <c r="G5486" i="5"/>
  <c r="G6635" i="5"/>
  <c r="G4508" i="5"/>
  <c r="G4464" i="5"/>
  <c r="G5128" i="5"/>
  <c r="H5127" i="5" s="1"/>
  <c r="E1278" i="8" s="1"/>
  <c r="G6337" i="5"/>
  <c r="G4810" i="5"/>
  <c r="G7474" i="5"/>
  <c r="G7420" i="5"/>
  <c r="G7693" i="5"/>
  <c r="H7530" i="5"/>
  <c r="E3231" i="8" s="1"/>
  <c r="H9402" i="5"/>
  <c r="E4076" i="8" s="1"/>
  <c r="G7680" i="5"/>
  <c r="G9741" i="5"/>
  <c r="G8803" i="5"/>
  <c r="G9698" i="5"/>
  <c r="G9759" i="5"/>
  <c r="G8928" i="5"/>
  <c r="H8085" i="5"/>
  <c r="E3364" i="8" s="1"/>
  <c r="G9274" i="5"/>
  <c r="G11435" i="5"/>
  <c r="G10767" i="5"/>
  <c r="G10297" i="5"/>
  <c r="G11281" i="5"/>
  <c r="G10959" i="5"/>
  <c r="G11267" i="5"/>
  <c r="G11466" i="5"/>
  <c r="G11686" i="5"/>
  <c r="G11835" i="5"/>
  <c r="F799" i="6"/>
  <c r="G799" i="6" s="1"/>
  <c r="F97" i="7"/>
  <c r="H7526" i="5"/>
  <c r="E3230" i="8" s="1"/>
  <c r="G8333" i="5"/>
  <c r="G8221" i="5"/>
  <c r="G2814" i="5"/>
  <c r="G7881" i="5"/>
  <c r="H9078" i="5"/>
  <c r="E3945" i="8" s="1"/>
  <c r="G9745" i="5"/>
  <c r="H9850" i="5"/>
  <c r="E4281" i="8" s="1"/>
  <c r="G8846" i="5"/>
  <c r="G9423" i="5"/>
  <c r="H10142" i="5"/>
  <c r="E4354" i="8" s="1"/>
  <c r="G10975" i="5"/>
  <c r="G11003" i="5"/>
  <c r="G11018" i="5"/>
  <c r="G11051" i="5"/>
  <c r="G11632" i="5"/>
  <c r="G11979" i="5"/>
  <c r="G11785" i="5"/>
  <c r="H142" i="5"/>
  <c r="E34" i="8" s="1"/>
  <c r="H90" i="5"/>
  <c r="E23" i="8" s="1"/>
  <c r="G1157" i="5"/>
  <c r="H1156" i="5" s="1"/>
  <c r="E205" i="8" s="1"/>
  <c r="G11377" i="5"/>
  <c r="G11057" i="5"/>
  <c r="G6412" i="5"/>
  <c r="G5403" i="5"/>
  <c r="G1001" i="5"/>
  <c r="G1729" i="5"/>
  <c r="G2049" i="5"/>
  <c r="G971" i="5"/>
  <c r="G1568" i="5"/>
  <c r="G909" i="5"/>
  <c r="G1030" i="5"/>
  <c r="G2927" i="5"/>
  <c r="G3024" i="5"/>
  <c r="G3447" i="5"/>
  <c r="G3073" i="5"/>
  <c r="G4185" i="5"/>
  <c r="G4388" i="5"/>
  <c r="G4049" i="5"/>
  <c r="G4449" i="5"/>
  <c r="H6002" i="5"/>
  <c r="E1862" i="8" s="1"/>
  <c r="G4086" i="5"/>
  <c r="G5011" i="5"/>
  <c r="G5384" i="5"/>
  <c r="G5607" i="5"/>
  <c r="G5278" i="5"/>
  <c r="G4530" i="5"/>
  <c r="G5938" i="5"/>
  <c r="G6418" i="5"/>
  <c r="G7639" i="5"/>
  <c r="G6386" i="5"/>
  <c r="G4560" i="5"/>
  <c r="G7494" i="5"/>
  <c r="G6556" i="5"/>
  <c r="G6427" i="5"/>
  <c r="G7787" i="5"/>
  <c r="G9458" i="5"/>
  <c r="G9699" i="5"/>
  <c r="G9527" i="5"/>
  <c r="G10437" i="5"/>
  <c r="H10373" i="5"/>
  <c r="E4428" i="8" s="1"/>
  <c r="G11176" i="5"/>
  <c r="H10321" i="5"/>
  <c r="E4404" i="8" s="1"/>
  <c r="G10730" i="5"/>
  <c r="G11773" i="5"/>
  <c r="F68" i="7"/>
  <c r="G8631" i="5"/>
  <c r="G5319" i="5"/>
  <c r="G3505" i="5"/>
  <c r="G600" i="5"/>
  <c r="G610" i="5"/>
  <c r="G1158" i="5"/>
  <c r="G1995" i="5"/>
  <c r="G1165" i="5"/>
  <c r="G125" i="5"/>
  <c r="H124" i="5" s="1"/>
  <c r="E30" i="8" s="1"/>
  <c r="G658" i="5"/>
  <c r="G1936" i="5"/>
  <c r="G3205" i="5"/>
  <c r="G1867" i="5"/>
  <c r="H2614" i="5"/>
  <c r="E562" i="8" s="1"/>
  <c r="G3029" i="5"/>
  <c r="G4547" i="5"/>
  <c r="G4688" i="5"/>
  <c r="G4299" i="5"/>
  <c r="G4722" i="5"/>
  <c r="G5470" i="5"/>
  <c r="G4611" i="5"/>
  <c r="G5316" i="5"/>
  <c r="G4907" i="5"/>
  <c r="H6102" i="5"/>
  <c r="E1894" i="8" s="1"/>
  <c r="G7416" i="5"/>
  <c r="G7749" i="5"/>
  <c r="G7572" i="5"/>
  <c r="H7937" i="5"/>
  <c r="E3327" i="8" s="1"/>
  <c r="G8703" i="5"/>
  <c r="G8584" i="5"/>
  <c r="G9572" i="5"/>
  <c r="G8894" i="5"/>
  <c r="H9406" i="5"/>
  <c r="E4077" i="8" s="1"/>
  <c r="G9781" i="5"/>
  <c r="G9639" i="5"/>
  <c r="H10576" i="5"/>
  <c r="E4525" i="8" s="1"/>
  <c r="G10186" i="5"/>
  <c r="G10853" i="5"/>
  <c r="G11604" i="5"/>
  <c r="G11673" i="5"/>
  <c r="G11913" i="5"/>
  <c r="G11902" i="5"/>
  <c r="G7774" i="5"/>
  <c r="G9629" i="5"/>
  <c r="G11040" i="5"/>
  <c r="H44" i="5"/>
  <c r="E14" i="8" s="1"/>
  <c r="G1286" i="5"/>
  <c r="G1919" i="5"/>
  <c r="G10836" i="5"/>
  <c r="G5194" i="5"/>
  <c r="G3674" i="5"/>
  <c r="G1419" i="5"/>
  <c r="G1800" i="5"/>
  <c r="G2353" i="5"/>
  <c r="G2674" i="5"/>
  <c r="G2864" i="5"/>
  <c r="G4434" i="5"/>
  <c r="G5758" i="5"/>
  <c r="G3593" i="5"/>
  <c r="G4045" i="5"/>
  <c r="G3290" i="5"/>
  <c r="G6447" i="5"/>
  <c r="G5317" i="5"/>
  <c r="G4809" i="5"/>
  <c r="G4512" i="5"/>
  <c r="G5181" i="5"/>
  <c r="G6250" i="5"/>
  <c r="G6392" i="5"/>
  <c r="G8547" i="5"/>
  <c r="G7656" i="5"/>
  <c r="H8760" i="5"/>
  <c r="E3556" i="8" s="1"/>
  <c r="G7558" i="5"/>
  <c r="G8722" i="5"/>
  <c r="G8936" i="5"/>
  <c r="G8862" i="5"/>
  <c r="G9708" i="5"/>
  <c r="H10341" i="5"/>
  <c r="E4420" i="8" s="1"/>
  <c r="H10002" i="5"/>
  <c r="E4319" i="8" s="1"/>
  <c r="G11195" i="5"/>
  <c r="G10253" i="5"/>
  <c r="G11459" i="5"/>
  <c r="G11701" i="5"/>
  <c r="G8972" i="5"/>
  <c r="G9661" i="5"/>
  <c r="G11146" i="5"/>
  <c r="G11954" i="5"/>
  <c r="G1779" i="5"/>
  <c r="G467" i="5"/>
  <c r="G73" i="5"/>
  <c r="G11161" i="5"/>
  <c r="G1616" i="5"/>
  <c r="G285" i="5"/>
  <c r="G843" i="5"/>
  <c r="G1194" i="5"/>
  <c r="G2234" i="5"/>
  <c r="G459" i="5"/>
  <c r="G3899" i="5"/>
  <c r="G2028" i="5"/>
  <c r="G2210" i="5"/>
  <c r="G2922" i="5"/>
  <c r="G2080" i="5"/>
  <c r="G3222" i="5"/>
  <c r="G4326" i="5"/>
  <c r="G2351" i="5"/>
  <c r="G4568" i="5"/>
  <c r="G3406" i="5"/>
  <c r="H3404" i="5" s="1"/>
  <c r="E941" i="8" s="1"/>
  <c r="H5838" i="5"/>
  <c r="E1575" i="8" s="1"/>
  <c r="G4748" i="5"/>
  <c r="H6230" i="5"/>
  <c r="E2099" i="8" s="1"/>
  <c r="G4553" i="5"/>
  <c r="G5982" i="5"/>
  <c r="H6270" i="5"/>
  <c r="E2297" i="8" s="1"/>
  <c r="G6142" i="5"/>
  <c r="G7423" i="5"/>
  <c r="G9468" i="5"/>
  <c r="G8960" i="5"/>
  <c r="G9673" i="5"/>
  <c r="H10337" i="5"/>
  <c r="E4419" i="8" s="1"/>
  <c r="G9751" i="5"/>
  <c r="G10448" i="5"/>
  <c r="G10729" i="5"/>
  <c r="G11221" i="5"/>
  <c r="G11271" i="5"/>
  <c r="G11378" i="5"/>
  <c r="G8081" i="5"/>
  <c r="G8552" i="5"/>
  <c r="H9194" i="5"/>
  <c r="E3976" i="8" s="1"/>
  <c r="G7620" i="5"/>
  <c r="G7737" i="5"/>
  <c r="G7461" i="5"/>
  <c r="G9766" i="5"/>
  <c r="G11274" i="5"/>
  <c r="G11657" i="5"/>
  <c r="G11141" i="5"/>
  <c r="G11715" i="5"/>
  <c r="G11820" i="5"/>
  <c r="G2217" i="5"/>
  <c r="G1100" i="5"/>
  <c r="G1856" i="5"/>
  <c r="G6514" i="5"/>
  <c r="G5355" i="5"/>
  <c r="G101" i="5"/>
  <c r="G1745" i="5"/>
  <c r="G148" i="5"/>
  <c r="H147" i="5" s="1"/>
  <c r="E35" i="8" s="1"/>
  <c r="G1552" i="5"/>
  <c r="G2226" i="5"/>
  <c r="G2372" i="5"/>
  <c r="G2969" i="5"/>
  <c r="G1683" i="5"/>
  <c r="G3094" i="5"/>
  <c r="G2326" i="5"/>
  <c r="G2332" i="5"/>
  <c r="G2558" i="5"/>
  <c r="G2889" i="5"/>
  <c r="G3326" i="5"/>
  <c r="G4077" i="5"/>
  <c r="G4240" i="5"/>
  <c r="G5464" i="5"/>
  <c r="G3371" i="5"/>
  <c r="H5858" i="5"/>
  <c r="E1606" i="8" s="1"/>
  <c r="G3195" i="5"/>
  <c r="G4507" i="5"/>
  <c r="G5366" i="5"/>
  <c r="H6058" i="5"/>
  <c r="E1882" i="8" s="1"/>
  <c r="G5449" i="5"/>
  <c r="G5311" i="5"/>
  <c r="G6523" i="5"/>
  <c r="H5926" i="5"/>
  <c r="E1837" i="8" s="1"/>
  <c r="H7290" i="5"/>
  <c r="E3050" i="8" s="1"/>
  <c r="G4984" i="5"/>
  <c r="H5846" i="5"/>
  <c r="E1577" i="8" s="1"/>
  <c r="G7625" i="5"/>
  <c r="G8477" i="5"/>
  <c r="G9138" i="5"/>
  <c r="G9734" i="5"/>
  <c r="G10842" i="5"/>
  <c r="G10443" i="5"/>
  <c r="G11972" i="5"/>
  <c r="G271" i="5"/>
  <c r="G942" i="5"/>
  <c r="G80" i="5"/>
  <c r="G6584" i="5"/>
  <c r="G5026" i="5"/>
  <c r="G1302" i="5"/>
  <c r="G2957" i="5"/>
  <c r="G3109" i="5"/>
  <c r="G2449" i="5"/>
  <c r="G2067" i="5"/>
  <c r="G2862" i="5"/>
  <c r="G5312" i="5"/>
  <c r="G3145" i="5"/>
  <c r="G3761" i="5"/>
  <c r="G4020" i="5"/>
  <c r="G3746" i="5"/>
  <c r="G4409" i="5"/>
  <c r="G3564" i="5"/>
  <c r="G4606" i="5"/>
  <c r="G5115" i="5"/>
  <c r="G4213" i="5"/>
  <c r="G4904" i="5"/>
  <c r="G5527" i="5"/>
  <c r="G3808" i="5"/>
  <c r="H6238" i="5"/>
  <c r="E2104" i="8" s="1"/>
  <c r="G6303" i="5"/>
  <c r="G6474" i="5"/>
  <c r="H6198" i="5"/>
  <c r="E1951" i="8" s="1"/>
  <c r="G6334" i="5"/>
  <c r="H7542" i="5"/>
  <c r="E3236" i="8" s="1"/>
  <c r="H7861" i="5"/>
  <c r="E3308" i="8" s="1"/>
  <c r="G7786" i="5"/>
  <c r="G8532" i="5"/>
  <c r="G7391" i="5"/>
  <c r="G8823" i="5"/>
  <c r="G7551" i="5"/>
  <c r="G9425" i="5"/>
  <c r="H9481" i="5"/>
  <c r="E4222" i="8" s="1"/>
  <c r="G9512" i="5"/>
  <c r="H10604" i="5"/>
  <c r="E4532" i="8" s="1"/>
  <c r="G11239" i="5"/>
  <c r="G11154" i="5"/>
  <c r="G11220" i="5"/>
  <c r="G11011" i="5"/>
  <c r="G11628" i="5"/>
  <c r="G11692" i="5"/>
  <c r="H8" i="5"/>
  <c r="E6" i="8" s="1"/>
  <c r="G1152" i="5"/>
  <c r="G313" i="5"/>
  <c r="G11399" i="5"/>
  <c r="G10871" i="5"/>
  <c r="G8478" i="5"/>
  <c r="G4927" i="5"/>
  <c r="G3943" i="5"/>
  <c r="G4897" i="5"/>
  <c r="G2333" i="5"/>
  <c r="G115" i="5"/>
  <c r="G223" i="5"/>
  <c r="G526" i="5"/>
  <c r="G1131" i="5"/>
  <c r="G508" i="5"/>
  <c r="G2108" i="5"/>
  <c r="G2288" i="5"/>
  <c r="G3245" i="5"/>
  <c r="G1752" i="5"/>
  <c r="H2690" i="5"/>
  <c r="E580" i="8" s="1"/>
  <c r="G4075" i="5"/>
  <c r="G3794" i="5"/>
  <c r="G4626" i="5"/>
  <c r="H5778" i="5"/>
  <c r="E1545" i="8" s="1"/>
  <c r="G5348" i="5"/>
  <c r="G4405" i="5"/>
  <c r="G3999" i="5"/>
  <c r="G6615" i="5"/>
  <c r="H6310" i="5"/>
  <c r="E2394" i="8" s="1"/>
  <c r="G7214" i="5"/>
  <c r="G6642" i="5"/>
  <c r="G9206" i="5"/>
  <c r="G8635" i="5"/>
  <c r="G8964" i="5"/>
  <c r="G7552" i="5"/>
  <c r="G7709" i="5"/>
  <c r="G8514" i="5"/>
  <c r="G8579" i="5"/>
  <c r="G9218" i="5"/>
  <c r="G9254" i="5"/>
  <c r="G9669" i="5"/>
  <c r="G8651" i="5"/>
  <c r="G10883" i="5"/>
  <c r="G9222" i="5"/>
  <c r="G9838" i="5"/>
  <c r="G10740" i="5"/>
  <c r="G11929" i="5"/>
  <c r="G11726" i="5"/>
  <c r="G11708" i="5"/>
  <c r="G11660" i="5"/>
  <c r="G11966" i="5"/>
  <c r="G11914" i="5"/>
  <c r="G6862" i="5"/>
  <c r="G8249" i="5"/>
  <c r="G2041" i="5"/>
  <c r="G1930" i="5"/>
  <c r="G9427" i="5"/>
  <c r="G1515" i="5"/>
  <c r="G565" i="5"/>
  <c r="G4021" i="5"/>
  <c r="G4402" i="5"/>
  <c r="G5814" i="5"/>
  <c r="G4621" i="5"/>
  <c r="G8025" i="5"/>
  <c r="G7390" i="5"/>
  <c r="G209" i="5"/>
  <c r="G1029" i="5"/>
  <c r="G3749" i="5"/>
  <c r="G4169" i="5"/>
  <c r="G4723" i="5"/>
  <c r="G6606" i="5"/>
  <c r="G8504" i="5"/>
  <c r="G2932" i="5"/>
  <c r="G1852" i="5"/>
  <c r="G1865" i="5"/>
  <c r="G1639" i="5"/>
  <c r="G1908" i="5"/>
  <c r="G5692" i="5"/>
  <c r="G2756" i="5"/>
  <c r="G2718" i="5"/>
  <c r="G4015" i="5"/>
  <c r="G4284" i="5"/>
  <c r="G3363" i="5"/>
  <c r="G4135" i="5"/>
  <c r="G4209" i="5"/>
  <c r="G5716" i="5"/>
  <c r="G5361" i="5"/>
  <c r="G5550" i="5"/>
  <c r="G4997" i="5"/>
  <c r="G7672" i="5"/>
  <c r="G8508" i="5"/>
  <c r="H9374" i="5"/>
  <c r="E4059" i="8" s="1"/>
  <c r="G8721" i="5"/>
  <c r="G8768" i="5"/>
  <c r="G8670" i="5"/>
  <c r="G8889" i="5"/>
  <c r="G9010" i="5"/>
  <c r="G9334" i="5"/>
  <c r="G9609" i="5"/>
  <c r="G10046" i="5"/>
  <c r="H10305" i="5"/>
  <c r="E4400" i="8" s="1"/>
  <c r="G10723" i="5"/>
  <c r="H11319" i="5"/>
  <c r="E4689" i="8" s="1"/>
  <c r="G10711" i="5"/>
  <c r="G11343" i="5"/>
  <c r="G11526" i="5"/>
  <c r="H499" i="5"/>
  <c r="E103" i="8" s="1"/>
  <c r="G555" i="5"/>
  <c r="G11960" i="5"/>
  <c r="G9565" i="5"/>
  <c r="G4094" i="5"/>
  <c r="G5680" i="5"/>
  <c r="G3501" i="5"/>
  <c r="G2910" i="5"/>
  <c r="G2081" i="5"/>
  <c r="G727" i="5"/>
  <c r="G1404" i="5"/>
  <c r="G388" i="5"/>
  <c r="G413" i="5"/>
  <c r="G641" i="5"/>
  <c r="G618" i="5"/>
  <c r="G1372" i="5"/>
  <c r="G1806" i="5"/>
  <c r="G2199" i="5"/>
  <c r="G2029" i="5"/>
  <c r="G3119" i="5"/>
  <c r="G3833" i="5"/>
  <c r="G2622" i="5"/>
  <c r="G3631" i="5"/>
  <c r="G3439" i="5"/>
  <c r="G3328" i="5"/>
  <c r="G3950" i="5"/>
  <c r="G3709" i="5"/>
  <c r="G5209" i="5"/>
  <c r="G6322" i="5"/>
  <c r="G5122" i="5"/>
  <c r="G4701" i="5"/>
  <c r="G4627" i="5"/>
  <c r="G5559" i="5"/>
  <c r="G6601" i="5"/>
  <c r="G4687" i="5"/>
  <c r="G6605" i="5"/>
  <c r="G6571" i="5"/>
  <c r="H7877" i="5"/>
  <c r="E3312" i="8" s="1"/>
  <c r="G8474" i="5"/>
  <c r="G6190" i="5"/>
  <c r="G8737" i="5"/>
  <c r="G7717" i="5"/>
  <c r="G8899" i="5"/>
  <c r="H8389" i="5"/>
  <c r="E3449" i="8" s="1"/>
  <c r="G9450" i="5"/>
  <c r="G9350" i="5"/>
  <c r="H9990" i="5"/>
  <c r="E4316" i="8" s="1"/>
  <c r="G10751" i="5"/>
  <c r="G11400" i="5"/>
  <c r="G11811" i="5"/>
  <c r="G11896" i="5"/>
  <c r="G11908" i="5"/>
  <c r="G11883" i="5"/>
  <c r="G336" i="5"/>
  <c r="G11229" i="5"/>
  <c r="G6393" i="5"/>
  <c r="G4372" i="5"/>
  <c r="G5139" i="5"/>
  <c r="G295" i="5"/>
  <c r="G174" i="5"/>
  <c r="G1994" i="5"/>
  <c r="G3615" i="5"/>
  <c r="G2248" i="5"/>
  <c r="G2768" i="5"/>
  <c r="G4475" i="5"/>
  <c r="G2594" i="5"/>
  <c r="G3251" i="5"/>
  <c r="H2510" i="5"/>
  <c r="E472" i="8" s="1"/>
  <c r="G3285" i="5"/>
  <c r="G3689" i="5"/>
  <c r="G5332" i="5"/>
  <c r="G4575" i="5"/>
  <c r="G4404" i="5"/>
  <c r="G4055" i="5"/>
  <c r="G6419" i="5"/>
  <c r="G5519" i="5"/>
  <c r="G5103" i="5"/>
  <c r="G6246" i="5"/>
  <c r="G5002" i="5"/>
  <c r="G6218" i="5"/>
  <c r="G9492" i="5"/>
  <c r="G7730" i="5"/>
  <c r="G8493" i="5"/>
  <c r="G6576" i="5"/>
  <c r="H10110" i="5"/>
  <c r="E4346" i="8" s="1"/>
  <c r="G7833" i="5"/>
  <c r="H8269" i="5"/>
  <c r="E3410" i="8" s="1"/>
  <c r="G8689" i="5"/>
  <c r="G10309" i="5"/>
  <c r="G10731" i="5"/>
  <c r="G11285" i="5"/>
  <c r="G11554" i="5"/>
  <c r="G11182" i="5"/>
  <c r="G11420" i="5"/>
  <c r="F655" i="6"/>
  <c r="G8909" i="5"/>
  <c r="G49" i="5"/>
  <c r="G399" i="5"/>
  <c r="G10812" i="5"/>
  <c r="G9501" i="5"/>
  <c r="G7665" i="5"/>
  <c r="G3418" i="5"/>
  <c r="G1301" i="5"/>
  <c r="G1433" i="5"/>
  <c r="G880" i="5"/>
  <c r="G56" i="5"/>
  <c r="G1649" i="5"/>
  <c r="G1259" i="5"/>
  <c r="G3228" i="5"/>
  <c r="G3875" i="5"/>
  <c r="H2638" i="5"/>
  <c r="E570" i="8" s="1"/>
  <c r="G3233" i="5"/>
  <c r="G2116" i="5"/>
  <c r="G4898" i="5"/>
  <c r="H2602" i="5"/>
  <c r="E517" i="8" s="1"/>
  <c r="G4304" i="5"/>
  <c r="G3967" i="5"/>
  <c r="H6122" i="5"/>
  <c r="E1899" i="8" s="1"/>
  <c r="G4522" i="5"/>
  <c r="G3933" i="5"/>
  <c r="G4391" i="5"/>
  <c r="G4975" i="5"/>
  <c r="G5385" i="5"/>
  <c r="G6338" i="5"/>
  <c r="G6555" i="5"/>
  <c r="H8053" i="5"/>
  <c r="E3356" i="8" s="1"/>
  <c r="G6078" i="5"/>
  <c r="G7909" i="5"/>
  <c r="G7633" i="5"/>
  <c r="G8560" i="5"/>
  <c r="G8797" i="5"/>
  <c r="G9580" i="5"/>
  <c r="H9270" i="5"/>
  <c r="E3996" i="8" s="1"/>
  <c r="G9477" i="5"/>
  <c r="G9601" i="5"/>
  <c r="G8643" i="5"/>
  <c r="G9632" i="5"/>
  <c r="H9942" i="5"/>
  <c r="E4304" i="8" s="1"/>
  <c r="H10242" i="5"/>
  <c r="E4382" i="8" s="1"/>
  <c r="G11209" i="5"/>
  <c r="G10349" i="5"/>
  <c r="G10829" i="5"/>
  <c r="G11226" i="5"/>
  <c r="G11015" i="5"/>
  <c r="G10990" i="5"/>
  <c r="G11102" i="5"/>
  <c r="G11600" i="5"/>
  <c r="G11928" i="5"/>
  <c r="G8865" i="5"/>
  <c r="G11160" i="5"/>
  <c r="H11159" i="5" s="1"/>
  <c r="E4657" i="8" s="1"/>
  <c r="G11273" i="5"/>
  <c r="G10568" i="5"/>
  <c r="G1173" i="5"/>
  <c r="G11895" i="5"/>
  <c r="G10750" i="5"/>
  <c r="G6590" i="5"/>
  <c r="G5123" i="5"/>
  <c r="G3648" i="5"/>
  <c r="G3011" i="5"/>
  <c r="G2286" i="5"/>
  <c r="G1273" i="5"/>
  <c r="G368" i="5"/>
  <c r="G332" i="5"/>
  <c r="G195" i="5"/>
  <c r="G1151" i="5"/>
  <c r="G1603" i="5"/>
  <c r="G2937" i="5"/>
  <c r="G1709" i="5"/>
  <c r="G2562" i="5"/>
  <c r="G3432" i="5"/>
  <c r="G3835" i="5"/>
  <c r="G5040" i="5"/>
  <c r="G4078" i="5"/>
  <c r="G6455" i="5"/>
  <c r="G4967" i="5"/>
  <c r="H6958" i="5"/>
  <c r="E2899" i="8" s="1"/>
  <c r="G7596" i="5"/>
  <c r="G6636" i="5"/>
  <c r="G7460" i="5"/>
  <c r="H7038" i="5"/>
  <c r="E2932" i="8" s="1"/>
  <c r="G6326" i="5"/>
  <c r="G6524" i="5"/>
  <c r="G7306" i="5"/>
  <c r="H8185" i="5"/>
  <c r="E3389" i="8" s="1"/>
  <c r="H8987" i="5"/>
  <c r="E3867" i="8" s="1"/>
  <c r="G7566" i="5"/>
  <c r="G9521" i="5"/>
  <c r="G11092" i="5"/>
  <c r="G11217" i="5"/>
  <c r="G11148" i="5"/>
  <c r="G11367" i="5"/>
  <c r="G11074" i="5"/>
  <c r="G11683" i="5"/>
  <c r="G11017" i="5"/>
  <c r="G11765" i="5"/>
  <c r="G6387" i="5"/>
  <c r="H8041" i="5"/>
  <c r="E3353" i="8" s="1"/>
  <c r="G8876" i="5"/>
  <c r="G6422" i="5"/>
  <c r="H7953" i="5"/>
  <c r="E3331" i="8" s="1"/>
  <c r="G9594" i="5"/>
  <c r="H9970" i="5"/>
  <c r="E4311" i="8" s="1"/>
  <c r="G432" i="5"/>
  <c r="G274" i="5"/>
  <c r="G905" i="5"/>
  <c r="G11097" i="5"/>
  <c r="G9796" i="5"/>
  <c r="G4099" i="5"/>
  <c r="G3985" i="5"/>
  <c r="G5285" i="5"/>
  <c r="G2352" i="5"/>
  <c r="G1115" i="5"/>
  <c r="G267" i="5"/>
  <c r="G611" i="5"/>
  <c r="G732" i="5"/>
  <c r="G419" i="5"/>
  <c r="H1184" i="5"/>
  <c r="E209" i="8" s="1"/>
  <c r="G1035" i="5"/>
  <c r="G3905" i="5"/>
  <c r="G3039" i="5"/>
  <c r="G1780" i="5"/>
  <c r="H2522" i="5"/>
  <c r="E476" i="8" s="1"/>
  <c r="G3291" i="5"/>
  <c r="G3566" i="5"/>
  <c r="G2854" i="5"/>
  <c r="G4333" i="5"/>
  <c r="G4662" i="5"/>
  <c r="G3662" i="5"/>
  <c r="G4561" i="5"/>
  <c r="G3454" i="5"/>
  <c r="G3633" i="5"/>
  <c r="G4199" i="5"/>
  <c r="G4256" i="5"/>
  <c r="G5641" i="5"/>
  <c r="G5208" i="5"/>
  <c r="H6074" i="5"/>
  <c r="E1887" i="8" s="1"/>
  <c r="G4170" i="5"/>
  <c r="G5639" i="5"/>
  <c r="G6619" i="5"/>
  <c r="G8491" i="5"/>
  <c r="G8735" i="5"/>
  <c r="H9378" i="5"/>
  <c r="E4062" i="8" s="1"/>
  <c r="G9633" i="5"/>
  <c r="G11539" i="5"/>
  <c r="H12" i="5"/>
  <c r="E7" i="8" s="1"/>
  <c r="G26" i="5"/>
  <c r="G170" i="5"/>
  <c r="G331" i="5"/>
  <c r="G1226" i="5"/>
  <c r="G5722" i="5"/>
  <c r="G4134" i="5"/>
  <c r="G691" i="5"/>
  <c r="H1124" i="5"/>
  <c r="E200" i="8" s="1"/>
  <c r="G251" i="5"/>
  <c r="G2198" i="5"/>
  <c r="G1214" i="5"/>
  <c r="G1758" i="5"/>
  <c r="G1719" i="5"/>
  <c r="G2258" i="5"/>
  <c r="G2414" i="5"/>
  <c r="G2163" i="5"/>
  <c r="G1879" i="5"/>
  <c r="G2315" i="5"/>
  <c r="H2586" i="5"/>
  <c r="E513" i="8" s="1"/>
  <c r="G2792" i="5"/>
  <c r="H2634" i="5"/>
  <c r="E569" i="8" s="1"/>
  <c r="G4498" i="5"/>
  <c r="G4827" i="5"/>
  <c r="G5624" i="5"/>
  <c r="G5425" i="5"/>
  <c r="G5224" i="5"/>
  <c r="G4456" i="5"/>
  <c r="H5790" i="5"/>
  <c r="E1548" i="8" s="1"/>
  <c r="H5954" i="5"/>
  <c r="E1846" i="8" s="1"/>
  <c r="G6371" i="5"/>
  <c r="G6476" i="5"/>
  <c r="G5966" i="5"/>
  <c r="G7677" i="5"/>
  <c r="G9728" i="5"/>
  <c r="G9122" i="5"/>
  <c r="G8915" i="5"/>
  <c r="G9776" i="5"/>
  <c r="G9593" i="5"/>
  <c r="G9667" i="5"/>
  <c r="H10174" i="5"/>
  <c r="E4362" i="8" s="1"/>
  <c r="G9788" i="5"/>
  <c r="G11603" i="5"/>
  <c r="G11086" i="5"/>
  <c r="G11716" i="5"/>
  <c r="H152" i="5"/>
  <c r="E36" i="8" s="1"/>
  <c r="G5193" i="5"/>
  <c r="G200" i="5"/>
  <c r="G841" i="5"/>
  <c r="G1583" i="5"/>
  <c r="G513" i="5"/>
  <c r="G1740" i="5"/>
  <c r="G734" i="5"/>
  <c r="G1832" i="5"/>
  <c r="G3321" i="5"/>
  <c r="G3697" i="5"/>
  <c r="G2774" i="5"/>
  <c r="G3762" i="5"/>
  <c r="G3479" i="5"/>
  <c r="G3741" i="5"/>
  <c r="G5085" i="5"/>
  <c r="G4290" i="5"/>
  <c r="G5334" i="5"/>
  <c r="G5584" i="5"/>
  <c r="G5216" i="5"/>
  <c r="G4710" i="5"/>
  <c r="H6894" i="5"/>
  <c r="E2881" i="8" s="1"/>
  <c r="G6548" i="5"/>
  <c r="H6254" i="5"/>
  <c r="E2255" i="8" s="1"/>
  <c r="H6070" i="5"/>
  <c r="E1886" i="8" s="1"/>
  <c r="G6446" i="5"/>
  <c r="H7698" i="5"/>
  <c r="E3267" i="8" s="1"/>
  <c r="G7360" i="5"/>
  <c r="G8727" i="5"/>
  <c r="G8702" i="5"/>
  <c r="H8369" i="5"/>
  <c r="E3443" i="8" s="1"/>
  <c r="G9695" i="5"/>
  <c r="G9507" i="5"/>
  <c r="G9486" i="5"/>
  <c r="H10126" i="5"/>
  <c r="E4350" i="8" s="1"/>
  <c r="H10361" i="5"/>
  <c r="E4425" i="8" s="1"/>
  <c r="G9718" i="5"/>
  <c r="G10806" i="5"/>
  <c r="G10983" i="5"/>
  <c r="G10789" i="5"/>
  <c r="G11187" i="5"/>
  <c r="G11704" i="5"/>
  <c r="G11907" i="5"/>
  <c r="G10837" i="5"/>
  <c r="G8297" i="5"/>
  <c r="G8349" i="5"/>
  <c r="G2798" i="5"/>
  <c r="G8265" i="5"/>
  <c r="G8285" i="5"/>
  <c r="G7158" i="5"/>
  <c r="G222" i="5"/>
  <c r="G2115" i="5"/>
  <c r="G986" i="5"/>
  <c r="G2300" i="5"/>
  <c r="G1893" i="5"/>
  <c r="G2293" i="5"/>
  <c r="G3723" i="5"/>
  <c r="G7764" i="5"/>
  <c r="G8685" i="5"/>
  <c r="G8736" i="5"/>
  <c r="H9086" i="5"/>
  <c r="E3947" i="8" s="1"/>
  <c r="G9696" i="5"/>
  <c r="G57" i="5"/>
  <c r="G785" i="5"/>
  <c r="G6430" i="5"/>
  <c r="G877" i="5"/>
  <c r="G3653" i="5"/>
  <c r="G4893" i="5"/>
  <c r="G5526" i="5"/>
  <c r="G7342" i="5"/>
  <c r="G9697" i="5"/>
  <c r="G5532" i="5"/>
  <c r="G3407" i="5"/>
  <c r="G1846" i="5"/>
  <c r="G726" i="5"/>
  <c r="G1279" i="5"/>
  <c r="G1385" i="5"/>
  <c r="G1144" i="5"/>
  <c r="G3392" i="5"/>
  <c r="G4028" i="5"/>
  <c r="G3079" i="5"/>
  <c r="G4001" i="5"/>
  <c r="G4510" i="5"/>
  <c r="G6513" i="5"/>
  <c r="G8968" i="5"/>
  <c r="H9070" i="5"/>
  <c r="E3942" i="8" s="1"/>
  <c r="G9588" i="5"/>
  <c r="G9513" i="5"/>
  <c r="G11486" i="5"/>
  <c r="G1942" i="5"/>
  <c r="G8948" i="5"/>
  <c r="G5439" i="5"/>
  <c r="G1352" i="5"/>
  <c r="G2093" i="5"/>
  <c r="G1912" i="5"/>
  <c r="G3729" i="5"/>
  <c r="G4229" i="5"/>
  <c r="G4671" i="5"/>
  <c r="H4244" i="5"/>
  <c r="E1114" i="8" s="1"/>
  <c r="G4491" i="5"/>
  <c r="G4009" i="5"/>
  <c r="G5005" i="5"/>
  <c r="G5310" i="5"/>
  <c r="G5110" i="5"/>
  <c r="G6612" i="5"/>
  <c r="G6465" i="5"/>
  <c r="G7585" i="5"/>
  <c r="G8641" i="5"/>
  <c r="H10325" i="5"/>
  <c r="E4405" i="8" s="1"/>
  <c r="G3411" i="5"/>
  <c r="G1913" i="5"/>
  <c r="G1053" i="5"/>
  <c r="G1403" i="5"/>
  <c r="G1985" i="5"/>
  <c r="G2905" i="5"/>
  <c r="G10972" i="5"/>
  <c r="G157" i="5"/>
  <c r="G1464" i="5"/>
  <c r="G11720" i="5"/>
  <c r="G7800" i="5"/>
  <c r="G328" i="5"/>
  <c r="G387" i="5"/>
  <c r="G3364" i="5"/>
  <c r="G3200" i="5"/>
  <c r="G3881" i="5"/>
  <c r="G3180" i="5"/>
  <c r="G2343" i="5"/>
  <c r="G3084" i="5"/>
  <c r="G5173" i="5"/>
  <c r="G4682" i="5"/>
  <c r="G5433" i="5"/>
  <c r="G5246" i="5"/>
  <c r="G4481" i="5"/>
  <c r="G4783" i="5"/>
  <c r="G5167" i="5"/>
  <c r="G4661" i="5"/>
  <c r="G5066" i="5"/>
  <c r="H5930" i="5"/>
  <c r="E1838" i="8" s="1"/>
  <c r="H6150" i="5"/>
  <c r="E1906" i="8" s="1"/>
  <c r="G6440" i="5"/>
  <c r="G9515" i="5"/>
  <c r="G6030" i="5"/>
  <c r="G8527" i="5"/>
  <c r="G8983" i="5"/>
  <c r="H9266" i="5"/>
  <c r="E3995" i="8" s="1"/>
  <c r="G9566" i="5"/>
  <c r="G11237" i="5"/>
  <c r="G10830" i="5"/>
  <c r="G11230" i="5"/>
  <c r="G11675" i="5"/>
  <c r="G11464" i="5"/>
  <c r="F79" i="7"/>
  <c r="G75" i="7" s="1"/>
  <c r="H7813" i="5"/>
  <c r="E3296" i="8" s="1"/>
  <c r="G7929" i="5"/>
  <c r="H10178" i="5"/>
  <c r="E4363" i="8" s="1"/>
  <c r="G11625" i="5"/>
  <c r="G11658" i="5"/>
  <c r="G61" i="5"/>
  <c r="G2355" i="5"/>
  <c r="G11147" i="5"/>
  <c r="G11532" i="5"/>
  <c r="G11025" i="5"/>
  <c r="G8519" i="5"/>
  <c r="G5107" i="5"/>
  <c r="G1884" i="5"/>
  <c r="G943" i="5"/>
  <c r="G193" i="5"/>
  <c r="G1626" i="5"/>
  <c r="G1857" i="5"/>
  <c r="G3240" i="5"/>
  <c r="G3064" i="5"/>
  <c r="G2391" i="5"/>
  <c r="G4390" i="5"/>
  <c r="G4457" i="5"/>
  <c r="G2762" i="5"/>
  <c r="G3811" i="5"/>
  <c r="G4364" i="5"/>
  <c r="G3412" i="5"/>
  <c r="H5822" i="5"/>
  <c r="E1571" i="8" s="1"/>
  <c r="G3506" i="5"/>
  <c r="G3358" i="5"/>
  <c r="H2538" i="5"/>
  <c r="E496" i="8" s="1"/>
  <c r="G4548" i="5"/>
  <c r="G4518" i="5"/>
  <c r="G6621" i="5"/>
  <c r="G3711" i="5"/>
  <c r="G4537" i="5"/>
  <c r="G4993" i="5"/>
  <c r="G4644" i="5"/>
  <c r="G6520" i="5"/>
  <c r="G6534" i="5"/>
  <c r="G7473" i="5"/>
  <c r="G6539" i="5"/>
  <c r="H7905" i="5"/>
  <c r="E3319" i="8" s="1"/>
  <c r="G10820" i="5"/>
  <c r="H213" i="5"/>
  <c r="E48" i="8" s="1"/>
  <c r="H68" i="5"/>
  <c r="E18" i="8" s="1"/>
  <c r="G591" i="5"/>
  <c r="G11333" i="5"/>
  <c r="G3500" i="5"/>
  <c r="G2995" i="5"/>
  <c r="G2147" i="5"/>
  <c r="G1179" i="5"/>
  <c r="G359" i="5"/>
  <c r="G632" i="5"/>
  <c r="G742" i="5"/>
  <c r="G1072" i="5"/>
  <c r="G3075" i="5"/>
  <c r="G3718" i="5"/>
  <c r="G3234" i="5"/>
  <c r="G2457" i="5"/>
  <c r="G2131" i="5"/>
  <c r="G3785" i="5"/>
  <c r="G4161" i="5"/>
  <c r="G3793" i="5"/>
  <c r="G4708" i="5"/>
  <c r="G5546" i="5"/>
  <c r="G4236" i="5"/>
  <c r="G7348" i="5"/>
  <c r="G4876" i="5"/>
  <c r="G5140" i="5"/>
  <c r="G4700" i="5"/>
  <c r="G6504" i="5"/>
  <c r="G5568" i="5"/>
  <c r="G4681" i="5"/>
  <c r="G5038" i="5"/>
  <c r="G5223" i="5"/>
  <c r="G5565" i="5"/>
  <c r="H5564" i="5" s="1"/>
  <c r="E1374" i="8" s="1"/>
  <c r="G6622" i="5"/>
  <c r="G4656" i="5"/>
  <c r="G7650" i="5"/>
  <c r="H6134" i="5"/>
  <c r="E1902" i="8" s="1"/>
  <c r="H7534" i="5"/>
  <c r="E3234" i="8" s="1"/>
  <c r="G7724" i="5"/>
  <c r="H8756" i="5"/>
  <c r="E3555" i="8" s="1"/>
  <c r="G7733" i="5"/>
  <c r="G8733" i="5"/>
  <c r="G9126" i="5"/>
  <c r="G8920" i="5"/>
  <c r="G9738" i="5"/>
  <c r="G8664" i="5"/>
  <c r="G9737" i="5"/>
  <c r="H9733" i="5" s="1"/>
  <c r="E4259" i="8" s="1"/>
  <c r="G10556" i="5"/>
  <c r="H11490" i="5"/>
  <c r="E4752" i="8" s="1"/>
  <c r="G11463" i="5"/>
  <c r="G11691" i="5"/>
  <c r="G11681" i="5"/>
  <c r="H239" i="5"/>
  <c r="E56" i="8" s="1"/>
  <c r="G847" i="5"/>
  <c r="G1233" i="5"/>
  <c r="G639" i="5"/>
  <c r="H2494" i="5"/>
  <c r="E419" i="8" s="1"/>
  <c r="G11104" i="5"/>
  <c r="G11219" i="5"/>
  <c r="G11297" i="5"/>
  <c r="G8956" i="5"/>
  <c r="G3496" i="5"/>
  <c r="G3951" i="5"/>
  <c r="H3947" i="5" s="1"/>
  <c r="E1066" i="8" s="1"/>
  <c r="G2402" i="5"/>
  <c r="G1516" i="5"/>
  <c r="G138" i="5"/>
  <c r="G1253" i="5"/>
  <c r="G1546" i="5"/>
  <c r="G646" i="5"/>
  <c r="G978" i="5"/>
  <c r="G1353" i="5"/>
  <c r="G1961" i="5"/>
  <c r="G1346" i="5"/>
  <c r="G2389" i="5"/>
  <c r="G2958" i="5"/>
  <c r="G3810" i="5"/>
  <c r="G3515" i="5"/>
  <c r="G3185" i="5"/>
  <c r="G4562" i="5"/>
  <c r="H4121" i="5"/>
  <c r="E1094" i="8" s="1"/>
  <c r="G4352" i="5"/>
  <c r="G5764" i="5"/>
  <c r="G3256" i="5"/>
  <c r="G3667" i="5"/>
  <c r="G4480" i="5"/>
  <c r="G4610" i="5"/>
  <c r="G6372" i="5"/>
  <c r="G7605" i="5"/>
  <c r="G5918" i="5"/>
  <c r="G6464" i="5"/>
  <c r="H7446" i="5"/>
  <c r="E3209" i="8" s="1"/>
  <c r="H8037" i="5"/>
  <c r="E3352" i="8" s="1"/>
  <c r="G8543" i="5"/>
  <c r="G8778" i="5"/>
  <c r="H10118" i="5"/>
  <c r="E4348" i="8" s="1"/>
  <c r="G8745" i="5"/>
  <c r="H10198" i="5"/>
  <c r="E4372" i="8" s="1"/>
  <c r="G9890" i="5"/>
  <c r="G11133" i="5"/>
  <c r="G11605" i="5"/>
  <c r="G11810" i="5"/>
  <c r="G10821" i="5"/>
  <c r="G11666" i="5"/>
  <c r="G11983" i="5"/>
  <c r="G653" i="6"/>
  <c r="G6702" i="5"/>
  <c r="G7266" i="5"/>
  <c r="G7865" i="5"/>
  <c r="G7278" i="5"/>
  <c r="G8065" i="5"/>
  <c r="G11514" i="5"/>
  <c r="G2979" i="5"/>
  <c r="G2074" i="5"/>
  <c r="G1335" i="5"/>
  <c r="G1697" i="5"/>
  <c r="G3928" i="5"/>
  <c r="G4750" i="5"/>
  <c r="G7977" i="5"/>
  <c r="G8513" i="5"/>
  <c r="G3157" i="5"/>
  <c r="H321" i="5"/>
  <c r="E84" i="8" s="1"/>
  <c r="G1684" i="5"/>
  <c r="G699" i="5"/>
  <c r="G1045" i="5"/>
  <c r="G811" i="5"/>
  <c r="G3747" i="5"/>
  <c r="G7564" i="5"/>
  <c r="G8458" i="5"/>
  <c r="G6456" i="5"/>
  <c r="G701" i="5"/>
  <c r="G1660" i="5"/>
  <c r="G1099" i="5"/>
  <c r="G1796" i="5"/>
  <c r="G1817" i="5"/>
  <c r="G3510" i="5"/>
  <c r="G3524" i="5"/>
  <c r="G3974" i="5"/>
  <c r="G5134" i="5"/>
  <c r="H8995" i="5"/>
  <c r="E3869" i="8" s="1"/>
  <c r="G10784" i="5"/>
  <c r="G10958" i="5"/>
  <c r="G11110" i="5"/>
  <c r="G10976" i="5"/>
  <c r="G11168" i="5"/>
  <c r="G11860" i="5"/>
  <c r="G5012" i="5"/>
  <c r="G449" i="5"/>
  <c r="G1925" i="5"/>
  <c r="G2850" i="5"/>
  <c r="G3274" i="5"/>
  <c r="H2694" i="5"/>
  <c r="E581" i="8" s="1"/>
  <c r="G3843" i="5"/>
  <c r="G5280" i="5"/>
  <c r="G7595" i="5"/>
  <c r="G6598" i="5"/>
  <c r="G8608" i="5"/>
  <c r="G7725" i="5"/>
  <c r="G9551" i="5"/>
  <c r="G8751" i="5"/>
  <c r="H9018" i="5"/>
  <c r="E3928" i="8" s="1"/>
  <c r="G8161" i="5"/>
  <c r="G8940" i="5"/>
  <c r="G8809" i="5"/>
  <c r="G9451" i="5"/>
  <c r="G9505" i="5"/>
  <c r="G9740" i="5"/>
  <c r="G11460" i="5"/>
  <c r="G11890" i="5"/>
  <c r="G9520" i="5"/>
  <c r="G10130" i="5"/>
  <c r="G543" i="5"/>
  <c r="G3099" i="5"/>
  <c r="G936" i="5"/>
  <c r="G870" i="5"/>
  <c r="G1809" i="5"/>
  <c r="G551" i="5"/>
  <c r="G1766" i="5"/>
  <c r="G11155" i="5"/>
  <c r="G9550" i="5"/>
  <c r="G8548" i="5"/>
  <c r="G5458" i="5"/>
  <c r="G4126" i="5"/>
  <c r="G3917" i="5"/>
  <c r="G2397" i="5"/>
  <c r="G893" i="5"/>
  <c r="G864" i="5"/>
  <c r="G683" i="5"/>
  <c r="G852" i="5"/>
  <c r="G391" i="5"/>
  <c r="G720" i="5"/>
  <c r="G2249" i="5"/>
  <c r="G1379" i="5"/>
  <c r="H2698" i="5"/>
  <c r="E582" i="8" s="1"/>
  <c r="G2171" i="5"/>
  <c r="G3049" i="5"/>
  <c r="H2518" i="5"/>
  <c r="E475" i="8" s="1"/>
  <c r="G3863" i="5"/>
  <c r="G3851" i="5"/>
  <c r="G1955" i="5"/>
  <c r="H2554" i="5"/>
  <c r="E505" i="8" s="1"/>
  <c r="G3292" i="5"/>
  <c r="G3730" i="5"/>
  <c r="G4327" i="5"/>
  <c r="G4529" i="5"/>
  <c r="G4008" i="5"/>
  <c r="G5500" i="5"/>
  <c r="H5802" i="5"/>
  <c r="E1552" i="8" s="1"/>
  <c r="H6114" i="5"/>
  <c r="E1897" i="8" s="1"/>
  <c r="G5097" i="5"/>
  <c r="G5508" i="5"/>
  <c r="G5204" i="5"/>
  <c r="G4552" i="5"/>
  <c r="G6481" i="5"/>
  <c r="G4447" i="5"/>
  <c r="G6561" i="5"/>
  <c r="G5090" i="5"/>
  <c r="H5089" i="5" s="1"/>
  <c r="E1272" i="8" s="1"/>
  <c r="G6346" i="5"/>
  <c r="H6066" i="5"/>
  <c r="E1885" i="8" s="1"/>
  <c r="G5556" i="5"/>
  <c r="G6567" i="5"/>
  <c r="G6344" i="5"/>
  <c r="H7957" i="5"/>
  <c r="E3332" i="8" s="1"/>
  <c r="G8105" i="5"/>
  <c r="G8545" i="5"/>
  <c r="G8822" i="5"/>
  <c r="H10006" i="5"/>
  <c r="E4320" i="8" s="1"/>
  <c r="H10265" i="5"/>
  <c r="E4390" i="8" s="1"/>
  <c r="G10838" i="5"/>
  <c r="G10333" i="5"/>
  <c r="H10345" i="5"/>
  <c r="E4421" i="8" s="1"/>
  <c r="G11760" i="5"/>
  <c r="G11132" i="5"/>
  <c r="G11255" i="5"/>
  <c r="G10756" i="5"/>
  <c r="G231" i="5"/>
  <c r="G2100" i="5"/>
  <c r="G55" i="5"/>
  <c r="G10693" i="5"/>
  <c r="G9499" i="5"/>
  <c r="G8883" i="5"/>
  <c r="G3710" i="5"/>
  <c r="G5145" i="5"/>
  <c r="G2383" i="5"/>
  <c r="G741" i="5"/>
  <c r="G1434" i="5"/>
  <c r="G2373" i="5"/>
  <c r="H1850" i="5"/>
  <c r="E295" i="8" s="1"/>
  <c r="G443" i="5"/>
  <c r="G929" i="5"/>
  <c r="G1990" i="5"/>
  <c r="G684" i="5"/>
  <c r="G1198" i="5"/>
  <c r="G2099" i="5"/>
  <c r="G2419" i="5"/>
  <c r="G2242" i="5"/>
  <c r="G3869" i="5"/>
  <c r="H2078" i="5"/>
  <c r="E330" i="8" s="1"/>
  <c r="G3545" i="5"/>
  <c r="G3977" i="5"/>
  <c r="G5060" i="5"/>
  <c r="G4203" i="5"/>
  <c r="G4321" i="5"/>
  <c r="G2218" i="5"/>
  <c r="G2738" i="5"/>
  <c r="G3330" i="5"/>
  <c r="G4036" i="5"/>
  <c r="G5052" i="5"/>
  <c r="G3281" i="5"/>
  <c r="G3702" i="5"/>
  <c r="G6508" i="5"/>
  <c r="G5242" i="5"/>
  <c r="G5402" i="5"/>
  <c r="G8492" i="5"/>
  <c r="G6327" i="5"/>
  <c r="G6509" i="5"/>
  <c r="G8509" i="5"/>
  <c r="G6626" i="5"/>
  <c r="H9418" i="5"/>
  <c r="E4102" i="8" s="1"/>
  <c r="H9082" i="5"/>
  <c r="E3946" i="8" s="1"/>
  <c r="G9014" i="5"/>
  <c r="G9476" i="5"/>
  <c r="G9130" i="5"/>
  <c r="G10289" i="5"/>
  <c r="H10636" i="5"/>
  <c r="E4543" i="8" s="1"/>
  <c r="G9777" i="5"/>
  <c r="G11032" i="5"/>
  <c r="G11065" i="5"/>
  <c r="G11265" i="5"/>
  <c r="G11717" i="5"/>
  <c r="G11567" i="5"/>
  <c r="G11674" i="5"/>
  <c r="G11948" i="5"/>
  <c r="G11901" i="5"/>
  <c r="F50" i="7"/>
  <c r="H235" i="5"/>
  <c r="E54" i="8" s="1"/>
  <c r="G1954" i="5"/>
  <c r="G11827" i="5"/>
  <c r="G8864" i="5"/>
  <c r="G5418" i="5"/>
  <c r="G4070" i="5"/>
  <c r="G3813" i="5"/>
  <c r="G2408" i="5"/>
  <c r="G3149" i="5"/>
  <c r="G1227" i="5"/>
  <c r="G409" i="5"/>
  <c r="H403" i="5" s="1"/>
  <c r="E92" i="8" s="1"/>
  <c r="G995" i="5"/>
  <c r="G922" i="5"/>
  <c r="G2035" i="5"/>
  <c r="G820" i="5"/>
  <c r="G3239" i="5"/>
  <c r="G3680" i="5"/>
  <c r="G4000" i="5"/>
  <c r="G2285" i="5"/>
  <c r="H4839" i="5"/>
  <c r="E1190" i="8" s="1"/>
  <c r="G3310" i="5"/>
  <c r="G3654" i="5"/>
  <c r="G4148" i="5"/>
  <c r="G5006" i="5"/>
  <c r="G5102" i="5"/>
  <c r="G5390" i="5"/>
  <c r="G5353" i="5"/>
  <c r="G5555" i="5"/>
  <c r="G5798" i="5"/>
  <c r="G6398" i="5"/>
  <c r="G6333" i="5"/>
  <c r="G6439" i="5"/>
  <c r="G7410" i="5"/>
  <c r="G7604" i="5"/>
  <c r="G8473" i="5"/>
  <c r="G7624" i="5"/>
  <c r="H9394" i="5"/>
  <c r="E4070" i="8" s="1"/>
  <c r="G7849" i="5"/>
  <c r="G10900" i="5"/>
  <c r="G9768" i="5"/>
  <c r="G11610" i="5"/>
  <c r="G10775" i="5"/>
  <c r="G10704" i="5"/>
  <c r="G11538" i="5"/>
  <c r="G11560" i="5"/>
  <c r="G11941" i="5"/>
  <c r="G11646" i="5"/>
  <c r="G11799" i="5"/>
  <c r="G11332" i="5"/>
  <c r="G8750" i="5"/>
  <c r="G9290" i="5"/>
  <c r="G10761" i="5"/>
  <c r="G5272" i="5"/>
  <c r="G4293" i="5"/>
  <c r="G5379" i="5"/>
  <c r="G1074" i="5"/>
  <c r="H1071" i="5" s="1"/>
  <c r="E193" i="8" s="1"/>
  <c r="G1787" i="5"/>
  <c r="H2534" i="5"/>
  <c r="E495" i="8" s="1"/>
  <c r="G3607" i="5"/>
  <c r="H2702" i="5"/>
  <c r="E583" i="8" s="1"/>
  <c r="G1130" i="5"/>
  <c r="H2826" i="5"/>
  <c r="E777" i="8" s="1"/>
  <c r="G2305" i="5"/>
  <c r="G4532" i="5"/>
  <c r="G2180" i="5"/>
  <c r="G3544" i="5"/>
  <c r="G4292" i="5"/>
  <c r="G5734" i="5"/>
  <c r="G3164" i="5"/>
  <c r="G3998" i="5"/>
  <c r="G5411" i="5"/>
  <c r="G5520" i="5"/>
  <c r="G5619" i="5"/>
  <c r="G6506" i="5"/>
  <c r="G7590" i="5"/>
  <c r="G7454" i="5"/>
  <c r="G6278" i="5"/>
  <c r="G8810" i="5"/>
  <c r="G9534" i="5"/>
  <c r="G7666" i="5"/>
  <c r="G8847" i="5"/>
  <c r="H9246" i="5"/>
  <c r="E3990" i="8" s="1"/>
  <c r="G9608" i="5"/>
  <c r="G8834" i="5"/>
  <c r="G9058" i="5"/>
  <c r="G9926" i="5"/>
  <c r="G8835" i="5"/>
  <c r="G9645" i="5"/>
  <c r="G10285" i="5"/>
  <c r="G9780" i="5"/>
  <c r="G10870" i="5"/>
  <c r="G10739" i="5"/>
  <c r="G11638" i="5"/>
  <c r="G11555" i="5"/>
  <c r="G10744" i="5"/>
  <c r="G11828" i="5"/>
  <c r="H9282" i="5"/>
  <c r="E3999" i="8" s="1"/>
  <c r="G9803" i="5"/>
  <c r="H9800" i="5" s="1"/>
  <c r="E4268" i="8" s="1"/>
  <c r="G11624" i="5"/>
  <c r="G1868" i="5"/>
  <c r="G1591" i="5"/>
  <c r="G10893" i="5"/>
  <c r="G6362" i="5"/>
  <c r="G5746" i="5"/>
  <c r="G2384" i="5"/>
  <c r="G2319" i="5"/>
  <c r="G1073" i="5"/>
  <c r="G468" i="5"/>
  <c r="G1773" i="5"/>
  <c r="G100" i="5"/>
  <c r="G1052" i="5"/>
  <c r="G1730" i="5"/>
  <c r="G794" i="5"/>
  <c r="G1322" i="5"/>
  <c r="G1710" i="5"/>
  <c r="G2206" i="5"/>
  <c r="H738" i="5"/>
  <c r="E136" i="8" s="1"/>
  <c r="G3019" i="5"/>
  <c r="G3379" i="5"/>
  <c r="G2415" i="5"/>
  <c r="G4116" i="5"/>
  <c r="G3337" i="5"/>
  <c r="G3493" i="5"/>
  <c r="G4252" i="5"/>
  <c r="G5250" i="5"/>
  <c r="G3916" i="5"/>
  <c r="G4117" i="5"/>
  <c r="G4563" i="5"/>
  <c r="G5084" i="5"/>
  <c r="G5551" i="5"/>
  <c r="G7324" i="5"/>
  <c r="G5108" i="5"/>
  <c r="G5318" i="5"/>
  <c r="H7070" i="5"/>
  <c r="E2946" i="8" s="1"/>
  <c r="G7671" i="5"/>
  <c r="H6798" i="5"/>
  <c r="E2831" i="8" s="1"/>
  <c r="G7571" i="5"/>
  <c r="H7514" i="5"/>
  <c r="E3226" i="8" s="1"/>
  <c r="G8678" i="5"/>
  <c r="G8782" i="5"/>
  <c r="H7546" i="5"/>
  <c r="E3237" i="8" s="1"/>
  <c r="G8610" i="5"/>
  <c r="G8561" i="5"/>
  <c r="G7609" i="5"/>
  <c r="G8866" i="5"/>
  <c r="G9366" i="5"/>
  <c r="G9298" i="5"/>
  <c r="G9778" i="5"/>
  <c r="G10122" i="5"/>
  <c r="G11139" i="5"/>
  <c r="G11383" i="5"/>
  <c r="G10877" i="5"/>
  <c r="G11640" i="5"/>
  <c r="G6421" i="5"/>
  <c r="G6126" i="5"/>
  <c r="G8611" i="5"/>
  <c r="G6525" i="5"/>
  <c r="H7538" i="5"/>
  <c r="E3235" i="8" s="1"/>
  <c r="H9306" i="5"/>
  <c r="E4021" i="8" s="1"/>
  <c r="G9954" i="5"/>
  <c r="H10624" i="5"/>
  <c r="E4539" i="8" s="1"/>
  <c r="G11615" i="5"/>
  <c r="G11280" i="5"/>
  <c r="G633" i="5"/>
  <c r="G1509" i="5"/>
  <c r="G1677" i="5"/>
  <c r="G928" i="5"/>
  <c r="H1327" i="5"/>
  <c r="E230" i="8" s="1"/>
  <c r="G8841" i="5"/>
  <c r="G3590" i="5"/>
  <c r="G4177" i="5"/>
  <c r="G2865" i="5"/>
  <c r="G1252" i="5"/>
  <c r="G970" i="5"/>
  <c r="G898" i="5"/>
  <c r="G3400" i="5"/>
  <c r="G1306" i="5"/>
  <c r="G3467" i="5"/>
  <c r="G2156" i="5"/>
  <c r="G4709" i="5"/>
  <c r="G4871" i="5"/>
  <c r="G2192" i="5"/>
  <c r="G3782" i="5"/>
  <c r="G4095" i="5"/>
  <c r="G3462" i="5"/>
  <c r="G3770" i="5"/>
  <c r="G5487" i="5"/>
  <c r="G4260" i="5"/>
  <c r="G5240" i="5"/>
  <c r="G4935" i="5"/>
  <c r="H6138" i="5"/>
  <c r="E1903" i="8" s="1"/>
  <c r="H7450" i="5"/>
  <c r="E3211" i="8" s="1"/>
  <c r="G8544" i="5"/>
  <c r="H8137" i="5"/>
  <c r="E3377" i="8" s="1"/>
  <c r="G10446" i="5"/>
  <c r="G10106" i="5"/>
  <c r="G10699" i="5"/>
  <c r="G1391" i="5"/>
  <c r="G182" i="5"/>
  <c r="G346" i="5"/>
  <c r="G1392" i="5"/>
  <c r="G1597" i="5"/>
  <c r="G11866" i="5"/>
  <c r="G8468" i="5"/>
  <c r="G5096" i="5"/>
  <c r="G4959" i="5"/>
  <c r="G5650" i="5"/>
  <c r="G3731" i="5"/>
  <c r="G781" i="5"/>
  <c r="G1545" i="5"/>
  <c r="G1066" i="5"/>
  <c r="G1819" i="5"/>
  <c r="H2550" i="5"/>
  <c r="E503" i="8" s="1"/>
  <c r="G2023" i="5"/>
  <c r="G2172" i="5"/>
  <c r="G2942" i="5"/>
  <c r="G2335" i="5"/>
  <c r="G4143" i="5"/>
  <c r="G4053" i="5"/>
  <c r="G2880" i="5"/>
  <c r="G4605" i="5"/>
  <c r="G4883" i="5"/>
  <c r="G4546" i="5"/>
  <c r="G5444" i="5"/>
  <c r="G5476" i="5"/>
  <c r="G4526" i="5"/>
  <c r="G6499" i="5"/>
  <c r="G4798" i="5"/>
  <c r="G7402" i="5"/>
  <c r="G6650" i="5"/>
  <c r="G8888" i="5"/>
  <c r="G9582" i="5"/>
  <c r="H9042" i="5"/>
  <c r="E3934" i="8" s="1"/>
  <c r="G9429" i="5"/>
  <c r="H9174" i="5"/>
  <c r="E3971" i="8" s="1"/>
  <c r="H8197" i="5"/>
  <c r="E3392" i="8" s="1"/>
  <c r="G8798" i="5"/>
  <c r="G9690" i="5"/>
  <c r="G9679" i="5"/>
  <c r="G10230" i="5"/>
  <c r="G9498" i="5"/>
  <c r="G10269" i="5"/>
  <c r="G11214" i="5"/>
  <c r="G11676" i="5"/>
  <c r="G11041" i="5"/>
  <c r="G10936" i="5"/>
  <c r="H11502" i="5"/>
  <c r="E4755" i="8" s="1"/>
  <c r="G11889" i="5"/>
  <c r="G11922" i="5"/>
  <c r="H1219" i="5"/>
  <c r="E214" i="8" s="1"/>
  <c r="G9526" i="5"/>
  <c r="G8875" i="5"/>
  <c r="G227" i="5"/>
  <c r="G1067" i="5"/>
  <c r="G357" i="5"/>
  <c r="G700" i="5"/>
  <c r="G761" i="5"/>
  <c r="G2390" i="5"/>
  <c r="H2606" i="5"/>
  <c r="E518" i="8" s="1"/>
  <c r="G1786" i="5"/>
  <c r="G2022" i="5"/>
  <c r="G3534" i="5"/>
  <c r="G3920" i="5"/>
  <c r="G2678" i="5"/>
  <c r="G3523" i="5"/>
  <c r="G3819" i="5"/>
  <c r="G4689" i="5"/>
  <c r="G4401" i="5"/>
  <c r="G5602" i="5"/>
  <c r="G5045" i="5"/>
  <c r="G4751" i="5"/>
  <c r="G5304" i="5"/>
  <c r="G6533" i="5"/>
  <c r="G7744" i="5"/>
  <c r="G7312" i="5"/>
  <c r="G6062" i="5"/>
  <c r="H9258" i="5"/>
  <c r="E3993" i="8" s="1"/>
  <c r="G9455" i="5"/>
  <c r="G9439" i="5"/>
  <c r="H8437" i="5"/>
  <c r="E3468" i="8" s="1"/>
  <c r="H9210" i="5"/>
  <c r="E3980" i="8" s="1"/>
  <c r="G10433" i="5"/>
  <c r="G11518" i="5"/>
  <c r="G11024" i="5"/>
  <c r="G11124" i="5"/>
  <c r="G11183" i="5"/>
  <c r="G11548" i="5"/>
  <c r="G2838" i="5"/>
  <c r="G8121" i="5"/>
  <c r="G6210" i="5"/>
  <c r="G7993" i="5"/>
  <c r="G8361" i="5"/>
  <c r="G8405" i="5"/>
  <c r="G8301" i="5"/>
  <c r="G5662" i="5"/>
  <c r="G5257" i="5"/>
  <c r="H6038" i="5"/>
  <c r="E1873" i="8" s="1"/>
  <c r="G5404" i="5"/>
  <c r="G5426" i="5"/>
  <c r="G6572" i="5"/>
  <c r="G9428" i="5"/>
  <c r="G10377" i="5"/>
  <c r="G10811" i="5"/>
  <c r="G1366" i="5"/>
  <c r="G2155" i="5"/>
  <c r="H2574" i="5"/>
  <c r="E510" i="8" s="1"/>
  <c r="G9485" i="5"/>
  <c r="G10664" i="5"/>
  <c r="H10238" i="5"/>
  <c r="E4381" i="8" s="1"/>
  <c r="G11002" i="5"/>
  <c r="H662" i="5"/>
  <c r="E126" i="8" s="1"/>
  <c r="G8599" i="5"/>
  <c r="G4499" i="5"/>
  <c r="G889" i="5"/>
  <c r="G564" i="5"/>
  <c r="H2822" i="5"/>
  <c r="E775" i="8" s="1"/>
  <c r="G3074" i="5"/>
  <c r="G1622" i="5"/>
  <c r="G2107" i="5"/>
  <c r="G1861" i="5"/>
  <c r="G4766" i="5"/>
  <c r="G3266" i="5"/>
  <c r="G3391" i="5"/>
  <c r="G5601" i="5"/>
  <c r="G7678" i="5"/>
  <c r="H7945" i="5"/>
  <c r="E3329" i="8" s="1"/>
  <c r="G8483" i="5"/>
  <c r="G8746" i="5"/>
  <c r="H10277" i="5"/>
  <c r="E4393" i="8" s="1"/>
  <c r="G11352" i="5"/>
  <c r="G10705" i="5"/>
  <c r="G9464" i="5"/>
  <c r="H982" i="5"/>
  <c r="E181" i="8" s="1"/>
  <c r="G11947" i="5"/>
  <c r="G2403" i="5"/>
  <c r="G296" i="5"/>
  <c r="G1207" i="5"/>
  <c r="G327" i="5"/>
  <c r="G1166" i="5"/>
  <c r="H217" i="5"/>
  <c r="E49" i="8" s="1"/>
  <c r="G3471" i="5"/>
  <c r="H2582" i="5"/>
  <c r="E512" i="8" s="1"/>
  <c r="G2342" i="5"/>
  <c r="G2382" i="5"/>
  <c r="H2381" i="5" s="1"/>
  <c r="E371" i="8" s="1"/>
  <c r="H4821" i="5"/>
  <c r="E1184" i="8" s="1"/>
  <c r="G2590" i="5"/>
  <c r="G2714" i="5"/>
  <c r="G4069" i="5"/>
  <c r="G5074" i="5"/>
  <c r="G5101" i="5"/>
  <c r="G5635" i="5"/>
  <c r="G5217" i="5"/>
  <c r="H7510" i="5"/>
  <c r="E3225" i="8" s="1"/>
  <c r="G6407" i="5"/>
  <c r="G642" i="5"/>
  <c r="G7396" i="5"/>
  <c r="G712" i="5"/>
  <c r="G1316" i="5"/>
  <c r="G1696" i="5"/>
  <c r="G1347" i="5"/>
  <c r="G1201" i="5"/>
  <c r="G1979" i="5"/>
  <c r="G1582" i="5"/>
  <c r="G1671" i="5"/>
  <c r="G4061" i="5"/>
  <c r="G3825" i="5"/>
  <c r="G3984" i="5"/>
  <c r="G4476" i="5"/>
  <c r="G4772" i="5"/>
  <c r="G4175" i="5"/>
  <c r="G4054" i="5"/>
  <c r="G5970" i="5"/>
  <c r="G5182" i="5"/>
  <c r="G7773" i="5"/>
  <c r="G8669" i="5"/>
  <c r="G9575" i="5"/>
  <c r="G9338" i="5"/>
  <c r="G9557" i="5"/>
  <c r="G977" i="5"/>
  <c r="G1384" i="5"/>
  <c r="G4418" i="5"/>
  <c r="G5286" i="5"/>
  <c r="G5295" i="5"/>
  <c r="G5438" i="5"/>
  <c r="G5566" i="5"/>
  <c r="G9034" i="5"/>
  <c r="G9302" i="5"/>
  <c r="G11616" i="5"/>
  <c r="G1213" i="5"/>
  <c r="G963" i="5"/>
  <c r="G1609" i="5"/>
  <c r="G266" i="5"/>
  <c r="G469" i="5"/>
  <c r="G2072" i="5"/>
  <c r="G2281" i="5"/>
  <c r="G5241" i="5"/>
  <c r="G3557" i="5"/>
  <c r="G4152" i="5"/>
  <c r="G4554" i="5"/>
  <c r="G3426" i="5"/>
  <c r="G5501" i="5"/>
  <c r="G4027" i="5"/>
  <c r="G4465" i="5"/>
  <c r="H5786" i="5"/>
  <c r="E1547" i="8" s="1"/>
  <c r="G5575" i="5"/>
  <c r="G5842" i="5"/>
  <c r="G6382" i="5"/>
  <c r="G6507" i="5"/>
  <c r="G7765" i="5"/>
  <c r="H9110" i="5"/>
  <c r="E3953" i="8" s="1"/>
  <c r="G9437" i="5"/>
  <c r="G8853" i="5"/>
  <c r="H9346" i="5"/>
  <c r="E4048" i="8" s="1"/>
  <c r="G9624" i="5"/>
  <c r="G8829" i="5"/>
  <c r="G11323" i="5"/>
  <c r="G11973" i="5"/>
  <c r="G11677" i="5"/>
  <c r="G11876" i="5"/>
  <c r="H9894" i="5"/>
  <c r="E4292" i="8" s="1"/>
  <c r="G243" i="5"/>
  <c r="G1900" i="5"/>
  <c r="G11111" i="5"/>
  <c r="G9739" i="5"/>
  <c r="G8716" i="5"/>
  <c r="G1239" i="5"/>
  <c r="G1918" i="5"/>
  <c r="G2947" i="5"/>
  <c r="G5308" i="5"/>
  <c r="G6417" i="5"/>
  <c r="H6734" i="5"/>
  <c r="E2813" i="8" s="1"/>
  <c r="G4577" i="5"/>
  <c r="G6046" i="5"/>
  <c r="H7845" i="5"/>
  <c r="E3304" i="8" s="1"/>
  <c r="G8600" i="5"/>
  <c r="G9314" i="5"/>
  <c r="G8893" i="5"/>
  <c r="G8696" i="5"/>
  <c r="G9238" i="5"/>
  <c r="G9062" i="5"/>
  <c r="G9793" i="5"/>
  <c r="G11162" i="5"/>
  <c r="G11527" i="5"/>
  <c r="G11256" i="5"/>
  <c r="G11122" i="5"/>
  <c r="G11709" i="5"/>
  <c r="G8571" i="5"/>
  <c r="H9166" i="5"/>
  <c r="E3969" i="8" s="1"/>
  <c r="H8069" i="5"/>
  <c r="E3360" i="8" s="1"/>
  <c r="G8710" i="5"/>
  <c r="G257" i="5"/>
  <c r="G1334" i="5"/>
  <c r="G410" i="5"/>
  <c r="G258" i="5"/>
  <c r="G1813" i="5"/>
  <c r="G3893" i="5"/>
  <c r="G2443" i="5"/>
  <c r="G3722" i="5"/>
  <c r="G4144" i="5"/>
  <c r="G1960" i="5"/>
  <c r="G2434" i="5"/>
  <c r="H2618" i="5"/>
  <c r="E564" i="8" s="1"/>
  <c r="H2846" i="5"/>
  <c r="E845" i="8" s="1"/>
  <c r="G4257" i="5"/>
  <c r="G5279" i="5"/>
  <c r="G4882" i="5"/>
  <c r="H6222" i="5"/>
  <c r="G4474" i="5"/>
  <c r="G5321" i="5"/>
  <c r="G4473" i="5"/>
  <c r="H4471" i="5" s="1"/>
  <c r="E1141" i="8" s="1"/>
  <c r="G5826" i="5"/>
  <c r="G4637" i="5"/>
  <c r="G6282" i="5"/>
  <c r="G9170" i="5"/>
  <c r="G8005" i="5"/>
  <c r="G7801" i="5"/>
  <c r="G8520" i="5"/>
  <c r="G7973" i="5"/>
  <c r="G7732" i="5"/>
  <c r="G8462" i="5"/>
  <c r="G9508" i="5"/>
  <c r="G8620" i="5"/>
  <c r="G9821" i="5"/>
  <c r="G9713" i="5"/>
  <c r="G11145" i="5"/>
  <c r="G11049" i="5"/>
  <c r="G11421" i="5"/>
  <c r="G11637" i="5"/>
  <c r="G11727" i="5"/>
  <c r="G11087" i="5"/>
  <c r="G11801" i="5"/>
  <c r="G753" i="6"/>
  <c r="G9579" i="5"/>
  <c r="G9689" i="5"/>
  <c r="G11871" i="5"/>
  <c r="G11729" i="5"/>
  <c r="G5752" i="5"/>
  <c r="G575" i="5"/>
  <c r="H571" i="5" s="1"/>
  <c r="E113" i="8" s="1"/>
  <c r="G1924" i="5"/>
  <c r="G1804" i="5"/>
  <c r="G2362" i="5"/>
  <c r="G2000" i="5"/>
  <c r="G3446" i="5"/>
  <c r="G4416" i="5"/>
  <c r="G4758" i="5"/>
  <c r="H5910" i="5"/>
  <c r="E1832" i="8" s="1"/>
  <c r="G4952" i="5"/>
  <c r="H5942" i="5"/>
  <c r="E1842" i="8" s="1"/>
  <c r="G5264" i="5"/>
  <c r="G5256" i="5"/>
  <c r="G6628" i="5"/>
  <c r="G7645" i="5"/>
  <c r="G6563" i="5"/>
  <c r="H10608" i="5"/>
  <c r="E4540" i="8" s="1"/>
  <c r="G11019" i="5"/>
  <c r="G369" i="5"/>
  <c r="H367" i="5" s="1"/>
  <c r="E88" i="8" s="1"/>
  <c r="G830" i="5"/>
  <c r="G10710" i="5"/>
  <c r="G7559" i="5"/>
  <c r="G1878" i="5"/>
  <c r="H1050" i="5"/>
  <c r="E190" i="8" s="1"/>
  <c r="G1602" i="5"/>
  <c r="G1058" i="5"/>
  <c r="G1948" i="5"/>
  <c r="G1638" i="5"/>
  <c r="H2598" i="5"/>
  <c r="E516" i="8" s="1"/>
  <c r="G2273" i="5"/>
  <c r="G3289" i="5"/>
  <c r="G3921" i="5"/>
  <c r="G4888" i="5"/>
  <c r="G4714" i="5"/>
  <c r="G3956" i="5"/>
  <c r="G5740" i="5"/>
  <c r="G3165" i="5"/>
  <c r="G3357" i="5"/>
  <c r="G5175" i="5"/>
  <c r="G5199" i="5"/>
  <c r="G5367" i="5"/>
  <c r="G6613" i="5"/>
  <c r="G5595" i="5"/>
  <c r="G4951" i="5"/>
  <c r="G5606" i="5"/>
  <c r="G5870" i="5"/>
  <c r="G9448" i="5"/>
  <c r="G6460" i="5"/>
  <c r="G8867" i="5"/>
  <c r="H9354" i="5"/>
  <c r="E4050" i="8" s="1"/>
  <c r="G8630" i="5"/>
  <c r="G9370" i="5"/>
  <c r="H9914" i="5"/>
  <c r="E4297" i="8" s="1"/>
  <c r="H10281" i="5"/>
  <c r="E4394" i="8" s="1"/>
  <c r="G10445" i="5"/>
  <c r="G10988" i="5"/>
  <c r="H10797" i="5"/>
  <c r="E4592" i="8" s="1"/>
  <c r="G11703" i="5"/>
  <c r="G11766" i="5"/>
  <c r="G1307" i="5"/>
  <c r="G694" i="5"/>
  <c r="G1967" i="5"/>
  <c r="G1631" i="5"/>
  <c r="G11001" i="5"/>
  <c r="G5674" i="5"/>
  <c r="G4917" i="5"/>
  <c r="G5642" i="5"/>
  <c r="G3625" i="5"/>
  <c r="G1899" i="5"/>
  <c r="G894" i="5"/>
  <c r="H1270" i="5"/>
  <c r="E222" i="8" s="1"/>
  <c r="G1795" i="5"/>
  <c r="G654" i="5"/>
  <c r="G1665" i="5"/>
  <c r="G1014" i="5"/>
  <c r="G2396" i="5"/>
  <c r="G1691" i="5"/>
  <c r="G3190" i="5"/>
  <c r="G2042" i="5"/>
  <c r="G2233" i="5"/>
  <c r="G3331" i="5"/>
  <c r="G1989" i="5"/>
  <c r="G3558" i="5"/>
  <c r="G4467" i="5"/>
  <c r="G4343" i="5"/>
  <c r="G4376" i="5"/>
  <c r="G4112" i="5"/>
  <c r="G5041" i="5"/>
  <c r="G5144" i="5"/>
  <c r="G4666" i="5"/>
  <c r="G4895" i="5"/>
  <c r="G4835" i="5"/>
  <c r="G5109" i="5"/>
  <c r="H6034" i="5"/>
  <c r="E1872" i="8" s="1"/>
  <c r="G6014" i="5"/>
  <c r="H7691" i="5"/>
  <c r="E3266" i="8" s="1"/>
  <c r="G7383" i="5"/>
  <c r="G6323" i="5"/>
  <c r="G7638" i="5"/>
  <c r="G9494" i="5"/>
  <c r="G9707" i="5"/>
  <c r="G8816" i="5"/>
  <c r="G10953" i="5"/>
  <c r="G10864" i="5"/>
  <c r="G11266" i="5"/>
  <c r="G10872" i="5"/>
  <c r="G11620" i="5"/>
  <c r="G11684" i="5"/>
  <c r="F794" i="6"/>
  <c r="G793" i="6" s="1"/>
  <c r="F358" i="6"/>
  <c r="G7238" i="5"/>
  <c r="G8217" i="5"/>
  <c r="G7102" i="5"/>
  <c r="G8237" i="5"/>
  <c r="G7006" i="5"/>
  <c r="G8345" i="5"/>
  <c r="G10928" i="5"/>
  <c r="G8385" i="5"/>
  <c r="G6352" i="5"/>
  <c r="G1317" i="5"/>
  <c r="G11735" i="5"/>
  <c r="G11218" i="5"/>
  <c r="G7415" i="5"/>
  <c r="G3054" i="5"/>
  <c r="G2988" i="5"/>
  <c r="G4531" i="5"/>
  <c r="H2570" i="5"/>
  <c r="E509" i="8" s="1"/>
  <c r="H5834" i="5"/>
  <c r="E1574" i="8" s="1"/>
  <c r="G4875" i="5"/>
  <c r="G509" i="5"/>
  <c r="G842" i="5"/>
  <c r="G573" i="5"/>
  <c r="G5412" i="5"/>
  <c r="G2015" i="5"/>
  <c r="G1088" i="5"/>
  <c r="G1894" i="5"/>
  <c r="H6006" i="5"/>
  <c r="E1863" i="8" s="1"/>
  <c r="G6643" i="5"/>
  <c r="G6475" i="5"/>
  <c r="G8097" i="5"/>
  <c r="G2164" i="5"/>
  <c r="G11066" i="5"/>
  <c r="G8528" i="5"/>
  <c r="G1046" i="5"/>
  <c r="G961" i="5"/>
  <c r="G1676" i="5"/>
  <c r="G4707" i="5"/>
  <c r="G4943" i="5"/>
  <c r="G4741" i="5"/>
  <c r="G6351" i="5"/>
  <c r="G6429" i="5"/>
  <c r="H9046" i="5"/>
  <c r="E3936" i="8" s="1"/>
  <c r="G8787" i="5"/>
  <c r="G10894" i="5"/>
  <c r="G10717" i="5"/>
  <c r="F621" i="6"/>
  <c r="G620" i="6" s="1"/>
  <c r="G1584" i="5"/>
  <c r="G10817" i="5"/>
  <c r="G3114" i="5"/>
  <c r="G666" i="5"/>
  <c r="G2462" i="5"/>
  <c r="G3647" i="5"/>
  <c r="G4351" i="5"/>
  <c r="G3299" i="5"/>
  <c r="G4168" i="5"/>
  <c r="G5027" i="5"/>
  <c r="H4859" i="5"/>
  <c r="E1224" i="8" s="1"/>
  <c r="G5494" i="5"/>
  <c r="G4674" i="5"/>
  <c r="G8910" i="5"/>
  <c r="G9114" i="5"/>
  <c r="G8698" i="5"/>
  <c r="G9616" i="5"/>
  <c r="G11194" i="5"/>
  <c r="G11033" i="5"/>
  <c r="G11621" i="5"/>
  <c r="G11482" i="5"/>
  <c r="G19" i="7"/>
  <c r="G9549" i="5"/>
  <c r="G9760" i="5"/>
  <c r="G8739" i="5"/>
  <c r="G6594" i="5"/>
  <c r="G5303" i="5"/>
  <c r="G2974" i="5"/>
  <c r="G5547" i="5"/>
  <c r="G4583" i="5"/>
  <c r="G4767" i="5"/>
  <c r="H6086" i="5"/>
  <c r="E1890" i="8" s="1"/>
  <c r="G957" i="5"/>
  <c r="G1527" i="5"/>
  <c r="G11426" i="5"/>
  <c r="G4616" i="5"/>
  <c r="G4638" i="5"/>
  <c r="G1494" i="5"/>
  <c r="G816" i="5"/>
  <c r="G3591" i="5"/>
  <c r="G3250" i="5"/>
  <c r="G4062" i="5"/>
  <c r="G1883" i="5"/>
  <c r="G3343" i="5"/>
  <c r="G3322" i="5"/>
  <c r="G3701" i="5"/>
  <c r="G4521" i="5"/>
  <c r="G5034" i="5"/>
  <c r="G4715" i="5"/>
  <c r="G5232" i="5"/>
  <c r="G5452" i="5"/>
  <c r="G6585" i="5"/>
  <c r="G7502" i="5"/>
  <c r="G6266" i="5"/>
  <c r="G7708" i="5"/>
  <c r="G8792" i="5"/>
  <c r="H9386" i="5"/>
  <c r="E4064" i="8" s="1"/>
  <c r="H9930" i="5"/>
  <c r="E4301" i="8" s="1"/>
  <c r="H8253" i="5"/>
  <c r="E3406" i="8" s="1"/>
  <c r="G9701" i="5"/>
  <c r="H10194" i="5"/>
  <c r="E4369" i="8" s="1"/>
  <c r="G10984" i="5"/>
  <c r="G10968" i="5"/>
  <c r="G11415" i="5"/>
  <c r="G11702" i="5"/>
  <c r="G11566" i="5"/>
  <c r="G11414" i="5"/>
  <c r="H11411" i="5" s="1"/>
  <c r="E4727" i="8" s="1"/>
  <c r="G11772" i="5"/>
  <c r="H204" i="5"/>
  <c r="E46" i="8" s="1"/>
  <c r="G718" i="5"/>
  <c r="G1329" i="5"/>
  <c r="G8709" i="5"/>
  <c r="G5391" i="5"/>
  <c r="G1820" i="5"/>
  <c r="G1371" i="5"/>
  <c r="G542" i="5"/>
  <c r="G1145" i="5"/>
  <c r="G3124" i="5"/>
  <c r="G3939" i="5"/>
  <c r="G4420" i="5"/>
  <c r="G4668" i="5"/>
  <c r="G7679" i="5"/>
  <c r="H9154" i="5"/>
  <c r="E3965" i="8" s="1"/>
  <c r="G8589" i="5"/>
  <c r="G11096" i="5"/>
  <c r="G11623" i="5"/>
  <c r="G11694" i="5"/>
  <c r="G2132" i="5"/>
  <c r="G5258" i="5"/>
  <c r="G1759" i="5"/>
  <c r="G829" i="5"/>
  <c r="G1478" i="5"/>
  <c r="G3089" i="5"/>
  <c r="G3934" i="5"/>
  <c r="G3385" i="5"/>
  <c r="G2980" i="5"/>
  <c r="G4370" i="5"/>
  <c r="G4192" i="5"/>
  <c r="G4594" i="5"/>
  <c r="H5810" i="5"/>
  <c r="E1568" i="8" s="1"/>
  <c r="H5794" i="5"/>
  <c r="E1549" i="8" s="1"/>
  <c r="G8149" i="5"/>
  <c r="G10810" i="5"/>
  <c r="G11227" i="5"/>
  <c r="G10755" i="5"/>
  <c r="G9054" i="5"/>
  <c r="G96" i="5"/>
  <c r="G507" i="5"/>
  <c r="G6381" i="5"/>
  <c r="G329" i="5"/>
  <c r="G2034" i="5"/>
  <c r="G3034" i="5"/>
  <c r="G3481" i="5"/>
  <c r="G3636" i="5"/>
  <c r="G119" i="5"/>
  <c r="G1831" i="5"/>
  <c r="G11059" i="5"/>
  <c r="G9506" i="5"/>
  <c r="G5188" i="5"/>
  <c r="G3771" i="5"/>
  <c r="G5728" i="5"/>
  <c r="G3616" i="5"/>
  <c r="G533" i="5"/>
  <c r="G1943" i="5"/>
  <c r="G491" i="5"/>
  <c r="G800" i="5"/>
  <c r="G634" i="5"/>
  <c r="G2139" i="5"/>
  <c r="G3372" i="5"/>
  <c r="G2280" i="5"/>
  <c r="G2086" i="5"/>
  <c r="G3215" i="5"/>
  <c r="G2626" i="5"/>
  <c r="G3809" i="5"/>
  <c r="G4800" i="5"/>
  <c r="H3839" i="5"/>
  <c r="E1034" i="8" s="1"/>
  <c r="G4179" i="5"/>
  <c r="G3170" i="5"/>
  <c r="G4908" i="5"/>
  <c r="G6449" i="5"/>
  <c r="G5154" i="5"/>
  <c r="G5445" i="5"/>
  <c r="H6090" i="5"/>
  <c r="E1891" i="8" s="1"/>
  <c r="G5488" i="5"/>
  <c r="G4587" i="5"/>
  <c r="G6347" i="5"/>
  <c r="G6428" i="5"/>
  <c r="G7386" i="5"/>
  <c r="G7632" i="5"/>
  <c r="H9234" i="5"/>
  <c r="E3987" i="8" s="1"/>
  <c r="G8621" i="5"/>
  <c r="G7580" i="5"/>
  <c r="H7941" i="5"/>
  <c r="E3328" i="8" s="1"/>
  <c r="G8728" i="5"/>
  <c r="G8401" i="5"/>
  <c r="G9670" i="5"/>
  <c r="G9795" i="5"/>
  <c r="G10442" i="5"/>
  <c r="G10940" i="5"/>
  <c r="G11872" i="5"/>
  <c r="G10916" i="5"/>
  <c r="G11982" i="5"/>
  <c r="G11984" i="5"/>
  <c r="F42" i="7"/>
  <c r="G38" i="7" s="1"/>
  <c r="H39" i="5"/>
  <c r="E13" i="8" s="1"/>
  <c r="G335" i="5"/>
  <c r="G1015" i="5"/>
  <c r="G11855" i="5"/>
  <c r="G8916" i="5"/>
  <c r="G5168" i="5"/>
  <c r="G5514" i="5"/>
  <c r="G3834" i="5"/>
  <c r="G1359" i="5"/>
  <c r="G35" i="5"/>
  <c r="G1554" i="5"/>
  <c r="G721" i="5"/>
  <c r="G1287" i="5"/>
  <c r="G3309" i="5"/>
  <c r="G2468" i="5"/>
  <c r="G1692" i="5"/>
  <c r="H2566" i="5"/>
  <c r="E508" i="8" s="1"/>
  <c r="G5686" i="5"/>
  <c r="G5153" i="5"/>
  <c r="G2786" i="5"/>
  <c r="G3137" i="5"/>
  <c r="G3739" i="5"/>
  <c r="G4411" i="5"/>
  <c r="G5533" i="5"/>
  <c r="H5818" i="5"/>
  <c r="E1570" i="8" s="1"/>
  <c r="G6629" i="5"/>
  <c r="G5405" i="5"/>
  <c r="H6130" i="5"/>
  <c r="E1901" i="8" s="1"/>
  <c r="G7465" i="5"/>
  <c r="G7480" i="5"/>
  <c r="H8153" i="5"/>
  <c r="E3381" i="8" s="1"/>
  <c r="G7382" i="5"/>
  <c r="G9463" i="5"/>
  <c r="G10865" i="5"/>
  <c r="G9854" i="5"/>
  <c r="G9950" i="5"/>
  <c r="G10357" i="5"/>
  <c r="G11291" i="5"/>
  <c r="G11050" i="5"/>
  <c r="G10365" i="5"/>
  <c r="G11795" i="5"/>
  <c r="G11695" i="5"/>
  <c r="G11778" i="5"/>
  <c r="G11965" i="5"/>
  <c r="G1655" i="5"/>
  <c r="G1739" i="5"/>
  <c r="G11075" i="5"/>
  <c r="G7743" i="5"/>
  <c r="G3696" i="5"/>
  <c r="G3344" i="5"/>
  <c r="G3221" i="5"/>
  <c r="G1265" i="5"/>
  <c r="G937" i="5"/>
  <c r="G420" i="5"/>
  <c r="G1109" i="5"/>
  <c r="G2266" i="5"/>
  <c r="G617" i="5"/>
  <c r="G930" i="5"/>
  <c r="G2444" i="5"/>
  <c r="G2306" i="5"/>
  <c r="G1589" i="5"/>
  <c r="G3453" i="5"/>
  <c r="G3727" i="5"/>
  <c r="G3707" i="5"/>
  <c r="G4389" i="5"/>
  <c r="G2502" i="5"/>
  <c r="G3519" i="5"/>
  <c r="G4230" i="5"/>
  <c r="H4228" i="5" s="1"/>
  <c r="E1112" i="8" s="1"/>
  <c r="G3315" i="5"/>
  <c r="G3280" i="5"/>
  <c r="H6050" i="5"/>
  <c r="E1878" i="8" s="1"/>
  <c r="G5248" i="5"/>
  <c r="G5417" i="5"/>
  <c r="G5457" i="5"/>
  <c r="G6453" i="5"/>
  <c r="G4706" i="5"/>
  <c r="G7619" i="5"/>
  <c r="G8566" i="5"/>
  <c r="G7661" i="5"/>
  <c r="G8901" i="5"/>
  <c r="G7655" i="5"/>
  <c r="G8944" i="5"/>
  <c r="G8590" i="5"/>
  <c r="H9038" i="5"/>
  <c r="E3933" i="8" s="1"/>
  <c r="G9700" i="5"/>
  <c r="G9178" i="5"/>
  <c r="G9009" i="5"/>
  <c r="G9902" i="5"/>
  <c r="G10317" i="5"/>
  <c r="H11007" i="5"/>
  <c r="E4637" i="8" s="1"/>
  <c r="G10816" i="5"/>
  <c r="G11650" i="5"/>
  <c r="G11724" i="5"/>
  <c r="G11494" i="5"/>
  <c r="F191" i="6"/>
  <c r="G191" i="6" s="1"/>
  <c r="G9702" i="5"/>
  <c r="H134" i="5"/>
  <c r="E32" i="8" s="1"/>
  <c r="G1137" i="5"/>
  <c r="G8578" i="5"/>
  <c r="G4037" i="5"/>
  <c r="G4267" i="5"/>
  <c r="G3132" i="5"/>
  <c r="G2424" i="5"/>
  <c r="G859" i="5"/>
  <c r="G1193" i="5"/>
  <c r="G752" i="5"/>
  <c r="G473" i="5"/>
  <c r="G1172" i="5"/>
  <c r="H2542" i="5"/>
  <c r="E499" i="8" s="1"/>
  <c r="G3059" i="5"/>
  <c r="H2546" i="5"/>
  <c r="E501" i="8" s="1"/>
  <c r="H5806" i="5"/>
  <c r="E1566" i="8" s="1"/>
  <c r="G5207" i="5"/>
  <c r="G2429" i="5"/>
  <c r="G4408" i="5"/>
  <c r="G4359" i="5"/>
  <c r="G3386" i="5"/>
  <c r="H3383" i="5" s="1"/>
  <c r="E938" i="8" s="1"/>
  <c r="G3533" i="5"/>
  <c r="G6388" i="5"/>
  <c r="G5320" i="5"/>
  <c r="G5782" i="5"/>
  <c r="G5914" i="5"/>
  <c r="G7354" i="5"/>
  <c r="G7586" i="5"/>
  <c r="G7772" i="5"/>
  <c r="G7466" i="5"/>
  <c r="G8467" i="5"/>
  <c r="G9613" i="5"/>
  <c r="G9691" i="5"/>
  <c r="G9807" i="5"/>
  <c r="G9599" i="5"/>
  <c r="G10759" i="5"/>
  <c r="G10785" i="5"/>
  <c r="G10807" i="5"/>
  <c r="G11725" i="5"/>
  <c r="G11407" i="5"/>
  <c r="G11599" i="5"/>
  <c r="G11834" i="5"/>
  <c r="H9966" i="5"/>
  <c r="E4310" i="8" s="1"/>
  <c r="G9074" i="5"/>
  <c r="G10876" i="5"/>
  <c r="G1083" i="5"/>
  <c r="G1973" i="5"/>
  <c r="H948" i="5"/>
  <c r="E176" i="8" s="1"/>
  <c r="G11877" i="5"/>
  <c r="G11067" i="5"/>
  <c r="G7613" i="5"/>
  <c r="G5373" i="5"/>
  <c r="G4239" i="5"/>
  <c r="G4191" i="5"/>
  <c r="G2890" i="5"/>
  <c r="G1888" i="5"/>
  <c r="G1644" i="5"/>
  <c r="G25" i="5"/>
  <c r="G458" i="5"/>
  <c r="H456" i="5" s="1"/>
  <c r="E98" i="8" s="1"/>
  <c r="G802" i="5"/>
  <c r="H2482" i="5"/>
  <c r="E413" i="8" s="1"/>
  <c r="G2964" i="5"/>
  <c r="H1905" i="5"/>
  <c r="E302" i="8" s="1"/>
  <c r="H4339" i="5"/>
  <c r="E1128" i="8" s="1"/>
  <c r="G3072" i="5"/>
  <c r="G3768" i="5"/>
  <c r="G4044" i="5"/>
  <c r="G5013" i="5"/>
  <c r="G4670" i="5"/>
  <c r="G5567" i="5"/>
  <c r="G4392" i="5"/>
  <c r="G5346" i="5"/>
  <c r="G6339" i="5"/>
  <c r="G5542" i="5"/>
  <c r="G6379" i="5"/>
  <c r="H7506" i="5"/>
  <c r="E3222" i="8" s="1"/>
  <c r="H7893" i="5"/>
  <c r="E3316" i="8" s="1"/>
  <c r="G7395" i="5"/>
  <c r="G7553" i="5"/>
  <c r="G6214" i="5"/>
  <c r="H8157" i="5"/>
  <c r="E3382" i="8" s="1"/>
  <c r="G9573" i="5"/>
  <c r="G9672" i="5"/>
  <c r="G8723" i="5"/>
  <c r="G8742" i="5"/>
  <c r="H10226" i="5"/>
  <c r="E4378" i="8" s="1"/>
  <c r="G9809" i="5"/>
  <c r="G10839" i="5"/>
  <c r="G11204" i="5"/>
  <c r="G10906" i="5"/>
  <c r="G10852" i="5"/>
  <c r="G10058" i="5"/>
  <c r="G11118" i="5"/>
  <c r="G11388" i="5"/>
  <c r="G11547" i="5"/>
  <c r="G10793" i="5"/>
  <c r="G743" i="6"/>
  <c r="G9440" i="5"/>
  <c r="H10182" i="5"/>
  <c r="E4364" i="8" s="1"/>
  <c r="H10944" i="5"/>
  <c r="E4624" i="8" s="1"/>
  <c r="G11796" i="5"/>
  <c r="H825" i="5"/>
  <c r="E153" i="8" s="1"/>
  <c r="H670" i="5"/>
  <c r="E128" i="8" s="1"/>
  <c r="G178" i="5"/>
  <c r="G11175" i="5"/>
  <c r="G9449" i="5"/>
  <c r="G8804" i="5"/>
  <c r="G5698" i="5"/>
  <c r="G3003" i="5"/>
  <c r="G2088" i="5"/>
  <c r="G601" i="5"/>
  <c r="G1540" i="5"/>
  <c r="G1561" i="5"/>
  <c r="G273" i="5"/>
  <c r="G672" i="5"/>
  <c r="G991" i="5"/>
  <c r="G2463" i="5"/>
  <c r="G3911" i="5"/>
  <c r="G1534" i="5"/>
  <c r="G1949" i="5"/>
  <c r="G2241" i="5"/>
  <c r="G2875" i="5"/>
  <c r="G3735" i="5"/>
  <c r="G3495" i="5"/>
  <c r="G4310" i="5"/>
  <c r="G3745" i="5"/>
  <c r="G5356" i="5"/>
  <c r="G4581" i="5"/>
  <c r="G5596" i="5"/>
  <c r="G6549" i="5"/>
  <c r="G8585" i="5"/>
  <c r="G7318" i="5"/>
  <c r="H9150" i="5"/>
  <c r="E3964" i="8" s="1"/>
  <c r="G9535" i="5"/>
  <c r="G11103" i="5"/>
  <c r="G11250" i="5"/>
  <c r="G30" i="5"/>
  <c r="G837" i="5"/>
  <c r="G11651" i="5"/>
  <c r="G10757" i="5"/>
  <c r="G8659" i="5"/>
  <c r="G5271" i="5"/>
  <c r="G5704" i="5"/>
  <c r="G4180" i="5"/>
  <c r="G5233" i="5"/>
  <c r="G2881" i="5"/>
  <c r="G287" i="5"/>
  <c r="G759" i="5"/>
  <c r="G378" i="5"/>
  <c r="G3351" i="5"/>
  <c r="G1418" i="5"/>
  <c r="G1984" i="5"/>
  <c r="G3044" i="5"/>
  <c r="G2464" i="5"/>
  <c r="G3679" i="5"/>
  <c r="G1937" i="5"/>
  <c r="H2646" i="5"/>
  <c r="E572" i="8" s="1"/>
  <c r="H2710" i="5"/>
  <c r="E585" i="8" s="1"/>
  <c r="G2996" i="5"/>
  <c r="G3458" i="5"/>
  <c r="G4285" i="5"/>
  <c r="G4847" i="5"/>
  <c r="G4659" i="5"/>
  <c r="G4628" i="5"/>
  <c r="G4983" i="5"/>
  <c r="H5974" i="5"/>
  <c r="E1852" i="8" s="1"/>
  <c r="G5079" i="5"/>
  <c r="G4698" i="5"/>
  <c r="G6649" i="5"/>
  <c r="G5020" i="5"/>
  <c r="G6536" i="5"/>
  <c r="G6378" i="5"/>
  <c r="G7614" i="5"/>
  <c r="H9182" i="5"/>
  <c r="E3973" i="8" s="1"/>
  <c r="G8695" i="5"/>
  <c r="H9050" i="5"/>
  <c r="E3937" i="8" s="1"/>
  <c r="G9671" i="5"/>
  <c r="G9659" i="5"/>
  <c r="G10042" i="5"/>
  <c r="G9761" i="5"/>
  <c r="G9770" i="5"/>
  <c r="G10841" i="5"/>
  <c r="G11199" i="5"/>
  <c r="G11366" i="5"/>
  <c r="H11361" i="5"/>
  <c r="E4706" i="8" s="1"/>
  <c r="G11936" i="5"/>
  <c r="G673" i="5"/>
  <c r="G11531" i="5"/>
  <c r="G8660" i="5"/>
  <c r="G6526" i="5"/>
  <c r="G2987" i="5"/>
  <c r="H750" i="5"/>
  <c r="E144" i="8" s="1"/>
  <c r="G1493" i="5"/>
  <c r="G1180" i="5"/>
  <c r="G386" i="5"/>
  <c r="G1533" i="5"/>
  <c r="G1615" i="5"/>
  <c r="G1845" i="5"/>
  <c r="G1645" i="5"/>
  <c r="G2057" i="5"/>
  <c r="G2044" i="5"/>
  <c r="H2642" i="5"/>
  <c r="E571" i="8" s="1"/>
  <c r="G2205" i="5"/>
  <c r="H2474" i="5"/>
  <c r="E410" i="8" s="1"/>
  <c r="G4014" i="5"/>
  <c r="G3365" i="5"/>
  <c r="H2478" i="5"/>
  <c r="E412" i="8" s="1"/>
  <c r="G3976" i="5"/>
  <c r="G5560" i="5"/>
  <c r="G4996" i="5"/>
  <c r="G4455" i="5"/>
  <c r="G5613" i="5"/>
  <c r="G5205" i="5"/>
  <c r="G5349" i="5"/>
  <c r="H5922" i="5"/>
  <c r="E1836" i="8" s="1"/>
  <c r="G5625" i="5"/>
  <c r="G5950" i="5"/>
  <c r="G8902" i="5"/>
  <c r="G6262" i="5"/>
  <c r="G8828" i="5"/>
  <c r="G9514" i="5"/>
  <c r="G8777" i="5"/>
  <c r="G9146" i="5"/>
  <c r="G9602" i="5"/>
  <c r="G9688" i="5"/>
  <c r="H9882" i="5"/>
  <c r="E4289" i="8" s="1"/>
  <c r="H10170" i="5"/>
  <c r="E4361" i="8" s="1"/>
  <c r="G11189" i="5"/>
  <c r="H10584" i="5"/>
  <c r="E4527" i="8" s="1"/>
  <c r="G11372" i="5"/>
  <c r="G11314" i="5"/>
  <c r="G11236" i="5"/>
  <c r="G11854" i="5"/>
  <c r="G11859" i="5"/>
  <c r="G11821" i="5"/>
  <c r="G8205" i="5"/>
  <c r="G8233" i="5"/>
  <c r="G8421" i="5"/>
  <c r="G2292" i="5"/>
  <c r="G2065" i="5"/>
  <c r="G4041" i="5"/>
  <c r="G4268" i="5"/>
  <c r="G5146" i="5"/>
  <c r="G5335" i="5"/>
  <c r="G5249" i="5"/>
  <c r="G5998" i="5"/>
  <c r="G8679" i="5"/>
  <c r="G9771" i="5"/>
  <c r="H9866" i="5"/>
  <c r="E4285" i="8" s="1"/>
  <c r="G10718" i="5"/>
  <c r="G11525" i="5"/>
  <c r="G11750" i="5"/>
  <c r="G1260" i="5"/>
  <c r="G1291" i="5"/>
  <c r="H688" i="5"/>
  <c r="E130" i="8" s="1"/>
  <c r="G1521" i="5"/>
  <c r="G9542" i="5"/>
  <c r="G2314" i="5"/>
  <c r="G1448" i="5"/>
  <c r="H2514" i="5"/>
  <c r="E473" i="8" s="1"/>
  <c r="G3661" i="5"/>
  <c r="G4428" i="5"/>
  <c r="G5668" i="5"/>
  <c r="G4511" i="5"/>
  <c r="G5296" i="5"/>
  <c r="G5495" i="5"/>
  <c r="G6356" i="5"/>
  <c r="G5493" i="5"/>
  <c r="G5586" i="5"/>
  <c r="G6413" i="5"/>
  <c r="G6399" i="5"/>
  <c r="G7488" i="5"/>
  <c r="H8708" i="5"/>
  <c r="E3548" i="8" s="1"/>
  <c r="H8101" i="5"/>
  <c r="E3368" i="8" s="1"/>
  <c r="G10857" i="5"/>
  <c r="H10488" i="5"/>
  <c r="E4488" i="8" s="1"/>
  <c r="G9858" i="5"/>
  <c r="H11130" i="5"/>
  <c r="E4653" i="8" s="1"/>
  <c r="G11095" i="5"/>
  <c r="G10840" i="5"/>
  <c r="G10801" i="5"/>
  <c r="G11719" i="5"/>
  <c r="G11397" i="5"/>
  <c r="H11806" i="5"/>
  <c r="E4829" i="8" s="1"/>
  <c r="F28" i="7"/>
  <c r="G8494" i="5"/>
  <c r="G8882" i="5"/>
  <c r="G10745" i="5"/>
  <c r="G1966" i="5"/>
  <c r="G1590" i="5"/>
  <c r="G11058" i="5"/>
  <c r="G7644" i="5"/>
  <c r="G5378" i="5"/>
  <c r="G1020" i="5"/>
  <c r="G428" i="5"/>
  <c r="G279" i="5"/>
  <c r="G996" i="5"/>
  <c r="G20" i="5"/>
  <c r="G583" i="5"/>
  <c r="G2325" i="5"/>
  <c r="G2345" i="5"/>
  <c r="G3887" i="5"/>
  <c r="G2917" i="5"/>
  <c r="G3824" i="5"/>
  <c r="G2750" i="5"/>
  <c r="G3582" i="5"/>
  <c r="G3511" i="5"/>
  <c r="G5294" i="5"/>
  <c r="G4315" i="5"/>
  <c r="G5558" i="5"/>
  <c r="G4178" i="5"/>
  <c r="G5475" i="5"/>
  <c r="G6448" i="5"/>
  <c r="G5394" i="5"/>
  <c r="G6302" i="5"/>
  <c r="G4076" i="5"/>
  <c r="G4660" i="5"/>
  <c r="G5336" i="5"/>
  <c r="G6482" i="5"/>
  <c r="G6357" i="5"/>
  <c r="G8982" i="5"/>
  <c r="G7759" i="5"/>
  <c r="G8924" i="5"/>
  <c r="G6318" i="5"/>
  <c r="G8113" i="5"/>
  <c r="G8952" i="5"/>
  <c r="G8009" i="5"/>
  <c r="G8895" i="5"/>
  <c r="G8740" i="5"/>
  <c r="H10234" i="5"/>
  <c r="E4380" i="8" s="1"/>
  <c r="G9817" i="5"/>
  <c r="G10313" i="5"/>
  <c r="H9683" i="5"/>
  <c r="E4255" i="8" s="1"/>
  <c r="G11117" i="5"/>
  <c r="G11382" i="5"/>
  <c r="G11540" i="5"/>
  <c r="G11959" i="5"/>
  <c r="G9410" i="5"/>
  <c r="H10492" i="5"/>
  <c r="E4489" i="8" s="1"/>
  <c r="G624" i="5"/>
  <c r="G2211" i="5"/>
  <c r="G244" i="5"/>
  <c r="G1670" i="5"/>
  <c r="G869" i="5"/>
  <c r="G448" i="5"/>
  <c r="G770" i="5"/>
  <c r="H768" i="5" s="1"/>
  <c r="E146" i="8" s="1"/>
  <c r="G1479" i="5"/>
  <c r="G2056" i="5"/>
  <c r="G2058" i="5"/>
  <c r="G1999" i="5"/>
  <c r="G2257" i="5"/>
  <c r="G2887" i="5"/>
  <c r="G3417" i="5"/>
  <c r="G4198" i="5"/>
  <c r="G2498" i="5"/>
  <c r="G2780" i="5"/>
  <c r="G3004" i="5"/>
  <c r="G3300" i="5"/>
  <c r="G3246" i="5"/>
  <c r="G4332" i="5"/>
  <c r="G5073" i="5"/>
  <c r="H6258" i="5"/>
  <c r="E2290" i="8" s="1"/>
  <c r="G4805" i="5"/>
  <c r="G5481" i="5"/>
  <c r="G5266" i="5"/>
  <c r="G4407" i="5"/>
  <c r="G5067" i="5"/>
  <c r="G5850" i="5"/>
  <c r="G4730" i="5"/>
  <c r="G6560" i="5"/>
  <c r="H5410" i="5"/>
  <c r="E1341" i="8" s="1"/>
  <c r="H9094" i="5"/>
  <c r="E3949" i="8" s="1"/>
  <c r="G8538" i="5"/>
  <c r="H9226" i="5"/>
  <c r="E3985" i="8" s="1"/>
  <c r="G8454" i="5"/>
  <c r="G7518" i="5"/>
  <c r="G8546" i="5"/>
  <c r="G8769" i="5"/>
  <c r="G8976" i="5"/>
  <c r="G9810" i="5"/>
  <c r="G10252" i="5"/>
  <c r="G9723" i="5"/>
  <c r="G11481" i="5"/>
  <c r="G10991" i="5"/>
  <c r="G11108" i="5"/>
  <c r="G11272" i="5"/>
  <c r="G11611" i="5"/>
  <c r="G11864" i="5"/>
  <c r="G11125" i="5"/>
  <c r="G11728" i="5"/>
  <c r="G11260" i="5"/>
  <c r="G7565" i="5"/>
  <c r="G7785" i="5"/>
  <c r="H7784" i="5" s="1"/>
  <c r="E3285" i="8" s="1"/>
  <c r="G9934" i="5"/>
  <c r="G10596" i="5"/>
  <c r="G10452" i="5"/>
  <c r="G11630" i="5"/>
  <c r="H1024" i="5"/>
  <c r="E187" i="8" s="1"/>
  <c r="G7481" i="5"/>
  <c r="G3227" i="5"/>
  <c r="G584" i="5"/>
  <c r="G1522" i="5"/>
  <c r="G129" i="5"/>
  <c r="G2092" i="5"/>
  <c r="H2734" i="5"/>
  <c r="E686" i="8" s="1"/>
  <c r="G1772" i="5"/>
  <c r="G2409" i="5"/>
  <c r="G2250" i="5"/>
  <c r="H2630" i="5"/>
  <c r="E568" i="8" s="1"/>
  <c r="H5031" i="5"/>
  <c r="E1263" i="8" s="1"/>
  <c r="H2526" i="5"/>
  <c r="E477" i="8" s="1"/>
  <c r="G4458" i="5"/>
  <c r="H3804" i="5"/>
  <c r="E1006" i="8" s="1"/>
  <c r="G5331" i="5"/>
  <c r="H4066" i="5"/>
  <c r="E1081" i="8" s="1"/>
  <c r="G5172" i="5"/>
  <c r="H6314" i="5"/>
  <c r="E2504" i="8" s="1"/>
  <c r="G5302" i="5"/>
  <c r="G5091" i="5"/>
  <c r="G6580" i="5"/>
  <c r="G6420" i="5"/>
  <c r="G5862" i="5"/>
  <c r="G6206" i="5"/>
  <c r="G6479" i="5"/>
  <c r="G8201" i="5"/>
  <c r="G11561" i="5"/>
  <c r="G11462" i="5"/>
  <c r="H11699" i="5"/>
  <c r="E4808" i="8" s="1"/>
  <c r="G11935" i="5"/>
  <c r="H186" i="5"/>
  <c r="E43" i="8" s="1"/>
  <c r="G558" i="5"/>
  <c r="G1463" i="5"/>
  <c r="H54" i="5"/>
  <c r="E16" i="8" s="1"/>
  <c r="G733" i="5"/>
  <c r="G1038" i="5"/>
  <c r="G1360" i="5"/>
  <c r="H920" i="5"/>
  <c r="E172" i="8" s="1"/>
  <c r="G1232" i="5"/>
  <c r="G1650" i="5"/>
  <c r="G914" i="5"/>
  <c r="G2806" i="5"/>
  <c r="G2895" i="5"/>
  <c r="G2876" i="5"/>
  <c r="G2148" i="5"/>
  <c r="G3210" i="5"/>
  <c r="G4872" i="5"/>
  <c r="G3995" i="5"/>
  <c r="G3378" i="5"/>
  <c r="G4393" i="5"/>
  <c r="H3818" i="5"/>
  <c r="E1017" i="8" s="1"/>
  <c r="H4108" i="5"/>
  <c r="E1088" i="8" s="1"/>
  <c r="G5265" i="5"/>
  <c r="G3740" i="5"/>
  <c r="G5451" i="5"/>
  <c r="G5083" i="5"/>
  <c r="G5482" i="5"/>
  <c r="G5630" i="5"/>
  <c r="G5372" i="5"/>
  <c r="G7651" i="5"/>
  <c r="G7114" i="5"/>
  <c r="H7370" i="5"/>
  <c r="E3101" i="8" s="1"/>
  <c r="G7715" i="5"/>
  <c r="G8684" i="5"/>
  <c r="H9118" i="5"/>
  <c r="E3955" i="8" s="1"/>
  <c r="G8177" i="5"/>
  <c r="H9286" i="5"/>
  <c r="E4000" i="8" s="1"/>
  <c r="G9500" i="5"/>
  <c r="G9438" i="5"/>
  <c r="G9816" i="5"/>
  <c r="G10982" i="5"/>
  <c r="G11153" i="5"/>
  <c r="G11080" i="5"/>
  <c r="G10484" i="5"/>
  <c r="G11342" i="5"/>
  <c r="G11315" i="5"/>
  <c r="G11923" i="5"/>
  <c r="F83" i="7"/>
  <c r="G1120" i="5"/>
  <c r="G1808" i="5"/>
  <c r="G10966" i="5"/>
  <c r="G7563" i="5"/>
  <c r="G5656" i="5"/>
  <c r="G4162" i="5"/>
  <c r="G4684" i="5"/>
  <c r="G2469" i="5"/>
  <c r="G1449" i="5"/>
  <c r="G1091" i="5"/>
  <c r="G2010" i="5"/>
  <c r="G1092" i="5"/>
  <c r="G1135" i="5"/>
  <c r="G2225" i="5"/>
  <c r="G1365" i="5"/>
  <c r="G1621" i="5"/>
  <c r="G1978" i="5"/>
  <c r="G3624" i="5"/>
  <c r="G4536" i="5"/>
  <c r="G3589" i="5"/>
  <c r="G4509" i="5"/>
  <c r="H4248" i="5"/>
  <c r="E1115" i="8" s="1"/>
  <c r="G5469" i="5"/>
  <c r="G3581" i="5"/>
  <c r="G4403" i="5"/>
  <c r="G5583" i="5"/>
  <c r="G4007" i="5"/>
  <c r="G6547" i="5"/>
  <c r="G4759" i="5"/>
  <c r="H6274" i="5"/>
  <c r="E2299" i="8" s="1"/>
  <c r="G7246" i="5"/>
  <c r="H5854" i="5"/>
  <c r="E1605" i="8" s="1"/>
  <c r="G6361" i="5"/>
  <c r="G8932" i="5"/>
  <c r="G7493" i="5"/>
  <c r="G7676" i="5"/>
  <c r="H8033" i="5"/>
  <c r="E3351" i="8" s="1"/>
  <c r="G9589" i="5"/>
  <c r="G9434" i="5"/>
  <c r="H10421" i="5"/>
  <c r="E4464" i="8" s="1"/>
  <c r="H9910" i="5"/>
  <c r="E4296" i="8" s="1"/>
  <c r="G9750" i="5"/>
  <c r="G9789" i="5"/>
  <c r="G11234" i="5"/>
  <c r="G11205" i="5"/>
  <c r="G10592" i="5"/>
  <c r="G11389" i="5"/>
  <c r="G11953" i="5"/>
  <c r="G11476" i="5"/>
  <c r="G11978" i="5"/>
  <c r="G7302" i="5"/>
  <c r="G8365" i="5"/>
  <c r="H1135" i="5" l="1"/>
  <c r="E202" i="8" s="1"/>
  <c r="H11935" i="5"/>
  <c r="E4851" i="8" s="1"/>
  <c r="H3624" i="5"/>
  <c r="E975" i="8" s="1"/>
  <c r="H8952" i="5"/>
  <c r="E3599" i="8" s="1"/>
  <c r="H5613" i="5"/>
  <c r="E1386" i="8" s="1"/>
  <c r="H5270" i="5"/>
  <c r="E1320" i="8" s="1"/>
  <c r="H7395" i="5"/>
  <c r="E3132" i="8" s="1"/>
  <c r="H8566" i="5"/>
  <c r="E3500" i="8" s="1"/>
  <c r="H10365" i="5"/>
  <c r="E4426" i="8" s="1"/>
  <c r="H7382" i="5"/>
  <c r="E3131" i="8" s="1"/>
  <c r="H533" i="5"/>
  <c r="E108" i="8" s="1"/>
  <c r="H6266" i="5"/>
  <c r="E2296" i="8" s="1"/>
  <c r="H3250" i="5"/>
  <c r="E919" i="8" s="1"/>
  <c r="H2461" i="5"/>
  <c r="E384" i="8" s="1"/>
  <c r="H961" i="5"/>
  <c r="E178" i="8" s="1"/>
  <c r="H4666" i="5"/>
  <c r="E1166" i="8" s="1"/>
  <c r="H3722" i="5"/>
  <c r="E989" i="8" s="1"/>
  <c r="G7150" i="5"/>
  <c r="H11347" i="5"/>
  <c r="E4693" i="8" s="1"/>
  <c r="H5262" i="5"/>
  <c r="E1319" i="8" s="1"/>
  <c r="H11518" i="5"/>
  <c r="E4761" i="8" s="1"/>
  <c r="H10433" i="5"/>
  <c r="E4472" i="8" s="1"/>
  <c r="H5468" i="5"/>
  <c r="E1354" i="8" s="1"/>
  <c r="H3210" i="5"/>
  <c r="E912" i="8" s="1"/>
  <c r="H10452" i="5"/>
  <c r="E4476" i="8" s="1"/>
  <c r="H10596" i="5"/>
  <c r="E4530" i="8" s="1"/>
  <c r="H4007" i="5"/>
  <c r="E1071" i="8" s="1"/>
  <c r="H10484" i="5"/>
  <c r="E4487" i="8" s="1"/>
  <c r="G8309" i="5"/>
  <c r="H1463" i="5"/>
  <c r="E246" i="8" s="1"/>
  <c r="H473" i="5"/>
  <c r="E100" i="8" s="1"/>
  <c r="H8944" i="5"/>
  <c r="E3597" i="8" s="1"/>
  <c r="H2502" i="5"/>
  <c r="E421" i="8" s="1"/>
  <c r="H3727" i="5"/>
  <c r="E991" i="8" s="1"/>
  <c r="H1734" i="5"/>
  <c r="E282" i="8" s="1"/>
  <c r="H11795" i="5"/>
  <c r="E4828" i="8" s="1"/>
  <c r="H2786" i="5"/>
  <c r="E721" i="8" s="1"/>
  <c r="H10916" i="5"/>
  <c r="E4617" i="8" s="1"/>
  <c r="H491" i="5"/>
  <c r="E102" i="8" s="1"/>
  <c r="H119" i="5"/>
  <c r="E29" i="8" s="1"/>
  <c r="G8129" i="5"/>
  <c r="H1371" i="5"/>
  <c r="E237" i="8" s="1"/>
  <c r="H7502" i="5"/>
  <c r="E3220" i="8" s="1"/>
  <c r="H8787" i="5"/>
  <c r="E3560" i="8" s="1"/>
  <c r="H3054" i="5"/>
  <c r="E883" i="8" s="1"/>
  <c r="H6014" i="5"/>
  <c r="E1866" i="8" s="1"/>
  <c r="H5144" i="5"/>
  <c r="E1285" i="8" s="1"/>
  <c r="H1665" i="5"/>
  <c r="E273" i="8" s="1"/>
  <c r="H4917" i="5"/>
  <c r="E1246" i="8" s="1"/>
  <c r="H3355" i="5"/>
  <c r="E934" i="8" s="1"/>
  <c r="H1057" i="5"/>
  <c r="E191" i="8" s="1"/>
  <c r="H2361" i="5"/>
  <c r="E369" i="8" s="1"/>
  <c r="H11145" i="5"/>
  <c r="E4655" i="8" s="1"/>
  <c r="H6282" i="5"/>
  <c r="E2315" i="8" s="1"/>
  <c r="H3893" i="5"/>
  <c r="E1044" i="8" s="1"/>
  <c r="H1205" i="5"/>
  <c r="E212" i="8" s="1"/>
  <c r="H2947" i="5"/>
  <c r="E865" i="8" s="1"/>
  <c r="H5842" i="5"/>
  <c r="E1576" i="8" s="1"/>
  <c r="H975" i="5"/>
  <c r="E180" i="8" s="1"/>
  <c r="H3390" i="5"/>
  <c r="E939" i="8" s="1"/>
  <c r="H8301" i="5"/>
  <c r="E3418" i="8" s="1"/>
  <c r="H2838" i="5"/>
  <c r="E833" i="8" s="1"/>
  <c r="H9455" i="5"/>
  <c r="E4220" i="8" s="1"/>
  <c r="H6062" i="5"/>
  <c r="E1884" i="8" s="1"/>
  <c r="H382" i="5"/>
  <c r="E90" i="8" s="1"/>
  <c r="H4796" i="5"/>
  <c r="E1181" i="8" s="1"/>
  <c r="H898" i="5"/>
  <c r="E165" i="8" s="1"/>
  <c r="H8782" i="5"/>
  <c r="E3559" i="8" s="1"/>
  <c r="H10285" i="5"/>
  <c r="E4395" i="8" s="1"/>
  <c r="H8833" i="5"/>
  <c r="E3568" i="8" s="1"/>
  <c r="G4863" i="5"/>
  <c r="H4516" i="5"/>
  <c r="E1146" i="8" s="1"/>
  <c r="H9290" i="5"/>
  <c r="E4001" i="8" s="1"/>
  <c r="H1637" i="5"/>
  <c r="E268" i="8" s="1"/>
  <c r="H10289" i="5"/>
  <c r="E4396" i="8" s="1"/>
  <c r="H6626" i="5"/>
  <c r="E2709" i="8" s="1"/>
  <c r="H8105" i="5"/>
  <c r="E3369" i="8" s="1"/>
  <c r="G7837" i="5"/>
  <c r="H3928" i="5"/>
  <c r="E1064" i="8" s="1"/>
  <c r="G8429" i="5"/>
  <c r="H3185" i="5"/>
  <c r="E907" i="8" s="1"/>
  <c r="H1346" i="5"/>
  <c r="E233" i="8" s="1"/>
  <c r="H138" i="5"/>
  <c r="E33" i="8" s="1"/>
  <c r="H847" i="5"/>
  <c r="E157" i="8" s="1"/>
  <c r="H8906" i="5"/>
  <c r="E3587" i="8" s="1"/>
  <c r="G7374" i="5"/>
  <c r="H5443" i="5"/>
  <c r="E1348" i="8" s="1"/>
  <c r="H4363" i="5"/>
  <c r="E1131" i="8" s="1"/>
  <c r="H1626" i="5"/>
  <c r="E266" i="8" s="1"/>
  <c r="G8425" i="5"/>
  <c r="H3200" i="5"/>
  <c r="E910" i="8" s="1"/>
  <c r="H2905" i="5"/>
  <c r="E857" i="8" s="1"/>
  <c r="H1942" i="5"/>
  <c r="E308" i="8" s="1"/>
  <c r="H8968" i="5"/>
  <c r="E3603" i="8" s="1"/>
  <c r="H716" i="5"/>
  <c r="E133" i="8" s="1"/>
  <c r="H927" i="5"/>
  <c r="E173" i="8" s="1"/>
  <c r="H8265" i="5"/>
  <c r="E3409" i="8" s="1"/>
  <c r="H8297" i="5"/>
  <c r="E3417" i="8" s="1"/>
  <c r="G7254" i="5"/>
  <c r="H4290" i="5"/>
  <c r="E1120" i="8" s="1"/>
  <c r="H5192" i="5"/>
  <c r="E1292" i="8" s="1"/>
  <c r="H9122" i="5"/>
  <c r="E3957" i="8" s="1"/>
  <c r="H4498" i="5"/>
  <c r="E1144" i="8" s="1"/>
  <c r="H3369" i="5"/>
  <c r="E936" i="8" s="1"/>
  <c r="H5165" i="5"/>
  <c r="E1288" i="8" s="1"/>
  <c r="H4256" i="5"/>
  <c r="E1116" i="8" s="1"/>
  <c r="H732" i="5"/>
  <c r="E135" i="8" s="1"/>
  <c r="G7086" i="5"/>
  <c r="H2562" i="5"/>
  <c r="E507" i="8" s="1"/>
  <c r="H1704" i="5"/>
  <c r="E279" i="8" s="1"/>
  <c r="H11047" i="5"/>
  <c r="E4642" i="8" s="1"/>
  <c r="H9444" i="5"/>
  <c r="E4218" i="8" s="1"/>
  <c r="H8560" i="5"/>
  <c r="E3499" i="8" s="1"/>
  <c r="H1257" i="5"/>
  <c r="E220" i="8" s="1"/>
  <c r="H49" i="5"/>
  <c r="E15" i="8" s="1"/>
  <c r="H10309" i="5"/>
  <c r="E4401" i="8" s="1"/>
  <c r="G7174" i="5"/>
  <c r="G4851" i="5"/>
  <c r="G8241" i="5"/>
  <c r="G6878" i="5"/>
  <c r="H5716" i="5"/>
  <c r="E1419" i="8" s="1"/>
  <c r="H2932" i="5"/>
  <c r="E862" i="8" s="1"/>
  <c r="H8503" i="5"/>
  <c r="E3487" i="8" s="1"/>
  <c r="H2041" i="5"/>
  <c r="E325" i="8" s="1"/>
  <c r="H6862" i="5"/>
  <c r="E2873" i="8" s="1"/>
  <c r="H9222" i="5"/>
  <c r="E3984" i="8" s="1"/>
  <c r="H8635" i="5"/>
  <c r="E3514" i="8" s="1"/>
  <c r="H1837" i="5"/>
  <c r="E294" i="8" s="1"/>
  <c r="H9512" i="5"/>
  <c r="E4228" i="8" s="1"/>
  <c r="H5057" i="5"/>
  <c r="E1267" i="8" s="1"/>
  <c r="H3832" i="5"/>
  <c r="E1019" i="8" s="1"/>
  <c r="H2957" i="5"/>
  <c r="E867" i="8" s="1"/>
  <c r="H11972" i="5"/>
  <c r="E4857" i="8" s="1"/>
  <c r="H2311" i="5"/>
  <c r="E364" i="8" s="1"/>
  <c r="H3094" i="5"/>
  <c r="E891" i="8" s="1"/>
  <c r="H2969" i="5"/>
  <c r="E869" i="8" s="1"/>
  <c r="H1559" i="5"/>
  <c r="E257" i="8" s="1"/>
  <c r="H8552" i="5"/>
  <c r="E3496" i="8" s="1"/>
  <c r="H2351" i="5"/>
  <c r="E368" i="8" s="1"/>
  <c r="H6392" i="5"/>
  <c r="E2604" i="8" s="1"/>
  <c r="H6250" i="5"/>
  <c r="E2219" i="8" s="1"/>
  <c r="H9572" i="5"/>
  <c r="E4236" i="8" s="1"/>
  <c r="H3205" i="5"/>
  <c r="E911" i="8" s="1"/>
  <c r="H10437" i="5"/>
  <c r="E4473" i="8" s="1"/>
  <c r="H4049" i="5"/>
  <c r="E1078" i="8" s="1"/>
  <c r="H9745" i="5"/>
  <c r="E4260" i="8" s="1"/>
  <c r="H9274" i="5"/>
  <c r="E3997" i="8" s="1"/>
  <c r="H2224" i="5"/>
  <c r="E350" i="8" s="1"/>
  <c r="H9712" i="5"/>
  <c r="E4257" i="8" s="1"/>
  <c r="H8575" i="5"/>
  <c r="E3501" i="8" s="1"/>
  <c r="H8887" i="5"/>
  <c r="E3584" i="8" s="1"/>
  <c r="H2299" i="5"/>
  <c r="E362" i="8" s="1"/>
  <c r="H9786" i="5"/>
  <c r="E4266" i="8" s="1"/>
  <c r="H774" i="5"/>
  <c r="E147" i="8" s="1"/>
  <c r="H7758" i="5"/>
  <c r="E3282" i="8" s="1"/>
  <c r="H9190" i="5"/>
  <c r="E3975" i="8" s="1"/>
  <c r="H1243" i="5"/>
  <c r="E218" i="8" s="1"/>
  <c r="H5538" i="5"/>
  <c r="E1366" i="8" s="1"/>
  <c r="H1566" i="5"/>
  <c r="E258" i="8" s="1"/>
  <c r="H3104" i="5"/>
  <c r="E893" i="8" s="1"/>
  <c r="H1972" i="5"/>
  <c r="E313" i="8" s="1"/>
  <c r="H3605" i="5"/>
  <c r="E973" i="8" s="1"/>
  <c r="H506" i="5"/>
  <c r="E104" i="8" s="1"/>
  <c r="G4843" i="5"/>
  <c r="H3717" i="5"/>
  <c r="E988" i="8" s="1"/>
  <c r="H2830" i="5"/>
  <c r="E819" i="8" s="1"/>
  <c r="H1365" i="5"/>
  <c r="E236" i="8" s="1"/>
  <c r="H3227" i="5"/>
  <c r="E915" i="8" s="1"/>
  <c r="H11480" i="5"/>
  <c r="E4750" i="8" s="1"/>
  <c r="H11953" i="5"/>
  <c r="E4854" i="8" s="1"/>
  <c r="H7246" i="5"/>
  <c r="E3039" i="8" s="1"/>
  <c r="H1978" i="5"/>
  <c r="E314" i="8" s="1"/>
  <c r="H914" i="5"/>
  <c r="E171" i="8" s="1"/>
  <c r="G7226" i="5"/>
  <c r="H6302" i="5"/>
  <c r="E2384" i="8" s="1"/>
  <c r="H1019" i="5"/>
  <c r="E186" i="8" s="1"/>
  <c r="H4983" i="5"/>
  <c r="E1255" i="8" s="1"/>
  <c r="H4847" i="5"/>
  <c r="E1210" i="8" s="1"/>
  <c r="H279" i="5"/>
  <c r="E80" i="8" s="1"/>
  <c r="H7643" i="5"/>
  <c r="E3259" i="8" s="1"/>
  <c r="H8881" i="5"/>
  <c r="E3583" i="8" s="1"/>
  <c r="G10948" i="5"/>
  <c r="H6356" i="5"/>
  <c r="E2599" i="8" s="1"/>
  <c r="H2292" i="5"/>
  <c r="E361" i="8" s="1"/>
  <c r="H5950" i="5"/>
  <c r="E1844" i="8" s="1"/>
  <c r="G6782" i="5"/>
  <c r="G8281" i="5"/>
  <c r="H4331" i="5"/>
  <c r="E1126" i="8" s="1"/>
  <c r="H3679" i="5"/>
  <c r="E982" i="8" s="1"/>
  <c r="H30" i="5"/>
  <c r="E11" i="8" s="1"/>
  <c r="H7318" i="5"/>
  <c r="E3091" i="8" s="1"/>
  <c r="H6214" i="5"/>
  <c r="E2088" i="8" s="1"/>
  <c r="H2964" i="5"/>
  <c r="E868" i="8" s="1"/>
  <c r="G8213" i="5"/>
  <c r="H7492" i="5"/>
  <c r="E3218" i="8" s="1"/>
  <c r="H8932" i="5"/>
  <c r="E3594" i="8" s="1"/>
  <c r="H6546" i="5"/>
  <c r="E2622" i="8" s="1"/>
  <c r="H8177" i="5"/>
  <c r="E3387" i="8" s="1"/>
  <c r="H2806" i="5"/>
  <c r="E742" i="8" s="1"/>
  <c r="H1231" i="5"/>
  <c r="E216" i="8" s="1"/>
  <c r="H5862" i="5"/>
  <c r="E1607" i="8" s="1"/>
  <c r="H5172" i="5"/>
  <c r="E1289" i="8" s="1"/>
  <c r="H8976" i="5"/>
  <c r="E3627" i="8" s="1"/>
  <c r="H5850" i="5"/>
  <c r="E1604" i="8" s="1"/>
  <c r="H2256" i="5"/>
  <c r="E354" i="8" s="1"/>
  <c r="H448" i="5"/>
  <c r="E97" i="8" s="1"/>
  <c r="G6830" i="5"/>
  <c r="H2750" i="5"/>
  <c r="E715" i="8" s="1"/>
  <c r="H5377" i="5"/>
  <c r="E1337" i="8" s="1"/>
  <c r="H11524" i="5"/>
  <c r="E4762" i="8" s="1"/>
  <c r="H5998" i="5"/>
  <c r="E1861" i="8" s="1"/>
  <c r="H4041" i="5"/>
  <c r="E1077" i="8" s="1"/>
  <c r="H11372" i="5"/>
  <c r="E4721" i="8" s="1"/>
  <c r="G6910" i="5"/>
  <c r="H1984" i="5"/>
  <c r="E315" i="8" s="1"/>
  <c r="H991" i="5"/>
  <c r="E182" i="8" s="1"/>
  <c r="H11173" i="5"/>
  <c r="E4659" i="8" s="1"/>
  <c r="H11834" i="5"/>
  <c r="E4834" i="8" s="1"/>
  <c r="H5914" i="5"/>
  <c r="E1833" i="8" s="1"/>
  <c r="H4267" i="5"/>
  <c r="E1117" i="8" s="1"/>
  <c r="H9007" i="5"/>
  <c r="E3913" i="8" s="1"/>
  <c r="H7618" i="5"/>
  <c r="E3255" i="8" s="1"/>
  <c r="H6453" i="5"/>
  <c r="E2613" i="8" s="1"/>
  <c r="H617" i="5"/>
  <c r="E118" i="8" s="1"/>
  <c r="H35" i="5"/>
  <c r="E12" i="8" s="1"/>
  <c r="G7897" i="5"/>
  <c r="H3170" i="5"/>
  <c r="E904" i="8" s="1"/>
  <c r="H2280" i="5"/>
  <c r="E359" i="8" s="1"/>
  <c r="H5728" i="5"/>
  <c r="E1421" i="8" s="1"/>
  <c r="H1478" i="5"/>
  <c r="E247" i="8" s="1"/>
  <c r="G8145" i="5"/>
  <c r="G6990" i="5"/>
  <c r="H539" i="5"/>
  <c r="E109" i="8" s="1"/>
  <c r="H11566" i="5"/>
  <c r="E4772" i="8" s="1"/>
  <c r="H1526" i="5"/>
  <c r="E252" i="8" s="1"/>
  <c r="H3114" i="5"/>
  <c r="E895" i="8" s="1"/>
  <c r="G8109" i="5"/>
  <c r="H9370" i="5"/>
  <c r="E4058" i="8" s="1"/>
  <c r="H4714" i="5"/>
  <c r="E1171" i="8" s="1"/>
  <c r="H1924" i="5"/>
  <c r="E305" i="8" s="1"/>
  <c r="H5826" i="5"/>
  <c r="E1572" i="8" s="1"/>
  <c r="H2434" i="5"/>
  <c r="E380" i="8" s="1"/>
  <c r="H466" i="5"/>
  <c r="E99" i="8" s="1"/>
  <c r="G8277" i="5"/>
  <c r="H11876" i="5"/>
  <c r="E4840" i="8" s="1"/>
  <c r="H9034" i="5"/>
  <c r="E3932" i="8" s="1"/>
  <c r="H8668" i="5"/>
  <c r="E3541" i="8" s="1"/>
  <c r="H4175" i="5"/>
  <c r="E1101" i="8" s="1"/>
  <c r="H5238" i="5"/>
  <c r="E1316" i="8" s="1"/>
  <c r="H2714" i="5"/>
  <c r="E586" i="8" s="1"/>
  <c r="H8914" i="5"/>
  <c r="E3588" i="8" s="1"/>
  <c r="H2106" i="5"/>
  <c r="E334" i="8" s="1"/>
  <c r="H8599" i="5"/>
  <c r="E3509" i="8" s="1"/>
  <c r="H9485" i="5"/>
  <c r="E4224" i="8" s="1"/>
  <c r="H2154" i="5"/>
  <c r="E340" i="8" s="1"/>
  <c r="H6210" i="5"/>
  <c r="E2081" i="8" s="1"/>
  <c r="G8325" i="5"/>
  <c r="H10269" i="5"/>
  <c r="E4391" i="8" s="1"/>
  <c r="H7401" i="5"/>
  <c r="E3133" i="8" s="1"/>
  <c r="H5276" i="5"/>
  <c r="E1321" i="8" s="1"/>
  <c r="H2942" i="5"/>
  <c r="E864" i="8" s="1"/>
  <c r="H6126" i="5"/>
  <c r="E1900" i="8" s="1"/>
  <c r="F91" i="7"/>
  <c r="H9366" i="5"/>
  <c r="E4057" i="8" s="1"/>
  <c r="H9926" i="5"/>
  <c r="E4300" i="8" s="1"/>
  <c r="H7590" i="5"/>
  <c r="E3251" i="8" s="1"/>
  <c r="H2305" i="5"/>
  <c r="E363" i="8" s="1"/>
  <c r="H11560" i="5"/>
  <c r="E4771" i="8" s="1"/>
  <c r="H10771" i="5"/>
  <c r="E4588" i="8" s="1"/>
  <c r="H2285" i="5"/>
  <c r="E360" i="8" s="1"/>
  <c r="H11265" i="5"/>
  <c r="E4673" i="8" s="1"/>
  <c r="G8169" i="5"/>
  <c r="H5402" i="5"/>
  <c r="E1340" i="8" s="1"/>
  <c r="G2818" i="5"/>
  <c r="H5204" i="5"/>
  <c r="E1294" i="8" s="1"/>
  <c r="H3863" i="5"/>
  <c r="E1039" i="8" s="1"/>
  <c r="H8809" i="5"/>
  <c r="E3564" i="8" s="1"/>
  <c r="H10958" i="5"/>
  <c r="E4631" i="8" s="1"/>
  <c r="H5134" i="5"/>
  <c r="E1283" i="8" s="1"/>
  <c r="H11514" i="5"/>
  <c r="E4760" i="8" s="1"/>
  <c r="H8956" i="5"/>
  <c r="E3600" i="8" s="1"/>
  <c r="H10556" i="5"/>
  <c r="E4518" i="8" s="1"/>
  <c r="H8664" i="5"/>
  <c r="E3537" i="8" s="1"/>
  <c r="H8733" i="5"/>
  <c r="E3553" i="8" s="1"/>
  <c r="H5038" i="5"/>
  <c r="E1264" i="8" s="1"/>
  <c r="H2130" i="5"/>
  <c r="E337" i="8" s="1"/>
  <c r="H2762" i="5"/>
  <c r="E717" i="8" s="1"/>
  <c r="H3180" i="5"/>
  <c r="E906" i="8" s="1"/>
  <c r="H8641" i="5"/>
  <c r="E3515" i="8" s="1"/>
  <c r="H5526" i="5"/>
  <c r="E1364" i="8" s="1"/>
  <c r="H8702" i="5"/>
  <c r="E3547" i="8" s="1"/>
  <c r="G7885" i="5"/>
  <c r="H3320" i="5"/>
  <c r="E929" i="8" s="1"/>
  <c r="H5198" i="5"/>
  <c r="E1293" i="8" s="1"/>
  <c r="H4130" i="5"/>
  <c r="E1095" i="8" s="1"/>
  <c r="G6718" i="5"/>
  <c r="H6619" i="5"/>
  <c r="E2708" i="8" s="1"/>
  <c r="H11764" i="5"/>
  <c r="E4823" i="8" s="1"/>
  <c r="G7965" i="5"/>
  <c r="G8373" i="5"/>
  <c r="H6605" i="5"/>
  <c r="E2706" i="8" s="1"/>
  <c r="H2622" i="5"/>
  <c r="E566" i="8" s="1"/>
  <c r="H8721" i="5"/>
  <c r="E3550" i="8" s="1"/>
  <c r="H208" i="5"/>
  <c r="E47" i="8" s="1"/>
  <c r="H8025" i="5"/>
  <c r="E3349" i="8" s="1"/>
  <c r="H4621" i="5"/>
  <c r="E1160" i="8" s="1"/>
  <c r="H1514" i="5"/>
  <c r="E250" i="8" s="1"/>
  <c r="G10912" i="5"/>
  <c r="G8141" i="5"/>
  <c r="G10920" i="5"/>
  <c r="G8305" i="5"/>
  <c r="H4568" i="5"/>
  <c r="E1154" i="8" s="1"/>
  <c r="H4325" i="5"/>
  <c r="E1125" i="8" s="1"/>
  <c r="H73" i="5"/>
  <c r="E19" i="8" s="1"/>
  <c r="H11459" i="5"/>
  <c r="E4747" i="8" s="1"/>
  <c r="H5180" i="5"/>
  <c r="E1290" i="8" s="1"/>
  <c r="G8165" i="5"/>
  <c r="H5938" i="5"/>
  <c r="E1841" i="8" s="1"/>
  <c r="H4086" i="5"/>
  <c r="E1083" i="8" s="1"/>
  <c r="H2927" i="5"/>
  <c r="E861" i="8" s="1"/>
  <c r="H11434" i="5"/>
  <c r="E4731" i="8" s="1"/>
  <c r="H1264" i="5"/>
  <c r="E221" i="8" s="1"/>
  <c r="H5078" i="5"/>
  <c r="E1270" i="8" s="1"/>
  <c r="H2900" i="5"/>
  <c r="E856" i="8" s="1"/>
  <c r="H7713" i="5"/>
  <c r="E3269" i="8" s="1"/>
  <c r="H10835" i="5"/>
  <c r="E4600" i="8" s="1"/>
  <c r="H5360" i="5"/>
  <c r="E1335" i="8" s="1"/>
  <c r="H678" i="5"/>
  <c r="E129" i="8" s="1"/>
  <c r="H8482" i="5"/>
  <c r="E3482" i="8" s="1"/>
  <c r="H6531" i="5"/>
  <c r="E2620" i="8" s="1"/>
  <c r="H4356" i="5"/>
  <c r="E1130" i="8" s="1"/>
  <c r="H6094" i="5"/>
  <c r="E1892" i="8" s="1"/>
  <c r="H3314" i="5"/>
  <c r="E928" i="8" s="1"/>
  <c r="H5629" i="5"/>
  <c r="E1392" i="8" s="1"/>
  <c r="H8821" i="5"/>
  <c r="E3566" i="8" s="1"/>
  <c r="H955" i="5"/>
  <c r="E177" i="8" s="1"/>
  <c r="H95" i="5"/>
  <c r="E24" i="8" s="1"/>
  <c r="H10218" i="5"/>
  <c r="E4376" i="8" s="1"/>
  <c r="H2869" i="5"/>
  <c r="E851" i="8" s="1"/>
  <c r="H4912" i="5"/>
  <c r="E1245" i="8" s="1"/>
  <c r="H11537" i="5"/>
  <c r="E4765" i="8" s="1"/>
  <c r="H3466" i="5"/>
  <c r="E955" i="8" s="1"/>
  <c r="H834" i="5"/>
  <c r="E155" i="8" s="1"/>
  <c r="H6962" i="5"/>
  <c r="E2900" i="8" s="1"/>
  <c r="H11108" i="5"/>
  <c r="E4650" i="8" s="1"/>
  <c r="G7821" i="5"/>
  <c r="G7809" i="5"/>
  <c r="H5346" i="5"/>
  <c r="E1333" i="8" s="1"/>
  <c r="H5456" i="5"/>
  <c r="E1352" i="8" s="1"/>
  <c r="G8337" i="5"/>
  <c r="H11122" i="5"/>
  <c r="E4652" i="8" s="1"/>
  <c r="H9238" i="5"/>
  <c r="E3988" i="8" s="1"/>
  <c r="H5970" i="5"/>
  <c r="E1851" i="8" s="1"/>
  <c r="H1696" i="5"/>
  <c r="E278" i="8" s="1"/>
  <c r="H11260" i="5"/>
  <c r="E4672" i="8" s="1"/>
  <c r="H11864" i="5"/>
  <c r="E4838" i="8" s="1"/>
  <c r="H8365" i="5"/>
  <c r="E3442" i="8" s="1"/>
  <c r="H11978" i="5"/>
  <c r="E4861" i="8" s="1"/>
  <c r="H9433" i="5"/>
  <c r="E4217" i="8" s="1"/>
  <c r="H7676" i="5"/>
  <c r="E3264" i="8" s="1"/>
  <c r="H3580" i="5"/>
  <c r="E971" i="8" s="1"/>
  <c r="H7563" i="5"/>
  <c r="E3247" i="8" s="1"/>
  <c r="H8683" i="5"/>
  <c r="E3543" i="8" s="1"/>
  <c r="H5371" i="5"/>
  <c r="E1336" i="8" s="1"/>
  <c r="H6206" i="5"/>
  <c r="E1954" i="8" s="1"/>
  <c r="G7961" i="5"/>
  <c r="H8538" i="5"/>
  <c r="E3493" i="8" s="1"/>
  <c r="H6560" i="5"/>
  <c r="E2683" i="8" s="1"/>
  <c r="H5480" i="5"/>
  <c r="E1356" i="8" s="1"/>
  <c r="H1670" i="5"/>
  <c r="E274" i="8" s="1"/>
  <c r="H3887" i="5"/>
  <c r="E1043" i="8" s="1"/>
  <c r="H2325" i="5"/>
  <c r="E365" i="8" s="1"/>
  <c r="H11309" i="5"/>
  <c r="E4685" i="8" s="1"/>
  <c r="H6262" i="5"/>
  <c r="E2295" i="8" s="1"/>
  <c r="H11199" i="5"/>
  <c r="E4663" i="8" s="1"/>
  <c r="G7194" i="5"/>
  <c r="H4309" i="5"/>
  <c r="E1123" i="8" s="1"/>
  <c r="H3735" i="5"/>
  <c r="E992" i="8" s="1"/>
  <c r="H10793" i="5"/>
  <c r="E4591" i="8" s="1"/>
  <c r="H6361" i="5"/>
  <c r="E2600" i="8" s="1"/>
  <c r="H5292" i="5"/>
  <c r="E1323" i="8" s="1"/>
  <c r="H4805" i="5"/>
  <c r="E1182" i="8" s="1"/>
  <c r="H10313" i="5"/>
  <c r="E4402" i="8" s="1"/>
  <c r="H3823" i="5"/>
  <c r="E1018" i="8" s="1"/>
  <c r="H7465" i="5"/>
  <c r="E3214" i="8" s="1"/>
  <c r="H3739" i="5"/>
  <c r="E993" i="8" s="1"/>
  <c r="H7631" i="5"/>
  <c r="E3257" i="8" s="1"/>
  <c r="H3034" i="5"/>
  <c r="E879" i="8" s="1"/>
  <c r="H1883" i="5"/>
  <c r="E298" i="8" s="1"/>
  <c r="H9549" i="5"/>
  <c r="E4233" i="8" s="1"/>
  <c r="H4943" i="5"/>
  <c r="E1250" i="8" s="1"/>
  <c r="H8385" i="5"/>
  <c r="E3448" i="8" s="1"/>
  <c r="H7102" i="5"/>
  <c r="E2984" i="8" s="1"/>
  <c r="H7637" i="5"/>
  <c r="E3258" i="8" s="1"/>
  <c r="H4376" i="5"/>
  <c r="E1133" i="8" s="1"/>
  <c r="H654" i="5"/>
  <c r="E124" i="8" s="1"/>
  <c r="H1899" i="5"/>
  <c r="E301" i="8" s="1"/>
  <c r="H5674" i="5"/>
  <c r="E1412" i="8" s="1"/>
  <c r="H10988" i="5"/>
  <c r="E4635" i="8" s="1"/>
  <c r="G6802" i="5"/>
  <c r="H4951" i="5"/>
  <c r="E1251" i="8" s="1"/>
  <c r="H2272" i="5"/>
  <c r="E356" i="8" s="1"/>
  <c r="H8615" i="5"/>
  <c r="E3512" i="8" s="1"/>
  <c r="H8462" i="5"/>
  <c r="E3479" i="8" s="1"/>
  <c r="H7973" i="5"/>
  <c r="E3336" i="8" s="1"/>
  <c r="H4882" i="5"/>
  <c r="E1238" i="8" s="1"/>
  <c r="H1960" i="5"/>
  <c r="E311" i="8" s="1"/>
  <c r="H6417" i="5"/>
  <c r="E2608" i="8" s="1"/>
  <c r="H5064" i="5"/>
  <c r="E1268" i="8" s="1"/>
  <c r="H1918" i="5"/>
  <c r="E304" i="8" s="1"/>
  <c r="H266" i="5"/>
  <c r="E78" i="8" s="1"/>
  <c r="H1212" i="5"/>
  <c r="E213" i="8" s="1"/>
  <c r="H11947" i="5"/>
  <c r="E4853" i="8" s="1"/>
  <c r="H5600" i="5"/>
  <c r="E1381" i="8" s="1"/>
  <c r="H8405" i="5"/>
  <c r="E3456" i="8" s="1"/>
  <c r="H11152" i="5"/>
  <c r="E4656" i="8" s="1"/>
  <c r="H7312" i="5"/>
  <c r="E3090" i="8" s="1"/>
  <c r="H5017" i="5"/>
  <c r="E1261" i="8" s="1"/>
  <c r="H2880" i="5"/>
  <c r="E853" i="8" s="1"/>
  <c r="H10106" i="5"/>
  <c r="E4345" i="8" s="1"/>
  <c r="H1306" i="5"/>
  <c r="E227" i="8" s="1"/>
  <c r="H1177" i="5"/>
  <c r="E208" i="8" s="1"/>
  <c r="H8674" i="5"/>
  <c r="E3542" i="8" s="1"/>
  <c r="H3019" i="5"/>
  <c r="E876" i="8" s="1"/>
  <c r="H792" i="5"/>
  <c r="E149" i="8" s="1"/>
  <c r="H10735" i="5"/>
  <c r="E4582" i="8" s="1"/>
  <c r="H10964" i="5"/>
  <c r="E4632" i="8" s="1"/>
  <c r="H3869" i="5"/>
  <c r="E1040" i="8" s="1"/>
  <c r="H231" i="5"/>
  <c r="E53" i="8" s="1"/>
  <c r="G7913" i="5"/>
  <c r="H1660" i="5"/>
  <c r="E272" i="8" s="1"/>
  <c r="H698" i="5"/>
  <c r="E131" i="8" s="1"/>
  <c r="H8513" i="5"/>
  <c r="E3489" i="8" s="1"/>
  <c r="H8065" i="5"/>
  <c r="E3359" i="8" s="1"/>
  <c r="H11666" i="5"/>
  <c r="E4804" i="8" s="1"/>
  <c r="G8209" i="5"/>
  <c r="H3515" i="5"/>
  <c r="E964" i="8" s="1"/>
  <c r="H3760" i="5"/>
  <c r="E995" i="8" s="1"/>
  <c r="H639" i="5"/>
  <c r="E121" i="8" s="1"/>
  <c r="H11681" i="5"/>
  <c r="E4806" i="8" s="1"/>
  <c r="H8657" i="5"/>
  <c r="E3536" i="8" s="1"/>
  <c r="H193" i="5"/>
  <c r="E44" i="8" s="1"/>
  <c r="H5107" i="5"/>
  <c r="E1275" i="8" s="1"/>
  <c r="H61" i="5"/>
  <c r="E17" i="8" s="1"/>
  <c r="G6750" i="5"/>
  <c r="H8349" i="5"/>
  <c r="E3435" i="8" s="1"/>
  <c r="H10789" i="5"/>
  <c r="E4590" i="8" s="1"/>
  <c r="H4654" i="5"/>
  <c r="E1165" i="8" s="1"/>
  <c r="H2198" i="5"/>
  <c r="E346" i="8" s="1"/>
  <c r="H2371" i="5"/>
  <c r="E370" i="8" s="1"/>
  <c r="H1114" i="5"/>
  <c r="E198" i="8" s="1"/>
  <c r="H2937" i="5"/>
  <c r="E863" i="8" s="1"/>
  <c r="H3011" i="5"/>
  <c r="E875" i="8" s="1"/>
  <c r="H11102" i="5"/>
  <c r="E4649" i="8" s="1"/>
  <c r="H11015" i="5"/>
  <c r="E4638" i="8" s="1"/>
  <c r="H6078" i="5"/>
  <c r="E1888" i="8" s="1"/>
  <c r="H3967" i="5"/>
  <c r="E1068" i="8" s="1"/>
  <c r="H1096" i="5"/>
  <c r="E196" i="8" s="1"/>
  <c r="H1649" i="5"/>
  <c r="E270" i="8" s="1"/>
  <c r="H6576" i="5"/>
  <c r="E2686" i="8" s="1"/>
  <c r="H6218" i="5"/>
  <c r="E2087" i="8" s="1"/>
  <c r="H174" i="5"/>
  <c r="E40" i="8" s="1"/>
  <c r="H5138" i="5"/>
  <c r="E1284" i="8" s="1"/>
  <c r="H11882" i="5"/>
  <c r="E4841" i="8" s="1"/>
  <c r="H8899" i="5"/>
  <c r="E3586" i="8" s="1"/>
  <c r="H6190" i="5"/>
  <c r="E1933" i="8" s="1"/>
  <c r="H806" i="5"/>
  <c r="E150" i="8" s="1"/>
  <c r="H2910" i="5"/>
  <c r="E858" i="8" s="1"/>
  <c r="H9565" i="5"/>
  <c r="E4235" i="8" s="1"/>
  <c r="H10722" i="5"/>
  <c r="E4580" i="8" s="1"/>
  <c r="H8508" i="5"/>
  <c r="E3488" i="8" s="1"/>
  <c r="H4209" i="5"/>
  <c r="E1109" i="8" s="1"/>
  <c r="H3362" i="5"/>
  <c r="E935" i="8" s="1"/>
  <c r="H1824" i="5"/>
  <c r="E293" i="8" s="1"/>
  <c r="H9206" i="5"/>
  <c r="E3979" i="8" s="1"/>
  <c r="H1149" i="5"/>
  <c r="E204" i="8" s="1"/>
  <c r="H4782" i="5"/>
  <c r="E1179" i="8" s="1"/>
  <c r="H3195" i="5"/>
  <c r="E909" i="8" s="1"/>
  <c r="H1683" i="5"/>
  <c r="E276" i="8" s="1"/>
  <c r="H1552" i="5"/>
  <c r="E256" i="8" s="1"/>
  <c r="H6142" i="5"/>
  <c r="E1904" i="8" s="1"/>
  <c r="H3899" i="5"/>
  <c r="E1045" i="8" s="1"/>
  <c r="H8972" i="5"/>
  <c r="E3604" i="8" s="1"/>
  <c r="H8862" i="5"/>
  <c r="E3581" i="8" s="1"/>
  <c r="H8936" i="5"/>
  <c r="E3595" i="8" s="1"/>
  <c r="H1800" i="5"/>
  <c r="E291" i="8" s="1"/>
  <c r="H11039" i="5"/>
  <c r="E4641" i="8" s="1"/>
  <c r="H11672" i="5"/>
  <c r="E4805" i="8" s="1"/>
  <c r="H3029" i="5"/>
  <c r="E878" i="8" s="1"/>
  <c r="H11377" i="5"/>
  <c r="E4722" i="8" s="1"/>
  <c r="G7933" i="5"/>
  <c r="H8803" i="5"/>
  <c r="E3563" i="8" s="1"/>
  <c r="H5158" i="5"/>
  <c r="E1287" i="8" s="1"/>
  <c r="H4297" i="5"/>
  <c r="E1121" i="8" s="1"/>
  <c r="H2005" i="5"/>
  <c r="E319" i="8" s="1"/>
  <c r="H4922" i="5"/>
  <c r="E1247" i="8" s="1"/>
  <c r="G7210" i="5"/>
  <c r="H5617" i="5"/>
  <c r="E1389" i="8" s="1"/>
  <c r="H11842" i="5"/>
  <c r="E4835" i="8" s="1"/>
  <c r="H11506" i="5"/>
  <c r="E4756" i="8" s="1"/>
  <c r="G6654" i="5"/>
  <c r="H9628" i="5"/>
  <c r="E4251" i="8" s="1"/>
  <c r="H11636" i="5"/>
  <c r="E4788" i="8" s="1"/>
  <c r="H10656" i="5"/>
  <c r="E4550" i="8" s="1"/>
  <c r="G7825" i="5"/>
  <c r="H5221" i="5"/>
  <c r="E1301" i="8" s="1"/>
  <c r="H2341" i="5"/>
  <c r="E367" i="8" s="1"/>
  <c r="H9090" i="5"/>
  <c r="E3948" i="8" s="1"/>
  <c r="H3348" i="5"/>
  <c r="E933" i="8" s="1"/>
  <c r="H109" i="5"/>
  <c r="E27" i="8" s="1"/>
  <c r="H9541" i="5"/>
  <c r="E4232" i="8" s="1"/>
  <c r="H4282" i="5"/>
  <c r="E1119" i="8" s="1"/>
  <c r="H3857" i="5"/>
  <c r="E1038" i="8" s="1"/>
  <c r="H581" i="5"/>
  <c r="E114" i="8" s="1"/>
  <c r="H485" i="5"/>
  <c r="E101" i="8" s="1"/>
  <c r="H6970" i="5"/>
  <c r="E2902" i="8" s="1"/>
  <c r="H9579" i="5"/>
  <c r="E4237" i="8" s="1"/>
  <c r="G7869" i="5"/>
  <c r="H11323" i="5"/>
  <c r="E4690" i="8" s="1"/>
  <c r="H9624" i="5"/>
  <c r="E4244" i="8" s="1"/>
  <c r="H5635" i="5"/>
  <c r="E1393" i="8" s="1"/>
  <c r="H7993" i="5"/>
  <c r="E3341" i="8" s="1"/>
  <c r="H1508" i="5"/>
  <c r="E249" i="8" s="1"/>
  <c r="H7302" i="5"/>
  <c r="E3053" i="8" s="1"/>
  <c r="G8289" i="5"/>
  <c r="H2010" i="5"/>
  <c r="E320" i="8" s="1"/>
  <c r="H8201" i="5"/>
  <c r="E3393" i="8" s="1"/>
  <c r="H9934" i="5"/>
  <c r="E4302" i="8" s="1"/>
  <c r="H7518" i="5"/>
  <c r="E3227" i="8" s="1"/>
  <c r="H9410" i="5"/>
  <c r="E4079" i="8" s="1"/>
  <c r="H1520" i="5"/>
  <c r="E251" i="8" s="1"/>
  <c r="H10042" i="5"/>
  <c r="E4329" i="8" s="1"/>
  <c r="G8433" i="5"/>
  <c r="H5704" i="5"/>
  <c r="E1417" i="8" s="1"/>
  <c r="H2875" i="5"/>
  <c r="E852" i="8" s="1"/>
  <c r="H11544" i="5"/>
  <c r="E4768" i="8" s="1"/>
  <c r="H11204" i="5"/>
  <c r="E4664" i="8" s="1"/>
  <c r="H1888" i="5"/>
  <c r="E299" i="8" s="1"/>
  <c r="H1170" i="5"/>
  <c r="E207" i="8" s="1"/>
  <c r="H10592" i="5"/>
  <c r="E4529" i="8" s="1"/>
  <c r="H4536" i="5"/>
  <c r="E1148" i="8" s="1"/>
  <c r="G7042" i="5"/>
  <c r="H5083" i="5"/>
  <c r="E1271" i="8" s="1"/>
  <c r="H2895" i="5"/>
  <c r="E855" i="8" s="1"/>
  <c r="H9723" i="5"/>
  <c r="E4258" i="8" s="1"/>
  <c r="H8453" i="5"/>
  <c r="E3476" i="8" s="1"/>
  <c r="H4506" i="5"/>
  <c r="E1145" i="8" s="1"/>
  <c r="H2056" i="5"/>
  <c r="E327" i="8" s="1"/>
  <c r="H6318" i="5"/>
  <c r="E2593" i="8" s="1"/>
  <c r="H4315" i="5"/>
  <c r="E1124" i="8" s="1"/>
  <c r="H9858" i="5"/>
  <c r="E4283" i="8" s="1"/>
  <c r="H10857" i="5"/>
  <c r="E4602" i="8" s="1"/>
  <c r="G8357" i="5"/>
  <c r="H4428" i="5"/>
  <c r="E1136" i="8" s="1"/>
  <c r="G4867" i="5"/>
  <c r="H8421" i="5"/>
  <c r="E3463" i="8" s="1"/>
  <c r="H9146" i="5"/>
  <c r="E3963" i="8" s="1"/>
  <c r="H9659" i="5"/>
  <c r="E4253" i="8" s="1"/>
  <c r="G6738" i="5"/>
  <c r="H10058" i="5"/>
  <c r="E4333" i="8" s="1"/>
  <c r="G8225" i="5"/>
  <c r="H2424" i="5"/>
  <c r="E378" i="8" s="1"/>
  <c r="H4705" i="5"/>
  <c r="E1170" i="8" s="1"/>
  <c r="G8293" i="5"/>
  <c r="H5686" i="5"/>
  <c r="E1414" i="8" s="1"/>
  <c r="H1359" i="5"/>
  <c r="E235" i="8" s="1"/>
  <c r="H8401" i="5"/>
  <c r="E3455" i="8" s="1"/>
  <c r="G7234" i="5"/>
  <c r="H3089" i="5"/>
  <c r="E890" i="8" s="1"/>
  <c r="H829" i="5"/>
  <c r="E154" i="8" s="1"/>
  <c r="H3124" i="5"/>
  <c r="E897" i="8" s="1"/>
  <c r="G10924" i="5"/>
  <c r="H4892" i="5"/>
  <c r="E1240" i="8" s="1"/>
  <c r="H816" i="5"/>
  <c r="E151" i="8" s="1"/>
  <c r="H4616" i="5"/>
  <c r="E1159" i="8" s="1"/>
  <c r="H11194" i="5"/>
  <c r="E4662" i="8" s="1"/>
  <c r="H631" i="5"/>
  <c r="E120" i="8" s="1"/>
  <c r="H5095" i="5"/>
  <c r="E1273" i="8" s="1"/>
  <c r="H8097" i="5"/>
  <c r="E3367" i="8" s="1"/>
  <c r="H5150" i="5"/>
  <c r="E1286" i="8" s="1"/>
  <c r="H3190" i="5"/>
  <c r="E908" i="8" s="1"/>
  <c r="H1277" i="5"/>
  <c r="E223" i="8" s="1"/>
  <c r="H1602" i="5"/>
  <c r="E262" i="8" s="1"/>
  <c r="H10709" i="5"/>
  <c r="E4578" i="8" s="1"/>
  <c r="H5752" i="5"/>
  <c r="E1425" i="8" s="1"/>
  <c r="H11870" i="5"/>
  <c r="E4839" i="8" s="1"/>
  <c r="H2440" i="5"/>
  <c r="E381" i="8" s="1"/>
  <c r="H9062" i="5"/>
  <c r="E3940" i="8" s="1"/>
  <c r="H9314" i="5"/>
  <c r="E4034" i="8" s="1"/>
  <c r="H6046" i="5"/>
  <c r="E1876" i="8" s="1"/>
  <c r="G7142" i="5"/>
  <c r="H243" i="5"/>
  <c r="E62" i="8" s="1"/>
  <c r="H1384" i="5"/>
  <c r="E239" i="8" s="1"/>
  <c r="H9557" i="5"/>
  <c r="E4234" i="8" s="1"/>
  <c r="H2590" i="5"/>
  <c r="E514" i="8" s="1"/>
  <c r="G7118" i="5"/>
  <c r="H11023" i="5"/>
  <c r="E4639" i="8" s="1"/>
  <c r="H1786" i="5"/>
  <c r="E289" i="8" s="1"/>
  <c r="H590" i="5"/>
  <c r="E115" i="8" s="1"/>
  <c r="H11888" i="5"/>
  <c r="E4842" i="8" s="1"/>
  <c r="H1064" i="5"/>
  <c r="E192" i="8" s="1"/>
  <c r="G7442" i="5"/>
  <c r="H3462" i="5"/>
  <c r="E953" i="8" s="1"/>
  <c r="G7022" i="5"/>
  <c r="F120" i="7"/>
  <c r="H10122" i="5"/>
  <c r="E4349" i="8" s="1"/>
  <c r="H5423" i="5"/>
  <c r="E1345" i="8" s="1"/>
  <c r="H8871" i="5"/>
  <c r="E3582" i="8" s="1"/>
  <c r="H11610" i="5"/>
  <c r="E4781" i="8" s="1"/>
  <c r="H7849" i="5"/>
  <c r="E3305" i="8" s="1"/>
  <c r="H5798" i="5"/>
  <c r="E1551" i="8" s="1"/>
  <c r="H706" i="5"/>
  <c r="E132" i="8" s="1"/>
  <c r="H3149" i="5"/>
  <c r="E901" i="8" s="1"/>
  <c r="H11900" i="5"/>
  <c r="E4844" i="8" s="1"/>
  <c r="H9130" i="5"/>
  <c r="E3959" i="8" s="1"/>
  <c r="H4203" i="5"/>
  <c r="E1107" i="8" s="1"/>
  <c r="H11759" i="5"/>
  <c r="E4822" i="8" s="1"/>
  <c r="H10333" i="5"/>
  <c r="E4418" i="8" s="1"/>
  <c r="H5507" i="5"/>
  <c r="E1360" i="8" s="1"/>
  <c r="H5500" i="5"/>
  <c r="E1359" i="8" s="1"/>
  <c r="H3851" i="5"/>
  <c r="E1037" i="8" s="1"/>
  <c r="H3099" i="5"/>
  <c r="E892" i="8" s="1"/>
  <c r="H8940" i="5"/>
  <c r="E3596" i="8" s="1"/>
  <c r="G6966" i="5"/>
  <c r="H3843" i="5"/>
  <c r="E1035" i="8" s="1"/>
  <c r="H7977" i="5"/>
  <c r="E3337" i="8" s="1"/>
  <c r="H9890" i="5"/>
  <c r="E4291" i="8" s="1"/>
  <c r="H4480" i="5"/>
  <c r="E1142" i="8" s="1"/>
  <c r="H623" i="5"/>
  <c r="E119" i="8" s="1"/>
  <c r="H11690" i="5"/>
  <c r="E4807" i="8" s="1"/>
  <c r="H7721" i="5"/>
  <c r="E3270" i="8" s="1"/>
  <c r="H6504" i="5"/>
  <c r="E2617" i="8" s="1"/>
  <c r="H7348" i="5"/>
  <c r="E3096" i="8" s="1"/>
  <c r="H4368" i="5"/>
  <c r="E1132" i="8" s="1"/>
  <c r="H2146" i="5"/>
  <c r="E339" i="8" s="1"/>
  <c r="H6030" i="5"/>
  <c r="E1871" i="8" s="1"/>
  <c r="H3881" i="5"/>
  <c r="E1042" i="8" s="1"/>
  <c r="H11187" i="5"/>
  <c r="E4661" i="8" s="1"/>
  <c r="H9695" i="5"/>
  <c r="E4256" i="8" s="1"/>
  <c r="H8727" i="5"/>
  <c r="E3551" i="8" s="1"/>
  <c r="H3479" i="5"/>
  <c r="E958" i="8" s="1"/>
  <c r="H513" i="5"/>
  <c r="E105" i="8" s="1"/>
  <c r="H9667" i="5"/>
  <c r="E4254" i="8" s="1"/>
  <c r="H5623" i="5"/>
  <c r="E1391" i="8" s="1"/>
  <c r="H1714" i="5"/>
  <c r="E280" i="8" s="1"/>
  <c r="H251" i="5"/>
  <c r="E75" i="8" s="1"/>
  <c r="H5722" i="5"/>
  <c r="E1420" i="8" s="1"/>
  <c r="H5214" i="5"/>
  <c r="E1300" i="8" s="1"/>
  <c r="H3905" i="5"/>
  <c r="E1046" i="8" s="1"/>
  <c r="H5284" i="5"/>
  <c r="E1322" i="8" s="1"/>
  <c r="F160" i="7"/>
  <c r="G156" i="7" s="1"/>
  <c r="G2802" i="5"/>
  <c r="H8797" i="5"/>
  <c r="E3562" i="8" s="1"/>
  <c r="H4303" i="5"/>
  <c r="E1122" i="8" s="1"/>
  <c r="H4740" i="5"/>
  <c r="E1174" i="8" s="1"/>
  <c r="H9491" i="5"/>
  <c r="E4225" i="8" s="1"/>
  <c r="H3689" i="5"/>
  <c r="E983" i="8" s="1"/>
  <c r="H2768" i="5"/>
  <c r="E718" i="8" s="1"/>
  <c r="H2232" i="5"/>
  <c r="E351" i="8" s="1"/>
  <c r="G7202" i="5"/>
  <c r="H6322" i="5"/>
  <c r="E2595" i="8" s="1"/>
  <c r="H8249" i="5"/>
  <c r="E3405" i="8" s="1"/>
  <c r="H9838" i="5"/>
  <c r="E4278" i="8" s="1"/>
  <c r="H7214" i="5"/>
  <c r="E3031" i="8" s="1"/>
  <c r="G8133" i="5"/>
  <c r="H4019" i="5"/>
  <c r="E1074" i="8" s="1"/>
  <c r="H3109" i="5"/>
  <c r="E894" i="8" s="1"/>
  <c r="H5024" i="5"/>
  <c r="E1262" i="8" s="1"/>
  <c r="H5449" i="5"/>
  <c r="E1349" i="8" s="1"/>
  <c r="H2558" i="5"/>
  <c r="E506" i="8" s="1"/>
  <c r="H8081" i="5"/>
  <c r="E3363" i="8" s="1"/>
  <c r="H10728" i="5"/>
  <c r="E4581" i="8" s="1"/>
  <c r="H8960" i="5"/>
  <c r="E3601" i="8" s="1"/>
  <c r="H5982" i="5"/>
  <c r="E1854" i="8" s="1"/>
  <c r="H2922" i="5"/>
  <c r="E860" i="8" s="1"/>
  <c r="H2210" i="5"/>
  <c r="E348" i="8" s="1"/>
  <c r="G7258" i="5"/>
  <c r="H11912" i="5"/>
  <c r="E4846" i="8" s="1"/>
  <c r="G7917" i="5"/>
  <c r="H5010" i="5"/>
  <c r="E1260" i="8" s="1"/>
  <c r="H6411" i="5"/>
  <c r="E2607" i="8" s="1"/>
  <c r="G7853" i="5"/>
  <c r="H7420" i="5"/>
  <c r="E3137" i="8" s="1"/>
  <c r="H4462" i="5"/>
  <c r="E1140" i="8" s="1"/>
  <c r="H3475" i="5"/>
  <c r="E957" i="8" s="1"/>
  <c r="H10697" i="5"/>
  <c r="E4576" i="8" s="1"/>
  <c r="H2186" i="5"/>
  <c r="E344" i="8" s="1"/>
  <c r="H6405" i="5"/>
  <c r="E2606" i="8" s="1"/>
  <c r="H5830" i="5"/>
  <c r="E1573" i="8" s="1"/>
  <c r="H2178" i="5"/>
  <c r="E343" i="8" s="1"/>
  <c r="H8606" i="5"/>
  <c r="E3511" i="8" s="1"/>
  <c r="H3255" i="5"/>
  <c r="E920" i="8" s="1"/>
  <c r="H164" i="5"/>
  <c r="E38" i="8" s="1"/>
  <c r="G8261" i="5"/>
  <c r="H5934" i="5"/>
  <c r="E1839" i="8" s="1"/>
  <c r="H2204" i="5"/>
  <c r="E347" i="8" s="1"/>
  <c r="H11595" i="5"/>
  <c r="E4779" i="8" s="1"/>
  <c r="H2780" i="5"/>
  <c r="E720" i="8" s="1"/>
  <c r="H11382" i="5"/>
  <c r="E4723" i="8" s="1"/>
  <c r="H2917" i="5"/>
  <c r="E859" i="8" s="1"/>
  <c r="H20" i="5"/>
  <c r="E9" i="8" s="1"/>
  <c r="H10801" i="5"/>
  <c r="E4593" i="8" s="1"/>
  <c r="H3659" i="5"/>
  <c r="E979" i="8" s="1"/>
  <c r="H1448" i="5"/>
  <c r="E245" i="8" s="1"/>
  <c r="H8233" i="5"/>
  <c r="E3401" i="8" s="1"/>
  <c r="H8773" i="5"/>
  <c r="E3558" i="8" s="1"/>
  <c r="H8827" i="5"/>
  <c r="E3567" i="8" s="1"/>
  <c r="H11531" i="5"/>
  <c r="E4763" i="8" s="1"/>
  <c r="H1418" i="5"/>
  <c r="E243" i="8" s="1"/>
  <c r="H3003" i="5"/>
  <c r="E874" i="8" s="1"/>
  <c r="H178" i="5"/>
  <c r="E41" i="8" s="1"/>
  <c r="H4157" i="5"/>
  <c r="E1099" i="8" s="1"/>
  <c r="H9074" i="5"/>
  <c r="E3943" i="8" s="1"/>
  <c r="H9599" i="5"/>
  <c r="E4240" i="8" s="1"/>
  <c r="H3059" i="5"/>
  <c r="E884" i="8" s="1"/>
  <c r="H858" i="5"/>
  <c r="E159" i="8" s="1"/>
  <c r="H9178" i="5"/>
  <c r="E3972" i="8" s="1"/>
  <c r="H7661" i="5"/>
  <c r="E3262" i="8" s="1"/>
  <c r="G7286" i="5"/>
  <c r="H3221" i="5"/>
  <c r="E914" i="8" s="1"/>
  <c r="H7743" i="5"/>
  <c r="E3280" i="8" s="1"/>
  <c r="H11965" i="5"/>
  <c r="E4856" i="8" s="1"/>
  <c r="H11778" i="5"/>
  <c r="E4825" i="8" s="1"/>
  <c r="H9950" i="5"/>
  <c r="E4306" i="8" s="1"/>
  <c r="H2468" i="5"/>
  <c r="E385" i="8" s="1"/>
  <c r="H10940" i="5"/>
  <c r="E4623" i="8" s="1"/>
  <c r="H7579" i="5"/>
  <c r="E3249" i="8" s="1"/>
  <c r="H2626" i="5"/>
  <c r="E567" i="8" s="1"/>
  <c r="H598" i="5"/>
  <c r="E116" i="8" s="1"/>
  <c r="H3376" i="5"/>
  <c r="E937" i="8" s="1"/>
  <c r="H2034" i="5"/>
  <c r="E324" i="8" s="1"/>
  <c r="H6445" i="5"/>
  <c r="E2612" i="8" s="1"/>
  <c r="H5232" i="5"/>
  <c r="E1315" i="8" s="1"/>
  <c r="H3647" i="5"/>
  <c r="E977" i="8" s="1"/>
  <c r="H1676" i="5"/>
  <c r="E275" i="8" s="1"/>
  <c r="H1088" i="5"/>
  <c r="E195" i="8" s="1"/>
  <c r="G8125" i="5"/>
  <c r="H5870" i="5"/>
  <c r="E1812" i="8" s="1"/>
  <c r="H5594" i="5"/>
  <c r="E1380" i="8" s="1"/>
  <c r="H5740" i="5"/>
  <c r="E1423" i="8" s="1"/>
  <c r="H1948" i="5"/>
  <c r="E309" i="8" s="1"/>
  <c r="H3982" i="5"/>
  <c r="E1069" i="8" s="1"/>
  <c r="H1333" i="5"/>
  <c r="E231" i="8" s="1"/>
  <c r="H8893" i="5"/>
  <c r="E3585" i="8" s="1"/>
  <c r="H5308" i="5"/>
  <c r="E1330" i="8" s="1"/>
  <c r="H1609" i="5"/>
  <c r="E263" i="8" s="1"/>
  <c r="G8321" i="5"/>
  <c r="H10664" i="5"/>
  <c r="E4552" i="8" s="1"/>
  <c r="H8361" i="5"/>
  <c r="E3441" i="8" s="1"/>
  <c r="H8121" i="5"/>
  <c r="E3373" i="8" s="1"/>
  <c r="H2085" i="5"/>
  <c r="E331" i="8" s="1"/>
  <c r="H9525" i="5"/>
  <c r="E4230" i="8" s="1"/>
  <c r="H9498" i="5"/>
  <c r="E4226" i="8" s="1"/>
  <c r="H4526" i="5"/>
  <c r="E1147" i="8" s="1"/>
  <c r="H5650" i="5"/>
  <c r="E1408" i="8" s="1"/>
  <c r="H182" i="5"/>
  <c r="E42" i="8" s="1"/>
  <c r="H4935" i="5"/>
  <c r="E1249" i="8" s="1"/>
  <c r="H1872" i="5"/>
  <c r="E297" i="8" s="1"/>
  <c r="H9954" i="5"/>
  <c r="E4307" i="8" s="1"/>
  <c r="G8409" i="5"/>
  <c r="H1321" i="5"/>
  <c r="E229" i="8" s="1"/>
  <c r="H10893" i="5"/>
  <c r="E4613" i="8" s="1"/>
  <c r="H9533" i="5"/>
  <c r="E4231" i="8" s="1"/>
  <c r="H1130" i="5"/>
  <c r="E201" i="8" s="1"/>
  <c r="H5353" i="5"/>
  <c r="E1334" i="8" s="1"/>
  <c r="H1298" i="5"/>
  <c r="E226" i="8" s="1"/>
  <c r="H5050" i="5"/>
  <c r="E1266" i="8" s="1"/>
  <c r="H2170" i="5"/>
  <c r="E342" i="8" s="1"/>
  <c r="H852" i="5"/>
  <c r="E158" i="8" s="1"/>
  <c r="H10780" i="5"/>
  <c r="E4589" i="8" s="1"/>
  <c r="H7550" i="5"/>
  <c r="E3240" i="8" s="1"/>
  <c r="H7865" i="5"/>
  <c r="E3309" i="8" s="1"/>
  <c r="H7266" i="5"/>
  <c r="E3044" i="8" s="1"/>
  <c r="H6702" i="5"/>
  <c r="E2752" i="8" s="1"/>
  <c r="H5918" i="5"/>
  <c r="E1834" i="8" s="1"/>
  <c r="H5764" i="5"/>
  <c r="E1427" i="8" s="1"/>
  <c r="H2401" i="5"/>
  <c r="E374" i="8" s="1"/>
  <c r="H968" i="5"/>
  <c r="E179" i="8" s="1"/>
  <c r="G7889" i="5"/>
  <c r="H4236" i="5"/>
  <c r="E1113" i="8" s="1"/>
  <c r="H2995" i="5"/>
  <c r="E873" i="8" s="1"/>
  <c r="H5246" i="5"/>
  <c r="E1317" i="8" s="1"/>
  <c r="H4139" i="5"/>
  <c r="E1097" i="8" s="1"/>
  <c r="H1403" i="5"/>
  <c r="E242" i="8" s="1"/>
  <c r="H11486" i="5"/>
  <c r="E4751" i="8" s="1"/>
  <c r="H3079" i="5"/>
  <c r="E888" i="8" s="1"/>
  <c r="H5532" i="5"/>
  <c r="E1365" i="8" s="1"/>
  <c r="H785" i="5"/>
  <c r="E148" i="8" s="1"/>
  <c r="H7764" i="5"/>
  <c r="E3283" i="8" s="1"/>
  <c r="H2114" i="5"/>
  <c r="E335" i="8" s="1"/>
  <c r="H7158" i="5"/>
  <c r="E3012" i="8" s="1"/>
  <c r="H841" i="5"/>
  <c r="E156" i="8" s="1"/>
  <c r="H11085" i="5"/>
  <c r="E4647" i="8" s="1"/>
  <c r="H8472" i="5"/>
  <c r="E3480" i="8" s="1"/>
  <c r="H2162" i="5"/>
  <c r="E341" i="8" s="1"/>
  <c r="H1225" i="5"/>
  <c r="E215" i="8" s="1"/>
  <c r="G7190" i="5"/>
  <c r="H3432" i="5"/>
  <c r="E947" i="8" s="1"/>
  <c r="H10750" i="5"/>
  <c r="E4584" i="8" s="1"/>
  <c r="H10349" i="5"/>
  <c r="E4422" i="8" s="1"/>
  <c r="G7126" i="5"/>
  <c r="H3233" i="5"/>
  <c r="E916" i="8" s="1"/>
  <c r="G8417" i="5"/>
  <c r="G8341" i="5"/>
  <c r="H5001" i="5"/>
  <c r="E1257" i="8" s="1"/>
  <c r="H5519" i="5"/>
  <c r="E1363" i="8" s="1"/>
  <c r="H2594" i="5"/>
  <c r="E515" i="8" s="1"/>
  <c r="H6571" i="5"/>
  <c r="E2685" i="8" s="1"/>
  <c r="H3069" i="5"/>
  <c r="E886" i="8" s="1"/>
  <c r="H5814" i="5"/>
  <c r="E1569" i="8" s="1"/>
  <c r="H11708" i="5"/>
  <c r="E4818" i="8" s="1"/>
  <c r="H8651" i="5"/>
  <c r="E3526" i="8" s="1"/>
  <c r="H8964" i="5"/>
  <c r="E3602" i="8" s="1"/>
  <c r="G8013" i="5"/>
  <c r="H526" i="5"/>
  <c r="E107" i="8" s="1"/>
  <c r="H8532" i="5"/>
  <c r="E3492" i="8" s="1"/>
  <c r="H4213" i="5"/>
  <c r="E1110" i="8" s="1"/>
  <c r="H6584" i="5"/>
  <c r="E2694" i="8" s="1"/>
  <c r="H9765" i="5"/>
  <c r="E4262" i="8" s="1"/>
  <c r="G7857" i="5"/>
  <c r="H4748" i="5"/>
  <c r="E1175" i="8" s="1"/>
  <c r="G7997" i="5"/>
  <c r="H1106" i="5"/>
  <c r="E197" i="8" s="1"/>
  <c r="H1284" i="5"/>
  <c r="E224" i="8" s="1"/>
  <c r="H10186" i="5"/>
  <c r="E4365" i="8" s="1"/>
  <c r="H1936" i="5"/>
  <c r="E307" i="8" s="1"/>
  <c r="H4184" i="5"/>
  <c r="E1102" i="8" s="1"/>
  <c r="H3024" i="5"/>
  <c r="E877" i="8" s="1"/>
  <c r="H9422" i="5"/>
  <c r="E4216" i="8" s="1"/>
  <c r="H7881" i="5"/>
  <c r="E3313" i="8" s="1"/>
  <c r="H2744" i="5"/>
  <c r="E714" i="8" s="1"/>
  <c r="H1595" i="5"/>
  <c r="E261" i="8" s="1"/>
  <c r="H4190" i="5"/>
  <c r="E1103" i="8" s="1"/>
  <c r="H3175" i="5"/>
  <c r="E905" i="8" s="1"/>
  <c r="H6110" i="5"/>
  <c r="E1896" i="8" s="1"/>
  <c r="G7242" i="5"/>
  <c r="H10672" i="5"/>
  <c r="E4555" i="8" s="1"/>
  <c r="H7770" i="5"/>
  <c r="E3284" i="8" s="1"/>
  <c r="G6846" i="5"/>
  <c r="H2388" i="5"/>
  <c r="E372" i="8" s="1"/>
  <c r="H10134" i="5"/>
  <c r="E4352" i="8" s="1"/>
  <c r="G8093" i="5"/>
  <c r="H8583" i="5"/>
  <c r="E3506" i="8" s="1"/>
  <c r="H9242" i="5"/>
  <c r="E3989" i="8" s="1"/>
  <c r="H3423" i="5"/>
  <c r="E945" i="8" s="1"/>
  <c r="H9382" i="5"/>
  <c r="E4063" i="8" s="1"/>
  <c r="H7336" i="5"/>
  <c r="E3094" i="8" s="1"/>
  <c r="H5710" i="5"/>
  <c r="E1418" i="8" s="1"/>
  <c r="H10980" i="5"/>
  <c r="E4634" i="8" s="1"/>
  <c r="H2240" i="5"/>
  <c r="E352" i="8" s="1"/>
  <c r="H1581" i="5"/>
  <c r="E259" i="8" s="1"/>
  <c r="F105" i="7"/>
  <c r="H7609" i="5"/>
  <c r="E3254" i="8" s="1"/>
  <c r="H7324" i="5"/>
  <c r="E3092" i="8" s="1"/>
  <c r="H1614" i="5"/>
  <c r="E264" i="8" s="1"/>
  <c r="H5746" i="5"/>
  <c r="E1424" i="8" s="1"/>
  <c r="H4196" i="5"/>
  <c r="E1106" i="8" s="1"/>
  <c r="H7624" i="5"/>
  <c r="E3256" i="8" s="1"/>
  <c r="H5555" i="5"/>
  <c r="E1368" i="8" s="1"/>
  <c r="H2407" i="5"/>
  <c r="E375" i="8" s="1"/>
  <c r="H1954" i="5"/>
  <c r="E310" i="8" s="1"/>
  <c r="H9014" i="5"/>
  <c r="E3927" i="8" s="1"/>
  <c r="G8229" i="5"/>
  <c r="H2098" i="5"/>
  <c r="E333" i="8" s="1"/>
  <c r="H6344" i="5"/>
  <c r="E2597" i="8" s="1"/>
  <c r="H3049" i="5"/>
  <c r="E882" i="8" s="1"/>
  <c r="H10130" i="5"/>
  <c r="E4351" i="8" s="1"/>
  <c r="H9505" i="5"/>
  <c r="E4227" i="8" s="1"/>
  <c r="H6598" i="5"/>
  <c r="E2697" i="8" s="1"/>
  <c r="H7595" i="5"/>
  <c r="E3252" i="8" s="1"/>
  <c r="H2850" i="5"/>
  <c r="E846" i="8" s="1"/>
  <c r="H7278" i="5"/>
  <c r="E3047" i="8" s="1"/>
  <c r="H8543" i="5"/>
  <c r="E3495" i="8" s="1"/>
  <c r="H3667" i="5"/>
  <c r="E980" i="8" s="1"/>
  <c r="H4991" i="5"/>
  <c r="E1256" i="8" s="1"/>
  <c r="H7929" i="5"/>
  <c r="E3325" i="8" s="1"/>
  <c r="H7702" i="5"/>
  <c r="E3268" i="8" s="1"/>
  <c r="H3084" i="5"/>
  <c r="E889" i="8" s="1"/>
  <c r="H157" i="5"/>
  <c r="E37" i="8" s="1"/>
  <c r="H10972" i="5"/>
  <c r="E4633" i="8" s="1"/>
  <c r="G7949" i="5"/>
  <c r="H3653" i="5"/>
  <c r="E978" i="8" s="1"/>
  <c r="H2798" i="5"/>
  <c r="E723" i="8" s="1"/>
  <c r="H11906" i="5"/>
  <c r="E4845" i="8" s="1"/>
  <c r="H10805" i="5"/>
  <c r="E4594" i="8" s="1"/>
  <c r="H1758" i="5"/>
  <c r="E285" i="8" s="1"/>
  <c r="H7306" i="5"/>
  <c r="E3089" i="8" s="1"/>
  <c r="H7458" i="5"/>
  <c r="E3213" i="8" s="1"/>
  <c r="H4967" i="5"/>
  <c r="E1253" i="8" s="1"/>
  <c r="H10568" i="5"/>
  <c r="E4523" i="8" s="1"/>
  <c r="H11209" i="5"/>
  <c r="E4665" i="8" s="1"/>
  <c r="H1433" i="5"/>
  <c r="E244" i="8" s="1"/>
  <c r="H11419" i="5"/>
  <c r="E4728" i="8" s="1"/>
  <c r="H11554" i="5"/>
  <c r="E4770" i="8" s="1"/>
  <c r="H8689" i="5"/>
  <c r="E3545" i="8" s="1"/>
  <c r="G8397" i="5"/>
  <c r="H7729" i="5"/>
  <c r="E3271" i="8" s="1"/>
  <c r="H2248" i="5"/>
  <c r="E353" i="8" s="1"/>
  <c r="H1994" i="5"/>
  <c r="E317" i="8" s="1"/>
  <c r="H9350" i="5"/>
  <c r="E4049" i="8" s="1"/>
  <c r="H3119" i="5"/>
  <c r="E896" i="8" s="1"/>
  <c r="H9334" i="5"/>
  <c r="E4045" i="8" s="1"/>
  <c r="H2756" i="5"/>
  <c r="E716" i="8" s="1"/>
  <c r="H1930" i="5"/>
  <c r="E306" i="8" s="1"/>
  <c r="H4574" i="5"/>
  <c r="E1155" i="8" s="1"/>
  <c r="H80" i="5"/>
  <c r="E21" i="8" s="1"/>
  <c r="H9138" i="5"/>
  <c r="E3961" i="8" s="1"/>
  <c r="H2331" i="5"/>
  <c r="E366" i="8" s="1"/>
  <c r="H3397" i="5"/>
  <c r="E940" i="8" s="1"/>
  <c r="H2028" i="5"/>
  <c r="E323" i="8" s="1"/>
  <c r="H1779" i="5"/>
  <c r="E288" i="8" s="1"/>
  <c r="H941" i="5"/>
  <c r="E175" i="8" s="1"/>
  <c r="H4434" i="5"/>
  <c r="E1137" i="8" s="1"/>
  <c r="H2674" i="5"/>
  <c r="E576" i="8" s="1"/>
  <c r="H7557" i="5"/>
  <c r="E3243" i="8" s="1"/>
  <c r="G8049" i="5"/>
  <c r="H658" i="5"/>
  <c r="E125" i="8" s="1"/>
  <c r="H3505" i="5"/>
  <c r="E962" i="8" s="1"/>
  <c r="G8089" i="5"/>
  <c r="H909" i="5"/>
  <c r="E170" i="8" s="1"/>
  <c r="H11784" i="5"/>
  <c r="E4826" i="8" s="1"/>
  <c r="H8845" i="5"/>
  <c r="E3570" i="8" s="1"/>
  <c r="H8221" i="5"/>
  <c r="E3398" i="8" s="1"/>
  <c r="H8333" i="5"/>
  <c r="E3427" i="8" s="1"/>
  <c r="H8928" i="5"/>
  <c r="E3593" i="8" s="1"/>
  <c r="H4763" i="5"/>
  <c r="E1177" i="8" s="1"/>
  <c r="H1237" i="5"/>
  <c r="E217" i="8" s="1"/>
  <c r="G7985" i="5"/>
  <c r="H11749" i="5"/>
  <c r="E4821" i="8" s="1"/>
  <c r="H114" i="5"/>
  <c r="E28" i="8" s="1"/>
  <c r="H8981" i="5"/>
  <c r="E3726" i="8" s="1"/>
  <c r="G6766" i="5"/>
  <c r="H10952" i="5"/>
  <c r="E4630" i="8" s="1"/>
  <c r="H4902" i="5"/>
  <c r="E1241" i="8" s="1"/>
  <c r="H11474" i="5"/>
  <c r="E4749" i="8" s="1"/>
  <c r="H8839" i="5"/>
  <c r="E3569" i="8" s="1"/>
  <c r="H4648" i="5"/>
  <c r="E1164" i="8" s="1"/>
  <c r="G7106" i="5"/>
  <c r="H4755" i="5"/>
  <c r="E1176" i="8" s="1"/>
  <c r="H1765" i="5"/>
  <c r="E286" i="8" s="1"/>
  <c r="G7298" i="5"/>
  <c r="H5114" i="5"/>
  <c r="E1276" i="8" s="1"/>
  <c r="H2952" i="5"/>
  <c r="E866" i="8" s="1"/>
  <c r="H4697" i="5"/>
  <c r="E1169" i="8" s="1"/>
  <c r="H10850" i="5"/>
  <c r="E4601" i="8" s="1"/>
  <c r="H25" i="5"/>
  <c r="E10" i="8" s="1"/>
  <c r="H9613" i="5"/>
  <c r="E4242" i="8" s="1"/>
  <c r="H7354" i="5"/>
  <c r="E3097" i="8" s="1"/>
  <c r="H11724" i="5"/>
  <c r="E4820" i="8" s="1"/>
  <c r="H1655" i="5"/>
  <c r="E271" i="8" s="1"/>
  <c r="H3137" i="5"/>
  <c r="E899" i="8" s="1"/>
  <c r="H10715" i="5"/>
  <c r="E4579" i="8" s="1"/>
  <c r="H6351" i="5"/>
  <c r="E2598" i="8" s="1"/>
  <c r="H11620" i="5"/>
  <c r="E4787" i="8" s="1"/>
  <c r="H4835" i="5"/>
  <c r="E1189" i="8" s="1"/>
  <c r="H1690" i="5"/>
  <c r="E277" i="8" s="1"/>
  <c r="H10999" i="5"/>
  <c r="E4636" i="8" s="1"/>
  <c r="H9338" i="5"/>
  <c r="E4046" i="8" s="1"/>
  <c r="H227" i="5"/>
  <c r="E51" i="8" s="1"/>
  <c r="G6290" i="5"/>
  <c r="H2192" i="5"/>
  <c r="E345" i="8" s="1"/>
  <c r="G2834" i="5"/>
  <c r="H11279" i="5"/>
  <c r="E4675" i="8" s="1"/>
  <c r="H1620" i="5"/>
  <c r="E265" i="8" s="1"/>
  <c r="H5656" i="5"/>
  <c r="E1409" i="8" s="1"/>
  <c r="H1119" i="5"/>
  <c r="E199" i="8" s="1"/>
  <c r="H11337" i="5"/>
  <c r="E4692" i="8" s="1"/>
  <c r="H11079" i="5"/>
  <c r="E4646" i="8" s="1"/>
  <c r="H7114" i="5"/>
  <c r="E2991" i="8" s="1"/>
  <c r="H6580" i="5"/>
  <c r="E2687" i="8" s="1"/>
  <c r="H1772" i="5"/>
  <c r="E287" i="8" s="1"/>
  <c r="H2092" i="5"/>
  <c r="E332" i="8" s="1"/>
  <c r="H129" i="5"/>
  <c r="E31" i="8" s="1"/>
  <c r="H2498" i="5"/>
  <c r="E420" i="8" s="1"/>
  <c r="H1999" i="5"/>
  <c r="E318" i="8" s="1"/>
  <c r="H869" i="5"/>
  <c r="E161" i="8" s="1"/>
  <c r="H11959" i="5"/>
  <c r="E4855" i="8" s="1"/>
  <c r="G8353" i="5"/>
  <c r="H8113" i="5"/>
  <c r="E3371" i="8" s="1"/>
  <c r="H8924" i="5"/>
  <c r="E3592" i="8" s="1"/>
  <c r="H5474" i="5"/>
  <c r="E1355" i="8" s="1"/>
  <c r="H5668" i="5"/>
  <c r="E1411" i="8" s="1"/>
  <c r="H1291" i="5"/>
  <c r="E225" i="8" s="1"/>
  <c r="H11859" i="5"/>
  <c r="E4837" i="8" s="1"/>
  <c r="G7094" i="5"/>
  <c r="H1493" i="5"/>
  <c r="E248" i="8" s="1"/>
  <c r="H2987" i="5"/>
  <c r="E872" i="8" s="1"/>
  <c r="H8695" i="5"/>
  <c r="E3546" i="8" s="1"/>
  <c r="G8193" i="5"/>
  <c r="G8257" i="5"/>
  <c r="H3458" i="5"/>
  <c r="E952" i="8" s="1"/>
  <c r="H757" i="5"/>
  <c r="E145" i="8" s="1"/>
  <c r="H3911" i="5"/>
  <c r="E1058" i="8" s="1"/>
  <c r="H5698" i="5"/>
  <c r="E1416" i="8" s="1"/>
  <c r="G6294" i="5"/>
  <c r="H1080" i="5"/>
  <c r="E194" i="8" s="1"/>
  <c r="H10876" i="5"/>
  <c r="E4609" i="8" s="1"/>
  <c r="H11599" i="5"/>
  <c r="E4780" i="8" s="1"/>
  <c r="H5782" i="5"/>
  <c r="E1546" i="8" s="1"/>
  <c r="H9902" i="5"/>
  <c r="E4294" i="8" s="1"/>
  <c r="H3519" i="5"/>
  <c r="E965" i="8" s="1"/>
  <c r="H3707" i="5"/>
  <c r="E987" i="8" s="1"/>
  <c r="H11291" i="5"/>
  <c r="E4680" i="8" s="1"/>
  <c r="H9854" i="5"/>
  <c r="E4282" i="8" s="1"/>
  <c r="H3308" i="5"/>
  <c r="E927" i="8" s="1"/>
  <c r="H934" i="5"/>
  <c r="E174" i="8" s="1"/>
  <c r="H5513" i="5"/>
  <c r="E1361" i="8" s="1"/>
  <c r="H10441" i="5"/>
  <c r="E4475" i="8" s="1"/>
  <c r="G6926" i="5"/>
  <c r="H3215" i="5"/>
  <c r="E913" i="8" s="1"/>
  <c r="H2138" i="5"/>
  <c r="E338" i="8" s="1"/>
  <c r="H4594" i="5"/>
  <c r="E1156" i="8" s="1"/>
  <c r="H8792" i="5"/>
  <c r="E3561" i="8" s="1"/>
  <c r="G6942" i="5"/>
  <c r="H2974" i="5"/>
  <c r="E870" i="8" s="1"/>
  <c r="H6594" i="5"/>
  <c r="E2696" i="8" s="1"/>
  <c r="H666" i="5"/>
  <c r="E127" i="8" s="1"/>
  <c r="H2015" i="5"/>
  <c r="E321" i="8" s="1"/>
  <c r="H7006" i="5"/>
  <c r="E2912" i="8" s="1"/>
  <c r="H8237" i="5"/>
  <c r="E3402" i="8" s="1"/>
  <c r="H10863" i="5"/>
  <c r="E4603" i="8" s="1"/>
  <c r="H1989" i="5"/>
  <c r="E316" i="8" s="1"/>
  <c r="H1631" i="5"/>
  <c r="E267" i="8" s="1"/>
  <c r="H8625" i="5"/>
  <c r="E3513" i="8" s="1"/>
  <c r="G7274" i="5"/>
  <c r="H3289" i="5"/>
  <c r="E925" i="8" s="1"/>
  <c r="H3444" i="5"/>
  <c r="E949" i="8" s="1"/>
  <c r="H9793" i="5"/>
  <c r="E4267" i="8" s="1"/>
  <c r="G8181" i="5"/>
  <c r="G8393" i="5"/>
  <c r="H327" i="5"/>
  <c r="E85" i="8" s="1"/>
  <c r="H1861" i="5"/>
  <c r="E296" i="8" s="1"/>
  <c r="G7222" i="5"/>
  <c r="H5662" i="5"/>
  <c r="E1410" i="8" s="1"/>
  <c r="G8073" i="5"/>
  <c r="H2678" i="5"/>
  <c r="E577" i="8" s="1"/>
  <c r="H2022" i="5"/>
  <c r="E322" i="8" s="1"/>
  <c r="H10230" i="5"/>
  <c r="E4379" i="8" s="1"/>
  <c r="G8045" i="5"/>
  <c r="H3341" i="5"/>
  <c r="E932" i="8" s="1"/>
  <c r="H2395" i="5"/>
  <c r="E373" i="8" s="1"/>
  <c r="H417" i="5"/>
  <c r="E93" i="8" s="1"/>
  <c r="G8245" i="5"/>
  <c r="H7670" i="5"/>
  <c r="E3263" i="8" s="1"/>
  <c r="H3336" i="5"/>
  <c r="E931" i="8" s="1"/>
  <c r="H2885" i="5"/>
  <c r="E854" i="8" s="1"/>
  <c r="H1588" i="5"/>
  <c r="E260" i="8" s="1"/>
  <c r="H9606" i="5"/>
  <c r="E4241" i="8" s="1"/>
  <c r="G8413" i="5"/>
  <c r="H6278" i="5"/>
  <c r="E2319" i="8" s="1"/>
  <c r="H7454" i="5"/>
  <c r="E3212" i="8" s="1"/>
  <c r="H5734" i="5"/>
  <c r="E1422" i="8" s="1"/>
  <c r="H10703" i="5"/>
  <c r="E4577" i="8" s="1"/>
  <c r="H4032" i="5"/>
  <c r="E1076" i="8" s="1"/>
  <c r="H2738" i="5"/>
  <c r="E713" i="8" s="1"/>
  <c r="H864" i="5"/>
  <c r="E160" i="8" s="1"/>
  <c r="H3510" i="5"/>
  <c r="E963" i="8" s="1"/>
  <c r="H8458" i="5"/>
  <c r="E3477" i="8" s="1"/>
  <c r="H3157" i="5"/>
  <c r="E902" i="8" s="1"/>
  <c r="H646" i="5"/>
  <c r="E122" i="8" s="1"/>
  <c r="H8920" i="5"/>
  <c r="E3591" i="8" s="1"/>
  <c r="H7649" i="5"/>
  <c r="E3260" i="8" s="1"/>
  <c r="H3500" i="5"/>
  <c r="E961" i="8" s="1"/>
  <c r="H4643" i="5"/>
  <c r="E1163" i="8" s="1"/>
  <c r="H1912" i="5"/>
  <c r="E303" i="8" s="1"/>
  <c r="H8948" i="5"/>
  <c r="E3598" i="8" s="1"/>
  <c r="H9586" i="5"/>
  <c r="E4238" i="8" s="1"/>
  <c r="H6513" i="5"/>
  <c r="E2618" i="8" s="1"/>
  <c r="G7054" i="5"/>
  <c r="H200" i="5"/>
  <c r="E45" i="8" s="1"/>
  <c r="H5966" i="5"/>
  <c r="E1849" i="8" s="1"/>
  <c r="H2413" i="5"/>
  <c r="E376" i="8" s="1"/>
  <c r="H5639" i="5"/>
  <c r="E1395" i="8" s="1"/>
  <c r="H4099" i="5"/>
  <c r="E1085" i="8" s="1"/>
  <c r="H1643" i="5"/>
  <c r="E269" i="8" s="1"/>
  <c r="H11928" i="5"/>
  <c r="E4850" i="8" s="1"/>
  <c r="H7909" i="5"/>
  <c r="E3320" i="8" s="1"/>
  <c r="H4975" i="5"/>
  <c r="E1254" i="8" s="1"/>
  <c r="H3875" i="5"/>
  <c r="E1041" i="8" s="1"/>
  <c r="H9755" i="5"/>
  <c r="E4261" i="8" s="1"/>
  <c r="H7833" i="5"/>
  <c r="E3301" i="8" s="1"/>
  <c r="H6246" i="5"/>
  <c r="E2218" i="8" s="1"/>
  <c r="H3285" i="5"/>
  <c r="E924" i="8" s="1"/>
  <c r="H3615" i="5"/>
  <c r="E974" i="8" s="1"/>
  <c r="H5680" i="5"/>
  <c r="E1413" i="8" s="1"/>
  <c r="H10046" i="5"/>
  <c r="E4330" i="8" s="1"/>
  <c r="H8764" i="5"/>
  <c r="E3557" i="8" s="1"/>
  <c r="H5692" i="5"/>
  <c r="E1415" i="8" s="1"/>
  <c r="H9254" i="5"/>
  <c r="E3992" i="8" s="1"/>
  <c r="H3244" i="5"/>
  <c r="E918" i="8" s="1"/>
  <c r="H4347" i="5"/>
  <c r="E1129" i="8" s="1"/>
  <c r="G6918" i="5"/>
  <c r="H11657" i="5"/>
  <c r="E4803" i="8" s="1"/>
  <c r="H11071" i="5"/>
  <c r="E4645" i="8" s="1"/>
  <c r="H11271" i="5"/>
  <c r="E4674" i="8" s="1"/>
  <c r="H285" i="5"/>
  <c r="E81" i="8" s="1"/>
  <c r="G7805" i="5"/>
  <c r="H3674" i="5"/>
  <c r="E981" i="8" s="1"/>
  <c r="H7749" i="5"/>
  <c r="E3281" i="8" s="1"/>
  <c r="H4722" i="5"/>
  <c r="E1172" i="8" s="1"/>
  <c r="H608" i="5"/>
  <c r="E117" i="8" s="1"/>
  <c r="H1724" i="5"/>
  <c r="E281" i="8" s="1"/>
  <c r="H2814" i="5"/>
  <c r="E751" i="8" s="1"/>
  <c r="H10297" i="5"/>
  <c r="E4398" i="8" s="1"/>
  <c r="H11303" i="5"/>
  <c r="E4684" i="8" s="1"/>
  <c r="H6589" i="5"/>
  <c r="E2695" i="8" s="1"/>
  <c r="H5430" i="5"/>
  <c r="E1346" i="8" s="1"/>
  <c r="G2810" i="5"/>
  <c r="H5186" i="5"/>
  <c r="E1291" i="8" s="1"/>
  <c r="H1010" i="5"/>
  <c r="E185" i="8" s="1"/>
  <c r="H10692" i="5"/>
  <c r="E4575" i="8" s="1"/>
  <c r="H9886" i="5"/>
  <c r="E4290" i="8" s="1"/>
  <c r="G7062" i="5"/>
  <c r="H2071" i="5"/>
  <c r="E329" i="8" s="1"/>
  <c r="G8381" i="5"/>
  <c r="H8815" i="5"/>
  <c r="E3565" i="8" s="1"/>
  <c r="H563" i="5"/>
  <c r="E112" i="8" s="1"/>
  <c r="H8377" i="5"/>
  <c r="E3445" i="8" s="1"/>
  <c r="H2216" i="5"/>
  <c r="E349" i="8" s="1"/>
  <c r="H4453" i="5"/>
  <c r="E1139" i="8" s="1"/>
  <c r="G8441" i="5"/>
  <c r="H1744" i="5"/>
  <c r="E283" i="8" s="1"/>
  <c r="H3555" i="5"/>
  <c r="E969" i="8" s="1"/>
  <c r="H2448" i="5"/>
  <c r="E382" i="8" s="1"/>
  <c r="H2264" i="5"/>
  <c r="E355" i="8" s="1"/>
  <c r="H2859" i="5"/>
  <c r="E850" i="8" s="1"/>
  <c r="H1396" i="5"/>
  <c r="E241" i="8" s="1"/>
  <c r="H10928" i="5"/>
  <c r="E4620" i="8" s="1"/>
  <c r="H8217" i="5"/>
  <c r="E3397" i="8" s="1"/>
  <c r="H8005" i="5"/>
  <c r="E3344" i="8" s="1"/>
  <c r="H3471" i="5"/>
  <c r="E956" i="8" s="1"/>
  <c r="H10377" i="5"/>
  <c r="E4429" i="8" s="1"/>
  <c r="H5045" i="5"/>
  <c r="E1265" i="8" s="1"/>
  <c r="G6686" i="5"/>
  <c r="G8057" i="5"/>
  <c r="H8009" i="5"/>
  <c r="E3345" i="8" s="1"/>
  <c r="H1966" i="5"/>
  <c r="E312" i="8" s="1"/>
  <c r="G6814" i="5"/>
  <c r="H5493" i="5"/>
  <c r="E1358" i="8" s="1"/>
  <c r="H2064" i="5"/>
  <c r="E328" i="8" s="1"/>
  <c r="H8205" i="5"/>
  <c r="E3394" i="8" s="1"/>
  <c r="H11853" i="5"/>
  <c r="E4836" i="8" s="1"/>
  <c r="G8029" i="5"/>
  <c r="H4013" i="5"/>
  <c r="E1073" i="8" s="1"/>
  <c r="H1532" i="5"/>
  <c r="E253" i="8" s="1"/>
  <c r="H3044" i="5"/>
  <c r="E881" i="8" s="1"/>
  <c r="H10906" i="5"/>
  <c r="E4615" i="8" s="1"/>
  <c r="H9807" i="5"/>
  <c r="E4269" i="8" s="1"/>
  <c r="H2429" i="5"/>
  <c r="E379" i="8" s="1"/>
  <c r="H3132" i="5"/>
  <c r="E898" i="8" s="1"/>
  <c r="H11494" i="5"/>
  <c r="E4753" i="8" s="1"/>
  <c r="H11650" i="5"/>
  <c r="E4789" i="8" s="1"/>
  <c r="H10317" i="5"/>
  <c r="E4403" i="8" s="1"/>
  <c r="H7655" i="5"/>
  <c r="E3261" i="8" s="1"/>
  <c r="H3280" i="5"/>
  <c r="E923" i="8" s="1"/>
  <c r="H10357" i="5"/>
  <c r="E4424" i="8" s="1"/>
  <c r="G8077" i="5"/>
  <c r="H9054" i="5"/>
  <c r="E3938" i="8" s="1"/>
  <c r="H10755" i="5"/>
  <c r="E4586" i="8" s="1"/>
  <c r="H8149" i="5"/>
  <c r="E3380" i="8" s="1"/>
  <c r="H8589" i="5"/>
  <c r="E3507" i="8" s="1"/>
  <c r="H11771" i="5"/>
  <c r="E4824" i="8" s="1"/>
  <c r="H11425" i="5"/>
  <c r="E4729" i="8" s="1"/>
  <c r="H9114" i="5"/>
  <c r="E3954" i="8" s="1"/>
  <c r="H4166" i="5"/>
  <c r="E1100" i="8" s="1"/>
  <c r="H1191" i="5"/>
  <c r="E210" i="8" s="1"/>
  <c r="H8345" i="5"/>
  <c r="E3434" i="8" s="1"/>
  <c r="H7238" i="5"/>
  <c r="E3037" i="8" s="1"/>
  <c r="G8313" i="5"/>
  <c r="H4112" i="5"/>
  <c r="E1093" i="8" s="1"/>
  <c r="H5606" i="5"/>
  <c r="E1382" i="8" s="1"/>
  <c r="H4887" i="5"/>
  <c r="E1239" i="8" s="1"/>
  <c r="H5254" i="5"/>
  <c r="E1318" i="8" s="1"/>
  <c r="H9170" i="5"/>
  <c r="E3970" i="8" s="1"/>
  <c r="H1813" i="5"/>
  <c r="E292" i="8" s="1"/>
  <c r="G7901" i="5"/>
  <c r="H5071" i="5"/>
  <c r="E1269" i="8" s="1"/>
  <c r="H9302" i="5"/>
  <c r="E4015" i="8" s="1"/>
  <c r="G7030" i="5"/>
  <c r="H1315" i="5"/>
  <c r="E228" i="8" s="1"/>
  <c r="H5101" i="5"/>
  <c r="E1274" i="8" s="1"/>
  <c r="G7182" i="5"/>
  <c r="G7841" i="5"/>
  <c r="H10936" i="5"/>
  <c r="E4622" i="8" s="1"/>
  <c r="H4959" i="5"/>
  <c r="E1252" i="8" s="1"/>
  <c r="H1390" i="5"/>
  <c r="E240" i="8" s="1"/>
  <c r="H4871" i="5"/>
  <c r="E1237" i="8" s="1"/>
  <c r="H11615" i="5"/>
  <c r="E4785" i="8" s="1"/>
  <c r="H9298" i="5"/>
  <c r="E4003" i="8" s="1"/>
  <c r="H7571" i="5"/>
  <c r="E3248" i="8" s="1"/>
  <c r="H100" i="5"/>
  <c r="E25" i="8" s="1"/>
  <c r="H1250" i="5"/>
  <c r="E219" i="8" s="1"/>
  <c r="H10744" i="5"/>
  <c r="E4583" i="8" s="1"/>
  <c r="H11138" i="5"/>
  <c r="E4654" i="8" s="1"/>
  <c r="H10869" i="5"/>
  <c r="E4604" i="8" s="1"/>
  <c r="H9058" i="5"/>
  <c r="E3939" i="8" s="1"/>
  <c r="H8750" i="5"/>
  <c r="E3554" i="8" s="1"/>
  <c r="H11327" i="5"/>
  <c r="E4691" i="8" s="1"/>
  <c r="H11941" i="5"/>
  <c r="E4852" i="8" s="1"/>
  <c r="H10900" i="5"/>
  <c r="E4614" i="8" s="1"/>
  <c r="H6333" i="5"/>
  <c r="E2596" i="8" s="1"/>
  <c r="H4148" i="5"/>
  <c r="E1098" i="8" s="1"/>
  <c r="H3239" i="5"/>
  <c r="E917" i="8" s="1"/>
  <c r="H820" i="5"/>
  <c r="E152" i="8" s="1"/>
  <c r="H11827" i="5"/>
  <c r="E4833" i="8" s="1"/>
  <c r="H11031" i="5"/>
  <c r="E4640" i="8" s="1"/>
  <c r="H2419" i="5"/>
  <c r="E377" i="8" s="1"/>
  <c r="H1198" i="5"/>
  <c r="E211" i="8" s="1"/>
  <c r="H11255" i="5"/>
  <c r="E4669" i="8" s="1"/>
  <c r="H6567" i="5"/>
  <c r="E2684" i="8" s="1"/>
  <c r="H893" i="5"/>
  <c r="E164" i="8" s="1"/>
  <c r="H9519" i="5"/>
  <c r="E4229" i="8" s="1"/>
  <c r="H8161" i="5"/>
  <c r="E3383" i="8" s="1"/>
  <c r="G7921" i="5"/>
  <c r="H5300" i="5"/>
  <c r="E1324" i="8" s="1"/>
  <c r="H11180" i="5"/>
  <c r="E4660" i="8" s="1"/>
  <c r="H2979" i="5"/>
  <c r="E871" i="8" s="1"/>
  <c r="H11810" i="5"/>
  <c r="E4831" i="8" s="1"/>
  <c r="H11297" i="5"/>
  <c r="E4683" i="8" s="1"/>
  <c r="H1378" i="5"/>
  <c r="E238" i="8" s="1"/>
  <c r="H9126" i="5"/>
  <c r="E3958" i="8" s="1"/>
  <c r="H5546" i="5"/>
  <c r="E1367" i="8" s="1"/>
  <c r="H5119" i="5"/>
  <c r="E1277" i="8" s="1"/>
  <c r="H3064" i="5"/>
  <c r="E885" i="8" s="1"/>
  <c r="H1043" i="5"/>
  <c r="E189" i="8" s="1"/>
  <c r="H8519" i="5"/>
  <c r="E3490" i="8" s="1"/>
  <c r="G7981" i="5"/>
  <c r="H7585" i="5"/>
  <c r="E3250" i="8" s="1"/>
  <c r="H7342" i="5"/>
  <c r="E3095" i="8" s="1"/>
  <c r="H877" i="5"/>
  <c r="E162" i="8" s="1"/>
  <c r="G6950" i="5"/>
  <c r="H1893" i="5"/>
  <c r="E300" i="8" s="1"/>
  <c r="H222" i="5"/>
  <c r="E50" i="8" s="1"/>
  <c r="H8285" i="5"/>
  <c r="E3414" i="8" s="1"/>
  <c r="H7360" i="5"/>
  <c r="E3098" i="8" s="1"/>
  <c r="H2774" i="5"/>
  <c r="E719" i="8" s="1"/>
  <c r="H9593" i="5"/>
  <c r="E4239" i="8" s="1"/>
  <c r="H2792" i="5"/>
  <c r="E722" i="8" s="1"/>
  <c r="H169" i="5"/>
  <c r="E39" i="8" s="1"/>
  <c r="H2854" i="5"/>
  <c r="E849" i="8" s="1"/>
  <c r="H3039" i="5"/>
  <c r="E880" i="8" s="1"/>
  <c r="H1034" i="5"/>
  <c r="E188" i="8" s="1"/>
  <c r="H905" i="5"/>
  <c r="E166" i="8" s="1"/>
  <c r="H11166" i="5"/>
  <c r="E4658" i="8" s="1"/>
  <c r="H11091" i="5"/>
  <c r="E4648" i="8" s="1"/>
  <c r="G8273" i="5"/>
  <c r="H11894" i="5"/>
  <c r="E4843" i="8" s="1"/>
  <c r="H6554" i="5"/>
  <c r="E2623" i="8" s="1"/>
  <c r="H11285" i="5"/>
  <c r="E4676" i="8" s="1"/>
  <c r="H4025" i="5"/>
  <c r="E1075" i="8" s="1"/>
  <c r="H2718" i="5"/>
  <c r="E587" i="8" s="1"/>
  <c r="H9218" i="5"/>
  <c r="E3982" i="8" s="1"/>
  <c r="H725" i="5"/>
  <c r="E134" i="8" s="1"/>
  <c r="H4927" i="5"/>
  <c r="E1248" i="8" s="1"/>
  <c r="H11063" i="5"/>
  <c r="E4644" i="8" s="1"/>
  <c r="H3145" i="5"/>
  <c r="E900" i="8" s="1"/>
  <c r="H3326" i="5"/>
  <c r="E930" i="8" s="1"/>
  <c r="H11820" i="5"/>
  <c r="E4832" i="8" s="1"/>
  <c r="H9468" i="5"/>
  <c r="E4221" i="8" s="1"/>
  <c r="G8117" i="5"/>
  <c r="H5758" i="5"/>
  <c r="E1426" i="8" s="1"/>
  <c r="G7873" i="5"/>
  <c r="H6386" i="5"/>
  <c r="E2603" i="8" s="1"/>
  <c r="H1000" i="5"/>
  <c r="E183" i="8" s="1"/>
  <c r="H10767" i="5"/>
  <c r="E4587" i="8" s="1"/>
  <c r="H5486" i="5"/>
  <c r="E1357" i="8" s="1"/>
  <c r="H5462" i="5"/>
  <c r="E1353" i="8" s="1"/>
  <c r="G6998" i="5"/>
  <c r="H2122" i="5"/>
  <c r="E336" i="8" s="1"/>
  <c r="H11713" i="5"/>
  <c r="E4819" i="8" s="1"/>
  <c r="H6610" i="5"/>
  <c r="E2707" i="8" s="1"/>
  <c r="H10062" i="5"/>
  <c r="E4334" i="8" s="1"/>
  <c r="H4788" i="5"/>
  <c r="E1180" i="8" s="1"/>
  <c r="H2455" i="5"/>
  <c r="E383" i="8" s="1"/>
  <c r="H11055" i="5"/>
  <c r="E4643" i="8" s="1"/>
  <c r="H10353" i="5"/>
  <c r="E4423" i="8" s="1"/>
  <c r="H4771" i="5"/>
  <c r="E1178" i="8" s="1"/>
  <c r="H5437" i="5"/>
  <c r="E1347" i="8" s="1"/>
  <c r="H2048" i="5"/>
  <c r="E326" i="8" s="1"/>
  <c r="H7817" i="5"/>
  <c r="E3297" i="8" s="1"/>
  <c r="H11246" i="5"/>
  <c r="E4668" i="8" s="1"/>
  <c r="H4490" i="5"/>
  <c r="E1143" i="8" s="1"/>
  <c r="H11405" i="5"/>
  <c r="E4726" i="8" s="1"/>
  <c r="G6974" i="5"/>
  <c r="H3437" i="5"/>
  <c r="E948" i="8" s="1"/>
  <c r="H1751" i="5"/>
  <c r="E284" i="8" s="1"/>
  <c r="H10250" i="5"/>
  <c r="E4384" i="8" s="1"/>
  <c r="H8329" i="5"/>
  <c r="E3426" i="8" s="1"/>
  <c r="H3694" i="5"/>
  <c r="E985" i="8" s="1"/>
  <c r="H1163" i="5"/>
  <c r="E206" i="8" s="1"/>
  <c r="H1142" i="5"/>
  <c r="E203" i="8" s="1"/>
  <c r="H6974" i="5" l="1"/>
  <c r="E2904" i="8" s="1"/>
  <c r="G7058" i="5"/>
  <c r="G6922" i="5"/>
  <c r="H7030" i="5"/>
  <c r="E2930" i="8" s="1"/>
  <c r="G6810" i="5"/>
  <c r="H8381" i="5"/>
  <c r="E3446" i="8" s="1"/>
  <c r="G7166" i="5"/>
  <c r="H8073" i="5"/>
  <c r="E3361" i="8" s="1"/>
  <c r="G6978" i="5"/>
  <c r="H6766" i="5"/>
  <c r="E2821" i="8" s="1"/>
  <c r="F119" i="7"/>
  <c r="G111" i="7" s="1"/>
  <c r="H8093" i="5"/>
  <c r="E3366" i="8" s="1"/>
  <c r="H6846" i="5"/>
  <c r="E2869" i="8" s="1"/>
  <c r="H8013" i="5"/>
  <c r="E3346" i="8" s="1"/>
  <c r="H8341" i="5"/>
  <c r="E3433" i="8" s="1"/>
  <c r="H6966" i="5"/>
  <c r="E2901" i="8" s="1"/>
  <c r="G6838" i="5"/>
  <c r="H7234" i="5"/>
  <c r="E3036" i="8" s="1"/>
  <c r="G6818" i="5"/>
  <c r="G6778" i="5"/>
  <c r="H7913" i="5"/>
  <c r="E3321" i="8" s="1"/>
  <c r="H6802" i="5"/>
  <c r="E2832" i="8" s="1"/>
  <c r="H7194" i="5"/>
  <c r="E3026" i="8" s="1"/>
  <c r="H7809" i="5"/>
  <c r="E3295" i="8" s="1"/>
  <c r="H8165" i="5"/>
  <c r="E3384" i="8" s="1"/>
  <c r="H8305" i="5"/>
  <c r="E3419" i="8" s="1"/>
  <c r="H8169" i="5"/>
  <c r="E3385" i="8" s="1"/>
  <c r="G7378" i="5"/>
  <c r="G6898" i="5"/>
  <c r="H6910" i="5"/>
  <c r="E2885" i="8" s="1"/>
  <c r="G7046" i="5"/>
  <c r="H6878" i="5"/>
  <c r="E2877" i="8" s="1"/>
  <c r="H7086" i="5"/>
  <c r="E2979" i="8" s="1"/>
  <c r="H8425" i="5"/>
  <c r="E3464" i="8" s="1"/>
  <c r="H6998" i="5"/>
  <c r="E2910" i="8" s="1"/>
  <c r="H8273" i="5"/>
  <c r="E3411" i="8" s="1"/>
  <c r="H7921" i="5"/>
  <c r="E3323" i="8" s="1"/>
  <c r="H7901" i="5"/>
  <c r="E3318" i="8" s="1"/>
  <c r="G7270" i="5"/>
  <c r="H8077" i="5"/>
  <c r="E3362" i="8" s="1"/>
  <c r="H7805" i="5"/>
  <c r="E3294" i="8" s="1"/>
  <c r="G6786" i="5"/>
  <c r="G7078" i="5"/>
  <c r="H8045" i="5"/>
  <c r="E3354" i="8" s="1"/>
  <c r="H7274" i="5"/>
  <c r="E3046" i="8" s="1"/>
  <c r="H6926" i="5"/>
  <c r="E2891" i="8" s="1"/>
  <c r="H8353" i="5"/>
  <c r="E3437" i="8" s="1"/>
  <c r="H7298" i="5"/>
  <c r="E3052" i="8" s="1"/>
  <c r="F104" i="7"/>
  <c r="G97" i="7" s="1"/>
  <c r="G6986" i="5"/>
  <c r="G6770" i="5"/>
  <c r="G6874" i="5"/>
  <c r="F54" i="7"/>
  <c r="H8125" i="5"/>
  <c r="E3374" i="8" s="1"/>
  <c r="G6726" i="5"/>
  <c r="G6994" i="5"/>
  <c r="H8209" i="5"/>
  <c r="E3395" i="8" s="1"/>
  <c r="G6794" i="5"/>
  <c r="H7885" i="5"/>
  <c r="E3314" i="8" s="1"/>
  <c r="G6826" i="5"/>
  <c r="G6722" i="5"/>
  <c r="G6930" i="5"/>
  <c r="H6686" i="5"/>
  <c r="E2744" i="8" s="1"/>
  <c r="G6774" i="5"/>
  <c r="G6914" i="5"/>
  <c r="G6882" i="5"/>
  <c r="H6294" i="5"/>
  <c r="E2335" i="8" s="1"/>
  <c r="H8257" i="5"/>
  <c r="E3407" i="8" s="1"/>
  <c r="H6290" i="5"/>
  <c r="E2334" i="8" s="1"/>
  <c r="G7250" i="5"/>
  <c r="G7110" i="5"/>
  <c r="G6858" i="5"/>
  <c r="H8417" i="5"/>
  <c r="E3462" i="8" s="1"/>
  <c r="G7186" i="5"/>
  <c r="H8261" i="5"/>
  <c r="E3408" i="8" s="1"/>
  <c r="H8133" i="5"/>
  <c r="E3376" i="8" s="1"/>
  <c r="H2802" i="5"/>
  <c r="E733" i="8" s="1"/>
  <c r="H7442" i="5"/>
  <c r="E3208" i="8" s="1"/>
  <c r="H7118" i="5"/>
  <c r="E2992" i="8" s="1"/>
  <c r="G7154" i="5"/>
  <c r="H10924" i="5"/>
  <c r="E4619" i="8" s="1"/>
  <c r="G6790" i="5"/>
  <c r="H7965" i="5"/>
  <c r="E3334" i="8" s="1"/>
  <c r="H8325" i="5"/>
  <c r="E3424" i="8" s="1"/>
  <c r="G6982" i="5"/>
  <c r="G7262" i="5"/>
  <c r="H8241" i="5"/>
  <c r="E3403" i="8" s="1"/>
  <c r="G7294" i="5"/>
  <c r="H8129" i="5"/>
  <c r="E3375" i="8" s="1"/>
  <c r="G6886" i="5"/>
  <c r="H7981" i="5"/>
  <c r="E3338" i="8" s="1"/>
  <c r="G7130" i="5"/>
  <c r="H7062" i="5"/>
  <c r="E2940" i="8" s="1"/>
  <c r="H8413" i="5"/>
  <c r="E3461" i="8" s="1"/>
  <c r="H7222" i="5"/>
  <c r="E3033" i="8" s="1"/>
  <c r="H7985" i="5"/>
  <c r="E3339" i="8" s="1"/>
  <c r="H8089" i="5"/>
  <c r="E3365" i="8" s="1"/>
  <c r="H8229" i="5"/>
  <c r="E3400" i="8" s="1"/>
  <c r="F67" i="7"/>
  <c r="G61" i="7" s="1"/>
  <c r="H7242" i="5"/>
  <c r="E3038" i="8" s="1"/>
  <c r="H7126" i="5"/>
  <c r="E2994" i="8" s="1"/>
  <c r="G7146" i="5"/>
  <c r="G7018" i="5"/>
  <c r="G6730" i="5"/>
  <c r="H8293" i="5"/>
  <c r="E3416" i="8" s="1"/>
  <c r="H6738" i="5"/>
  <c r="E2814" i="8" s="1"/>
  <c r="H4867" i="5"/>
  <c r="E1231" i="8" s="1"/>
  <c r="H7825" i="5"/>
  <c r="E3299" i="8" s="1"/>
  <c r="H7210" i="5"/>
  <c r="E3030" i="8" s="1"/>
  <c r="H6750" i="5"/>
  <c r="E2817" i="8" s="1"/>
  <c r="G7230" i="5"/>
  <c r="H7961" i="5"/>
  <c r="E3333" i="8" s="1"/>
  <c r="H8337" i="5"/>
  <c r="E3428" i="8" s="1"/>
  <c r="H10920" i="5"/>
  <c r="E4618" i="8" s="1"/>
  <c r="H8141" i="5"/>
  <c r="E3378" i="8" s="1"/>
  <c r="G7098" i="5"/>
  <c r="G6706" i="5"/>
  <c r="H8145" i="5"/>
  <c r="E3379" i="8" s="1"/>
  <c r="G6902" i="5"/>
  <c r="H6830" i="5"/>
  <c r="E2859" i="8" s="1"/>
  <c r="H8281" i="5"/>
  <c r="E3413" i="8" s="1"/>
  <c r="H6782" i="5"/>
  <c r="E2825" i="8" s="1"/>
  <c r="G7170" i="5"/>
  <c r="G7498" i="5"/>
  <c r="G7122" i="5"/>
  <c r="G6842" i="5"/>
  <c r="H8309" i="5"/>
  <c r="E3420" i="8" s="1"/>
  <c r="G6710" i="5"/>
  <c r="G6678" i="5"/>
  <c r="H8193" i="5"/>
  <c r="E3391" i="8" s="1"/>
  <c r="H7094" i="5"/>
  <c r="E2981" i="8" s="1"/>
  <c r="G6946" i="5"/>
  <c r="H7106" i="5"/>
  <c r="E2985" i="8" s="1"/>
  <c r="G7050" i="5"/>
  <c r="H7997" i="5"/>
  <c r="E3342" i="8" s="1"/>
  <c r="H7857" i="5"/>
  <c r="E3307" i="8" s="1"/>
  <c r="H7853" i="5"/>
  <c r="E3306" i="8" s="1"/>
  <c r="G7090" i="5"/>
  <c r="G7010" i="5"/>
  <c r="G7002" i="5"/>
  <c r="G6746" i="5"/>
  <c r="H2818" i="5"/>
  <c r="E774" i="8" s="1"/>
  <c r="H7897" i="5"/>
  <c r="E3317" i="8" s="1"/>
  <c r="G6938" i="5"/>
  <c r="H7226" i="5"/>
  <c r="E3034" i="8" s="1"/>
  <c r="H8429" i="5"/>
  <c r="E3465" i="8" s="1"/>
  <c r="G6822" i="5"/>
  <c r="G7138" i="5"/>
  <c r="H7150" i="5"/>
  <c r="E3004" i="8" s="1"/>
  <c r="H7873" i="5"/>
  <c r="E3311" i="8" s="1"/>
  <c r="H6950" i="5"/>
  <c r="E2897" i="8" s="1"/>
  <c r="H7182" i="5"/>
  <c r="E3022" i="8" s="1"/>
  <c r="G7218" i="5"/>
  <c r="G7034" i="5"/>
  <c r="G7066" i="5"/>
  <c r="H8057" i="5"/>
  <c r="E3357" i="8" s="1"/>
  <c r="H8441" i="5"/>
  <c r="E3469" i="8" s="1"/>
  <c r="G7366" i="5"/>
  <c r="G6934" i="5"/>
  <c r="H7949" i="5"/>
  <c r="E3330" i="8" s="1"/>
  <c r="G6666" i="5"/>
  <c r="H7190" i="5"/>
  <c r="E3025" i="8" s="1"/>
  <c r="H7286" i="5"/>
  <c r="E3049" i="8" s="1"/>
  <c r="H7022" i="5"/>
  <c r="E2927" i="8" s="1"/>
  <c r="H7142" i="5"/>
  <c r="E3002" i="8" s="1"/>
  <c r="H8225" i="5"/>
  <c r="E3399" i="8" s="1"/>
  <c r="H7869" i="5"/>
  <c r="E3310" i="8" s="1"/>
  <c r="G6742" i="5"/>
  <c r="H7933" i="5"/>
  <c r="E3326" i="8" s="1"/>
  <c r="G7082" i="5"/>
  <c r="G6698" i="5"/>
  <c r="H8373" i="5"/>
  <c r="E3444" i="8" s="1"/>
  <c r="H10948" i="5"/>
  <c r="E4625" i="8" s="1"/>
  <c r="G6806" i="5"/>
  <c r="H7174" i="5"/>
  <c r="E3019" i="8" s="1"/>
  <c r="H7254" i="5"/>
  <c r="E3041" i="8" s="1"/>
  <c r="G6682" i="5"/>
  <c r="H8117" i="5"/>
  <c r="E3372" i="8" s="1"/>
  <c r="H7841" i="5"/>
  <c r="E3303" i="8" s="1"/>
  <c r="H8313" i="5"/>
  <c r="E3421" i="8" s="1"/>
  <c r="H8029" i="5"/>
  <c r="E3350" i="8" s="1"/>
  <c r="G6754" i="5"/>
  <c r="H2810" i="5"/>
  <c r="E750" i="8" s="1"/>
  <c r="H6918" i="5"/>
  <c r="E2887" i="8" s="1"/>
  <c r="G7014" i="5"/>
  <c r="H7054" i="5"/>
  <c r="E2937" i="8" s="1"/>
  <c r="H8181" i="5"/>
  <c r="E3388" i="8" s="1"/>
  <c r="H2834" i="5"/>
  <c r="E820" i="8" s="1"/>
  <c r="G6954" i="5"/>
  <c r="G6758" i="5"/>
  <c r="H8049" i="5"/>
  <c r="E3355" i="8" s="1"/>
  <c r="G7074" i="5"/>
  <c r="H8397" i="5"/>
  <c r="E3453" i="8" s="1"/>
  <c r="G7198" i="5"/>
  <c r="H7889" i="5"/>
  <c r="E3315" i="8" s="1"/>
  <c r="H8321" i="5"/>
  <c r="E3423" i="8" s="1"/>
  <c r="G6674" i="5"/>
  <c r="H7258" i="5"/>
  <c r="E3042" i="8" s="1"/>
  <c r="H7202" i="5"/>
  <c r="E3028" i="8" s="1"/>
  <c r="G6762" i="5"/>
  <c r="G7282" i="5"/>
  <c r="G6694" i="5"/>
  <c r="G6850" i="5"/>
  <c r="G6890" i="5"/>
  <c r="G7206" i="5"/>
  <c r="H7821" i="5"/>
  <c r="E3298" i="8" s="1"/>
  <c r="G7178" i="5"/>
  <c r="H10912" i="5"/>
  <c r="E4616" i="8" s="1"/>
  <c r="H6718" i="5"/>
  <c r="E2783" i="8" s="1"/>
  <c r="G6834" i="5"/>
  <c r="H8109" i="5"/>
  <c r="E3370" i="8" s="1"/>
  <c r="H6990" i="5"/>
  <c r="E2908" i="8" s="1"/>
  <c r="H8213" i="5"/>
  <c r="E3396" i="8" s="1"/>
  <c r="H4843" i="5"/>
  <c r="E1206" i="8" s="1"/>
  <c r="G6714" i="5"/>
  <c r="G6690" i="5"/>
  <c r="G6662" i="5"/>
  <c r="H6814" i="5"/>
  <c r="E2854" i="8" s="1"/>
  <c r="G6658" i="5"/>
  <c r="H8245" i="5"/>
  <c r="E3404" i="8" s="1"/>
  <c r="H8393" i="5"/>
  <c r="E3451" i="8" s="1"/>
  <c r="G6906" i="5"/>
  <c r="H6942" i="5"/>
  <c r="E2895" i="8" s="1"/>
  <c r="G6870" i="5"/>
  <c r="F90" i="7"/>
  <c r="G83" i="7" s="1"/>
  <c r="H8409" i="5"/>
  <c r="E3460" i="8" s="1"/>
  <c r="H7917" i="5"/>
  <c r="E3322" i="8" s="1"/>
  <c r="G6854" i="5"/>
  <c r="H8357" i="5"/>
  <c r="E3439" i="8" s="1"/>
  <c r="H7042" i="5"/>
  <c r="E2933" i="8" s="1"/>
  <c r="H8433" i="5"/>
  <c r="E3466" i="8" s="1"/>
  <c r="H8289" i="5"/>
  <c r="E3415" i="8" s="1"/>
  <c r="H6654" i="5"/>
  <c r="E2722" i="8" s="1"/>
  <c r="G6866" i="5"/>
  <c r="G7026" i="5"/>
  <c r="G7162" i="5"/>
  <c r="G7134" i="5"/>
  <c r="H8277" i="5"/>
  <c r="E3412" i="8" s="1"/>
  <c r="H4851" i="5"/>
  <c r="E1211" i="8" s="1"/>
  <c r="H7374" i="5"/>
  <c r="E3116" i="8" s="1"/>
  <c r="H7837" i="5"/>
  <c r="E3302" i="8" s="1"/>
  <c r="H4863" i="5"/>
  <c r="E1230" i="8" s="1"/>
  <c r="H7206" i="5" l="1"/>
  <c r="E3029" i="8" s="1"/>
  <c r="H6890" i="5"/>
  <c r="E2880" i="8" s="1"/>
  <c r="H7282" i="5"/>
  <c r="E3048" i="8" s="1"/>
  <c r="F31" i="7"/>
  <c r="H6954" i="5"/>
  <c r="E2898" i="8" s="1"/>
  <c r="H6666" i="5"/>
  <c r="E2729" i="8" s="1"/>
  <c r="H6822" i="5"/>
  <c r="E2857" i="8" s="1"/>
  <c r="H7010" i="5"/>
  <c r="E2923" i="8" s="1"/>
  <c r="H7050" i="5"/>
  <c r="E2936" i="8" s="1"/>
  <c r="H6842" i="5"/>
  <c r="E2868" i="8" s="1"/>
  <c r="H6902" i="5"/>
  <c r="E2883" i="8" s="1"/>
  <c r="H7130" i="5"/>
  <c r="E2995" i="8" s="1"/>
  <c r="H7294" i="5"/>
  <c r="E3051" i="8" s="1"/>
  <c r="H7262" i="5"/>
  <c r="E3043" i="8" s="1"/>
  <c r="H6986" i="5"/>
  <c r="E2907" i="8" s="1"/>
  <c r="H7046" i="5"/>
  <c r="E2934" i="8" s="1"/>
  <c r="H6978" i="5"/>
  <c r="E2905" i="8" s="1"/>
  <c r="H6810" i="5"/>
  <c r="E2853" i="8" s="1"/>
  <c r="H7134" i="5"/>
  <c r="E2996" i="8" s="1"/>
  <c r="H6870" i="5"/>
  <c r="E2875" i="8" s="1"/>
  <c r="H6762" i="5"/>
  <c r="E2820" i="8" s="1"/>
  <c r="H6674" i="5"/>
  <c r="E2736" i="8" s="1"/>
  <c r="H7198" i="5"/>
  <c r="E3027" i="8" s="1"/>
  <c r="H7082" i="5"/>
  <c r="E2978" i="8" s="1"/>
  <c r="H7366" i="5"/>
  <c r="E3100" i="8" s="1"/>
  <c r="H6938" i="5"/>
  <c r="E2894" i="8" s="1"/>
  <c r="H7498" i="5"/>
  <c r="E3219" i="8" s="1"/>
  <c r="H7170" i="5"/>
  <c r="E3018" i="8" s="1"/>
  <c r="H7098" i="5"/>
  <c r="E2982" i="8" s="1"/>
  <c r="H7018" i="5"/>
  <c r="E2926" i="8" s="1"/>
  <c r="H7154" i="5"/>
  <c r="E3011" i="8" s="1"/>
  <c r="H7110" i="5"/>
  <c r="E2990" i="8" s="1"/>
  <c r="H6994" i="5"/>
  <c r="E2909" i="8" s="1"/>
  <c r="H6770" i="5"/>
  <c r="E2822" i="8" s="1"/>
  <c r="H6866" i="5"/>
  <c r="E2874" i="8" s="1"/>
  <c r="H6806" i="5"/>
  <c r="E2833" i="8" s="1"/>
  <c r="H6746" i="5"/>
  <c r="E2816" i="8" s="1"/>
  <c r="H6930" i="5"/>
  <c r="E2892" i="8" s="1"/>
  <c r="H6726" i="5"/>
  <c r="E2806" i="8" s="1"/>
  <c r="H6818" i="5"/>
  <c r="E2855" i="8" s="1"/>
  <c r="H6662" i="5"/>
  <c r="E2725" i="8" s="1"/>
  <c r="H6850" i="5"/>
  <c r="E2870" i="8" s="1"/>
  <c r="H6742" i="5"/>
  <c r="E2815" i="8" s="1"/>
  <c r="H7138" i="5"/>
  <c r="E3001" i="8" s="1"/>
  <c r="H7090" i="5"/>
  <c r="E2980" i="8" s="1"/>
  <c r="H7122" i="5"/>
  <c r="E2993" i="8" s="1"/>
  <c r="H7146" i="5"/>
  <c r="E3003" i="8" s="1"/>
  <c r="H6886" i="5"/>
  <c r="E2879" i="8" s="1"/>
  <c r="H6790" i="5"/>
  <c r="E2829" i="8" s="1"/>
  <c r="H7270" i="5"/>
  <c r="E3045" i="8" s="1"/>
  <c r="H6898" i="5"/>
  <c r="E2882" i="8" s="1"/>
  <c r="H7166" i="5"/>
  <c r="E3014" i="8" s="1"/>
  <c r="H7162" i="5"/>
  <c r="E3013" i="8" s="1"/>
  <c r="H6854" i="5"/>
  <c r="E2871" i="8" s="1"/>
  <c r="H6690" i="5"/>
  <c r="E2747" i="8" s="1"/>
  <c r="H7178" i="5"/>
  <c r="E3020" i="8" s="1"/>
  <c r="H7074" i="5"/>
  <c r="E2948" i="8" s="1"/>
  <c r="H7014" i="5"/>
  <c r="E2924" i="8" s="1"/>
  <c r="H7002" i="5"/>
  <c r="E2911" i="8" s="1"/>
  <c r="H7230" i="5"/>
  <c r="E3035" i="8" s="1"/>
  <c r="H6774" i="5"/>
  <c r="E2823" i="8" s="1"/>
  <c r="H6838" i="5"/>
  <c r="E2861" i="8" s="1"/>
  <c r="H7058" i="5"/>
  <c r="E2938" i="8" s="1"/>
  <c r="H7026" i="5"/>
  <c r="E2929" i="8" s="1"/>
  <c r="H6714" i="5"/>
  <c r="E2765" i="8" s="1"/>
  <c r="H6834" i="5"/>
  <c r="E2860" i="8" s="1"/>
  <c r="H6754" i="5"/>
  <c r="E2818" i="8" s="1"/>
  <c r="F53" i="7"/>
  <c r="G48" i="7" s="1"/>
  <c r="H6934" i="5"/>
  <c r="E2893" i="8" s="1"/>
  <c r="H7066" i="5"/>
  <c r="E2945" i="8" s="1"/>
  <c r="H6946" i="5"/>
  <c r="E2896" i="8" s="1"/>
  <c r="H6678" i="5"/>
  <c r="E2740" i="8" s="1"/>
  <c r="H7186" i="5"/>
  <c r="E3024" i="8" s="1"/>
  <c r="H6858" i="5"/>
  <c r="E2872" i="8" s="1"/>
  <c r="H6914" i="5"/>
  <c r="E2886" i="8" s="1"/>
  <c r="H6874" i="5"/>
  <c r="E2876" i="8" s="1"/>
  <c r="H6786" i="5"/>
  <c r="E2828" i="8" s="1"/>
  <c r="H6922" i="5"/>
  <c r="E2890" i="8" s="1"/>
  <c r="H6906" i="5"/>
  <c r="E2884" i="8" s="1"/>
  <c r="H6694" i="5"/>
  <c r="E2748" i="8" s="1"/>
  <c r="H6758" i="5"/>
  <c r="E2819" i="8" s="1"/>
  <c r="H7218" i="5"/>
  <c r="E3032" i="8" s="1"/>
  <c r="H6710" i="5"/>
  <c r="E2757" i="8" s="1"/>
  <c r="H6706" i="5"/>
  <c r="E2753" i="8" s="1"/>
  <c r="H6730" i="5"/>
  <c r="E2812" i="8" s="1"/>
  <c r="H6982" i="5"/>
  <c r="E2906" i="8" s="1"/>
  <c r="H7250" i="5"/>
  <c r="E3040" i="8" s="1"/>
  <c r="H6794" i="5"/>
  <c r="E2830" i="8" s="1"/>
  <c r="H7078" i="5"/>
  <c r="E2975" i="8" s="1"/>
  <c r="H7378" i="5"/>
  <c r="E3117" i="8" s="1"/>
  <c r="H6658" i="5"/>
  <c r="E2724" i="8" s="1"/>
  <c r="H6682" i="5"/>
  <c r="E2742" i="8" s="1"/>
  <c r="H6698" i="5"/>
  <c r="E2750" i="8" s="1"/>
  <c r="H7034" i="5"/>
  <c r="E2931" i="8" s="1"/>
  <c r="H6882" i="5"/>
  <c r="E2878" i="8" s="1"/>
  <c r="H6722" i="5"/>
  <c r="E2789" i="8" s="1"/>
  <c r="H6826" i="5"/>
  <c r="E2858" i="8" s="1"/>
  <c r="H6778" i="5"/>
  <c r="E2824" i="8" s="1"/>
  <c r="G26" i="7" l="1"/>
  <c r="I4881" i="8" l="1"/>
  <c r="H4881" i="8"/>
  <c r="F4881" i="8"/>
  <c r="H4459" i="8" l="1"/>
  <c r="I4459" i="8" s="1"/>
  <c r="F4459" i="8"/>
  <c r="H4336" i="8"/>
  <c r="I4336" i="8" s="1"/>
  <c r="F4336" i="8"/>
  <c r="F1926" i="8"/>
  <c r="H1926" i="8"/>
  <c r="I1926" i="8" s="1"/>
  <c r="H4326" i="8"/>
  <c r="I4326" i="8" s="1"/>
  <c r="F4326" i="8"/>
  <c r="H4327" i="8"/>
  <c r="I4327" i="8" s="1"/>
  <c r="F4327" i="8"/>
  <c r="H3220" i="8"/>
  <c r="I3220" i="8" s="1"/>
  <c r="F3220" i="8"/>
  <c r="H4522" i="8"/>
  <c r="I4522" i="8" s="1"/>
  <c r="F4522" i="8"/>
  <c r="H3497" i="8"/>
  <c r="I3497" i="8" s="1"/>
  <c r="F3497" i="8"/>
  <c r="H4318" i="8"/>
  <c r="I4318" i="8" s="1"/>
  <c r="F4318" i="8"/>
  <c r="H1817" i="8"/>
  <c r="I1817" i="8" s="1"/>
  <c r="F1817" i="8"/>
  <c r="H4371" i="8"/>
  <c r="I4371" i="8" s="1"/>
  <c r="F4371" i="8"/>
  <c r="H4317" i="8"/>
  <c r="I4317" i="8" s="1"/>
  <c r="F4317" i="8"/>
  <c r="H4549" i="8"/>
  <c r="I4549" i="8" s="1"/>
  <c r="F4549" i="8"/>
  <c r="H4537" i="8"/>
  <c r="I4537" i="8" s="1"/>
  <c r="F4537" i="8"/>
  <c r="H4313" i="8"/>
  <c r="I4313" i="8" s="1"/>
  <c r="F4313" i="8"/>
  <c r="F3392" i="8"/>
  <c r="H3392" i="8"/>
  <c r="I3392" i="8" s="1"/>
  <c r="H579" i="8"/>
  <c r="I579" i="8" s="1"/>
  <c r="F579" i="8"/>
  <c r="H4323" i="8"/>
  <c r="I4323" i="8" s="1"/>
  <c r="F4323" i="8"/>
  <c r="H3508" i="8"/>
  <c r="I3508" i="8" s="1"/>
  <c r="F3508" i="8"/>
  <c r="H4460" i="8"/>
  <c r="I4460" i="8" s="1"/>
  <c r="F4460" i="8"/>
  <c r="H4773" i="8"/>
  <c r="I4773" i="8" s="1"/>
  <c r="F4773" i="8"/>
  <c r="H4312" i="8"/>
  <c r="I4312" i="8" s="1"/>
  <c r="F4312" i="8"/>
  <c r="H4360" i="8"/>
  <c r="I4360" i="8" s="1"/>
  <c r="F4360" i="8"/>
  <c r="H4341" i="8"/>
  <c r="I4341" i="8" s="1"/>
  <c r="F4341" i="8"/>
  <c r="H4507" i="8"/>
  <c r="I4507" i="8" s="1"/>
  <c r="F4507" i="8"/>
  <c r="H1396" i="8"/>
  <c r="I1396" i="8" s="1"/>
  <c r="F1396" i="8"/>
  <c r="F1819" i="8"/>
  <c r="H1819" i="8"/>
  <c r="I1819" i="8" s="1"/>
  <c r="H3231" i="8"/>
  <c r="I3231" i="8" s="1"/>
  <c r="F3231" i="8"/>
  <c r="H4463" i="8"/>
  <c r="I4463" i="8" s="1"/>
  <c r="F4463" i="8"/>
  <c r="H4464" i="8"/>
  <c r="I4464" i="8" s="1"/>
  <c r="F4464" i="8"/>
  <c r="H4358" i="8"/>
  <c r="I4358" i="8" s="1"/>
  <c r="F4358" i="8"/>
  <c r="H2900" i="8"/>
  <c r="I2900" i="8" s="1"/>
  <c r="F2900" i="8"/>
  <c r="H4324" i="8"/>
  <c r="I4324" i="8" s="1"/>
  <c r="F4324" i="8"/>
  <c r="F1921" i="8"/>
  <c r="H1921" i="8"/>
  <c r="I1921" i="8" s="1"/>
  <c r="H4322" i="8"/>
  <c r="I4322" i="8" s="1"/>
  <c r="F4322" i="8"/>
  <c r="H4498" i="8"/>
  <c r="I4498" i="8" s="1"/>
  <c r="F4498" i="8"/>
  <c r="H4705" i="8"/>
  <c r="I4705" i="8" s="1"/>
  <c r="F4705" i="8"/>
  <c r="H4777" i="8"/>
  <c r="I4777" i="8" s="1"/>
  <c r="F4777" i="8"/>
  <c r="H4388" i="8"/>
  <c r="I4388" i="8" s="1"/>
  <c r="F4388" i="8"/>
  <c r="H4545" i="8"/>
  <c r="I4545" i="8" s="1"/>
  <c r="F4545" i="8"/>
  <c r="H4359" i="8"/>
  <c r="I4359" i="8" s="1"/>
  <c r="F4359" i="8"/>
  <c r="H2100" i="8"/>
  <c r="I2100" i="8" s="1"/>
  <c r="F2100" i="8"/>
  <c r="F3445" i="8"/>
  <c r="H3445" i="8"/>
  <c r="I3445" i="8" s="1"/>
  <c r="H4273" i="8"/>
  <c r="I4273" i="8" s="1"/>
  <c r="F4273" i="8"/>
  <c r="H4331" i="8"/>
  <c r="I4331" i="8" s="1"/>
  <c r="F4331" i="8"/>
  <c r="H4467" i="8"/>
  <c r="I4467" i="8" s="1"/>
  <c r="F4467" i="8"/>
  <c r="H3230" i="8"/>
  <c r="I3230" i="8" s="1"/>
  <c r="F3230" i="8"/>
  <c r="H3358" i="8"/>
  <c r="I3358" i="8" s="1"/>
  <c r="F3358" i="8"/>
  <c r="H4503" i="8"/>
  <c r="I4503" i="8" s="1"/>
  <c r="F4503" i="8"/>
  <c r="H4287" i="8"/>
  <c r="I4287" i="8" s="1"/>
  <c r="F4287" i="8"/>
  <c r="H3298" i="8"/>
  <c r="I3298" i="8" s="1"/>
  <c r="F3298" i="8"/>
  <c r="H3209" i="8"/>
  <c r="I3209" i="8" s="1"/>
  <c r="F3209" i="8"/>
  <c r="H3443" i="8"/>
  <c r="I3443" i="8" s="1"/>
  <c r="F3443" i="8"/>
  <c r="H4314" i="8"/>
  <c r="I4314" i="8" s="1"/>
  <c r="F4314" i="8"/>
  <c r="H1923" i="8"/>
  <c r="I1923" i="8" s="1"/>
  <c r="F1923" i="8"/>
  <c r="H3368" i="8"/>
  <c r="I3368" i="8" s="1"/>
  <c r="F3368" i="8"/>
  <c r="H4521" i="8"/>
  <c r="I4521" i="8" s="1"/>
  <c r="F4521" i="8"/>
  <c r="H4776" i="8"/>
  <c r="I4776" i="8" s="1"/>
  <c r="F4776" i="8"/>
  <c r="H4339" i="8"/>
  <c r="I4339" i="8" s="1"/>
  <c r="F4339" i="8"/>
  <c r="H4374" i="8"/>
  <c r="I4374" i="8" s="1"/>
  <c r="F4374" i="8"/>
  <c r="H4775" i="8"/>
  <c r="I4775" i="8" s="1"/>
  <c r="F4775" i="8"/>
  <c r="H4468" i="8"/>
  <c r="I4468" i="8" s="1"/>
  <c r="F4468" i="8"/>
  <c r="H4375" i="8"/>
  <c r="I4375" i="8" s="1"/>
  <c r="F4375" i="8"/>
  <c r="H4778" i="8"/>
  <c r="I4778" i="8" s="1"/>
  <c r="F4778" i="8"/>
  <c r="H4533" i="8"/>
  <c r="I4533" i="8" s="1"/>
  <c r="F4533" i="8"/>
  <c r="H4315" i="8"/>
  <c r="I4315" i="8" s="1"/>
  <c r="F4315" i="8"/>
  <c r="H4344" i="8"/>
  <c r="I4344" i="8" s="1"/>
  <c r="F4344" i="8"/>
  <c r="H4547" i="8"/>
  <c r="I4547" i="8" s="1"/>
  <c r="F4547" i="8"/>
  <c r="H1815" i="8"/>
  <c r="I1815" i="8" s="1"/>
  <c r="F1815" i="8"/>
  <c r="H4458" i="8"/>
  <c r="I4458" i="8" s="1"/>
  <c r="F4458" i="8"/>
  <c r="H4272" i="8"/>
  <c r="I4272" i="8" s="1"/>
  <c r="F4272" i="8"/>
  <c r="H1816" i="8"/>
  <c r="I1816" i="8" s="1"/>
  <c r="F1816" i="8"/>
  <c r="H4544" i="8"/>
  <c r="I4544" i="8" s="1"/>
  <c r="F4544" i="8"/>
  <c r="H4539" i="8"/>
  <c r="I4539" i="8" s="1"/>
  <c r="F4539" i="8"/>
  <c r="F1183" i="8"/>
  <c r="H1183" i="8"/>
  <c r="I1183" i="8" s="1"/>
  <c r="H4288" i="8"/>
  <c r="I4288" i="8" s="1"/>
  <c r="F4288" i="8"/>
  <c r="H4506" i="8"/>
  <c r="I4506" i="8" s="1"/>
  <c r="F4506" i="8"/>
  <c r="H4343" i="8"/>
  <c r="I4343" i="8" s="1"/>
  <c r="F4343" i="8"/>
  <c r="H4505" i="8"/>
  <c r="I4505" i="8" s="1"/>
  <c r="F4505" i="8"/>
  <c r="H3228" i="8"/>
  <c r="I3228" i="8" s="1"/>
  <c r="F3228" i="8"/>
  <c r="H4342" i="8"/>
  <c r="I4342" i="8" s="1"/>
  <c r="F4342" i="8"/>
  <c r="H4560" i="8"/>
  <c r="I4560" i="8" s="1"/>
  <c r="F4560" i="8"/>
  <c r="H4499" i="8"/>
  <c r="I4499" i="8" s="1"/>
  <c r="F4499" i="8"/>
  <c r="H1818" i="8"/>
  <c r="I1818" i="8" s="1"/>
  <c r="F1818" i="8"/>
  <c r="F1814" i="8"/>
  <c r="H1814" i="8"/>
  <c r="I1814" i="8" s="1"/>
  <c r="H3235" i="8"/>
  <c r="I3235" i="8" s="1"/>
  <c r="F3235" i="8"/>
  <c r="H4340" i="8"/>
  <c r="I4340" i="8" s="1"/>
  <c r="F4340" i="8"/>
  <c r="H1922" i="8"/>
  <c r="I1922" i="8" s="1"/>
  <c r="F1922" i="8"/>
  <c r="H4286" i="8"/>
  <c r="I4286" i="8" s="1"/>
  <c r="F4286" i="8"/>
  <c r="H4308" i="8"/>
  <c r="I4308" i="8" s="1"/>
  <c r="F4308" i="8"/>
  <c r="H4500" i="8"/>
  <c r="I4500" i="8" s="1"/>
  <c r="F4500" i="8"/>
  <c r="H2991" i="8"/>
  <c r="I2991" i="8" s="1"/>
  <c r="F2991" i="8"/>
  <c r="H4559" i="8"/>
  <c r="I4559" i="8" s="1"/>
  <c r="F4559" i="8"/>
  <c r="F2096" i="8"/>
  <c r="H2096" i="8"/>
  <c r="I2096" i="8" s="1"/>
  <c r="H3470" i="8"/>
  <c r="I3470" i="8" s="1"/>
  <c r="F3470" i="8"/>
  <c r="H4321" i="8"/>
  <c r="I4321" i="8" s="1"/>
  <c r="F4321" i="8"/>
  <c r="H4504" i="8"/>
  <c r="I4504" i="8" s="1"/>
  <c r="F4504" i="8"/>
  <c r="H3234" i="8"/>
  <c r="I3234" i="8" s="1"/>
  <c r="F3234" i="8"/>
  <c r="H1924" i="8"/>
  <c r="I1924" i="8" s="1"/>
  <c r="F1924" i="8"/>
  <c r="H4439" i="8"/>
  <c r="I4439" i="8" s="1"/>
  <c r="F4439" i="8"/>
  <c r="H3518" i="8"/>
  <c r="I3518" i="8" s="1"/>
  <c r="F3518" i="8"/>
  <c r="H4332" i="8"/>
  <c r="I4332" i="8" s="1"/>
  <c r="F4332" i="8"/>
  <c r="H4337" i="8"/>
  <c r="I4337" i="8" s="1"/>
  <c r="F4337" i="8"/>
  <c r="H143" i="8"/>
  <c r="I143" i="8" s="1"/>
  <c r="F143" i="8"/>
  <c r="H4502" i="8"/>
  <c r="I4502" i="8" s="1"/>
  <c r="F4502" i="8"/>
  <c r="H4462" i="8"/>
  <c r="I4462" i="8" s="1"/>
  <c r="F4462" i="8"/>
  <c r="H4338" i="8"/>
  <c r="I4338" i="8" s="1"/>
  <c r="F4338" i="8"/>
  <c r="H4538" i="8"/>
  <c r="I4538" i="8" s="1"/>
  <c r="F4538" i="8"/>
  <c r="H4325" i="8"/>
  <c r="I4325" i="8" s="1"/>
  <c r="F4325" i="8"/>
  <c r="H3471" i="8"/>
  <c r="I3471" i="8" s="1"/>
  <c r="F3471" i="8"/>
  <c r="H4377" i="8"/>
  <c r="I4377" i="8" s="1"/>
  <c r="F4377" i="8"/>
  <c r="H3530" i="8" l="1"/>
  <c r="F3530" i="8"/>
  <c r="I3530" i="8"/>
  <c r="I1811" i="8"/>
  <c r="H1811" i="8"/>
  <c r="F1811" i="8"/>
  <c r="I2834" i="8"/>
  <c r="H2834" i="8"/>
  <c r="F2834" i="8"/>
  <c r="H497" i="8"/>
  <c r="F497" i="8"/>
  <c r="I497" i="8"/>
  <c r="I2179" i="8"/>
  <c r="H2179" i="8"/>
  <c r="F2179" i="8"/>
  <c r="I1717" i="8"/>
  <c r="F1717" i="8"/>
  <c r="H1717" i="8"/>
  <c r="H3698" i="8"/>
  <c r="F3698" i="8"/>
  <c r="I3698" i="8"/>
  <c r="H3797" i="8"/>
  <c r="F3797" i="8"/>
  <c r="I3797" i="8"/>
  <c r="I1929" i="8"/>
  <c r="H1929" i="8"/>
  <c r="F1929" i="8"/>
  <c r="H4165" i="8"/>
  <c r="F4165" i="8"/>
  <c r="I4165" i="8"/>
  <c r="I2625" i="8"/>
  <c r="H2625" i="8"/>
  <c r="F2625" i="8"/>
  <c r="I1972" i="8"/>
  <c r="H1972" i="8"/>
  <c r="F1972" i="8"/>
  <c r="I2022" i="8"/>
  <c r="F2022" i="8"/>
  <c r="H2022" i="8"/>
  <c r="H434" i="8"/>
  <c r="I434" i="8"/>
  <c r="F434" i="8"/>
  <c r="H500" i="8"/>
  <c r="F500" i="8"/>
  <c r="I500" i="8"/>
  <c r="I58" i="8"/>
  <c r="H58" i="8"/>
  <c r="F58" i="8"/>
  <c r="H608" i="8"/>
  <c r="F608" i="8"/>
  <c r="I608" i="8"/>
  <c r="H4264" i="8"/>
  <c r="F4264" i="8"/>
  <c r="I4264" i="8"/>
  <c r="H3607" i="8"/>
  <c r="F3607" i="8"/>
  <c r="I3607" i="8"/>
  <c r="H3907" i="8"/>
  <c r="F3907" i="8"/>
  <c r="I3907" i="8"/>
  <c r="I3171" i="8"/>
  <c r="H3171" i="8"/>
  <c r="F3171" i="8"/>
  <c r="H4606" i="8"/>
  <c r="F4606" i="8"/>
  <c r="I4606" i="8"/>
  <c r="H3875" i="8"/>
  <c r="F3875" i="8"/>
  <c r="I3875" i="8"/>
  <c r="I3458" i="8"/>
  <c r="H3458" i="8"/>
  <c r="F3458" i="8"/>
  <c r="I1471" i="8"/>
  <c r="H1471" i="8"/>
  <c r="F1471" i="8"/>
  <c r="H744" i="8"/>
  <c r="F744" i="8"/>
  <c r="I744" i="8"/>
  <c r="F805" i="6"/>
  <c r="G805" i="6" s="1"/>
  <c r="H954" i="8"/>
  <c r="F954" i="8"/>
  <c r="I954" i="8"/>
  <c r="I2392" i="8"/>
  <c r="H2392" i="8"/>
  <c r="F2392" i="8"/>
  <c r="I2371" i="8"/>
  <c r="H2371" i="8"/>
  <c r="F2371" i="8"/>
  <c r="H4562" i="8"/>
  <c r="F4562" i="8"/>
  <c r="I4562" i="8"/>
  <c r="I2160" i="8"/>
  <c r="F2160" i="8"/>
  <c r="H2160" i="8"/>
  <c r="I1212" i="8"/>
  <c r="H1212" i="8"/>
  <c r="F1212" i="8"/>
  <c r="H4495" i="8"/>
  <c r="F4495" i="8"/>
  <c r="I4495" i="8"/>
  <c r="I1915" i="8"/>
  <c r="F1915" i="8"/>
  <c r="H1915" i="8"/>
  <c r="I1715" i="8"/>
  <c r="H1715" i="8"/>
  <c r="F1715" i="8"/>
  <c r="I2523" i="8"/>
  <c r="F2523" i="8"/>
  <c r="H2523" i="8"/>
  <c r="I2772" i="8"/>
  <c r="H2772" i="8"/>
  <c r="F2772" i="8"/>
  <c r="I3278" i="8"/>
  <c r="H3278" i="8"/>
  <c r="F3278" i="8"/>
  <c r="I1826" i="8"/>
  <c r="H1826" i="8"/>
  <c r="F1826" i="8"/>
  <c r="I1489" i="8"/>
  <c r="F1489" i="8"/>
  <c r="H1489" i="8"/>
  <c r="I2292" i="8"/>
  <c r="H2292" i="8"/>
  <c r="F2292" i="8"/>
  <c r="I4864" i="8"/>
  <c r="H4864" i="8"/>
  <c r="F4864" i="8"/>
  <c r="H3552" i="8"/>
  <c r="F3552" i="8"/>
  <c r="I3552" i="8"/>
  <c r="I1504" i="8"/>
  <c r="F1504" i="8"/>
  <c r="H1504" i="8"/>
  <c r="H4196" i="8"/>
  <c r="F4196" i="8"/>
  <c r="I4196" i="8"/>
  <c r="H4178" i="8"/>
  <c r="F4178" i="8"/>
  <c r="I4178" i="8"/>
  <c r="H4138" i="8"/>
  <c r="F4138" i="8"/>
  <c r="I4138" i="8"/>
  <c r="I1199" i="8"/>
  <c r="F1199" i="8"/>
  <c r="H1199" i="8"/>
  <c r="H3834" i="8"/>
  <c r="F3834" i="8"/>
  <c r="I3834" i="8"/>
  <c r="H3880" i="8"/>
  <c r="F3880" i="8"/>
  <c r="I3880" i="8"/>
  <c r="H4497" i="8"/>
  <c r="F4497" i="8"/>
  <c r="I4497" i="8"/>
  <c r="H653" i="8"/>
  <c r="F653" i="8"/>
  <c r="I653" i="8"/>
  <c r="I3151" i="8"/>
  <c r="H3151" i="8"/>
  <c r="F3151" i="8"/>
  <c r="H1049" i="8"/>
  <c r="F1049" i="8"/>
  <c r="I1049" i="8"/>
  <c r="H682" i="8"/>
  <c r="F682" i="8"/>
  <c r="I682" i="8"/>
  <c r="I2298" i="8"/>
  <c r="H2298" i="8"/>
  <c r="F2298" i="8"/>
  <c r="H611" i="8"/>
  <c r="F611" i="8"/>
  <c r="I611" i="8"/>
  <c r="H3721" i="8"/>
  <c r="F3721" i="8"/>
  <c r="I3721" i="8"/>
  <c r="I2850" i="8"/>
  <c r="H2850" i="8"/>
  <c r="F2850" i="8"/>
  <c r="I3450" i="8"/>
  <c r="H3450" i="8"/>
  <c r="F3450" i="8"/>
  <c r="H797" i="8"/>
  <c r="F797" i="8"/>
  <c r="I797" i="8"/>
  <c r="I2954" i="8"/>
  <c r="H2954" i="8"/>
  <c r="F2954" i="8"/>
  <c r="H4745" i="8"/>
  <c r="F4745" i="8"/>
  <c r="I4745" i="8"/>
  <c r="H3904" i="8"/>
  <c r="F3904" i="8"/>
  <c r="I3904" i="8"/>
  <c r="I63" i="8"/>
  <c r="H63" i="8"/>
  <c r="F63" i="8"/>
  <c r="H487" i="8"/>
  <c r="F487" i="8"/>
  <c r="I487" i="8"/>
  <c r="I1625" i="8"/>
  <c r="H1625" i="8"/>
  <c r="F1625" i="8"/>
  <c r="H3792" i="8"/>
  <c r="F3792" i="8"/>
  <c r="I3792" i="8"/>
  <c r="I2311" i="8"/>
  <c r="H2311" i="8"/>
  <c r="F2311" i="8"/>
  <c r="I4863" i="8"/>
  <c r="H4863" i="8"/>
  <c r="F4863" i="8"/>
  <c r="H755" i="8"/>
  <c r="F755" i="8"/>
  <c r="I755" i="8"/>
  <c r="I2071" i="8"/>
  <c r="H2071" i="8"/>
  <c r="F2071" i="8"/>
  <c r="I1229" i="8"/>
  <c r="H1229" i="8"/>
  <c r="F1229" i="8"/>
  <c r="I2324" i="8"/>
  <c r="H2324" i="8"/>
  <c r="F2324" i="8"/>
  <c r="I1850" i="8"/>
  <c r="H1850" i="8"/>
  <c r="F1850" i="8"/>
  <c r="H4445" i="8"/>
  <c r="F4445" i="8"/>
  <c r="I4445" i="8"/>
  <c r="I2037" i="8"/>
  <c r="F2037" i="8"/>
  <c r="H2037" i="8"/>
  <c r="H480" i="8"/>
  <c r="F480" i="8"/>
  <c r="I480" i="8"/>
  <c r="H4797" i="8"/>
  <c r="F4797" i="8"/>
  <c r="I4797" i="8"/>
  <c r="H3912" i="8"/>
  <c r="F3912" i="8"/>
  <c r="I3912" i="8"/>
  <c r="I1342" i="8"/>
  <c r="H1342" i="8"/>
  <c r="F1342" i="8"/>
  <c r="H4457" i="8"/>
  <c r="F4457" i="8"/>
  <c r="I4457" i="8"/>
  <c r="I2794" i="8"/>
  <c r="H2794" i="8"/>
  <c r="F2794" i="8"/>
  <c r="I3110" i="8"/>
  <c r="H3110" i="8"/>
  <c r="F3110" i="8"/>
  <c r="I1533" i="8"/>
  <c r="F1533" i="8"/>
  <c r="H1533" i="8"/>
  <c r="I2577" i="8"/>
  <c r="H2577" i="8"/>
  <c r="F2577" i="8"/>
  <c r="H1096" i="8"/>
  <c r="F1096" i="8"/>
  <c r="I1096" i="8"/>
  <c r="I3109" i="8"/>
  <c r="F3109" i="8"/>
  <c r="H3109" i="8"/>
  <c r="I1825" i="8"/>
  <c r="F1825" i="8"/>
  <c r="H1825" i="8"/>
  <c r="I2289" i="8"/>
  <c r="H2289" i="8"/>
  <c r="F2289" i="8"/>
  <c r="H486" i="8"/>
  <c r="F486" i="8"/>
  <c r="I486" i="8"/>
  <c r="H3838" i="8"/>
  <c r="F3838" i="8"/>
  <c r="I3838" i="8"/>
  <c r="H3845" i="8"/>
  <c r="F3845" i="8"/>
  <c r="I3845" i="8"/>
  <c r="I2766" i="8"/>
  <c r="H2766" i="8"/>
  <c r="F2766" i="8"/>
  <c r="I4868" i="8"/>
  <c r="H4868" i="8"/>
  <c r="F4868" i="8"/>
  <c r="I1226" i="8"/>
  <c r="H1226" i="8"/>
  <c r="F1226" i="8"/>
  <c r="I1634" i="8"/>
  <c r="H1634" i="8"/>
  <c r="F1634" i="8"/>
  <c r="I1918" i="8"/>
  <c r="H1918" i="8"/>
  <c r="F1918" i="8"/>
  <c r="H4075" i="8"/>
  <c r="F4075" i="8"/>
  <c r="I4075" i="8"/>
  <c r="I2538" i="8"/>
  <c r="H2538" i="8"/>
  <c r="F2538" i="8"/>
  <c r="I1719" i="8"/>
  <c r="H1719" i="8"/>
  <c r="F1719" i="8"/>
  <c r="H4514" i="8"/>
  <c r="F4514" i="8"/>
  <c r="I4514" i="8"/>
  <c r="I2244" i="8"/>
  <c r="H2244" i="8"/>
  <c r="F2244" i="8"/>
  <c r="I2720" i="8"/>
  <c r="F2720" i="8"/>
  <c r="H2720" i="8"/>
  <c r="H4110" i="8"/>
  <c r="F4110" i="8"/>
  <c r="I4110" i="8"/>
  <c r="H1031" i="8"/>
  <c r="F1031" i="8"/>
  <c r="I1031" i="8"/>
  <c r="I3149" i="8"/>
  <c r="F3149" i="8"/>
  <c r="H3149" i="8"/>
  <c r="I2103" i="8"/>
  <c r="H2103" i="8"/>
  <c r="F2103" i="8"/>
  <c r="H4162" i="8"/>
  <c r="F4162" i="8"/>
  <c r="I4162" i="8"/>
  <c r="H4082" i="8"/>
  <c r="F4082" i="8"/>
  <c r="I4082" i="8"/>
  <c r="H4105" i="8"/>
  <c r="F4105" i="8"/>
  <c r="I4105" i="8"/>
  <c r="I1258" i="8"/>
  <c r="H1258" i="8"/>
  <c r="F1258" i="8"/>
  <c r="I2069" i="8"/>
  <c r="F2069" i="8"/>
  <c r="H2069" i="8"/>
  <c r="H3888" i="8"/>
  <c r="F3888" i="8"/>
  <c r="I3888" i="8"/>
  <c r="H3901" i="8"/>
  <c r="F3901" i="8"/>
  <c r="I3901" i="8"/>
  <c r="I2435" i="8"/>
  <c r="H2435" i="8"/>
  <c r="F2435" i="8"/>
  <c r="H679" i="8"/>
  <c r="F679" i="8"/>
  <c r="I679" i="8"/>
  <c r="H4742" i="8"/>
  <c r="F4742" i="8"/>
  <c r="I4742" i="8"/>
  <c r="I2376" i="8"/>
  <c r="H2376" i="8"/>
  <c r="F2376" i="8"/>
  <c r="I2956" i="8"/>
  <c r="H2956" i="8"/>
  <c r="F2956" i="8"/>
  <c r="H3842" i="8"/>
  <c r="F3842" i="8"/>
  <c r="I3842" i="8"/>
  <c r="I2416" i="8"/>
  <c r="F2416" i="8"/>
  <c r="H2416" i="8"/>
  <c r="H2902" i="8"/>
  <c r="I2902" i="8" s="1"/>
  <c r="F2902" i="8"/>
  <c r="I2537" i="8"/>
  <c r="F2537" i="8"/>
  <c r="H2537" i="8"/>
  <c r="I1760" i="8"/>
  <c r="F1760" i="8"/>
  <c r="H1760" i="8"/>
  <c r="H4087" i="8"/>
  <c r="F4087" i="8"/>
  <c r="I4087" i="8"/>
  <c r="H4083" i="8"/>
  <c r="F4083" i="8"/>
  <c r="I4083" i="8"/>
  <c r="H3691" i="8"/>
  <c r="F3691" i="8"/>
  <c r="I3691" i="8"/>
  <c r="I2856" i="8"/>
  <c r="H2856" i="8"/>
  <c r="F2856" i="8"/>
  <c r="H4163" i="8"/>
  <c r="F4163" i="8"/>
  <c r="I4163" i="8"/>
  <c r="I1925" i="8"/>
  <c r="F1925" i="8"/>
  <c r="H1925" i="8"/>
  <c r="I2275" i="8"/>
  <c r="H2275" i="8"/>
  <c r="F2275" i="8"/>
  <c r="I3054" i="8"/>
  <c r="H3054" i="8"/>
  <c r="F3054" i="8"/>
  <c r="I2486" i="8"/>
  <c r="H2486" i="8"/>
  <c r="F2486" i="8"/>
  <c r="I3184" i="8"/>
  <c r="F3184" i="8"/>
  <c r="H3184" i="8"/>
  <c r="I1648" i="8"/>
  <c r="F1648" i="8"/>
  <c r="H1648" i="8"/>
  <c r="I3291" i="8"/>
  <c r="F3291" i="8"/>
  <c r="H3291" i="8"/>
  <c r="I3429" i="8"/>
  <c r="F3429" i="8"/>
  <c r="H3429" i="8"/>
  <c r="H4811" i="8"/>
  <c r="F4811" i="8"/>
  <c r="I4811" i="8"/>
  <c r="H3729" i="8"/>
  <c r="F3729" i="8"/>
  <c r="I3729" i="8"/>
  <c r="H3778" i="8"/>
  <c r="F3778" i="8"/>
  <c r="I3778" i="8"/>
  <c r="H4535" i="8"/>
  <c r="F4535" i="8"/>
  <c r="I4535" i="8"/>
  <c r="I3071" i="8"/>
  <c r="H3071" i="8"/>
  <c r="F3071" i="8"/>
  <c r="I3102" i="8"/>
  <c r="H3102" i="8"/>
  <c r="F3102" i="8"/>
  <c r="I2560" i="8"/>
  <c r="F2560" i="8"/>
  <c r="H2560" i="8"/>
  <c r="I3473" i="8"/>
  <c r="H3473" i="8"/>
  <c r="F3473" i="8"/>
  <c r="I2328" i="8"/>
  <c r="H2328" i="8"/>
  <c r="F2328" i="8"/>
  <c r="I2432" i="8"/>
  <c r="F2432" i="8"/>
  <c r="H2432" i="8"/>
  <c r="I3194" i="8"/>
  <c r="H3194" i="8"/>
  <c r="F3194" i="8"/>
  <c r="H3494" i="8"/>
  <c r="F3494" i="8"/>
  <c r="I3494" i="8"/>
  <c r="H3529" i="8"/>
  <c r="F3529" i="8"/>
  <c r="I3529" i="8"/>
  <c r="I2383" i="8"/>
  <c r="H2383" i="8"/>
  <c r="F2383" i="8"/>
  <c r="I2066" i="8"/>
  <c r="H2066" i="8"/>
  <c r="F2066" i="8"/>
  <c r="I1328" i="8"/>
  <c r="F1328" i="8"/>
  <c r="H1328" i="8"/>
  <c r="H4123" i="8"/>
  <c r="F4123" i="8"/>
  <c r="I4123" i="8"/>
  <c r="H3739" i="8"/>
  <c r="F3739" i="8"/>
  <c r="I3739" i="8"/>
  <c r="I1483" i="8"/>
  <c r="F1483" i="8"/>
  <c r="H1483" i="8"/>
  <c r="I2557" i="8"/>
  <c r="F2557" i="8"/>
  <c r="H2557" i="8"/>
  <c r="I2582" i="8"/>
  <c r="H2582" i="8"/>
  <c r="F2582" i="8"/>
  <c r="H738" i="8"/>
  <c r="F738" i="8"/>
  <c r="I738" i="8"/>
  <c r="I2367" i="8"/>
  <c r="H2367" i="8"/>
  <c r="F2367" i="8"/>
  <c r="I1496" i="8"/>
  <c r="H1496" i="8"/>
  <c r="F1496" i="8"/>
  <c r="I3135" i="8"/>
  <c r="H3135" i="8"/>
  <c r="F3135" i="8"/>
  <c r="H3614" i="8"/>
  <c r="F3614" i="8"/>
  <c r="I3614" i="8"/>
  <c r="H3624" i="8"/>
  <c r="F3624" i="8"/>
  <c r="I3624" i="8"/>
  <c r="I1919" i="8"/>
  <c r="H1919" i="8"/>
  <c r="F1919" i="8"/>
  <c r="I1659" i="8"/>
  <c r="F1659" i="8"/>
  <c r="H1659" i="8"/>
  <c r="I2363" i="8"/>
  <c r="F2363" i="8"/>
  <c r="H2363" i="8"/>
  <c r="H3690" i="8"/>
  <c r="F3690" i="8"/>
  <c r="I3690" i="8"/>
  <c r="I2223" i="8"/>
  <c r="H2223" i="8"/>
  <c r="F2223" i="8"/>
  <c r="H485" i="8"/>
  <c r="F485" i="8"/>
  <c r="I485" i="8"/>
  <c r="I2127" i="8"/>
  <c r="H2127" i="8"/>
  <c r="F2127" i="8"/>
  <c r="I1965" i="8"/>
  <c r="F1965" i="8"/>
  <c r="H1965" i="8"/>
  <c r="I2796" i="8"/>
  <c r="H2796" i="8"/>
  <c r="F2796" i="8"/>
  <c r="H3891" i="8"/>
  <c r="F3891" i="8"/>
  <c r="I3891" i="8"/>
  <c r="I3200" i="8"/>
  <c r="F3200" i="8"/>
  <c r="H3200" i="8"/>
  <c r="I2303" i="8"/>
  <c r="H2303" i="8"/>
  <c r="F2303" i="8"/>
  <c r="I1453" i="8"/>
  <c r="H1453" i="8"/>
  <c r="F1453" i="8"/>
  <c r="H4454" i="8"/>
  <c r="F4454" i="8"/>
  <c r="I4454" i="8"/>
  <c r="H3800" i="8"/>
  <c r="F3800" i="8"/>
  <c r="I3800" i="8"/>
  <c r="I2400" i="8"/>
  <c r="F2400" i="8"/>
  <c r="H2400" i="8"/>
  <c r="I2112" i="8"/>
  <c r="F2112" i="8"/>
  <c r="H2112" i="8"/>
  <c r="H4453" i="8"/>
  <c r="F4453" i="8"/>
  <c r="I4453" i="8"/>
  <c r="I2023" i="8"/>
  <c r="H2023" i="8"/>
  <c r="F2023" i="8"/>
  <c r="I1474" i="8"/>
  <c r="H1474" i="8"/>
  <c r="F1474" i="8"/>
  <c r="H3498" i="8"/>
  <c r="F3498" i="8"/>
  <c r="I3498" i="8"/>
  <c r="H411" i="8"/>
  <c r="I411" i="8"/>
  <c r="F411" i="8"/>
  <c r="I3144" i="8"/>
  <c r="H3144" i="8"/>
  <c r="F3144" i="8"/>
  <c r="H4548" i="8"/>
  <c r="F4548" i="8"/>
  <c r="I4548" i="8"/>
  <c r="I2095" i="8"/>
  <c r="H2095" i="8"/>
  <c r="F2095" i="8"/>
  <c r="I2498" i="8"/>
  <c r="H2498" i="8"/>
  <c r="F2498" i="8"/>
  <c r="I2013" i="8"/>
  <c r="F2013" i="8"/>
  <c r="H2013" i="8"/>
  <c r="H4790" i="8"/>
  <c r="F4790" i="8"/>
  <c r="I4790" i="8"/>
  <c r="H4408" i="8"/>
  <c r="F4408" i="8"/>
  <c r="I4408" i="8"/>
  <c r="I2017" i="8"/>
  <c r="F2017" i="8"/>
  <c r="H2017" i="8"/>
  <c r="I2541" i="8"/>
  <c r="F2541" i="8"/>
  <c r="H2541" i="8"/>
  <c r="I1711" i="8"/>
  <c r="H1711" i="8"/>
  <c r="F1711" i="8"/>
  <c r="I1640" i="8"/>
  <c r="H1640" i="8"/>
  <c r="F1640" i="8"/>
  <c r="I1541" i="8"/>
  <c r="F1541" i="8"/>
  <c r="H1541" i="8"/>
  <c r="I1537" i="8"/>
  <c r="F1537" i="8"/>
  <c r="H1537" i="8"/>
  <c r="I1563" i="8"/>
  <c r="F1563" i="8"/>
  <c r="H1563" i="8"/>
  <c r="H4730" i="8"/>
  <c r="F4730" i="8"/>
  <c r="I4730" i="8"/>
  <c r="I2393" i="8"/>
  <c r="F2393" i="8"/>
  <c r="H2393" i="8"/>
  <c r="G348" i="5"/>
  <c r="I2229" i="8"/>
  <c r="F2229" i="8"/>
  <c r="H2229" i="8"/>
  <c r="I4872" i="8"/>
  <c r="H4872" i="8"/>
  <c r="F4872" i="8"/>
  <c r="H3590" i="8"/>
  <c r="F3590" i="8"/>
  <c r="I3590" i="8"/>
  <c r="H4784" i="8"/>
  <c r="F4784" i="8"/>
  <c r="I4784" i="8"/>
  <c r="I2443" i="8"/>
  <c r="F2443" i="8"/>
  <c r="H2443" i="8"/>
  <c r="H706" i="8"/>
  <c r="F706" i="8"/>
  <c r="I706" i="8"/>
  <c r="H3892" i="8"/>
  <c r="F3892" i="8"/>
  <c r="I3892" i="8"/>
  <c r="H1091" i="8"/>
  <c r="F1091" i="8"/>
  <c r="I1091" i="8"/>
  <c r="I1701" i="8"/>
  <c r="F1701" i="8"/>
  <c r="H1701" i="8"/>
  <c r="I2670" i="8"/>
  <c r="H2670" i="8"/>
  <c r="F2670" i="8"/>
  <c r="H4132" i="8"/>
  <c r="F4132" i="8"/>
  <c r="I4132" i="8"/>
  <c r="I3130" i="8"/>
  <c r="H3130" i="8"/>
  <c r="F3130" i="8"/>
  <c r="H541" i="8"/>
  <c r="F541" i="8"/>
  <c r="I541" i="8"/>
  <c r="I1647" i="8"/>
  <c r="H1647" i="8"/>
  <c r="F1647" i="8"/>
  <c r="I2225" i="8"/>
  <c r="H2225" i="8"/>
  <c r="F2225" i="8"/>
  <c r="I2660" i="8"/>
  <c r="H2660" i="8"/>
  <c r="F2660" i="8"/>
  <c r="I1690" i="8"/>
  <c r="H1690" i="8"/>
  <c r="F1690" i="8"/>
  <c r="I2800" i="8"/>
  <c r="F2800" i="8"/>
  <c r="H2800" i="8"/>
  <c r="H594" i="8"/>
  <c r="F594" i="8"/>
  <c r="I594" i="8"/>
  <c r="H741" i="8"/>
  <c r="F741" i="8"/>
  <c r="I741" i="8"/>
  <c r="I2459" i="8"/>
  <c r="F2459" i="8"/>
  <c r="H2459" i="8"/>
  <c r="I1487" i="8"/>
  <c r="H1487" i="8"/>
  <c r="F1487" i="8"/>
  <c r="H391" i="8"/>
  <c r="I391" i="8"/>
  <c r="F391" i="8"/>
  <c r="H4145" i="8"/>
  <c r="F4145" i="8"/>
  <c r="I4145" i="8"/>
  <c r="I2322" i="8"/>
  <c r="H2322" i="8"/>
  <c r="F2322" i="8"/>
  <c r="I1445" i="8"/>
  <c r="H1445" i="8"/>
  <c r="F1445" i="8"/>
  <c r="I1503" i="8"/>
  <c r="H1503" i="8"/>
  <c r="F1503" i="8"/>
  <c r="G9654" i="5"/>
  <c r="F285" i="6"/>
  <c r="G281" i="6" s="1"/>
  <c r="G436" i="5"/>
  <c r="G11920" i="5"/>
  <c r="F353" i="6"/>
  <c r="G349" i="6" s="1"/>
  <c r="I2403" i="8"/>
  <c r="H2403" i="8"/>
  <c r="F2403" i="8"/>
  <c r="I2570" i="8"/>
  <c r="H2570" i="8"/>
  <c r="F2570" i="8"/>
  <c r="H798" i="8"/>
  <c r="F798" i="8"/>
  <c r="I798" i="8"/>
  <c r="I1914" i="8"/>
  <c r="H1914" i="8"/>
  <c r="F1914" i="8"/>
  <c r="H3910" i="8"/>
  <c r="F3910" i="8"/>
  <c r="I3910" i="8"/>
  <c r="H4411" i="8"/>
  <c r="F4411" i="8"/>
  <c r="I4411" i="8"/>
  <c r="H4415" i="8"/>
  <c r="F4415" i="8"/>
  <c r="I4415" i="8"/>
  <c r="H4186" i="8"/>
  <c r="F4186" i="8"/>
  <c r="I4186" i="8"/>
  <c r="H1084" i="8"/>
  <c r="F1084" i="8"/>
  <c r="I1084" i="8"/>
  <c r="I1865" i="8"/>
  <c r="H1865" i="8"/>
  <c r="F1865" i="8"/>
  <c r="H3733" i="8"/>
  <c r="F3733" i="8"/>
  <c r="I3733" i="8"/>
  <c r="I1840" i="8"/>
  <c r="F1840" i="8"/>
  <c r="H1840" i="8"/>
  <c r="I3277" i="8"/>
  <c r="F3277" i="8"/>
  <c r="H3277" i="8"/>
  <c r="H640" i="8"/>
  <c r="F640" i="8"/>
  <c r="I640" i="8"/>
  <c r="H3798" i="8"/>
  <c r="F3798" i="8"/>
  <c r="I3798" i="8"/>
  <c r="I3158" i="8"/>
  <c r="H3158" i="8"/>
  <c r="F3158" i="8"/>
  <c r="I2380" i="8"/>
  <c r="H2380" i="8"/>
  <c r="F2380" i="8"/>
  <c r="I1857" i="8"/>
  <c r="F1857" i="8"/>
  <c r="H1857" i="8"/>
  <c r="I3175" i="8"/>
  <c r="H3175" i="8"/>
  <c r="F3175" i="8"/>
  <c r="I1593" i="8"/>
  <c r="H1593" i="8"/>
  <c r="F1593" i="8"/>
  <c r="H3903" i="8"/>
  <c r="F3903" i="8"/>
  <c r="I3903" i="8"/>
  <c r="H553" i="8"/>
  <c r="F553" i="8"/>
  <c r="I553" i="8"/>
  <c r="I2953" i="8"/>
  <c r="H2953" i="8"/>
  <c r="F2953" i="8"/>
  <c r="I2499" i="8"/>
  <c r="H2499" i="8"/>
  <c r="F2499" i="8"/>
  <c r="H3674" i="8"/>
  <c r="F3674" i="8"/>
  <c r="I3674" i="8"/>
  <c r="I2191" i="8"/>
  <c r="H2191" i="8"/>
  <c r="F2191" i="8"/>
  <c r="I3177" i="8"/>
  <c r="H3177" i="8"/>
  <c r="F3177" i="8"/>
  <c r="I3478" i="8"/>
  <c r="H3478" i="8"/>
  <c r="F3478" i="8"/>
  <c r="I1532" i="8"/>
  <c r="H1532" i="8"/>
  <c r="F1532" i="8"/>
  <c r="I2838" i="8"/>
  <c r="H2838" i="8"/>
  <c r="F2838" i="8"/>
  <c r="H3713" i="8"/>
  <c r="F3713" i="8"/>
  <c r="I3713" i="8"/>
  <c r="I2232" i="8"/>
  <c r="H2232" i="8"/>
  <c r="F2232" i="8"/>
  <c r="H735" i="8"/>
  <c r="F735" i="8"/>
  <c r="I735" i="8"/>
  <c r="I2781" i="8"/>
  <c r="F2781" i="8"/>
  <c r="H2781" i="8"/>
  <c r="H3906" i="8"/>
  <c r="F3906" i="8"/>
  <c r="I3906" i="8"/>
  <c r="I2688" i="8"/>
  <c r="F2688" i="8"/>
  <c r="H2688" i="8"/>
  <c r="I2284" i="8"/>
  <c r="H2284" i="8"/>
  <c r="F2284" i="8"/>
  <c r="I1770" i="8"/>
  <c r="H1770" i="8"/>
  <c r="F1770" i="8"/>
  <c r="H4567" i="8"/>
  <c r="F4567" i="8"/>
  <c r="I4567" i="8"/>
  <c r="H3692" i="8"/>
  <c r="F3692" i="8"/>
  <c r="I3692" i="8"/>
  <c r="H1021" i="8"/>
  <c r="F1021" i="8"/>
  <c r="I1021" i="8"/>
  <c r="H4134" i="8"/>
  <c r="F4134" i="8"/>
  <c r="I4134" i="8"/>
  <c r="H3620" i="8"/>
  <c r="F3620" i="8"/>
  <c r="I3620" i="8"/>
  <c r="I3008" i="8"/>
  <c r="F3008" i="8"/>
  <c r="H3008" i="8"/>
  <c r="I2264" i="8"/>
  <c r="H2264" i="8"/>
  <c r="F2264" i="8"/>
  <c r="I3104" i="8"/>
  <c r="F3104" i="8"/>
  <c r="H3104" i="8"/>
  <c r="H4142" i="8"/>
  <c r="F4142" i="8"/>
  <c r="I4142" i="8"/>
  <c r="I1714" i="8"/>
  <c r="H1714" i="8"/>
  <c r="F1714" i="8"/>
  <c r="I3475" i="8"/>
  <c r="H3475" i="8"/>
  <c r="F3475" i="8"/>
  <c r="I2388" i="8"/>
  <c r="H2388" i="8"/>
  <c r="F2388" i="8"/>
  <c r="I2122" i="8"/>
  <c r="H2122" i="8"/>
  <c r="F2122" i="8"/>
  <c r="I3122" i="8"/>
  <c r="H3122" i="8"/>
  <c r="F3122" i="8"/>
  <c r="H4202" i="8"/>
  <c r="F4202" i="8"/>
  <c r="I4202" i="8"/>
  <c r="I2756" i="8"/>
  <c r="H2756" i="8"/>
  <c r="F2756" i="8"/>
  <c r="H4192" i="8"/>
  <c r="F4192" i="8"/>
  <c r="I4192" i="8"/>
  <c r="I2690" i="8"/>
  <c r="H2690" i="8"/>
  <c r="F2690" i="8"/>
  <c r="H2940" i="8"/>
  <c r="I2940" i="8" s="1"/>
  <c r="F2940" i="8"/>
  <c r="G11231" i="5"/>
  <c r="H4558" i="8"/>
  <c r="F4558" i="8"/>
  <c r="I4558" i="8"/>
  <c r="I2677" i="8"/>
  <c r="F2677" i="8"/>
  <c r="H2677" i="8"/>
  <c r="I1308" i="8"/>
  <c r="H1308" i="8"/>
  <c r="F1308" i="8"/>
  <c r="I1685" i="8"/>
  <c r="F1685" i="8"/>
  <c r="H1685" i="8"/>
  <c r="H4091" i="8"/>
  <c r="F4091" i="8"/>
  <c r="I4091" i="8"/>
  <c r="I2464" i="8"/>
  <c r="F2464" i="8"/>
  <c r="H2464" i="8"/>
  <c r="I2983" i="8"/>
  <c r="H2983" i="8"/>
  <c r="F2983" i="8"/>
  <c r="I3201" i="8"/>
  <c r="H3201" i="8"/>
  <c r="F3201" i="8"/>
  <c r="I2967" i="8"/>
  <c r="H2967" i="8"/>
  <c r="F2967" i="8"/>
  <c r="I2134" i="8"/>
  <c r="H2134" i="8"/>
  <c r="F2134" i="8"/>
  <c r="I1703" i="8"/>
  <c r="H1703" i="8"/>
  <c r="F1703" i="8"/>
  <c r="H696" i="8"/>
  <c r="F696" i="8"/>
  <c r="I696" i="8"/>
  <c r="H533" i="8"/>
  <c r="F533" i="8"/>
  <c r="I533" i="8"/>
  <c r="H3678" i="8"/>
  <c r="F3678" i="8"/>
  <c r="I3678" i="8"/>
  <c r="H3865" i="8"/>
  <c r="F3865" i="8"/>
  <c r="I3865" i="8"/>
  <c r="H756" i="8"/>
  <c r="F756" i="8"/>
  <c r="I756" i="8"/>
  <c r="I1514" i="8"/>
  <c r="H1514" i="8"/>
  <c r="F1514" i="8"/>
  <c r="I2594" i="8"/>
  <c r="H2594" i="8"/>
  <c r="F2594" i="8"/>
  <c r="H3531" i="8"/>
  <c r="F3531" i="8"/>
  <c r="I3531" i="8"/>
  <c r="H3688" i="8"/>
  <c r="F3688" i="8"/>
  <c r="I3688" i="8"/>
  <c r="I1523" i="8"/>
  <c r="H1523" i="8"/>
  <c r="F1523" i="8"/>
  <c r="I3241" i="8"/>
  <c r="H3241" i="8"/>
  <c r="F3241" i="8"/>
  <c r="I1912" i="8"/>
  <c r="H1912" i="8"/>
  <c r="F1912" i="8"/>
  <c r="I2441" i="8"/>
  <c r="F2441" i="8"/>
  <c r="H2441" i="8"/>
  <c r="H1086" i="8"/>
  <c r="F1086" i="8"/>
  <c r="I1086" i="8"/>
  <c r="I1447" i="8"/>
  <c r="F1447" i="8"/>
  <c r="H1447" i="8"/>
  <c r="I1259" i="8"/>
  <c r="H1259" i="8"/>
  <c r="F1259" i="8"/>
  <c r="I2153" i="8"/>
  <c r="H2153" i="8"/>
  <c r="F2153" i="8"/>
  <c r="I2327" i="8"/>
  <c r="H2327" i="8"/>
  <c r="F2327" i="8"/>
  <c r="H4109" i="8"/>
  <c r="F4109" i="8"/>
  <c r="I4109" i="8"/>
  <c r="H4249" i="8"/>
  <c r="F4249" i="8"/>
  <c r="I4249" i="8"/>
  <c r="H3811" i="8"/>
  <c r="F3811" i="8"/>
  <c r="I3811" i="8"/>
  <c r="H461" i="8"/>
  <c r="F461" i="8"/>
  <c r="I461" i="8"/>
  <c r="I52" i="8"/>
  <c r="H52" i="8"/>
  <c r="F52" i="8"/>
  <c r="H3788" i="8"/>
  <c r="F3788" i="8"/>
  <c r="I3788" i="8"/>
  <c r="I3066" i="8"/>
  <c r="H3066" i="8"/>
  <c r="F3066" i="8"/>
  <c r="I3021" i="8"/>
  <c r="F3021" i="8"/>
  <c r="H3021" i="8"/>
  <c r="I2410" i="8"/>
  <c r="H2410" i="8"/>
  <c r="F2410" i="8"/>
  <c r="I1687" i="8"/>
  <c r="H1687" i="8"/>
  <c r="F1687" i="8"/>
  <c r="I2102" i="8"/>
  <c r="H2102" i="8"/>
  <c r="F2102" i="8"/>
  <c r="I1699" i="8"/>
  <c r="H1699" i="8"/>
  <c r="F1699" i="8"/>
  <c r="H3660" i="8"/>
  <c r="F3660" i="8"/>
  <c r="I3660" i="8"/>
  <c r="H4491" i="8"/>
  <c r="F4491" i="8"/>
  <c r="I4491" i="8"/>
  <c r="I1649" i="8"/>
  <c r="F1649" i="8"/>
  <c r="H1649" i="8"/>
  <c r="H407" i="8"/>
  <c r="I407" i="8"/>
  <c r="F407" i="8"/>
  <c r="I3202" i="8"/>
  <c r="H3202" i="8"/>
  <c r="F3202" i="8"/>
  <c r="H450" i="8"/>
  <c r="F450" i="8"/>
  <c r="I450" i="8"/>
  <c r="I2664" i="8"/>
  <c r="H2664" i="8"/>
  <c r="F2664" i="8"/>
  <c r="I2038" i="8"/>
  <c r="F2038" i="8"/>
  <c r="H2038" i="8"/>
  <c r="I2678" i="8"/>
  <c r="H2678" i="8"/>
  <c r="F2678" i="8"/>
  <c r="H521" i="8"/>
  <c r="F521" i="8"/>
  <c r="I521" i="8"/>
  <c r="H4432" i="8"/>
  <c r="F4432" i="8"/>
  <c r="I4432" i="8"/>
  <c r="H3634" i="8"/>
  <c r="F3634" i="8"/>
  <c r="I3634" i="8"/>
  <c r="I2483" i="8"/>
  <c r="H2483" i="8"/>
  <c r="F2483" i="8"/>
  <c r="I3073" i="8"/>
  <c r="H3073" i="8"/>
  <c r="F3073" i="8"/>
  <c r="I2913" i="8"/>
  <c r="H2913" i="8"/>
  <c r="F2913" i="8"/>
  <c r="H4012" i="8"/>
  <c r="F4012" i="8"/>
  <c r="I4012" i="8"/>
  <c r="H3896" i="8"/>
  <c r="F3896" i="8"/>
  <c r="I3896" i="8"/>
  <c r="I3108" i="8"/>
  <c r="H3108" i="8"/>
  <c r="F3108" i="8"/>
  <c r="H3534" i="8"/>
  <c r="F3534" i="8"/>
  <c r="I3534" i="8"/>
  <c r="H4073" i="8"/>
  <c r="F4073" i="8"/>
  <c r="I4073" i="8"/>
  <c r="I3075" i="8"/>
  <c r="H3075" i="8"/>
  <c r="F3075" i="8"/>
  <c r="H754" i="8"/>
  <c r="F754" i="8"/>
  <c r="I754" i="8"/>
  <c r="I2528" i="8"/>
  <c r="F2528" i="8"/>
  <c r="H2528" i="8"/>
  <c r="I2254" i="8"/>
  <c r="F2254" i="8"/>
  <c r="H2254" i="8"/>
  <c r="H436" i="8"/>
  <c r="I436" i="8"/>
  <c r="F436" i="8"/>
  <c r="H592" i="8"/>
  <c r="F592" i="8"/>
  <c r="I592" i="8"/>
  <c r="H4030" i="8"/>
  <c r="F4030" i="8"/>
  <c r="I4030" i="8"/>
  <c r="I2962" i="8"/>
  <c r="H2962" i="8"/>
  <c r="F2962" i="8"/>
  <c r="I3169" i="8"/>
  <c r="H3169" i="8"/>
  <c r="F3169" i="8"/>
  <c r="H665" i="8"/>
  <c r="F665" i="8"/>
  <c r="I665" i="8"/>
  <c r="H1033" i="8"/>
  <c r="F1033" i="8"/>
  <c r="I1033" i="8"/>
  <c r="I3139" i="8"/>
  <c r="H3139" i="8"/>
  <c r="F3139" i="8"/>
  <c r="H4695" i="8"/>
  <c r="F4695" i="8"/>
  <c r="I4695" i="8"/>
  <c r="I2679" i="8"/>
  <c r="H2679" i="8"/>
  <c r="F2679" i="8"/>
  <c r="I2280" i="8"/>
  <c r="H2280" i="8"/>
  <c r="F2280" i="8"/>
  <c r="G3753" i="5"/>
  <c r="I1200" i="8"/>
  <c r="F1200" i="8"/>
  <c r="H1200" i="8"/>
  <c r="I2647" i="8"/>
  <c r="H2647" i="8"/>
  <c r="F2647" i="8"/>
  <c r="I3196" i="8"/>
  <c r="H3196" i="8"/>
  <c r="F3196" i="8"/>
  <c r="I1469" i="8"/>
  <c r="F1469" i="8"/>
  <c r="H1469" i="8"/>
  <c r="I1845" i="8"/>
  <c r="F1845" i="8"/>
  <c r="H1845" i="8"/>
  <c r="I1944" i="8"/>
  <c r="H1944" i="8"/>
  <c r="F1944" i="8"/>
  <c r="I1635" i="8"/>
  <c r="H1635" i="8"/>
  <c r="F1635" i="8"/>
  <c r="I1961" i="8"/>
  <c r="H1961" i="8"/>
  <c r="F1961" i="8"/>
  <c r="H3983" i="8"/>
  <c r="F3983" i="8"/>
  <c r="I3983" i="8"/>
  <c r="H4713" i="8"/>
  <c r="F4713" i="8"/>
  <c r="I4713" i="8"/>
  <c r="I3438" i="8"/>
  <c r="H3438" i="8"/>
  <c r="F3438" i="8"/>
  <c r="I1565" i="8"/>
  <c r="F1565" i="8"/>
  <c r="H1565" i="8"/>
  <c r="I2274" i="8"/>
  <c r="H2274" i="8"/>
  <c r="F2274" i="8"/>
  <c r="I2189" i="8"/>
  <c r="F2189" i="8"/>
  <c r="H2189" i="8"/>
  <c r="H4219" i="8"/>
  <c r="F4219" i="8"/>
  <c r="I4219" i="8"/>
  <c r="I1303" i="8"/>
  <c r="F1303" i="8"/>
  <c r="H1303" i="8"/>
  <c r="I3154" i="8"/>
  <c r="H3154" i="8"/>
  <c r="F3154" i="8"/>
  <c r="H3956" i="8"/>
  <c r="F3956" i="8"/>
  <c r="I3956" i="8"/>
  <c r="I2632" i="8"/>
  <c r="H2632" i="8"/>
  <c r="F2632" i="8"/>
  <c r="I1460" i="8"/>
  <c r="H1460" i="8"/>
  <c r="F1460" i="8"/>
  <c r="H3655" i="8"/>
  <c r="F3655" i="8"/>
  <c r="I3655" i="8"/>
  <c r="H3771" i="8"/>
  <c r="F3771" i="8"/>
  <c r="I3771" i="8"/>
  <c r="I1939" i="8"/>
  <c r="H1939" i="8"/>
  <c r="F1939" i="8"/>
  <c r="I2073" i="8"/>
  <c r="H2073" i="8"/>
  <c r="F2073" i="8"/>
  <c r="I1757" i="8"/>
  <c r="F1757" i="8"/>
  <c r="H1757" i="8"/>
  <c r="H534" i="8"/>
  <c r="F534" i="8"/>
  <c r="I534" i="8"/>
  <c r="I1676" i="8"/>
  <c r="H1676" i="8"/>
  <c r="F1676" i="8"/>
  <c r="I1667" i="8"/>
  <c r="H1667" i="8"/>
  <c r="F1667" i="8"/>
  <c r="I2278" i="8"/>
  <c r="H2278" i="8"/>
  <c r="F2278" i="8"/>
  <c r="H636" i="8"/>
  <c r="F636" i="8"/>
  <c r="I636" i="8"/>
  <c r="I1657" i="8"/>
  <c r="H1657" i="8"/>
  <c r="F1657" i="8"/>
  <c r="I2424" i="8"/>
  <c r="H2424" i="8"/>
  <c r="F2424" i="8"/>
  <c r="I2105" i="8"/>
  <c r="F2105" i="8"/>
  <c r="H2105" i="8"/>
  <c r="H802" i="8"/>
  <c r="F802" i="8"/>
  <c r="I802" i="8"/>
  <c r="I1709" i="8"/>
  <c r="F1709" i="8"/>
  <c r="H1709" i="8"/>
  <c r="I1627" i="8"/>
  <c r="F1627" i="8"/>
  <c r="H1627" i="8"/>
  <c r="H3533" i="8"/>
  <c r="F3533" i="8"/>
  <c r="I3533" i="8"/>
  <c r="H637" i="8"/>
  <c r="F637" i="8"/>
  <c r="I637" i="8"/>
  <c r="H603" i="8"/>
  <c r="F603" i="8"/>
  <c r="I603" i="8"/>
  <c r="H3666" i="8"/>
  <c r="F3666" i="8"/>
  <c r="I3666" i="8"/>
  <c r="H394" i="8"/>
  <c r="I394" i="8"/>
  <c r="F394" i="8"/>
  <c r="H3638" i="8"/>
  <c r="F3638" i="8"/>
  <c r="I3638" i="8"/>
  <c r="I1192" i="8"/>
  <c r="F1192" i="8"/>
  <c r="H1192" i="8"/>
  <c r="H671" i="8"/>
  <c r="F671" i="8"/>
  <c r="I671" i="8"/>
  <c r="H490" i="8"/>
  <c r="F490" i="8"/>
  <c r="I490" i="8"/>
  <c r="I2029" i="8"/>
  <c r="F2029" i="8"/>
  <c r="H2029" i="8"/>
  <c r="I1638" i="8"/>
  <c r="F1638" i="8"/>
  <c r="H1638" i="8"/>
  <c r="I1624" i="8"/>
  <c r="H1624" i="8"/>
  <c r="F1624" i="8"/>
  <c r="H796" i="8"/>
  <c r="F796" i="8"/>
  <c r="I796" i="8"/>
  <c r="I1208" i="8"/>
  <c r="F1208" i="8"/>
  <c r="H1208" i="8"/>
  <c r="I2025" i="8"/>
  <c r="H2025" i="8"/>
  <c r="F2025" i="8"/>
  <c r="H542" i="8"/>
  <c r="F542" i="8"/>
  <c r="I542" i="8"/>
  <c r="I2135" i="8"/>
  <c r="H2135" i="8"/>
  <c r="F2135" i="8"/>
  <c r="H4096" i="8"/>
  <c r="F4096" i="8"/>
  <c r="I4096" i="8"/>
  <c r="I1228" i="8"/>
  <c r="H1228" i="8"/>
  <c r="F1228" i="8"/>
  <c r="I3152" i="8"/>
  <c r="F3152" i="8"/>
  <c r="H3152" i="8"/>
  <c r="I1473" i="8"/>
  <c r="F1473" i="8"/>
  <c r="H1473" i="8"/>
  <c r="I2741" i="8"/>
  <c r="F2741" i="8"/>
  <c r="H2741" i="8"/>
  <c r="I1452" i="8"/>
  <c r="H1452" i="8"/>
  <c r="F1452" i="8"/>
  <c r="H4029" i="8"/>
  <c r="F4029" i="8"/>
  <c r="I4029" i="8"/>
  <c r="I2965" i="8"/>
  <c r="F2965" i="8"/>
  <c r="H2965" i="8"/>
  <c r="I2970" i="8"/>
  <c r="H2970" i="8"/>
  <c r="F2970" i="8"/>
  <c r="I1560" i="8"/>
  <c r="H1560" i="8"/>
  <c r="F1560" i="8"/>
  <c r="I1759" i="8"/>
  <c r="H1759" i="8"/>
  <c r="F1759" i="8"/>
  <c r="H805" i="8"/>
  <c r="F805" i="8"/>
  <c r="I805" i="8"/>
  <c r="I2568" i="8"/>
  <c r="H2568" i="8"/>
  <c r="F2568" i="8"/>
  <c r="I141" i="8"/>
  <c r="H141" i="8"/>
  <c r="F141" i="8"/>
  <c r="H4176" i="8"/>
  <c r="F4176" i="8"/>
  <c r="I4176" i="8"/>
  <c r="I1500" i="8"/>
  <c r="H1500" i="8"/>
  <c r="F1500" i="8"/>
  <c r="H4798" i="8"/>
  <c r="F4798" i="8"/>
  <c r="I4798" i="8"/>
  <c r="G3276" i="5"/>
  <c r="H3577" i="8"/>
  <c r="F3577" i="8"/>
  <c r="I3577" i="8"/>
  <c r="H3539" i="8"/>
  <c r="F3539" i="8"/>
  <c r="I3539" i="8"/>
  <c r="H4247" i="8"/>
  <c r="F4247" i="8"/>
  <c r="I4247" i="8"/>
  <c r="I1980" i="8"/>
  <c r="H1980" i="8"/>
  <c r="F1980" i="8"/>
  <c r="I1735" i="8"/>
  <c r="H1735" i="8"/>
  <c r="F1735" i="8"/>
  <c r="I1678" i="8"/>
  <c r="H1678" i="8"/>
  <c r="F1678" i="8"/>
  <c r="I1755" i="8"/>
  <c r="F1755" i="8"/>
  <c r="H1755" i="8"/>
  <c r="I1370" i="8"/>
  <c r="H1370" i="8"/>
  <c r="F1370" i="8"/>
  <c r="I2809" i="8"/>
  <c r="H2809" i="8"/>
  <c r="F2809" i="8"/>
  <c r="I2655" i="8"/>
  <c r="H2655" i="8"/>
  <c r="F2655" i="8"/>
  <c r="H402" i="8"/>
  <c r="I402" i="8"/>
  <c r="F402" i="8"/>
  <c r="I2845" i="8"/>
  <c r="F2845" i="8"/>
  <c r="H2845" i="8"/>
  <c r="H4433" i="8"/>
  <c r="F4433" i="8"/>
  <c r="I4433" i="8"/>
  <c r="I3063" i="8"/>
  <c r="H3063" i="8"/>
  <c r="F3063" i="8"/>
  <c r="I2662" i="8"/>
  <c r="H2662" i="8"/>
  <c r="F2662" i="8"/>
  <c r="I1664" i="8"/>
  <c r="F1664" i="8"/>
  <c r="H1664" i="8"/>
  <c r="H467" i="8"/>
  <c r="F467" i="8"/>
  <c r="I467" i="8"/>
  <c r="H3669" i="8"/>
  <c r="F3669" i="8"/>
  <c r="I3669" i="8"/>
  <c r="I2109" i="8"/>
  <c r="F2109" i="8"/>
  <c r="H2109" i="8"/>
  <c r="I2792" i="8"/>
  <c r="H2792" i="8"/>
  <c r="F2792" i="8"/>
  <c r="H4813" i="8"/>
  <c r="F4813" i="8"/>
  <c r="I4813" i="8"/>
  <c r="H4815" i="8"/>
  <c r="F4815" i="8"/>
  <c r="I4815" i="8"/>
  <c r="I60" i="8"/>
  <c r="H60" i="8"/>
  <c r="F60" i="8"/>
  <c r="I2510" i="8"/>
  <c r="F2510" i="8"/>
  <c r="H2510" i="8"/>
  <c r="I1732" i="8"/>
  <c r="H1732" i="8"/>
  <c r="F1732" i="8"/>
  <c r="I2312" i="8"/>
  <c r="H2312" i="8"/>
  <c r="F2312" i="8"/>
  <c r="H4738" i="8"/>
  <c r="F4738" i="8"/>
  <c r="I4738" i="8"/>
  <c r="I1629" i="8"/>
  <c r="F1629" i="8"/>
  <c r="H1629" i="8"/>
  <c r="G6490" i="5"/>
  <c r="G9819" i="5"/>
  <c r="G6441" i="5"/>
  <c r="I3193" i="8"/>
  <c r="H3193" i="8"/>
  <c r="F3193" i="8"/>
  <c r="I1430" i="8"/>
  <c r="H1430" i="8"/>
  <c r="F1430" i="8"/>
  <c r="H3743" i="8"/>
  <c r="F3743" i="8"/>
  <c r="I3743" i="8"/>
  <c r="H408" i="8"/>
  <c r="I408" i="8"/>
  <c r="F408" i="8"/>
  <c r="H736" i="8"/>
  <c r="F736" i="8"/>
  <c r="I736" i="8"/>
  <c r="I2084" i="8"/>
  <c r="H2084" i="8"/>
  <c r="F2084" i="8"/>
  <c r="I2968" i="8"/>
  <c r="H2968" i="8"/>
  <c r="F2968" i="8"/>
  <c r="I2220" i="8"/>
  <c r="H2220" i="8"/>
  <c r="F2220" i="8"/>
  <c r="H758" i="8"/>
  <c r="F758" i="8"/>
  <c r="I758" i="8"/>
  <c r="H464" i="8"/>
  <c r="F464" i="8"/>
  <c r="I464" i="8"/>
  <c r="I2158" i="8"/>
  <c r="H2158" i="8"/>
  <c r="F2158" i="8"/>
  <c r="I2208" i="8"/>
  <c r="F2208" i="8"/>
  <c r="H2208" i="8"/>
  <c r="I1151" i="8"/>
  <c r="F1151" i="8"/>
  <c r="H1151" i="8"/>
  <c r="I2235" i="8"/>
  <c r="F2235" i="8"/>
  <c r="H2235" i="8"/>
  <c r="I3082" i="8"/>
  <c r="H3082" i="8"/>
  <c r="F3082" i="8"/>
  <c r="I2472" i="8"/>
  <c r="H2472" i="8"/>
  <c r="F2472" i="8"/>
  <c r="H3708" i="8"/>
  <c r="F3708" i="8"/>
  <c r="I3708" i="8"/>
  <c r="I2663" i="8"/>
  <c r="H2663" i="8"/>
  <c r="F2663" i="8"/>
  <c r="I2164" i="8"/>
  <c r="H2164" i="8"/>
  <c r="F2164" i="8"/>
  <c r="I3167" i="8"/>
  <c r="H3167" i="8"/>
  <c r="F3167" i="8"/>
  <c r="I2222" i="8"/>
  <c r="F2222" i="8"/>
  <c r="H2222" i="8"/>
  <c r="H3573" i="8"/>
  <c r="F3573" i="8"/>
  <c r="I3573" i="8"/>
  <c r="H422" i="8"/>
  <c r="I422" i="8"/>
  <c r="F422" i="8"/>
  <c r="H3866" i="8"/>
  <c r="F3866" i="8"/>
  <c r="I3866" i="8"/>
  <c r="H3813" i="8"/>
  <c r="F3813" i="8"/>
  <c r="I3813" i="8"/>
  <c r="H3632" i="8"/>
  <c r="F3632" i="8"/>
  <c r="I3632" i="8"/>
  <c r="H4786" i="8"/>
  <c r="F4786" i="8"/>
  <c r="I4786" i="8"/>
  <c r="F600" i="6"/>
  <c r="G596" i="6" s="1"/>
  <c r="I2337" i="8"/>
  <c r="F2337" i="8"/>
  <c r="H2337" i="8"/>
  <c r="I3105" i="8"/>
  <c r="H3105" i="8"/>
  <c r="F3105" i="8"/>
  <c r="I2041" i="8"/>
  <c r="H2041" i="8"/>
  <c r="F2041" i="8"/>
  <c r="I1544" i="8"/>
  <c r="H1544" i="8"/>
  <c r="F1544" i="8"/>
  <c r="H3648" i="8"/>
  <c r="F3648" i="8"/>
  <c r="I3648" i="8"/>
  <c r="I1404" i="8"/>
  <c r="H1404" i="8"/>
  <c r="F1404" i="8"/>
  <c r="H3681" i="8"/>
  <c r="F3681" i="8"/>
  <c r="I3681" i="8"/>
  <c r="I1296" i="8"/>
  <c r="F1296" i="8"/>
  <c r="H1296" i="8"/>
  <c r="I3118" i="8"/>
  <c r="H3118" i="8"/>
  <c r="F3118" i="8"/>
  <c r="I1236" i="8"/>
  <c r="H1236" i="8"/>
  <c r="F1236" i="8"/>
  <c r="H451" i="8"/>
  <c r="F451" i="8"/>
  <c r="I451" i="8"/>
  <c r="H4447" i="8"/>
  <c r="F4447" i="8"/>
  <c r="I4447" i="8"/>
  <c r="I2273" i="8"/>
  <c r="F2273" i="8"/>
  <c r="H2273" i="8"/>
  <c r="I1999" i="8"/>
  <c r="H1999" i="8"/>
  <c r="F1999" i="8"/>
  <c r="I2429" i="8"/>
  <c r="F2429" i="8"/>
  <c r="H2429" i="8"/>
  <c r="H465" i="8"/>
  <c r="F465" i="8"/>
  <c r="I465" i="8"/>
  <c r="H4037" i="8"/>
  <c r="F4037" i="8"/>
  <c r="I4037" i="8"/>
  <c r="H753" i="8"/>
  <c r="F753" i="8"/>
  <c r="I753" i="8"/>
  <c r="I2451" i="8"/>
  <c r="H2451" i="8"/>
  <c r="F2451" i="8"/>
  <c r="H3720" i="8"/>
  <c r="F3720" i="8"/>
  <c r="I3720" i="8"/>
  <c r="H727" i="8"/>
  <c r="F727" i="8"/>
  <c r="I727" i="8"/>
  <c r="I1804" i="8"/>
  <c r="H1804" i="8"/>
  <c r="F1804" i="8"/>
  <c r="I1518" i="8"/>
  <c r="H1518" i="8"/>
  <c r="F1518" i="8"/>
  <c r="I1913" i="8"/>
  <c r="H1913" i="8"/>
  <c r="F1913" i="8"/>
  <c r="I2544" i="8"/>
  <c r="F2544" i="8"/>
  <c r="H2544" i="8"/>
  <c r="I2348" i="8"/>
  <c r="H2348" i="8"/>
  <c r="F2348" i="8"/>
  <c r="H4209" i="8"/>
  <c r="F4209" i="8"/>
  <c r="I4209" i="8"/>
  <c r="H4274" i="8"/>
  <c r="F4274" i="8"/>
  <c r="I4274" i="8"/>
  <c r="H707" i="8"/>
  <c r="F707" i="8"/>
  <c r="I707" i="8"/>
  <c r="H950" i="8"/>
  <c r="F950" i="8"/>
  <c r="I950" i="8"/>
  <c r="I1490" i="8"/>
  <c r="H1490" i="8"/>
  <c r="F1490" i="8"/>
  <c r="H666" i="8"/>
  <c r="F666" i="8"/>
  <c r="I666" i="8"/>
  <c r="I2437" i="8"/>
  <c r="F2437" i="8"/>
  <c r="H2437" i="8"/>
  <c r="I1650" i="8"/>
  <c r="H1650" i="8"/>
  <c r="F1650" i="8"/>
  <c r="I1966" i="8"/>
  <c r="H1966" i="8"/>
  <c r="F1966" i="8"/>
  <c r="H638" i="8"/>
  <c r="F638" i="8"/>
  <c r="I638" i="8"/>
  <c r="H784" i="8"/>
  <c r="F784" i="8"/>
  <c r="I784" i="8"/>
  <c r="I2111" i="8"/>
  <c r="H2111" i="8"/>
  <c r="F2111" i="8"/>
  <c r="I2447" i="8"/>
  <c r="H2447" i="8"/>
  <c r="F2447" i="8"/>
  <c r="H662" i="8"/>
  <c r="F662" i="8"/>
  <c r="I662" i="8"/>
  <c r="I1203" i="8"/>
  <c r="H1203" i="8"/>
  <c r="F1203" i="8"/>
  <c r="H4137" i="8"/>
  <c r="F4137" i="8"/>
  <c r="I4137" i="8"/>
  <c r="I2848" i="8"/>
  <c r="F2848" i="8"/>
  <c r="H2848" i="8"/>
  <c r="I2401" i="8"/>
  <c r="F2401" i="8"/>
  <c r="H2401" i="8"/>
  <c r="H4743" i="8"/>
  <c r="F4743" i="8"/>
  <c r="I4743" i="8"/>
  <c r="H710" i="8"/>
  <c r="F710" i="8"/>
  <c r="I710" i="8"/>
  <c r="I1488" i="8"/>
  <c r="F1488" i="8"/>
  <c r="H1488" i="8"/>
  <c r="I1666" i="8"/>
  <c r="H1666" i="8"/>
  <c r="F1666" i="8"/>
  <c r="H663" i="8"/>
  <c r="F663" i="8"/>
  <c r="I663" i="8"/>
  <c r="H4139" i="8"/>
  <c r="F4139" i="8"/>
  <c r="I4139" i="8"/>
  <c r="I1660" i="8"/>
  <c r="H1660" i="8"/>
  <c r="F1660" i="8"/>
  <c r="I2641" i="8"/>
  <c r="H2641" i="8"/>
  <c r="F2641" i="8"/>
  <c r="H673" i="8"/>
  <c r="F673" i="8"/>
  <c r="I673" i="8"/>
  <c r="I2703" i="8"/>
  <c r="H2703" i="8"/>
  <c r="F2703" i="8"/>
  <c r="H631" i="8"/>
  <c r="F631" i="8"/>
  <c r="I631" i="8"/>
  <c r="H3672" i="8"/>
  <c r="F3672" i="8"/>
  <c r="I3672" i="8"/>
  <c r="I3481" i="8"/>
  <c r="H3481" i="8"/>
  <c r="F3481" i="8"/>
  <c r="I59" i="8"/>
  <c r="H59" i="8"/>
  <c r="F59" i="8"/>
  <c r="I2723" i="8"/>
  <c r="H2723" i="8"/>
  <c r="F2723" i="8"/>
  <c r="H425" i="8"/>
  <c r="F425" i="8"/>
  <c r="I425" i="8"/>
  <c r="I1682" i="8"/>
  <c r="H1682" i="8"/>
  <c r="F1682" i="8"/>
  <c r="H4766" i="8"/>
  <c r="F4766" i="8"/>
  <c r="I4766" i="8"/>
  <c r="H530" i="8"/>
  <c r="F530" i="8"/>
  <c r="I530" i="8"/>
  <c r="I2063" i="8"/>
  <c r="H2063" i="8"/>
  <c r="F2063" i="8"/>
  <c r="I1633" i="8"/>
  <c r="F1633" i="8"/>
  <c r="H1633" i="8"/>
  <c r="I2085" i="8"/>
  <c r="F2085" i="8"/>
  <c r="H2085" i="8"/>
  <c r="I2287" i="8"/>
  <c r="H2287" i="8"/>
  <c r="F2287" i="8"/>
  <c r="I3232" i="8"/>
  <c r="F3232" i="8"/>
  <c r="H3232" i="8"/>
  <c r="I1911" i="8"/>
  <c r="H1911" i="8"/>
  <c r="F1911" i="8"/>
  <c r="I2184" i="8"/>
  <c r="H2184" i="8"/>
  <c r="F2184" i="8"/>
  <c r="I1960" i="8"/>
  <c r="H1960" i="8"/>
  <c r="F1960" i="8"/>
  <c r="H470" i="8"/>
  <c r="F470" i="8"/>
  <c r="I470" i="8"/>
  <c r="I2974" i="8"/>
  <c r="H2974" i="8"/>
  <c r="F2974" i="8"/>
  <c r="I1742" i="8"/>
  <c r="H1742" i="8"/>
  <c r="F1742" i="8"/>
  <c r="I2051" i="8"/>
  <c r="H2051" i="8"/>
  <c r="F2051" i="8"/>
  <c r="I1227" i="8"/>
  <c r="H1227" i="8"/>
  <c r="F1227" i="8"/>
  <c r="H4670" i="8"/>
  <c r="F4670" i="8"/>
  <c r="I4670" i="8"/>
  <c r="H429" i="8"/>
  <c r="F429" i="8"/>
  <c r="I429" i="8"/>
  <c r="I1679" i="8"/>
  <c r="H1679" i="8"/>
  <c r="F1679" i="8"/>
  <c r="I3474" i="8"/>
  <c r="H3474" i="8"/>
  <c r="F3474" i="8"/>
  <c r="H4051" i="8"/>
  <c r="F4051" i="8"/>
  <c r="I4051" i="8"/>
  <c r="I1196" i="8"/>
  <c r="H1196" i="8"/>
  <c r="F1196" i="8"/>
  <c r="H4210" i="8"/>
  <c r="F4210" i="8"/>
  <c r="I4210" i="8"/>
  <c r="I2365" i="8"/>
  <c r="F2365" i="8"/>
  <c r="H2365" i="8"/>
  <c r="I64" i="8"/>
  <c r="H64" i="8"/>
  <c r="F64" i="8"/>
  <c r="I1927" i="8"/>
  <c r="H1927" i="8"/>
  <c r="F1927" i="8"/>
  <c r="H538" i="8"/>
  <c r="F538" i="8"/>
  <c r="I538" i="8"/>
  <c r="I1881" i="8"/>
  <c r="H1881" i="8"/>
  <c r="F1881" i="8"/>
  <c r="I1982" i="8"/>
  <c r="H1982" i="8"/>
  <c r="F1982" i="8"/>
  <c r="I1279" i="8"/>
  <c r="F1279" i="8"/>
  <c r="H1279" i="8"/>
  <c r="I1957" i="8"/>
  <c r="F1957" i="8"/>
  <c r="H1957" i="8"/>
  <c r="I2561" i="8"/>
  <c r="H2561" i="8"/>
  <c r="F2561" i="8"/>
  <c r="I2258" i="8"/>
  <c r="H2258" i="8"/>
  <c r="F2258" i="8"/>
  <c r="I2042" i="8"/>
  <c r="H2042" i="8"/>
  <c r="F2042" i="8"/>
  <c r="H4090" i="8"/>
  <c r="F4090" i="8"/>
  <c r="I4090" i="8"/>
  <c r="H4207" i="8"/>
  <c r="F4207" i="8"/>
  <c r="I4207" i="8"/>
  <c r="I2414" i="8"/>
  <c r="F2414" i="8"/>
  <c r="H2414" i="8"/>
  <c r="I2773" i="8"/>
  <c r="F2773" i="8"/>
  <c r="H2773" i="8"/>
  <c r="I3161" i="8"/>
  <c r="H3161" i="8"/>
  <c r="F3161" i="8"/>
  <c r="I2033" i="8"/>
  <c r="F2033" i="8"/>
  <c r="H2033" i="8"/>
  <c r="H1002" i="8"/>
  <c r="F1002" i="8"/>
  <c r="I1002" i="8"/>
  <c r="H619" i="8"/>
  <c r="F619" i="8"/>
  <c r="I619" i="8"/>
  <c r="I2642" i="8"/>
  <c r="H2642" i="8"/>
  <c r="F2642" i="8"/>
  <c r="I2266" i="8"/>
  <c r="H2266" i="8"/>
  <c r="F2266" i="8"/>
  <c r="G6486" i="5"/>
  <c r="I2408" i="8"/>
  <c r="H2408" i="8"/>
  <c r="F2408" i="8"/>
  <c r="H818" i="8"/>
  <c r="F818" i="8"/>
  <c r="I818" i="8"/>
  <c r="I4866" i="8"/>
  <c r="H4866" i="8"/>
  <c r="F4866" i="8"/>
  <c r="H3862" i="8"/>
  <c r="F3862" i="8"/>
  <c r="I3862" i="8"/>
  <c r="I2639" i="8"/>
  <c r="H2639" i="8"/>
  <c r="F2639" i="8"/>
  <c r="I2355" i="8"/>
  <c r="H2355" i="8"/>
  <c r="F2355" i="8"/>
  <c r="H781" i="8"/>
  <c r="F781" i="8"/>
  <c r="I781" i="8"/>
  <c r="H3679" i="8"/>
  <c r="F3679" i="8"/>
  <c r="I3679" i="8"/>
  <c r="I1727" i="8"/>
  <c r="H1727" i="8"/>
  <c r="F1727" i="8"/>
  <c r="I2439" i="8"/>
  <c r="H2439" i="8"/>
  <c r="F2439" i="8"/>
  <c r="I2630" i="8"/>
  <c r="H2630" i="8"/>
  <c r="F2630" i="8"/>
  <c r="I2564" i="8"/>
  <c r="H2564" i="8"/>
  <c r="F2564" i="8"/>
  <c r="I2963" i="8"/>
  <c r="H2963" i="8"/>
  <c r="F2963" i="8"/>
  <c r="I2751" i="8"/>
  <c r="H2751" i="8"/>
  <c r="F2751" i="8"/>
  <c r="I1783" i="8"/>
  <c r="H1783" i="8"/>
  <c r="F1783" i="8"/>
  <c r="I2719" i="8"/>
  <c r="H2719" i="8"/>
  <c r="F2719" i="8"/>
  <c r="H827" i="8"/>
  <c r="F827" i="8"/>
  <c r="I827" i="8"/>
  <c r="I2449" i="8"/>
  <c r="F2449" i="8"/>
  <c r="H2449" i="8"/>
  <c r="I1977" i="8"/>
  <c r="H1977" i="8"/>
  <c r="F1977" i="8"/>
  <c r="I3181" i="8"/>
  <c r="F3181" i="8"/>
  <c r="H3181" i="8"/>
  <c r="H4519" i="8"/>
  <c r="F4519" i="8"/>
  <c r="I4519" i="8"/>
  <c r="I2360" i="8"/>
  <c r="H2360" i="8"/>
  <c r="F2360" i="8"/>
  <c r="I2377" i="8"/>
  <c r="F2377" i="8"/>
  <c r="H2377" i="8"/>
  <c r="I2011" i="8"/>
  <c r="F2011" i="8"/>
  <c r="H2011" i="8"/>
  <c r="I1652" i="8"/>
  <c r="H1652" i="8"/>
  <c r="F1652" i="8"/>
  <c r="H4598" i="8"/>
  <c r="F4598" i="8"/>
  <c r="I4598" i="8"/>
  <c r="H3843" i="8"/>
  <c r="F3843" i="8"/>
  <c r="I3843" i="8"/>
  <c r="H734" i="8"/>
  <c r="F734" i="8"/>
  <c r="I734" i="8"/>
  <c r="I1655" i="8"/>
  <c r="H1655" i="8"/>
  <c r="F1655" i="8"/>
  <c r="I1484" i="8"/>
  <c r="H1484" i="8"/>
  <c r="F1484" i="8"/>
  <c r="H4039" i="8"/>
  <c r="F4039" i="8"/>
  <c r="I4039" i="8"/>
  <c r="I1796" i="8"/>
  <c r="H1796" i="8"/>
  <c r="F1796" i="8"/>
  <c r="I3077" i="8"/>
  <c r="F3077" i="8"/>
  <c r="H3077" i="8"/>
  <c r="H4496" i="8"/>
  <c r="F4496" i="8"/>
  <c r="I4496" i="8"/>
  <c r="H4136" i="8"/>
  <c r="F4136" i="8"/>
  <c r="I4136" i="8"/>
  <c r="H4440" i="8"/>
  <c r="F4440" i="8"/>
  <c r="I4440" i="8"/>
  <c r="I2973" i="8"/>
  <c r="F2973" i="8"/>
  <c r="H2973" i="8"/>
  <c r="I2947" i="8"/>
  <c r="H2947" i="8"/>
  <c r="F2947" i="8"/>
  <c r="H4466" i="8"/>
  <c r="F4466" i="8"/>
  <c r="I4466" i="8"/>
  <c r="I2585" i="8"/>
  <c r="F2585" i="8"/>
  <c r="H2585" i="8"/>
  <c r="I2253" i="8"/>
  <c r="F2253" i="8"/>
  <c r="H2253" i="8"/>
  <c r="I2454" i="8"/>
  <c r="F2454" i="8"/>
  <c r="H2454" i="8"/>
  <c r="I2097" i="8"/>
  <c r="H2097" i="8"/>
  <c r="F2097" i="8"/>
  <c r="I2310" i="8"/>
  <c r="H2310" i="8"/>
  <c r="F2310" i="8"/>
  <c r="H3789" i="8"/>
  <c r="F3789" i="8"/>
  <c r="I3789" i="8"/>
  <c r="H672" i="8"/>
  <c r="F672" i="8"/>
  <c r="I672" i="8"/>
  <c r="H701" i="8"/>
  <c r="F701" i="8"/>
  <c r="I701" i="8"/>
  <c r="H3809" i="8"/>
  <c r="F3809" i="8"/>
  <c r="I3809" i="8"/>
  <c r="I2277" i="8"/>
  <c r="F2277" i="8"/>
  <c r="H2277" i="8"/>
  <c r="H3825" i="8"/>
  <c r="F3825" i="8"/>
  <c r="I3825" i="8"/>
  <c r="H812" i="8"/>
  <c r="F812" i="8"/>
  <c r="I812" i="8"/>
  <c r="H3745" i="8"/>
  <c r="F3745" i="8"/>
  <c r="I3745" i="8"/>
  <c r="H388" i="8"/>
  <c r="I388" i="8"/>
  <c r="F388" i="8"/>
  <c r="I2811" i="8"/>
  <c r="F2811" i="8"/>
  <c r="H2811" i="8"/>
  <c r="H4155" i="8"/>
  <c r="F4155" i="8"/>
  <c r="I4155" i="8"/>
  <c r="H764" i="8"/>
  <c r="F764" i="8"/>
  <c r="I764" i="8"/>
  <c r="H557" i="8"/>
  <c r="F557" i="8"/>
  <c r="I557" i="8"/>
  <c r="I1917" i="8"/>
  <c r="F1917" i="8"/>
  <c r="H1917" i="8"/>
  <c r="I3425" i="8"/>
  <c r="H3425" i="8"/>
  <c r="F3425" i="8"/>
  <c r="I3016" i="8"/>
  <c r="H3016" i="8"/>
  <c r="F3016" i="8"/>
  <c r="H732" i="8"/>
  <c r="F732" i="8"/>
  <c r="I732" i="8"/>
  <c r="I1909" i="8"/>
  <c r="F1909" i="8"/>
  <c r="H1909" i="8"/>
  <c r="H4516" i="8"/>
  <c r="F4516" i="8"/>
  <c r="I4516" i="8"/>
  <c r="H3822" i="8"/>
  <c r="F3822" i="8"/>
  <c r="I3822" i="8"/>
  <c r="I3079" i="8"/>
  <c r="H3079" i="8"/>
  <c r="F3079" i="8"/>
  <c r="I1665" i="8"/>
  <c r="F1665" i="8"/>
  <c r="H1665" i="8"/>
  <c r="H4065" i="8"/>
  <c r="F4065" i="8"/>
  <c r="I4065" i="8"/>
  <c r="I2989" i="8"/>
  <c r="F2989" i="8"/>
  <c r="H2989" i="8"/>
  <c r="H3802" i="8"/>
  <c r="F3802" i="8"/>
  <c r="I3802" i="8"/>
  <c r="I1581" i="8"/>
  <c r="F1581" i="8"/>
  <c r="H1581" i="8"/>
  <c r="I1781" i="8"/>
  <c r="F1781" i="8"/>
  <c r="H1781" i="8"/>
  <c r="H3944" i="8"/>
  <c r="F3944" i="8"/>
  <c r="I3944" i="8"/>
  <c r="I2762" i="8"/>
  <c r="H2762" i="8"/>
  <c r="F2762" i="8"/>
  <c r="I1385" i="8"/>
  <c r="H1385" i="8"/>
  <c r="F1385" i="8"/>
  <c r="I67" i="8"/>
  <c r="H67" i="8"/>
  <c r="F67" i="8"/>
  <c r="I1539" i="8"/>
  <c r="H1539" i="8"/>
  <c r="F1539" i="8"/>
  <c r="H393" i="8"/>
  <c r="F393" i="8"/>
  <c r="I393" i="8"/>
  <c r="H3924" i="8"/>
  <c r="F3924" i="8"/>
  <c r="I3924" i="8"/>
  <c r="I1771" i="8"/>
  <c r="F1771" i="8"/>
  <c r="H1771" i="8"/>
  <c r="I1672" i="8"/>
  <c r="H1672" i="8"/>
  <c r="F1672" i="8"/>
  <c r="I2119" i="8"/>
  <c r="H2119" i="8"/>
  <c r="F2119" i="8"/>
  <c r="I2014" i="8"/>
  <c r="H2014" i="8"/>
  <c r="F2014" i="8"/>
  <c r="H389" i="8"/>
  <c r="F389" i="8"/>
  <c r="I389" i="8"/>
  <c r="I2540" i="8"/>
  <c r="H2540" i="8"/>
  <c r="F2540" i="8"/>
  <c r="H605" i="8"/>
  <c r="F605" i="8"/>
  <c r="I605" i="8"/>
  <c r="I2173" i="8"/>
  <c r="F2173" i="8"/>
  <c r="H2173" i="8"/>
  <c r="H4152" i="8"/>
  <c r="F4152" i="8"/>
  <c r="I4152" i="8"/>
  <c r="I1325" i="8"/>
  <c r="H1325" i="8"/>
  <c r="F1325" i="8"/>
  <c r="H698" i="8"/>
  <c r="F698" i="8"/>
  <c r="I698" i="8"/>
  <c r="I2286" i="8"/>
  <c r="F2286" i="8"/>
  <c r="H2286" i="8"/>
  <c r="I2155" i="8"/>
  <c r="F2155" i="8"/>
  <c r="H2155" i="8"/>
  <c r="I1736" i="8"/>
  <c r="H1736" i="8"/>
  <c r="F1736" i="8"/>
  <c r="H4561" i="8"/>
  <c r="F4561" i="8"/>
  <c r="I4561" i="8"/>
  <c r="H525" i="8"/>
  <c r="F525" i="8"/>
  <c r="I525" i="8"/>
  <c r="I1515" i="8"/>
  <c r="F1515" i="8"/>
  <c r="H1515" i="8"/>
  <c r="H558" i="8"/>
  <c r="F558" i="8"/>
  <c r="I558" i="8"/>
  <c r="I1710" i="8"/>
  <c r="H1710" i="8"/>
  <c r="F1710" i="8"/>
  <c r="F3371" i="8"/>
  <c r="H3371" i="8"/>
  <c r="I3371" i="8" s="1"/>
  <c r="G6494" i="5"/>
  <c r="G9820" i="5"/>
  <c r="G5323" i="5"/>
  <c r="G3166" i="5"/>
  <c r="G9655" i="5"/>
  <c r="I2405" i="8"/>
  <c r="F2405" i="8"/>
  <c r="H2405" i="8"/>
  <c r="H4194" i="8"/>
  <c r="F4194" i="8"/>
  <c r="I4194" i="8"/>
  <c r="I1800" i="8"/>
  <c r="H1800" i="8"/>
  <c r="F1800" i="8"/>
  <c r="H3611" i="8"/>
  <c r="F3611" i="8"/>
  <c r="I3611" i="8"/>
  <c r="I66" i="8"/>
  <c r="H66" i="8"/>
  <c r="F66" i="8"/>
  <c r="I1728" i="8"/>
  <c r="F1728" i="8"/>
  <c r="H1728" i="8"/>
  <c r="I2481" i="8"/>
  <c r="H2481" i="8"/>
  <c r="F2481" i="8"/>
  <c r="H544" i="8"/>
  <c r="F544" i="8"/>
  <c r="I544" i="8"/>
  <c r="H3828" i="8"/>
  <c r="F3828" i="8"/>
  <c r="I3828" i="8"/>
  <c r="H3783" i="8"/>
  <c r="F3783" i="8"/>
  <c r="I3783" i="8"/>
  <c r="H4571" i="8"/>
  <c r="F4571" i="8"/>
  <c r="I4571" i="8"/>
  <c r="I1756" i="8"/>
  <c r="H1756" i="8"/>
  <c r="F1756" i="8"/>
  <c r="I139" i="8"/>
  <c r="H139" i="8"/>
  <c r="F139" i="8"/>
  <c r="H844" i="8"/>
  <c r="F844" i="8"/>
  <c r="I844" i="8"/>
  <c r="I2650" i="8"/>
  <c r="H2650" i="8"/>
  <c r="F2650" i="8"/>
  <c r="I1431" i="8"/>
  <c r="F1431" i="8"/>
  <c r="H1431" i="8"/>
  <c r="H761" i="8"/>
  <c r="F761" i="8"/>
  <c r="I761" i="8"/>
  <c r="H765" i="8"/>
  <c r="F765" i="8"/>
  <c r="I765" i="8"/>
  <c r="H441" i="8"/>
  <c r="F441" i="8"/>
  <c r="I441" i="8"/>
  <c r="I1702" i="8"/>
  <c r="F1702" i="8"/>
  <c r="H1702" i="8"/>
  <c r="H4733" i="8"/>
  <c r="F4733" i="8"/>
  <c r="I4733" i="8"/>
  <c r="H432" i="8"/>
  <c r="I432" i="8"/>
  <c r="F432" i="8"/>
  <c r="H4677" i="8"/>
  <c r="F4677" i="8"/>
  <c r="I4677" i="8"/>
  <c r="I2149" i="8"/>
  <c r="F2149" i="8"/>
  <c r="H2149" i="8"/>
  <c r="I1478" i="8"/>
  <c r="F1478" i="8"/>
  <c r="H1478" i="8"/>
  <c r="I1519" i="8"/>
  <c r="H1519" i="8"/>
  <c r="F1519" i="8"/>
  <c r="I2308" i="8"/>
  <c r="H2308" i="8"/>
  <c r="F2308" i="8"/>
  <c r="G349" i="5"/>
  <c r="I2986" i="8"/>
  <c r="H2986" i="8"/>
  <c r="F2986" i="8"/>
  <c r="H4830" i="8"/>
  <c r="F4830" i="8"/>
  <c r="I4830" i="8"/>
  <c r="I1480" i="8"/>
  <c r="H1480" i="8"/>
  <c r="F1480" i="8"/>
  <c r="H4556" i="8"/>
  <c r="F4556" i="8"/>
  <c r="I4556" i="8"/>
  <c r="I2852" i="8"/>
  <c r="H2852" i="8"/>
  <c r="F2852" i="8"/>
  <c r="I3099" i="8"/>
  <c r="F3099" i="8"/>
  <c r="H3099" i="8"/>
  <c r="I2265" i="8"/>
  <c r="F2265" i="8"/>
  <c r="H2265" i="8"/>
  <c r="H678" i="8"/>
  <c r="F678" i="8"/>
  <c r="I678" i="8"/>
  <c r="H3538" i="8"/>
  <c r="F3538" i="8"/>
  <c r="I3538" i="8"/>
  <c r="H4089" i="8"/>
  <c r="F4089" i="8"/>
  <c r="I4089" i="8"/>
  <c r="I1209" i="8"/>
  <c r="H1209" i="8"/>
  <c r="F1209" i="8"/>
  <c r="I2452" i="8"/>
  <c r="H2452" i="8"/>
  <c r="F2452" i="8"/>
  <c r="I1497" i="8"/>
  <c r="H1497" i="8"/>
  <c r="F1497" i="8"/>
  <c r="I3055" i="8"/>
  <c r="H3055" i="8"/>
  <c r="F3055" i="8"/>
  <c r="I1463" i="8"/>
  <c r="H1463" i="8"/>
  <c r="F1463" i="8"/>
  <c r="I3113" i="8"/>
  <c r="H3113" i="8"/>
  <c r="F3113" i="8"/>
  <c r="H1014" i="8"/>
  <c r="F1014" i="8"/>
  <c r="I1014" i="8"/>
  <c r="H551" i="8"/>
  <c r="F551" i="8"/>
  <c r="I551" i="8"/>
  <c r="H824" i="8"/>
  <c r="F824" i="8"/>
  <c r="I824" i="8"/>
  <c r="H656" i="8"/>
  <c r="F656" i="8"/>
  <c r="I656" i="8"/>
  <c r="H4450" i="8"/>
  <c r="F4450" i="8"/>
  <c r="I4450" i="8"/>
  <c r="H4718" i="8"/>
  <c r="F4718" i="8"/>
  <c r="I4718" i="8"/>
  <c r="I1777" i="8"/>
  <c r="F1777" i="8"/>
  <c r="H1777" i="8"/>
  <c r="I1998" i="8"/>
  <c r="H1998" i="8"/>
  <c r="F1998" i="8"/>
  <c r="I1883" i="8"/>
  <c r="F1883" i="8"/>
  <c r="H1883" i="8"/>
  <c r="I1197" i="8"/>
  <c r="H1197" i="8"/>
  <c r="F1197" i="8"/>
  <c r="I3155" i="8"/>
  <c r="H3155" i="8"/>
  <c r="F3155" i="8"/>
  <c r="H1010" i="8"/>
  <c r="F1010" i="8"/>
  <c r="I1010" i="8"/>
  <c r="I3006" i="8"/>
  <c r="H3006" i="8"/>
  <c r="F3006" i="8"/>
  <c r="I1373" i="8"/>
  <c r="H1373" i="8"/>
  <c r="F1373" i="8"/>
  <c r="H4596" i="8"/>
  <c r="F4596" i="8"/>
  <c r="I4596" i="8"/>
  <c r="H4414" i="8"/>
  <c r="F4414" i="8"/>
  <c r="I4414" i="8"/>
  <c r="I2228" i="8"/>
  <c r="H2228" i="8"/>
  <c r="F2228" i="8"/>
  <c r="I1671" i="8"/>
  <c r="H1671" i="8"/>
  <c r="F1671" i="8"/>
  <c r="H642" i="8"/>
  <c r="F642" i="8"/>
  <c r="I642" i="8"/>
  <c r="H4681" i="8"/>
  <c r="F4681" i="8"/>
  <c r="I4681" i="8"/>
  <c r="I2654" i="8"/>
  <c r="H2654" i="8"/>
  <c r="F2654" i="8"/>
  <c r="I2262" i="8"/>
  <c r="F2262" i="8"/>
  <c r="H2262" i="8"/>
  <c r="I1987" i="8"/>
  <c r="H1987" i="8"/>
  <c r="F1987" i="8"/>
  <c r="H4104" i="8"/>
  <c r="F4104" i="8"/>
  <c r="I4104" i="8"/>
  <c r="H4035" i="8"/>
  <c r="F4035" i="8"/>
  <c r="I4035" i="8"/>
  <c r="H1032" i="8"/>
  <c r="F1032" i="8"/>
  <c r="I1032" i="8"/>
  <c r="I2316" i="8"/>
  <c r="H2316" i="8"/>
  <c r="F2316" i="8"/>
  <c r="H3728" i="8"/>
  <c r="F3728" i="8"/>
  <c r="I3728" i="8"/>
  <c r="H3576" i="8"/>
  <c r="F3576" i="8"/>
  <c r="I3576" i="8"/>
  <c r="I2407" i="8"/>
  <c r="H2407" i="8"/>
  <c r="F2407" i="8"/>
  <c r="I2643" i="8"/>
  <c r="H2643" i="8"/>
  <c r="F2643" i="8"/>
  <c r="H428" i="8"/>
  <c r="I428" i="8"/>
  <c r="F428" i="8"/>
  <c r="H4572" i="8"/>
  <c r="F4572" i="8"/>
  <c r="I4572" i="8"/>
  <c r="I2479" i="8"/>
  <c r="H2479" i="8"/>
  <c r="F2479" i="8"/>
  <c r="I1486" i="8"/>
  <c r="H1486" i="8"/>
  <c r="F1486" i="8"/>
  <c r="I2241" i="8"/>
  <c r="H2241" i="8"/>
  <c r="F2241" i="8"/>
  <c r="H3819" i="8"/>
  <c r="F3819" i="8"/>
  <c r="I3819" i="8"/>
  <c r="H3685" i="8"/>
  <c r="F3685" i="8"/>
  <c r="I3685" i="8"/>
  <c r="I1729" i="8"/>
  <c r="F1729" i="8"/>
  <c r="H1729" i="8"/>
  <c r="I1713" i="8"/>
  <c r="F1713" i="8"/>
  <c r="H1713" i="8"/>
  <c r="I167" i="8"/>
  <c r="H167" i="8"/>
  <c r="F167" i="8"/>
  <c r="I2566" i="8"/>
  <c r="H2566" i="8"/>
  <c r="F2566" i="8"/>
  <c r="I1691" i="8"/>
  <c r="F1691" i="8"/>
  <c r="H1691" i="8"/>
  <c r="H3712" i="8"/>
  <c r="F3712" i="8"/>
  <c r="I3712" i="8"/>
  <c r="H4208" i="8"/>
  <c r="F4208" i="8"/>
  <c r="I4208" i="8"/>
  <c r="H1030" i="8"/>
  <c r="F1030" i="8"/>
  <c r="I1030" i="8"/>
  <c r="I1433" i="8"/>
  <c r="H1433" i="8"/>
  <c r="F1433" i="8"/>
  <c r="H3775" i="8"/>
  <c r="F3775" i="8"/>
  <c r="I3775" i="8"/>
  <c r="H4103" i="8"/>
  <c r="F4103" i="8"/>
  <c r="I4103" i="8"/>
  <c r="H3609" i="8"/>
  <c r="F3609" i="8"/>
  <c r="I3609" i="8"/>
  <c r="I2260" i="8"/>
  <c r="H2260" i="8"/>
  <c r="F2260" i="8"/>
  <c r="I2546" i="8"/>
  <c r="H2546" i="8"/>
  <c r="F2546" i="8"/>
  <c r="H4573" i="8"/>
  <c r="F4573" i="8"/>
  <c r="I4573" i="8"/>
  <c r="H4435" i="8"/>
  <c r="F4435" i="8"/>
  <c r="I4435" i="8"/>
  <c r="H4016" i="8"/>
  <c r="F4016" i="8"/>
  <c r="I4016" i="8"/>
  <c r="I2786" i="8"/>
  <c r="H2786" i="8"/>
  <c r="F2786" i="8"/>
  <c r="I2221" i="8"/>
  <c r="F2221" i="8"/>
  <c r="H2221" i="8"/>
  <c r="H629" i="8"/>
  <c r="F629" i="8"/>
  <c r="I629" i="8"/>
  <c r="I1513" i="8"/>
  <c r="H1513" i="8"/>
  <c r="F1513" i="8"/>
  <c r="I2645" i="8"/>
  <c r="F2645" i="8"/>
  <c r="H2645" i="8"/>
  <c r="H4608" i="8"/>
  <c r="F4608" i="8"/>
  <c r="I4608" i="8"/>
  <c r="I2509" i="8"/>
  <c r="F2509" i="8"/>
  <c r="H2509" i="8"/>
  <c r="H3645" i="8"/>
  <c r="F3645" i="8"/>
  <c r="I3645" i="8"/>
  <c r="I1769" i="8"/>
  <c r="H1769" i="8"/>
  <c r="F1769" i="8"/>
  <c r="H632" i="8"/>
  <c r="F632" i="8"/>
  <c r="I632" i="8"/>
  <c r="H4512" i="8"/>
  <c r="F4512" i="8"/>
  <c r="I4512" i="8"/>
  <c r="H623" i="8"/>
  <c r="F623" i="8"/>
  <c r="I623" i="8"/>
  <c r="I2470" i="8"/>
  <c r="H2470" i="8"/>
  <c r="F2470" i="8"/>
  <c r="H4173" i="8"/>
  <c r="F4173" i="8"/>
  <c r="I4173" i="8"/>
  <c r="H667" i="8"/>
  <c r="F667" i="8"/>
  <c r="I667" i="8"/>
  <c r="H418" i="8"/>
  <c r="I418" i="8"/>
  <c r="F418" i="8"/>
  <c r="H4093" i="8"/>
  <c r="F4093" i="8"/>
  <c r="I4093" i="8"/>
  <c r="I1653" i="8"/>
  <c r="F1653" i="8"/>
  <c r="H1653" i="8"/>
  <c r="I2001" i="8"/>
  <c r="F2001" i="8"/>
  <c r="H2001" i="8"/>
  <c r="H3705" i="8"/>
  <c r="F3705" i="8"/>
  <c r="I3705" i="8"/>
  <c r="I1984" i="8"/>
  <c r="F1984" i="8"/>
  <c r="H1984" i="8"/>
  <c r="I2826" i="8"/>
  <c r="H2826" i="8"/>
  <c r="F2826" i="8"/>
  <c r="H4431" i="8"/>
  <c r="F4431" i="8"/>
  <c r="I4431" i="8"/>
  <c r="H1090" i="8"/>
  <c r="F1090" i="8"/>
  <c r="I1090" i="8"/>
  <c r="I1695" i="8"/>
  <c r="H1695" i="8"/>
  <c r="F1695" i="8"/>
  <c r="H3572" i="8"/>
  <c r="F3572" i="8"/>
  <c r="I3572" i="8"/>
  <c r="I2591" i="8"/>
  <c r="H2591" i="8"/>
  <c r="F2591" i="8"/>
  <c r="I2572" i="8"/>
  <c r="H2572" i="8"/>
  <c r="F2572" i="8"/>
  <c r="I2508" i="8"/>
  <c r="H2508" i="8"/>
  <c r="F2508" i="8"/>
  <c r="I1779" i="8"/>
  <c r="H1779" i="8"/>
  <c r="F1779" i="8"/>
  <c r="H1051" i="8"/>
  <c r="F1051" i="8"/>
  <c r="I1051" i="8"/>
  <c r="H4739" i="8"/>
  <c r="F4739" i="8"/>
  <c r="I4739" i="8"/>
  <c r="H4605" i="8"/>
  <c r="F4605" i="8"/>
  <c r="I4605" i="8"/>
  <c r="G6496" i="5"/>
  <c r="G6487" i="5"/>
  <c r="I2058" i="8"/>
  <c r="H2058" i="8"/>
  <c r="F2058" i="8"/>
  <c r="I2889" i="8"/>
  <c r="H2889" i="8"/>
  <c r="F2889" i="8"/>
  <c r="I1806" i="8"/>
  <c r="H1806" i="8"/>
  <c r="F1806" i="8"/>
  <c r="I2065" i="8"/>
  <c r="H2065" i="8"/>
  <c r="F2065" i="8"/>
  <c r="H4115" i="8"/>
  <c r="F4115" i="8"/>
  <c r="I4115" i="8"/>
  <c r="I1351" i="8"/>
  <c r="F1351" i="8"/>
  <c r="H1351" i="8"/>
  <c r="H431" i="8"/>
  <c r="I431" i="8"/>
  <c r="F431" i="8"/>
  <c r="I3183" i="8"/>
  <c r="H3183" i="8"/>
  <c r="F3183" i="8"/>
  <c r="H702" i="8"/>
  <c r="F702" i="8"/>
  <c r="I702" i="8"/>
  <c r="F569" i="6"/>
  <c r="G566" i="6" s="1"/>
  <c r="H616" i="8"/>
  <c r="F616" i="8"/>
  <c r="I616" i="8"/>
  <c r="I20" i="8"/>
  <c r="H20" i="8"/>
  <c r="F20" i="8"/>
  <c r="I2005" i="8"/>
  <c r="F2005" i="8"/>
  <c r="H2005" i="8"/>
  <c r="I1225" i="8"/>
  <c r="H1225" i="8"/>
  <c r="F1225" i="8"/>
  <c r="I2763" i="8"/>
  <c r="F2763" i="8"/>
  <c r="H2763" i="8"/>
  <c r="I1597" i="8"/>
  <c r="F1597" i="8"/>
  <c r="H1597" i="8"/>
  <c r="I2385" i="8"/>
  <c r="F2385" i="8"/>
  <c r="H2385" i="8"/>
  <c r="I3083" i="8"/>
  <c r="F3083" i="8"/>
  <c r="H3083" i="8"/>
  <c r="H3517" i="8"/>
  <c r="F3517" i="8"/>
  <c r="I3517" i="8"/>
  <c r="I1557" i="8"/>
  <c r="F1557" i="8"/>
  <c r="H1557" i="8"/>
  <c r="I2323" i="8"/>
  <c r="H2323" i="8"/>
  <c r="F2323" i="8"/>
  <c r="I1791" i="8"/>
  <c r="H1791" i="8"/>
  <c r="F1791" i="8"/>
  <c r="I1765" i="8"/>
  <c r="F1765" i="8"/>
  <c r="H1765" i="8"/>
  <c r="I1223" i="8"/>
  <c r="F1223" i="8"/>
  <c r="H1223" i="8"/>
  <c r="I1749" i="8"/>
  <c r="F1749" i="8"/>
  <c r="H1749" i="8"/>
  <c r="H3523" i="8"/>
  <c r="F3523" i="8"/>
  <c r="I3523" i="8"/>
  <c r="I1579" i="8"/>
  <c r="F1579" i="8"/>
  <c r="H1579" i="8"/>
  <c r="H3663" i="8"/>
  <c r="F3663" i="8"/>
  <c r="I3663" i="8"/>
  <c r="H4510" i="8"/>
  <c r="F4510" i="8"/>
  <c r="I4510" i="8"/>
  <c r="I2187" i="8"/>
  <c r="F2187" i="8"/>
  <c r="H2187" i="8"/>
  <c r="I1958" i="8"/>
  <c r="F1958" i="8"/>
  <c r="H1958" i="8"/>
  <c r="H837" i="8"/>
  <c r="F837" i="8"/>
  <c r="I837" i="8"/>
  <c r="I2313" i="8"/>
  <c r="F2313" i="8"/>
  <c r="H2313" i="8"/>
  <c r="I1602" i="8"/>
  <c r="H1602" i="8"/>
  <c r="F1602" i="8"/>
  <c r="I3112" i="8"/>
  <c r="H3112" i="8"/>
  <c r="F3112" i="8"/>
  <c r="I2118" i="8"/>
  <c r="F2118" i="8"/>
  <c r="H2118" i="8"/>
  <c r="I2758" i="8"/>
  <c r="H2758" i="8"/>
  <c r="F2758" i="8"/>
  <c r="I2250" i="8"/>
  <c r="H2250" i="8"/>
  <c r="F2250" i="8"/>
  <c r="H3050" i="8"/>
  <c r="I3050" i="8" s="1"/>
  <c r="F3050" i="8"/>
  <c r="H3850" i="8"/>
  <c r="F3850" i="8"/>
  <c r="I3850" i="8"/>
  <c r="H3844" i="8"/>
  <c r="F3844" i="8"/>
  <c r="I3844" i="8"/>
  <c r="H709" i="8"/>
  <c r="F709" i="8"/>
  <c r="I709" i="8"/>
  <c r="H532" i="8"/>
  <c r="F532" i="8"/>
  <c r="I532" i="8"/>
  <c r="H3682" i="8"/>
  <c r="F3682" i="8"/>
  <c r="I3682" i="8"/>
  <c r="I1313" i="8"/>
  <c r="H1313" i="8"/>
  <c r="F1313" i="8"/>
  <c r="I2364" i="8"/>
  <c r="H2364" i="8"/>
  <c r="F2364" i="8"/>
  <c r="H3650" i="8"/>
  <c r="F3650" i="8"/>
  <c r="I3650" i="8"/>
  <c r="H4629" i="8"/>
  <c r="F4629" i="8"/>
  <c r="I4629" i="8"/>
  <c r="I2520" i="8"/>
  <c r="H2520" i="8"/>
  <c r="F2520" i="8"/>
  <c r="H836" i="8"/>
  <c r="F836" i="8"/>
  <c r="I836" i="8"/>
  <c r="I2430" i="8"/>
  <c r="F2430" i="8"/>
  <c r="H2430" i="8"/>
  <c r="H4477" i="8"/>
  <c r="F4477" i="8"/>
  <c r="I4477" i="8"/>
  <c r="I3070" i="8"/>
  <c r="H3070" i="8"/>
  <c r="F3070" i="8"/>
  <c r="I1750" i="8"/>
  <c r="F1750" i="8"/>
  <c r="H1750" i="8"/>
  <c r="H4715" i="8"/>
  <c r="F4715" i="8"/>
  <c r="I4715" i="8"/>
  <c r="I2143" i="8"/>
  <c r="H2143" i="8"/>
  <c r="F2143" i="8"/>
  <c r="H3890" i="8"/>
  <c r="F3890" i="8"/>
  <c r="I3890" i="8"/>
  <c r="I3121" i="8"/>
  <c r="H3121" i="8"/>
  <c r="F3121" i="8"/>
  <c r="I2581" i="8"/>
  <c r="F2581" i="8"/>
  <c r="H2581" i="8"/>
  <c r="H3709" i="8"/>
  <c r="F3709" i="8"/>
  <c r="I3709" i="8"/>
  <c r="I2652" i="8"/>
  <c r="H2652" i="8"/>
  <c r="F2652" i="8"/>
  <c r="H4107" i="8"/>
  <c r="F4107" i="8"/>
  <c r="I4107" i="8"/>
  <c r="H4714" i="8"/>
  <c r="F4714" i="8"/>
  <c r="I4714" i="8"/>
  <c r="I2698" i="8"/>
  <c r="H2698" i="8"/>
  <c r="F2698" i="8"/>
  <c r="H3661" i="8"/>
  <c r="F3661" i="8"/>
  <c r="I3661" i="8"/>
  <c r="I2140" i="8"/>
  <c r="H2140" i="8"/>
  <c r="F2140" i="8"/>
  <c r="H1089" i="8"/>
  <c r="F1089" i="8"/>
  <c r="I1089" i="8"/>
  <c r="H3671" i="8"/>
  <c r="F3671" i="8"/>
  <c r="I3671" i="8"/>
  <c r="H3856" i="8"/>
  <c r="F3856" i="8"/>
  <c r="I3856" i="8"/>
  <c r="H4098" i="8"/>
  <c r="F4098" i="8"/>
  <c r="I4098" i="8"/>
  <c r="G6432" i="5"/>
  <c r="H4184" i="8"/>
  <c r="F4184" i="8"/>
  <c r="I4184" i="8"/>
  <c r="H604" i="8"/>
  <c r="F604" i="8"/>
  <c r="I604" i="8"/>
  <c r="I1983" i="8"/>
  <c r="H1983" i="8"/>
  <c r="F1983" i="8"/>
  <c r="H591" i="8"/>
  <c r="F591" i="8"/>
  <c r="I591" i="8"/>
  <c r="H3872" i="8"/>
  <c r="F3872" i="8"/>
  <c r="I3872" i="8"/>
  <c r="I3162" i="8"/>
  <c r="H3162" i="8"/>
  <c r="F3162" i="8"/>
  <c r="H4131" i="8"/>
  <c r="F4131" i="8"/>
  <c r="I4131" i="8"/>
  <c r="I1747" i="8"/>
  <c r="H1747" i="8"/>
  <c r="F1747" i="8"/>
  <c r="I2126" i="8"/>
  <c r="H2126" i="8"/>
  <c r="F2126" i="8"/>
  <c r="H690" i="8"/>
  <c r="F690" i="8"/>
  <c r="I690" i="8"/>
  <c r="H3716" i="8"/>
  <c r="F3716" i="8"/>
  <c r="I3716" i="8"/>
  <c r="I2074" i="8"/>
  <c r="H2074" i="8"/>
  <c r="F2074" i="8"/>
  <c r="I2942" i="8"/>
  <c r="H2942" i="8"/>
  <c r="F2942" i="8"/>
  <c r="H4151" i="8"/>
  <c r="F4151" i="8"/>
  <c r="I4151" i="8"/>
  <c r="I2028" i="8"/>
  <c r="H2028" i="8"/>
  <c r="F2028" i="8"/>
  <c r="H478" i="8"/>
  <c r="F478" i="8"/>
  <c r="I478" i="8"/>
  <c r="I2575" i="8"/>
  <c r="H2575" i="8"/>
  <c r="F2575" i="8"/>
  <c r="I3165" i="8"/>
  <c r="F3165" i="8"/>
  <c r="H3165" i="8"/>
  <c r="I1773" i="8"/>
  <c r="F1773" i="8"/>
  <c r="H1773" i="8"/>
  <c r="I1945" i="8"/>
  <c r="H1945" i="8"/>
  <c r="F1945" i="8"/>
  <c r="I1186" i="8"/>
  <c r="H1186" i="8"/>
  <c r="F1186" i="8"/>
  <c r="I3059" i="8"/>
  <c r="H3059" i="8"/>
  <c r="F3059" i="8"/>
  <c r="I1495" i="8"/>
  <c r="H1495" i="8"/>
  <c r="F1495" i="8"/>
  <c r="I2482" i="8"/>
  <c r="H2482" i="8"/>
  <c r="F2482" i="8"/>
  <c r="H3782" i="8"/>
  <c r="F3782" i="8"/>
  <c r="I3782" i="8"/>
  <c r="H4187" i="8"/>
  <c r="F4187" i="8"/>
  <c r="I4187" i="8"/>
  <c r="H3841" i="8"/>
  <c r="F3841" i="8"/>
  <c r="I3841" i="8"/>
  <c r="H3359" i="8"/>
  <c r="I3359" i="8" s="1"/>
  <c r="F3359" i="8"/>
  <c r="G5338" i="5"/>
  <c r="F676" i="6"/>
  <c r="H482" i="8" l="1"/>
  <c r="F482" i="8"/>
  <c r="I482" i="8"/>
  <c r="F102" i="6"/>
  <c r="I2212" i="8"/>
  <c r="H2212" i="8"/>
  <c r="F2212" i="8"/>
  <c r="G3301" i="5"/>
  <c r="H4088" i="8"/>
  <c r="F4088" i="8"/>
  <c r="I4088" i="8"/>
  <c r="H4716" i="8"/>
  <c r="F4716" i="8"/>
  <c r="I4716" i="8"/>
  <c r="H643" i="8"/>
  <c r="F643" i="8"/>
  <c r="I643" i="8"/>
  <c r="I1620" i="8"/>
  <c r="H1620" i="8"/>
  <c r="F1620" i="8"/>
  <c r="H358" i="8"/>
  <c r="I358" i="8"/>
  <c r="F358" i="8"/>
  <c r="I1510" i="8"/>
  <c r="F1510" i="8"/>
  <c r="H1510" i="8"/>
  <c r="I1716" i="8"/>
  <c r="H1716" i="8"/>
  <c r="F1716" i="8"/>
  <c r="I2398" i="8"/>
  <c r="F2398" i="8"/>
  <c r="H2398" i="8"/>
  <c r="H3829" i="8"/>
  <c r="F3829" i="8"/>
  <c r="I3829" i="8"/>
  <c r="H4154" i="8"/>
  <c r="F4154" i="8"/>
  <c r="I4154" i="8"/>
  <c r="I1530" i="8"/>
  <c r="H1530" i="8"/>
  <c r="F1530" i="8"/>
  <c r="I2667" i="8"/>
  <c r="F2667" i="8"/>
  <c r="H2667" i="8"/>
  <c r="I1506" i="8"/>
  <c r="H1506" i="8"/>
  <c r="F1506" i="8"/>
  <c r="I1399" i="8"/>
  <c r="F1399" i="8"/>
  <c r="H1399" i="8"/>
  <c r="I1594" i="8"/>
  <c r="H1594" i="8"/>
  <c r="F1594" i="8"/>
  <c r="I1479" i="8"/>
  <c r="H1479" i="8"/>
  <c r="F1479" i="8"/>
  <c r="I3017" i="8"/>
  <c r="H3017" i="8"/>
  <c r="F3017" i="8"/>
  <c r="H683" i="8"/>
  <c r="F683" i="8"/>
  <c r="I683" i="8"/>
  <c r="H680" i="8"/>
  <c r="F680" i="8"/>
  <c r="I680" i="8"/>
  <c r="H556" i="8"/>
  <c r="F556" i="8"/>
  <c r="I556" i="8"/>
  <c r="H4095" i="8"/>
  <c r="F4095" i="8"/>
  <c r="I4095" i="8"/>
  <c r="H3434" i="8"/>
  <c r="I3434" i="8" s="1"/>
  <c r="F3434" i="8"/>
  <c r="I3348" i="8"/>
  <c r="H3348" i="8"/>
  <c r="F3348" i="8"/>
  <c r="F2880" i="8"/>
  <c r="H2880" i="8"/>
  <c r="I2880" i="8" s="1"/>
  <c r="H2870" i="8"/>
  <c r="I2870" i="8" s="1"/>
  <c r="F2870" i="8"/>
  <c r="I1807" i="8"/>
  <c r="H1807" i="8"/>
  <c r="F1807" i="8"/>
  <c r="H3885" i="8"/>
  <c r="F3885" i="8"/>
  <c r="I3885" i="8"/>
  <c r="H4024" i="8"/>
  <c r="F4024" i="8"/>
  <c r="I4024" i="8"/>
  <c r="H612" i="8"/>
  <c r="F612" i="8"/>
  <c r="I612" i="8"/>
  <c r="I1466" i="8"/>
  <c r="H1466" i="8"/>
  <c r="F1466" i="8"/>
  <c r="I1476" i="8"/>
  <c r="H1476" i="8"/>
  <c r="F1476" i="8"/>
  <c r="H4120" i="8"/>
  <c r="F4120" i="8"/>
  <c r="I4120" i="8"/>
  <c r="I2332" i="8"/>
  <c r="H2332" i="8"/>
  <c r="F2332" i="8"/>
  <c r="I1222" i="8"/>
  <c r="H1222" i="8"/>
  <c r="F1222" i="8"/>
  <c r="H3654" i="8"/>
  <c r="F3654" i="8"/>
  <c r="I3654" i="8"/>
  <c r="F554" i="6"/>
  <c r="H4501" i="8"/>
  <c r="I4501" i="8" s="1"/>
  <c r="F4501" i="8"/>
  <c r="H549" i="8"/>
  <c r="F549" i="8"/>
  <c r="I549" i="8"/>
  <c r="H785" i="8"/>
  <c r="F785" i="8"/>
  <c r="I785" i="8"/>
  <c r="I2634" i="8"/>
  <c r="H2634" i="8"/>
  <c r="F2634" i="8"/>
  <c r="H3793" i="8"/>
  <c r="F3793" i="8"/>
  <c r="I3793" i="8"/>
  <c r="I2234" i="8"/>
  <c r="H2234" i="8"/>
  <c r="F2234" i="8"/>
  <c r="I1784" i="8"/>
  <c r="H1784" i="8"/>
  <c r="F1784" i="8"/>
  <c r="I2471" i="8"/>
  <c r="H2471" i="8"/>
  <c r="F2471" i="8"/>
  <c r="H652" i="8"/>
  <c r="F652" i="8"/>
  <c r="I652" i="8"/>
  <c r="I1802" i="8"/>
  <c r="H1802" i="8"/>
  <c r="F1802" i="8"/>
  <c r="I2261" i="8"/>
  <c r="F2261" i="8"/>
  <c r="H2261" i="8"/>
  <c r="H1060" i="8"/>
  <c r="F1060" i="8"/>
  <c r="I1060" i="8"/>
  <c r="H3028" i="8"/>
  <c r="I3028" i="8" s="1"/>
  <c r="F3028" i="8"/>
  <c r="H2995" i="8"/>
  <c r="I2995" i="8" s="1"/>
  <c r="F2995" i="8"/>
  <c r="I2062" i="8"/>
  <c r="H2062" i="8"/>
  <c r="F2062" i="8"/>
  <c r="I1798" i="8"/>
  <c r="F1798" i="8"/>
  <c r="H1798" i="8"/>
  <c r="H3791" i="8"/>
  <c r="F3791" i="8"/>
  <c r="I3791" i="8"/>
  <c r="I1628" i="8"/>
  <c r="H1628" i="8"/>
  <c r="F1628" i="8"/>
  <c r="I2803" i="8"/>
  <c r="H2803" i="8"/>
  <c r="F2803" i="8"/>
  <c r="I2411" i="8"/>
  <c r="F2411" i="8"/>
  <c r="H2411" i="8"/>
  <c r="I2007" i="8"/>
  <c r="H2007" i="8"/>
  <c r="F2007" i="8"/>
  <c r="I2920" i="8"/>
  <c r="H2920" i="8"/>
  <c r="F2920" i="8"/>
  <c r="I2515" i="8"/>
  <c r="H2515" i="8"/>
  <c r="F2515" i="8"/>
  <c r="I2549" i="8"/>
  <c r="F2549" i="8"/>
  <c r="H2549" i="8"/>
  <c r="H3748" i="8"/>
  <c r="F3748" i="8"/>
  <c r="I3748" i="8"/>
  <c r="H4017" i="8"/>
  <c r="F4017" i="8"/>
  <c r="I4017" i="8"/>
  <c r="I2203" i="8"/>
  <c r="F2203" i="8"/>
  <c r="H2203" i="8"/>
  <c r="H3905" i="8"/>
  <c r="F3905" i="8"/>
  <c r="I3905" i="8"/>
  <c r="I2631" i="8"/>
  <c r="H2631" i="8"/>
  <c r="F2631" i="8"/>
  <c r="H3544" i="8"/>
  <c r="F3544" i="8"/>
  <c r="I3544" i="8"/>
  <c r="H3887" i="8"/>
  <c r="F3887" i="8"/>
  <c r="I3887" i="8"/>
  <c r="H3734" i="8"/>
  <c r="F3734" i="8"/>
  <c r="I3734" i="8"/>
  <c r="I2496" i="8"/>
  <c r="F2496" i="8"/>
  <c r="H2496" i="8"/>
  <c r="I2357" i="8"/>
  <c r="F2357" i="8"/>
  <c r="H2357" i="8"/>
  <c r="I2194" i="8"/>
  <c r="H2194" i="8"/>
  <c r="F2194" i="8"/>
  <c r="H724" i="8"/>
  <c r="F724" i="8"/>
  <c r="I724" i="8"/>
  <c r="I1436" i="8"/>
  <c r="H1436" i="8"/>
  <c r="F1436" i="8"/>
  <c r="I2182" i="8"/>
  <c r="H2182" i="8"/>
  <c r="F2182" i="8"/>
  <c r="I2427" i="8"/>
  <c r="F2427" i="8"/>
  <c r="H2427" i="8"/>
  <c r="H3621" i="8"/>
  <c r="F3621" i="8"/>
  <c r="I3621" i="8"/>
  <c r="H4204" i="8"/>
  <c r="F4204" i="8"/>
  <c r="I4204" i="8"/>
  <c r="I1855" i="8"/>
  <c r="H1855" i="8"/>
  <c r="F1855" i="8"/>
  <c r="I3170" i="8"/>
  <c r="H3170" i="8"/>
  <c r="F3170" i="8"/>
  <c r="H3630" i="8"/>
  <c r="F3630" i="8"/>
  <c r="I3630" i="8"/>
  <c r="I2072" i="8"/>
  <c r="F2072" i="8"/>
  <c r="H2072" i="8"/>
  <c r="I1201" i="8"/>
  <c r="H1201" i="8"/>
  <c r="F1201" i="8"/>
  <c r="H3504" i="8"/>
  <c r="F3504" i="8"/>
  <c r="I3504" i="8"/>
  <c r="H3571" i="8"/>
  <c r="F3571" i="8"/>
  <c r="I3571" i="8"/>
  <c r="H3724" i="8"/>
  <c r="F3724" i="8"/>
  <c r="I3724" i="8"/>
  <c r="H3897" i="8"/>
  <c r="F3897" i="8"/>
  <c r="I3897" i="8"/>
  <c r="H3409" i="8"/>
  <c r="I3409" i="8" s="1"/>
  <c r="F3409" i="8"/>
  <c r="H2881" i="8"/>
  <c r="I2881" i="8" s="1"/>
  <c r="F2881" i="8"/>
  <c r="H2740" i="8"/>
  <c r="I2740" i="8" s="1"/>
  <c r="F2740" i="8"/>
  <c r="F3408" i="8"/>
  <c r="H3408" i="8"/>
  <c r="I3408" i="8" s="1"/>
  <c r="H3353" i="8"/>
  <c r="I3353" i="8" s="1"/>
  <c r="F3353" i="8"/>
  <c r="I2154" i="8"/>
  <c r="H2154" i="8"/>
  <c r="F2154" i="8"/>
  <c r="H3807" i="8"/>
  <c r="F3807" i="8"/>
  <c r="I3807" i="8"/>
  <c r="I2004" i="8"/>
  <c r="H2004" i="8"/>
  <c r="F2004" i="8"/>
  <c r="H529" i="8"/>
  <c r="F529" i="8"/>
  <c r="I529" i="8"/>
  <c r="I2925" i="8"/>
  <c r="F2925" i="8"/>
  <c r="H2925" i="8"/>
  <c r="I2554" i="8"/>
  <c r="H2554" i="8"/>
  <c r="F2554" i="8"/>
  <c r="H831" i="8"/>
  <c r="F831" i="8"/>
  <c r="I831" i="8"/>
  <c r="I4869" i="8"/>
  <c r="H4869" i="8"/>
  <c r="F4869" i="8"/>
  <c r="H630" i="8"/>
  <c r="F630" i="8"/>
  <c r="I630" i="8"/>
  <c r="H4172" i="8"/>
  <c r="F4172" i="8"/>
  <c r="I4172" i="8"/>
  <c r="I2866" i="8"/>
  <c r="H2866" i="8"/>
  <c r="F2866" i="8"/>
  <c r="I3060" i="8"/>
  <c r="H3060" i="8"/>
  <c r="F3060" i="8"/>
  <c r="H3767" i="8"/>
  <c r="F3767" i="8"/>
  <c r="I3767" i="8"/>
  <c r="F724" i="6"/>
  <c r="F701" i="6"/>
  <c r="H4696" i="8"/>
  <c r="F4696" i="8"/>
  <c r="I4696" i="8"/>
  <c r="I1639" i="8"/>
  <c r="H1639" i="8"/>
  <c r="F1639" i="8"/>
  <c r="H3827" i="8"/>
  <c r="F3827" i="8"/>
  <c r="I3827" i="8"/>
  <c r="I2387" i="8"/>
  <c r="H2387" i="8"/>
  <c r="F2387" i="8"/>
  <c r="I2431" i="8"/>
  <c r="H2431" i="8"/>
  <c r="F2431" i="8"/>
  <c r="I1821" i="8"/>
  <c r="F1821" i="8"/>
  <c r="H1821" i="8"/>
  <c r="H3935" i="8"/>
  <c r="F3935" i="8"/>
  <c r="I3935" i="8"/>
  <c r="I2374" i="8"/>
  <c r="F2374" i="8"/>
  <c r="H2374" i="8"/>
  <c r="H1024" i="8"/>
  <c r="F1024" i="8"/>
  <c r="I1024" i="8"/>
  <c r="H4121" i="8"/>
  <c r="F4121" i="8"/>
  <c r="I4121" i="8"/>
  <c r="I1643" i="8"/>
  <c r="F1643" i="8"/>
  <c r="H1643" i="8"/>
  <c r="H3823" i="8"/>
  <c r="F3823" i="8"/>
  <c r="I3823" i="8"/>
  <c r="H684" i="8"/>
  <c r="F684" i="8"/>
  <c r="I684" i="8"/>
  <c r="I1559" i="8"/>
  <c r="H1559" i="8"/>
  <c r="F1559" i="8"/>
  <c r="I1564" i="8"/>
  <c r="H1564" i="8"/>
  <c r="F1564" i="8"/>
  <c r="I1451" i="8"/>
  <c r="H1451" i="8"/>
  <c r="F1451" i="8"/>
  <c r="I1525" i="8"/>
  <c r="F1525" i="8"/>
  <c r="H1525" i="8"/>
  <c r="H809" i="8"/>
  <c r="F809" i="8"/>
  <c r="I809" i="8"/>
  <c r="H3345" i="8"/>
  <c r="I3345" i="8" s="1"/>
  <c r="F3345" i="8"/>
  <c r="H3025" i="8"/>
  <c r="I3025" i="8" s="1"/>
  <c r="F3025" i="8"/>
  <c r="H3041" i="8"/>
  <c r="I3041" i="8" s="1"/>
  <c r="F3041" i="8"/>
  <c r="H751" i="8"/>
  <c r="I751" i="8" s="1"/>
  <c r="F751" i="8"/>
  <c r="F2081" i="8"/>
  <c r="H2081" i="8"/>
  <c r="I2081" i="8" s="1"/>
  <c r="H2930" i="8"/>
  <c r="I2930" i="8" s="1"/>
  <c r="F2930" i="8"/>
  <c r="H819" i="8"/>
  <c r="I819" i="8" s="1"/>
  <c r="F819" i="8"/>
  <c r="F2981" i="8"/>
  <c r="H2981" i="8"/>
  <c r="I2981" i="8" s="1"/>
  <c r="H2926" i="8"/>
  <c r="I2926" i="8" s="1"/>
  <c r="F2926" i="8"/>
  <c r="H4245" i="8"/>
  <c r="F4245" i="8"/>
  <c r="I4245" i="8"/>
  <c r="H3826" i="8"/>
  <c r="F3826" i="8"/>
  <c r="I3826" i="8"/>
  <c r="H4704" i="8"/>
  <c r="F4704" i="8"/>
  <c r="I4704" i="8"/>
  <c r="I2513" i="8"/>
  <c r="H2513" i="8"/>
  <c r="F2513" i="8"/>
  <c r="I2239" i="8"/>
  <c r="H2239" i="8"/>
  <c r="F2239" i="8"/>
  <c r="H3836" i="8"/>
  <c r="F3836" i="8"/>
  <c r="I3836" i="8"/>
  <c r="I68" i="8"/>
  <c r="H68" i="8"/>
  <c r="F68" i="8"/>
  <c r="I1444" i="8"/>
  <c r="H1444" i="8"/>
  <c r="F1444" i="8"/>
  <c r="H4508" i="8"/>
  <c r="F4508" i="8"/>
  <c r="I4508" i="8"/>
  <c r="I3147" i="8"/>
  <c r="F3147" i="8"/>
  <c r="H3147" i="8"/>
  <c r="H527" i="8"/>
  <c r="F527" i="8"/>
  <c r="I527" i="8"/>
  <c r="I1585" i="8"/>
  <c r="F1585" i="8"/>
  <c r="H1585" i="8"/>
  <c r="H3516" i="8"/>
  <c r="F3516" i="8"/>
  <c r="I3516" i="8"/>
  <c r="H4671" i="8"/>
  <c r="F4671" i="8"/>
  <c r="I4671" i="8"/>
  <c r="I2352" i="8"/>
  <c r="F2352" i="8"/>
  <c r="H2352" i="8"/>
  <c r="H740" i="8"/>
  <c r="F740" i="8"/>
  <c r="I740" i="8"/>
  <c r="I2089" i="8"/>
  <c r="H2089" i="8"/>
  <c r="F2089" i="8"/>
  <c r="I2151" i="8"/>
  <c r="H2151" i="8"/>
  <c r="F2151" i="8"/>
  <c r="I3244" i="8"/>
  <c r="H3244" i="8"/>
  <c r="F3244" i="8"/>
  <c r="H3589" i="8"/>
  <c r="F3589" i="8"/>
  <c r="I3589" i="8"/>
  <c r="G3786" i="5"/>
  <c r="H823" i="8"/>
  <c r="F823" i="8"/>
  <c r="I823" i="8"/>
  <c r="I2760" i="8"/>
  <c r="H2760" i="8"/>
  <c r="F2760" i="8"/>
  <c r="H3863" i="8"/>
  <c r="F3863" i="8"/>
  <c r="I3863" i="8"/>
  <c r="H675" i="8"/>
  <c r="F675" i="8"/>
  <c r="I675" i="8"/>
  <c r="I1536" i="8"/>
  <c r="F1536" i="8"/>
  <c r="H1536" i="8"/>
  <c r="H3833" i="8"/>
  <c r="F3833" i="8"/>
  <c r="I3833" i="8"/>
  <c r="I1477" i="8"/>
  <c r="F1477" i="8"/>
  <c r="H1477" i="8"/>
  <c r="I1799" i="8"/>
  <c r="H1799" i="8"/>
  <c r="F1799" i="8"/>
  <c r="I2955" i="8"/>
  <c r="F2955" i="8"/>
  <c r="H2955" i="8"/>
  <c r="I2919" i="8"/>
  <c r="H2919" i="8"/>
  <c r="F2919" i="8"/>
  <c r="I1787" i="8"/>
  <c r="F1787" i="8"/>
  <c r="H1787" i="8"/>
  <c r="I2195" i="8"/>
  <c r="H2195" i="8"/>
  <c r="F2195" i="8"/>
  <c r="H401" i="8"/>
  <c r="F401" i="8"/>
  <c r="I401" i="8"/>
  <c r="I2780" i="8"/>
  <c r="H2780" i="8"/>
  <c r="F2780" i="8"/>
  <c r="H628" i="8"/>
  <c r="F628" i="8"/>
  <c r="I628" i="8"/>
  <c r="I1432" i="8"/>
  <c r="F1432" i="8"/>
  <c r="H1432" i="8"/>
  <c r="I2529" i="8"/>
  <c r="H2529" i="8"/>
  <c r="F2529" i="8"/>
  <c r="I2651" i="8"/>
  <c r="F2651" i="8"/>
  <c r="H2651" i="8"/>
  <c r="I2672" i="8"/>
  <c r="F2672" i="8"/>
  <c r="H2672" i="8"/>
  <c r="I1778" i="8"/>
  <c r="H1778" i="8"/>
  <c r="F1778" i="8"/>
  <c r="I2285" i="8"/>
  <c r="F2285" i="8"/>
  <c r="H2285" i="8"/>
  <c r="H635" i="8"/>
  <c r="F635" i="8"/>
  <c r="I635" i="8"/>
  <c r="I1610" i="8"/>
  <c r="H1610" i="8"/>
  <c r="F1610" i="8"/>
  <c r="I1696" i="8"/>
  <c r="F1696" i="8"/>
  <c r="H1696" i="8"/>
  <c r="H3717" i="8"/>
  <c r="F3717" i="8"/>
  <c r="I3717" i="8"/>
  <c r="H3702" i="8"/>
  <c r="F3702" i="8"/>
  <c r="I3702" i="8"/>
  <c r="I2865" i="8"/>
  <c r="H2865" i="8"/>
  <c r="F2865" i="8"/>
  <c r="I2922" i="8"/>
  <c r="H2922" i="8"/>
  <c r="F2922" i="8"/>
  <c r="H4511" i="8"/>
  <c r="F4511" i="8"/>
  <c r="I4511" i="8"/>
  <c r="H493" i="8"/>
  <c r="F493" i="8"/>
  <c r="I493" i="8"/>
  <c r="I2056" i="8"/>
  <c r="F2056" i="8"/>
  <c r="H2056" i="8"/>
  <c r="H625" i="8"/>
  <c r="F625" i="8"/>
  <c r="I625" i="8"/>
  <c r="H3642" i="8"/>
  <c r="F3642" i="8"/>
  <c r="I3642" i="8"/>
  <c r="H687" i="8"/>
  <c r="F687" i="8"/>
  <c r="I687" i="8"/>
  <c r="I2863" i="8"/>
  <c r="H2863" i="8"/>
  <c r="F2863" i="8"/>
  <c r="H763" i="8"/>
  <c r="F763" i="8"/>
  <c r="I763" i="8"/>
  <c r="H3633" i="8"/>
  <c r="F3633" i="8"/>
  <c r="I3633" i="8"/>
  <c r="I2026" i="8"/>
  <c r="H2026" i="8"/>
  <c r="F2026" i="8"/>
  <c r="H546" i="8"/>
  <c r="F546" i="8"/>
  <c r="I546" i="8"/>
  <c r="I3078" i="8"/>
  <c r="H3078" i="8"/>
  <c r="F3078" i="8"/>
  <c r="H4734" i="8"/>
  <c r="F4734" i="8"/>
  <c r="I4734" i="8"/>
  <c r="I2784" i="8"/>
  <c r="F2784" i="8"/>
  <c r="H2784" i="8"/>
  <c r="I2420" i="8"/>
  <c r="H2420" i="8"/>
  <c r="F2420" i="8"/>
  <c r="H3605" i="8"/>
  <c r="F3605" i="8"/>
  <c r="I3605" i="8"/>
  <c r="I1658" i="8"/>
  <c r="H1658" i="8"/>
  <c r="F1658" i="8"/>
  <c r="H1012" i="8"/>
  <c r="F1012" i="8"/>
  <c r="I1012" i="8"/>
  <c r="H3613" i="8"/>
  <c r="F3613" i="8"/>
  <c r="I3613" i="8"/>
  <c r="I1931" i="8"/>
  <c r="F1931" i="8"/>
  <c r="H1931" i="8"/>
  <c r="I1792" i="8"/>
  <c r="F1792" i="8"/>
  <c r="H1792" i="8"/>
  <c r="I57" i="8"/>
  <c r="H57" i="8"/>
  <c r="F57" i="8"/>
  <c r="I2009" i="8"/>
  <c r="H2009" i="8"/>
  <c r="F2009" i="8"/>
  <c r="H3730" i="8"/>
  <c r="F3730" i="8"/>
  <c r="I3730" i="8"/>
  <c r="I2519" i="8"/>
  <c r="H2519" i="8"/>
  <c r="F2519" i="8"/>
  <c r="H3619" i="8"/>
  <c r="F3619" i="8"/>
  <c r="I3619" i="8"/>
  <c r="I1462" i="8"/>
  <c r="F1462" i="8"/>
  <c r="H1462" i="8"/>
  <c r="H3628" i="8"/>
  <c r="F3628" i="8"/>
  <c r="I3628" i="8"/>
  <c r="H4263" i="8"/>
  <c r="F4263" i="8"/>
  <c r="I4263" i="8"/>
  <c r="I1681" i="8"/>
  <c r="F1681" i="8"/>
  <c r="H1681" i="8"/>
  <c r="H3699" i="8"/>
  <c r="F3699" i="8"/>
  <c r="I3699" i="8"/>
  <c r="I2976" i="8"/>
  <c r="F2976" i="8"/>
  <c r="H2976" i="8"/>
  <c r="I2268" i="8"/>
  <c r="H2268" i="8"/>
  <c r="F2268" i="8"/>
  <c r="I1470" i="8"/>
  <c r="H1470" i="8"/>
  <c r="F1470" i="8"/>
  <c r="I2133" i="8"/>
  <c r="F2133" i="8"/>
  <c r="H2133" i="8"/>
  <c r="I2628" i="8"/>
  <c r="H2628" i="8"/>
  <c r="F2628" i="8"/>
  <c r="I2864" i="8"/>
  <c r="F2864" i="8"/>
  <c r="H2864" i="8"/>
  <c r="I1127" i="8"/>
  <c r="F1127" i="8"/>
  <c r="H1127" i="8"/>
  <c r="I2588" i="8"/>
  <c r="H2588" i="8"/>
  <c r="F2588" i="8"/>
  <c r="I1310" i="8"/>
  <c r="H1310" i="8"/>
  <c r="F1310" i="8"/>
  <c r="H469" i="8"/>
  <c r="F469" i="8"/>
  <c r="I469" i="8"/>
  <c r="F317" i="6"/>
  <c r="H4246" i="8"/>
  <c r="F4246" i="8"/>
  <c r="I4246" i="8"/>
  <c r="I1809" i="8"/>
  <c r="F1809" i="8"/>
  <c r="H1809" i="8"/>
  <c r="I1661" i="8"/>
  <c r="F1661" i="8"/>
  <c r="H1661" i="8"/>
  <c r="I1988" i="8"/>
  <c r="H1988" i="8"/>
  <c r="F1988" i="8"/>
  <c r="H4126" i="8"/>
  <c r="F4126" i="8"/>
  <c r="I4126" i="8"/>
  <c r="I2141" i="8"/>
  <c r="F2141" i="8"/>
  <c r="H2141" i="8"/>
  <c r="H4248" i="8"/>
  <c r="F4248" i="8"/>
  <c r="I4248" i="8"/>
  <c r="H453" i="8"/>
  <c r="F453" i="8"/>
  <c r="I453" i="8"/>
  <c r="I2214" i="8"/>
  <c r="H2214" i="8"/>
  <c r="F2214" i="8"/>
  <c r="H4812" i="8"/>
  <c r="F4812" i="8"/>
  <c r="I4812" i="8"/>
  <c r="I2362" i="8"/>
  <c r="H2362" i="8"/>
  <c r="F2362" i="8"/>
  <c r="I2837" i="8"/>
  <c r="F2837" i="8"/>
  <c r="H2837" i="8"/>
  <c r="G5386" i="5"/>
  <c r="I3081" i="8"/>
  <c r="H3081" i="8"/>
  <c r="F3081" i="8"/>
  <c r="H3352" i="8"/>
  <c r="I3352" i="8" s="1"/>
  <c r="F3352" i="8"/>
  <c r="I3486" i="8"/>
  <c r="H3486" i="8"/>
  <c r="F3486" i="8"/>
  <c r="I1748" i="8"/>
  <c r="H1748" i="8"/>
  <c r="F1748" i="8"/>
  <c r="I3223" i="8"/>
  <c r="H3223" i="8"/>
  <c r="F3223" i="8"/>
  <c r="H1062" i="8"/>
  <c r="F1062" i="8"/>
  <c r="I1062" i="8"/>
  <c r="I3134" i="8"/>
  <c r="H3134" i="8"/>
  <c r="F3134" i="8"/>
  <c r="H404" i="8"/>
  <c r="I404" i="8"/>
  <c r="F404" i="8"/>
  <c r="H3837" i="8"/>
  <c r="F3837" i="8"/>
  <c r="I3837" i="8"/>
  <c r="I2958" i="8"/>
  <c r="H2958" i="8"/>
  <c r="F2958" i="8"/>
  <c r="H700" i="8"/>
  <c r="F700" i="8"/>
  <c r="I700" i="8"/>
  <c r="H841" i="8"/>
  <c r="F841" i="8"/>
  <c r="I841" i="8"/>
  <c r="I1387" i="8"/>
  <c r="H1387" i="8"/>
  <c r="F1387" i="8"/>
  <c r="H4092" i="8"/>
  <c r="F4092" i="8"/>
  <c r="I4092" i="8"/>
  <c r="I2249" i="8"/>
  <c r="F2249" i="8"/>
  <c r="H2249" i="8"/>
  <c r="I2008" i="8"/>
  <c r="H2008" i="8"/>
  <c r="F2008" i="8"/>
  <c r="I2805" i="8"/>
  <c r="F2805" i="8"/>
  <c r="H2805" i="8"/>
  <c r="H4442" i="8"/>
  <c r="F4442" i="8"/>
  <c r="I4442" i="8"/>
  <c r="H4010" i="8"/>
  <c r="F4010" i="8"/>
  <c r="I4010" i="8"/>
  <c r="H3832" i="8"/>
  <c r="F3832" i="8"/>
  <c r="I3832" i="8"/>
  <c r="I1617" i="8"/>
  <c r="F1617" i="8"/>
  <c r="H1617" i="8"/>
  <c r="I2236" i="8"/>
  <c r="H2236" i="8"/>
  <c r="F2236" i="8"/>
  <c r="I2166" i="8"/>
  <c r="F2166" i="8"/>
  <c r="H2166" i="8"/>
  <c r="I1215" i="8"/>
  <c r="F1215" i="8"/>
  <c r="H1215" i="8"/>
  <c r="I3010" i="8"/>
  <c r="H3010" i="8"/>
  <c r="F3010" i="8"/>
  <c r="I1782" i="8"/>
  <c r="F1782" i="8"/>
  <c r="H1782" i="8"/>
  <c r="I2949" i="8"/>
  <c r="F2949" i="8"/>
  <c r="H2949" i="8"/>
  <c r="I3146" i="8"/>
  <c r="H3146" i="8"/>
  <c r="F3146" i="8"/>
  <c r="G3961" i="5"/>
  <c r="I3179" i="8"/>
  <c r="F3179" i="8"/>
  <c r="H3179" i="8"/>
  <c r="I1651" i="8"/>
  <c r="H1651" i="8"/>
  <c r="F1651" i="8"/>
  <c r="H3772" i="8"/>
  <c r="F3772" i="8"/>
  <c r="I3772" i="8"/>
  <c r="I1669" i="8"/>
  <c r="F1669" i="8"/>
  <c r="H1669" i="8"/>
  <c r="H3917" i="8"/>
  <c r="F3917" i="8"/>
  <c r="I3917" i="8"/>
  <c r="H4389" i="8"/>
  <c r="F4389" i="8"/>
  <c r="I4389" i="8"/>
  <c r="I2375" i="8"/>
  <c r="H2375" i="8"/>
  <c r="F2375" i="8"/>
  <c r="H4167" i="8"/>
  <c r="F4167" i="8"/>
  <c r="I4167" i="8"/>
  <c r="H787" i="8"/>
  <c r="F787" i="8"/>
  <c r="I787" i="8"/>
  <c r="H3575" i="8"/>
  <c r="F3575" i="8"/>
  <c r="I3575" i="8"/>
  <c r="I2921" i="8"/>
  <c r="H2921" i="8"/>
  <c r="F2921" i="8"/>
  <c r="I3058" i="8"/>
  <c r="H3058" i="8"/>
  <c r="F3058" i="8"/>
  <c r="I2251" i="8"/>
  <c r="F2251" i="8"/>
  <c r="H2251" i="8"/>
  <c r="H3651" i="8"/>
  <c r="F3651" i="8"/>
  <c r="I3651" i="8"/>
  <c r="H4160" i="8"/>
  <c r="F4160" i="8"/>
  <c r="I4160" i="8"/>
  <c r="H4023" i="8"/>
  <c r="F4023" i="8"/>
  <c r="I4023" i="8"/>
  <c r="H3908" i="8"/>
  <c r="F3908" i="8"/>
  <c r="I3908" i="8"/>
  <c r="I1397" i="8"/>
  <c r="H1397" i="8"/>
  <c r="F1397" i="8"/>
  <c r="H4697" i="8"/>
  <c r="F4697" i="8"/>
  <c r="I4697" i="8"/>
  <c r="I3452" i="8"/>
  <c r="H3452" i="8"/>
  <c r="F3452" i="8"/>
  <c r="I3168" i="8"/>
  <c r="F3168" i="8"/>
  <c r="H3168" i="8"/>
  <c r="H800" i="8"/>
  <c r="F800" i="8"/>
  <c r="I800" i="8"/>
  <c r="I2213" i="8"/>
  <c r="F2213" i="8"/>
  <c r="H2213" i="8"/>
  <c r="I1788" i="8"/>
  <c r="H1788" i="8"/>
  <c r="F1788" i="8"/>
  <c r="I1644" i="8"/>
  <c r="H1644" i="8"/>
  <c r="F1644" i="8"/>
  <c r="H3631" i="8"/>
  <c r="F3631" i="8"/>
  <c r="I3631" i="8"/>
  <c r="I1621" i="8"/>
  <c r="F1621" i="8"/>
  <c r="H1621" i="8"/>
  <c r="I2050" i="8"/>
  <c r="H2050" i="8"/>
  <c r="F2050" i="8"/>
  <c r="I2704" i="8"/>
  <c r="F2704" i="8"/>
  <c r="H2704" i="8"/>
  <c r="H1008" i="8"/>
  <c r="F1008" i="8"/>
  <c r="I1008" i="8"/>
  <c r="I1562" i="8"/>
  <c r="H1562" i="8"/>
  <c r="F1562" i="8"/>
  <c r="F713" i="6"/>
  <c r="H677" i="8"/>
  <c r="F677" i="8"/>
  <c r="I677" i="8"/>
  <c r="I2734" i="8"/>
  <c r="H2734" i="8"/>
  <c r="F2734" i="8"/>
  <c r="I1645" i="8"/>
  <c r="F1645" i="8"/>
  <c r="H1645" i="8"/>
  <c r="H3790" i="8"/>
  <c r="F3790" i="8"/>
  <c r="I3790" i="8"/>
  <c r="I1456" i="8"/>
  <c r="F1456" i="8"/>
  <c r="H1456" i="8"/>
  <c r="I2035" i="8"/>
  <c r="H2035" i="8"/>
  <c r="F2035" i="8"/>
  <c r="I2078" i="8"/>
  <c r="H2078" i="8"/>
  <c r="F2078" i="8"/>
  <c r="H3864" i="8"/>
  <c r="F3864" i="8"/>
  <c r="I3864" i="8"/>
  <c r="I2145" i="8"/>
  <c r="F2145" i="8"/>
  <c r="H2145" i="8"/>
  <c r="I2000" i="8"/>
  <c r="F2000" i="8"/>
  <c r="H2000" i="8"/>
  <c r="I1584" i="8"/>
  <c r="F1584" i="8"/>
  <c r="H1584" i="8"/>
  <c r="I2325" i="8"/>
  <c r="F2325" i="8"/>
  <c r="H2325" i="8"/>
  <c r="H3505" i="8"/>
  <c r="F3505" i="8"/>
  <c r="I3505" i="8"/>
  <c r="I2197" i="8"/>
  <c r="F2197" i="8"/>
  <c r="H2197" i="8"/>
  <c r="H3162" i="5"/>
  <c r="E903" i="8" s="1"/>
  <c r="I2798" i="8"/>
  <c r="H2798" i="8"/>
  <c r="F2798" i="8"/>
  <c r="H4177" i="8"/>
  <c r="F4177" i="8"/>
  <c r="I4177" i="8"/>
  <c r="I2941" i="8"/>
  <c r="F2941" i="8"/>
  <c r="H2941" i="8"/>
  <c r="I2012" i="8"/>
  <c r="H2012" i="8"/>
  <c r="F2012" i="8"/>
  <c r="I2558" i="8"/>
  <c r="F2558" i="8"/>
  <c r="H2558" i="8"/>
  <c r="H3703" i="8"/>
  <c r="F3703" i="8"/>
  <c r="I3703" i="8"/>
  <c r="H669" i="8"/>
  <c r="F669" i="8"/>
  <c r="I669" i="8"/>
  <c r="I1590" i="8"/>
  <c r="F1590" i="8"/>
  <c r="H1590" i="8"/>
  <c r="I1614" i="8"/>
  <c r="H1614" i="8"/>
  <c r="F1614" i="8"/>
  <c r="H4271" i="8"/>
  <c r="F4271" i="8"/>
  <c r="I4271" i="8"/>
  <c r="I2638" i="8"/>
  <c r="H2638" i="8"/>
  <c r="F2638" i="8"/>
  <c r="I1600" i="8"/>
  <c r="F1600" i="8"/>
  <c r="H1600" i="8"/>
  <c r="I2521" i="8"/>
  <c r="F2521" i="8"/>
  <c r="H2521" i="8"/>
  <c r="I76" i="8"/>
  <c r="H76" i="8"/>
  <c r="F76" i="8"/>
  <c r="H1092" i="8"/>
  <c r="F1092" i="8"/>
  <c r="I1092" i="8"/>
  <c r="I2016" i="8"/>
  <c r="F2016" i="8"/>
  <c r="H2016" i="8"/>
  <c r="I4865" i="8"/>
  <c r="H4865" i="8"/>
  <c r="F4865" i="8"/>
  <c r="I2444" i="8"/>
  <c r="H2444" i="8"/>
  <c r="F2444" i="8"/>
  <c r="I1524" i="8"/>
  <c r="H1524" i="8"/>
  <c r="F1524" i="8"/>
  <c r="H813" i="8"/>
  <c r="F813" i="8"/>
  <c r="I813" i="8"/>
  <c r="H4810" i="8"/>
  <c r="F4810" i="8"/>
  <c r="I4810" i="8"/>
  <c r="I1312" i="8"/>
  <c r="F1312" i="8"/>
  <c r="H1312" i="8"/>
  <c r="H4534" i="8"/>
  <c r="F4534" i="8"/>
  <c r="I4534" i="8"/>
  <c r="H3757" i="8"/>
  <c r="F3757" i="8"/>
  <c r="I3757" i="8"/>
  <c r="I2231" i="8"/>
  <c r="H2231" i="8"/>
  <c r="F2231" i="8"/>
  <c r="H641" i="8"/>
  <c r="F641" i="8"/>
  <c r="I641" i="8"/>
  <c r="I2501" i="8"/>
  <c r="F2501" i="8"/>
  <c r="H2501" i="8"/>
  <c r="H492" i="8"/>
  <c r="F492" i="8"/>
  <c r="I492" i="8"/>
  <c r="I2202" i="8"/>
  <c r="H2202" i="8"/>
  <c r="F2202" i="8"/>
  <c r="I2682" i="8"/>
  <c r="H2682" i="8"/>
  <c r="F2682" i="8"/>
  <c r="H459" i="8"/>
  <c r="F459" i="8"/>
  <c r="I459" i="8"/>
  <c r="I2445" i="8"/>
  <c r="F2445" i="8"/>
  <c r="H2445" i="8"/>
  <c r="I1234" i="8"/>
  <c r="H1234" i="8"/>
  <c r="F1234" i="8"/>
  <c r="G5324" i="5"/>
  <c r="H3670" i="8"/>
  <c r="F3670" i="8"/>
  <c r="I3670" i="8"/>
  <c r="I2767" i="8"/>
  <c r="H2767" i="8"/>
  <c r="F2767" i="8"/>
  <c r="I1232" i="8"/>
  <c r="F1232" i="8"/>
  <c r="H1232" i="8"/>
  <c r="H3968" i="8"/>
  <c r="F3968" i="8"/>
  <c r="I3968" i="8"/>
  <c r="H650" i="8"/>
  <c r="F650" i="8"/>
  <c r="I650" i="8"/>
  <c r="I2659" i="8"/>
  <c r="H2659" i="8"/>
  <c r="F2659" i="8"/>
  <c r="I2799" i="8"/>
  <c r="H2799" i="8"/>
  <c r="F2799" i="8"/>
  <c r="H4033" i="8"/>
  <c r="F4033" i="8"/>
  <c r="I4033" i="8"/>
  <c r="H599" i="8"/>
  <c r="F599" i="8"/>
  <c r="I599" i="8"/>
  <c r="H990" i="8"/>
  <c r="F990" i="8"/>
  <c r="I990" i="8"/>
  <c r="H4157" i="8"/>
  <c r="F4157" i="8"/>
  <c r="I4157" i="8"/>
  <c r="I1970" i="8"/>
  <c r="H1970" i="8"/>
  <c r="F1970" i="8"/>
  <c r="H3766" i="8"/>
  <c r="F3766" i="8"/>
  <c r="I3766" i="8"/>
  <c r="I2177" i="8"/>
  <c r="H2177" i="8"/>
  <c r="F2177" i="8"/>
  <c r="I1737" i="8"/>
  <c r="H1737" i="8"/>
  <c r="F1737" i="8"/>
  <c r="H1047" i="8"/>
  <c r="F1047" i="8"/>
  <c r="I1047" i="8"/>
  <c r="H6437" i="5"/>
  <c r="E2611" i="8" s="1"/>
  <c r="F2907" i="8"/>
  <c r="H2907" i="8"/>
  <c r="I2907" i="8" s="1"/>
  <c r="I2064" i="8"/>
  <c r="F2064" i="8"/>
  <c r="H2064" i="8"/>
  <c r="I1694" i="8"/>
  <c r="H1694" i="8"/>
  <c r="F1694" i="8"/>
  <c r="H3854" i="8"/>
  <c r="F3854" i="8"/>
  <c r="I3854" i="8"/>
  <c r="I2267" i="8"/>
  <c r="F2267" i="8"/>
  <c r="H2267" i="8"/>
  <c r="I1860" i="8"/>
  <c r="H1860" i="8"/>
  <c r="F1860" i="8"/>
  <c r="I3224" i="8"/>
  <c r="H3224" i="8"/>
  <c r="F3224" i="8"/>
  <c r="I2132" i="8"/>
  <c r="H2132" i="8"/>
  <c r="F2132" i="8"/>
  <c r="G4828" i="5"/>
  <c r="I2739" i="8"/>
  <c r="H2739" i="8"/>
  <c r="F2739" i="8"/>
  <c r="I2276" i="8"/>
  <c r="H2276" i="8"/>
  <c r="F2276" i="8"/>
  <c r="I2125" i="8"/>
  <c r="F2125" i="8"/>
  <c r="H2125" i="8"/>
  <c r="H4174" i="8"/>
  <c r="F4174" i="8"/>
  <c r="I4174" i="8"/>
  <c r="I2534" i="8"/>
  <c r="H2534" i="8"/>
  <c r="F2534" i="8"/>
  <c r="H1026" i="8"/>
  <c r="F1026" i="8"/>
  <c r="I1026" i="8"/>
  <c r="I2116" i="8"/>
  <c r="H2116" i="8"/>
  <c r="F2116" i="8"/>
  <c r="I1986" i="8"/>
  <c r="H1986" i="8"/>
  <c r="F1986" i="8"/>
  <c r="H548" i="8"/>
  <c r="F548" i="8"/>
  <c r="I548" i="8"/>
  <c r="H3846" i="8"/>
  <c r="F3846" i="8"/>
  <c r="I3846" i="8"/>
  <c r="F230" i="6"/>
  <c r="I1454" i="8"/>
  <c r="H1454" i="8"/>
  <c r="F1454" i="8"/>
  <c r="I1191" i="8"/>
  <c r="F1191" i="8"/>
  <c r="H1191" i="8"/>
  <c r="H4119" i="8"/>
  <c r="F4119" i="8"/>
  <c r="I4119" i="8"/>
  <c r="I1962" i="8"/>
  <c r="H1962" i="8"/>
  <c r="F1962" i="8"/>
  <c r="I2668" i="8"/>
  <c r="H2668" i="8"/>
  <c r="F2668" i="8"/>
  <c r="H483" i="8"/>
  <c r="F483" i="8"/>
  <c r="I483" i="8"/>
  <c r="I2048" i="8"/>
  <c r="F2048" i="8"/>
  <c r="H2048" i="8"/>
  <c r="I2147" i="8"/>
  <c r="H2147" i="8"/>
  <c r="F2147" i="8"/>
  <c r="H4191" i="8"/>
  <c r="F4191" i="8"/>
  <c r="I4191" i="8"/>
  <c r="H984" i="8"/>
  <c r="F984" i="8"/>
  <c r="I984" i="8"/>
  <c r="I2031" i="8"/>
  <c r="H2031" i="8"/>
  <c r="F2031" i="8"/>
  <c r="I3128" i="8"/>
  <c r="H3128" i="8"/>
  <c r="F3128" i="8"/>
  <c r="I2971" i="8"/>
  <c r="F2971" i="8"/>
  <c r="H2971" i="8"/>
  <c r="H815" i="8"/>
  <c r="F815" i="8"/>
  <c r="I815" i="8"/>
  <c r="H4156" i="8"/>
  <c r="F4156" i="8"/>
  <c r="I4156" i="8"/>
  <c r="I1522" i="8"/>
  <c r="H1522" i="8"/>
  <c r="F1522" i="8"/>
  <c r="I1700" i="8"/>
  <c r="H1700" i="8"/>
  <c r="F1700" i="8"/>
  <c r="I2999" i="8"/>
  <c r="H2999" i="8"/>
  <c r="F2999" i="8"/>
  <c r="H458" i="8"/>
  <c r="F458" i="8"/>
  <c r="I458" i="8"/>
  <c r="H3527" i="8"/>
  <c r="F3527" i="8"/>
  <c r="I3527" i="8"/>
  <c r="H4711" i="8"/>
  <c r="F4711" i="8"/>
  <c r="I4711" i="8"/>
  <c r="I2653" i="8"/>
  <c r="F2653" i="8"/>
  <c r="H2653" i="8"/>
  <c r="I2172" i="8"/>
  <c r="H2172" i="8"/>
  <c r="F2172" i="8"/>
  <c r="H644" i="8"/>
  <c r="F644" i="8"/>
  <c r="I644" i="8"/>
  <c r="I2199" i="8"/>
  <c r="H2199" i="8"/>
  <c r="F2199" i="8"/>
  <c r="I2705" i="8"/>
  <c r="H2705" i="8"/>
  <c r="F2705" i="8"/>
  <c r="I2727" i="8"/>
  <c r="H2727" i="8"/>
  <c r="F2727" i="8"/>
  <c r="I2079" i="8"/>
  <c r="H2079" i="8"/>
  <c r="F2079" i="8"/>
  <c r="H3759" i="8"/>
  <c r="F3759" i="8"/>
  <c r="I3759" i="8"/>
  <c r="H3623" i="8"/>
  <c r="F3623" i="8"/>
  <c r="I3623" i="8"/>
  <c r="H3769" i="8"/>
  <c r="F3769" i="8"/>
  <c r="I3769" i="8"/>
  <c r="I2338" i="8"/>
  <c r="H2338" i="8"/>
  <c r="F2338" i="8"/>
  <c r="H645" i="8"/>
  <c r="F645" i="8"/>
  <c r="I645" i="8"/>
  <c r="H3212" i="8"/>
  <c r="I3212" i="8" s="1"/>
  <c r="F3212" i="8"/>
  <c r="H3402" i="8"/>
  <c r="I3402" i="8" s="1"/>
  <c r="F3402" i="8"/>
  <c r="H775" i="8"/>
  <c r="I775" i="8" s="1"/>
  <c r="F775" i="8"/>
  <c r="I1753" i="8"/>
  <c r="H1753" i="8"/>
  <c r="F1753" i="8"/>
  <c r="I1718" i="8"/>
  <c r="F1718" i="8"/>
  <c r="H1718" i="8"/>
  <c r="H4612" i="8"/>
  <c r="F4612" i="8"/>
  <c r="I4612" i="8"/>
  <c r="H4094" i="8"/>
  <c r="F4094" i="8"/>
  <c r="I4094" i="8"/>
  <c r="H435" i="8"/>
  <c r="I435" i="8"/>
  <c r="F435" i="8"/>
  <c r="I2644" i="8"/>
  <c r="H2644" i="8"/>
  <c r="F2644" i="8"/>
  <c r="H3883" i="8"/>
  <c r="F3883" i="8"/>
  <c r="I3883" i="8"/>
  <c r="H3520" i="8"/>
  <c r="F3520" i="8"/>
  <c r="I3520" i="8"/>
  <c r="H3840" i="8"/>
  <c r="F3840" i="8"/>
  <c r="I3840" i="8"/>
  <c r="I2559" i="8"/>
  <c r="H2559" i="8"/>
  <c r="F2559" i="8"/>
  <c r="I1586" i="8"/>
  <c r="H1586" i="8"/>
  <c r="F1586" i="8"/>
  <c r="H661" i="8"/>
  <c r="F661" i="8"/>
  <c r="I661" i="8"/>
  <c r="H3765" i="8"/>
  <c r="F3765" i="8"/>
  <c r="I3765" i="8"/>
  <c r="I2399" i="8"/>
  <c r="H2399" i="8"/>
  <c r="F2399" i="8"/>
  <c r="H4783" i="8"/>
  <c r="F4783" i="8"/>
  <c r="I4783" i="8"/>
  <c r="H729" i="8"/>
  <c r="F729" i="8"/>
  <c r="I729" i="8"/>
  <c r="I2188" i="8"/>
  <c r="H2188" i="8"/>
  <c r="F2188" i="8"/>
  <c r="I3440" i="8"/>
  <c r="F3440" i="8"/>
  <c r="H3440" i="8"/>
  <c r="I2761" i="8"/>
  <c r="H2761" i="8"/>
  <c r="F2761" i="8"/>
  <c r="I2157" i="8"/>
  <c r="F2157" i="8"/>
  <c r="H2157" i="8"/>
  <c r="I2426" i="8"/>
  <c r="H2426" i="8"/>
  <c r="F2426" i="8"/>
  <c r="F255" i="6"/>
  <c r="F428" i="6"/>
  <c r="I1830" i="8"/>
  <c r="F1830" i="8"/>
  <c r="H1830" i="8"/>
  <c r="H1050" i="8"/>
  <c r="F1050" i="8"/>
  <c r="I1050" i="8"/>
  <c r="I2738" i="8"/>
  <c r="H2738" i="8"/>
  <c r="F2738" i="8"/>
  <c r="H4061" i="8"/>
  <c r="F4061" i="8"/>
  <c r="I4061" i="8"/>
  <c r="H3770" i="8"/>
  <c r="F3770" i="8"/>
  <c r="I3770" i="8"/>
  <c r="H4144" i="8"/>
  <c r="F4144" i="8"/>
  <c r="I4144" i="8"/>
  <c r="I1243" i="8"/>
  <c r="H1243" i="8"/>
  <c r="F1243" i="8"/>
  <c r="H620" i="8"/>
  <c r="F620" i="8"/>
  <c r="I620" i="8"/>
  <c r="H4214" i="8"/>
  <c r="F4214" i="8"/>
  <c r="I4214" i="8"/>
  <c r="H4114" i="8"/>
  <c r="F4114" i="8"/>
  <c r="I4114" i="8"/>
  <c r="I3195" i="8"/>
  <c r="F3195" i="8"/>
  <c r="H3195" i="8"/>
  <c r="I2988" i="8"/>
  <c r="H2988" i="8"/>
  <c r="F2988" i="8"/>
  <c r="I3141" i="8"/>
  <c r="F3141" i="8"/>
  <c r="H3141" i="8"/>
  <c r="H436" i="5"/>
  <c r="E95" i="8" s="1"/>
  <c r="I1446" i="8"/>
  <c r="H1446" i="8"/>
  <c r="F1446" i="8"/>
  <c r="H4746" i="8"/>
  <c r="F4746" i="8"/>
  <c r="I4746" i="8"/>
  <c r="H659" i="8"/>
  <c r="F659" i="8"/>
  <c r="I659" i="8"/>
  <c r="H3610" i="8"/>
  <c r="F3610" i="8"/>
  <c r="I3610" i="8"/>
  <c r="H457" i="8"/>
  <c r="F457" i="8"/>
  <c r="I457" i="8"/>
  <c r="H9644" i="5"/>
  <c r="E4252" i="8" s="1"/>
  <c r="I2386" i="8"/>
  <c r="H2386" i="8"/>
  <c r="F2386" i="8"/>
  <c r="I2635" i="8"/>
  <c r="F2635" i="8"/>
  <c r="H2635" i="8"/>
  <c r="F394" i="6"/>
  <c r="I2369" i="8"/>
  <c r="F2369" i="8"/>
  <c r="H2369" i="8"/>
  <c r="G306" i="5"/>
  <c r="I2552" i="8"/>
  <c r="H2552" i="8"/>
  <c r="F2552" i="8"/>
  <c r="H417" i="8"/>
  <c r="F417" i="8"/>
  <c r="I417" i="8"/>
  <c r="F461" i="6"/>
  <c r="I2674" i="8"/>
  <c r="H2674" i="8"/>
  <c r="F2674" i="8"/>
  <c r="I2810" i="8"/>
  <c r="H2810" i="8"/>
  <c r="F2810" i="8"/>
  <c r="G6373" i="5"/>
  <c r="I3199" i="8"/>
  <c r="H3199" i="8"/>
  <c r="F3199" i="8"/>
  <c r="H691" i="8"/>
  <c r="F691" i="8"/>
  <c r="I691" i="8"/>
  <c r="I2331" i="8"/>
  <c r="F2331" i="8"/>
  <c r="H2331" i="8"/>
  <c r="H4086" i="8"/>
  <c r="F4086" i="8"/>
  <c r="I4086" i="8"/>
  <c r="F3013" i="8"/>
  <c r="H3013" i="8"/>
  <c r="I3013" i="8" s="1"/>
  <c r="H3428" i="8"/>
  <c r="I3428" i="8" s="1"/>
  <c r="F3428" i="8"/>
  <c r="H4624" i="8"/>
  <c r="I4624" i="8" s="1"/>
  <c r="F4624" i="8"/>
  <c r="H3219" i="8"/>
  <c r="I3219" i="8" s="1"/>
  <c r="F3219" i="8"/>
  <c r="H3464" i="8"/>
  <c r="I3464" i="8" s="1"/>
  <c r="F3464" i="8"/>
  <c r="I1461" i="8"/>
  <c r="F1461" i="8"/>
  <c r="H1461" i="8"/>
  <c r="I1822" i="8"/>
  <c r="H1822" i="8"/>
  <c r="F1822" i="8"/>
  <c r="H3683" i="8"/>
  <c r="F3683" i="8"/>
  <c r="I3683" i="8"/>
  <c r="I1722" i="8"/>
  <c r="H1722" i="8"/>
  <c r="F1722" i="8"/>
  <c r="I2318" i="8"/>
  <c r="F2318" i="8"/>
  <c r="H2318" i="8"/>
  <c r="I3210" i="8"/>
  <c r="H3210" i="8"/>
  <c r="F3210" i="8"/>
  <c r="I2240" i="8"/>
  <c r="F2240" i="8"/>
  <c r="H2240" i="8"/>
  <c r="H3886" i="8"/>
  <c r="F3886" i="8"/>
  <c r="I3886" i="8"/>
  <c r="H639" i="8"/>
  <c r="F639" i="8"/>
  <c r="I639" i="8"/>
  <c r="F217" i="6"/>
  <c r="H708" i="8"/>
  <c r="F708" i="8"/>
  <c r="I708" i="8"/>
  <c r="H415" i="8"/>
  <c r="I415" i="8"/>
  <c r="F415" i="8"/>
  <c r="I1472" i="8"/>
  <c r="F1472" i="8"/>
  <c r="H1472" i="8"/>
  <c r="I1730" i="8"/>
  <c r="H1730" i="8"/>
  <c r="F1730" i="8"/>
  <c r="H396" i="8"/>
  <c r="I396" i="8"/>
  <c r="F396" i="8"/>
  <c r="I2309" i="8"/>
  <c r="F2309" i="8"/>
  <c r="H2309" i="8"/>
  <c r="I3005" i="8"/>
  <c r="F3005" i="8"/>
  <c r="H3005" i="8"/>
  <c r="I3197" i="8"/>
  <c r="F3197" i="8"/>
  <c r="H3197" i="8"/>
  <c r="H3820" i="8"/>
  <c r="F3820" i="8"/>
  <c r="I3820" i="8"/>
  <c r="I1663" i="8"/>
  <c r="H1663" i="8"/>
  <c r="F1663" i="8"/>
  <c r="H484" i="8"/>
  <c r="F484" i="8"/>
  <c r="I484" i="8"/>
  <c r="I2300" i="8"/>
  <c r="H2300" i="8"/>
  <c r="F2300" i="8"/>
  <c r="H526" i="8"/>
  <c r="F526" i="8"/>
  <c r="I526" i="8"/>
  <c r="I3015" i="8"/>
  <c r="H3015" i="8"/>
  <c r="F3015" i="8"/>
  <c r="I2790" i="8"/>
  <c r="H2790" i="8"/>
  <c r="F2790" i="8"/>
  <c r="F328" i="6"/>
  <c r="H4038" i="8"/>
  <c r="F4038" i="8"/>
  <c r="I4038" i="8"/>
  <c r="I1875" i="8"/>
  <c r="H1875" i="8"/>
  <c r="F1875" i="8"/>
  <c r="I2997" i="8"/>
  <c r="F2997" i="8"/>
  <c r="H2997" i="8"/>
  <c r="I1188" i="8"/>
  <c r="H1188" i="8"/>
  <c r="F1188" i="8"/>
  <c r="I3127" i="8"/>
  <c r="H3127" i="8"/>
  <c r="F3127" i="8"/>
  <c r="H4387" i="8"/>
  <c r="F4387" i="8"/>
  <c r="I4387" i="8"/>
  <c r="I2547" i="8"/>
  <c r="H2547" i="8"/>
  <c r="F2547" i="8"/>
  <c r="H4112" i="8"/>
  <c r="F4112" i="8"/>
  <c r="I4112" i="8"/>
  <c r="I2490" i="8"/>
  <c r="H2490" i="8"/>
  <c r="F2490" i="8"/>
  <c r="I3062" i="8"/>
  <c r="H3062" i="8"/>
  <c r="F3062" i="8"/>
  <c r="G3419" i="5"/>
  <c r="H1004" i="8"/>
  <c r="F1004" i="8"/>
  <c r="I1004" i="8"/>
  <c r="G11238" i="5"/>
  <c r="H4031" i="8"/>
  <c r="F4031" i="8"/>
  <c r="I4031" i="8"/>
  <c r="I2836" i="8"/>
  <c r="H2836" i="8"/>
  <c r="F2836" i="8"/>
  <c r="H3707" i="8"/>
  <c r="F3707" i="8"/>
  <c r="I3707" i="8"/>
  <c r="I1508" i="8"/>
  <c r="H1508" i="8"/>
  <c r="F1508" i="8"/>
  <c r="H3636" i="8"/>
  <c r="F3636" i="8"/>
  <c r="I3636" i="8"/>
  <c r="H3719" i="8"/>
  <c r="F3719" i="8"/>
  <c r="I3719" i="8"/>
  <c r="H4129" i="8"/>
  <c r="F4129" i="8"/>
  <c r="I4129" i="8"/>
  <c r="F75" i="6"/>
  <c r="I1379" i="8"/>
  <c r="H1379" i="8"/>
  <c r="F1379" i="8"/>
  <c r="G299" i="5"/>
  <c r="F101" i="6"/>
  <c r="H3612" i="8"/>
  <c r="F3612" i="8"/>
  <c r="I3612" i="8"/>
  <c r="H3639" i="8"/>
  <c r="F3639" i="8"/>
  <c r="I3639" i="8"/>
  <c r="I2091" i="8"/>
  <c r="F2091" i="8"/>
  <c r="H2091" i="8"/>
  <c r="I2082" i="8"/>
  <c r="H2082" i="8"/>
  <c r="F2082" i="8"/>
  <c r="H439" i="8"/>
  <c r="I439" i="8"/>
  <c r="F439" i="8"/>
  <c r="I1400" i="8"/>
  <c r="F1400" i="8"/>
  <c r="H1400" i="8"/>
  <c r="H606" i="8"/>
  <c r="F606" i="8"/>
  <c r="I606" i="8"/>
  <c r="H438" i="8"/>
  <c r="I438" i="8"/>
  <c r="F438" i="8"/>
  <c r="I1512" i="8"/>
  <c r="H1512" i="8"/>
  <c r="F1512" i="8"/>
  <c r="H3855" i="8"/>
  <c r="F3855" i="8"/>
  <c r="I3855" i="8"/>
  <c r="I3292" i="8"/>
  <c r="H3292" i="8"/>
  <c r="F3292" i="8"/>
  <c r="H4140" i="8"/>
  <c r="F4140" i="8"/>
  <c r="I4140" i="8"/>
  <c r="I1326" i="8"/>
  <c r="H1326" i="8"/>
  <c r="F1326" i="8"/>
  <c r="I1636" i="8"/>
  <c r="H1636" i="8"/>
  <c r="F1636" i="8"/>
  <c r="I1996" i="8"/>
  <c r="H1996" i="8"/>
  <c r="F1996" i="8"/>
  <c r="I3431" i="8"/>
  <c r="H3431" i="8"/>
  <c r="F3431" i="8"/>
  <c r="I1774" i="8"/>
  <c r="H1774" i="8"/>
  <c r="F1774" i="8"/>
  <c r="H4835" i="8"/>
  <c r="I4835" i="8" s="1"/>
  <c r="F4835" i="8"/>
  <c r="H2724" i="8"/>
  <c r="I2724" i="8" s="1"/>
  <c r="F2724" i="8"/>
  <c r="F2912" i="8"/>
  <c r="H2912" i="8"/>
  <c r="I2912" i="8" s="1"/>
  <c r="F3456" i="8"/>
  <c r="H3456" i="8"/>
  <c r="I3456" i="8" s="1"/>
  <c r="F3376" i="8"/>
  <c r="H3376" i="8"/>
  <c r="I3376" i="8" s="1"/>
  <c r="H2819" i="8"/>
  <c r="I2819" i="8" s="1"/>
  <c r="F2819" i="8"/>
  <c r="H3321" i="8"/>
  <c r="I3321" i="8" s="1"/>
  <c r="F3321" i="8"/>
  <c r="I1619" i="8"/>
  <c r="H1619" i="8"/>
  <c r="F1619" i="8"/>
  <c r="I3239" i="8"/>
  <c r="H3239" i="8"/>
  <c r="F3239" i="8"/>
  <c r="I1343" i="8"/>
  <c r="F1343" i="8"/>
  <c r="H1343" i="8"/>
  <c r="I3430" i="8"/>
  <c r="H3430" i="8"/>
  <c r="F3430" i="8"/>
  <c r="I3126" i="8"/>
  <c r="H3126" i="8"/>
  <c r="F3126" i="8"/>
  <c r="I1733" i="8"/>
  <c r="F1733" i="8"/>
  <c r="H1733" i="8"/>
  <c r="H3732" i="8"/>
  <c r="F3732" i="8"/>
  <c r="I3732" i="8"/>
  <c r="I2032" i="8"/>
  <c r="F2032" i="8"/>
  <c r="H2032" i="8"/>
  <c r="I2944" i="8"/>
  <c r="F2944" i="8"/>
  <c r="H2944" i="8"/>
  <c r="I3072" i="8"/>
  <c r="F3072" i="8"/>
  <c r="H3072" i="8"/>
  <c r="H4022" i="8"/>
  <c r="F4022" i="8"/>
  <c r="I4022" i="8"/>
  <c r="I1578" i="8"/>
  <c r="H1578" i="8"/>
  <c r="F1578" i="8"/>
  <c r="I2484" i="8"/>
  <c r="H2484" i="8"/>
  <c r="F2484" i="8"/>
  <c r="H3640" i="8"/>
  <c r="F3640" i="8"/>
  <c r="I3640" i="8"/>
  <c r="H1013" i="8"/>
  <c r="F1013" i="8"/>
  <c r="I1013" i="8"/>
  <c r="G2652" i="5"/>
  <c r="I1439" i="8"/>
  <c r="F1439" i="8"/>
  <c r="H1439" i="8"/>
  <c r="I1935" i="8"/>
  <c r="H1935" i="8"/>
  <c r="F1935" i="8"/>
  <c r="H4170" i="8"/>
  <c r="F4170" i="8"/>
  <c r="I4170" i="8"/>
  <c r="I1720" i="8"/>
  <c r="H1720" i="8"/>
  <c r="F1720" i="8"/>
  <c r="H3324" i="8"/>
  <c r="I3324" i="8" s="1"/>
  <c r="F3324" i="8"/>
  <c r="H3364" i="8"/>
  <c r="I3364" i="8" s="1"/>
  <c r="F3364" i="8"/>
  <c r="H3656" i="8"/>
  <c r="F3656" i="8"/>
  <c r="I3656" i="8"/>
  <c r="I1762" i="8"/>
  <c r="H1762" i="8"/>
  <c r="F1762" i="8"/>
  <c r="H3810" i="8"/>
  <c r="F3810" i="8"/>
  <c r="I3810" i="8"/>
  <c r="H3884" i="8"/>
  <c r="F3884" i="8"/>
  <c r="I3884" i="8"/>
  <c r="G360" i="5"/>
  <c r="I2412" i="8"/>
  <c r="H2412" i="8"/>
  <c r="F2412" i="8"/>
  <c r="I2395" i="8"/>
  <c r="F2395" i="8"/>
  <c r="H2395" i="8"/>
  <c r="H3861" i="8"/>
  <c r="F3861" i="8"/>
  <c r="I3861" i="8"/>
  <c r="I2180" i="8"/>
  <c r="H2180" i="8"/>
  <c r="F2180" i="8"/>
  <c r="I1786" i="8"/>
  <c r="H1786" i="8"/>
  <c r="F1786" i="8"/>
  <c r="H3528" i="8"/>
  <c r="F3528" i="8"/>
  <c r="I3528" i="8"/>
  <c r="I2586" i="8"/>
  <c r="H2586" i="8"/>
  <c r="F2586" i="8"/>
  <c r="H4700" i="8"/>
  <c r="F4700" i="8"/>
  <c r="I4700" i="8"/>
  <c r="I2136" i="8"/>
  <c r="H2136" i="8"/>
  <c r="F2136" i="8"/>
  <c r="I2230" i="8"/>
  <c r="H2230" i="8"/>
  <c r="F2230" i="8"/>
  <c r="I2200" i="8"/>
  <c r="H2200" i="8"/>
  <c r="F2200" i="8"/>
  <c r="H4809" i="8"/>
  <c r="F4809" i="8"/>
  <c r="I4809" i="8"/>
  <c r="H610" i="8"/>
  <c r="F610" i="8"/>
  <c r="I610" i="8"/>
  <c r="I3080" i="8"/>
  <c r="H3080" i="8"/>
  <c r="F3080" i="8"/>
  <c r="H3794" i="8"/>
  <c r="F3794" i="8"/>
  <c r="I3794" i="8"/>
  <c r="H4409" i="8"/>
  <c r="F4409" i="8"/>
  <c r="I4409" i="8"/>
  <c r="I2083" i="8"/>
  <c r="F2083" i="8"/>
  <c r="H2083" i="8"/>
  <c r="H3524" i="8"/>
  <c r="F3524" i="8"/>
  <c r="I3524" i="8"/>
  <c r="I2192" i="8"/>
  <c r="F2192" i="8"/>
  <c r="H2192" i="8"/>
  <c r="I1213" i="8"/>
  <c r="H1213" i="8"/>
  <c r="F1213" i="8"/>
  <c r="I1505" i="8"/>
  <c r="F1505" i="8"/>
  <c r="H1505" i="8"/>
  <c r="H4198" i="8"/>
  <c r="F4198" i="8"/>
  <c r="I4198" i="8"/>
  <c r="I3189" i="8"/>
  <c r="F3189" i="8"/>
  <c r="H3189" i="8"/>
  <c r="H3718" i="8"/>
  <c r="F3718" i="8"/>
  <c r="I3718" i="8"/>
  <c r="I2489" i="8"/>
  <c r="F2489" i="8"/>
  <c r="H2489" i="8"/>
  <c r="I1468" i="8"/>
  <c r="H1468" i="8"/>
  <c r="F1468" i="8"/>
  <c r="I2646" i="8"/>
  <c r="H2646" i="8"/>
  <c r="F2646" i="8"/>
  <c r="H4211" i="8"/>
  <c r="F4211" i="8"/>
  <c r="I4211" i="8"/>
  <c r="I2649" i="8"/>
  <c r="H2649" i="8"/>
  <c r="F2649" i="8"/>
  <c r="H357" i="8"/>
  <c r="F357" i="8"/>
  <c r="I357" i="8"/>
  <c r="H4370" i="8"/>
  <c r="F4370" i="8"/>
  <c r="I4370" i="8"/>
  <c r="H3578" i="8"/>
  <c r="F3578" i="8"/>
  <c r="I3578" i="8"/>
  <c r="I2785" i="8"/>
  <c r="H2785" i="8"/>
  <c r="F2785" i="8"/>
  <c r="H609" i="8"/>
  <c r="F609" i="8"/>
  <c r="I609" i="8"/>
  <c r="H3388" i="8"/>
  <c r="I3388" i="8" s="1"/>
  <c r="F3388" i="8"/>
  <c r="H2748" i="8"/>
  <c r="I2748" i="8" s="1"/>
  <c r="F2748" i="8"/>
  <c r="H3027" i="8"/>
  <c r="I3027" i="8" s="1"/>
  <c r="F3027" i="8"/>
  <c r="H3463" i="8"/>
  <c r="I3463" i="8" s="1"/>
  <c r="F3463" i="8"/>
  <c r="H4616" i="8"/>
  <c r="I4616" i="8" s="1"/>
  <c r="F4616" i="8"/>
  <c r="F493" i="6"/>
  <c r="I1202" i="8"/>
  <c r="H1202" i="8"/>
  <c r="F1202" i="8"/>
  <c r="I2851" i="8"/>
  <c r="H2851" i="8"/>
  <c r="F2851" i="8"/>
  <c r="I2583" i="8"/>
  <c r="H2583" i="8"/>
  <c r="F2583" i="8"/>
  <c r="I1708" i="8"/>
  <c r="H1708" i="8"/>
  <c r="F1708" i="8"/>
  <c r="I1509" i="8"/>
  <c r="F1509" i="8"/>
  <c r="H1509" i="8"/>
  <c r="H3925" i="8"/>
  <c r="F3925" i="8"/>
  <c r="I3925" i="8"/>
  <c r="I2281" i="8"/>
  <c r="F2281" i="8"/>
  <c r="H2281" i="8"/>
  <c r="I2389" i="8"/>
  <c r="F2389" i="8"/>
  <c r="H2389" i="8"/>
  <c r="H4719" i="8"/>
  <c r="F4719" i="8"/>
  <c r="I4719" i="8"/>
  <c r="H792" i="8"/>
  <c r="F792" i="8"/>
  <c r="I792" i="8"/>
  <c r="I1994" i="8"/>
  <c r="H1994" i="8"/>
  <c r="F1994" i="8"/>
  <c r="I1108" i="8"/>
  <c r="H1108" i="8"/>
  <c r="F1108" i="8"/>
  <c r="H4108" i="8"/>
  <c r="F4108" i="8"/>
  <c r="I4108" i="8"/>
  <c r="H1022" i="8"/>
  <c r="F1022" i="8"/>
  <c r="I1022" i="8"/>
  <c r="I2336" i="8"/>
  <c r="F2336" i="8"/>
  <c r="H2336" i="8"/>
  <c r="H791" i="8"/>
  <c r="F791" i="8"/>
  <c r="I791" i="8"/>
  <c r="I2469" i="8"/>
  <c r="F2469" i="8"/>
  <c r="H2469" i="8"/>
  <c r="H607" i="8"/>
  <c r="F607" i="8"/>
  <c r="I607" i="8"/>
  <c r="H3615" i="8"/>
  <c r="F3615" i="8"/>
  <c r="I3615" i="8"/>
  <c r="H1015" i="8"/>
  <c r="F1015" i="8"/>
  <c r="I1015" i="8"/>
  <c r="H4678" i="8"/>
  <c r="F4678" i="8"/>
  <c r="I4678" i="8"/>
  <c r="H4758" i="8"/>
  <c r="F4758" i="8"/>
  <c r="I4758" i="8"/>
  <c r="I4871" i="8"/>
  <c r="H4871" i="8"/>
  <c r="F4871" i="8"/>
  <c r="I2717" i="8"/>
  <c r="F2717" i="8"/>
  <c r="H2717" i="8"/>
  <c r="I2047" i="8"/>
  <c r="H2047" i="8"/>
  <c r="F2047" i="8"/>
  <c r="H3394" i="8"/>
  <c r="I3394" i="8" s="1"/>
  <c r="F3394" i="8"/>
  <c r="H2899" i="8"/>
  <c r="I2899" i="8" s="1"/>
  <c r="F2899" i="8"/>
  <c r="H2857" i="8"/>
  <c r="I2857" i="8" s="1"/>
  <c r="F2857" i="8"/>
  <c r="H2735" i="8"/>
  <c r="I2735" i="8" s="1"/>
  <c r="F2735" i="8"/>
  <c r="F3387" i="8"/>
  <c r="H3387" i="8"/>
  <c r="I3387" i="8" s="1"/>
  <c r="H3311" i="8"/>
  <c r="I3311" i="8" s="1"/>
  <c r="F3311" i="8"/>
  <c r="H2855" i="8"/>
  <c r="I2855" i="8" s="1"/>
  <c r="F2855" i="8"/>
  <c r="I2144" i="8"/>
  <c r="F2144" i="8"/>
  <c r="H2144" i="8"/>
  <c r="I1553" i="8"/>
  <c r="F1553" i="8"/>
  <c r="H1553" i="8"/>
  <c r="F417" i="6"/>
  <c r="I1535" i="8"/>
  <c r="H1535" i="8"/>
  <c r="F1535" i="8"/>
  <c r="H664" i="8"/>
  <c r="F664" i="8"/>
  <c r="I664" i="8"/>
  <c r="H524" i="8"/>
  <c r="F524" i="8"/>
  <c r="I524" i="8"/>
  <c r="I1582" i="8"/>
  <c r="H1582" i="8"/>
  <c r="F1582" i="8"/>
  <c r="H3272" i="5"/>
  <c r="E922" i="8" s="1"/>
  <c r="H3608" i="8"/>
  <c r="F3608" i="8"/>
  <c r="I3608" i="8"/>
  <c r="H660" i="8"/>
  <c r="F660" i="8"/>
  <c r="I660" i="8"/>
  <c r="I1642" i="8"/>
  <c r="H1642" i="8"/>
  <c r="F1642" i="8"/>
  <c r="I2092" i="8"/>
  <c r="H2092" i="8"/>
  <c r="F2092" i="8"/>
  <c r="I3276" i="8"/>
  <c r="H3276" i="8"/>
  <c r="F3276" i="8"/>
  <c r="H825" i="8"/>
  <c r="F825" i="8"/>
  <c r="I825" i="8"/>
  <c r="I2476" i="8"/>
  <c r="H2476" i="8"/>
  <c r="F2476" i="8"/>
  <c r="H811" i="8"/>
  <c r="F811" i="8"/>
  <c r="I811" i="8"/>
  <c r="H4117" i="8"/>
  <c r="F4117" i="8"/>
  <c r="I4117" i="8"/>
  <c r="I2774" i="8"/>
  <c r="H2774" i="8"/>
  <c r="F2774" i="8"/>
  <c r="I2699" i="8"/>
  <c r="F2699" i="8"/>
  <c r="H2699" i="8"/>
  <c r="I2657" i="8"/>
  <c r="H2657" i="8"/>
  <c r="F2657" i="8"/>
  <c r="I2181" i="8"/>
  <c r="F2181" i="8"/>
  <c r="H2181" i="8"/>
  <c r="H848" i="8"/>
  <c r="F848" i="8"/>
  <c r="I848" i="8"/>
  <c r="G4394" i="5"/>
  <c r="F416" i="6"/>
  <c r="H3914" i="8"/>
  <c r="F3914" i="8"/>
  <c r="I3914" i="8"/>
  <c r="H3839" i="8"/>
  <c r="F3839" i="8"/>
  <c r="I3839" i="8"/>
  <c r="H3831" i="8"/>
  <c r="F3831" i="8"/>
  <c r="I3831" i="8"/>
  <c r="I2428" i="8"/>
  <c r="H2428" i="8"/>
  <c r="F2428" i="8"/>
  <c r="H406" i="8"/>
  <c r="I406" i="8"/>
  <c r="F406" i="8"/>
  <c r="H4161" i="8"/>
  <c r="F4161" i="8"/>
  <c r="I4161" i="8"/>
  <c r="H3859" i="8"/>
  <c r="F3859" i="8"/>
  <c r="I3859" i="8"/>
  <c r="I2211" i="8"/>
  <c r="H2211" i="8"/>
  <c r="F2211" i="8"/>
  <c r="I1775" i="8"/>
  <c r="H1775" i="8"/>
  <c r="F1775" i="8"/>
  <c r="I2589" i="8"/>
  <c r="F2589" i="8"/>
  <c r="H2589" i="8"/>
  <c r="H589" i="8"/>
  <c r="F589" i="8"/>
  <c r="I589" i="8"/>
  <c r="H4124" i="8"/>
  <c r="F4124" i="8"/>
  <c r="I4124" i="8"/>
  <c r="I2168" i="8"/>
  <c r="H2168" i="8"/>
  <c r="F2168" i="8"/>
  <c r="H427" i="8"/>
  <c r="I427" i="8"/>
  <c r="F427" i="8"/>
  <c r="H3754" i="8"/>
  <c r="F3754" i="8"/>
  <c r="I3754" i="8"/>
  <c r="H4199" i="8"/>
  <c r="F4199" i="8"/>
  <c r="I4199" i="8"/>
  <c r="I1482" i="8"/>
  <c r="H1482" i="8"/>
  <c r="F1482" i="8"/>
  <c r="I1491" i="8"/>
  <c r="H1491" i="8"/>
  <c r="F1491" i="8"/>
  <c r="I1675" i="8"/>
  <c r="F1675" i="8"/>
  <c r="H1675" i="8"/>
  <c r="I2754" i="8"/>
  <c r="H2754" i="8"/>
  <c r="F2754" i="8"/>
  <c r="I1803" i="8"/>
  <c r="F1803" i="8"/>
  <c r="H1803" i="8"/>
  <c r="I2347" i="8"/>
  <c r="F2347" i="8"/>
  <c r="H2347" i="8"/>
  <c r="H4557" i="8"/>
  <c r="F4557" i="8"/>
  <c r="I4557" i="8"/>
  <c r="I2998" i="8"/>
  <c r="H2998" i="8"/>
  <c r="F2998" i="8"/>
  <c r="I1149" i="8"/>
  <c r="H1149" i="8"/>
  <c r="F1149" i="8"/>
  <c r="I2461" i="8"/>
  <c r="F2461" i="8"/>
  <c r="H2461" i="8"/>
  <c r="I1707" i="8"/>
  <c r="F1707" i="8"/>
  <c r="H1707" i="8"/>
  <c r="H442" i="8"/>
  <c r="I442" i="8"/>
  <c r="F442" i="8"/>
  <c r="I1464" i="8"/>
  <c r="H1464" i="8"/>
  <c r="F1464" i="8"/>
  <c r="I2473" i="8"/>
  <c r="F2473" i="8"/>
  <c r="H2473" i="8"/>
  <c r="H4006" i="8"/>
  <c r="F4006" i="8"/>
  <c r="I4006" i="8"/>
  <c r="I1388" i="8"/>
  <c r="H1388" i="8"/>
  <c r="F1388" i="8"/>
  <c r="H832" i="8"/>
  <c r="F832" i="8"/>
  <c r="I832" i="8"/>
  <c r="H4025" i="8"/>
  <c r="F4025" i="8"/>
  <c r="I4025" i="8"/>
  <c r="H3727" i="8"/>
  <c r="F3727" i="8"/>
  <c r="I3727" i="8"/>
  <c r="I1220" i="8"/>
  <c r="H1220" i="8"/>
  <c r="F1220" i="8"/>
  <c r="H4130" i="8"/>
  <c r="F4130" i="8"/>
  <c r="I4130" i="8"/>
  <c r="H443" i="8"/>
  <c r="I443" i="8"/>
  <c r="F443" i="8"/>
  <c r="I1698" i="8"/>
  <c r="H1698" i="8"/>
  <c r="F1698" i="8"/>
  <c r="I138" i="8"/>
  <c r="H138" i="8"/>
  <c r="F138" i="8"/>
  <c r="I1598" i="8"/>
  <c r="H1598" i="8"/>
  <c r="F1598" i="8"/>
  <c r="H4436" i="8"/>
  <c r="F4436" i="8"/>
  <c r="I4436" i="8"/>
  <c r="I2356" i="8"/>
  <c r="H2356" i="8"/>
  <c r="F2356" i="8"/>
  <c r="H520" i="8"/>
  <c r="F520" i="8"/>
  <c r="I520" i="8"/>
  <c r="I2010" i="8"/>
  <c r="H2010" i="8"/>
  <c r="F2010" i="8"/>
  <c r="I2305" i="8"/>
  <c r="H2305" i="8"/>
  <c r="F2305" i="8"/>
  <c r="I1297" i="8"/>
  <c r="H1297" i="8"/>
  <c r="F1297" i="8"/>
  <c r="I2131" i="8"/>
  <c r="H2131" i="8"/>
  <c r="F2131" i="8"/>
  <c r="I1997" i="8"/>
  <c r="F1997" i="8"/>
  <c r="H1997" i="8"/>
  <c r="H4800" i="8"/>
  <c r="F4800" i="8"/>
  <c r="I4800" i="8"/>
  <c r="H437" i="8"/>
  <c r="F437" i="8"/>
  <c r="I437" i="8"/>
  <c r="I3176" i="8"/>
  <c r="H3176" i="8"/>
  <c r="F3176" i="8"/>
  <c r="H4183" i="8"/>
  <c r="F4183" i="8"/>
  <c r="I4183" i="8"/>
  <c r="I2640" i="8"/>
  <c r="F2640" i="8"/>
  <c r="H2640" i="8"/>
  <c r="I3484" i="8"/>
  <c r="H3484" i="8"/>
  <c r="F3484" i="8"/>
  <c r="I2448" i="8"/>
  <c r="F2448" i="8"/>
  <c r="H2448" i="8"/>
  <c r="I2463" i="8"/>
  <c r="H2463" i="8"/>
  <c r="F2463" i="8"/>
  <c r="H3899" i="8"/>
  <c r="F3899" i="8"/>
  <c r="I3899" i="8"/>
  <c r="I1599" i="8"/>
  <c r="H1599" i="8"/>
  <c r="F1599" i="8"/>
  <c r="I1978" i="8"/>
  <c r="H1978" i="8"/>
  <c r="F1978" i="8"/>
  <c r="I2152" i="8"/>
  <c r="H2152" i="8"/>
  <c r="F2152" i="8"/>
  <c r="I2656" i="8"/>
  <c r="F2656" i="8"/>
  <c r="H2656" i="8"/>
  <c r="I1218" i="8"/>
  <c r="H1218" i="8"/>
  <c r="F1218" i="8"/>
  <c r="H4720" i="8"/>
  <c r="F4720" i="8"/>
  <c r="I4720" i="8"/>
  <c r="H3894" i="8"/>
  <c r="F3894" i="8"/>
  <c r="I3894" i="8"/>
  <c r="I1973" i="8"/>
  <c r="F1973" i="8"/>
  <c r="H1973" i="8"/>
  <c r="H3658" i="8"/>
  <c r="F3658" i="8"/>
  <c r="I3658" i="8"/>
  <c r="H387" i="8"/>
  <c r="I387" i="8"/>
  <c r="F387" i="8"/>
  <c r="I2961" i="8"/>
  <c r="H2961" i="8"/>
  <c r="F2961" i="8"/>
  <c r="I2349" i="8"/>
  <c r="F2349" i="8"/>
  <c r="H2349" i="8"/>
  <c r="G11924" i="5"/>
  <c r="I2185" i="8"/>
  <c r="F2185" i="8"/>
  <c r="H2185" i="8"/>
  <c r="G3268" i="5"/>
  <c r="F553" i="6"/>
  <c r="I3467" i="8"/>
  <c r="F3467" i="8"/>
  <c r="H3467" i="8"/>
  <c r="H1023" i="8"/>
  <c r="F1023" i="8"/>
  <c r="I1023" i="8"/>
  <c r="I2020" i="8"/>
  <c r="H2020" i="8"/>
  <c r="F2020" i="8"/>
  <c r="I1517" i="8"/>
  <c r="F1517" i="8"/>
  <c r="H1517" i="8"/>
  <c r="I3061" i="8"/>
  <c r="F3061" i="8"/>
  <c r="H3061" i="8"/>
  <c r="I2746" i="8"/>
  <c r="H2746" i="8"/>
  <c r="F2746" i="8"/>
  <c r="H794" i="8"/>
  <c r="F794" i="8"/>
  <c r="I794" i="8"/>
  <c r="H3808" i="8"/>
  <c r="F3808" i="8"/>
  <c r="I3808" i="8"/>
  <c r="I1299" i="8"/>
  <c r="H1299" i="8"/>
  <c r="F1299" i="8"/>
  <c r="I1662" i="8"/>
  <c r="H1662" i="8"/>
  <c r="F1662" i="8"/>
  <c r="H4607" i="8"/>
  <c r="F4607" i="8"/>
  <c r="I4607" i="8"/>
  <c r="H3034" i="8"/>
  <c r="I3034" i="8" s="1"/>
  <c r="F3034" i="8"/>
  <c r="H4471" i="8"/>
  <c r="F4471" i="8"/>
  <c r="I4471" i="8"/>
  <c r="I2465" i="8"/>
  <c r="F2465" i="8"/>
  <c r="H2465" i="8"/>
  <c r="I3166" i="8"/>
  <c r="H3166" i="8"/>
  <c r="F3166" i="8"/>
  <c r="I1940" i="8"/>
  <c r="H1940" i="8"/>
  <c r="F1940" i="8"/>
  <c r="I2648" i="8"/>
  <c r="H2648" i="8"/>
  <c r="F2648" i="8"/>
  <c r="H4698" i="8"/>
  <c r="F4698" i="8"/>
  <c r="I4698" i="8"/>
  <c r="I2661" i="8"/>
  <c r="F2661" i="8"/>
  <c r="H2661" i="8"/>
  <c r="H3667" i="8"/>
  <c r="F3667" i="8"/>
  <c r="I3667" i="8"/>
  <c r="H3849" i="8"/>
  <c r="F3849" i="8"/>
  <c r="I3849" i="8"/>
  <c r="I1457" i="8"/>
  <c r="H1457" i="8"/>
  <c r="F1457" i="8"/>
  <c r="H523" i="8"/>
  <c r="F523" i="8"/>
  <c r="I523" i="8"/>
  <c r="H3915" i="8"/>
  <c r="F3915" i="8"/>
  <c r="I3915" i="8"/>
  <c r="H426" i="8"/>
  <c r="I426" i="8"/>
  <c r="F426" i="8"/>
  <c r="I73" i="8"/>
  <c r="H73" i="8"/>
  <c r="F73" i="8"/>
  <c r="I2888" i="8"/>
  <c r="H2888" i="8"/>
  <c r="F2888" i="8"/>
  <c r="H540" i="8"/>
  <c r="F540" i="8"/>
  <c r="I540" i="8"/>
  <c r="I1516" i="8"/>
  <c r="H1516" i="8"/>
  <c r="F1516" i="8"/>
  <c r="I2207" i="8"/>
  <c r="H2207" i="8"/>
  <c r="F2207" i="8"/>
  <c r="I2842" i="8"/>
  <c r="H2842" i="8"/>
  <c r="F2842" i="8"/>
  <c r="I1205" i="8"/>
  <c r="H1205" i="8"/>
  <c r="F1205" i="8"/>
  <c r="I2943" i="8"/>
  <c r="H2943" i="8"/>
  <c r="F2943" i="8"/>
  <c r="I2019" i="8"/>
  <c r="H2019" i="8"/>
  <c r="F2019" i="8"/>
  <c r="H3606" i="8"/>
  <c r="F3606" i="8"/>
  <c r="I3606" i="8"/>
  <c r="I1398" i="8"/>
  <c r="H1398" i="8"/>
  <c r="F1398" i="8"/>
  <c r="G3787" i="5"/>
  <c r="I2043" i="8"/>
  <c r="F2043" i="8"/>
  <c r="H2043" i="8"/>
  <c r="H4206" i="8"/>
  <c r="F4206" i="8"/>
  <c r="I4206" i="8"/>
  <c r="I2500" i="8"/>
  <c r="H2500" i="8"/>
  <c r="F2500" i="8"/>
  <c r="I2731" i="8"/>
  <c r="F2731" i="8"/>
  <c r="H2731" i="8"/>
  <c r="H743" i="8"/>
  <c r="F743" i="8"/>
  <c r="I743" i="8"/>
  <c r="I2226" i="8"/>
  <c r="H2226" i="8"/>
  <c r="F2226" i="8"/>
  <c r="I2562" i="8"/>
  <c r="H2562" i="8"/>
  <c r="F2562" i="8"/>
  <c r="H1057" i="8"/>
  <c r="F1057" i="8"/>
  <c r="I1057" i="8"/>
  <c r="I65" i="8"/>
  <c r="H65" i="8"/>
  <c r="F65" i="8"/>
  <c r="I2503" i="8"/>
  <c r="H2503" i="8"/>
  <c r="F2503" i="8"/>
  <c r="I1738" i="8"/>
  <c r="H1738" i="8"/>
  <c r="F1738" i="8"/>
  <c r="H531" i="8"/>
  <c r="F531" i="8"/>
  <c r="I531" i="8"/>
  <c r="H596" i="8"/>
  <c r="F596" i="8"/>
  <c r="I596" i="8"/>
  <c r="H3522" i="8"/>
  <c r="F3522" i="8"/>
  <c r="I3522" i="8"/>
  <c r="H799" i="8"/>
  <c r="F799" i="8"/>
  <c r="I799" i="8"/>
  <c r="H535" i="8"/>
  <c r="F535" i="8"/>
  <c r="I535" i="8"/>
  <c r="I3203" i="8"/>
  <c r="H3203" i="8"/>
  <c r="F3203" i="8"/>
  <c r="I142" i="8"/>
  <c r="H142" i="8"/>
  <c r="F142" i="8"/>
  <c r="I1932" i="8"/>
  <c r="H1932" i="8"/>
  <c r="F1932" i="8"/>
  <c r="H4106" i="8"/>
  <c r="F4106" i="8"/>
  <c r="I4106" i="8"/>
  <c r="H3653" i="8"/>
  <c r="F3653" i="8"/>
  <c r="I3653" i="8"/>
  <c r="F462" i="6"/>
  <c r="I2321" i="8"/>
  <c r="F2321" i="8"/>
  <c r="H2321" i="8"/>
  <c r="I1407" i="8"/>
  <c r="F1407" i="8"/>
  <c r="H1407" i="8"/>
  <c r="H747" i="8"/>
  <c r="F747" i="8"/>
  <c r="I747" i="8"/>
  <c r="I2446" i="8"/>
  <c r="F2446" i="8"/>
  <c r="H2446" i="8"/>
  <c r="H386" i="8"/>
  <c r="I386" i="8"/>
  <c r="F386" i="8"/>
  <c r="H803" i="8"/>
  <c r="F803" i="8"/>
  <c r="I803" i="8"/>
  <c r="I2492" i="8"/>
  <c r="H2492" i="8"/>
  <c r="F2492" i="8"/>
  <c r="I2950" i="8"/>
  <c r="H2950" i="8"/>
  <c r="F2950" i="8"/>
  <c r="I1805" i="8"/>
  <c r="F1805" i="8"/>
  <c r="H1805" i="8"/>
  <c r="G5325" i="5"/>
  <c r="F492" i="6"/>
  <c r="G487" i="6" s="1"/>
  <c r="I1706" i="8"/>
  <c r="H1706" i="8"/>
  <c r="F1706" i="8"/>
  <c r="H726" i="8"/>
  <c r="F726" i="8"/>
  <c r="I726" i="8"/>
  <c r="H788" i="8"/>
  <c r="F788" i="8"/>
  <c r="I788" i="8"/>
  <c r="H685" i="8"/>
  <c r="F685" i="8"/>
  <c r="I685" i="8"/>
  <c r="I2067" i="8"/>
  <c r="F2067" i="8"/>
  <c r="H2067" i="8"/>
  <c r="I55" i="8"/>
  <c r="H55" i="8"/>
  <c r="F55" i="8"/>
  <c r="I2139" i="8"/>
  <c r="F2139" i="8"/>
  <c r="H2139" i="8"/>
  <c r="I2556" i="8"/>
  <c r="H2556" i="8"/>
  <c r="F2556" i="8"/>
  <c r="H615" i="8"/>
  <c r="F615" i="8"/>
  <c r="I615" i="8"/>
  <c r="I2248" i="8"/>
  <c r="H2248" i="8"/>
  <c r="F2248" i="8"/>
  <c r="I2052" i="8"/>
  <c r="H2052" i="8"/>
  <c r="F2052" i="8"/>
  <c r="H4141" i="8"/>
  <c r="F4141" i="8"/>
  <c r="I4141" i="8"/>
  <c r="I2101" i="8"/>
  <c r="F2101" i="8"/>
  <c r="H2101" i="8"/>
  <c r="H4413" i="8"/>
  <c r="F4413" i="8"/>
  <c r="I4413" i="8"/>
  <c r="I2952" i="8"/>
  <c r="H2952" i="8"/>
  <c r="F2952" i="8"/>
  <c r="I2692" i="8"/>
  <c r="H2692" i="8"/>
  <c r="F2692" i="8"/>
  <c r="I1622" i="8"/>
  <c r="F1622" i="8"/>
  <c r="H1622" i="8"/>
  <c r="I1938" i="8"/>
  <c r="H1938" i="8"/>
  <c r="F1938" i="8"/>
  <c r="I2006" i="8"/>
  <c r="F2006" i="8"/>
  <c r="H2006" i="8"/>
  <c r="F702" i="6"/>
  <c r="I2070" i="8"/>
  <c r="H2070" i="8"/>
  <c r="F2070" i="8"/>
  <c r="H760" i="8"/>
  <c r="F760" i="8"/>
  <c r="I760" i="8"/>
  <c r="I2370" i="8"/>
  <c r="H2370" i="8"/>
  <c r="F2370" i="8"/>
  <c r="I3188" i="8"/>
  <c r="H3188" i="8"/>
  <c r="F3188" i="8"/>
  <c r="H3824" i="8"/>
  <c r="F3824" i="8"/>
  <c r="I3824" i="8"/>
  <c r="G4829" i="5"/>
  <c r="I1221" i="8"/>
  <c r="H1221" i="8"/>
  <c r="F1221" i="8"/>
  <c r="I1761" i="8"/>
  <c r="F1761" i="8"/>
  <c r="H1761" i="8"/>
  <c r="I1511" i="8"/>
  <c r="H1511" i="8"/>
  <c r="F1511" i="8"/>
  <c r="I3192" i="8"/>
  <c r="H3192" i="8"/>
  <c r="F3192" i="8"/>
  <c r="H4143" i="8"/>
  <c r="F4143" i="8"/>
  <c r="I4143" i="8"/>
  <c r="I1528" i="8"/>
  <c r="H1528" i="8"/>
  <c r="F1528" i="8"/>
  <c r="I1540" i="8"/>
  <c r="H1540" i="8"/>
  <c r="F1540" i="8"/>
  <c r="H4628" i="8"/>
  <c r="F4628" i="8"/>
  <c r="I4628" i="8"/>
  <c r="I1383" i="8"/>
  <c r="F1383" i="8"/>
  <c r="H1383" i="8"/>
  <c r="H801" i="8"/>
  <c r="F801" i="8"/>
  <c r="I801" i="8"/>
  <c r="G2668" i="5"/>
  <c r="I3221" i="8"/>
  <c r="F3221" i="8"/>
  <c r="H3221" i="8"/>
  <c r="H4465" i="8"/>
  <c r="F4465" i="8"/>
  <c r="I4465" i="8"/>
  <c r="H4122" i="8"/>
  <c r="F4122" i="8"/>
  <c r="I4122" i="8"/>
  <c r="H398" i="8"/>
  <c r="I398" i="8"/>
  <c r="F398" i="8"/>
  <c r="I2204" i="8"/>
  <c r="H2204" i="8"/>
  <c r="F2204" i="8"/>
  <c r="I2436" i="8"/>
  <c r="H2436" i="8"/>
  <c r="F2436" i="8"/>
  <c r="H504" i="8"/>
  <c r="F504" i="8"/>
  <c r="I504" i="8"/>
  <c r="H3710" i="8"/>
  <c r="F3710" i="8"/>
  <c r="I3710" i="8"/>
  <c r="H704" i="8"/>
  <c r="F704" i="8"/>
  <c r="I704" i="8"/>
  <c r="I2770" i="8"/>
  <c r="H2770" i="8"/>
  <c r="F2770" i="8"/>
  <c r="H795" i="8"/>
  <c r="F795" i="8"/>
  <c r="I795" i="8"/>
  <c r="I3186" i="8"/>
  <c r="H3186" i="8"/>
  <c r="F3186" i="8"/>
  <c r="I4849" i="8"/>
  <c r="H4849" i="8"/>
  <c r="F4849" i="8"/>
  <c r="I2110" i="8"/>
  <c r="H2110" i="8"/>
  <c r="F2110" i="8"/>
  <c r="H3787" i="8"/>
  <c r="F3787" i="8"/>
  <c r="I3787" i="8"/>
  <c r="H3510" i="8"/>
  <c r="F3510" i="8"/>
  <c r="I3510" i="8"/>
  <c r="H4182" i="8"/>
  <c r="F4182" i="8"/>
  <c r="I4182" i="8"/>
  <c r="H4195" i="8"/>
  <c r="F4195" i="8"/>
  <c r="I4195" i="8"/>
  <c r="I2497" i="8"/>
  <c r="H2497" i="8"/>
  <c r="F2497" i="8"/>
  <c r="I1993" i="8"/>
  <c r="H1993" i="8"/>
  <c r="F1993" i="8"/>
  <c r="G4690" i="5"/>
  <c r="H3922" i="8"/>
  <c r="F3922" i="8"/>
  <c r="I3922" i="8"/>
  <c r="I2106" i="8"/>
  <c r="H2106" i="8"/>
  <c r="F2106" i="8"/>
  <c r="F91" i="6"/>
  <c r="I1556" i="8"/>
  <c r="H1556" i="8"/>
  <c r="F1556" i="8"/>
  <c r="H3750" i="8"/>
  <c r="F3750" i="8"/>
  <c r="I3750" i="8"/>
  <c r="I1485" i="8"/>
  <c r="F1485" i="8"/>
  <c r="H1485" i="8"/>
  <c r="H3649" i="8"/>
  <c r="F3649" i="8"/>
  <c r="I3649" i="8"/>
  <c r="H1063" i="8"/>
  <c r="F1063" i="8"/>
  <c r="I1063" i="8"/>
  <c r="I1612" i="8"/>
  <c r="H1612" i="8"/>
  <c r="F1612" i="8"/>
  <c r="I1311" i="8"/>
  <c r="F1311" i="8"/>
  <c r="H1311" i="8"/>
  <c r="H3821" i="8"/>
  <c r="F3821" i="8"/>
  <c r="I3821" i="8"/>
  <c r="I3432" i="8"/>
  <c r="H3432" i="8"/>
  <c r="F3432" i="8"/>
  <c r="I1991" i="8"/>
  <c r="H1991" i="8"/>
  <c r="F1991" i="8"/>
  <c r="I2571" i="8"/>
  <c r="F2571" i="8"/>
  <c r="H2571" i="8"/>
  <c r="H409" i="8"/>
  <c r="F409" i="8"/>
  <c r="I409" i="8"/>
  <c r="G2651" i="5"/>
  <c r="I1428" i="8"/>
  <c r="H1428" i="8"/>
  <c r="F1428" i="8"/>
  <c r="H3502" i="8"/>
  <c r="F3502" i="8"/>
  <c r="I3502" i="8"/>
  <c r="I3242" i="8"/>
  <c r="H3242" i="8"/>
  <c r="F3242" i="8"/>
  <c r="I2517" i="8"/>
  <c r="F2517" i="8"/>
  <c r="H2517" i="8"/>
  <c r="I2440" i="8"/>
  <c r="H2440" i="8"/>
  <c r="F2440" i="8"/>
  <c r="I1384" i="8"/>
  <c r="F1384" i="8"/>
  <c r="H1384" i="8"/>
  <c r="I1976" i="8"/>
  <c r="H1976" i="8"/>
  <c r="F1976" i="8"/>
  <c r="H3818" i="8"/>
  <c r="F3818" i="8"/>
  <c r="I3818" i="8"/>
  <c r="H4796" i="8"/>
  <c r="F4796" i="8"/>
  <c r="I4796" i="8"/>
  <c r="H657" i="8"/>
  <c r="F657" i="8"/>
  <c r="I657" i="8"/>
  <c r="H4816" i="8"/>
  <c r="F4816" i="8"/>
  <c r="I4816" i="8"/>
  <c r="F245" i="6"/>
  <c r="I2505" i="8"/>
  <c r="F2505" i="8"/>
  <c r="H2505" i="8"/>
  <c r="I2969" i="8"/>
  <c r="H2969" i="8"/>
  <c r="F2969" i="8"/>
  <c r="H1007" i="8"/>
  <c r="F1007" i="8"/>
  <c r="I1007" i="8"/>
  <c r="H783" i="8"/>
  <c r="F783" i="8"/>
  <c r="I783" i="8"/>
  <c r="H4443" i="8"/>
  <c r="F4443" i="8"/>
  <c r="I4443" i="8"/>
  <c r="I3457" i="8"/>
  <c r="H3457" i="8"/>
  <c r="F3457" i="8"/>
  <c r="I1555" i="8"/>
  <c r="H1555" i="8"/>
  <c r="F1555" i="8"/>
  <c r="H1028" i="8"/>
  <c r="F1028" i="8"/>
  <c r="I1028" i="8"/>
  <c r="H712" i="8"/>
  <c r="F712" i="8"/>
  <c r="I712" i="8"/>
  <c r="H745" i="8"/>
  <c r="F745" i="8"/>
  <c r="I745" i="8"/>
  <c r="H4201" i="8"/>
  <c r="F4201" i="8"/>
  <c r="I4201" i="8"/>
  <c r="H3889" i="8"/>
  <c r="F3889" i="8"/>
  <c r="I3889" i="8"/>
  <c r="I2732" i="8"/>
  <c r="H2732" i="8"/>
  <c r="F2732" i="8"/>
  <c r="I3068" i="8"/>
  <c r="H3068" i="8"/>
  <c r="F3068" i="8"/>
  <c r="I1204" i="8"/>
  <c r="H1204" i="8"/>
  <c r="F1204" i="8"/>
  <c r="H3738" i="8"/>
  <c r="F3738" i="8"/>
  <c r="I3738" i="8"/>
  <c r="H626" i="8"/>
  <c r="F626" i="8"/>
  <c r="I626" i="8"/>
  <c r="H808" i="8"/>
  <c r="F808" i="8"/>
  <c r="I808" i="8"/>
  <c r="I3233" i="8"/>
  <c r="H3233" i="8"/>
  <c r="F3233" i="8"/>
  <c r="G3754" i="5"/>
  <c r="I2526" i="8"/>
  <c r="F2526" i="8"/>
  <c r="H2526" i="8"/>
  <c r="H3723" i="8"/>
  <c r="F3723" i="8"/>
  <c r="I3723" i="8"/>
  <c r="H1080" i="8"/>
  <c r="F1080" i="8"/>
  <c r="I1080" i="8"/>
  <c r="H3646" i="8"/>
  <c r="F3646" i="8"/>
  <c r="I3646" i="8"/>
  <c r="I1494" i="8"/>
  <c r="F1494" i="8"/>
  <c r="H1494" i="8"/>
  <c r="I1613" i="8"/>
  <c r="F1613" i="8"/>
  <c r="H1613" i="8"/>
  <c r="I2002" i="8"/>
  <c r="H2002" i="8"/>
  <c r="F2002" i="8"/>
  <c r="I1350" i="8"/>
  <c r="H1350" i="8"/>
  <c r="F1350" i="8"/>
  <c r="H397" i="8"/>
  <c r="F397" i="8"/>
  <c r="I397" i="8"/>
  <c r="I2353" i="8"/>
  <c r="F2353" i="8"/>
  <c r="H2353" i="8"/>
  <c r="H4009" i="8"/>
  <c r="F4009" i="8"/>
  <c r="I4009" i="8"/>
  <c r="H2938" i="8"/>
  <c r="I2938" i="8" s="1"/>
  <c r="F2938" i="8"/>
  <c r="H3350" i="8"/>
  <c r="I3350" i="8" s="1"/>
  <c r="F3350" i="8"/>
  <c r="F2736" i="8"/>
  <c r="H2736" i="8"/>
  <c r="I2736" i="8" s="1"/>
  <c r="H3391" i="8"/>
  <c r="I3391" i="8" s="1"/>
  <c r="F3391" i="8"/>
  <c r="I2163" i="8"/>
  <c r="H2163" i="8"/>
  <c r="F2163" i="8"/>
  <c r="H4066" i="8"/>
  <c r="F4066" i="8"/>
  <c r="I4066" i="8"/>
  <c r="I1403" i="8"/>
  <c r="H1403" i="8"/>
  <c r="F1403" i="8"/>
  <c r="I1725" i="8"/>
  <c r="F1725" i="8"/>
  <c r="H1725" i="8"/>
  <c r="I2391" i="8"/>
  <c r="H2391" i="8"/>
  <c r="F2391" i="8"/>
  <c r="H3804" i="8"/>
  <c r="F3804" i="8"/>
  <c r="I3804" i="8"/>
  <c r="I3111" i="8"/>
  <c r="H3111" i="8"/>
  <c r="F3111" i="8"/>
  <c r="H3737" i="8"/>
  <c r="F3737" i="8"/>
  <c r="I3737" i="8"/>
  <c r="I2721" i="8"/>
  <c r="H2721" i="8"/>
  <c r="F2721" i="8"/>
  <c r="I1950" i="8"/>
  <c r="H1950" i="8"/>
  <c r="F1950" i="8"/>
  <c r="I2027" i="8"/>
  <c r="F2027" i="8"/>
  <c r="H2027" i="8"/>
  <c r="H4020" i="8"/>
  <c r="F4020" i="8"/>
  <c r="I4020" i="8"/>
  <c r="I3288" i="8"/>
  <c r="H3288" i="8"/>
  <c r="F3288" i="8"/>
  <c r="I3204" i="8"/>
  <c r="H3204" i="8"/>
  <c r="F3204" i="8"/>
  <c r="I2283" i="8"/>
  <c r="F2283" i="8"/>
  <c r="H2283" i="8"/>
  <c r="H3882" i="8"/>
  <c r="F3882" i="8"/>
  <c r="I3882" i="8"/>
  <c r="I1668" i="8"/>
  <c r="H1668" i="8"/>
  <c r="F1668" i="8"/>
  <c r="I1442" i="8"/>
  <c r="H1442" i="8"/>
  <c r="F1442" i="8"/>
  <c r="F725" i="6"/>
  <c r="G720" i="6" s="1"/>
  <c r="F164" i="6"/>
  <c r="H4011" i="8"/>
  <c r="F4011" i="8"/>
  <c r="I4011" i="8"/>
  <c r="I2867" i="8"/>
  <c r="H2867" i="8"/>
  <c r="F2867" i="8"/>
  <c r="H3695" i="8"/>
  <c r="F3695" i="8"/>
  <c r="I3695" i="8"/>
  <c r="H779" i="8"/>
  <c r="F779" i="8"/>
  <c r="I779" i="8"/>
  <c r="I2759" i="8"/>
  <c r="H2759" i="8"/>
  <c r="F2759" i="8"/>
  <c r="I2243" i="8"/>
  <c r="H2243" i="8"/>
  <c r="F2243" i="8"/>
  <c r="I2637" i="8"/>
  <c r="F2637" i="8"/>
  <c r="H2637" i="8"/>
  <c r="H3693" i="8"/>
  <c r="F3693" i="8"/>
  <c r="I3693" i="8"/>
  <c r="I2150" i="8"/>
  <c r="H2150" i="8"/>
  <c r="F2150" i="8"/>
  <c r="I2733" i="8"/>
  <c r="F2733" i="8"/>
  <c r="H2733" i="8"/>
  <c r="H424" i="8"/>
  <c r="I424" i="8"/>
  <c r="F424" i="8"/>
  <c r="I1207" i="8"/>
  <c r="F1207" i="8"/>
  <c r="H1207" i="8"/>
  <c r="I1835" i="8"/>
  <c r="F1835" i="8"/>
  <c r="H1835" i="8"/>
  <c r="H4682" i="8"/>
  <c r="F4682" i="8"/>
  <c r="I4682" i="8"/>
  <c r="I4848" i="8"/>
  <c r="H4848" i="8"/>
  <c r="F4848" i="8"/>
  <c r="I1441" i="8"/>
  <c r="H1441" i="8"/>
  <c r="F1441" i="8"/>
  <c r="H3306" i="8"/>
  <c r="I3306" i="8" s="1"/>
  <c r="F3306" i="8"/>
  <c r="H3662" i="8"/>
  <c r="F3662" i="8"/>
  <c r="I3662" i="8"/>
  <c r="I2771" i="8"/>
  <c r="H2771" i="8"/>
  <c r="F2771" i="8"/>
  <c r="H1011" i="8"/>
  <c r="F1011" i="8"/>
  <c r="I1011" i="8"/>
  <c r="I2592" i="8"/>
  <c r="F2592" i="8"/>
  <c r="H2592" i="8"/>
  <c r="I1824" i="8"/>
  <c r="F1824" i="8"/>
  <c r="H1824" i="8"/>
  <c r="I1450" i="8"/>
  <c r="H1450" i="8"/>
  <c r="F1450" i="8"/>
  <c r="H806" i="8"/>
  <c r="F806" i="8"/>
  <c r="I806" i="8"/>
  <c r="F92" i="6"/>
  <c r="H830" i="8"/>
  <c r="F830" i="8"/>
  <c r="I830" i="8"/>
  <c r="H822" i="8"/>
  <c r="F822" i="8"/>
  <c r="I822" i="8"/>
  <c r="H790" i="8"/>
  <c r="F790" i="8"/>
  <c r="I790" i="8"/>
  <c r="F633" i="6"/>
  <c r="I2514" i="8"/>
  <c r="H2514" i="8"/>
  <c r="F2514" i="8"/>
  <c r="H3689" i="8"/>
  <c r="F3689" i="8"/>
  <c r="I3689" i="8"/>
  <c r="H4679" i="8"/>
  <c r="F4679" i="8"/>
  <c r="I4679" i="8"/>
  <c r="I1305" i="8"/>
  <c r="H1305" i="8"/>
  <c r="F1305" i="8"/>
  <c r="H4150" i="8"/>
  <c r="F4150" i="8"/>
  <c r="I4150" i="8"/>
  <c r="I2130" i="8"/>
  <c r="H2130" i="8"/>
  <c r="F2130" i="8"/>
  <c r="I2358" i="8"/>
  <c r="F2358" i="8"/>
  <c r="H2358" i="8"/>
  <c r="H4113" i="8"/>
  <c r="F4113" i="8"/>
  <c r="I4113" i="8"/>
  <c r="H522" i="8"/>
  <c r="F522" i="8"/>
  <c r="I522" i="8"/>
  <c r="F3461" i="8"/>
  <c r="H3461" i="8"/>
  <c r="I3461" i="8" s="1"/>
  <c r="H4617" i="8"/>
  <c r="I4617" i="8" s="1"/>
  <c r="F4617" i="8"/>
  <c r="H3362" i="8"/>
  <c r="I3362" i="8" s="1"/>
  <c r="F3362" i="8"/>
  <c r="H3351" i="8"/>
  <c r="I3351" i="8" s="1"/>
  <c r="F3351" i="8"/>
  <c r="F3413" i="8"/>
  <c r="H3413" i="8"/>
  <c r="I3413" i="8" s="1"/>
  <c r="H3361" i="8"/>
  <c r="I3361" i="8" s="1"/>
  <c r="F3361" i="8"/>
  <c r="H2828" i="8"/>
  <c r="I2828" i="8" s="1"/>
  <c r="F2828" i="8"/>
  <c r="H4417" i="8"/>
  <c r="F4417" i="8"/>
  <c r="I4417" i="8"/>
  <c r="I2516" i="8"/>
  <c r="H2516" i="8"/>
  <c r="F2516" i="8"/>
  <c r="H4188" i="8"/>
  <c r="F4188" i="8"/>
  <c r="I4188" i="8"/>
  <c r="I3178" i="8"/>
  <c r="H3178" i="8"/>
  <c r="F3178" i="8"/>
  <c r="H3878" i="8"/>
  <c r="F3878" i="8"/>
  <c r="I3878" i="8"/>
  <c r="H771" i="8"/>
  <c r="F771" i="8"/>
  <c r="I771" i="8"/>
  <c r="H3535" i="8"/>
  <c r="F3535" i="8"/>
  <c r="I3535" i="8"/>
  <c r="I3086" i="8"/>
  <c r="H3086" i="8"/>
  <c r="F3086" i="8"/>
  <c r="H4478" i="8"/>
  <c r="F4478" i="8"/>
  <c r="I4478" i="8"/>
  <c r="I1630" i="8"/>
  <c r="H1630" i="8"/>
  <c r="F1630" i="8"/>
  <c r="I2507" i="8"/>
  <c r="F2507" i="8"/>
  <c r="H2507" i="8"/>
  <c r="H4702" i="8"/>
  <c r="F4702" i="8"/>
  <c r="I4702" i="8"/>
  <c r="H4081" i="8"/>
  <c r="F4081" i="8"/>
  <c r="I4081" i="8"/>
  <c r="I1588" i="8"/>
  <c r="H1588" i="8"/>
  <c r="F1588" i="8"/>
  <c r="I2169" i="8"/>
  <c r="H2169" i="8"/>
  <c r="F2169" i="8"/>
  <c r="I1743" i="8"/>
  <c r="H1743" i="8"/>
  <c r="F1743" i="8"/>
  <c r="I1969" i="8"/>
  <c r="F1969" i="8"/>
  <c r="H1969" i="8"/>
  <c r="I2579" i="8"/>
  <c r="H2579" i="8"/>
  <c r="F2579" i="8"/>
  <c r="I2174" i="8"/>
  <c r="H2174" i="8"/>
  <c r="F2174" i="8"/>
  <c r="I3160" i="8"/>
  <c r="H3160" i="8"/>
  <c r="F3160" i="8"/>
  <c r="H3909" i="8"/>
  <c r="F3909" i="8"/>
  <c r="I3909" i="8"/>
  <c r="I2433" i="8"/>
  <c r="F2433" i="8"/>
  <c r="H2433" i="8"/>
  <c r="H3751" i="8"/>
  <c r="F3751" i="8"/>
  <c r="I3751" i="8"/>
  <c r="H3768" i="8"/>
  <c r="F3768" i="8"/>
  <c r="I3768" i="8"/>
  <c r="I2076" i="8"/>
  <c r="H2076" i="8"/>
  <c r="F2076" i="8"/>
  <c r="I2206" i="8"/>
  <c r="F2206" i="8"/>
  <c r="H2206" i="8"/>
  <c r="I3180" i="8"/>
  <c r="H3180" i="8"/>
  <c r="F3180" i="8"/>
  <c r="I3106" i="8"/>
  <c r="H3106" i="8"/>
  <c r="F3106" i="8"/>
  <c r="I1744" i="8"/>
  <c r="F1744" i="8"/>
  <c r="H1744" i="8"/>
  <c r="H3741" i="8"/>
  <c r="F3741" i="8"/>
  <c r="I3741" i="8"/>
  <c r="H1930" i="8"/>
  <c r="I1930" i="8" s="1"/>
  <c r="F1930" i="8"/>
  <c r="I2477" i="8"/>
  <c r="F2477" i="8"/>
  <c r="H2477" i="8"/>
  <c r="H746" i="8"/>
  <c r="F746" i="8"/>
  <c r="I746" i="8"/>
  <c r="H838" i="8"/>
  <c r="F838" i="8"/>
  <c r="I838" i="8"/>
  <c r="H1029" i="8"/>
  <c r="F1029" i="8"/>
  <c r="I1029" i="8"/>
  <c r="H4067" i="8"/>
  <c r="F4067" i="8"/>
  <c r="I4067" i="8"/>
  <c r="H4158" i="8"/>
  <c r="F4158" i="8"/>
  <c r="I4158" i="8"/>
  <c r="I2175" i="8"/>
  <c r="H2175" i="8"/>
  <c r="F2175" i="8"/>
  <c r="I1820" i="8"/>
  <c r="H1820" i="8"/>
  <c r="F1820" i="8"/>
  <c r="I2330" i="8"/>
  <c r="H2330" i="8"/>
  <c r="F2330" i="8"/>
  <c r="I1369" i="8"/>
  <c r="H1369" i="8"/>
  <c r="F1369" i="8"/>
  <c r="I2372" i="8"/>
  <c r="H2372" i="8"/>
  <c r="F2372" i="8"/>
  <c r="F152" i="6"/>
  <c r="I1692" i="8"/>
  <c r="H1692" i="8"/>
  <c r="F1692" i="8"/>
  <c r="H1005" i="8"/>
  <c r="F1005" i="8"/>
  <c r="I1005" i="8"/>
  <c r="H3616" i="8"/>
  <c r="F3616" i="8"/>
  <c r="I3616" i="8"/>
  <c r="F316" i="6"/>
  <c r="G309" i="6" s="1"/>
  <c r="H3784" i="8"/>
  <c r="F3784" i="8"/>
  <c r="I3784" i="8"/>
  <c r="I1235" i="8"/>
  <c r="H1235" i="8"/>
  <c r="F1235" i="8"/>
  <c r="I2802" i="8"/>
  <c r="H2802" i="8"/>
  <c r="F2802" i="8"/>
  <c r="H4451" i="8"/>
  <c r="F4451" i="8"/>
  <c r="I4451" i="8"/>
  <c r="H4190" i="8"/>
  <c r="F4190" i="8"/>
  <c r="I4190" i="8"/>
  <c r="H773" i="8"/>
  <c r="F773" i="8"/>
  <c r="I773" i="8"/>
  <c r="I2797" i="8"/>
  <c r="F2797" i="8"/>
  <c r="H2797" i="8"/>
  <c r="I1789" i="8"/>
  <c r="F1789" i="8"/>
  <c r="H1789" i="8"/>
  <c r="H405" i="8"/>
  <c r="F405" i="8"/>
  <c r="I405" i="8"/>
  <c r="H4213" i="8"/>
  <c r="F4213" i="8"/>
  <c r="I4213" i="8"/>
  <c r="I1626" i="8"/>
  <c r="H1626" i="8"/>
  <c r="F1626" i="8"/>
  <c r="H2824" i="8"/>
  <c r="I2824" i="8" s="1"/>
  <c r="F2824" i="8"/>
  <c r="H2854" i="8"/>
  <c r="I2854" i="8" s="1"/>
  <c r="F2854" i="8"/>
  <c r="F3365" i="8"/>
  <c r="H3365" i="8"/>
  <c r="I3365" i="8" s="1"/>
  <c r="H3039" i="8"/>
  <c r="I3039" i="8" s="1"/>
  <c r="F3039" i="8"/>
  <c r="F2893" i="8"/>
  <c r="H2893" i="8"/>
  <c r="I2893" i="8" s="1"/>
  <c r="H3795" i="8"/>
  <c r="F3795" i="8"/>
  <c r="I3795" i="8"/>
  <c r="I3150" i="8"/>
  <c r="H3150" i="8"/>
  <c r="F3150" i="8"/>
  <c r="H3805" i="8"/>
  <c r="F3805" i="8"/>
  <c r="I3805" i="8"/>
  <c r="H814" i="8"/>
  <c r="F814" i="8"/>
  <c r="I814" i="8"/>
  <c r="I2053" i="8"/>
  <c r="F2053" i="8"/>
  <c r="H2053" i="8"/>
  <c r="I2788" i="8"/>
  <c r="H2788" i="8"/>
  <c r="F2788" i="8"/>
  <c r="H4133" i="8"/>
  <c r="F4133" i="8"/>
  <c r="I4133" i="8"/>
  <c r="H4197" i="8"/>
  <c r="F4197" i="8"/>
  <c r="I4197" i="8"/>
  <c r="I3207" i="8"/>
  <c r="H3207" i="8"/>
  <c r="F3207" i="8"/>
  <c r="F275" i="6"/>
  <c r="H3521" i="8"/>
  <c r="F3521" i="8"/>
  <c r="I3521" i="8"/>
  <c r="I1242" i="8"/>
  <c r="H1242" i="8"/>
  <c r="F1242" i="8"/>
  <c r="I1526" i="8"/>
  <c r="F1526" i="8"/>
  <c r="H1526" i="8"/>
  <c r="I1959" i="8"/>
  <c r="H1959" i="8"/>
  <c r="F1959" i="8"/>
  <c r="I2030" i="8"/>
  <c r="H2030" i="8"/>
  <c r="F2030" i="8"/>
  <c r="I1543" i="8"/>
  <c r="H1543" i="8"/>
  <c r="F1543" i="8"/>
  <c r="I1952" i="8"/>
  <c r="F1952" i="8"/>
  <c r="H1952" i="8"/>
  <c r="H1054" i="8"/>
  <c r="F1054" i="8"/>
  <c r="I1054" i="8"/>
  <c r="G4691" i="5"/>
  <c r="I2530" i="8"/>
  <c r="H2530" i="8"/>
  <c r="F2530" i="8"/>
  <c r="H3812" i="8"/>
  <c r="F3812" i="8"/>
  <c r="I3812" i="8"/>
  <c r="H1020" i="8"/>
  <c r="F1020" i="8"/>
  <c r="I1020" i="8"/>
  <c r="I3125" i="8"/>
  <c r="F3125" i="8"/>
  <c r="H3125" i="8"/>
  <c r="I2142" i="8"/>
  <c r="F2142" i="8"/>
  <c r="H2142" i="8"/>
  <c r="I72" i="8"/>
  <c r="H72" i="8"/>
  <c r="F72" i="8"/>
  <c r="H3465" i="8"/>
  <c r="I3465" i="8" s="1"/>
  <c r="F3465" i="8"/>
  <c r="H5316" i="5"/>
  <c r="E1331" i="8" s="1"/>
  <c r="I1302" i="8"/>
  <c r="H1302" i="8"/>
  <c r="F1302" i="8"/>
  <c r="I2115" i="8"/>
  <c r="F2115" i="8"/>
  <c r="H2115" i="8"/>
  <c r="I1908" i="8"/>
  <c r="H1908" i="8"/>
  <c r="F1908" i="8"/>
  <c r="G314" i="5"/>
  <c r="I2342" i="8"/>
  <c r="F2342" i="8"/>
  <c r="H2342" i="8"/>
  <c r="I2339" i="8"/>
  <c r="H2339" i="8"/>
  <c r="F2339" i="8"/>
  <c r="I1674" i="8"/>
  <c r="H1674" i="8"/>
  <c r="F1674" i="8"/>
  <c r="H3780" i="8"/>
  <c r="F3780" i="8"/>
  <c r="I3780" i="8"/>
  <c r="I1942" i="8"/>
  <c r="F1942" i="8"/>
  <c r="H1942" i="8"/>
  <c r="H4434" i="8"/>
  <c r="F4434" i="8"/>
  <c r="I4434" i="8"/>
  <c r="H840" i="8"/>
  <c r="F840" i="8"/>
  <c r="I840" i="8"/>
  <c r="H697" i="8"/>
  <c r="F697" i="8"/>
  <c r="I697" i="8"/>
  <c r="H3525" i="8"/>
  <c r="F3525" i="8"/>
  <c r="I3525" i="8"/>
  <c r="I2178" i="8"/>
  <c r="H2178" i="8"/>
  <c r="F2178" i="8"/>
  <c r="H4018" i="8"/>
  <c r="F4018" i="8"/>
  <c r="I4018" i="8"/>
  <c r="F405" i="6"/>
  <c r="I1587" i="8"/>
  <c r="H1587" i="8"/>
  <c r="F1587" i="8"/>
  <c r="I2442" i="8"/>
  <c r="H2442" i="8"/>
  <c r="F2442" i="8"/>
  <c r="I2247" i="8"/>
  <c r="H2247" i="8"/>
  <c r="F2247" i="8"/>
  <c r="I2914" i="8"/>
  <c r="H2914" i="8"/>
  <c r="F2914" i="8"/>
  <c r="H689" i="8"/>
  <c r="F689" i="8"/>
  <c r="I689" i="8"/>
  <c r="H4125" i="8"/>
  <c r="F4125" i="8"/>
  <c r="I4125" i="8"/>
  <c r="H648" i="8"/>
  <c r="F648" i="8"/>
  <c r="I648" i="8"/>
  <c r="I1603" i="8"/>
  <c r="H1603" i="8"/>
  <c r="F1603" i="8"/>
  <c r="I169" i="8"/>
  <c r="H169" i="8"/>
  <c r="F169" i="8"/>
  <c r="H3540" i="8"/>
  <c r="F3540" i="8"/>
  <c r="I3540" i="8"/>
  <c r="I3290" i="8"/>
  <c r="H3290" i="8"/>
  <c r="F3290" i="8"/>
  <c r="G3774" i="5"/>
  <c r="H1055" i="8"/>
  <c r="F1055" i="8"/>
  <c r="I1055" i="8"/>
  <c r="I2086" i="8"/>
  <c r="H2086" i="8"/>
  <c r="F2086" i="8"/>
  <c r="H3761" i="8"/>
  <c r="F3761" i="8"/>
  <c r="I3761" i="8"/>
  <c r="I2453" i="8"/>
  <c r="F2453" i="8"/>
  <c r="H2453" i="8"/>
  <c r="H4764" i="8"/>
  <c r="F4764" i="8"/>
  <c r="I4764" i="8"/>
  <c r="H730" i="8"/>
  <c r="F730" i="8"/>
  <c r="I730" i="8"/>
  <c r="I1371" i="8"/>
  <c r="H1371" i="8"/>
  <c r="F1371" i="8"/>
  <c r="H633" i="8"/>
  <c r="F633" i="8"/>
  <c r="I633" i="8"/>
  <c r="I2209" i="8"/>
  <c r="F2209" i="8"/>
  <c r="H2209" i="8"/>
  <c r="I1724" i="8"/>
  <c r="H1724" i="8"/>
  <c r="F1724" i="8"/>
  <c r="I2716" i="8"/>
  <c r="H2716" i="8"/>
  <c r="F2716" i="8"/>
  <c r="H4026" i="8"/>
  <c r="F4026" i="8"/>
  <c r="I4026" i="8"/>
  <c r="H4622" i="8"/>
  <c r="I4622" i="8" s="1"/>
  <c r="F4622" i="8"/>
  <c r="H3043" i="8"/>
  <c r="I3043" i="8" s="1"/>
  <c r="F3043" i="8"/>
  <c r="F3029" i="8"/>
  <c r="H3029" i="8"/>
  <c r="I3029" i="8" s="1"/>
  <c r="H3422" i="8"/>
  <c r="I3422" i="8" s="1"/>
  <c r="F3422" i="8"/>
  <c r="H62" i="8"/>
  <c r="I62" i="8" s="1"/>
  <c r="F62" i="8"/>
  <c r="I1216" i="8"/>
  <c r="F1216" i="8"/>
  <c r="H1216" i="8"/>
  <c r="I2455" i="8"/>
  <c r="H2455" i="8"/>
  <c r="F2455" i="8"/>
  <c r="I3187" i="8"/>
  <c r="H3187" i="8"/>
  <c r="F3187" i="8"/>
  <c r="F231" i="6"/>
  <c r="G223" i="6" s="1"/>
  <c r="I2060" i="8"/>
  <c r="H2060" i="8"/>
  <c r="F2060" i="8"/>
  <c r="I69" i="8"/>
  <c r="H69" i="8"/>
  <c r="F69" i="8"/>
  <c r="H474" i="8"/>
  <c r="F474" i="8"/>
  <c r="I474" i="8"/>
  <c r="H4277" i="8"/>
  <c r="F4277" i="8"/>
  <c r="I4277" i="8"/>
  <c r="H4013" i="8"/>
  <c r="F4013" i="8"/>
  <c r="I4013" i="8"/>
  <c r="I2565" i="8"/>
  <c r="F2565" i="8"/>
  <c r="H2565" i="8"/>
  <c r="I2171" i="8"/>
  <c r="F2171" i="8"/>
  <c r="H2171" i="8"/>
  <c r="H3835" i="8"/>
  <c r="F3835" i="8"/>
  <c r="I3835" i="8"/>
  <c r="I2610" i="8"/>
  <c r="H2610" i="8"/>
  <c r="F2610" i="8"/>
  <c r="H3803" i="8"/>
  <c r="F3803" i="8"/>
  <c r="I3803" i="8"/>
  <c r="G2659" i="5"/>
  <c r="H4553" i="8"/>
  <c r="F4553" i="8"/>
  <c r="I4553" i="8"/>
  <c r="I1498" i="8"/>
  <c r="H1498" i="8"/>
  <c r="F1498" i="8"/>
  <c r="F151" i="6"/>
  <c r="G144" i="6" s="1"/>
  <c r="I2344" i="8"/>
  <c r="H2344" i="8"/>
  <c r="F2344" i="8"/>
  <c r="I3064" i="8"/>
  <c r="H3064" i="8"/>
  <c r="F3064" i="8"/>
  <c r="I2210" i="8"/>
  <c r="H2210" i="8"/>
  <c r="F2210" i="8"/>
  <c r="I1429" i="8"/>
  <c r="H1429" i="8"/>
  <c r="F1429" i="8"/>
  <c r="H3684" i="8"/>
  <c r="F3684" i="8"/>
  <c r="I3684" i="8"/>
  <c r="H782" i="8"/>
  <c r="F782" i="8"/>
  <c r="I782" i="8"/>
  <c r="H847" i="8"/>
  <c r="F847" i="8"/>
  <c r="I847" i="8"/>
  <c r="H392" i="8"/>
  <c r="I392" i="8"/>
  <c r="F392" i="8"/>
  <c r="I1632" i="8"/>
  <c r="F1632" i="8"/>
  <c r="H1632" i="8"/>
  <c r="I1280" i="8"/>
  <c r="F1280" i="8"/>
  <c r="H1280" i="8"/>
  <c r="I2176" i="8"/>
  <c r="F2176" i="8"/>
  <c r="H2176" i="8"/>
  <c r="I1704" i="8"/>
  <c r="H1704" i="8"/>
  <c r="F1704" i="8"/>
  <c r="H445" i="8"/>
  <c r="F445" i="8"/>
  <c r="I445" i="8"/>
  <c r="I1507" i="8"/>
  <c r="H1507" i="8"/>
  <c r="F1507" i="8"/>
  <c r="I2590" i="8"/>
  <c r="F2590" i="8"/>
  <c r="H2590" i="8"/>
  <c r="I3205" i="8"/>
  <c r="F3205" i="8"/>
  <c r="H3205" i="8"/>
  <c r="I2512" i="8"/>
  <c r="F2512" i="8"/>
  <c r="H2512" i="8"/>
  <c r="H9814" i="5"/>
  <c r="E4270" i="8" s="1"/>
  <c r="H440" i="8"/>
  <c r="I440" i="8"/>
  <c r="F440" i="8"/>
  <c r="I3182" i="8"/>
  <c r="H3182" i="8"/>
  <c r="F3182" i="8"/>
  <c r="H2818" i="8"/>
  <c r="I2818" i="8" s="1"/>
  <c r="F2818" i="8"/>
  <c r="H2822" i="8"/>
  <c r="I2822" i="8" s="1"/>
  <c r="F2822" i="8"/>
  <c r="F3323" i="8"/>
  <c r="H3323" i="8"/>
  <c r="I3323" i="8" s="1"/>
  <c r="I2522" i="8"/>
  <c r="H2522" i="8"/>
  <c r="F2522" i="8"/>
  <c r="H4536" i="8"/>
  <c r="F4536" i="8"/>
  <c r="I4536" i="8"/>
  <c r="H4367" i="8"/>
  <c r="F4367" i="8"/>
  <c r="I4367" i="8"/>
  <c r="H3673" i="8"/>
  <c r="F3673" i="8"/>
  <c r="I3673" i="8"/>
  <c r="H4074" i="8"/>
  <c r="F4074" i="8"/>
  <c r="I4074" i="8"/>
  <c r="I140" i="8"/>
  <c r="H140" i="8"/>
  <c r="F140" i="8"/>
  <c r="H3740" i="8"/>
  <c r="F3740" i="8"/>
  <c r="I3740" i="8"/>
  <c r="I2636" i="8"/>
  <c r="H2636" i="8"/>
  <c r="F2636" i="8"/>
  <c r="H543" i="8"/>
  <c r="F543" i="8"/>
  <c r="I543" i="8"/>
  <c r="H1056" i="8"/>
  <c r="F1056" i="8"/>
  <c r="I1056" i="8"/>
  <c r="I1768" i="8"/>
  <c r="H1768" i="8"/>
  <c r="F1768" i="8"/>
  <c r="H4169" i="8"/>
  <c r="F4169" i="8"/>
  <c r="I4169" i="8"/>
  <c r="F634" i="6"/>
  <c r="H4097" i="8"/>
  <c r="F4097" i="8"/>
  <c r="I4097" i="8"/>
  <c r="I1195" i="8"/>
  <c r="H1195" i="8"/>
  <c r="F1195" i="8"/>
  <c r="H4148" i="8"/>
  <c r="F4148" i="8"/>
  <c r="I4148" i="8"/>
  <c r="H4799" i="8"/>
  <c r="F4799" i="8"/>
  <c r="I4799" i="8"/>
  <c r="H658" i="8"/>
  <c r="F658" i="8"/>
  <c r="I658" i="8"/>
  <c r="H4563" i="8"/>
  <c r="F4563" i="8"/>
  <c r="I4563" i="8"/>
  <c r="I3156" i="8"/>
  <c r="H3156" i="8"/>
  <c r="F3156" i="8"/>
  <c r="H749" i="8"/>
  <c r="F749" i="8"/>
  <c r="I749" i="8"/>
  <c r="I1656" i="8"/>
  <c r="H1656" i="8"/>
  <c r="F1656" i="8"/>
  <c r="I2198" i="8"/>
  <c r="H2198" i="8"/>
  <c r="F2198" i="8"/>
  <c r="G291" i="5"/>
  <c r="I2117" i="8"/>
  <c r="F2117" i="8"/>
  <c r="H2117" i="8"/>
  <c r="H3659" i="8"/>
  <c r="F3659" i="8"/>
  <c r="I3659" i="8"/>
  <c r="I1936" i="8"/>
  <c r="F1936" i="8"/>
  <c r="H1936" i="8"/>
  <c r="H4215" i="8"/>
  <c r="F4215" i="8"/>
  <c r="I4215" i="8"/>
  <c r="I2691" i="8"/>
  <c r="H2691" i="8"/>
  <c r="F2691" i="8"/>
  <c r="G4734" i="5"/>
  <c r="I1217" i="8"/>
  <c r="H1217" i="8"/>
  <c r="F1217" i="8"/>
  <c r="H3503" i="8"/>
  <c r="F3503" i="8"/>
  <c r="I3503" i="8"/>
  <c r="H3647" i="8"/>
  <c r="F3647" i="8"/>
  <c r="I3647" i="8"/>
  <c r="I1964" i="8"/>
  <c r="H1964" i="8"/>
  <c r="F1964" i="8"/>
  <c r="I3009" i="8"/>
  <c r="H3009" i="8"/>
  <c r="F3009" i="8"/>
  <c r="I1968" i="8"/>
  <c r="F1968" i="8"/>
  <c r="H1968" i="8"/>
  <c r="H4701" i="8"/>
  <c r="F4701" i="8"/>
  <c r="I4701" i="8"/>
  <c r="F714" i="6"/>
  <c r="I2294" i="8"/>
  <c r="H2294" i="8"/>
  <c r="F2294" i="8"/>
  <c r="G3773" i="5"/>
  <c r="H3665" i="8"/>
  <c r="F3665" i="8"/>
  <c r="I3665" i="8"/>
  <c r="H4101" i="8"/>
  <c r="F4101" i="8"/>
  <c r="I4101" i="8"/>
  <c r="I2681" i="8"/>
  <c r="H2681" i="8"/>
  <c r="F2681" i="8"/>
  <c r="I2170" i="8"/>
  <c r="H2170" i="8"/>
  <c r="F2170" i="8"/>
  <c r="I2711" i="8"/>
  <c r="H2711" i="8"/>
  <c r="F2711" i="8"/>
  <c r="H780" i="8"/>
  <c r="F780" i="8"/>
  <c r="I780" i="8"/>
  <c r="H4814" i="8"/>
  <c r="F4814" i="8"/>
  <c r="I4814" i="8"/>
  <c r="I2675" i="8"/>
  <c r="H2675" i="8"/>
  <c r="F2675" i="8"/>
  <c r="H4004" i="8"/>
  <c r="F4004" i="8"/>
  <c r="I4004" i="8"/>
  <c r="H776" i="8"/>
  <c r="F776" i="8"/>
  <c r="I776" i="8"/>
  <c r="G6400" i="5"/>
  <c r="I3115" i="8"/>
  <c r="F3115" i="8"/>
  <c r="H3115" i="8"/>
  <c r="H343" i="5"/>
  <c r="E86" i="8" s="1"/>
  <c r="H4717" i="8"/>
  <c r="F4717" i="8"/>
  <c r="I4717" i="8"/>
  <c r="H3853" i="8"/>
  <c r="F3853" i="8"/>
  <c r="I3853" i="8"/>
  <c r="I2935" i="8"/>
  <c r="H2935" i="8"/>
  <c r="F2935" i="8"/>
  <c r="I2768" i="8"/>
  <c r="F2768" i="8"/>
  <c r="H2768" i="8"/>
  <c r="I2536" i="8"/>
  <c r="H2536" i="8"/>
  <c r="F2536" i="8"/>
  <c r="I2224" i="8"/>
  <c r="F2224" i="8"/>
  <c r="H2224" i="8"/>
  <c r="H654" i="8"/>
  <c r="F654" i="8"/>
  <c r="I654" i="8"/>
  <c r="H4189" i="8"/>
  <c r="F4189" i="8"/>
  <c r="I4189" i="8"/>
  <c r="G4080" i="5"/>
  <c r="H3725" i="8"/>
  <c r="F3725" i="8"/>
  <c r="I3725" i="8"/>
  <c r="H622" i="8"/>
  <c r="F622" i="8"/>
  <c r="I622" i="8"/>
  <c r="I2350" i="8"/>
  <c r="F2350" i="8"/>
  <c r="H2350" i="8"/>
  <c r="H4084" i="8"/>
  <c r="F4084" i="8"/>
  <c r="I4084" i="8"/>
  <c r="H468" i="8"/>
  <c r="F468" i="8"/>
  <c r="I468" i="8"/>
  <c r="H1000" i="8"/>
  <c r="F1000" i="8"/>
  <c r="I1000" i="8"/>
  <c r="I1772" i="8"/>
  <c r="H1772" i="8"/>
  <c r="F1772" i="8"/>
  <c r="H804" i="8"/>
  <c r="F804" i="8"/>
  <c r="I804" i="8"/>
  <c r="I3159" i="8"/>
  <c r="H3159" i="8"/>
  <c r="F3159" i="8"/>
  <c r="I1916" i="8"/>
  <c r="H1916" i="8"/>
  <c r="F1916" i="8"/>
  <c r="I2201" i="8"/>
  <c r="H2201" i="8"/>
  <c r="F2201" i="8"/>
  <c r="I1823" i="8"/>
  <c r="H1823" i="8"/>
  <c r="F1823" i="8"/>
  <c r="I2450" i="8"/>
  <c r="H2450" i="8"/>
  <c r="F2450" i="8"/>
  <c r="H4597" i="8"/>
  <c r="F4597" i="8"/>
  <c r="I4597" i="8"/>
  <c r="I2846" i="8"/>
  <c r="H2846" i="8"/>
  <c r="F2846" i="8"/>
  <c r="I3103" i="8"/>
  <c r="H3103" i="8"/>
  <c r="F3103" i="8"/>
  <c r="I2555" i="8"/>
  <c r="F2555" i="8"/>
  <c r="H2555" i="8"/>
  <c r="I2055" i="8"/>
  <c r="H2055" i="8"/>
  <c r="F2055" i="8"/>
  <c r="I1443" i="8"/>
  <c r="H1443" i="8"/>
  <c r="F1443" i="8"/>
  <c r="I2977" i="8"/>
  <c r="H2977" i="8"/>
  <c r="F2977" i="8"/>
  <c r="I2527" i="8"/>
  <c r="H2527" i="8"/>
  <c r="F2527" i="8"/>
  <c r="I1615" i="8"/>
  <c r="H1615" i="8"/>
  <c r="F1615" i="8"/>
  <c r="I3057" i="8"/>
  <c r="H3057" i="8"/>
  <c r="F3057" i="8"/>
  <c r="I1877" i="8"/>
  <c r="F1877" i="8"/>
  <c r="H1877" i="8"/>
  <c r="I3436" i="8"/>
  <c r="H3436" i="8"/>
  <c r="F3436" i="8"/>
  <c r="H3926" i="8"/>
  <c r="F3926" i="8"/>
  <c r="I3926" i="8"/>
  <c r="I1502" i="8"/>
  <c r="H1502" i="8"/>
  <c r="F1502" i="8"/>
  <c r="H4574" i="8"/>
  <c r="F4574" i="8"/>
  <c r="I4574" i="8"/>
  <c r="H399" i="8"/>
  <c r="I399" i="8"/>
  <c r="F399" i="8"/>
  <c r="H3731" i="8"/>
  <c r="F3731" i="8"/>
  <c r="I3731" i="8"/>
  <c r="F57" i="6"/>
  <c r="H681" i="8"/>
  <c r="F681" i="8"/>
  <c r="I681" i="8"/>
  <c r="I71" i="8"/>
  <c r="H71" i="8"/>
  <c r="F71" i="8"/>
  <c r="H550" i="8"/>
  <c r="F550" i="8"/>
  <c r="I550" i="8"/>
  <c r="I1776" i="8"/>
  <c r="F1776" i="8"/>
  <c r="H1776" i="8"/>
  <c r="H3777" i="8"/>
  <c r="F3777" i="8"/>
  <c r="I3777" i="8"/>
  <c r="H4078" i="8"/>
  <c r="F4078" i="8"/>
  <c r="I4078" i="8"/>
  <c r="H651" i="8"/>
  <c r="F651" i="8"/>
  <c r="I651" i="8"/>
  <c r="H565" i="8"/>
  <c r="F565" i="8"/>
  <c r="I565" i="8"/>
  <c r="I2156" i="8"/>
  <c r="H2156" i="8"/>
  <c r="F2156" i="8"/>
  <c r="H618" i="8"/>
  <c r="F618" i="8"/>
  <c r="I618" i="8"/>
  <c r="I2306" i="8"/>
  <c r="H2306" i="8"/>
  <c r="F2306" i="8"/>
  <c r="I2972" i="8"/>
  <c r="H2972" i="8"/>
  <c r="F2972" i="8"/>
  <c r="I1167" i="8"/>
  <c r="F1167" i="8"/>
  <c r="H1167" i="8"/>
  <c r="I2525" i="8"/>
  <c r="F2525" i="8"/>
  <c r="H2525" i="8"/>
  <c r="H2831" i="8"/>
  <c r="I2831" i="8" s="1"/>
  <c r="F2831" i="8"/>
  <c r="H4623" i="8"/>
  <c r="I4623" i="8" s="1"/>
  <c r="F4623" i="8"/>
  <c r="I2419" i="8"/>
  <c r="H2419" i="8"/>
  <c r="F2419" i="8"/>
  <c r="H793" i="8"/>
  <c r="F793" i="8"/>
  <c r="I793" i="8"/>
  <c r="H3902" i="8"/>
  <c r="F3902" i="8"/>
  <c r="I3902" i="8"/>
  <c r="H3876" i="8"/>
  <c r="F3876" i="8"/>
  <c r="I3876" i="8"/>
  <c r="H3372" i="8"/>
  <c r="I3372" i="8" s="1"/>
  <c r="F3372" i="8"/>
  <c r="H502" i="8"/>
  <c r="F502" i="8"/>
  <c r="I502" i="8"/>
  <c r="I3124" i="8"/>
  <c r="H3124" i="8"/>
  <c r="F3124" i="8"/>
  <c r="I2624" i="8"/>
  <c r="F2624" i="8"/>
  <c r="H2624" i="8"/>
  <c r="I2633" i="8"/>
  <c r="H2633" i="8"/>
  <c r="F2633" i="8"/>
  <c r="H4128" i="8"/>
  <c r="F4128" i="8"/>
  <c r="I4128" i="8"/>
  <c r="H4054" i="8"/>
  <c r="F4054" i="8"/>
  <c r="I4054" i="8"/>
  <c r="H430" i="8"/>
  <c r="I430" i="8"/>
  <c r="F430" i="8"/>
  <c r="I2120" i="8"/>
  <c r="F2120" i="8"/>
  <c r="H2120" i="8"/>
  <c r="I1492" i="8"/>
  <c r="H1492" i="8"/>
  <c r="F1492" i="8"/>
  <c r="I1766" i="8"/>
  <c r="F1766" i="8"/>
  <c r="H1766" i="8"/>
  <c r="I2108" i="8"/>
  <c r="H2108" i="8"/>
  <c r="F2108" i="8"/>
  <c r="I1989" i="8"/>
  <c r="F1989" i="8"/>
  <c r="H1989" i="8"/>
  <c r="I2480" i="8"/>
  <c r="F2480" i="8"/>
  <c r="H2480" i="8"/>
  <c r="H454" i="8"/>
  <c r="F454" i="8"/>
  <c r="I454" i="8"/>
  <c r="I1616" i="8"/>
  <c r="F1616" i="8"/>
  <c r="H1616" i="8"/>
  <c r="I1390" i="8"/>
  <c r="H1390" i="8"/>
  <c r="F1390" i="8"/>
  <c r="I2475" i="8"/>
  <c r="F2475" i="8"/>
  <c r="H2475" i="8"/>
  <c r="I3287" i="8"/>
  <c r="H3287" i="8"/>
  <c r="F3287" i="8"/>
  <c r="H4686" i="8"/>
  <c r="F4686" i="8"/>
  <c r="I4686" i="8"/>
  <c r="H839" i="8"/>
  <c r="F839" i="8"/>
  <c r="I839" i="8"/>
  <c r="H3635" i="8"/>
  <c r="F3635" i="8"/>
  <c r="I3635" i="8"/>
  <c r="I1723" i="8"/>
  <c r="F1723" i="8"/>
  <c r="H1723" i="8"/>
  <c r="I3088" i="8"/>
  <c r="F3088" i="8"/>
  <c r="H3088" i="8"/>
  <c r="I1680" i="8"/>
  <c r="F1680" i="8"/>
  <c r="H1680" i="8"/>
  <c r="I1520" i="8"/>
  <c r="F1520" i="8"/>
  <c r="H1520" i="8"/>
  <c r="I2314" i="8"/>
  <c r="H2314" i="8"/>
  <c r="F2314" i="8"/>
  <c r="I1827" i="8"/>
  <c r="H1827" i="8"/>
  <c r="F1827" i="8"/>
  <c r="I3238" i="8"/>
  <c r="H3238" i="8"/>
  <c r="F3238" i="8"/>
  <c r="I2769" i="8"/>
  <c r="H2769" i="8"/>
  <c r="F2769" i="8"/>
  <c r="H4072" i="8"/>
  <c r="F4072" i="8"/>
  <c r="I4072" i="8"/>
  <c r="H3579" i="8"/>
  <c r="F3579" i="8"/>
  <c r="I3579" i="8"/>
  <c r="H3816" i="8"/>
  <c r="F3816" i="8"/>
  <c r="I3816" i="8"/>
  <c r="I3275" i="8"/>
  <c r="F3275" i="8"/>
  <c r="H3275" i="8"/>
  <c r="I2024" i="8"/>
  <c r="H2024" i="8"/>
  <c r="F2024" i="8"/>
  <c r="I2269" i="8"/>
  <c r="F2269" i="8"/>
  <c r="H2269" i="8"/>
  <c r="I1646" i="8"/>
  <c r="H1646" i="8"/>
  <c r="F1646" i="8"/>
  <c r="I2021" i="8"/>
  <c r="F2021" i="8"/>
  <c r="H2021" i="8"/>
  <c r="H3796" i="8"/>
  <c r="F3796" i="8"/>
  <c r="I3796" i="8"/>
  <c r="H4470" i="8"/>
  <c r="F4470" i="8"/>
  <c r="I4470" i="8"/>
  <c r="I3157" i="8"/>
  <c r="F3157" i="8"/>
  <c r="H3157" i="8"/>
  <c r="H4627" i="8"/>
  <c r="F4627" i="8"/>
  <c r="I4627" i="8"/>
  <c r="I1448" i="8"/>
  <c r="F1448" i="8"/>
  <c r="H1448" i="8"/>
  <c r="H4446" i="8"/>
  <c r="F4446" i="8"/>
  <c r="I4446" i="8"/>
  <c r="I2563" i="8"/>
  <c r="H2563" i="8"/>
  <c r="F2563" i="8"/>
  <c r="I1611" i="8"/>
  <c r="F1611" i="8"/>
  <c r="H1611" i="8"/>
  <c r="I1801" i="8"/>
  <c r="H1801" i="8"/>
  <c r="F1801" i="8"/>
  <c r="I2535" i="8"/>
  <c r="H2535" i="8"/>
  <c r="F2535" i="8"/>
  <c r="H807" i="8"/>
  <c r="F807" i="8"/>
  <c r="I807" i="8"/>
  <c r="I2718" i="8"/>
  <c r="H2718" i="8"/>
  <c r="F2718" i="8"/>
  <c r="H786" i="8"/>
  <c r="F786" i="8"/>
  <c r="I786" i="8"/>
  <c r="I1726" i="8"/>
  <c r="H1726" i="8"/>
  <c r="F1726" i="8"/>
  <c r="H3920" i="8"/>
  <c r="F3920" i="8"/>
  <c r="I3920" i="8"/>
  <c r="H816" i="8"/>
  <c r="F816" i="8"/>
  <c r="I816" i="8"/>
  <c r="I2841" i="8"/>
  <c r="H2841" i="8"/>
  <c r="F2841" i="8"/>
  <c r="G3960" i="5"/>
  <c r="H4412" i="8"/>
  <c r="F4412" i="8"/>
  <c r="I4412" i="8"/>
  <c r="I2574" i="8"/>
  <c r="F2574" i="8"/>
  <c r="H2574" i="8"/>
  <c r="I1329" i="8"/>
  <c r="H1329" i="8"/>
  <c r="F1329" i="8"/>
  <c r="I1974" i="8"/>
  <c r="F1974" i="8"/>
  <c r="H1974" i="8"/>
  <c r="I1971" i="8"/>
  <c r="H1971" i="8"/>
  <c r="F1971" i="8"/>
  <c r="H4159" i="8"/>
  <c r="F4159" i="8"/>
  <c r="I4159" i="8"/>
  <c r="H4782" i="8"/>
  <c r="F4782" i="8"/>
  <c r="I4782" i="8"/>
  <c r="H4205" i="8"/>
  <c r="F4205" i="8"/>
  <c r="I4205" i="8"/>
  <c r="H3895" i="8"/>
  <c r="F3895" i="8"/>
  <c r="I3895" i="8"/>
  <c r="H4118" i="8"/>
  <c r="F4118" i="8"/>
  <c r="I4118" i="8"/>
  <c r="I2245" i="8"/>
  <c r="F2245" i="8"/>
  <c r="H2245" i="8"/>
  <c r="I2916" i="8"/>
  <c r="H2916" i="8"/>
  <c r="F2916" i="8"/>
  <c r="H4699" i="8"/>
  <c r="F4699" i="8"/>
  <c r="I4699" i="8"/>
  <c r="I2361" i="8"/>
  <c r="F2361" i="8"/>
  <c r="H2361" i="8"/>
  <c r="H3617" i="8"/>
  <c r="F3617" i="8"/>
  <c r="I3617" i="8"/>
  <c r="I2502" i="8"/>
  <c r="H2502" i="8"/>
  <c r="F2502" i="8"/>
  <c r="I70" i="8"/>
  <c r="H70" i="8"/>
  <c r="F70" i="8"/>
  <c r="I1233" i="8"/>
  <c r="H1233" i="8"/>
  <c r="F1233" i="8"/>
  <c r="H1072" i="8"/>
  <c r="F1072" i="8"/>
  <c r="I1072" i="8"/>
  <c r="I2034" i="8"/>
  <c r="H2034" i="8"/>
  <c r="F2034" i="8"/>
  <c r="I2148" i="8"/>
  <c r="H2148" i="8"/>
  <c r="F2148" i="8"/>
  <c r="H3664" i="8"/>
  <c r="F3664" i="8"/>
  <c r="I3664" i="8"/>
  <c r="F246" i="6"/>
  <c r="F504" i="6"/>
  <c r="I1946" i="8"/>
  <c r="H1946" i="8"/>
  <c r="F1946" i="8"/>
  <c r="H1025" i="8"/>
  <c r="F1025" i="8"/>
  <c r="I1025" i="8"/>
  <c r="I3274" i="8"/>
  <c r="H3274" i="8"/>
  <c r="F3274" i="8"/>
  <c r="I2839" i="8"/>
  <c r="H2839" i="8"/>
  <c r="F2839" i="8"/>
  <c r="I2397" i="8"/>
  <c r="F2397" i="8"/>
  <c r="H2397" i="8"/>
  <c r="H3756" i="8"/>
  <c r="F3756" i="8"/>
  <c r="I3756" i="8"/>
  <c r="I1531" i="8"/>
  <c r="F1531" i="8"/>
  <c r="H1531" i="8"/>
  <c r="H3643" i="8"/>
  <c r="F3643" i="8"/>
  <c r="I3643" i="8"/>
  <c r="I1521" i="8"/>
  <c r="F1521" i="8"/>
  <c r="H1521" i="8"/>
  <c r="H4185" i="8"/>
  <c r="F4185" i="8"/>
  <c r="I4185" i="8"/>
  <c r="H998" i="8"/>
  <c r="F998" i="8"/>
  <c r="I998" i="8"/>
  <c r="I1458" i="8"/>
  <c r="H1458" i="8"/>
  <c r="F1458" i="8"/>
  <c r="H4008" i="8"/>
  <c r="F4008" i="8"/>
  <c r="I4008" i="8"/>
  <c r="H4223" i="8"/>
  <c r="F4223" i="8"/>
  <c r="I4223" i="8"/>
  <c r="H3629" i="8"/>
  <c r="F3629" i="8"/>
  <c r="I3629" i="8"/>
  <c r="I2015" i="8"/>
  <c r="H2015" i="8"/>
  <c r="F2015" i="8"/>
  <c r="H3773" i="8"/>
  <c r="F3773" i="8"/>
  <c r="I3773" i="8"/>
  <c r="I2159" i="8"/>
  <c r="H2159" i="8"/>
  <c r="F2159" i="8"/>
  <c r="H601" i="8"/>
  <c r="F601" i="8"/>
  <c r="I601" i="8"/>
  <c r="H614" i="8"/>
  <c r="F614" i="8"/>
  <c r="I614" i="8"/>
  <c r="I2573" i="8"/>
  <c r="F2573" i="8"/>
  <c r="H2573" i="8"/>
  <c r="I2506" i="8"/>
  <c r="H2506" i="8"/>
  <c r="F2506" i="8"/>
  <c r="I1879" i="8"/>
  <c r="H1879" i="8"/>
  <c r="F1879" i="8"/>
  <c r="H433" i="8"/>
  <c r="F433" i="8"/>
  <c r="I433" i="8"/>
  <c r="I77" i="8"/>
  <c r="H77" i="8"/>
  <c r="F77" i="8"/>
  <c r="H3715" i="8"/>
  <c r="F3715" i="8"/>
  <c r="I3715" i="8"/>
  <c r="I1402" i="8"/>
  <c r="H1402" i="8"/>
  <c r="F1402" i="8"/>
  <c r="I2302" i="8"/>
  <c r="F2302" i="8"/>
  <c r="H2302" i="8"/>
  <c r="I3153" i="8"/>
  <c r="H3153" i="8"/>
  <c r="F3153" i="8"/>
  <c r="H4168" i="8"/>
  <c r="F4168" i="8"/>
  <c r="I4168" i="8"/>
  <c r="I1150" i="8"/>
  <c r="H1150" i="8"/>
  <c r="F1150" i="8"/>
  <c r="I2307" i="8"/>
  <c r="H2307" i="8"/>
  <c r="F2307" i="8"/>
  <c r="H4416" i="8"/>
  <c r="F4416" i="8"/>
  <c r="I4416" i="8"/>
  <c r="H1001" i="8"/>
  <c r="F1001" i="8"/>
  <c r="I1001" i="8"/>
  <c r="H3637" i="8"/>
  <c r="F3637" i="8"/>
  <c r="I3637" i="8"/>
  <c r="I2326" i="8"/>
  <c r="F2326" i="8"/>
  <c r="H2326" i="8"/>
  <c r="H3817" i="8"/>
  <c r="F3817" i="8"/>
  <c r="I3817" i="8"/>
  <c r="H423" i="8"/>
  <c r="I423" i="8"/>
  <c r="F423" i="8"/>
  <c r="H3686" i="8"/>
  <c r="F3686" i="8"/>
  <c r="I3686" i="8"/>
  <c r="H4469" i="8"/>
  <c r="F4469" i="8"/>
  <c r="I4469" i="8"/>
  <c r="I3067" i="8"/>
  <c r="F3067" i="8"/>
  <c r="H3067" i="8"/>
  <c r="H3893" i="8"/>
  <c r="F3893" i="8"/>
  <c r="I3893" i="8"/>
  <c r="I2928" i="8"/>
  <c r="F2928" i="8"/>
  <c r="H2928" i="8"/>
  <c r="I1734" i="8"/>
  <c r="F1734" i="8"/>
  <c r="H1734" i="8"/>
  <c r="G2660" i="5"/>
  <c r="H944" i="8"/>
  <c r="F944" i="8"/>
  <c r="I944" i="8"/>
  <c r="H670" i="8"/>
  <c r="F670" i="8"/>
  <c r="I670" i="8"/>
  <c r="H843" i="8"/>
  <c r="F843" i="8"/>
  <c r="I843" i="8"/>
  <c r="G5339" i="5"/>
  <c r="I1372" i="8"/>
  <c r="H1372" i="8"/>
  <c r="F1372" i="8"/>
  <c r="H444" i="8"/>
  <c r="F444" i="8"/>
  <c r="I444" i="8"/>
  <c r="F303" i="6"/>
  <c r="I1745" i="8"/>
  <c r="F1745" i="8"/>
  <c r="H1745" i="8"/>
  <c r="I2532" i="8"/>
  <c r="H2532" i="8"/>
  <c r="F2532" i="8"/>
  <c r="I1437" i="8"/>
  <c r="H1437" i="8"/>
  <c r="F1437" i="8"/>
  <c r="G6433" i="5"/>
  <c r="H3830" i="8"/>
  <c r="F3830" i="8"/>
  <c r="I3830" i="8"/>
  <c r="H466" i="8"/>
  <c r="F466" i="8"/>
  <c r="I466" i="8"/>
  <c r="I1187" i="8"/>
  <c r="H1187" i="8"/>
  <c r="F1187" i="8"/>
  <c r="H3625" i="8"/>
  <c r="F3625" i="8"/>
  <c r="I3625" i="8"/>
  <c r="H613" i="8"/>
  <c r="F613" i="8"/>
  <c r="I613" i="8"/>
  <c r="I1870" i="8"/>
  <c r="H1870" i="8"/>
  <c r="F1870" i="8"/>
  <c r="I2422" i="8"/>
  <c r="F2422" i="8"/>
  <c r="H2422" i="8"/>
  <c r="I1992" i="8"/>
  <c r="H1992" i="8"/>
  <c r="F1992" i="8"/>
  <c r="I1475" i="8"/>
  <c r="H1475" i="8"/>
  <c r="F1475" i="8"/>
  <c r="I2068" i="8"/>
  <c r="H2068" i="8"/>
  <c r="F2068" i="8"/>
  <c r="I2359" i="8"/>
  <c r="H2359" i="8"/>
  <c r="F2359" i="8"/>
  <c r="H3744" i="8"/>
  <c r="F3744" i="8"/>
  <c r="I3744" i="8"/>
  <c r="I2787" i="8"/>
  <c r="H2787" i="8"/>
  <c r="F2787" i="8"/>
  <c r="I2915" i="8"/>
  <c r="H2915" i="8"/>
  <c r="F2915" i="8"/>
  <c r="I1601" i="8"/>
  <c r="F1601" i="8"/>
  <c r="H1601" i="8"/>
  <c r="H4166" i="8"/>
  <c r="F4166" i="8"/>
  <c r="I4166" i="8"/>
  <c r="H3848" i="8"/>
  <c r="F3848" i="8"/>
  <c r="I3848" i="8"/>
  <c r="H4455" i="8"/>
  <c r="F4455" i="8"/>
  <c r="I4455" i="8"/>
  <c r="I1281" i="8"/>
  <c r="H1281" i="8"/>
  <c r="F1281" i="8"/>
  <c r="I1828" i="8"/>
  <c r="H1828" i="8"/>
  <c r="F1828" i="8"/>
  <c r="I3229" i="8"/>
  <c r="F3229" i="8"/>
  <c r="H3229" i="8"/>
  <c r="H3574" i="8"/>
  <c r="F3574" i="8"/>
  <c r="I3574" i="8"/>
  <c r="H537" i="8"/>
  <c r="F537" i="8"/>
  <c r="I537" i="8"/>
  <c r="I3273" i="8"/>
  <c r="H3273" i="8"/>
  <c r="F3273" i="8"/>
  <c r="I2959" i="8"/>
  <c r="H2959" i="8"/>
  <c r="F2959" i="8"/>
  <c r="I2542" i="8"/>
  <c r="F2542" i="8"/>
  <c r="H2542" i="8"/>
  <c r="H3921" i="8"/>
  <c r="F3921" i="8"/>
  <c r="I3921" i="8"/>
  <c r="I1459" i="8"/>
  <c r="H1459" i="8"/>
  <c r="F1459" i="8"/>
  <c r="H554" i="8"/>
  <c r="F554" i="8"/>
  <c r="I554" i="8"/>
  <c r="I1401" i="8"/>
  <c r="H1401" i="8"/>
  <c r="F1401" i="8"/>
  <c r="I2402" i="8"/>
  <c r="H2402" i="8"/>
  <c r="F2402" i="8"/>
  <c r="I4859" i="8"/>
  <c r="H4859" i="8"/>
  <c r="F4859" i="8"/>
  <c r="I2075" i="8"/>
  <c r="F2075" i="8"/>
  <c r="H2075" i="8"/>
  <c r="H4744" i="8"/>
  <c r="F4744" i="8"/>
  <c r="I4744" i="8"/>
  <c r="I1810" i="8"/>
  <c r="H1810" i="8"/>
  <c r="F1810" i="8"/>
  <c r="H703" i="8"/>
  <c r="F703" i="8"/>
  <c r="I703" i="8"/>
  <c r="I2129" i="8"/>
  <c r="H2129" i="8"/>
  <c r="F2129" i="8"/>
  <c r="I4867" i="8"/>
  <c r="H4867" i="8"/>
  <c r="F4867" i="8"/>
  <c r="I2957" i="8"/>
  <c r="F2957" i="8"/>
  <c r="H2957" i="8"/>
  <c r="H4149" i="8"/>
  <c r="F4149" i="8"/>
  <c r="I4149" i="8"/>
  <c r="H3404" i="8"/>
  <c r="I3404" i="8" s="1"/>
  <c r="F3404" i="8"/>
  <c r="I1975" i="8"/>
  <c r="H1975" i="8"/>
  <c r="F1975" i="8"/>
  <c r="I2580" i="8"/>
  <c r="H2580" i="8"/>
  <c r="F2580" i="8"/>
  <c r="I2080" i="8"/>
  <c r="F2080" i="8"/>
  <c r="H2080" i="8"/>
  <c r="I2964" i="8"/>
  <c r="H2964" i="8"/>
  <c r="F2964" i="8"/>
  <c r="H4566" i="8"/>
  <c r="F4566" i="8"/>
  <c r="I4566" i="8"/>
  <c r="H3785" i="8"/>
  <c r="F3785" i="8"/>
  <c r="I3785" i="8"/>
  <c r="I3472" i="8"/>
  <c r="F3472" i="8"/>
  <c r="H3472" i="8"/>
  <c r="I1985" i="8"/>
  <c r="F1985" i="8"/>
  <c r="H1985" i="8"/>
  <c r="H3874" i="8"/>
  <c r="F3874" i="8"/>
  <c r="I3874" i="8"/>
  <c r="H728" i="8"/>
  <c r="F728" i="8"/>
  <c r="I728" i="8"/>
  <c r="I2373" i="8"/>
  <c r="F2373" i="8"/>
  <c r="H2373" i="8"/>
  <c r="I2666" i="8"/>
  <c r="H2666" i="8"/>
  <c r="F2666" i="8"/>
  <c r="H563" i="8"/>
  <c r="F563" i="8"/>
  <c r="I563" i="8"/>
  <c r="I1193" i="8"/>
  <c r="H1193" i="8"/>
  <c r="F1193" i="8"/>
  <c r="H446" i="8"/>
  <c r="F446" i="8"/>
  <c r="I446" i="8"/>
  <c r="H772" i="8"/>
  <c r="F772" i="8"/>
  <c r="I772" i="8"/>
  <c r="H4585" i="8"/>
  <c r="F4585" i="8"/>
  <c r="I4585" i="8"/>
  <c r="H4146" i="8"/>
  <c r="F4146" i="8"/>
  <c r="I4146" i="8"/>
  <c r="H3852" i="8"/>
  <c r="F3852" i="8"/>
  <c r="I3852" i="8"/>
  <c r="F216" i="6"/>
  <c r="G209" i="6" s="1"/>
  <c r="H4513" i="8"/>
  <c r="F4513" i="8"/>
  <c r="I4513" i="8"/>
  <c r="H4707" i="8"/>
  <c r="F4707" i="8"/>
  <c r="I4707" i="8"/>
  <c r="H3626" i="8"/>
  <c r="F3626" i="8"/>
  <c r="I3626" i="8"/>
  <c r="H3641" i="8"/>
  <c r="F3641" i="8"/>
  <c r="I3641" i="8"/>
  <c r="H817" i="8"/>
  <c r="F817" i="8"/>
  <c r="I817" i="8"/>
  <c r="I1981" i="8"/>
  <c r="F1981" i="8"/>
  <c r="H1981" i="8"/>
  <c r="I2462" i="8"/>
  <c r="F2462" i="8"/>
  <c r="H2462" i="8"/>
  <c r="I2578" i="8"/>
  <c r="H2578" i="8"/>
  <c r="F2578" i="8"/>
  <c r="H4546" i="8"/>
  <c r="F4546" i="8"/>
  <c r="I4546" i="8"/>
  <c r="I2293" i="8"/>
  <c r="F2293" i="8"/>
  <c r="H2293" i="8"/>
  <c r="H3847" i="8"/>
  <c r="F3847" i="8"/>
  <c r="I3847" i="8"/>
  <c r="I1739" i="8"/>
  <c r="F1739" i="8"/>
  <c r="H1739" i="8"/>
  <c r="I2726" i="8"/>
  <c r="H2726" i="8"/>
  <c r="F2726" i="8"/>
  <c r="H621" i="8"/>
  <c r="F621" i="8"/>
  <c r="I621" i="8"/>
  <c r="I2658" i="8"/>
  <c r="H2658" i="8"/>
  <c r="F2658" i="8"/>
  <c r="I2835" i="8"/>
  <c r="H2835" i="8"/>
  <c r="F2835" i="8"/>
  <c r="I3076" i="8"/>
  <c r="H3076" i="8"/>
  <c r="F3076" i="8"/>
  <c r="I2215" i="8"/>
  <c r="H2215" i="8"/>
  <c r="F2215" i="8"/>
  <c r="I2712" i="8"/>
  <c r="H2712" i="8"/>
  <c r="F2712" i="8"/>
  <c r="I2378" i="8"/>
  <c r="H2378" i="8"/>
  <c r="F2378" i="8"/>
  <c r="H4116" i="8"/>
  <c r="F4116" i="8"/>
  <c r="I4116" i="8"/>
  <c r="I1554" i="8"/>
  <c r="H1554" i="8"/>
  <c r="F1554" i="8"/>
  <c r="I1377" i="8"/>
  <c r="H1377" i="8"/>
  <c r="F1377" i="8"/>
  <c r="F584" i="6"/>
  <c r="H705" i="8"/>
  <c r="F705" i="8"/>
  <c r="I705" i="8"/>
  <c r="H447" i="8"/>
  <c r="F447" i="8"/>
  <c r="I447" i="8"/>
  <c r="I3138" i="8"/>
  <c r="H3138" i="8"/>
  <c r="F3138" i="8"/>
  <c r="I2137" i="8"/>
  <c r="H2137" i="8"/>
  <c r="F2137" i="8"/>
  <c r="H545" i="8"/>
  <c r="F545" i="8"/>
  <c r="I545" i="8"/>
  <c r="I2257" i="8"/>
  <c r="H2257" i="8"/>
  <c r="F2257" i="8"/>
  <c r="H3918" i="8"/>
  <c r="F3918" i="8"/>
  <c r="I3918" i="8"/>
  <c r="F3309" i="8"/>
  <c r="H3309" i="8"/>
  <c r="I3309" i="8" s="1"/>
  <c r="F3045" i="8"/>
  <c r="H3045" i="8"/>
  <c r="I3045" i="8" s="1"/>
  <c r="H3396" i="8"/>
  <c r="I3396" i="8" s="1"/>
  <c r="F3396" i="8"/>
  <c r="H2753" i="8"/>
  <c r="I2753" i="8" s="1"/>
  <c r="F2753" i="8"/>
  <c r="F3421" i="8"/>
  <c r="H3421" i="8"/>
  <c r="I3421" i="8" s="1"/>
  <c r="H3011" i="8"/>
  <c r="I3011" i="8" s="1"/>
  <c r="F3011" i="8"/>
  <c r="H3786" i="8"/>
  <c r="F3786" i="8"/>
  <c r="I3786" i="8"/>
  <c r="H676" i="8"/>
  <c r="F676" i="8"/>
  <c r="I676" i="8"/>
  <c r="I1955" i="8"/>
  <c r="H1955" i="8"/>
  <c r="F1955" i="8"/>
  <c r="H695" i="8"/>
  <c r="F695" i="8"/>
  <c r="I695" i="8"/>
  <c r="I1780" i="8"/>
  <c r="H1780" i="8"/>
  <c r="F1780" i="8"/>
  <c r="H600" i="8"/>
  <c r="F600" i="8"/>
  <c r="I600" i="8"/>
  <c r="H4366" i="8"/>
  <c r="F4366" i="8"/>
  <c r="I4366" i="8"/>
  <c r="I1705" i="8"/>
  <c r="H1705" i="8"/>
  <c r="F1705" i="8"/>
  <c r="I3173" i="8"/>
  <c r="F3173" i="8"/>
  <c r="H3173" i="8"/>
  <c r="F329" i="6"/>
  <c r="H617" i="8"/>
  <c r="F617" i="8"/>
  <c r="I617" i="8"/>
  <c r="I2545" i="8"/>
  <c r="H2545" i="8"/>
  <c r="F2545" i="8"/>
  <c r="I2094" i="8"/>
  <c r="F2094" i="8"/>
  <c r="H2094" i="8"/>
  <c r="H4250" i="8"/>
  <c r="F4250" i="8"/>
  <c r="I4250" i="8"/>
  <c r="I1785" i="8"/>
  <c r="H1785" i="8"/>
  <c r="F1785" i="8"/>
  <c r="I2114" i="8"/>
  <c r="H2114" i="8"/>
  <c r="F2114" i="8"/>
  <c r="I1592" i="8"/>
  <c r="H1592" i="8"/>
  <c r="F1592" i="8"/>
  <c r="I3447" i="8"/>
  <c r="H3447" i="8"/>
  <c r="F3447" i="8"/>
  <c r="H3919" i="8"/>
  <c r="F3919" i="8"/>
  <c r="I3919" i="8"/>
  <c r="G2667" i="5"/>
  <c r="I2413" i="8"/>
  <c r="F2413" i="8"/>
  <c r="H2413" i="8"/>
  <c r="F11" i="6"/>
  <c r="I1314" i="8"/>
  <c r="H1314" i="8"/>
  <c r="F1314" i="8"/>
  <c r="I2584" i="8"/>
  <c r="H2584" i="8"/>
  <c r="F2584" i="8"/>
  <c r="I3000" i="8"/>
  <c r="H3000" i="8"/>
  <c r="F3000" i="8"/>
  <c r="H489" i="8"/>
  <c r="F489" i="8"/>
  <c r="I489" i="8"/>
  <c r="I2018" i="8"/>
  <c r="H2018" i="8"/>
  <c r="F2018" i="8"/>
  <c r="I2123" i="8"/>
  <c r="F2123" i="8"/>
  <c r="H2123" i="8"/>
  <c r="H4060" i="8"/>
  <c r="F4060" i="8"/>
  <c r="I4060" i="8"/>
  <c r="H561" i="8"/>
  <c r="F561" i="8"/>
  <c r="I561" i="8"/>
  <c r="I1589" i="8"/>
  <c r="F1589" i="8"/>
  <c r="H1589" i="8"/>
  <c r="I1609" i="8"/>
  <c r="H1609" i="8"/>
  <c r="F1609" i="8"/>
  <c r="H3898" i="8"/>
  <c r="F3898" i="8"/>
  <c r="I3898" i="8"/>
  <c r="H3532" i="8"/>
  <c r="F3532" i="8"/>
  <c r="I3532" i="8"/>
  <c r="I3065" i="8"/>
  <c r="H3065" i="8"/>
  <c r="F3065" i="8"/>
  <c r="I2779" i="8"/>
  <c r="F2779" i="8"/>
  <c r="H2779" i="8"/>
  <c r="G4395" i="5"/>
  <c r="H3762" i="8"/>
  <c r="F3762" i="8"/>
  <c r="I3762" i="8"/>
  <c r="I2567" i="8"/>
  <c r="H2567" i="8"/>
  <c r="F2567" i="8"/>
  <c r="H4179" i="8"/>
  <c r="F4179" i="8"/>
  <c r="I4179" i="8"/>
  <c r="I1763" i="8"/>
  <c r="H1763" i="8"/>
  <c r="F1763" i="8"/>
  <c r="I2903" i="8"/>
  <c r="H2903" i="8"/>
  <c r="F2903" i="8"/>
  <c r="I2491" i="8"/>
  <c r="F2491" i="8"/>
  <c r="H2491" i="8"/>
  <c r="I2238" i="8"/>
  <c r="F2238" i="8"/>
  <c r="H2238" i="8"/>
  <c r="H674" i="8"/>
  <c r="F674" i="8"/>
  <c r="I674" i="8"/>
  <c r="H4741" i="8"/>
  <c r="F4741" i="8"/>
  <c r="I4741" i="8"/>
  <c r="G5340" i="5"/>
  <c r="I1198" i="8"/>
  <c r="H1198" i="8"/>
  <c r="F1198" i="8"/>
  <c r="I4870" i="8"/>
  <c r="H4870" i="8"/>
  <c r="F4870" i="8"/>
  <c r="F503" i="6"/>
  <c r="G499" i="6" s="1"/>
  <c r="I2186" i="8"/>
  <c r="H2186" i="8"/>
  <c r="F2186" i="8"/>
  <c r="G3413" i="5"/>
  <c r="I2279" i="8"/>
  <c r="H2279" i="8"/>
  <c r="F2279" i="8"/>
  <c r="H3774" i="8"/>
  <c r="F3774" i="8"/>
  <c r="I3774" i="8"/>
  <c r="I3114" i="8"/>
  <c r="H3114" i="8"/>
  <c r="F3114" i="8"/>
  <c r="H4407" i="8"/>
  <c r="F4407" i="8"/>
  <c r="I4407" i="8"/>
  <c r="I3023" i="8"/>
  <c r="H3023" i="8"/>
  <c r="F3023" i="8"/>
  <c r="I2460" i="8"/>
  <c r="H2460" i="8"/>
  <c r="F2460" i="8"/>
  <c r="H602" i="8"/>
  <c r="F602" i="8"/>
  <c r="I602" i="8"/>
  <c r="I1501" i="8"/>
  <c r="F1501" i="8"/>
  <c r="H1501" i="8"/>
  <c r="H1027" i="8"/>
  <c r="F1027" i="8"/>
  <c r="I1027" i="8"/>
  <c r="I2320" i="8"/>
  <c r="F2320" i="8"/>
  <c r="H2320" i="8"/>
  <c r="I3272" i="8"/>
  <c r="H3272" i="8"/>
  <c r="F3272" i="8"/>
  <c r="H3316" i="8"/>
  <c r="I3316" i="8" s="1"/>
  <c r="F3316" i="8"/>
  <c r="F3333" i="8"/>
  <c r="H3333" i="8"/>
  <c r="I3333" i="8" s="1"/>
  <c r="H3315" i="8"/>
  <c r="I3315" i="8" s="1"/>
  <c r="F3315" i="8"/>
  <c r="I3293" i="8"/>
  <c r="F3293" i="8"/>
  <c r="H3293" i="8"/>
  <c r="I3087" i="8"/>
  <c r="H3087" i="8"/>
  <c r="F3087" i="8"/>
  <c r="I2474" i="8"/>
  <c r="H2474" i="8"/>
  <c r="F2474" i="8"/>
  <c r="I3074" i="8"/>
  <c r="H3074" i="8"/>
  <c r="F3074" i="8"/>
  <c r="I1751" i="8"/>
  <c r="H1751" i="8"/>
  <c r="F1751" i="8"/>
  <c r="I1104" i="8"/>
  <c r="F1104" i="8"/>
  <c r="H1104" i="8"/>
  <c r="I1934" i="8"/>
  <c r="H1934" i="8"/>
  <c r="F1934" i="8"/>
  <c r="I2511" i="8"/>
  <c r="H2511" i="8"/>
  <c r="F2511" i="8"/>
  <c r="I1654" i="8"/>
  <c r="F1654" i="8"/>
  <c r="H1654" i="8"/>
  <c r="I3056" i="8"/>
  <c r="F3056" i="8"/>
  <c r="H3056" i="8"/>
  <c r="F12" i="6"/>
  <c r="H3694" i="8"/>
  <c r="F3694" i="8"/>
  <c r="I3694" i="8"/>
  <c r="H4099" i="8"/>
  <c r="F4099" i="8"/>
  <c r="I4099" i="8"/>
  <c r="H842" i="8"/>
  <c r="F842" i="8"/>
  <c r="I842" i="8"/>
  <c r="F163" i="6"/>
  <c r="G158" i="6" s="1"/>
  <c r="I2366" i="8"/>
  <c r="F2366" i="8"/>
  <c r="H2366" i="8"/>
  <c r="I2351" i="8"/>
  <c r="H2351" i="8"/>
  <c r="F2351" i="8"/>
  <c r="H4703" i="8"/>
  <c r="F4703" i="8"/>
  <c r="I4703" i="8"/>
  <c r="I1298" i="8"/>
  <c r="H1298" i="8"/>
  <c r="F1298" i="8"/>
  <c r="I2804" i="8"/>
  <c r="H2804" i="8"/>
  <c r="F2804" i="8"/>
  <c r="I2270" i="8"/>
  <c r="F2270" i="8"/>
  <c r="H2270" i="8"/>
  <c r="G3302" i="5"/>
  <c r="I2730" i="8"/>
  <c r="H2730" i="8"/>
  <c r="F2730" i="8"/>
  <c r="I2587" i="8"/>
  <c r="F2587" i="8"/>
  <c r="H2587" i="8"/>
  <c r="I1793" i="8"/>
  <c r="F1793" i="8"/>
  <c r="H1793" i="8"/>
  <c r="H4740" i="8"/>
  <c r="I4740" i="8" s="1"/>
  <c r="F4740" i="8"/>
  <c r="H3706" i="8"/>
  <c r="F3706" i="8"/>
  <c r="I3706" i="8"/>
  <c r="H552" i="8"/>
  <c r="F552" i="8"/>
  <c r="I552" i="8"/>
  <c r="I2304" i="8"/>
  <c r="F2304" i="8"/>
  <c r="H2304" i="8"/>
  <c r="F3051" i="8"/>
  <c r="H3051" i="8"/>
  <c r="I3051" i="8" s="1"/>
  <c r="I2233" i="8"/>
  <c r="F2233" i="8"/>
  <c r="H2233" i="8"/>
  <c r="H1003" i="8"/>
  <c r="F1003" i="8"/>
  <c r="I1003" i="8"/>
  <c r="I1670" i="8"/>
  <c r="F1670" i="8"/>
  <c r="H1670" i="8"/>
  <c r="H4005" i="8"/>
  <c r="F4005" i="8"/>
  <c r="I4005" i="8"/>
  <c r="I2271" i="8"/>
  <c r="H2271" i="8"/>
  <c r="F2271" i="8"/>
  <c r="H4019" i="8"/>
  <c r="F4019" i="8"/>
  <c r="I4019" i="8"/>
  <c r="I1963" i="8"/>
  <c r="F1963" i="8"/>
  <c r="H1963" i="8"/>
  <c r="H4791" i="8"/>
  <c r="F4791" i="8"/>
  <c r="I4791" i="8"/>
  <c r="H4276" i="8"/>
  <c r="F4276" i="8"/>
  <c r="I4276" i="8"/>
  <c r="I3142" i="8"/>
  <c r="H3142" i="8"/>
  <c r="F3142" i="8"/>
  <c r="I1943" i="8"/>
  <c r="H1943" i="8"/>
  <c r="F1943" i="8"/>
  <c r="H456" i="8"/>
  <c r="F456" i="8"/>
  <c r="I456" i="8"/>
  <c r="H4712" i="8"/>
  <c r="F4712" i="8"/>
  <c r="I4712" i="8"/>
  <c r="F675" i="6"/>
  <c r="G668" i="6" s="1"/>
  <c r="F393" i="6"/>
  <c r="G388" i="6" s="1"/>
  <c r="H4147" i="8"/>
  <c r="F4147" i="8"/>
  <c r="I4147" i="8"/>
  <c r="H4452" i="8"/>
  <c r="F4452" i="8"/>
  <c r="I4452" i="8"/>
  <c r="I137" i="8"/>
  <c r="H137" i="8"/>
  <c r="F137" i="8"/>
  <c r="I2478" i="8"/>
  <c r="F2478" i="8"/>
  <c r="H2478" i="8"/>
  <c r="I2745" i="8"/>
  <c r="H2745" i="8"/>
  <c r="F2745" i="8"/>
  <c r="H1053" i="8"/>
  <c r="F1053" i="8"/>
  <c r="I1053" i="8"/>
  <c r="I3190" i="8"/>
  <c r="H3190" i="8"/>
  <c r="F3190" i="8"/>
  <c r="I1754" i="8"/>
  <c r="H1754" i="8"/>
  <c r="F1754" i="8"/>
  <c r="H655" i="8"/>
  <c r="F655" i="8"/>
  <c r="I655" i="8"/>
  <c r="H3851" i="8"/>
  <c r="F3851" i="8"/>
  <c r="I3851" i="8"/>
  <c r="H3677" i="8"/>
  <c r="F3677" i="8"/>
  <c r="I3677" i="8"/>
  <c r="H3697" i="8"/>
  <c r="F3697" i="8"/>
  <c r="I3697" i="8"/>
  <c r="H3722" i="8"/>
  <c r="F3722" i="8"/>
  <c r="I3722" i="8"/>
  <c r="H4688" i="8"/>
  <c r="F4688" i="8"/>
  <c r="I4688" i="8"/>
  <c r="H3711" i="8"/>
  <c r="F3711" i="8"/>
  <c r="I3711" i="8"/>
  <c r="H3881" i="8"/>
  <c r="F3881" i="8"/>
  <c r="I3881" i="8"/>
  <c r="I2917" i="8"/>
  <c r="F2917" i="8"/>
  <c r="H2917" i="8"/>
  <c r="I2288" i="8"/>
  <c r="F2288" i="8"/>
  <c r="H2288" i="8"/>
  <c r="H4759" i="8"/>
  <c r="F4759" i="8"/>
  <c r="I4759" i="8"/>
  <c r="H4386" i="8"/>
  <c r="F4386" i="8"/>
  <c r="I4386" i="8"/>
  <c r="H390" i="8"/>
  <c r="I390" i="8"/>
  <c r="F390" i="8"/>
  <c r="H471" i="8"/>
  <c r="F471" i="8"/>
  <c r="I471" i="8"/>
  <c r="F2789" i="8"/>
  <c r="H2789" i="8"/>
  <c r="I2789" i="8" s="1"/>
  <c r="F2992" i="8"/>
  <c r="H2992" i="8"/>
  <c r="I2992" i="8" s="1"/>
  <c r="F3101" i="8"/>
  <c r="H3101" i="8"/>
  <c r="I3101" i="8" s="1"/>
  <c r="H2996" i="8"/>
  <c r="I2996" i="8" s="1"/>
  <c r="F2996" i="8"/>
  <c r="H2722" i="8"/>
  <c r="I2722" i="8" s="1"/>
  <c r="F2722" i="8"/>
  <c r="H3044" i="8"/>
  <c r="I3044" i="8" s="1"/>
  <c r="F3044" i="8"/>
  <c r="H2872" i="8"/>
  <c r="I2872" i="8" s="1"/>
  <c r="F2872" i="8"/>
  <c r="I2847" i="8"/>
  <c r="H2847" i="8"/>
  <c r="F2847" i="8"/>
  <c r="H3736" i="8"/>
  <c r="F3736" i="8"/>
  <c r="I3736" i="8"/>
  <c r="H555" i="8"/>
  <c r="F555" i="8"/>
  <c r="I555" i="8"/>
  <c r="I1538" i="8"/>
  <c r="H1538" i="8"/>
  <c r="F1538" i="8"/>
  <c r="I2749" i="8"/>
  <c r="F2749" i="8"/>
  <c r="H2749" i="8"/>
  <c r="H3860" i="8"/>
  <c r="F3860" i="8"/>
  <c r="I3860" i="8"/>
  <c r="I2777" i="8"/>
  <c r="H2777" i="8"/>
  <c r="F2777" i="8"/>
  <c r="H3747" i="8"/>
  <c r="F3747" i="8"/>
  <c r="I3747" i="8"/>
  <c r="I2791" i="8"/>
  <c r="H2791" i="8"/>
  <c r="F2791" i="8"/>
  <c r="H559" i="8"/>
  <c r="F559" i="8"/>
  <c r="I559" i="8"/>
  <c r="H4479" i="8"/>
  <c r="F4479" i="8"/>
  <c r="I4479" i="8"/>
  <c r="H4181" i="8"/>
  <c r="F4181" i="8"/>
  <c r="I4181" i="8"/>
  <c r="H3916" i="8"/>
  <c r="F3916" i="8"/>
  <c r="I3916" i="8"/>
  <c r="H4127" i="8"/>
  <c r="F4127" i="8"/>
  <c r="I4127" i="8"/>
  <c r="H748" i="8"/>
  <c r="F748" i="8"/>
  <c r="I748" i="8"/>
  <c r="H4153" i="8"/>
  <c r="F4153" i="8"/>
  <c r="I4153" i="8"/>
  <c r="I2423" i="8"/>
  <c r="H2423" i="8"/>
  <c r="F2423" i="8"/>
  <c r="H4769" i="8"/>
  <c r="F4769" i="8"/>
  <c r="I4769" i="8"/>
  <c r="I2340" i="8"/>
  <c r="H2340" i="8"/>
  <c r="F2340" i="8"/>
  <c r="I2438" i="8"/>
  <c r="F2438" i="8"/>
  <c r="H2438" i="8"/>
  <c r="I2046" i="8"/>
  <c r="H2046" i="8"/>
  <c r="F2046" i="8"/>
  <c r="H460" i="8"/>
  <c r="F460" i="8"/>
  <c r="I460" i="8"/>
  <c r="H4444" i="8"/>
  <c r="F4444" i="8"/>
  <c r="I4444" i="8"/>
  <c r="I2755" i="8"/>
  <c r="H2755" i="8"/>
  <c r="F2755" i="8"/>
  <c r="I1467" i="8"/>
  <c r="F1467" i="8"/>
  <c r="H1467" i="8"/>
  <c r="I4858" i="8"/>
  <c r="H4858" i="8"/>
  <c r="F4858" i="8"/>
  <c r="H3815" i="8"/>
  <c r="F3815" i="8"/>
  <c r="I3815" i="8"/>
  <c r="I2107" i="8"/>
  <c r="F2107" i="8"/>
  <c r="H2107" i="8"/>
  <c r="H395" i="8"/>
  <c r="I395" i="8"/>
  <c r="F395" i="8"/>
  <c r="I1995" i="8"/>
  <c r="F1995" i="8"/>
  <c r="H1995" i="8"/>
  <c r="I3140" i="8"/>
  <c r="H3140" i="8"/>
  <c r="F3140" i="8"/>
  <c r="H4509" i="8"/>
  <c r="F4509" i="8"/>
  <c r="I4509" i="8"/>
  <c r="H403" i="8"/>
  <c r="I403" i="8"/>
  <c r="F403" i="8"/>
  <c r="I2329" i="8"/>
  <c r="F2329" i="8"/>
  <c r="H2329" i="8"/>
  <c r="H887" i="8"/>
  <c r="F887" i="8"/>
  <c r="I887" i="8"/>
  <c r="H4068" i="8"/>
  <c r="F4068" i="8"/>
  <c r="I4068" i="8"/>
  <c r="H2937" i="8"/>
  <c r="I2937" i="8" s="1"/>
  <c r="F2937" i="8"/>
  <c r="H2806" i="8"/>
  <c r="I2806" i="8" s="1"/>
  <c r="F2806" i="8"/>
  <c r="F3328" i="8"/>
  <c r="H3328" i="8"/>
  <c r="I3328" i="8" s="1"/>
  <c r="H1230" i="8"/>
  <c r="I1230" i="8" s="1"/>
  <c r="F1230" i="8"/>
  <c r="H3330" i="8"/>
  <c r="I3330" i="8" s="1"/>
  <c r="F3330" i="8"/>
  <c r="H3701" i="8"/>
  <c r="F3701" i="8"/>
  <c r="I3701" i="8"/>
  <c r="H536" i="8"/>
  <c r="F536" i="8"/>
  <c r="I536" i="8"/>
  <c r="F647" i="6"/>
  <c r="I1596" i="8"/>
  <c r="H1596" i="8"/>
  <c r="F1596" i="8"/>
  <c r="I3107" i="8"/>
  <c r="H3107" i="8"/>
  <c r="F3107" i="8"/>
  <c r="I3084" i="8"/>
  <c r="H3084" i="8"/>
  <c r="F3084" i="8"/>
  <c r="I3245" i="8"/>
  <c r="F3245" i="8"/>
  <c r="H3245" i="8"/>
  <c r="H455" i="8"/>
  <c r="F455" i="8"/>
  <c r="I455" i="8"/>
  <c r="H3704" i="8"/>
  <c r="F3704" i="8"/>
  <c r="I3704" i="8"/>
  <c r="H3857" i="8"/>
  <c r="F3857" i="8"/>
  <c r="I3857" i="8"/>
  <c r="H4410" i="8"/>
  <c r="F4410" i="8"/>
  <c r="I4410" i="8"/>
  <c r="I1752" i="8"/>
  <c r="H1752" i="8"/>
  <c r="F1752" i="8"/>
  <c r="I2550" i="8"/>
  <c r="H2550" i="8"/>
  <c r="F2550" i="8"/>
  <c r="I2495" i="8"/>
  <c r="H2495" i="8"/>
  <c r="F2495" i="8"/>
  <c r="H778" i="8"/>
  <c r="F778" i="8"/>
  <c r="I778" i="8"/>
  <c r="I1758" i="8"/>
  <c r="H1758" i="8"/>
  <c r="F1758" i="8"/>
  <c r="F585" i="6"/>
  <c r="H4200" i="8"/>
  <c r="F4200" i="8"/>
  <c r="I4200" i="8"/>
  <c r="I1376" i="8"/>
  <c r="F1376" i="8"/>
  <c r="H1376" i="8"/>
  <c r="I2039" i="8"/>
  <c r="H2039" i="8"/>
  <c r="F2039" i="8"/>
  <c r="I2404" i="8"/>
  <c r="H2404" i="8"/>
  <c r="F2404" i="8"/>
  <c r="H4568" i="8"/>
  <c r="F4568" i="8"/>
  <c r="I4568" i="8"/>
  <c r="I3120" i="8"/>
  <c r="F3120" i="8"/>
  <c r="H3120" i="8"/>
  <c r="H3814" i="8"/>
  <c r="F3814" i="8"/>
  <c r="I3814" i="8"/>
  <c r="I1967" i="8"/>
  <c r="H1967" i="8"/>
  <c r="F1967" i="8"/>
  <c r="I2801" i="8"/>
  <c r="H2801" i="8"/>
  <c r="F2801" i="8"/>
  <c r="I2849" i="8"/>
  <c r="H2849" i="8"/>
  <c r="F2849" i="8"/>
  <c r="H3749" i="8"/>
  <c r="F3749" i="8"/>
  <c r="I3749" i="8"/>
  <c r="I2227" i="8"/>
  <c r="H2227" i="8"/>
  <c r="F2227" i="8"/>
  <c r="I2775" i="8"/>
  <c r="H2775" i="8"/>
  <c r="F2775" i="8"/>
  <c r="I2418" i="8"/>
  <c r="H2418" i="8"/>
  <c r="F2418" i="8"/>
  <c r="I2466" i="8"/>
  <c r="H2466" i="8"/>
  <c r="F2466" i="8"/>
  <c r="I1558" i="8"/>
  <c r="F1558" i="8"/>
  <c r="H1558" i="8"/>
  <c r="I2193" i="8"/>
  <c r="H2193" i="8"/>
  <c r="F2193" i="8"/>
  <c r="H560" i="8"/>
  <c r="F560" i="8"/>
  <c r="I560" i="8"/>
  <c r="H4032" i="8"/>
  <c r="F4032" i="8"/>
  <c r="I4032" i="8"/>
  <c r="H810" i="8"/>
  <c r="F810" i="8"/>
  <c r="I810" i="8"/>
  <c r="H752" i="8"/>
  <c r="F752" i="8"/>
  <c r="I752" i="8"/>
  <c r="H688" i="8"/>
  <c r="F688" i="8"/>
  <c r="I688" i="8"/>
  <c r="G1541" i="5"/>
  <c r="H946" i="8"/>
  <c r="F946" i="8"/>
  <c r="I946" i="8"/>
  <c r="I1637" i="8"/>
  <c r="F1637" i="8"/>
  <c r="H1637" i="8"/>
  <c r="F429" i="6"/>
  <c r="G4421" i="5"/>
  <c r="H692" i="8"/>
  <c r="F692" i="8"/>
  <c r="I692" i="8"/>
  <c r="I3174" i="8"/>
  <c r="H3174" i="8"/>
  <c r="F3174" i="8"/>
  <c r="I2317" i="8"/>
  <c r="F2317" i="8"/>
  <c r="H2317" i="8"/>
  <c r="H789" i="8"/>
  <c r="F789" i="8"/>
  <c r="I789" i="8"/>
  <c r="H4212" i="8"/>
  <c r="F4212" i="8"/>
  <c r="I4212" i="8"/>
  <c r="H4570" i="8"/>
  <c r="F4570" i="8"/>
  <c r="I4570" i="8"/>
  <c r="H668" i="8"/>
  <c r="F668" i="8"/>
  <c r="I668" i="8"/>
  <c r="I1941" i="8"/>
  <c r="F1941" i="8"/>
  <c r="H1941" i="8"/>
  <c r="I2098" i="8"/>
  <c r="H2098" i="8"/>
  <c r="F2098" i="8"/>
  <c r="I2346" i="8"/>
  <c r="H2346" i="8"/>
  <c r="F2346" i="8"/>
  <c r="H4085" i="8"/>
  <c r="F4085" i="8"/>
  <c r="I4085" i="8"/>
  <c r="I1438" i="8"/>
  <c r="H1438" i="8"/>
  <c r="F1438" i="8"/>
  <c r="I2778" i="8"/>
  <c r="H2778" i="8"/>
  <c r="F2778" i="8"/>
  <c r="I2291" i="8"/>
  <c r="H2291" i="8"/>
  <c r="F2291" i="8"/>
  <c r="I1631" i="8"/>
  <c r="H1631" i="8"/>
  <c r="F1631" i="8"/>
  <c r="I2390" i="8"/>
  <c r="F2390" i="8"/>
  <c r="H2390" i="8"/>
  <c r="I3145" i="8"/>
  <c r="H3145" i="8"/>
  <c r="F3145" i="8"/>
  <c r="I1673" i="8"/>
  <c r="H1673" i="8"/>
  <c r="F1673" i="8"/>
  <c r="H766" i="8"/>
  <c r="F766" i="8"/>
  <c r="I766" i="8"/>
  <c r="I1406" i="8"/>
  <c r="H1406" i="8"/>
  <c r="F1406" i="8"/>
  <c r="I1767" i="8"/>
  <c r="H1767" i="8"/>
  <c r="F1767" i="8"/>
  <c r="I2539" i="8"/>
  <c r="F2539" i="8"/>
  <c r="H2539" i="8"/>
  <c r="H3742" i="8"/>
  <c r="F3742" i="8"/>
  <c r="I3742" i="8"/>
  <c r="G4422" i="5"/>
  <c r="H3735" i="8"/>
  <c r="F3735" i="8"/>
  <c r="I3735" i="8"/>
  <c r="I1394" i="8"/>
  <c r="H1394" i="8"/>
  <c r="F1394" i="8"/>
  <c r="I2576" i="8"/>
  <c r="F2576" i="8"/>
  <c r="H2576" i="8"/>
  <c r="I1948" i="8"/>
  <c r="H1948" i="8"/>
  <c r="F1948" i="8"/>
  <c r="H4565" i="8"/>
  <c r="F4565" i="8"/>
  <c r="I4565" i="8"/>
  <c r="I61" i="8"/>
  <c r="H61" i="8"/>
  <c r="F61" i="8"/>
  <c r="I1684" i="8"/>
  <c r="H1684" i="8"/>
  <c r="F1684" i="8"/>
  <c r="H3923" i="8"/>
  <c r="F3923" i="8"/>
  <c r="I3923" i="8"/>
  <c r="I2190" i="8"/>
  <c r="H2190" i="8"/>
  <c r="F2190" i="8"/>
  <c r="H1052" i="8"/>
  <c r="F1052" i="8"/>
  <c r="I1052" i="8"/>
  <c r="H759" i="8"/>
  <c r="F759" i="8"/>
  <c r="I759" i="8"/>
  <c r="H4748" i="8"/>
  <c r="F4748" i="8"/>
  <c r="I4748" i="8"/>
  <c r="H3779" i="8"/>
  <c r="F3779" i="8"/>
  <c r="I3779" i="8"/>
  <c r="H4180" i="8"/>
  <c r="F4180" i="8"/>
  <c r="I4180" i="8"/>
  <c r="H624" i="8"/>
  <c r="F624" i="8"/>
  <c r="I624" i="8"/>
  <c r="I2205" i="8"/>
  <c r="F2205" i="8"/>
  <c r="H2205" i="8"/>
  <c r="I2049" i="8"/>
  <c r="F2049" i="8"/>
  <c r="H2049" i="8"/>
  <c r="I2425" i="8"/>
  <c r="F2425" i="8"/>
  <c r="H2425" i="8"/>
  <c r="I2409" i="8"/>
  <c r="F2409" i="8"/>
  <c r="H2409" i="8"/>
  <c r="I1689" i="8"/>
  <c r="H1689" i="8"/>
  <c r="F1689" i="8"/>
  <c r="H737" i="8"/>
  <c r="F737" i="8"/>
  <c r="I737" i="8"/>
  <c r="I4860" i="8"/>
  <c r="H4860" i="8"/>
  <c r="F4860" i="8"/>
  <c r="I2843" i="8"/>
  <c r="F2843" i="8"/>
  <c r="H2843" i="8"/>
  <c r="I2680" i="8"/>
  <c r="H2680" i="8"/>
  <c r="F2680" i="8"/>
  <c r="I1567" i="8"/>
  <c r="H1567" i="8"/>
  <c r="F1567" i="8"/>
  <c r="I2054" i="8"/>
  <c r="F2054" i="8"/>
  <c r="H2054" i="8"/>
  <c r="H647" i="8"/>
  <c r="F647" i="8"/>
  <c r="I647" i="8"/>
  <c r="H770" i="8"/>
  <c r="F770" i="8"/>
  <c r="I770" i="8"/>
  <c r="H725" i="8"/>
  <c r="F725" i="8"/>
  <c r="I725" i="8"/>
  <c r="I2434" i="8"/>
  <c r="H2434" i="8"/>
  <c r="F2434" i="8"/>
  <c r="I2627" i="8"/>
  <c r="H2627" i="8"/>
  <c r="F2627" i="8"/>
  <c r="I3289" i="8"/>
  <c r="H3289" i="8"/>
  <c r="F3289" i="8"/>
  <c r="I2057" i="8"/>
  <c r="H2057" i="8"/>
  <c r="F2057" i="8"/>
  <c r="H4052" i="8"/>
  <c r="F4052" i="8"/>
  <c r="I4052" i="8"/>
  <c r="I2701" i="8"/>
  <c r="F2701" i="8"/>
  <c r="H2701" i="8"/>
  <c r="I1362" i="8"/>
  <c r="H1362" i="8"/>
  <c r="F1362" i="8"/>
  <c r="I1910" i="8"/>
  <c r="F1910" i="8"/>
  <c r="H1910" i="8"/>
  <c r="H463" i="8"/>
  <c r="F463" i="8"/>
  <c r="I463" i="8"/>
  <c r="I2827" i="8"/>
  <c r="F2827" i="8"/>
  <c r="H2827" i="8"/>
  <c r="I2951" i="8"/>
  <c r="H2951" i="8"/>
  <c r="F2951" i="8"/>
  <c r="I2808" i="8"/>
  <c r="H2808" i="8"/>
  <c r="F2808" i="8"/>
  <c r="I2406" i="8"/>
  <c r="F2406" i="8"/>
  <c r="H2406" i="8"/>
  <c r="I2533" i="8"/>
  <c r="F2533" i="8"/>
  <c r="H2533" i="8"/>
  <c r="I1712" i="8"/>
  <c r="F1712" i="8"/>
  <c r="H1712" i="8"/>
  <c r="H1130" i="8"/>
  <c r="I1130" i="8" s="1"/>
  <c r="F1130" i="8"/>
  <c r="H3304" i="8"/>
  <c r="I3304" i="8" s="1"/>
  <c r="F3304" i="8"/>
  <c r="H2833" i="8"/>
  <c r="I2833" i="8" s="1"/>
  <c r="F2833" i="8"/>
  <c r="I2487" i="8"/>
  <c r="H2487" i="8"/>
  <c r="F2487" i="8"/>
  <c r="I2165" i="8"/>
  <c r="F2165" i="8"/>
  <c r="H2165" i="8"/>
  <c r="I2263" i="8"/>
  <c r="H2263" i="8"/>
  <c r="F2263" i="8"/>
  <c r="I2626" i="8"/>
  <c r="H2626" i="8"/>
  <c r="F2626" i="8"/>
  <c r="H4171" i="8"/>
  <c r="F4171" i="8"/>
  <c r="I4171" i="8"/>
  <c r="I1440" i="8"/>
  <c r="F1440" i="8"/>
  <c r="H1440" i="8"/>
  <c r="H4801" i="8"/>
  <c r="F4801" i="8"/>
  <c r="I4801" i="8"/>
  <c r="I2531" i="8"/>
  <c r="H2531" i="8"/>
  <c r="F2531" i="8"/>
  <c r="H4040" i="8"/>
  <c r="F4040" i="8"/>
  <c r="I4040" i="8"/>
  <c r="I2040" i="8"/>
  <c r="H2040" i="8"/>
  <c r="F2040" i="8"/>
  <c r="I2458" i="8"/>
  <c r="H2458" i="8"/>
  <c r="F2458" i="8"/>
  <c r="I1697" i="8"/>
  <c r="F1697" i="8"/>
  <c r="H1697" i="8"/>
  <c r="H3873" i="8"/>
  <c r="F3873" i="8"/>
  <c r="I3873" i="8"/>
  <c r="H769" i="8"/>
  <c r="F769" i="8"/>
  <c r="I769" i="8"/>
  <c r="I1677" i="8"/>
  <c r="F1677" i="8"/>
  <c r="H1677" i="8"/>
  <c r="H829" i="8"/>
  <c r="F829" i="8"/>
  <c r="I829" i="8"/>
  <c r="I2090" i="8"/>
  <c r="H2090" i="8"/>
  <c r="F2090" i="8"/>
  <c r="H3877" i="8"/>
  <c r="F3877" i="8"/>
  <c r="I3877" i="8"/>
  <c r="I1550" i="8"/>
  <c r="H1550" i="8"/>
  <c r="F1550" i="8"/>
  <c r="I2621" i="8"/>
  <c r="F2621" i="8"/>
  <c r="H2621" i="8"/>
  <c r="H4111" i="8"/>
  <c r="F4111" i="8"/>
  <c r="I4111" i="8"/>
  <c r="I2341" i="8"/>
  <c r="F2341" i="8"/>
  <c r="H2341" i="8"/>
  <c r="I3143" i="8"/>
  <c r="H3143" i="8"/>
  <c r="F3143" i="8"/>
  <c r="I2252" i="8"/>
  <c r="H2252" i="8"/>
  <c r="F2252" i="8"/>
  <c r="H491" i="8"/>
  <c r="F491" i="8"/>
  <c r="I491" i="8"/>
  <c r="H4027" i="8"/>
  <c r="F4027" i="8"/>
  <c r="I4027" i="8"/>
  <c r="I2196" i="8"/>
  <c r="H2196" i="8"/>
  <c r="F2196" i="8"/>
  <c r="H4449" i="8"/>
  <c r="F4449" i="8"/>
  <c r="I4449" i="8"/>
  <c r="I2862" i="8"/>
  <c r="H2862" i="8"/>
  <c r="F2862" i="8"/>
  <c r="I1741" i="8"/>
  <c r="F1741" i="8"/>
  <c r="H1741" i="8"/>
  <c r="I2282" i="8"/>
  <c r="H2282" i="8"/>
  <c r="F2282" i="8"/>
  <c r="I2743" i="8"/>
  <c r="H2743" i="8"/>
  <c r="F2743" i="8"/>
  <c r="H4456" i="8"/>
  <c r="F4456" i="8"/>
  <c r="I4456" i="8"/>
  <c r="I1731" i="8"/>
  <c r="H1731" i="8"/>
  <c r="F1731" i="8"/>
  <c r="I1434" i="8"/>
  <c r="H1434" i="8"/>
  <c r="F1434" i="8"/>
  <c r="H3911" i="8"/>
  <c r="F3911" i="8"/>
  <c r="I3911" i="8"/>
  <c r="H598" i="8"/>
  <c r="F598" i="8"/>
  <c r="I598" i="8"/>
  <c r="I2124" i="8"/>
  <c r="H2124" i="8"/>
  <c r="F2124" i="8"/>
  <c r="I1435" i="8"/>
  <c r="H1435" i="8"/>
  <c r="F1435" i="8"/>
  <c r="H462" i="8"/>
  <c r="F462" i="8"/>
  <c r="I462" i="8"/>
  <c r="H488" i="8"/>
  <c r="F488" i="8"/>
  <c r="I488" i="8"/>
  <c r="I2764" i="8"/>
  <c r="H2764" i="8"/>
  <c r="F2764" i="8"/>
  <c r="H4732" i="8"/>
  <c r="F4732" i="8"/>
  <c r="I4732" i="8"/>
  <c r="I2700" i="8"/>
  <c r="H2700" i="8"/>
  <c r="F2700" i="8"/>
  <c r="H1048" i="8"/>
  <c r="F1048" i="8"/>
  <c r="I1048" i="8"/>
  <c r="I1449" i="8"/>
  <c r="H1449" i="8"/>
  <c r="F1449" i="8"/>
  <c r="H4164" i="8"/>
  <c r="F4164" i="8"/>
  <c r="I4164" i="8"/>
  <c r="H4767" i="8"/>
  <c r="F4767" i="8"/>
  <c r="I4767" i="8"/>
  <c r="I3085" i="8"/>
  <c r="F3085" i="8"/>
  <c r="H3085" i="8"/>
  <c r="H3657" i="8"/>
  <c r="F3657" i="8"/>
  <c r="I3657" i="8"/>
  <c r="H1061" i="8"/>
  <c r="F1061" i="8"/>
  <c r="I1061" i="8"/>
  <c r="H400" i="8"/>
  <c r="I400" i="8"/>
  <c r="F400" i="8"/>
  <c r="I2077" i="8"/>
  <c r="F2077" i="8"/>
  <c r="H2077" i="8"/>
  <c r="I2146" i="8"/>
  <c r="H2146" i="8"/>
  <c r="F2146" i="8"/>
  <c r="I1937" i="8"/>
  <c r="F1937" i="8"/>
  <c r="H1937" i="8"/>
  <c r="I74" i="8"/>
  <c r="H74" i="8"/>
  <c r="F74" i="8"/>
  <c r="I1740" i="8"/>
  <c r="H1740" i="8"/>
  <c r="F1740" i="8"/>
  <c r="H634" i="8"/>
  <c r="F634" i="8"/>
  <c r="I634" i="8"/>
  <c r="H3752" i="8"/>
  <c r="F3752" i="8"/>
  <c r="I3752" i="8"/>
  <c r="H4817" i="8"/>
  <c r="F4817" i="8"/>
  <c r="I4817" i="8"/>
  <c r="G4079" i="5"/>
  <c r="H731" i="8"/>
  <c r="F731" i="8"/>
  <c r="I731" i="8"/>
  <c r="I1990" i="8"/>
  <c r="F1990" i="8"/>
  <c r="H1990" i="8"/>
  <c r="I1561" i="8"/>
  <c r="H1561" i="8"/>
  <c r="F1561" i="8"/>
  <c r="H828" i="8"/>
  <c r="F828" i="8"/>
  <c r="I828" i="8"/>
  <c r="I1688" i="8"/>
  <c r="H1688" i="8"/>
  <c r="F1688" i="8"/>
  <c r="I2548" i="8"/>
  <c r="H2548" i="8"/>
  <c r="F2548" i="8"/>
  <c r="I3206" i="8"/>
  <c r="H3206" i="8"/>
  <c r="F3206" i="8"/>
  <c r="I1693" i="8"/>
  <c r="F1693" i="8"/>
  <c r="H1693" i="8"/>
  <c r="H3879" i="8"/>
  <c r="F3879" i="8"/>
  <c r="I3879" i="8"/>
  <c r="I2421" i="8"/>
  <c r="F2421" i="8"/>
  <c r="H2421" i="8"/>
  <c r="I2728" i="8"/>
  <c r="H2728" i="8"/>
  <c r="F2728" i="8"/>
  <c r="I2044" i="8"/>
  <c r="H2044" i="8"/>
  <c r="F2044" i="8"/>
  <c r="H3622" i="8"/>
  <c r="F3622" i="8"/>
  <c r="I3622" i="8"/>
  <c r="I1618" i="8"/>
  <c r="H1618" i="8"/>
  <c r="F1618" i="8"/>
  <c r="H739" i="8"/>
  <c r="F739" i="8"/>
  <c r="I739" i="8"/>
  <c r="I2782" i="8"/>
  <c r="H2782" i="8"/>
  <c r="F2782" i="8"/>
  <c r="I3191" i="8"/>
  <c r="H3191" i="8"/>
  <c r="F3191" i="8"/>
  <c r="I1580" i="8"/>
  <c r="H1580" i="8"/>
  <c r="F1580" i="8"/>
  <c r="H693" i="8"/>
  <c r="F693" i="8"/>
  <c r="I693" i="8"/>
  <c r="H762" i="8"/>
  <c r="F762" i="8"/>
  <c r="I762" i="8"/>
  <c r="H711" i="8"/>
  <c r="F711" i="8"/>
  <c r="I711" i="8"/>
  <c r="I1623" i="8"/>
  <c r="H1623" i="8"/>
  <c r="F1623" i="8"/>
  <c r="F406" i="6"/>
  <c r="I1282" i="8"/>
  <c r="H1282" i="8"/>
  <c r="F1282" i="8"/>
  <c r="I1527" i="8"/>
  <c r="H1527" i="8"/>
  <c r="F1527" i="8"/>
  <c r="H4792" i="8"/>
  <c r="F4792" i="8"/>
  <c r="I4792" i="8"/>
  <c r="F2891" i="8"/>
  <c r="H2891" i="8"/>
  <c r="I2891" i="8" s="1"/>
  <c r="I1295" i="8"/>
  <c r="F1295" i="8"/>
  <c r="H1295" i="8"/>
  <c r="I1309" i="8"/>
  <c r="H1309" i="8"/>
  <c r="F1309" i="8"/>
  <c r="H4474" i="8"/>
  <c r="F4474" i="8"/>
  <c r="I4474" i="8"/>
  <c r="F302" i="6"/>
  <c r="G295" i="6" s="1"/>
  <c r="H4175" i="8"/>
  <c r="F4175" i="8"/>
  <c r="I4175" i="8"/>
  <c r="I3459" i="8"/>
  <c r="H3459" i="8"/>
  <c r="F3459" i="8"/>
  <c r="I2543" i="8"/>
  <c r="H2543" i="8"/>
  <c r="F2543" i="8"/>
  <c r="I2960" i="8"/>
  <c r="F2960" i="8"/>
  <c r="H2960" i="8"/>
  <c r="I1794" i="8"/>
  <c r="H1794" i="8"/>
  <c r="F1794" i="8"/>
  <c r="I3123" i="8"/>
  <c r="H3123" i="8"/>
  <c r="F3123" i="8"/>
  <c r="H3764" i="8"/>
  <c r="F3764" i="8"/>
  <c r="I3764" i="8"/>
  <c r="I1307" i="8"/>
  <c r="H1307" i="8"/>
  <c r="F1307" i="8"/>
  <c r="I1956" i="8"/>
  <c r="H1956" i="8"/>
  <c r="F1956" i="8"/>
  <c r="I168" i="8"/>
  <c r="H168" i="8"/>
  <c r="F168" i="8"/>
  <c r="I2382" i="8"/>
  <c r="F2382" i="8"/>
  <c r="H2382" i="8"/>
  <c r="H757" i="8"/>
  <c r="F757" i="8"/>
  <c r="I757" i="8"/>
  <c r="I3198" i="8"/>
  <c r="H3198" i="8"/>
  <c r="F3198" i="8"/>
  <c r="I2343" i="8"/>
  <c r="H2343" i="8"/>
  <c r="F2343" i="8"/>
  <c r="H595" i="8"/>
  <c r="F595" i="8"/>
  <c r="I595" i="8"/>
  <c r="I2693" i="8"/>
  <c r="F2693" i="8"/>
  <c r="H2693" i="8"/>
  <c r="H4448" i="8"/>
  <c r="F4448" i="8"/>
  <c r="I4448" i="8"/>
  <c r="I2918" i="8"/>
  <c r="H2918" i="8"/>
  <c r="F2918" i="8"/>
  <c r="H3676" i="8"/>
  <c r="F3676" i="8"/>
  <c r="I3676" i="8"/>
  <c r="I2183" i="8"/>
  <c r="H2183" i="8"/>
  <c r="F2183" i="8"/>
  <c r="I2167" i="8"/>
  <c r="H2167" i="8"/>
  <c r="F2167" i="8"/>
  <c r="I1683" i="8"/>
  <c r="H1683" i="8"/>
  <c r="F1683" i="8"/>
  <c r="H3900" i="8"/>
  <c r="F3900" i="8"/>
  <c r="I3900" i="8"/>
  <c r="I2113" i="8"/>
  <c r="H2113" i="8"/>
  <c r="F2113" i="8"/>
  <c r="H539" i="8"/>
  <c r="F539" i="8"/>
  <c r="I539" i="8"/>
  <c r="I1529" i="8"/>
  <c r="H1529" i="8"/>
  <c r="F1529" i="8"/>
  <c r="H4710" i="8"/>
  <c r="F4710" i="8"/>
  <c r="I4710" i="8"/>
  <c r="I1105" i="8"/>
  <c r="H1105" i="8"/>
  <c r="F1105" i="8"/>
  <c r="I1194" i="8"/>
  <c r="H1194" i="8"/>
  <c r="F1194" i="8"/>
  <c r="H3519" i="8"/>
  <c r="F3519" i="8"/>
  <c r="I3519" i="8"/>
  <c r="I2629" i="8"/>
  <c r="F2629" i="8"/>
  <c r="H2629" i="8"/>
  <c r="I2256" i="8"/>
  <c r="F2256" i="8"/>
  <c r="H2256" i="8"/>
  <c r="H4709" i="8"/>
  <c r="F4709" i="8"/>
  <c r="I4709" i="8"/>
  <c r="I1686" i="8"/>
  <c r="F1686" i="8"/>
  <c r="H1686" i="8"/>
  <c r="H646" i="8"/>
  <c r="F646" i="8"/>
  <c r="I646" i="8"/>
  <c r="F256" i="6"/>
  <c r="I2457" i="8"/>
  <c r="F2457" i="8"/>
  <c r="H2457" i="8"/>
  <c r="I2415" i="8"/>
  <c r="H2415" i="8"/>
  <c r="F2415" i="8"/>
  <c r="H4802" i="8"/>
  <c r="F4802" i="8"/>
  <c r="I4802" i="8"/>
  <c r="I1591" i="8"/>
  <c r="H1591" i="8"/>
  <c r="F1591" i="8"/>
  <c r="I1947" i="8"/>
  <c r="F1947" i="8"/>
  <c r="H1947" i="8"/>
  <c r="I1595" i="8"/>
  <c r="F1595" i="8"/>
  <c r="H1595" i="8"/>
  <c r="H3675" i="8"/>
  <c r="F3675" i="8"/>
  <c r="I3675" i="8"/>
  <c r="I1795" i="8"/>
  <c r="H1795" i="8"/>
  <c r="F1795" i="8"/>
  <c r="G361" i="5"/>
  <c r="I2237" i="8"/>
  <c r="F2237" i="8"/>
  <c r="H2237" i="8"/>
  <c r="H1009" i="8"/>
  <c r="F1009" i="8"/>
  <c r="I1009" i="8"/>
  <c r="I2162" i="8"/>
  <c r="H2162" i="8"/>
  <c r="F2162" i="8"/>
  <c r="I2518" i="8"/>
  <c r="H2518" i="8"/>
  <c r="F2518" i="8"/>
  <c r="H449" i="8"/>
  <c r="F449" i="8"/>
  <c r="I449" i="8"/>
  <c r="I1746" i="8"/>
  <c r="H1746" i="8"/>
  <c r="F1746" i="8"/>
  <c r="I1797" i="8"/>
  <c r="F1797" i="8"/>
  <c r="H1797" i="8"/>
  <c r="H3700" i="8"/>
  <c r="F3700" i="8"/>
  <c r="I3700" i="8"/>
  <c r="I2059" i="8"/>
  <c r="F2059" i="8"/>
  <c r="H2059" i="8"/>
  <c r="I1979" i="8"/>
  <c r="F1979" i="8"/>
  <c r="H1979" i="8"/>
  <c r="I3246" i="8"/>
  <c r="H3246" i="8"/>
  <c r="F3246" i="8"/>
  <c r="I2840" i="8"/>
  <c r="H2840" i="8"/>
  <c r="F2840" i="8"/>
  <c r="H3760" i="8"/>
  <c r="F3760" i="8"/>
  <c r="I3760" i="8"/>
  <c r="I1327" i="8"/>
  <c r="F1327" i="8"/>
  <c r="H1327" i="8"/>
  <c r="H3644" i="8"/>
  <c r="F3644" i="8"/>
  <c r="I3644" i="8"/>
  <c r="I1583" i="8"/>
  <c r="H1583" i="8"/>
  <c r="F1583" i="8"/>
  <c r="H3755" i="8"/>
  <c r="F3755" i="8"/>
  <c r="I3755" i="8"/>
  <c r="H3753" i="8"/>
  <c r="F3753" i="8"/>
  <c r="I3753" i="8"/>
  <c r="I2776" i="8"/>
  <c r="H2776" i="8"/>
  <c r="F2776" i="8"/>
  <c r="F274" i="6"/>
  <c r="F56" i="6"/>
  <c r="G50" i="6" s="1"/>
  <c r="I2379" i="8"/>
  <c r="F2379" i="8"/>
  <c r="H2379" i="8"/>
  <c r="I1481" i="8"/>
  <c r="H1481" i="8"/>
  <c r="F1481" i="8"/>
  <c r="H4666" i="8"/>
  <c r="F4666" i="8"/>
  <c r="I4666" i="8"/>
  <c r="I2494" i="8"/>
  <c r="F2494" i="8"/>
  <c r="H2494" i="8"/>
  <c r="I2485" i="8"/>
  <c r="F2485" i="8"/>
  <c r="H2485" i="8"/>
  <c r="I1764" i="8"/>
  <c r="H1764" i="8"/>
  <c r="F1764" i="8"/>
  <c r="I2987" i="8"/>
  <c r="F2987" i="8"/>
  <c r="H2987" i="8"/>
  <c r="I2396" i="8"/>
  <c r="H2396" i="8"/>
  <c r="F2396" i="8"/>
  <c r="G315" i="5"/>
  <c r="H3781" i="8"/>
  <c r="F3781" i="8"/>
  <c r="I3781" i="8"/>
  <c r="I2456" i="8"/>
  <c r="H2456" i="8"/>
  <c r="F2456" i="8"/>
  <c r="I4862" i="8"/>
  <c r="H4862" i="8"/>
  <c r="F4862" i="8"/>
  <c r="I2036" i="8"/>
  <c r="H2036" i="8"/>
  <c r="F2036" i="8"/>
  <c r="I2939" i="8"/>
  <c r="F2939" i="8"/>
  <c r="H2939" i="8"/>
  <c r="H3687" i="8"/>
  <c r="F3687" i="8"/>
  <c r="I3687" i="8"/>
  <c r="I2676" i="8"/>
  <c r="H2676" i="8"/>
  <c r="F2676" i="8"/>
  <c r="H3801" i="8"/>
  <c r="F3801" i="8"/>
  <c r="I3801" i="8"/>
  <c r="H3858" i="8"/>
  <c r="F3858" i="8"/>
  <c r="I3858" i="8"/>
  <c r="I2121" i="8"/>
  <c r="H2121" i="8"/>
  <c r="F2121" i="8"/>
  <c r="I2844" i="8"/>
  <c r="H2844" i="8"/>
  <c r="F2844" i="8"/>
  <c r="I2003" i="8"/>
  <c r="H2003" i="8"/>
  <c r="F2003" i="8"/>
  <c r="H4687" i="8"/>
  <c r="F4687" i="8"/>
  <c r="I4687" i="8"/>
  <c r="H835" i="8"/>
  <c r="F835" i="8"/>
  <c r="I835" i="8"/>
  <c r="H4135" i="8"/>
  <c r="F4135" i="8"/>
  <c r="I4135" i="8"/>
  <c r="H4036" i="8"/>
  <c r="F4036" i="8"/>
  <c r="I4036" i="8"/>
  <c r="H4193" i="8"/>
  <c r="F4193" i="8"/>
  <c r="I4193" i="8"/>
  <c r="I1455" i="8"/>
  <c r="F1455" i="8"/>
  <c r="H1455" i="8"/>
  <c r="H590" i="8"/>
  <c r="F590" i="8"/>
  <c r="I590" i="8"/>
  <c r="H4694" i="8"/>
  <c r="F4694" i="8"/>
  <c r="I4694" i="8"/>
  <c r="H3745" i="5"/>
  <c r="E994" i="8" s="1"/>
  <c r="I3007" i="8"/>
  <c r="H3007" i="8"/>
  <c r="F3007" i="8"/>
  <c r="I1465" i="8"/>
  <c r="H1465" i="8"/>
  <c r="F1465" i="8"/>
  <c r="F2861" i="8"/>
  <c r="H2861" i="8"/>
  <c r="I2861" i="8" s="1"/>
  <c r="I2671" i="8"/>
  <c r="H2671" i="8"/>
  <c r="F2671" i="8"/>
  <c r="H649" i="8"/>
  <c r="F649" i="8"/>
  <c r="I649" i="8"/>
  <c r="H547" i="8"/>
  <c r="F547" i="8"/>
  <c r="I547" i="8"/>
  <c r="H4014" i="8"/>
  <c r="F4014" i="8"/>
  <c r="I4014" i="8"/>
  <c r="H821" i="8"/>
  <c r="F821" i="8"/>
  <c r="I821" i="8"/>
  <c r="H3763" i="8"/>
  <c r="F3763" i="8"/>
  <c r="I3763" i="8"/>
  <c r="I2345" i="8"/>
  <c r="F2345" i="8"/>
  <c r="H2345" i="8"/>
  <c r="I1721" i="8"/>
  <c r="H1721" i="8"/>
  <c r="F1721" i="8"/>
  <c r="H3652" i="8"/>
  <c r="F3652" i="8"/>
  <c r="I3652" i="8"/>
  <c r="I2272" i="8"/>
  <c r="F2272" i="8"/>
  <c r="H2272" i="8"/>
  <c r="I2702" i="8"/>
  <c r="H2702" i="8"/>
  <c r="F2702" i="8"/>
  <c r="I1534" i="8"/>
  <c r="H1534" i="8"/>
  <c r="F1534" i="8"/>
  <c r="I3454" i="8"/>
  <c r="H3454" i="8"/>
  <c r="F3454" i="8"/>
  <c r="H3680" i="8"/>
  <c r="F3680" i="8"/>
  <c r="I3680" i="8"/>
  <c r="I2259" i="8"/>
  <c r="H2259" i="8"/>
  <c r="F2259" i="8"/>
  <c r="H4007" i="8"/>
  <c r="F4007" i="8"/>
  <c r="I4007" i="8"/>
  <c r="H528" i="8"/>
  <c r="F528" i="8"/>
  <c r="I528" i="8"/>
  <c r="H4626" i="8"/>
  <c r="F4626" i="8"/>
  <c r="I4626" i="8"/>
  <c r="I2795" i="8"/>
  <c r="F2795" i="8"/>
  <c r="H2795" i="8"/>
  <c r="I2737" i="8"/>
  <c r="H2737" i="8"/>
  <c r="F2737" i="8"/>
  <c r="H4461" i="8"/>
  <c r="I4461" i="8" s="1"/>
  <c r="F4461" i="8"/>
  <c r="I2669" i="8"/>
  <c r="F2669" i="8"/>
  <c r="H2669" i="8"/>
  <c r="H4055" i="8"/>
  <c r="F4055" i="8"/>
  <c r="I4055" i="8"/>
  <c r="H3746" i="8"/>
  <c r="F3746" i="8"/>
  <c r="I3746" i="8"/>
  <c r="I2689" i="8"/>
  <c r="H2689" i="8"/>
  <c r="F2689" i="8"/>
  <c r="H768" i="8"/>
  <c r="F768" i="8"/>
  <c r="I768" i="8"/>
  <c r="H3696" i="8"/>
  <c r="F3696" i="8"/>
  <c r="I3696" i="8"/>
  <c r="H3714" i="8"/>
  <c r="F3714" i="8"/>
  <c r="I3714" i="8"/>
  <c r="I2468" i="8"/>
  <c r="H2468" i="8"/>
  <c r="F2468" i="8"/>
  <c r="H4203" i="8"/>
  <c r="F4203" i="8"/>
  <c r="I4203" i="8"/>
  <c r="I2138" i="8"/>
  <c r="H2138" i="8"/>
  <c r="F2138" i="8"/>
  <c r="I3129" i="8"/>
  <c r="H3129" i="8"/>
  <c r="F3129" i="8"/>
  <c r="I2488" i="8"/>
  <c r="H2488" i="8"/>
  <c r="F2488" i="8"/>
  <c r="H4441" i="8"/>
  <c r="F4441" i="8"/>
  <c r="I4441" i="8"/>
  <c r="I2551" i="8"/>
  <c r="H2551" i="8"/>
  <c r="F2551" i="8"/>
  <c r="H4100" i="8"/>
  <c r="F4100" i="8"/>
  <c r="I4100" i="8"/>
  <c r="I2713" i="8"/>
  <c r="H2713" i="8"/>
  <c r="F2713" i="8"/>
  <c r="I2301" i="8"/>
  <c r="F2301" i="8"/>
  <c r="H2301" i="8"/>
  <c r="I2966" i="8"/>
  <c r="H2966" i="8"/>
  <c r="F2966" i="8"/>
  <c r="I3148" i="8"/>
  <c r="H3148" i="8"/>
  <c r="F3148" i="8"/>
  <c r="I2216" i="8"/>
  <c r="H2216" i="8"/>
  <c r="F2216" i="8"/>
  <c r="H3668" i="8"/>
  <c r="F3668" i="8"/>
  <c r="I3668" i="8"/>
  <c r="I3163" i="8"/>
  <c r="F3163" i="8"/>
  <c r="H3163" i="8"/>
  <c r="H4520" i="8"/>
  <c r="F4520" i="8"/>
  <c r="I4520" i="8"/>
  <c r="I1304" i="8"/>
  <c r="F1304" i="8"/>
  <c r="H1304" i="8"/>
  <c r="H479" i="8"/>
  <c r="F479" i="8"/>
  <c r="I479" i="8"/>
  <c r="F74" i="6"/>
  <c r="G71" i="6" s="1"/>
  <c r="I1641" i="8"/>
  <c r="H1641" i="8"/>
  <c r="F1641" i="8"/>
  <c r="I2093" i="8"/>
  <c r="F2093" i="8"/>
  <c r="H2093" i="8"/>
  <c r="I1405" i="8"/>
  <c r="H1405" i="8"/>
  <c r="F1405" i="8"/>
  <c r="I2569" i="8"/>
  <c r="F2569" i="8"/>
  <c r="H2569" i="8"/>
  <c r="I1542" i="8"/>
  <c r="F1542" i="8"/>
  <c r="H1542" i="8"/>
  <c r="G1548" i="5"/>
  <c r="H3400" i="8"/>
  <c r="I3400" i="8" s="1"/>
  <c r="F3400" i="8"/>
  <c r="H2982" i="8"/>
  <c r="I2982" i="8" s="1"/>
  <c r="F2982" i="8"/>
  <c r="F1231" i="8"/>
  <c r="H1231" i="8"/>
  <c r="I1231" i="8" s="1"/>
  <c r="I2417" i="8"/>
  <c r="F2417" i="8"/>
  <c r="H2417" i="8"/>
  <c r="I2467" i="8"/>
  <c r="H2467" i="8"/>
  <c r="F2467" i="8"/>
  <c r="I2246" i="8"/>
  <c r="H2246" i="8"/>
  <c r="F2246" i="8"/>
  <c r="H4610" i="8"/>
  <c r="F4610" i="8"/>
  <c r="I4610" i="8"/>
  <c r="H481" i="8"/>
  <c r="F481" i="8"/>
  <c r="I481" i="8"/>
  <c r="I2354" i="8"/>
  <c r="H2354" i="8"/>
  <c r="F2354" i="8"/>
  <c r="H3806" i="8"/>
  <c r="F3806" i="8"/>
  <c r="I3806" i="8"/>
  <c r="H699" i="8"/>
  <c r="F699" i="8"/>
  <c r="I699" i="8"/>
  <c r="I2807" i="8"/>
  <c r="H2807" i="8"/>
  <c r="F2807" i="8"/>
  <c r="H3618" i="8"/>
  <c r="F3618" i="8"/>
  <c r="I3618" i="8"/>
  <c r="H3380" i="8"/>
  <c r="I3380" i="8" s="1"/>
  <c r="F3380" i="8"/>
  <c r="I3119" i="8"/>
  <c r="H3119" i="8"/>
  <c r="F3119" i="8"/>
  <c r="I1214" i="8"/>
  <c r="H1214" i="8"/>
  <c r="F1214" i="8"/>
  <c r="I2045" i="8"/>
  <c r="F2045" i="8"/>
  <c r="H2045" i="8"/>
  <c r="I2128" i="8"/>
  <c r="F2128" i="8"/>
  <c r="H2128" i="8"/>
  <c r="H452" i="8"/>
  <c r="F452" i="8"/>
  <c r="I452" i="8"/>
  <c r="I3069" i="8"/>
  <c r="F3069" i="8"/>
  <c r="H3069" i="8"/>
  <c r="I2061" i="8"/>
  <c r="F2061" i="8"/>
  <c r="H2061" i="8"/>
  <c r="I1790" i="8"/>
  <c r="H1790" i="8"/>
  <c r="F1790" i="8"/>
  <c r="I2524" i="8"/>
  <c r="H2524" i="8"/>
  <c r="F2524" i="8"/>
  <c r="I2665" i="8"/>
  <c r="H2665" i="8"/>
  <c r="F2665" i="8"/>
  <c r="I1306" i="8"/>
  <c r="H1306" i="8"/>
  <c r="F1306" i="8"/>
  <c r="G4733" i="5"/>
  <c r="H3799" i="8"/>
  <c r="F3799" i="8"/>
  <c r="I3799" i="8"/>
  <c r="F646" i="6"/>
  <c r="I1808" i="8"/>
  <c r="F1808" i="8"/>
  <c r="H1808" i="8"/>
  <c r="I2553" i="8"/>
  <c r="F2553" i="8"/>
  <c r="H2553" i="8"/>
  <c r="H627" i="8"/>
  <c r="F627" i="8"/>
  <c r="I627" i="8"/>
  <c r="H3776" i="8"/>
  <c r="F3776" i="8"/>
  <c r="I3776" i="8"/>
  <c r="I2381" i="8"/>
  <c r="F2381" i="8"/>
  <c r="H2381" i="8"/>
  <c r="I2673" i="8"/>
  <c r="H2673" i="8"/>
  <c r="F2673" i="8"/>
  <c r="I2242" i="8"/>
  <c r="H2242" i="8"/>
  <c r="F2242" i="8"/>
  <c r="I2793" i="8"/>
  <c r="H2793" i="8"/>
  <c r="F2793" i="8"/>
  <c r="I2161" i="8"/>
  <c r="H2161" i="8"/>
  <c r="F2161" i="8"/>
  <c r="I1244" i="8"/>
  <c r="H1244" i="8"/>
  <c r="F1244" i="8"/>
  <c r="H3758" i="8"/>
  <c r="F3758" i="8"/>
  <c r="I3758" i="8"/>
  <c r="G300" i="5"/>
  <c r="H4515" i="8"/>
  <c r="F4515" i="8"/>
  <c r="I4515" i="8"/>
  <c r="H498" i="8"/>
  <c r="F498" i="8"/>
  <c r="I498" i="8"/>
  <c r="I2493" i="8"/>
  <c r="F2493" i="8"/>
  <c r="H2493" i="8"/>
  <c r="H767" i="8"/>
  <c r="F767" i="8"/>
  <c r="I767" i="8"/>
  <c r="H694" i="8"/>
  <c r="F694" i="8"/>
  <c r="I694" i="8"/>
  <c r="G626" i="6" l="1"/>
  <c r="G237" i="6"/>
  <c r="G708" i="6"/>
  <c r="G88" i="6"/>
  <c r="H4779" i="8"/>
  <c r="I4779" i="8" s="1"/>
  <c r="F4779" i="8"/>
  <c r="H923" i="8"/>
  <c r="I923" i="8" s="1"/>
  <c r="F923" i="8"/>
  <c r="H1148" i="8"/>
  <c r="I1148" i="8" s="1"/>
  <c r="F1148" i="8"/>
  <c r="H158" i="8"/>
  <c r="I158" i="8" s="1"/>
  <c r="F158" i="8"/>
  <c r="H1110" i="8"/>
  <c r="I1110" i="8" s="1"/>
  <c r="F1110" i="8"/>
  <c r="H871" i="8"/>
  <c r="I871" i="8" s="1"/>
  <c r="F871" i="8"/>
  <c r="H360" i="8"/>
  <c r="I360" i="8" s="1"/>
  <c r="F360" i="8"/>
  <c r="H12" i="8"/>
  <c r="I12" i="8" s="1"/>
  <c r="F12" i="8"/>
  <c r="H855" i="8"/>
  <c r="I855" i="8" s="1"/>
  <c r="F855" i="8"/>
  <c r="H166" i="8"/>
  <c r="I166" i="8" s="1"/>
  <c r="F166" i="8"/>
  <c r="H2874" i="8"/>
  <c r="I2874" i="8" s="1"/>
  <c r="F2874" i="8"/>
  <c r="F3035" i="8"/>
  <c r="H3035" i="8"/>
  <c r="I3035" i="8" s="1"/>
  <c r="H774" i="8"/>
  <c r="I774" i="8" s="1"/>
  <c r="F774" i="8"/>
  <c r="F2877" i="8"/>
  <c r="H2877" i="8"/>
  <c r="I2877" i="8" s="1"/>
  <c r="H3208" i="8"/>
  <c r="I3208" i="8" s="1"/>
  <c r="F3208" i="8"/>
  <c r="H3331" i="8"/>
  <c r="I3331" i="8" s="1"/>
  <c r="F3331" i="8"/>
  <c r="I4874" i="8"/>
  <c r="H4874" i="8"/>
  <c r="F4874" i="8"/>
  <c r="H4723" i="8"/>
  <c r="I4723" i="8" s="1"/>
  <c r="F4723" i="8"/>
  <c r="H858" i="8"/>
  <c r="I858" i="8" s="1"/>
  <c r="F858" i="8"/>
  <c r="H919" i="8"/>
  <c r="I919" i="8" s="1"/>
  <c r="F919" i="8"/>
  <c r="H1238" i="8"/>
  <c r="I1238" i="8" s="1"/>
  <c r="F1238" i="8"/>
  <c r="H4254" i="8"/>
  <c r="I4254" i="8" s="1"/>
  <c r="F4254" i="8"/>
  <c r="F3040" i="8"/>
  <c r="H3040" i="8"/>
  <c r="I3040" i="8" s="1"/>
  <c r="F3053" i="8"/>
  <c r="H3053" i="8"/>
  <c r="I3053" i="8" s="1"/>
  <c r="H4385" i="5"/>
  <c r="E1134" i="8" s="1"/>
  <c r="H164" i="8"/>
  <c r="I164" i="8" s="1"/>
  <c r="F164" i="8"/>
  <c r="H4818" i="8"/>
  <c r="I4818" i="8" s="1"/>
  <c r="F4818" i="8"/>
  <c r="H359" i="8"/>
  <c r="I359" i="8" s="1"/>
  <c r="F359" i="8"/>
  <c r="H45" i="8"/>
  <c r="I45" i="8" s="1"/>
  <c r="F45" i="8"/>
  <c r="H853" i="8"/>
  <c r="I853" i="8" s="1"/>
  <c r="F853" i="8"/>
  <c r="H298" i="8"/>
  <c r="I298" i="8" s="1"/>
  <c r="F298" i="8"/>
  <c r="H2911" i="8"/>
  <c r="I2911" i="8" s="1"/>
  <c r="F2911" i="8"/>
  <c r="H883" i="8"/>
  <c r="I883" i="8" s="1"/>
  <c r="F883" i="8"/>
  <c r="H4604" i="8"/>
  <c r="I4604" i="8" s="1"/>
  <c r="F4604" i="8"/>
  <c r="H85" i="8"/>
  <c r="I85" i="8" s="1"/>
  <c r="F85" i="8"/>
  <c r="H881" i="8"/>
  <c r="I881" i="8" s="1"/>
  <c r="F881" i="8"/>
  <c r="H33" i="8"/>
  <c r="I33" i="8" s="1"/>
  <c r="F33" i="8"/>
  <c r="H875" i="8"/>
  <c r="I875" i="8" s="1"/>
  <c r="F875" i="8"/>
  <c r="H4768" i="8"/>
  <c r="I4768" i="8" s="1"/>
  <c r="F4768" i="8"/>
  <c r="H4826" i="8"/>
  <c r="I4826" i="8" s="1"/>
  <c r="F4826" i="8"/>
  <c r="H154" i="8"/>
  <c r="I154" i="8" s="1"/>
  <c r="F154" i="8"/>
  <c r="H3048" i="8"/>
  <c r="I3048" i="8" s="1"/>
  <c r="F3048" i="8"/>
  <c r="H873" i="8"/>
  <c r="I873" i="8" s="1"/>
  <c r="F873" i="8"/>
  <c r="H8" i="8"/>
  <c r="I8" i="8" s="1"/>
  <c r="F8" i="8"/>
  <c r="H3507" i="8"/>
  <c r="I3507" i="8" s="1"/>
  <c r="F3507" i="8"/>
  <c r="H3249" i="8"/>
  <c r="I3249" i="8" s="1"/>
  <c r="F3249" i="8"/>
  <c r="H981" i="8"/>
  <c r="I981" i="8" s="1"/>
  <c r="F981" i="8"/>
  <c r="H4635" i="8"/>
  <c r="I4635" i="8" s="1"/>
  <c r="F4635" i="8"/>
  <c r="H876" i="8"/>
  <c r="I876" i="8" s="1"/>
  <c r="F876" i="8"/>
  <c r="H123" i="8"/>
  <c r="I123" i="8" s="1"/>
  <c r="F123" i="8"/>
  <c r="F2853" i="8"/>
  <c r="H2853" i="8"/>
  <c r="I2853" i="8" s="1"/>
  <c r="H2945" i="8"/>
  <c r="I2945" i="8" s="1"/>
  <c r="F2945" i="8"/>
  <c r="H2817" i="8"/>
  <c r="I2817" i="8" s="1"/>
  <c r="F2817" i="8"/>
  <c r="F3211" i="8"/>
  <c r="H3211" i="8"/>
  <c r="I3211" i="8" s="1"/>
  <c r="H3401" i="8"/>
  <c r="I3401" i="8" s="1"/>
  <c r="F3401" i="8"/>
  <c r="H3004" i="8"/>
  <c r="I3004" i="8" s="1"/>
  <c r="F3004" i="8"/>
  <c r="H3448" i="8"/>
  <c r="I3448" i="8" s="1"/>
  <c r="F3448" i="8"/>
  <c r="H3052" i="8"/>
  <c r="I3052" i="8" s="1"/>
  <c r="F3052" i="8"/>
  <c r="F2901" i="8"/>
  <c r="H2901" i="8"/>
  <c r="I2901" i="8" s="1"/>
  <c r="F481" i="6"/>
  <c r="H250" i="8"/>
  <c r="I250" i="8" s="1"/>
  <c r="F250" i="8"/>
  <c r="H32" i="8"/>
  <c r="I32" i="8" s="1"/>
  <c r="F32" i="8"/>
  <c r="H75" i="8"/>
  <c r="I75" i="8" s="1"/>
  <c r="F75" i="8"/>
  <c r="H2929" i="8"/>
  <c r="I2929" i="8" s="1"/>
  <c r="F2929" i="8"/>
  <c r="G640" i="6"/>
  <c r="F1813" i="8"/>
  <c r="H1813" i="8"/>
  <c r="I1813" i="8" s="1"/>
  <c r="H51" i="8"/>
  <c r="I51" i="8" s="1"/>
  <c r="F51" i="8"/>
  <c r="H511" i="8"/>
  <c r="I511" i="8" s="1"/>
  <c r="F511" i="8"/>
  <c r="H512" i="8"/>
  <c r="I512" i="8" s="1"/>
  <c r="F512" i="8"/>
  <c r="H3283" i="8"/>
  <c r="I3283" i="8" s="1"/>
  <c r="F3283" i="8"/>
  <c r="H314" i="8"/>
  <c r="I314" i="8" s="1"/>
  <c r="F314" i="8"/>
  <c r="H291" i="5"/>
  <c r="E82" i="8" s="1"/>
  <c r="H3257" i="8"/>
  <c r="I3257" i="8" s="1"/>
  <c r="F3257" i="8"/>
  <c r="H156" i="8"/>
  <c r="I156" i="8" s="1"/>
  <c r="F156" i="8"/>
  <c r="H961" i="8"/>
  <c r="I961" i="8" s="1"/>
  <c r="F961" i="8"/>
  <c r="H4603" i="8"/>
  <c r="I4603" i="8" s="1"/>
  <c r="F4603" i="8"/>
  <c r="H3258" i="8"/>
  <c r="I3258" i="8" s="1"/>
  <c r="F3258" i="8"/>
  <c r="H3515" i="8"/>
  <c r="I3515" i="8" s="1"/>
  <c r="F3515" i="8"/>
  <c r="H4229" i="8"/>
  <c r="I4229" i="8" s="1"/>
  <c r="F4229" i="8"/>
  <c r="F3325" i="8"/>
  <c r="H3325" i="8"/>
  <c r="I3325" i="8" s="1"/>
  <c r="H3002" i="8"/>
  <c r="I3002" i="8" s="1"/>
  <c r="F3002" i="8"/>
  <c r="H1017" i="8"/>
  <c r="F1017" i="8"/>
  <c r="I1017" i="8"/>
  <c r="H1253" i="8"/>
  <c r="I1253" i="8" s="1"/>
  <c r="F1253" i="8"/>
  <c r="H880" i="8"/>
  <c r="I880" i="8" s="1"/>
  <c r="F880" i="8"/>
  <c r="F3397" i="8"/>
  <c r="H3397" i="8"/>
  <c r="I3397" i="8" s="1"/>
  <c r="H2650" i="5"/>
  <c r="E573" i="8" s="1"/>
  <c r="H3264" i="5"/>
  <c r="E921" i="8" s="1"/>
  <c r="G423" i="6"/>
  <c r="H4737" i="8"/>
  <c r="I4737" i="8" s="1"/>
  <c r="F4737" i="8"/>
  <c r="H4794" i="8"/>
  <c r="I4794" i="8" s="1"/>
  <c r="F4794" i="8"/>
  <c r="H4880" i="8"/>
  <c r="I4880" i="8" s="1"/>
  <c r="F4880" i="8"/>
  <c r="H4795" i="8"/>
  <c r="I4795" i="8" s="1"/>
  <c r="F4795" i="8"/>
  <c r="H2598" i="8"/>
  <c r="I2598" i="8" s="1"/>
  <c r="F2598" i="8"/>
  <c r="H4722" i="8"/>
  <c r="I4722" i="8" s="1"/>
  <c r="F4722" i="8"/>
  <c r="H518" i="8"/>
  <c r="I518" i="8" s="1"/>
  <c r="F518" i="8"/>
  <c r="H2696" i="8"/>
  <c r="I2696" i="8" s="1"/>
  <c r="F2696" i="8"/>
  <c r="H1154" i="8"/>
  <c r="I1154" i="8" s="1"/>
  <c r="F1154" i="8"/>
  <c r="H1270" i="8"/>
  <c r="I1270" i="8" s="1"/>
  <c r="F1270" i="8"/>
  <c r="H4584" i="8"/>
  <c r="I4584" i="8" s="1"/>
  <c r="F4584" i="8"/>
  <c r="F1160" i="8"/>
  <c r="H1160" i="8"/>
  <c r="I1160" i="8" s="1"/>
  <c r="H974" i="8"/>
  <c r="I974" i="8" s="1"/>
  <c r="F974" i="8"/>
  <c r="H4621" i="8"/>
  <c r="I4621" i="8" s="1"/>
  <c r="F4621" i="8"/>
  <c r="H2934" i="8"/>
  <c r="I2934" i="8" s="1"/>
  <c r="F2934" i="8"/>
  <c r="H2878" i="8"/>
  <c r="I2878" i="8" s="1"/>
  <c r="F2878" i="8"/>
  <c r="H3047" i="8"/>
  <c r="I3047" i="8" s="1"/>
  <c r="F3047" i="8"/>
  <c r="H2980" i="8"/>
  <c r="I2980" i="8" s="1"/>
  <c r="F2980" i="8"/>
  <c r="H4620" i="8"/>
  <c r="I4620" i="8" s="1"/>
  <c r="F4620" i="8"/>
  <c r="F3405" i="8"/>
  <c r="H3405" i="8"/>
  <c r="I3405" i="8" s="1"/>
  <c r="H1118" i="8"/>
  <c r="I1118" i="8" s="1"/>
  <c r="F1118" i="8"/>
  <c r="H507" i="8"/>
  <c r="I507" i="8" s="1"/>
  <c r="F507" i="8"/>
  <c r="H4672" i="8"/>
  <c r="I4672" i="8" s="1"/>
  <c r="F4672" i="8"/>
  <c r="H4747" i="8"/>
  <c r="I4747" i="8" s="1"/>
  <c r="F4747" i="8"/>
  <c r="H1190" i="8"/>
  <c r="I1190" i="8" s="1"/>
  <c r="F1190" i="8"/>
  <c r="H2975" i="8"/>
  <c r="I2975" i="8" s="1"/>
  <c r="F2975" i="8"/>
  <c r="H3374" i="8"/>
  <c r="I3374" i="8" s="1"/>
  <c r="F3374" i="8"/>
  <c r="H353" i="5"/>
  <c r="E87" i="8" s="1"/>
  <c r="H885" i="8"/>
  <c r="I885" i="8" s="1"/>
  <c r="F885" i="8"/>
  <c r="H1252" i="8"/>
  <c r="I1252" i="8" s="1"/>
  <c r="F1252" i="8"/>
  <c r="H849" i="8"/>
  <c r="I849" i="8" s="1"/>
  <c r="F849" i="8"/>
  <c r="F2384" i="8"/>
  <c r="H2384" i="8"/>
  <c r="I2384" i="8" s="1"/>
  <c r="H1073" i="8"/>
  <c r="I1073" i="8" s="1"/>
  <c r="F1073" i="8"/>
  <c r="H2815" i="8"/>
  <c r="I2815" i="8" s="1"/>
  <c r="F2815" i="8"/>
  <c r="H3417" i="5"/>
  <c r="E943" i="8" s="1"/>
  <c r="G323" i="6"/>
  <c r="H4785" i="8"/>
  <c r="I4785" i="8" s="1"/>
  <c r="F4785" i="8"/>
  <c r="H983" i="8"/>
  <c r="I983" i="8" s="1"/>
  <c r="F983" i="8"/>
  <c r="H4600" i="8"/>
  <c r="I4600" i="8" s="1"/>
  <c r="F4600" i="8"/>
  <c r="F3488" i="8"/>
  <c r="H3488" i="8"/>
  <c r="I3488" i="8" s="1"/>
  <c r="F1144" i="8"/>
  <c r="H1144" i="8"/>
  <c r="I1144" i="8" s="1"/>
  <c r="H125" i="8"/>
  <c r="I125" i="8" s="1"/>
  <c r="F125" i="8"/>
  <c r="H124" i="8"/>
  <c r="I124" i="8" s="1"/>
  <c r="F124" i="8"/>
  <c r="H509" i="8"/>
  <c r="I509" i="8" s="1"/>
  <c r="F509" i="8"/>
  <c r="H857" i="8"/>
  <c r="I857" i="8" s="1"/>
  <c r="F857" i="8"/>
  <c r="H4822" i="8"/>
  <c r="I4822" i="8" s="1"/>
  <c r="F4822" i="8"/>
  <c r="H569" i="8"/>
  <c r="I569" i="8" s="1"/>
  <c r="F569" i="8"/>
  <c r="H1074" i="8"/>
  <c r="I1074" i="8" s="1"/>
  <c r="F1074" i="8"/>
  <c r="H27" i="8"/>
  <c r="I27" i="8" s="1"/>
  <c r="F27" i="8"/>
  <c r="F1143" i="8"/>
  <c r="H1143" i="8"/>
  <c r="I1143" i="8" s="1"/>
  <c r="H4731" i="8"/>
  <c r="I4731" i="8" s="1"/>
  <c r="F4731" i="8"/>
  <c r="H21" i="8"/>
  <c r="I21" i="8" s="1"/>
  <c r="F21" i="8"/>
  <c r="H3022" i="8"/>
  <c r="I3022" i="8" s="1"/>
  <c r="F3022" i="8"/>
  <c r="H2908" i="8"/>
  <c r="I2908" i="8" s="1"/>
  <c r="F2908" i="8"/>
  <c r="H2931" i="8"/>
  <c r="I2931" i="8" s="1"/>
  <c r="F2931" i="8"/>
  <c r="H3444" i="8"/>
  <c r="I3444" i="8" s="1"/>
  <c r="F3444" i="8"/>
  <c r="H2948" i="8"/>
  <c r="I2948" i="8" s="1"/>
  <c r="F2948" i="8"/>
  <c r="F2725" i="8"/>
  <c r="H2725" i="8"/>
  <c r="I2725" i="8" s="1"/>
  <c r="H2994" i="8"/>
  <c r="I2994" i="8" s="1"/>
  <c r="F2994" i="8"/>
  <c r="H2783" i="8"/>
  <c r="I2783" i="8" s="1"/>
  <c r="F2783" i="8"/>
  <c r="H3036" i="8"/>
  <c r="I3036" i="8" s="1"/>
  <c r="F3036" i="8"/>
  <c r="H3030" i="8"/>
  <c r="I3030" i="8" s="1"/>
  <c r="F3030" i="8"/>
  <c r="H4877" i="8"/>
  <c r="I4877" i="8" s="1"/>
  <c r="F4877" i="8"/>
  <c r="I4875" i="8"/>
  <c r="H4875" i="8"/>
  <c r="F4875" i="8"/>
  <c r="H4074" i="5"/>
  <c r="E1082" i="8" s="1"/>
  <c r="H866" i="8"/>
  <c r="I866" i="8" s="1"/>
  <c r="F866" i="8"/>
  <c r="H515" i="8"/>
  <c r="I515" i="8" s="1"/>
  <c r="F515" i="8"/>
  <c r="H28" i="8"/>
  <c r="I28" i="8" s="1"/>
  <c r="F28" i="8"/>
  <c r="H1189" i="8"/>
  <c r="I1189" i="8" s="1"/>
  <c r="F1189" i="8"/>
  <c r="F2909" i="8"/>
  <c r="H2909" i="8"/>
  <c r="I2909" i="8" s="1"/>
  <c r="H3411" i="5"/>
  <c r="E942" i="8" s="1"/>
  <c r="G578" i="6"/>
  <c r="H517" i="8"/>
  <c r="I517" i="8" s="1"/>
  <c r="F517" i="8"/>
  <c r="H1283" i="8"/>
  <c r="I1283" i="8" s="1"/>
  <c r="F1283" i="8"/>
  <c r="H25" i="8"/>
  <c r="I25" i="8" s="1"/>
  <c r="F25" i="8"/>
  <c r="H161" i="8"/>
  <c r="I161" i="8" s="1"/>
  <c r="F161" i="8"/>
  <c r="H505" i="8"/>
  <c r="I505" i="8" s="1"/>
  <c r="F505" i="8"/>
  <c r="H1156" i="8"/>
  <c r="I1156" i="8" s="1"/>
  <c r="F1156" i="8"/>
  <c r="H568" i="8"/>
  <c r="I568" i="8" s="1"/>
  <c r="F568" i="8"/>
  <c r="H1178" i="8"/>
  <c r="I1178" i="8" s="1"/>
  <c r="F1178" i="8"/>
  <c r="H2873" i="8"/>
  <c r="I2873" i="8" s="1"/>
  <c r="F2873" i="8"/>
  <c r="H1142" i="8"/>
  <c r="I1142" i="8" s="1"/>
  <c r="F1142" i="8"/>
  <c r="H506" i="8"/>
  <c r="I506" i="8" s="1"/>
  <c r="F506" i="8"/>
  <c r="H317" i="8"/>
  <c r="I317" i="8" s="1"/>
  <c r="F317" i="8"/>
  <c r="H965" i="8"/>
  <c r="I965" i="8" s="1"/>
  <c r="F965" i="8"/>
  <c r="H4586" i="8"/>
  <c r="I4586" i="8" s="1"/>
  <c r="F4586" i="8"/>
  <c r="H514" i="8"/>
  <c r="I514" i="8" s="1"/>
  <c r="F514" i="8"/>
  <c r="H3318" i="8"/>
  <c r="I3318" i="8" s="1"/>
  <c r="F3318" i="8"/>
  <c r="H2985" i="8"/>
  <c r="I2985" i="8" s="1"/>
  <c r="F2985" i="8"/>
  <c r="H3468" i="8"/>
  <c r="I3468" i="8" s="1"/>
  <c r="F3468" i="8"/>
  <c r="H2729" i="8"/>
  <c r="I2729" i="8" s="1"/>
  <c r="F2729" i="8"/>
  <c r="H3386" i="8"/>
  <c r="I3386" i="8" s="1"/>
  <c r="F3386" i="8"/>
  <c r="H513" i="8"/>
  <c r="I513" i="8" s="1"/>
  <c r="F513" i="8"/>
  <c r="H1109" i="8"/>
  <c r="I1109" i="8" s="1"/>
  <c r="F1109" i="8"/>
  <c r="H2879" i="8"/>
  <c r="I2879" i="8" s="1"/>
  <c r="F2879" i="8"/>
  <c r="H6369" i="5"/>
  <c r="E2601" i="8" s="1"/>
  <c r="H306" i="5"/>
  <c r="E83" i="8" s="1"/>
  <c r="G252" i="6"/>
  <c r="H4827" i="5"/>
  <c r="E1185" i="8" s="1"/>
  <c r="H4793" i="8"/>
  <c r="I4793" i="8" s="1"/>
  <c r="F4793" i="8"/>
  <c r="H3780" i="5"/>
  <c r="E997" i="8" s="1"/>
  <c r="H11214" i="5"/>
  <c r="E4667" i="8" s="1"/>
  <c r="F788" i="6"/>
  <c r="H4876" i="8"/>
  <c r="I4876" i="8" s="1"/>
  <c r="F4876" i="8"/>
  <c r="H4721" i="8"/>
  <c r="I4721" i="8" s="1"/>
  <c r="F4721" i="8"/>
  <c r="H2604" i="8"/>
  <c r="I2604" i="8" s="1"/>
  <c r="F2604" i="8"/>
  <c r="H127" i="8"/>
  <c r="I127" i="8" s="1"/>
  <c r="F127" i="8"/>
  <c r="H122" i="8"/>
  <c r="I122" i="8" s="1"/>
  <c r="F122" i="8"/>
  <c r="H4673" i="8"/>
  <c r="I4673" i="8" s="1"/>
  <c r="F4673" i="8"/>
  <c r="H299" i="8"/>
  <c r="I299" i="8" s="1"/>
  <c r="F299" i="8"/>
  <c r="H1275" i="8"/>
  <c r="I1275" i="8" s="1"/>
  <c r="F1275" i="8"/>
  <c r="H3116" i="8"/>
  <c r="I3116" i="8" s="1"/>
  <c r="F3116" i="8"/>
  <c r="H3302" i="8"/>
  <c r="I3302" i="8" s="1"/>
  <c r="F3302" i="8"/>
  <c r="H3313" i="8"/>
  <c r="I3313" i="8" s="1"/>
  <c r="F3313" i="8"/>
  <c r="H2868" i="8"/>
  <c r="I2868" i="8" s="1"/>
  <c r="F2868" i="8"/>
  <c r="F3435" i="8"/>
  <c r="H3435" i="8"/>
  <c r="I3435" i="8" s="1"/>
  <c r="H3370" i="8"/>
  <c r="I3370" i="8" s="1"/>
  <c r="F3370" i="8"/>
  <c r="H2666" i="5"/>
  <c r="E575" i="8" s="1"/>
  <c r="H4678" i="5"/>
  <c r="E1168" i="8" s="1"/>
  <c r="H572" i="8"/>
  <c r="I572" i="8" s="1"/>
  <c r="F572" i="8"/>
  <c r="H4820" i="8"/>
  <c r="I4820" i="8" s="1"/>
  <c r="F4820" i="8"/>
  <c r="H884" i="8"/>
  <c r="I884" i="8" s="1"/>
  <c r="F884" i="8"/>
  <c r="H870" i="8"/>
  <c r="I870" i="8" s="1"/>
  <c r="F870" i="8"/>
  <c r="F2685" i="8"/>
  <c r="H2685" i="8"/>
  <c r="I2685" i="8" s="1"/>
  <c r="H46" i="8"/>
  <c r="I46" i="8" s="1"/>
  <c r="F46" i="8"/>
  <c r="F2752" i="8"/>
  <c r="H2752" i="8"/>
  <c r="I2752" i="8" s="1"/>
  <c r="H3327" i="8"/>
  <c r="I3327" i="8" s="1"/>
  <c r="F3327" i="8"/>
  <c r="G98" i="6"/>
  <c r="F3296" i="8"/>
  <c r="H3296" i="8"/>
  <c r="I3296" i="8" s="1"/>
  <c r="H3509" i="8"/>
  <c r="I3509" i="8" s="1"/>
  <c r="F3509" i="8"/>
  <c r="F2368" i="8"/>
  <c r="H2368" i="8"/>
  <c r="I2368" i="8" s="1"/>
  <c r="H519" i="8"/>
  <c r="I519" i="8" s="1"/>
  <c r="F519" i="8"/>
  <c r="H991" i="8"/>
  <c r="I991" i="8" s="1"/>
  <c r="F991" i="8"/>
  <c r="H915" i="8"/>
  <c r="I915" i="8" s="1"/>
  <c r="F915" i="8"/>
  <c r="H3499" i="8"/>
  <c r="I3499" i="8" s="1"/>
  <c r="F3499" i="8"/>
  <c r="H962" i="8"/>
  <c r="I962" i="8" s="1"/>
  <c r="F962" i="8"/>
  <c r="H3482" i="8"/>
  <c r="I3482" i="8" s="1"/>
  <c r="F3482" i="8"/>
  <c r="H30" i="8"/>
  <c r="I30" i="8" s="1"/>
  <c r="F30" i="8"/>
  <c r="F2859" i="8"/>
  <c r="H2859" i="8"/>
  <c r="I2859" i="8" s="1"/>
  <c r="H3012" i="8"/>
  <c r="I3012" i="8" s="1"/>
  <c r="F3012" i="8"/>
  <c r="H3356" i="8"/>
  <c r="I3356" i="8" s="1"/>
  <c r="F3356" i="8"/>
  <c r="F2829" i="8"/>
  <c r="H2829" i="8"/>
  <c r="I2829" i="8" s="1"/>
  <c r="H1928" i="8"/>
  <c r="I1928" i="8" s="1"/>
  <c r="F1928" i="8"/>
  <c r="H852" i="8"/>
  <c r="I852" i="8" s="1"/>
  <c r="F852" i="8"/>
  <c r="H253" i="8"/>
  <c r="I253" i="8" s="1"/>
  <c r="F253" i="8"/>
  <c r="H4578" i="8"/>
  <c r="I4578" i="8" s="1"/>
  <c r="F4578" i="8"/>
  <c r="H516" i="8"/>
  <c r="I516" i="8" s="1"/>
  <c r="F516" i="8"/>
  <c r="H3296" i="5"/>
  <c r="E926" i="8" s="1"/>
  <c r="F1248" i="8"/>
  <c r="H1248" i="8"/>
  <c r="I1248" i="8" s="1"/>
  <c r="H1172" i="8"/>
  <c r="I1172" i="8" s="1"/>
  <c r="F1172" i="8"/>
  <c r="H4772" i="8"/>
  <c r="I4772" i="8" s="1"/>
  <c r="F4772" i="8"/>
  <c r="H956" i="8"/>
  <c r="I956" i="8" s="1"/>
  <c r="F956" i="8"/>
  <c r="F1255" i="8"/>
  <c r="H1255" i="8"/>
  <c r="I1255" i="8" s="1"/>
  <c r="H47" i="8"/>
  <c r="I47" i="8" s="1"/>
  <c r="F47" i="8"/>
  <c r="H914" i="8"/>
  <c r="I914" i="8" s="1"/>
  <c r="F914" i="8"/>
  <c r="H4827" i="8"/>
  <c r="I4827" i="8" s="1"/>
  <c r="F4827" i="8"/>
  <c r="H252" i="8"/>
  <c r="I252" i="8" s="1"/>
  <c r="F252" i="8"/>
  <c r="H977" i="8"/>
  <c r="I977" i="8" s="1"/>
  <c r="F977" i="8"/>
  <c r="H249" i="8"/>
  <c r="I249" i="8" s="1"/>
  <c r="F249" i="8"/>
  <c r="H859" i="8"/>
  <c r="I859" i="8" s="1"/>
  <c r="F859" i="8"/>
  <c r="H4760" i="8"/>
  <c r="I4760" i="8" s="1"/>
  <c r="F4760" i="8"/>
  <c r="F2875" i="8"/>
  <c r="H2875" i="8"/>
  <c r="I2875" i="8" s="1"/>
  <c r="H2898" i="8"/>
  <c r="I2898" i="8" s="1"/>
  <c r="F2898" i="8"/>
  <c r="F3419" i="8"/>
  <c r="H3419" i="8"/>
  <c r="I3419" i="8" s="1"/>
  <c r="F3019" i="8"/>
  <c r="H3019" i="8"/>
  <c r="I3019" i="8" s="1"/>
  <c r="H3314" i="8"/>
  <c r="I3314" i="8" s="1"/>
  <c r="F3314" i="8"/>
  <c r="H3332" i="8"/>
  <c r="I3332" i="8" s="1"/>
  <c r="F3332" i="8"/>
  <c r="H2814" i="8"/>
  <c r="I2814" i="8" s="1"/>
  <c r="F2814" i="8"/>
  <c r="H3377" i="8"/>
  <c r="I3377" i="8" s="1"/>
  <c r="F3377" i="8"/>
  <c r="F2813" i="8"/>
  <c r="H2813" i="8"/>
  <c r="I2813" i="8" s="1"/>
  <c r="H3001" i="8"/>
  <c r="I3001" i="8" s="1"/>
  <c r="F3001" i="8"/>
  <c r="H2876" i="8"/>
  <c r="I2876" i="8" s="1"/>
  <c r="F2876" i="8"/>
  <c r="H4729" i="8"/>
  <c r="I4729" i="8" s="1"/>
  <c r="F4729" i="8"/>
  <c r="H362" i="8"/>
  <c r="I362" i="8" s="1"/>
  <c r="F362" i="8"/>
  <c r="H2694" i="8"/>
  <c r="I2694" i="8" s="1"/>
  <c r="F2694" i="8"/>
  <c r="H851" i="8"/>
  <c r="I851" i="8" s="1"/>
  <c r="F851" i="8"/>
  <c r="H897" i="8"/>
  <c r="I897" i="8" s="1"/>
  <c r="F897" i="8"/>
  <c r="H3100" i="8"/>
  <c r="I3100" i="8" s="1"/>
  <c r="F3100" i="8"/>
  <c r="G8" i="6"/>
  <c r="H964" i="8"/>
  <c r="I964" i="8" s="1"/>
  <c r="F964" i="8"/>
  <c r="F2597" i="8"/>
  <c r="H2597" i="8"/>
  <c r="I2597" i="8" s="1"/>
  <c r="H11" i="8"/>
  <c r="I11" i="8" s="1"/>
  <c r="F11" i="8"/>
  <c r="H571" i="8"/>
  <c r="I571" i="8" s="1"/>
  <c r="F571" i="8"/>
  <c r="F3259" i="8"/>
  <c r="H3259" i="8"/>
  <c r="I3259" i="8" s="1"/>
  <c r="H31" i="8"/>
  <c r="I31" i="8" s="1"/>
  <c r="F31" i="8"/>
  <c r="H2684" i="8"/>
  <c r="I2684" i="8" s="1"/>
  <c r="F2684" i="8"/>
  <c r="H508" i="8"/>
  <c r="I508" i="8" s="1"/>
  <c r="F508" i="8"/>
  <c r="H313" i="8"/>
  <c r="I313" i="8" s="1"/>
  <c r="F313" i="8"/>
  <c r="H4873" i="8"/>
  <c r="I4873" i="8" s="1"/>
  <c r="F4873" i="8"/>
  <c r="H4575" i="8"/>
  <c r="I4575" i="8" s="1"/>
  <c r="F4575" i="8"/>
  <c r="H1116" i="8"/>
  <c r="I1116" i="8" s="1"/>
  <c r="F1116" i="8"/>
  <c r="H3250" i="8"/>
  <c r="I3250" i="8" s="1"/>
  <c r="F3250" i="8"/>
  <c r="H316" i="8"/>
  <c r="I316" i="8" s="1"/>
  <c r="F316" i="8"/>
  <c r="F1159" i="8"/>
  <c r="H1159" i="8"/>
  <c r="I1159" i="8" s="1"/>
  <c r="H3251" i="8"/>
  <c r="I3251" i="8" s="1"/>
  <c r="F3251" i="8"/>
  <c r="H3026" i="8"/>
  <c r="I3026" i="8" s="1"/>
  <c r="F3026" i="8"/>
  <c r="H3335" i="8"/>
  <c r="I3335" i="8" s="1"/>
  <c r="F3335" i="8"/>
  <c r="H3032" i="8"/>
  <c r="I3032" i="8" s="1"/>
  <c r="F3032" i="8"/>
  <c r="H3415" i="8"/>
  <c r="I3415" i="8" s="1"/>
  <c r="F3415" i="8"/>
  <c r="H3046" i="8"/>
  <c r="I3046" i="8" s="1"/>
  <c r="F3046" i="8"/>
  <c r="H2858" i="8"/>
  <c r="I2858" i="8" s="1"/>
  <c r="F2858" i="8"/>
  <c r="H5331" i="5"/>
  <c r="E1332" i="8" s="1"/>
  <c r="G412" i="6"/>
  <c r="G454" i="6"/>
  <c r="I4879" i="8"/>
  <c r="H4879" i="8"/>
  <c r="F4879" i="8"/>
  <c r="G695" i="6"/>
  <c r="G547" i="6"/>
  <c r="H1545" i="5"/>
  <c r="E255" i="8" s="1"/>
  <c r="H4328" i="8"/>
  <c r="I4328" i="8" s="1"/>
  <c r="F4328" i="8"/>
  <c r="H899" i="8"/>
  <c r="I899" i="8" s="1"/>
  <c r="F899" i="8"/>
  <c r="H1289" i="8"/>
  <c r="I1289" i="8" s="1"/>
  <c r="F1289" i="8"/>
  <c r="H982" i="8"/>
  <c r="I982" i="8" s="1"/>
  <c r="F982" i="8"/>
  <c r="H2623" i="8"/>
  <c r="I2623" i="8" s="1"/>
  <c r="F2623" i="8"/>
  <c r="H4787" i="8"/>
  <c r="I4787" i="8" s="1"/>
  <c r="F4787" i="8"/>
  <c r="H44" i="8"/>
  <c r="I44" i="8" s="1"/>
  <c r="F44" i="8"/>
  <c r="H22" i="8"/>
  <c r="I22" i="8" s="1"/>
  <c r="F22" i="8"/>
  <c r="H251" i="8"/>
  <c r="I251" i="8" s="1"/>
  <c r="F251" i="8"/>
  <c r="H963" i="8"/>
  <c r="I963" i="8" s="1"/>
  <c r="F963" i="8"/>
  <c r="H2860" i="8"/>
  <c r="I2860" i="8" s="1"/>
  <c r="F2860" i="8"/>
  <c r="F2896" i="8"/>
  <c r="H2896" i="8"/>
  <c r="I2896" i="8" s="1"/>
  <c r="H2882" i="8"/>
  <c r="I2882" i="8" s="1"/>
  <c r="F2882" i="8"/>
  <c r="H1206" i="8"/>
  <c r="I1206" i="8" s="1"/>
  <c r="F1206" i="8"/>
  <c r="H3955" i="5"/>
  <c r="E1067" i="8" s="1"/>
  <c r="H2658" i="5"/>
  <c r="E574" i="8" s="1"/>
  <c r="H1249" i="8"/>
  <c r="I1249" i="8" s="1"/>
  <c r="F1249" i="8"/>
  <c r="H916" i="8"/>
  <c r="I916" i="8" s="1"/>
  <c r="F916" i="8"/>
  <c r="H957" i="8"/>
  <c r="I957" i="8" s="1"/>
  <c r="F957" i="8"/>
  <c r="H988" i="8"/>
  <c r="I988" i="8" s="1"/>
  <c r="F988" i="8"/>
  <c r="H302" i="8"/>
  <c r="I302" i="8" s="1"/>
  <c r="F302" i="8"/>
  <c r="H4823" i="8"/>
  <c r="I4823" i="8" s="1"/>
  <c r="F4823" i="8"/>
  <c r="H41" i="8"/>
  <c r="I41" i="8" s="1"/>
  <c r="F41" i="8"/>
  <c r="H2906" i="8"/>
  <c r="I2906" i="8" s="1"/>
  <c r="F2906" i="8"/>
  <c r="H2979" i="8"/>
  <c r="I2979" i="8" s="1"/>
  <c r="F2979" i="8"/>
  <c r="F2334" i="8"/>
  <c r="H2334" i="8"/>
  <c r="I2334" i="8" s="1"/>
  <c r="H1133" i="8"/>
  <c r="I1133" i="8" s="1"/>
  <c r="F1133" i="8"/>
  <c r="H84" i="8"/>
  <c r="I84" i="8" s="1"/>
  <c r="F84" i="8"/>
  <c r="H4256" i="8"/>
  <c r="I4256" i="8" s="1"/>
  <c r="F4256" i="8"/>
  <c r="H3551" i="8"/>
  <c r="I3551" i="8" s="1"/>
  <c r="F3551" i="8"/>
  <c r="H992" i="8"/>
  <c r="I992" i="8" s="1"/>
  <c r="F992" i="8"/>
  <c r="H874" i="8"/>
  <c r="I874" i="8" s="1"/>
  <c r="F874" i="8"/>
  <c r="H1250" i="8"/>
  <c r="I1250" i="8" s="1"/>
  <c r="F1250" i="8"/>
  <c r="H42" i="8"/>
  <c r="I42" i="8" s="1"/>
  <c r="F42" i="8"/>
  <c r="H48" i="8"/>
  <c r="I48" i="8" s="1"/>
  <c r="F48" i="8"/>
  <c r="H2924" i="8"/>
  <c r="I2924" i="8" s="1"/>
  <c r="F2924" i="8"/>
  <c r="H3411" i="8"/>
  <c r="I3411" i="8" s="1"/>
  <c r="F3411" i="8"/>
  <c r="H2904" i="8"/>
  <c r="I2904" i="8" s="1"/>
  <c r="F2904" i="8"/>
  <c r="H2990" i="8"/>
  <c r="I2990" i="8" s="1"/>
  <c r="F2990" i="8"/>
  <c r="H975" i="8"/>
  <c r="I975" i="8" s="1"/>
  <c r="F975" i="8"/>
  <c r="H49" i="8"/>
  <c r="I49" i="8" s="1"/>
  <c r="F49" i="8"/>
  <c r="H35" i="8"/>
  <c r="I35" i="8" s="1"/>
  <c r="F35" i="8"/>
  <c r="H947" i="8"/>
  <c r="I947" i="8" s="1"/>
  <c r="F947" i="8"/>
  <c r="H4580" i="8"/>
  <c r="I4580" i="8" s="1"/>
  <c r="F4580" i="8"/>
  <c r="F2885" i="8"/>
  <c r="H2885" i="8"/>
  <c r="I2885" i="8" s="1"/>
  <c r="H5383" i="5"/>
  <c r="E1338" i="8" s="1"/>
  <c r="H2599" i="8"/>
  <c r="I2599" i="8" s="1"/>
  <c r="F2599" i="8"/>
  <c r="H152" i="8"/>
  <c r="I152" i="8" s="1"/>
  <c r="F152" i="8"/>
  <c r="F1184" i="8"/>
  <c r="H1184" i="8"/>
  <c r="I1184" i="8" s="1"/>
  <c r="H872" i="8"/>
  <c r="I872" i="8" s="1"/>
  <c r="F872" i="8"/>
  <c r="H160" i="8"/>
  <c r="I160" i="8" s="1"/>
  <c r="F160" i="8"/>
  <c r="H900" i="8"/>
  <c r="I900" i="8" s="1"/>
  <c r="F900" i="8"/>
  <c r="H917" i="8"/>
  <c r="I917" i="8" s="1"/>
  <c r="F917" i="8"/>
  <c r="H4669" i="8"/>
  <c r="I4669" i="8" s="1"/>
  <c r="F4669" i="8"/>
  <c r="H2686" i="8"/>
  <c r="I2686" i="8" s="1"/>
  <c r="F2686" i="8"/>
  <c r="H4587" i="8"/>
  <c r="I4587" i="8" s="1"/>
  <c r="F4587" i="8"/>
  <c r="H3489" i="8"/>
  <c r="I3489" i="8" s="1"/>
  <c r="F3489" i="8"/>
  <c r="H126" i="8"/>
  <c r="I126" i="8" s="1"/>
  <c r="F126" i="8"/>
  <c r="H1276" i="8"/>
  <c r="I1276" i="8" s="1"/>
  <c r="F1276" i="8"/>
  <c r="F2765" i="8"/>
  <c r="H2765" i="8"/>
  <c r="I2765" i="8" s="1"/>
  <c r="H2744" i="8"/>
  <c r="I2744" i="8" s="1"/>
  <c r="F2744" i="8"/>
  <c r="H2993" i="8"/>
  <c r="I2993" i="8" s="1"/>
  <c r="F2993" i="8"/>
  <c r="H2871" i="8"/>
  <c r="I2871" i="8" s="1"/>
  <c r="F2871" i="8"/>
  <c r="H2823" i="8"/>
  <c r="I2823" i="8" s="1"/>
  <c r="F2823" i="8"/>
  <c r="H2978" i="8"/>
  <c r="I2978" i="8" s="1"/>
  <c r="F2978" i="8"/>
  <c r="H3342" i="8"/>
  <c r="I3342" i="8" s="1"/>
  <c r="F3342" i="8"/>
  <c r="H3354" i="8"/>
  <c r="I3354" i="8" s="1"/>
  <c r="F3354" i="8"/>
  <c r="H2887" i="8"/>
  <c r="I2887" i="8" s="1"/>
  <c r="F2887" i="8"/>
  <c r="H2886" i="8"/>
  <c r="I2886" i="8" s="1"/>
  <c r="F2886" i="8"/>
  <c r="H4728" i="5"/>
  <c r="E1173" i="8" s="1"/>
  <c r="G270" i="6"/>
  <c r="H26" i="8"/>
  <c r="I26" i="8" s="1"/>
  <c r="F26" i="8"/>
  <c r="H494" i="8"/>
  <c r="I494" i="8" s="1"/>
  <c r="F494" i="8"/>
  <c r="H3263" i="8"/>
  <c r="I3263" i="8" s="1"/>
  <c r="F3263" i="8"/>
  <c r="H276" i="8"/>
  <c r="I276" i="8" s="1"/>
  <c r="F276" i="8"/>
  <c r="H4803" i="8"/>
  <c r="I4803" i="8" s="1"/>
  <c r="F4803" i="8"/>
  <c r="H856" i="8"/>
  <c r="I856" i="8" s="1"/>
  <c r="F856" i="8"/>
  <c r="H315" i="8"/>
  <c r="I315" i="8" s="1"/>
  <c r="F315" i="8"/>
  <c r="H4401" i="5"/>
  <c r="E1135" i="8" s="1"/>
  <c r="H1538" i="5"/>
  <c r="E254" i="8" s="1"/>
  <c r="H24" i="8"/>
  <c r="I24" i="8" s="1"/>
  <c r="F24" i="8"/>
  <c r="H40" i="8"/>
  <c r="I40" i="8" s="1"/>
  <c r="F40" i="8"/>
  <c r="H570" i="8"/>
  <c r="I570" i="8" s="1"/>
  <c r="F570" i="8"/>
  <c r="H1254" i="8"/>
  <c r="I1254" i="8" s="1"/>
  <c r="F1254" i="8"/>
  <c r="H23" i="8"/>
  <c r="I23" i="8" s="1"/>
  <c r="F23" i="8"/>
  <c r="H159" i="8"/>
  <c r="I159" i="8" s="1"/>
  <c r="F159" i="8"/>
  <c r="G400" i="6"/>
  <c r="H567" i="8"/>
  <c r="I567" i="8" s="1"/>
  <c r="F567" i="8"/>
  <c r="H2687" i="8"/>
  <c r="I2687" i="8" s="1"/>
  <c r="F2687" i="8"/>
  <c r="H1251" i="8"/>
  <c r="I1251" i="8" s="1"/>
  <c r="F1251" i="8"/>
  <c r="H3260" i="8"/>
  <c r="I3260" i="8" s="1"/>
  <c r="F3260" i="8"/>
  <c r="H3537" i="8"/>
  <c r="I3537" i="8" s="1"/>
  <c r="F3537" i="8"/>
  <c r="F3360" i="8"/>
  <c r="H3360" i="8"/>
  <c r="I3360" i="8" s="1"/>
  <c r="H2883" i="8"/>
  <c r="I2883" i="8" s="1"/>
  <c r="F2883" i="8"/>
  <c r="H2890" i="8"/>
  <c r="I2890" i="8" s="1"/>
  <c r="F2890" i="8"/>
  <c r="F1920" i="8"/>
  <c r="H1920" i="8"/>
  <c r="I1920" i="8" s="1"/>
  <c r="H826" i="8"/>
  <c r="I826" i="8" s="1"/>
  <c r="F826" i="8"/>
  <c r="I4878" i="8"/>
  <c r="H4878" i="8"/>
  <c r="F4878" i="8"/>
  <c r="H135" i="8" l="1"/>
  <c r="I135" i="8" s="1"/>
  <c r="F135" i="8"/>
  <c r="I1416" i="8"/>
  <c r="F1416" i="8"/>
  <c r="H1416" i="8"/>
  <c r="H3981" i="8"/>
  <c r="I3981" i="8" s="1"/>
  <c r="F3981" i="8"/>
  <c r="H178" i="8"/>
  <c r="I178" i="8" s="1"/>
  <c r="F178" i="8"/>
  <c r="H1896" i="8"/>
  <c r="I1896" i="8" s="1"/>
  <c r="F1896" i="8"/>
  <c r="F3403" i="8"/>
  <c r="H3403" i="8"/>
  <c r="I3403" i="8" s="1"/>
  <c r="H4369" i="8"/>
  <c r="I4369" i="8" s="1"/>
  <c r="F4369" i="8"/>
  <c r="H4736" i="8"/>
  <c r="I4736" i="8" s="1"/>
  <c r="F4736" i="8"/>
  <c r="H4391" i="8"/>
  <c r="I4391" i="8" s="1"/>
  <c r="F4391" i="8"/>
  <c r="F448" i="6"/>
  <c r="G6431" i="5"/>
  <c r="H4526" i="8"/>
  <c r="I4526" i="8" s="1"/>
  <c r="F4526" i="8"/>
  <c r="H3295" i="8"/>
  <c r="I3295" i="8" s="1"/>
  <c r="F3295" i="8"/>
  <c r="F3237" i="8"/>
  <c r="H3237" i="8"/>
  <c r="I3237" i="8" s="1"/>
  <c r="H1267" i="8"/>
  <c r="I1267" i="8" s="1"/>
  <c r="F1267" i="8"/>
  <c r="H3939" i="8"/>
  <c r="I3939" i="8" s="1"/>
  <c r="F3939" i="8"/>
  <c r="H1374" i="8"/>
  <c r="I1374" i="8" s="1"/>
  <c r="F1374" i="8"/>
  <c r="H987" i="8"/>
  <c r="I987" i="8" s="1"/>
  <c r="F987" i="8"/>
  <c r="H4044" i="8"/>
  <c r="I4044" i="8" s="1"/>
  <c r="F4044" i="8"/>
  <c r="H1393" i="8"/>
  <c r="I1393" i="8" s="1"/>
  <c r="F1393" i="8"/>
  <c r="H1608" i="8"/>
  <c r="I1608" i="8" s="1"/>
  <c r="F1608" i="8"/>
  <c r="H99" i="8"/>
  <c r="I99" i="8" s="1"/>
  <c r="F99" i="8"/>
  <c r="H1386" i="8"/>
  <c r="I1386" i="8" s="1"/>
  <c r="F1386" i="8"/>
  <c r="H4363" i="8"/>
  <c r="I4363" i="8" s="1"/>
  <c r="F4363" i="8"/>
  <c r="H1102" i="8"/>
  <c r="I1102" i="8" s="1"/>
  <c r="F1102" i="8"/>
  <c r="H216" i="8"/>
  <c r="I216" i="8" s="1"/>
  <c r="F216" i="8"/>
  <c r="F1568" i="8"/>
  <c r="H1568" i="8"/>
  <c r="I1568" i="8" s="1"/>
  <c r="H3299" i="8"/>
  <c r="I3299" i="8" s="1"/>
  <c r="F3299" i="8"/>
  <c r="H925" i="8"/>
  <c r="I925" i="8" s="1"/>
  <c r="F925" i="8"/>
  <c r="H18" i="8"/>
  <c r="I18" i="8" s="1"/>
  <c r="F18" i="8"/>
  <c r="H4365" i="8"/>
  <c r="I4365" i="8" s="1"/>
  <c r="F4365" i="8"/>
  <c r="H4268" i="8"/>
  <c r="I4268" i="8" s="1"/>
  <c r="F4268" i="8"/>
  <c r="H3247" i="8"/>
  <c r="I3247" i="8" s="1"/>
  <c r="F3247" i="8"/>
  <c r="H4380" i="8"/>
  <c r="I4380" i="8" s="1"/>
  <c r="F4380" i="8"/>
  <c r="H584" i="8"/>
  <c r="I584" i="8" s="1"/>
  <c r="F584" i="8"/>
  <c r="H98" i="8"/>
  <c r="I98" i="8" s="1"/>
  <c r="F98" i="8"/>
  <c r="H4316" i="8"/>
  <c r="I4316" i="8" s="1"/>
  <c r="F4316" i="8"/>
  <c r="H4833" i="8"/>
  <c r="I4833" i="8" s="1"/>
  <c r="F4833" i="8"/>
  <c r="H1071" i="8"/>
  <c r="I1071" i="8" s="1"/>
  <c r="F1071" i="8"/>
  <c r="H929" i="8"/>
  <c r="I929" i="8" s="1"/>
  <c r="F929" i="8"/>
  <c r="H3500" i="8"/>
  <c r="I3500" i="8" s="1"/>
  <c r="F3500" i="8"/>
  <c r="H37" i="8"/>
  <c r="I37" i="8" s="1"/>
  <c r="F37" i="8"/>
  <c r="H1839" i="8"/>
  <c r="I1839" i="8" s="1"/>
  <c r="F1839" i="8"/>
  <c r="H36" i="8"/>
  <c r="I36" i="8" s="1"/>
  <c r="F36" i="8"/>
  <c r="H1880" i="8"/>
  <c r="I1880" i="8" s="1"/>
  <c r="F1880" i="8"/>
  <c r="H3556" i="8"/>
  <c r="I3556" i="8" s="1"/>
  <c r="F3556" i="8"/>
  <c r="H4376" i="8"/>
  <c r="I4376" i="8" s="1"/>
  <c r="F4376" i="8"/>
  <c r="H2695" i="8"/>
  <c r="I2695" i="8" s="1"/>
  <c r="F2695" i="8"/>
  <c r="H3412" i="8"/>
  <c r="I3412" i="8" s="1"/>
  <c r="F3412" i="8"/>
  <c r="H4354" i="8"/>
  <c r="I4354" i="8" s="1"/>
  <c r="F4354" i="8"/>
  <c r="H845" i="8"/>
  <c r="I845" i="8" s="1"/>
  <c r="F845" i="8"/>
  <c r="H213" i="8"/>
  <c r="I213" i="8" s="1"/>
  <c r="F213" i="8"/>
  <c r="H4473" i="8"/>
  <c r="I4473" i="8" s="1"/>
  <c r="F4473" i="8"/>
  <c r="H3997" i="8"/>
  <c r="I3997" i="8" s="1"/>
  <c r="F3997" i="8"/>
  <c r="H4430" i="8"/>
  <c r="I4430" i="8" s="1"/>
  <c r="F4430" i="8"/>
  <c r="F3389" i="8"/>
  <c r="H3389" i="8"/>
  <c r="I3389" i="8" s="1"/>
  <c r="H3495" i="8"/>
  <c r="I3495" i="8" s="1"/>
  <c r="F3495" i="8"/>
  <c r="H3378" i="8"/>
  <c r="I3378" i="8" s="1"/>
  <c r="F3378" i="8"/>
  <c r="F3357" i="8"/>
  <c r="H3357" i="8"/>
  <c r="I3357" i="8" s="1"/>
  <c r="G11921" i="5"/>
  <c r="H1551" i="8"/>
  <c r="I1551" i="8" s="1"/>
  <c r="F1551" i="8"/>
  <c r="H4757" i="8"/>
  <c r="I4757" i="8" s="1"/>
  <c r="F4757" i="8"/>
  <c r="H4756" i="8"/>
  <c r="I4756" i="8" s="1"/>
  <c r="F4756" i="8"/>
  <c r="H370" i="8"/>
  <c r="I370" i="8" s="1"/>
  <c r="F370" i="8"/>
  <c r="H719" i="8"/>
  <c r="F719" i="8"/>
  <c r="I719" i="8"/>
  <c r="F3341" i="8"/>
  <c r="H3341" i="8"/>
  <c r="I3341" i="8" s="1"/>
  <c r="H4057" i="8"/>
  <c r="I4057" i="8" s="1"/>
  <c r="F4057" i="8"/>
  <c r="H4285" i="8"/>
  <c r="I4285" i="8" s="1"/>
  <c r="F4285" i="8"/>
  <c r="H4581" i="8"/>
  <c r="I4581" i="8" s="1"/>
  <c r="F4581" i="8"/>
  <c r="H346" i="8"/>
  <c r="I346" i="8" s="1"/>
  <c r="F346" i="8"/>
  <c r="H472" i="8"/>
  <c r="I472" i="8" s="1"/>
  <c r="F472" i="8"/>
  <c r="H258" i="8"/>
  <c r="I258" i="8" s="1"/>
  <c r="F258" i="8"/>
  <c r="H4602" i="8"/>
  <c r="F4602" i="8"/>
  <c r="I4602" i="8"/>
  <c r="F2297" i="8"/>
  <c r="H2297" i="8"/>
  <c r="I2297" i="8" s="1"/>
  <c r="H3501" i="8"/>
  <c r="I3501" i="8" s="1"/>
  <c r="F3501" i="8"/>
  <c r="H347" i="8"/>
  <c r="I347" i="8" s="1"/>
  <c r="F347" i="8"/>
  <c r="H14" i="8"/>
  <c r="I14" i="8" s="1"/>
  <c r="F14" i="8"/>
  <c r="H1389" i="8"/>
  <c r="I1389" i="8" s="1"/>
  <c r="F1389" i="8"/>
  <c r="H3487" i="8"/>
  <c r="I3487" i="8" s="1"/>
  <c r="F3487" i="8"/>
  <c r="H934" i="8"/>
  <c r="I934" i="8" s="1"/>
  <c r="F934" i="8"/>
  <c r="F3424" i="8"/>
  <c r="H3424" i="8"/>
  <c r="I3424" i="8" s="1"/>
  <c r="F2099" i="8"/>
  <c r="H2099" i="8"/>
  <c r="I2099" i="8" s="1"/>
  <c r="H1066" i="8"/>
  <c r="I1066" i="8" s="1"/>
  <c r="F1066" i="8"/>
  <c r="H3601" i="8"/>
  <c r="I3601" i="8" s="1"/>
  <c r="F3601" i="8"/>
  <c r="I3093" i="8"/>
  <c r="F3093" i="8"/>
  <c r="H3093" i="8"/>
  <c r="H4310" i="8"/>
  <c r="I4310" i="8" s="1"/>
  <c r="F4310" i="8"/>
  <c r="H4261" i="8"/>
  <c r="I4261" i="8" s="1"/>
  <c r="F4261" i="8"/>
  <c r="H1849" i="8"/>
  <c r="I1849" i="8" s="1"/>
  <c r="F1849" i="8"/>
  <c r="H715" i="8"/>
  <c r="I715" i="8" s="1"/>
  <c r="F715" i="8"/>
  <c r="H1284" i="8"/>
  <c r="I1284" i="8" s="1"/>
  <c r="F1284" i="8"/>
  <c r="H3603" i="8"/>
  <c r="F3603" i="8"/>
  <c r="I3603" i="8"/>
  <c r="H4844" i="8"/>
  <c r="I4844" i="8" s="1"/>
  <c r="F4844" i="8"/>
  <c r="H3334" i="8"/>
  <c r="I3334" i="8" s="1"/>
  <c r="F3334" i="8"/>
  <c r="H1174" i="8"/>
  <c r="I1174" i="8" s="1"/>
  <c r="F1174" i="8"/>
  <c r="F2299" i="8"/>
  <c r="H2299" i="8"/>
  <c r="I2299" i="8" s="1"/>
  <c r="H93" i="8"/>
  <c r="I93" i="8" s="1"/>
  <c r="F93" i="8"/>
  <c r="H3020" i="8"/>
  <c r="I3020" i="8" s="1"/>
  <c r="F3020" i="8"/>
  <c r="H4662" i="8"/>
  <c r="I4662" i="8" s="1"/>
  <c r="F4662" i="8"/>
  <c r="F1846" i="8"/>
  <c r="H1846" i="8"/>
  <c r="I1846" i="8" s="1"/>
  <c r="H3550" i="8"/>
  <c r="I3550" i="8" s="1"/>
  <c r="F3550" i="8"/>
  <c r="H939" i="8"/>
  <c r="I939" i="8" s="1"/>
  <c r="F939" i="8"/>
  <c r="H4689" i="8"/>
  <c r="I4689" i="8" s="1"/>
  <c r="F4689" i="8"/>
  <c r="H3929" i="8"/>
  <c r="I3929" i="8" s="1"/>
  <c r="F3929" i="8"/>
  <c r="H179" i="8"/>
  <c r="I179" i="8" s="1"/>
  <c r="F179" i="8"/>
  <c r="H3962" i="8"/>
  <c r="I3962" i="8" s="1"/>
  <c r="F3962" i="8"/>
  <c r="H4552" i="8"/>
  <c r="I4552" i="8" s="1"/>
  <c r="F4552" i="8"/>
  <c r="H4307" i="8"/>
  <c r="I4307" i="8" s="1"/>
  <c r="F4307" i="8"/>
  <c r="H3602" i="8"/>
  <c r="I3602" i="8" s="1"/>
  <c r="F3602" i="8"/>
  <c r="H421" i="8"/>
  <c r="I421" i="8" s="1"/>
  <c r="F421" i="8"/>
  <c r="H3254" i="8"/>
  <c r="I3254" i="8" s="1"/>
  <c r="F3254" i="8"/>
  <c r="H4481" i="8"/>
  <c r="I4481" i="8" s="1"/>
  <c r="F4481" i="8"/>
  <c r="H3871" i="8"/>
  <c r="I3871" i="8" s="1"/>
  <c r="F3871" i="8"/>
  <c r="H4244" i="8"/>
  <c r="I4244" i="8" s="1"/>
  <c r="F4244" i="8"/>
  <c r="H886" i="8"/>
  <c r="I886" i="8" s="1"/>
  <c r="F886" i="8"/>
  <c r="F1841" i="8"/>
  <c r="H1841" i="8"/>
  <c r="I1841" i="8" s="1"/>
  <c r="H4421" i="8"/>
  <c r="I4421" i="8" s="1"/>
  <c r="F4421" i="8"/>
  <c r="H1040" i="8"/>
  <c r="I1040" i="8" s="1"/>
  <c r="F1040" i="8"/>
  <c r="H3555" i="8"/>
  <c r="I3555" i="8" s="1"/>
  <c r="F3555" i="8"/>
  <c r="H4275" i="8"/>
  <c r="I4275" i="8" s="1"/>
  <c r="F4275" i="8"/>
  <c r="H4735" i="8"/>
  <c r="I4735" i="8" s="1"/>
  <c r="F4735" i="8"/>
  <c r="F1547" i="8"/>
  <c r="H1547" i="8"/>
  <c r="I1547" i="8" s="1"/>
  <c r="H3870" i="8"/>
  <c r="I3870" i="8" s="1"/>
  <c r="F3870" i="8"/>
  <c r="H330" i="8"/>
  <c r="I330" i="8" s="1"/>
  <c r="F330" i="8"/>
  <c r="H4781" i="8"/>
  <c r="I4781" i="8" s="1"/>
  <c r="F4781" i="8"/>
  <c r="H580" i="8"/>
  <c r="I580" i="8" s="1"/>
  <c r="F580" i="8"/>
  <c r="H4335" i="8"/>
  <c r="I4335" i="8" s="1"/>
  <c r="F4335" i="8"/>
  <c r="H3977" i="8"/>
  <c r="I3977" i="8" s="1"/>
  <c r="F3977" i="8"/>
  <c r="H4487" i="8"/>
  <c r="I4487" i="8" s="1"/>
  <c r="F4487" i="8"/>
  <c r="H4554" i="8"/>
  <c r="I4554" i="8" s="1"/>
  <c r="F4554" i="8"/>
  <c r="F1873" i="8"/>
  <c r="H1873" i="8"/>
  <c r="I1873" i="8" s="1"/>
  <c r="H1146" i="8"/>
  <c r="I1146" i="8" s="1"/>
  <c r="F1146" i="8"/>
  <c r="H833" i="8"/>
  <c r="I833" i="8" s="1"/>
  <c r="F833" i="8"/>
  <c r="H3596" i="8"/>
  <c r="F3596" i="8"/>
  <c r="I3596" i="8"/>
  <c r="H3511" i="8"/>
  <c r="I3511" i="8" s="1"/>
  <c r="F3511" i="8"/>
  <c r="F1878" i="8"/>
  <c r="H1878" i="8"/>
  <c r="I1878" i="8" s="1"/>
  <c r="H1077" i="8"/>
  <c r="I1077" i="8" s="1"/>
  <c r="F1077" i="8"/>
  <c r="H2812" i="8"/>
  <c r="I2812" i="8" s="1"/>
  <c r="F2812" i="8"/>
  <c r="F2821" i="8"/>
  <c r="H2821" i="8"/>
  <c r="I2821" i="8" s="1"/>
  <c r="H3593" i="8"/>
  <c r="F3593" i="8"/>
  <c r="I3593" i="8"/>
  <c r="H3441" i="8"/>
  <c r="I3441" i="8" s="1"/>
  <c r="F3441" i="8"/>
  <c r="H88" i="8"/>
  <c r="I88" i="8" s="1"/>
  <c r="F88" i="8"/>
  <c r="H3940" i="8"/>
  <c r="I3940" i="8" s="1"/>
  <c r="F3940" i="8"/>
  <c r="H3595" i="8"/>
  <c r="I3595" i="8" s="1"/>
  <c r="F3595" i="8"/>
  <c r="H1045" i="8"/>
  <c r="F1045" i="8"/>
  <c r="I1045" i="8"/>
  <c r="F1605" i="8"/>
  <c r="H1605" i="8"/>
  <c r="I1605" i="8" s="1"/>
  <c r="H3343" i="8"/>
  <c r="I3343" i="8" s="1"/>
  <c r="F3343" i="8"/>
  <c r="H1293" i="8"/>
  <c r="I1293" i="8" s="1"/>
  <c r="F1293" i="8"/>
  <c r="H4654" i="8"/>
  <c r="I4654" i="8" s="1"/>
  <c r="F4654" i="8"/>
  <c r="H3420" i="8"/>
  <c r="I3420" i="8" s="1"/>
  <c r="F3420" i="8"/>
  <c r="H4021" i="8"/>
  <c r="I4021" i="8" s="1"/>
  <c r="F4021" i="8"/>
  <c r="H3594" i="8"/>
  <c r="F3594" i="8"/>
  <c r="I3594" i="8"/>
  <c r="H3407" i="8"/>
  <c r="I3407" i="8" s="1"/>
  <c r="F3407" i="8"/>
  <c r="G8717" i="5"/>
  <c r="I3092" i="8"/>
  <c r="H3092" i="8"/>
  <c r="F3092" i="8"/>
  <c r="F789" i="6"/>
  <c r="G775" i="6" s="1"/>
  <c r="H3338" i="8"/>
  <c r="I3338" i="8" s="1"/>
  <c r="F3338" i="8"/>
  <c r="H586" i="8"/>
  <c r="I586" i="8" s="1"/>
  <c r="F586" i="8"/>
  <c r="F1893" i="8"/>
  <c r="H1893" i="8"/>
  <c r="I1893" i="8" s="1"/>
  <c r="H4647" i="8"/>
  <c r="I4647" i="8" s="1"/>
  <c r="F4647" i="8"/>
  <c r="H3226" i="8"/>
  <c r="I3226" i="8" s="1"/>
  <c r="F3226" i="8"/>
  <c r="H1545" i="8"/>
  <c r="I1545" i="8" s="1"/>
  <c r="F1545" i="8"/>
  <c r="H4829" i="8"/>
  <c r="I4829" i="8" s="1"/>
  <c r="F4829" i="8"/>
  <c r="F3339" i="8"/>
  <c r="H3339" i="8"/>
  <c r="I3339" i="8" s="1"/>
  <c r="H4774" i="8"/>
  <c r="I4774" i="8" s="1"/>
  <c r="F4774" i="8"/>
  <c r="H1843" i="8"/>
  <c r="I1843" i="8" s="1"/>
  <c r="F1843" i="8"/>
  <c r="H118" i="8"/>
  <c r="I118" i="8" s="1"/>
  <c r="F118" i="8"/>
  <c r="H3137" i="8"/>
  <c r="I3137" i="8" s="1"/>
  <c r="F3137" i="8"/>
  <c r="H4311" i="8"/>
  <c r="I4311" i="8" s="1"/>
  <c r="F4311" i="8"/>
  <c r="H718" i="8"/>
  <c r="I718" i="8" s="1"/>
  <c r="F718" i="8"/>
  <c r="H4420" i="8"/>
  <c r="I4420" i="8" s="1"/>
  <c r="F4420" i="8"/>
  <c r="H4655" i="8"/>
  <c r="I4655" i="8" s="1"/>
  <c r="F4655" i="8"/>
  <c r="H4346" i="8"/>
  <c r="I4346" i="8" s="1"/>
  <c r="F4346" i="8"/>
  <c r="H3433" i="8"/>
  <c r="I3433" i="8" s="1"/>
  <c r="F3433" i="8"/>
  <c r="H3390" i="8"/>
  <c r="I3390" i="8" s="1"/>
  <c r="F3390" i="8"/>
  <c r="H3240" i="8"/>
  <c r="I3240" i="8" s="1"/>
  <c r="F3240" i="8"/>
  <c r="H721" i="8"/>
  <c r="F721" i="8"/>
  <c r="I721" i="8"/>
  <c r="H1181" i="8"/>
  <c r="I1181" i="8" s="1"/>
  <c r="F1181" i="8"/>
  <c r="H34" i="8"/>
  <c r="I34" i="8" s="1"/>
  <c r="F34" i="8"/>
  <c r="F1549" i="8"/>
  <c r="H1549" i="8"/>
  <c r="I1549" i="8" s="1"/>
  <c r="H193" i="8"/>
  <c r="I193" i="8" s="1"/>
  <c r="F193" i="8"/>
  <c r="H3973" i="8"/>
  <c r="I3973" i="8" s="1"/>
  <c r="F3973" i="8"/>
  <c r="H583" i="8"/>
  <c r="I583" i="8" s="1"/>
  <c r="F583" i="8"/>
  <c r="H3042" i="8"/>
  <c r="I3042" i="8" s="1"/>
  <c r="F3042" i="8"/>
  <c r="H4300" i="8"/>
  <c r="I4300" i="8" s="1"/>
  <c r="F4300" i="8"/>
  <c r="H4676" i="8"/>
  <c r="I4676" i="8" s="1"/>
  <c r="F4676" i="8"/>
  <c r="H3018" i="8"/>
  <c r="I3018" i="8" s="1"/>
  <c r="F3018" i="8"/>
  <c r="H4226" i="8"/>
  <c r="I4226" i="8" s="1"/>
  <c r="F4226" i="8"/>
  <c r="H1900" i="8"/>
  <c r="I1900" i="8" s="1"/>
  <c r="F1900" i="8"/>
  <c r="F447" i="6"/>
  <c r="G435" i="6" s="1"/>
  <c r="H4041" i="8"/>
  <c r="I4041" i="8" s="1"/>
  <c r="F4041" i="8"/>
  <c r="H185" i="8"/>
  <c r="I185" i="8" s="1"/>
  <c r="F185" i="8"/>
  <c r="F1861" i="8"/>
  <c r="H1861" i="8"/>
  <c r="I1861" i="8" s="1"/>
  <c r="G11401" i="5"/>
  <c r="H3416" i="8"/>
  <c r="I3416" i="8" s="1"/>
  <c r="F3416" i="8"/>
  <c r="F1894" i="8"/>
  <c r="H1894" i="8"/>
  <c r="I1894" i="8" s="1"/>
  <c r="H1951" i="8"/>
  <c r="I1951" i="8" s="1"/>
  <c r="F1951" i="8"/>
  <c r="H211" i="8"/>
  <c r="I211" i="8" s="1"/>
  <c r="F211" i="8"/>
  <c r="H1097" i="8"/>
  <c r="I1097" i="8" s="1"/>
  <c r="F1097" i="8"/>
  <c r="H1038" i="8"/>
  <c r="F1038" i="8"/>
  <c r="I1038" i="8"/>
  <c r="H4280" i="8"/>
  <c r="I4280" i="8" s="1"/>
  <c r="F4280" i="8"/>
  <c r="H283" i="8"/>
  <c r="I283" i="8" s="1"/>
  <c r="F283" i="8"/>
  <c r="H1123" i="8"/>
  <c r="I1123" i="8" s="1"/>
  <c r="F1123" i="8"/>
  <c r="H368" i="8"/>
  <c r="I368" i="8" s="1"/>
  <c r="F368" i="8"/>
  <c r="H4476" i="8"/>
  <c r="I4476" i="8" s="1"/>
  <c r="F4476" i="8"/>
  <c r="F1240" i="8"/>
  <c r="H1240" i="8"/>
  <c r="I1240" i="8" s="1"/>
  <c r="H3090" i="8"/>
  <c r="I3090" i="8" s="1"/>
  <c r="F3090" i="8"/>
  <c r="H4356" i="8"/>
  <c r="I4356" i="8" s="1"/>
  <c r="F4356" i="8"/>
  <c r="H3932" i="8"/>
  <c r="I3932" i="8" s="1"/>
  <c r="F3932" i="8"/>
  <c r="H4079" i="8"/>
  <c r="I4079" i="8" s="1"/>
  <c r="F4079" i="8"/>
  <c r="G9782" i="5"/>
  <c r="H1570" i="8"/>
  <c r="I1570" i="8" s="1"/>
  <c r="F1570" i="8"/>
  <c r="H351" i="8"/>
  <c r="I351" i="8" s="1"/>
  <c r="F351" i="8"/>
  <c r="H3337" i="8"/>
  <c r="I3337" i="8" s="1"/>
  <c r="F3337" i="8"/>
  <c r="H3329" i="8"/>
  <c r="I3329" i="8" s="1"/>
  <c r="F3329" i="8"/>
  <c r="H2612" i="8"/>
  <c r="I2612" i="8" s="1"/>
  <c r="F2612" i="8"/>
  <c r="H349" i="8"/>
  <c r="I349" i="8" s="1"/>
  <c r="F349" i="8"/>
  <c r="H3938" i="8"/>
  <c r="I3938" i="8" s="1"/>
  <c r="F3938" i="8"/>
  <c r="H2618" i="8"/>
  <c r="I2618" i="8" s="1"/>
  <c r="F2618" i="8"/>
  <c r="H3526" i="8"/>
  <c r="F3526" i="8"/>
  <c r="I3526" i="8"/>
  <c r="H4357" i="8"/>
  <c r="I4357" i="8" s="1"/>
  <c r="F4357" i="8"/>
  <c r="H4853" i="8"/>
  <c r="I4853" i="8" s="1"/>
  <c r="F4853" i="8"/>
  <c r="H163" i="8"/>
  <c r="I163" i="8" s="1"/>
  <c r="F163" i="8"/>
  <c r="H1886" i="8"/>
  <c r="I1886" i="8" s="1"/>
  <c r="F1886" i="8"/>
  <c r="H3947" i="8"/>
  <c r="I3947" i="8" s="1"/>
  <c r="F3947" i="8"/>
  <c r="H414" i="8"/>
  <c r="I414" i="8" s="1"/>
  <c r="F414" i="8"/>
  <c r="H1083" i="8"/>
  <c r="I1083" i="8" s="1"/>
  <c r="F1083" i="8"/>
  <c r="H846" i="8"/>
  <c r="I846" i="8" s="1"/>
  <c r="F846" i="8"/>
  <c r="H4383" i="8"/>
  <c r="I4383" i="8" s="1"/>
  <c r="F4383" i="8"/>
  <c r="H3222" i="8"/>
  <c r="I3222" i="8" s="1"/>
  <c r="F3222" i="8"/>
  <c r="H196" i="8"/>
  <c r="I196" i="8" s="1"/>
  <c r="F196" i="8"/>
  <c r="H3985" i="8"/>
  <c r="I3985" i="8" s="1"/>
  <c r="F3985" i="8"/>
  <c r="H4361" i="8"/>
  <c r="I4361" i="8" s="1"/>
  <c r="F4361" i="8"/>
  <c r="H3310" i="8"/>
  <c r="I3310" i="8" s="1"/>
  <c r="F3310" i="8"/>
  <c r="H1131" i="8"/>
  <c r="I1131" i="8" s="1"/>
  <c r="F1131" i="8"/>
  <c r="H3979" i="8"/>
  <c r="I3979" i="8" s="1"/>
  <c r="F3979" i="8"/>
  <c r="H3089" i="8"/>
  <c r="I3089" i="8" s="1"/>
  <c r="F3089" i="8"/>
  <c r="F2613" i="8"/>
  <c r="H2613" i="8"/>
  <c r="I2613" i="8" s="1"/>
  <c r="H1095" i="8"/>
  <c r="I1095" i="8" s="1"/>
  <c r="F1095" i="8"/>
  <c r="H1341" i="8"/>
  <c r="I1341" i="8" s="1"/>
  <c r="F1341" i="8"/>
  <c r="H4656" i="8"/>
  <c r="I4656" i="8" s="1"/>
  <c r="F4656" i="8"/>
  <c r="H369" i="8"/>
  <c r="I369" i="8" s="1"/>
  <c r="F369" i="8"/>
  <c r="H4683" i="8"/>
  <c r="I4683" i="8" s="1"/>
  <c r="F4683" i="8"/>
  <c r="H1864" i="8"/>
  <c r="I1864" i="8" s="1"/>
  <c r="F1864" i="8"/>
  <c r="I3096" i="8"/>
  <c r="H3096" i="8"/>
  <c r="F3096" i="8"/>
  <c r="H4485" i="8"/>
  <c r="I4485" i="8" s="1"/>
  <c r="F4485" i="8"/>
  <c r="H195" i="8"/>
  <c r="I195" i="8" s="1"/>
  <c r="F195" i="8"/>
  <c r="G6497" i="5"/>
  <c r="F1569" i="8"/>
  <c r="H1569" i="8"/>
  <c r="I1569" i="8" s="1"/>
  <c r="H4042" i="8"/>
  <c r="I4042" i="8" s="1"/>
  <c r="F4042" i="8"/>
  <c r="H4260" i="8"/>
  <c r="I4260" i="8" s="1"/>
  <c r="F4260" i="8"/>
  <c r="H1412" i="8"/>
  <c r="I1412" i="8" s="1"/>
  <c r="F1412" i="8"/>
  <c r="H597" i="8"/>
  <c r="I597" i="8" s="1"/>
  <c r="F597" i="8"/>
  <c r="H3971" i="8"/>
  <c r="I3971" i="8" s="1"/>
  <c r="F3971" i="8"/>
  <c r="H4381" i="8"/>
  <c r="F4381" i="8"/>
  <c r="I4381" i="8"/>
  <c r="H2946" i="8"/>
  <c r="I2946" i="8" s="1"/>
  <c r="F2946" i="8"/>
  <c r="H4000" i="8"/>
  <c r="I4000" i="8" s="1"/>
  <c r="F4000" i="8"/>
  <c r="H4857" i="8"/>
  <c r="I4857" i="8" s="1"/>
  <c r="F4857" i="8"/>
  <c r="H4069" i="8"/>
  <c r="I4069" i="8" s="1"/>
  <c r="F4069" i="8"/>
  <c r="H1847" i="8"/>
  <c r="I1847" i="8" s="1"/>
  <c r="F1847" i="8"/>
  <c r="H4555" i="8"/>
  <c r="I4555" i="8" s="1"/>
  <c r="F4555" i="8"/>
  <c r="H4048" i="8"/>
  <c r="I4048" i="8" s="1"/>
  <c r="F4048" i="8"/>
  <c r="H3967" i="8"/>
  <c r="I3967" i="8" s="1"/>
  <c r="F3967" i="8"/>
  <c r="H3964" i="8"/>
  <c r="I3964" i="8" s="1"/>
  <c r="F3964" i="8"/>
  <c r="I3097" i="8"/>
  <c r="H3097" i="8"/>
  <c r="F3097" i="8"/>
  <c r="H4349" i="8"/>
  <c r="F4349" i="8"/>
  <c r="I4349" i="8"/>
  <c r="H4649" i="8"/>
  <c r="I4649" i="8" s="1"/>
  <c r="F4649" i="8"/>
  <c r="H1088" i="8"/>
  <c r="I1088" i="8" s="1"/>
  <c r="F1088" i="8"/>
  <c r="H350" i="8"/>
  <c r="I350" i="8" s="1"/>
  <c r="F350" i="8"/>
  <c r="H4633" i="8"/>
  <c r="I4633" i="8" s="1"/>
  <c r="F4633" i="8"/>
  <c r="G397" i="5"/>
  <c r="H3369" i="8"/>
  <c r="I3369" i="8" s="1"/>
  <c r="F3369" i="8"/>
  <c r="H356" i="8"/>
  <c r="I356" i="8" s="1"/>
  <c r="F356" i="8"/>
  <c r="H3992" i="8"/>
  <c r="I3992" i="8" s="1"/>
  <c r="F3992" i="8"/>
  <c r="H952" i="8"/>
  <c r="I952" i="8" s="1"/>
  <c r="F952" i="8"/>
  <c r="H3996" i="8"/>
  <c r="I3996" i="8" s="1"/>
  <c r="F3996" i="8"/>
  <c r="H352" i="8"/>
  <c r="I352" i="8" s="1"/>
  <c r="F352" i="8"/>
  <c r="H777" i="8"/>
  <c r="I777" i="8" s="1"/>
  <c r="F777" i="8"/>
  <c r="H108" i="8"/>
  <c r="I108" i="8" s="1"/>
  <c r="F108" i="8"/>
  <c r="F2933" i="8"/>
  <c r="H2933" i="8"/>
  <c r="I2933" i="8" s="1"/>
  <c r="H3598" i="8"/>
  <c r="F3598" i="8"/>
  <c r="I3598" i="8"/>
  <c r="H1571" i="8"/>
  <c r="I1571" i="8" s="1"/>
  <c r="F1571" i="8"/>
  <c r="H937" i="8"/>
  <c r="I937" i="8" s="1"/>
  <c r="F937" i="8"/>
  <c r="H2708" i="8"/>
  <c r="I2708" i="8" s="1"/>
  <c r="F2708" i="8"/>
  <c r="H4480" i="8"/>
  <c r="I4480" i="8" s="1"/>
  <c r="F4480" i="8"/>
  <c r="H1884" i="8"/>
  <c r="I1884" i="8" s="1"/>
  <c r="F1884" i="8"/>
  <c r="H174" i="8"/>
  <c r="I174" i="8" s="1"/>
  <c r="F174" i="8"/>
  <c r="F1904" i="8"/>
  <c r="H1904" i="8"/>
  <c r="I1904" i="8" s="1"/>
  <c r="H1844" i="8"/>
  <c r="I1844" i="8" s="1"/>
  <c r="F1844" i="8"/>
  <c r="H1177" i="8"/>
  <c r="I1177" i="8" s="1"/>
  <c r="F1177" i="8"/>
  <c r="F1851" i="8"/>
  <c r="H1851" i="8"/>
  <c r="I1851" i="8" s="1"/>
  <c r="H1286" i="8"/>
  <c r="I1286" i="8" s="1"/>
  <c r="F1286" i="8"/>
  <c r="H1898" i="8"/>
  <c r="I1898" i="8" s="1"/>
  <c r="F1898" i="8"/>
  <c r="H4400" i="8"/>
  <c r="I4400" i="8" s="1"/>
  <c r="F4400" i="8"/>
  <c r="F1423" i="8"/>
  <c r="H1423" i="8"/>
  <c r="I1423" i="8" s="1"/>
  <c r="H4059" i="8"/>
  <c r="I4059" i="8" s="1"/>
  <c r="F4059" i="8"/>
  <c r="H204" i="8"/>
  <c r="I204" i="8" s="1"/>
  <c r="F204" i="8"/>
  <c r="H4838" i="8"/>
  <c r="I4838" i="8" s="1"/>
  <c r="F4838" i="8"/>
  <c r="H4402" i="8"/>
  <c r="I4402" i="8" s="1"/>
  <c r="F4402" i="8"/>
  <c r="H3599" i="8"/>
  <c r="F3599" i="8"/>
  <c r="I3599" i="8"/>
  <c r="H587" i="8"/>
  <c r="I587" i="8" s="1"/>
  <c r="F587" i="8"/>
  <c r="H1858" i="8"/>
  <c r="I1858" i="8" s="1"/>
  <c r="F1858" i="8"/>
  <c r="H4532" i="8"/>
  <c r="I4532" i="8" s="1"/>
  <c r="F4532" i="8"/>
  <c r="H3966" i="8"/>
  <c r="I3966" i="8" s="1"/>
  <c r="F3966" i="8"/>
  <c r="H4527" i="8"/>
  <c r="I4527" i="8" s="1"/>
  <c r="F4527" i="8"/>
  <c r="H133" i="8"/>
  <c r="I133" i="8" s="1"/>
  <c r="F133" i="8"/>
  <c r="H355" i="8"/>
  <c r="I355" i="8" s="1"/>
  <c r="F355" i="8"/>
  <c r="H4517" i="8"/>
  <c r="I4517" i="8" s="1"/>
  <c r="F4517" i="8"/>
  <c r="H4049" i="8"/>
  <c r="I4049" i="8" s="1"/>
  <c r="F4049" i="8"/>
  <c r="H29" i="8"/>
  <c r="I29" i="8" s="1"/>
  <c r="F29" i="8"/>
  <c r="F1368" i="8"/>
  <c r="H1368" i="8"/>
  <c r="I1368" i="8" s="1"/>
  <c r="F3243" i="8"/>
  <c r="H3243" i="8"/>
  <c r="I3243" i="8" s="1"/>
  <c r="H958" i="8"/>
  <c r="I958" i="8" s="1"/>
  <c r="F958" i="8"/>
  <c r="H4281" i="8"/>
  <c r="I4281" i="8" s="1"/>
  <c r="F4281" i="8"/>
  <c r="H3506" i="8"/>
  <c r="I3506" i="8" s="1"/>
  <c r="F3506" i="8"/>
  <c r="H1882" i="8"/>
  <c r="I1882" i="8" s="1"/>
  <c r="F1882" i="8"/>
  <c r="H2617" i="8"/>
  <c r="I2617" i="8" s="1"/>
  <c r="F2617" i="8"/>
  <c r="F2816" i="8"/>
  <c r="H2816" i="8"/>
  <c r="I2816" i="8" s="1"/>
  <c r="H4228" i="8"/>
  <c r="I4228" i="8" s="1"/>
  <c r="F4228" i="8"/>
  <c r="H4542" i="8"/>
  <c r="I4542" i="8" s="1"/>
  <c r="F4542" i="8"/>
  <c r="H4289" i="8"/>
  <c r="I4289" i="8" s="1"/>
  <c r="F4289" i="8"/>
  <c r="H1098" i="8"/>
  <c r="I1098" i="8" s="1"/>
  <c r="F1098" i="8"/>
  <c r="H1155" i="8"/>
  <c r="I1155" i="8" s="1"/>
  <c r="F1155" i="8"/>
  <c r="F2683" i="8"/>
  <c r="H2683" i="8"/>
  <c r="I2683" i="8" s="1"/>
  <c r="H1891" i="8"/>
  <c r="I1891" i="8" s="1"/>
  <c r="F1891" i="8"/>
  <c r="H4418" i="8"/>
  <c r="I4418" i="8" s="1"/>
  <c r="F4418" i="8"/>
  <c r="H2750" i="8"/>
  <c r="I2750" i="8" s="1"/>
  <c r="F2750" i="8"/>
  <c r="H928" i="8"/>
  <c r="I928" i="8" s="1"/>
  <c r="F928" i="8"/>
  <c r="H4297" i="8"/>
  <c r="I4297" i="8" s="1"/>
  <c r="F4297" i="8"/>
  <c r="H3514" i="8"/>
  <c r="I3514" i="8" s="1"/>
  <c r="F3514" i="8"/>
  <c r="H1890" i="8"/>
  <c r="I1890" i="8" s="1"/>
  <c r="F1890" i="8"/>
  <c r="H223" i="8"/>
  <c r="I223" i="8" s="1"/>
  <c r="F223" i="8"/>
  <c r="H4531" i="8"/>
  <c r="I4531" i="8" s="1"/>
  <c r="F4531" i="8"/>
  <c r="H4291" i="8"/>
  <c r="I4291" i="8" s="1"/>
  <c r="F4291" i="8"/>
  <c r="H3255" i="8"/>
  <c r="I3255" i="8" s="1"/>
  <c r="F3255" i="8"/>
  <c r="H81" i="8"/>
  <c r="I81" i="8" s="1"/>
  <c r="F81" i="8"/>
  <c r="F1905" i="8"/>
  <c r="H1905" i="8"/>
  <c r="I1905" i="8" s="1"/>
  <c r="H3984" i="8"/>
  <c r="I3984" i="8" s="1"/>
  <c r="F3984" i="8"/>
  <c r="F3312" i="8"/>
  <c r="H3312" i="8"/>
  <c r="I3312" i="8" s="1"/>
  <c r="H4541" i="8"/>
  <c r="I4541" i="8" s="1"/>
  <c r="F4541" i="8"/>
  <c r="H4530" i="8"/>
  <c r="I4530" i="8" s="1"/>
  <c r="F4530" i="8"/>
  <c r="H176" i="8"/>
  <c r="I176" i="8" s="1"/>
  <c r="F176" i="8"/>
  <c r="F1606" i="8"/>
  <c r="H1606" i="8"/>
  <c r="I1606" i="8" s="1"/>
  <c r="H1848" i="8"/>
  <c r="I1848" i="8" s="1"/>
  <c r="F1848" i="8"/>
  <c r="F1574" i="8"/>
  <c r="H1574" i="8"/>
  <c r="I1574" i="8" s="1"/>
  <c r="H3410" i="8"/>
  <c r="I3410" i="8" s="1"/>
  <c r="F3410" i="8"/>
  <c r="H3931" i="8"/>
  <c r="I3931" i="8" s="1"/>
  <c r="F3931" i="8"/>
  <c r="H3566" i="8"/>
  <c r="I3566" i="8" s="1"/>
  <c r="F3566" i="8"/>
  <c r="H4854" i="8"/>
  <c r="I4854" i="8" s="1"/>
  <c r="F4854" i="8"/>
  <c r="H4347" i="8"/>
  <c r="I4347" i="8" s="1"/>
  <c r="F4347" i="8"/>
  <c r="F1862" i="8"/>
  <c r="H1862" i="8"/>
  <c r="I1862" i="8" s="1"/>
  <c r="H1099" i="8"/>
  <c r="I1099" i="8" s="1"/>
  <c r="F1099" i="8"/>
  <c r="I1427" i="8"/>
  <c r="H1427" i="8"/>
  <c r="F1427" i="8"/>
  <c r="H3587" i="8"/>
  <c r="I3587" i="8" s="1"/>
  <c r="F3587" i="8"/>
  <c r="H3999" i="8"/>
  <c r="I3999" i="8" s="1"/>
  <c r="F3999" i="8"/>
  <c r="H2742" i="8"/>
  <c r="I2742" i="8" s="1"/>
  <c r="F2742" i="8"/>
  <c r="H16" i="8"/>
  <c r="I16" i="8" s="1"/>
  <c r="F16" i="8"/>
  <c r="H151" i="8"/>
  <c r="I151" i="8" s="1"/>
  <c r="F151" i="8"/>
  <c r="H419" i="8"/>
  <c r="I419" i="8" s="1"/>
  <c r="F419" i="8"/>
  <c r="H1113" i="8"/>
  <c r="I1113" i="8" s="1"/>
  <c r="F1113" i="8"/>
  <c r="H562" i="8"/>
  <c r="I562" i="8" s="1"/>
  <c r="F562" i="8"/>
  <c r="H1125" i="8"/>
  <c r="I1125" i="8" s="1"/>
  <c r="F1125" i="8"/>
  <c r="G4002" i="5"/>
  <c r="H4406" i="8"/>
  <c r="I4406" i="8" s="1"/>
  <c r="F4406" i="8"/>
  <c r="H3726" i="8"/>
  <c r="I3726" i="8" s="1"/>
  <c r="F3726" i="8"/>
  <c r="H4399" i="8"/>
  <c r="I4399" i="8" s="1"/>
  <c r="F4399" i="8"/>
  <c r="H593" i="8"/>
  <c r="I593" i="8" s="1"/>
  <c r="F593" i="8"/>
  <c r="H1548" i="8"/>
  <c r="I1548" i="8" s="1"/>
  <c r="F1548" i="8"/>
  <c r="F3307" i="8"/>
  <c r="H3307" i="8"/>
  <c r="I3307" i="8" s="1"/>
  <c r="H92" i="8"/>
  <c r="I92" i="8" s="1"/>
  <c r="F92" i="8"/>
  <c r="H353" i="8"/>
  <c r="I353" i="8" s="1"/>
  <c r="F353" i="8"/>
  <c r="F3451" i="8"/>
  <c r="H3451" i="8"/>
  <c r="I3451" i="8" s="1"/>
  <c r="F1899" i="8"/>
  <c r="H1899" i="8"/>
  <c r="I1899" i="8" s="1"/>
  <c r="H4395" i="8"/>
  <c r="I4395" i="8" s="1"/>
  <c r="F4395" i="8"/>
  <c r="H2936" i="8"/>
  <c r="I2936" i="8" s="1"/>
  <c r="F2936" i="8"/>
  <c r="H3091" i="8"/>
  <c r="I3091" i="8" s="1"/>
  <c r="F3091" i="8"/>
  <c r="H1576" i="8"/>
  <c r="I1576" i="8" s="1"/>
  <c r="F1576" i="8"/>
  <c r="H153" i="8"/>
  <c r="I153" i="8" s="1"/>
  <c r="F153" i="8"/>
  <c r="F2757" i="8"/>
  <c r="H2757" i="8"/>
  <c r="I2757" i="8" s="1"/>
  <c r="H3960" i="8"/>
  <c r="I3960" i="8" s="1"/>
  <c r="F3960" i="8"/>
  <c r="H1838" i="8"/>
  <c r="I1838" i="8" s="1"/>
  <c r="F1838" i="8"/>
  <c r="H2504" i="8"/>
  <c r="I2504" i="8" s="1"/>
  <c r="F2504" i="8"/>
  <c r="H3989" i="8"/>
  <c r="I3989" i="8" s="1"/>
  <c r="F3989" i="8"/>
  <c r="H4593" i="8"/>
  <c r="I4593" i="8" s="1"/>
  <c r="F4593" i="8"/>
  <c r="H15" i="8"/>
  <c r="I15" i="8" s="1"/>
  <c r="F15" i="8"/>
  <c r="H145" i="8"/>
  <c r="I145" i="8" s="1"/>
  <c r="F145" i="8"/>
  <c r="H4267" i="8"/>
  <c r="I4267" i="8" s="1"/>
  <c r="F4267" i="8"/>
  <c r="H3970" i="8"/>
  <c r="I3970" i="8" s="1"/>
  <c r="F3970" i="8"/>
  <c r="H4684" i="8"/>
  <c r="I4684" i="8" s="1"/>
  <c r="F4684" i="8"/>
  <c r="H1422" i="8"/>
  <c r="I1422" i="8" s="1"/>
  <c r="F1422" i="8"/>
  <c r="F1224" i="8"/>
  <c r="H1224" i="8"/>
  <c r="I1224" i="8" s="1"/>
  <c r="H4834" i="8"/>
  <c r="I4834" i="8" s="1"/>
  <c r="F4834" i="8"/>
  <c r="H1041" i="8"/>
  <c r="F1041" i="8"/>
  <c r="I1041" i="8"/>
  <c r="H850" i="8"/>
  <c r="I850" i="8" s="1"/>
  <c r="F850" i="8"/>
  <c r="H3975" i="8"/>
  <c r="I3975" i="8" s="1"/>
  <c r="F3975" i="8"/>
  <c r="H1575" i="8"/>
  <c r="I1575" i="8" s="1"/>
  <c r="F1575" i="8"/>
  <c r="H3366" i="8"/>
  <c r="I3366" i="8" s="1"/>
  <c r="F3366" i="8"/>
  <c r="H585" i="8"/>
  <c r="I585" i="8" s="1"/>
  <c r="F585" i="8"/>
  <c r="H1145" i="8"/>
  <c r="I1145" i="8" s="1"/>
  <c r="F1145" i="8"/>
  <c r="H4493" i="8"/>
  <c r="I4493" i="8" s="1"/>
  <c r="F4493" i="8"/>
  <c r="H220" i="8"/>
  <c r="I220" i="8" s="1"/>
  <c r="F220" i="8"/>
  <c r="H3446" i="8"/>
  <c r="I3446" i="8" s="1"/>
  <c r="F3446" i="8"/>
  <c r="H4062" i="8"/>
  <c r="I4062" i="8" s="1"/>
  <c r="F4062" i="8"/>
  <c r="H4690" i="8"/>
  <c r="I4690" i="8" s="1"/>
  <c r="F4690" i="8"/>
  <c r="H4298" i="8"/>
  <c r="I4298" i="8" s="1"/>
  <c r="F4298" i="8"/>
  <c r="H1876" i="8"/>
  <c r="I1876" i="8" s="1"/>
  <c r="F1876" i="8"/>
  <c r="H214" i="8"/>
  <c r="I214" i="8" s="1"/>
  <c r="F214" i="8"/>
  <c r="H4373" i="8"/>
  <c r="I4373" i="8" s="1"/>
  <c r="F4373" i="8"/>
  <c r="H3597" i="8"/>
  <c r="I3597" i="8" s="1"/>
  <c r="F3597" i="8"/>
  <c r="H717" i="8"/>
  <c r="F717" i="8"/>
  <c r="I717" i="8"/>
  <c r="H3308" i="8"/>
  <c r="I3308" i="8" s="1"/>
  <c r="F3308" i="8"/>
  <c r="H3336" i="8"/>
  <c r="I3336" i="8" s="1"/>
  <c r="F3336" i="8"/>
  <c r="H4266" i="8"/>
  <c r="I4266" i="8" s="1"/>
  <c r="F4266" i="8"/>
  <c r="H3990" i="8"/>
  <c r="I3990" i="8" s="1"/>
  <c r="F3990" i="8"/>
  <c r="H3974" i="8"/>
  <c r="I3974" i="8" s="1"/>
  <c r="F3974" i="8"/>
  <c r="H4050" i="8"/>
  <c r="I4050" i="8" s="1"/>
  <c r="F4050" i="8"/>
  <c r="H1122" i="8"/>
  <c r="I1122" i="8" s="1"/>
  <c r="F1122" i="8"/>
  <c r="H3414" i="8"/>
  <c r="I3414" i="8" s="1"/>
  <c r="F3414" i="8"/>
  <c r="H3585" i="8"/>
  <c r="I3585" i="8" s="1"/>
  <c r="F3585" i="8"/>
  <c r="H588" i="8"/>
  <c r="I588" i="8" s="1"/>
  <c r="F588" i="8"/>
  <c r="H1859" i="8"/>
  <c r="I1859" i="8" s="1"/>
  <c r="F1859" i="8"/>
  <c r="H1349" i="8"/>
  <c r="I1349" i="8" s="1"/>
  <c r="F1349" i="8"/>
  <c r="H3049" i="8"/>
  <c r="I3049" i="8" s="1"/>
  <c r="F3049" i="8"/>
  <c r="H733" i="8"/>
  <c r="I733" i="8" s="1"/>
  <c r="F733" i="8"/>
  <c r="H1006" i="8"/>
  <c r="I1006" i="8" s="1"/>
  <c r="F1006" i="8"/>
  <c r="F1119" i="8"/>
  <c r="H1119" i="8"/>
  <c r="I1119" i="8" s="1"/>
  <c r="H103" i="8"/>
  <c r="I103" i="8" s="1"/>
  <c r="F103" i="8"/>
  <c r="H201" i="8"/>
  <c r="I201" i="8" s="1"/>
  <c r="F201" i="8"/>
  <c r="H1035" i="8"/>
  <c r="I1035" i="8" s="1"/>
  <c r="F1035" i="8"/>
  <c r="H3225" i="8"/>
  <c r="I3225" i="8" s="1"/>
  <c r="F3225" i="8"/>
  <c r="H3600" i="8"/>
  <c r="F3600" i="8"/>
  <c r="I3600" i="8"/>
  <c r="H1361" i="8"/>
  <c r="I1361" i="8" s="1"/>
  <c r="F1361" i="8"/>
  <c r="H989" i="8"/>
  <c r="I989" i="8" s="1"/>
  <c r="F989" i="8"/>
  <c r="H1411" i="8"/>
  <c r="I1411" i="8" s="1"/>
  <c r="F1411" i="8"/>
  <c r="H3439" i="8"/>
  <c r="I3439" i="8" s="1"/>
  <c r="F3439" i="8"/>
  <c r="H219" i="8"/>
  <c r="I219" i="8" s="1"/>
  <c r="F219" i="8"/>
  <c r="H4490" i="8"/>
  <c r="I4490" i="8" s="1"/>
  <c r="F4490" i="8"/>
  <c r="H3569" i="8"/>
  <c r="I3569" i="8" s="1"/>
  <c r="F3569" i="8"/>
  <c r="H1348" i="8"/>
  <c r="I1348" i="8" s="1"/>
  <c r="F1348" i="8"/>
  <c r="H3319" i="8"/>
  <c r="I3319" i="8" s="1"/>
  <c r="F3319" i="8"/>
  <c r="H3927" i="8"/>
  <c r="I3927" i="8" s="1"/>
  <c r="F3927" i="8"/>
  <c r="H4058" i="8"/>
  <c r="I4058" i="8" s="1"/>
  <c r="F4058" i="8"/>
  <c r="H4424" i="8"/>
  <c r="F4424" i="8"/>
  <c r="I4424" i="8"/>
  <c r="H4222" i="8"/>
  <c r="I4222" i="8" s="1"/>
  <c r="F4222" i="8"/>
  <c r="H4488" i="8"/>
  <c r="I4488" i="8" s="1"/>
  <c r="F4488" i="8"/>
  <c r="I1425" i="8"/>
  <c r="H1425" i="8"/>
  <c r="F1425" i="8"/>
  <c r="H4290" i="8"/>
  <c r="I4290" i="8" s="1"/>
  <c r="F4290" i="8"/>
  <c r="H3969" i="8"/>
  <c r="I3969" i="8" s="1"/>
  <c r="F3969" i="8"/>
  <c r="H3383" i="8"/>
  <c r="I3383" i="8" s="1"/>
  <c r="F3383" i="8"/>
  <c r="H3098" i="8"/>
  <c r="I3098" i="8" s="1"/>
  <c r="F3098" i="8"/>
  <c r="H3988" i="8"/>
  <c r="I3988" i="8" s="1"/>
  <c r="F3988" i="8"/>
  <c r="H4634" i="8"/>
  <c r="I4634" i="8" s="1"/>
  <c r="F4634" i="8"/>
  <c r="H4259" i="8"/>
  <c r="I4259" i="8" s="1"/>
  <c r="F4259" i="8"/>
  <c r="H345" i="8"/>
  <c r="I345" i="8" s="1"/>
  <c r="F345" i="8"/>
  <c r="H184" i="8"/>
  <c r="I184" i="8" s="1"/>
  <c r="F184" i="8"/>
  <c r="H377" i="8"/>
  <c r="I377" i="8" s="1"/>
  <c r="F377" i="8"/>
  <c r="H3417" i="8"/>
  <c r="I3417" i="8" s="1"/>
  <c r="F3417" i="8"/>
  <c r="H1044" i="8"/>
  <c r="F1044" i="8"/>
  <c r="I1044" i="8"/>
  <c r="H4385" i="8"/>
  <c r="I4385" i="8" s="1"/>
  <c r="F4385" i="8"/>
  <c r="H1863" i="8"/>
  <c r="I1863" i="8" s="1"/>
  <c r="F1863" i="8"/>
  <c r="H3591" i="8"/>
  <c r="I3591" i="8" s="1"/>
  <c r="F3591" i="8"/>
  <c r="H3367" i="8"/>
  <c r="I3367" i="8" s="1"/>
  <c r="F3367" i="8"/>
  <c r="H3972" i="8"/>
  <c r="I3972" i="8" s="1"/>
  <c r="F3972" i="8"/>
  <c r="H945" i="8"/>
  <c r="I945" i="8" s="1"/>
  <c r="F945" i="8"/>
  <c r="H3994" i="8"/>
  <c r="I3994" i="8" s="1"/>
  <c r="F3994" i="8"/>
  <c r="F1885" i="8"/>
  <c r="H1885" i="8"/>
  <c r="I1885" i="8" s="1"/>
  <c r="H4279" i="8"/>
  <c r="I4279" i="8" s="1"/>
  <c r="F4279" i="8"/>
  <c r="H4299" i="8"/>
  <c r="I4299" i="8" s="1"/>
  <c r="F4299" i="8"/>
  <c r="H3954" i="8"/>
  <c r="I3954" i="8" s="1"/>
  <c r="F3954" i="8"/>
  <c r="H4227" i="8"/>
  <c r="I4227" i="8" s="1"/>
  <c r="F4227" i="8"/>
  <c r="F357" i="6"/>
  <c r="G357" i="6" s="1"/>
  <c r="H1036" i="8"/>
  <c r="I1036" i="8" s="1"/>
  <c r="F1036" i="8"/>
  <c r="F1367" i="8"/>
  <c r="H1367" i="8"/>
  <c r="I1367" i="8" s="1"/>
  <c r="H1170" i="8"/>
  <c r="I1170" i="8" s="1"/>
  <c r="F1170" i="8"/>
  <c r="H420" i="8"/>
  <c r="I420" i="8" s="1"/>
  <c r="F420" i="8"/>
  <c r="H3934" i="8"/>
  <c r="I3934" i="8" s="1"/>
  <c r="F3934" i="8"/>
  <c r="H1902" i="8"/>
  <c r="I1902" i="8" s="1"/>
  <c r="F1902" i="8"/>
  <c r="H1274" i="8"/>
  <c r="I1274" i="8" s="1"/>
  <c r="F1274" i="8"/>
  <c r="H265" i="8"/>
  <c r="I265" i="8" s="1"/>
  <c r="F265" i="8"/>
  <c r="F2923" i="8"/>
  <c r="H2923" i="8"/>
  <c r="I2923" i="8" s="1"/>
  <c r="F1888" i="8"/>
  <c r="H1888" i="8"/>
  <c r="I1888" i="8" s="1"/>
  <c r="H4278" i="8"/>
  <c r="I4278" i="8" s="1"/>
  <c r="F4278" i="8"/>
  <c r="H1903" i="8"/>
  <c r="I1903" i="8" s="1"/>
  <c r="F1903" i="8"/>
  <c r="H6" i="8"/>
  <c r="I6" i="8" s="1"/>
  <c r="F6" i="8"/>
  <c r="H1871" i="8"/>
  <c r="I1871" i="8" s="1"/>
  <c r="F1871" i="8"/>
  <c r="H3976" i="8"/>
  <c r="I3976" i="8" s="1"/>
  <c r="F3976" i="8"/>
  <c r="H3965" i="8"/>
  <c r="I3965" i="8" s="1"/>
  <c r="F3965" i="8"/>
  <c r="H2984" i="8"/>
  <c r="I2984" i="8" s="1"/>
  <c r="F2984" i="8"/>
  <c r="F3248" i="8"/>
  <c r="H3248" i="8"/>
  <c r="I3248" i="8" s="1"/>
  <c r="H3038" i="8"/>
  <c r="I3038" i="8" s="1"/>
  <c r="F3038" i="8"/>
  <c r="F1869" i="8"/>
  <c r="H1869" i="8"/>
  <c r="I1869" i="8" s="1"/>
  <c r="H1907" i="8"/>
  <c r="I1907" i="8" s="1"/>
  <c r="F1907" i="8"/>
  <c r="H202" i="8"/>
  <c r="I202" i="8" s="1"/>
  <c r="F202" i="8"/>
  <c r="H3930" i="8"/>
  <c r="I3930" i="8" s="1"/>
  <c r="F3930" i="8"/>
  <c r="H1042" i="8"/>
  <c r="I1042" i="8" s="1"/>
  <c r="F1042" i="8"/>
  <c r="H1380" i="8"/>
  <c r="I1380" i="8" s="1"/>
  <c r="F1380" i="8"/>
  <c r="H2894" i="8"/>
  <c r="I2894" i="8" s="1"/>
  <c r="F2894" i="8"/>
  <c r="H577" i="8"/>
  <c r="I577" i="8" s="1"/>
  <c r="F577" i="8"/>
  <c r="H477" i="8"/>
  <c r="I477" i="8" s="1"/>
  <c r="F477" i="8"/>
  <c r="H4258" i="8"/>
  <c r="I4258" i="8" s="1"/>
  <c r="F4258" i="8"/>
  <c r="H1833" i="8"/>
  <c r="I1833" i="8" s="1"/>
  <c r="F1833" i="8"/>
  <c r="F3485" i="8"/>
  <c r="H3485" i="8"/>
  <c r="I3485" i="8" s="1"/>
  <c r="H3993" i="8"/>
  <c r="I3993" i="8" s="1"/>
  <c r="F3993" i="8"/>
  <c r="H4262" i="8"/>
  <c r="I4262" i="8" s="1"/>
  <c r="F4262" i="8"/>
  <c r="H4680" i="8"/>
  <c r="F4680" i="8"/>
  <c r="I4680" i="8"/>
  <c r="H4422" i="8"/>
  <c r="I4422" i="8" s="1"/>
  <c r="F4422" i="8"/>
  <c r="H104" i="8"/>
  <c r="I104" i="8" s="1"/>
  <c r="F104" i="8"/>
  <c r="H1093" i="8"/>
  <c r="I1093" i="8" s="1"/>
  <c r="F1093" i="8"/>
  <c r="H993" i="8"/>
  <c r="I993" i="8" s="1"/>
  <c r="F993" i="8"/>
  <c r="H3375" i="8"/>
  <c r="I3375" i="8" s="1"/>
  <c r="F3375" i="8"/>
  <c r="H1895" i="8"/>
  <c r="I1895" i="8" s="1"/>
  <c r="F1895" i="8"/>
  <c r="H259" i="8"/>
  <c r="I259" i="8" s="1"/>
  <c r="F259" i="8"/>
  <c r="H4398" i="8"/>
  <c r="I4398" i="8" s="1"/>
  <c r="F4398" i="8"/>
  <c r="H723" i="8"/>
  <c r="I723" i="8" s="1"/>
  <c r="F723" i="8"/>
  <c r="H2593" i="8"/>
  <c r="I2593" i="8" s="1"/>
  <c r="F2593" i="8"/>
  <c r="H1300" i="8"/>
  <c r="I1300" i="8" s="1"/>
  <c r="F1300" i="8"/>
  <c r="H3406" i="8"/>
  <c r="I3406" i="8" s="1"/>
  <c r="F3406" i="8"/>
  <c r="H510" i="8"/>
  <c r="I510" i="8" s="1"/>
  <c r="F510" i="8"/>
  <c r="H198" i="8"/>
  <c r="I198" i="8" s="1"/>
  <c r="F198" i="8"/>
  <c r="H3095" i="8"/>
  <c r="I3095" i="8" s="1"/>
  <c r="F3095" i="8"/>
  <c r="H920" i="8"/>
  <c r="I920" i="8" s="1"/>
  <c r="F920" i="8"/>
  <c r="H19" i="8"/>
  <c r="I19" i="8" s="1"/>
  <c r="F19" i="8"/>
  <c r="H3945" i="8"/>
  <c r="I3945" i="8" s="1"/>
  <c r="F3945" i="8"/>
  <c r="H495" i="8"/>
  <c r="I495" i="8" s="1"/>
  <c r="F495" i="8"/>
  <c r="H4064" i="8"/>
  <c r="I4064" i="8" s="1"/>
  <c r="F4064" i="8"/>
  <c r="H918" i="8"/>
  <c r="I918" i="8" s="1"/>
  <c r="F918" i="8"/>
  <c r="H2296" i="8"/>
  <c r="I2296" i="8" s="1"/>
  <c r="F2296" i="8"/>
  <c r="H4551" i="8"/>
  <c r="I4551" i="8" s="1"/>
  <c r="F4551" i="8"/>
  <c r="H985" i="8"/>
  <c r="I985" i="8" s="1"/>
  <c r="F985" i="8"/>
  <c r="H3399" i="8"/>
  <c r="I3399" i="8" s="1"/>
  <c r="F3399" i="8"/>
  <c r="H4590" i="8"/>
  <c r="I4590" i="8" s="1"/>
  <c r="F4590" i="8"/>
  <c r="F1239" i="8"/>
  <c r="H1239" i="8"/>
  <c r="I1239" i="8" s="1"/>
  <c r="F2869" i="8"/>
  <c r="H2869" i="8"/>
  <c r="I2869" i="8" s="1"/>
  <c r="H4382" i="8"/>
  <c r="I4382" i="8" s="1"/>
  <c r="F4382" i="8"/>
  <c r="H3300" i="8"/>
  <c r="I3300" i="8" s="1"/>
  <c r="F3300" i="8"/>
  <c r="H1852" i="8"/>
  <c r="I1852" i="8" s="1"/>
  <c r="F1852" i="8"/>
  <c r="H576" i="8"/>
  <c r="I576" i="8" s="1"/>
  <c r="F576" i="8"/>
  <c r="H1106" i="8"/>
  <c r="I1106" i="8" s="1"/>
  <c r="F1106" i="8"/>
  <c r="H3427" i="8"/>
  <c r="I3427" i="8" s="1"/>
  <c r="F3427" i="8"/>
  <c r="H3442" i="8"/>
  <c r="I3442" i="8" s="1"/>
  <c r="F3442" i="8"/>
  <c r="H105" i="8"/>
  <c r="I105" i="8" s="1"/>
  <c r="F105" i="8"/>
  <c r="H501" i="8"/>
  <c r="I501" i="8" s="1"/>
  <c r="F501" i="8"/>
  <c r="H936" i="8"/>
  <c r="I936" i="8" s="1"/>
  <c r="F936" i="8"/>
  <c r="H3340" i="8"/>
  <c r="I3340" i="8" s="1"/>
  <c r="F3340" i="8"/>
  <c r="H2825" i="8"/>
  <c r="I2825" i="8" s="1"/>
  <c r="F2825" i="8"/>
  <c r="H208" i="8"/>
  <c r="I208" i="8" s="1"/>
  <c r="F208" i="8"/>
  <c r="H256" i="8"/>
  <c r="I256" i="8" s="1"/>
  <c r="F256" i="8"/>
  <c r="H4364" i="8"/>
  <c r="I4364" i="8" s="1"/>
  <c r="F4364" i="8"/>
  <c r="H742" i="8"/>
  <c r="I742" i="8" s="1"/>
  <c r="F742" i="8"/>
  <c r="F2315" i="8"/>
  <c r="H2315" i="8"/>
  <c r="I2315" i="8" s="1"/>
  <c r="F2603" i="8"/>
  <c r="H2603" i="8"/>
  <c r="I2603" i="8" s="1"/>
  <c r="H2255" i="8"/>
  <c r="I2255" i="8" s="1"/>
  <c r="F2255" i="8"/>
  <c r="H4489" i="8"/>
  <c r="I4489" i="8" s="1"/>
  <c r="F4489" i="8"/>
  <c r="H4632" i="8"/>
  <c r="I4632" i="8" s="1"/>
  <c r="F4632" i="8"/>
  <c r="H953" i="8"/>
  <c r="I953" i="8" s="1"/>
  <c r="F953" i="8"/>
  <c r="H241" i="8"/>
  <c r="I241" i="8" s="1"/>
  <c r="F241" i="8"/>
  <c r="H3479" i="8"/>
  <c r="I3479" i="8" s="1"/>
  <c r="F3479" i="8"/>
  <c r="H927" i="8"/>
  <c r="I927" i="8" s="1"/>
  <c r="F927" i="8"/>
  <c r="H182" i="8"/>
  <c r="I182" i="8" s="1"/>
  <c r="F182" i="8"/>
  <c r="H3033" i="8"/>
  <c r="I3033" i="8" s="1"/>
  <c r="F3033" i="8"/>
  <c r="H162" i="8"/>
  <c r="I162" i="8" s="1"/>
  <c r="F162" i="8"/>
  <c r="H3480" i="8"/>
  <c r="I3480" i="8" s="1"/>
  <c r="F3480" i="8"/>
  <c r="H4518" i="8"/>
  <c r="I4518" i="8" s="1"/>
  <c r="F4518" i="8"/>
  <c r="G4003" i="5"/>
  <c r="H4390" i="8"/>
  <c r="I4390" i="8" s="1"/>
  <c r="F4390" i="8"/>
  <c r="H3320" i="8"/>
  <c r="I3320" i="8" s="1"/>
  <c r="F3320" i="8"/>
  <c r="F1829" i="8"/>
  <c r="H1829" i="8"/>
  <c r="I1829" i="8" s="1"/>
  <c r="H4591" i="8"/>
  <c r="I4591" i="8" s="1"/>
  <c r="F4591" i="8"/>
  <c r="H4362" i="8"/>
  <c r="I4362" i="8" s="1"/>
  <c r="F4362" i="8"/>
  <c r="H2927" i="8"/>
  <c r="I2927" i="8" s="1"/>
  <c r="F2927" i="8"/>
  <c r="H3987" i="8"/>
  <c r="I3987" i="8" s="1"/>
  <c r="F3987" i="8"/>
  <c r="H1019" i="8"/>
  <c r="I1019" i="8" s="1"/>
  <c r="F1019" i="8"/>
  <c r="H4372" i="8"/>
  <c r="I4372" i="8" s="1"/>
  <c r="F4372" i="8"/>
  <c r="H4003" i="8"/>
  <c r="I4003" i="8" s="1"/>
  <c r="F4003" i="8"/>
  <c r="H3347" i="8"/>
  <c r="I3347" i="8" s="1"/>
  <c r="F3347" i="8"/>
  <c r="H722" i="8"/>
  <c r="F722" i="8"/>
  <c r="I722" i="8"/>
  <c r="H4618" i="8"/>
  <c r="I4618" i="8" s="1"/>
  <c r="F4618" i="8"/>
  <c r="H3395" i="8"/>
  <c r="I3395" i="8" s="1"/>
  <c r="F3395" i="8"/>
  <c r="H1420" i="8"/>
  <c r="I1420" i="8" s="1"/>
  <c r="F1420" i="8"/>
  <c r="H2319" i="8"/>
  <c r="I2319" i="8" s="1"/>
  <c r="F2319" i="8"/>
  <c r="H1114" i="8"/>
  <c r="I1114" i="8" s="1"/>
  <c r="F1114" i="8"/>
  <c r="H3326" i="8"/>
  <c r="I3326" i="8" s="1"/>
  <c r="F3326" i="8"/>
  <c r="H4428" i="8"/>
  <c r="I4428" i="8" s="1"/>
  <c r="F4428" i="8"/>
  <c r="H2697" i="8"/>
  <c r="I2697" i="8" s="1"/>
  <c r="F2697" i="8"/>
  <c r="H194" i="8"/>
  <c r="I194" i="8" s="1"/>
  <c r="F194" i="8"/>
  <c r="H582" i="8"/>
  <c r="I582" i="8" s="1"/>
  <c r="F582" i="8"/>
  <c r="H3393" i="8"/>
  <c r="I3393" i="8" s="1"/>
  <c r="F3393" i="8"/>
  <c r="H503" i="8"/>
  <c r="I503" i="8" s="1"/>
  <c r="F503" i="8"/>
  <c r="H1166" i="8"/>
  <c r="I1166" i="8" s="1"/>
  <c r="F1166" i="8"/>
  <c r="H4405" i="8"/>
  <c r="I4405" i="8" s="1"/>
  <c r="F4405" i="8"/>
  <c r="F2832" i="8"/>
  <c r="H2832" i="8"/>
  <c r="I2832" i="8" s="1"/>
  <c r="H383" i="8"/>
  <c r="I383" i="8" s="1"/>
  <c r="F383" i="8"/>
  <c r="H4569" i="8"/>
  <c r="I4569" i="8" s="1"/>
  <c r="F4569" i="8"/>
  <c r="H1165" i="8"/>
  <c r="I1165" i="8" s="1"/>
  <c r="F1165" i="8"/>
  <c r="F2219" i="8"/>
  <c r="H2219" i="8"/>
  <c r="I2219" i="8" s="1"/>
  <c r="F3301" i="8"/>
  <c r="H3301" i="8"/>
  <c r="I3301" i="8" s="1"/>
  <c r="H4378" i="8"/>
  <c r="I4378" i="8" s="1"/>
  <c r="F4378" i="8"/>
  <c r="H109" i="8"/>
  <c r="I109" i="8" s="1"/>
  <c r="F109" i="8"/>
  <c r="H4543" i="8"/>
  <c r="I4543" i="8" s="1"/>
  <c r="F4543" i="8"/>
  <c r="H933" i="8"/>
  <c r="I933" i="8" s="1"/>
  <c r="F933" i="8"/>
  <c r="H3455" i="8"/>
  <c r="I3455" i="8" s="1"/>
  <c r="F3455" i="8"/>
  <c r="H4295" i="8"/>
  <c r="I4295" i="8" s="1"/>
  <c r="F4295" i="8"/>
  <c r="H372" i="8"/>
  <c r="I372" i="8" s="1"/>
  <c r="F372" i="8"/>
  <c r="H1241" i="8"/>
  <c r="I1241" i="8" s="1"/>
  <c r="F1241" i="8"/>
  <c r="H4646" i="8"/>
  <c r="I4646" i="8" s="1"/>
  <c r="F4646" i="8"/>
  <c r="H10" i="8"/>
  <c r="I10" i="8" s="1"/>
  <c r="F10" i="8"/>
  <c r="F4845" i="8"/>
  <c r="H4845" i="8"/>
  <c r="I4845" i="8" s="1"/>
  <c r="H4283" i="8"/>
  <c r="I4283" i="8" s="1"/>
  <c r="F4283" i="8"/>
  <c r="H4394" i="8"/>
  <c r="I4394" i="8" s="1"/>
  <c r="F4394" i="8"/>
  <c r="H4284" i="8"/>
  <c r="I4284" i="8" s="1"/>
  <c r="F4284" i="8"/>
  <c r="H4404" i="8"/>
  <c r="I4404" i="8" s="1"/>
  <c r="F4404" i="8"/>
  <c r="H4240" i="8"/>
  <c r="I4240" i="8" s="1"/>
  <c r="F4240" i="8"/>
  <c r="H155" i="8"/>
  <c r="I155" i="8" s="1"/>
  <c r="F155" i="8"/>
  <c r="H3978" i="8"/>
  <c r="I3978" i="8" s="1"/>
  <c r="F3978" i="8"/>
  <c r="H1294" i="8"/>
  <c r="I1294" i="8" s="1"/>
  <c r="F1294" i="8"/>
  <c r="H1126" i="8"/>
  <c r="I1126" i="8" s="1"/>
  <c r="F1126" i="8"/>
  <c r="F2104" i="8"/>
  <c r="H2104" i="8"/>
  <c r="I2104" i="8" s="1"/>
  <c r="I1410" i="8"/>
  <c r="H1410" i="8"/>
  <c r="F1410" i="8"/>
  <c r="H348" i="8"/>
  <c r="I348" i="8" s="1"/>
  <c r="F348" i="8"/>
  <c r="H4788" i="8"/>
  <c r="I4788" i="8" s="1"/>
  <c r="F4788" i="8"/>
  <c r="F65" i="6"/>
  <c r="F1856" i="8"/>
  <c r="H1856" i="8"/>
  <c r="I1856" i="8" s="1"/>
  <c r="H4419" i="8"/>
  <c r="I4419" i="8" s="1"/>
  <c r="F4419" i="8"/>
  <c r="F2217" i="8"/>
  <c r="H2217" i="8"/>
  <c r="I2217" i="8" s="1"/>
  <c r="H373" i="8"/>
  <c r="I373" i="8" s="1"/>
  <c r="F373" i="8"/>
  <c r="H1043" i="8"/>
  <c r="I1043" i="8" s="1"/>
  <c r="F1043" i="8"/>
  <c r="H1087" i="8"/>
  <c r="I1087" i="8" s="1"/>
  <c r="F1087" i="8"/>
  <c r="H192" i="8"/>
  <c r="I192" i="8" s="1"/>
  <c r="F192" i="8"/>
  <c r="H4486" i="8"/>
  <c r="I4486" i="8" s="1"/>
  <c r="F4486" i="8"/>
  <c r="H3952" i="8"/>
  <c r="I3952" i="8" s="1"/>
  <c r="F3952" i="8"/>
  <c r="F1415" i="8"/>
  <c r="H1415" i="8"/>
  <c r="I1415" i="8" s="1"/>
  <c r="H938" i="8"/>
  <c r="I938" i="8" s="1"/>
  <c r="F938" i="8"/>
  <c r="H3262" i="8"/>
  <c r="I3262" i="8" s="1"/>
  <c r="F3262" i="8"/>
  <c r="F3437" i="8"/>
  <c r="H3437" i="8"/>
  <c r="I3437" i="8" s="1"/>
  <c r="H935" i="8"/>
  <c r="I935" i="8" s="1"/>
  <c r="F935" i="8"/>
  <c r="F3381" i="8"/>
  <c r="H3381" i="8"/>
  <c r="I3381" i="8" s="1"/>
  <c r="F3227" i="8"/>
  <c r="H3227" i="8"/>
  <c r="I3227" i="8" s="1"/>
  <c r="H4401" i="8"/>
  <c r="I4401" i="8" s="1"/>
  <c r="F4401" i="8"/>
  <c r="H56" i="8"/>
  <c r="I56" i="8" s="1"/>
  <c r="F56" i="8"/>
  <c r="H4425" i="8"/>
  <c r="I4425" i="8" s="1"/>
  <c r="F4425" i="8"/>
  <c r="H7" i="8"/>
  <c r="I7" i="8" s="1"/>
  <c r="F7" i="8"/>
  <c r="F2606" i="8"/>
  <c r="H2606" i="8"/>
  <c r="I2606" i="8" s="1"/>
  <c r="H4379" i="8"/>
  <c r="I4379" i="8" s="1"/>
  <c r="F4379" i="8"/>
  <c r="H475" i="8"/>
  <c r="I475" i="8" s="1"/>
  <c r="F475" i="8"/>
  <c r="H218" i="8"/>
  <c r="I218" i="8" s="1"/>
  <c r="F218" i="8"/>
  <c r="H1604" i="8"/>
  <c r="I1604" i="8" s="1"/>
  <c r="F1604" i="8"/>
  <c r="H4472" i="8"/>
  <c r="I4472" i="8" s="1"/>
  <c r="F4472" i="8"/>
  <c r="F3024" i="8"/>
  <c r="H3024" i="8"/>
  <c r="I3024" i="8" s="1"/>
  <c r="H940" i="8"/>
  <c r="I940" i="8" s="1"/>
  <c r="F940" i="8"/>
  <c r="H3398" i="8"/>
  <c r="I3398" i="8" s="1"/>
  <c r="F3398" i="8"/>
  <c r="H367" i="8"/>
  <c r="I367" i="8" s="1"/>
  <c r="F367" i="8"/>
  <c r="H3385" i="8"/>
  <c r="I3385" i="8" s="1"/>
  <c r="F3385" i="8"/>
  <c r="H53" i="8"/>
  <c r="I53" i="8" s="1"/>
  <c r="F53" i="8"/>
  <c r="H3604" i="8"/>
  <c r="I3604" i="8" s="1"/>
  <c r="F3604" i="8"/>
  <c r="H4657" i="8"/>
  <c r="I4657" i="8" s="1"/>
  <c r="F4657" i="8"/>
  <c r="H3953" i="8"/>
  <c r="I3953" i="8" s="1"/>
  <c r="F3953" i="8"/>
  <c r="F1272" i="8"/>
  <c r="H1272" i="8"/>
  <c r="I1272" i="8" s="1"/>
  <c r="H2295" i="8"/>
  <c r="I2295" i="8" s="1"/>
  <c r="F2295" i="8"/>
  <c r="F3453" i="8"/>
  <c r="H3453" i="8"/>
  <c r="I3453" i="8" s="1"/>
  <c r="H4071" i="8"/>
  <c r="I4071" i="8" s="1"/>
  <c r="F4071" i="8"/>
  <c r="F1872" i="8"/>
  <c r="H1872" i="8"/>
  <c r="I1872" i="8" s="1"/>
  <c r="H4397" i="8"/>
  <c r="I4397" i="8" s="1"/>
  <c r="F4397" i="8"/>
  <c r="H4368" i="8"/>
  <c r="I4368" i="8" s="1"/>
  <c r="F4368" i="8"/>
  <c r="H3928" i="8"/>
  <c r="I3928" i="8" s="1"/>
  <c r="F3928" i="8"/>
  <c r="H1034" i="8"/>
  <c r="I1034" i="8" s="1"/>
  <c r="F1034" i="8"/>
  <c r="H4293" i="8"/>
  <c r="I4293" i="8" s="1"/>
  <c r="F4293" i="8"/>
  <c r="H3991" i="8"/>
  <c r="I3991" i="8" s="1"/>
  <c r="F3991" i="8"/>
  <c r="H4751" i="8"/>
  <c r="I4751" i="8" s="1"/>
  <c r="F4751" i="8"/>
  <c r="H3868" i="8"/>
  <c r="I3868" i="8" s="1"/>
  <c r="F3868" i="8"/>
  <c r="H4650" i="8"/>
  <c r="I4650" i="8" s="1"/>
  <c r="F4650" i="8"/>
  <c r="H4765" i="8"/>
  <c r="I4765" i="8" s="1"/>
  <c r="F4765" i="8"/>
  <c r="F3477" i="8"/>
  <c r="H3477" i="8"/>
  <c r="I3477" i="8" s="1"/>
  <c r="H1285" i="8"/>
  <c r="I1285" i="8" s="1"/>
  <c r="F1285" i="8"/>
  <c r="H199" i="8"/>
  <c r="I199" i="8" s="1"/>
  <c r="F199" i="8"/>
  <c r="H1831" i="8"/>
  <c r="I1831" i="8" s="1"/>
  <c r="F1831" i="8"/>
  <c r="F1573" i="8"/>
  <c r="H1573" i="8"/>
  <c r="I1573" i="8" s="1"/>
  <c r="H3957" i="8"/>
  <c r="I3957" i="8" s="1"/>
  <c r="F3957" i="8"/>
  <c r="H3941" i="8"/>
  <c r="I3941" i="8" s="1"/>
  <c r="F3941" i="8"/>
  <c r="F1128" i="8"/>
  <c r="H1128" i="8"/>
  <c r="I1128" i="8" s="1"/>
  <c r="H4426" i="8"/>
  <c r="I4426" i="8" s="1"/>
  <c r="F4426" i="8"/>
  <c r="H3548" i="8"/>
  <c r="I3548" i="8" s="1"/>
  <c r="F3548" i="8"/>
  <c r="H2335" i="8"/>
  <c r="I2335" i="8" s="1"/>
  <c r="F2335" i="8"/>
  <c r="H2394" i="8"/>
  <c r="I2394" i="8" s="1"/>
  <c r="F2394" i="8"/>
  <c r="H4615" i="8"/>
  <c r="F4615" i="8"/>
  <c r="I4615" i="8"/>
  <c r="H3492" i="8"/>
  <c r="I3492" i="8" s="1"/>
  <c r="F3492" i="8"/>
  <c r="H4294" i="8"/>
  <c r="I4294" i="8" s="1"/>
  <c r="F4294" i="8"/>
  <c r="F1176" i="8"/>
  <c r="H1176" i="8"/>
  <c r="I1176" i="8" s="1"/>
  <c r="H172" i="8"/>
  <c r="I172" i="8" s="1"/>
  <c r="F172" i="8"/>
  <c r="H4494" i="8"/>
  <c r="I4494" i="8" s="1"/>
  <c r="F4494" i="8"/>
  <c r="F3349" i="8"/>
  <c r="H3349" i="8"/>
  <c r="I3349" i="8" s="1"/>
  <c r="H1836" i="8"/>
  <c r="I1836" i="8" s="1"/>
  <c r="F1836" i="8"/>
  <c r="H955" i="8"/>
  <c r="I955" i="8" s="1"/>
  <c r="F955" i="8"/>
  <c r="H1887" i="8"/>
  <c r="I1887" i="8" s="1"/>
  <c r="F1887" i="8"/>
  <c r="H177" i="8"/>
  <c r="I177" i="8" s="1"/>
  <c r="F177" i="8"/>
  <c r="H4396" i="8"/>
  <c r="I4396" i="8" s="1"/>
  <c r="F4396" i="8"/>
  <c r="H4243" i="8"/>
  <c r="I4243" i="8" s="1"/>
  <c r="F4243" i="8"/>
  <c r="H4334" i="8"/>
  <c r="I4334" i="8" s="1"/>
  <c r="F4334" i="8"/>
  <c r="I1418" i="8"/>
  <c r="H1418" i="8"/>
  <c r="F1418" i="8"/>
  <c r="H4550" i="8"/>
  <c r="I4550" i="8" s="1"/>
  <c r="F4550" i="8"/>
  <c r="H4330" i="8"/>
  <c r="I4330" i="8" s="1"/>
  <c r="F4330" i="8"/>
  <c r="H834" i="8"/>
  <c r="I834" i="8" s="1"/>
  <c r="F834" i="8"/>
  <c r="H3297" i="8"/>
  <c r="I3297" i="8" s="1"/>
  <c r="F3297" i="8"/>
  <c r="H1210" i="8"/>
  <c r="I1210" i="8" s="1"/>
  <c r="F1210" i="8"/>
  <c r="H1037" i="8"/>
  <c r="F1037" i="8"/>
  <c r="I1037" i="8"/>
  <c r="F3355" i="8"/>
  <c r="H3355" i="8"/>
  <c r="I3355" i="8" s="1"/>
  <c r="H412" i="8"/>
  <c r="I412" i="8" s="1"/>
  <c r="F412" i="8"/>
  <c r="H686" i="8"/>
  <c r="I686" i="8" s="1"/>
  <c r="F686" i="8"/>
  <c r="H3305" i="8"/>
  <c r="I3305" i="8" s="1"/>
  <c r="F3305" i="8"/>
  <c r="H146" i="8"/>
  <c r="I146" i="8" s="1"/>
  <c r="F146" i="8"/>
  <c r="H3959" i="8"/>
  <c r="I3959" i="8" s="1"/>
  <c r="F3959" i="8"/>
  <c r="H4579" i="8"/>
  <c r="I4579" i="8" s="1"/>
  <c r="F4579" i="8"/>
  <c r="H366" i="8"/>
  <c r="I366" i="8" s="1"/>
  <c r="F366" i="8"/>
  <c r="H4296" i="8"/>
  <c r="I4296" i="8" s="1"/>
  <c r="F4296" i="8"/>
  <c r="H2830" i="8"/>
  <c r="I2830" i="8" s="1"/>
  <c r="F2830" i="8"/>
  <c r="I1409" i="8"/>
  <c r="H1409" i="8"/>
  <c r="F1409" i="8"/>
  <c r="H4525" i="8"/>
  <c r="I4525" i="8" s="1"/>
  <c r="F4525" i="8"/>
  <c r="H90" i="8"/>
  <c r="I90" i="8" s="1"/>
  <c r="F90" i="8"/>
  <c r="F1271" i="8"/>
  <c r="H1271" i="8"/>
  <c r="I1271" i="8" s="1"/>
  <c r="H13" i="8"/>
  <c r="I13" i="8" s="1"/>
  <c r="F13" i="8"/>
  <c r="H4306" i="8"/>
  <c r="I4306" i="8" s="1"/>
  <c r="F4306" i="8"/>
  <c r="F3264" i="8"/>
  <c r="H3264" i="8"/>
  <c r="I3264" i="8" s="1"/>
  <c r="H4592" i="8"/>
  <c r="F4592" i="8"/>
  <c r="I4592" i="8"/>
  <c r="H2897" i="8"/>
  <c r="I2897" i="8" s="1"/>
  <c r="F2897" i="8"/>
  <c r="H4392" i="8"/>
  <c r="I4392" i="8" s="1"/>
  <c r="F4392" i="8"/>
  <c r="H3933" i="8"/>
  <c r="I3933" i="8" s="1"/>
  <c r="F3933" i="8"/>
  <c r="H121" i="8"/>
  <c r="I121" i="8" s="1"/>
  <c r="F121" i="8"/>
  <c r="H4752" i="8"/>
  <c r="I4752" i="8" s="1"/>
  <c r="F4752" i="8"/>
  <c r="H3346" i="8"/>
  <c r="I3346" i="8" s="1"/>
  <c r="F3346" i="8"/>
  <c r="H4350" i="8"/>
  <c r="I4350" i="8" s="1"/>
  <c r="F4350" i="8"/>
  <c r="H149" i="8"/>
  <c r="I149" i="8" s="1"/>
  <c r="F149" i="8"/>
  <c r="H4319" i="8"/>
  <c r="I4319" i="8" s="1"/>
  <c r="F4319" i="8"/>
  <c r="H2820" i="8"/>
  <c r="I2820" i="8" s="1"/>
  <c r="F2820" i="8"/>
  <c r="F1493" i="8"/>
  <c r="H1493" i="8"/>
  <c r="I1493" i="8" s="1"/>
  <c r="F1360" i="8"/>
  <c r="H1360" i="8"/>
  <c r="I1360" i="8" s="1"/>
  <c r="H4437" i="8"/>
  <c r="I4437" i="8" s="1"/>
  <c r="F4437" i="8"/>
  <c r="H941" i="8"/>
  <c r="I941" i="8" s="1"/>
  <c r="F941" i="8"/>
  <c r="H1169" i="8"/>
  <c r="I1169" i="8" s="1"/>
  <c r="F1169" i="8"/>
  <c r="H3949" i="8"/>
  <c r="I3949" i="8" s="1"/>
  <c r="F3949" i="8"/>
  <c r="H3936" i="8"/>
  <c r="I3936" i="8" s="1"/>
  <c r="F3936" i="8"/>
  <c r="F3469" i="8"/>
  <c r="H3469" i="8"/>
  <c r="I3469" i="8" s="1"/>
  <c r="F4851" i="8"/>
  <c r="H4851" i="8"/>
  <c r="I4851" i="8" s="1"/>
  <c r="H3382" i="8"/>
  <c r="I3382" i="8" s="1"/>
  <c r="F3382" i="8"/>
  <c r="H175" i="8"/>
  <c r="I175" i="8" s="1"/>
  <c r="F175" i="8"/>
  <c r="H3982" i="8"/>
  <c r="I3982" i="8" s="1"/>
  <c r="F3982" i="8"/>
  <c r="H1179" i="8"/>
  <c r="I1179" i="8" s="1"/>
  <c r="F1179" i="8"/>
  <c r="H4305" i="8"/>
  <c r="I4305" i="8" s="1"/>
  <c r="F4305" i="8"/>
  <c r="H1854" i="8"/>
  <c r="I1854" i="8" s="1"/>
  <c r="F1854" i="8"/>
  <c r="H80" i="8"/>
  <c r="I80" i="8" s="1"/>
  <c r="F80" i="8"/>
  <c r="H331" i="8"/>
  <c r="I331" i="8" s="1"/>
  <c r="F331" i="8"/>
  <c r="H750" i="8"/>
  <c r="I750" i="8" s="1"/>
  <c r="F750" i="8"/>
  <c r="H257" i="8"/>
  <c r="I257" i="8" s="1"/>
  <c r="F257" i="8"/>
  <c r="H995" i="8"/>
  <c r="I995" i="8" s="1"/>
  <c r="F995" i="8"/>
  <c r="H4320" i="8"/>
  <c r="I4320" i="8" s="1"/>
  <c r="F4320" i="8"/>
  <c r="H4255" i="8"/>
  <c r="I4255" i="8" s="1"/>
  <c r="F4255" i="8"/>
  <c r="H4355" i="8"/>
  <c r="I4355" i="8" s="1"/>
  <c r="F4355" i="8"/>
  <c r="F1499" i="8"/>
  <c r="H1499" i="8"/>
  <c r="I1499" i="8" s="1"/>
  <c r="H3592" i="8"/>
  <c r="F3592" i="8"/>
  <c r="I3592" i="8"/>
  <c r="H1426" i="8"/>
  <c r="I1426" i="8" s="1"/>
  <c r="F1426" i="8"/>
  <c r="H476" i="8"/>
  <c r="I476" i="8" s="1"/>
  <c r="F476" i="8"/>
  <c r="H4393" i="8"/>
  <c r="I4393" i="8" s="1"/>
  <c r="F4393" i="8"/>
  <c r="H4668" i="8"/>
  <c r="I4668" i="8" s="1"/>
  <c r="F4668" i="8"/>
  <c r="H1421" i="8"/>
  <c r="I1421" i="8" s="1"/>
  <c r="F1421" i="8"/>
  <c r="F1175" i="8"/>
  <c r="H1175" i="8"/>
  <c r="I1175" i="8" s="1"/>
  <c r="I1103" i="8"/>
  <c r="F1103" i="8"/>
  <c r="H1103" i="8"/>
  <c r="H4070" i="8"/>
  <c r="I4070" i="8" s="1"/>
  <c r="F4070" i="8"/>
  <c r="H4492" i="8"/>
  <c r="I4492" i="8" s="1"/>
  <c r="F4492" i="8"/>
  <c r="H3867" i="8"/>
  <c r="I3867" i="8" s="1"/>
  <c r="F3867" i="8"/>
  <c r="H4614" i="8"/>
  <c r="F4614" i="8"/>
  <c r="I4614" i="8"/>
  <c r="H413" i="8"/>
  <c r="I413" i="8" s="1"/>
  <c r="F413" i="8"/>
  <c r="H38" i="8"/>
  <c r="I38" i="8" s="1"/>
  <c r="F38" i="8"/>
  <c r="H2905" i="8"/>
  <c r="I2905" i="8" s="1"/>
  <c r="F2905" i="8"/>
  <c r="H1132" i="8"/>
  <c r="I1132" i="8" s="1"/>
  <c r="F1132" i="8"/>
  <c r="F1949" i="8"/>
  <c r="H1949" i="8"/>
  <c r="I1949" i="8" s="1"/>
  <c r="F1901" i="8"/>
  <c r="H1901" i="8"/>
  <c r="I1901" i="8" s="1"/>
  <c r="H3946" i="8"/>
  <c r="I3946" i="8" s="1"/>
  <c r="F3946" i="8"/>
  <c r="F1889" i="8"/>
  <c r="H1889" i="8"/>
  <c r="I1889" i="8" s="1"/>
  <c r="H269" i="8"/>
  <c r="I269" i="8" s="1"/>
  <c r="F269" i="8"/>
  <c r="H2706" i="8"/>
  <c r="I2706" i="8" s="1"/>
  <c r="F2706" i="8"/>
  <c r="H3958" i="8"/>
  <c r="I3958" i="8" s="1"/>
  <c r="F3958" i="8"/>
  <c r="H17" i="8"/>
  <c r="I17" i="8" s="1"/>
  <c r="F17" i="8"/>
  <c r="F3344" i="8"/>
  <c r="H3344" i="8"/>
  <c r="I3344" i="8" s="1"/>
  <c r="F3373" i="8"/>
  <c r="H3373" i="8"/>
  <c r="I3373" i="8" s="1"/>
  <c r="H2932" i="8"/>
  <c r="I2932" i="8" s="1"/>
  <c r="F2932" i="8"/>
  <c r="H564" i="8"/>
  <c r="I564" i="8" s="1"/>
  <c r="F564" i="8"/>
  <c r="H4292" i="8"/>
  <c r="I4292" i="8" s="1"/>
  <c r="F4292" i="8"/>
  <c r="H264" i="8"/>
  <c r="I264" i="8" s="1"/>
  <c r="F264" i="8"/>
  <c r="H499" i="8"/>
  <c r="I499" i="8" s="1"/>
  <c r="F499" i="8"/>
  <c r="H181" i="8"/>
  <c r="I181" i="8" s="1"/>
  <c r="F181" i="8"/>
  <c r="H1138" i="8"/>
  <c r="I1138" i="8" s="1"/>
  <c r="F1138" i="8"/>
  <c r="H3570" i="8"/>
  <c r="I3570" i="8" s="1"/>
  <c r="F3570" i="8"/>
  <c r="H3942" i="8"/>
  <c r="I3942" i="8" s="1"/>
  <c r="F3942" i="8"/>
  <c r="H4484" i="8"/>
  <c r="I4484" i="8" s="1"/>
  <c r="F4484" i="8"/>
  <c r="H3384" i="8"/>
  <c r="I3384" i="8" s="1"/>
  <c r="F3384" i="8"/>
  <c r="H3943" i="8"/>
  <c r="I3943" i="8" s="1"/>
  <c r="F3943" i="8"/>
  <c r="H3236" i="8"/>
  <c r="I3236" i="8" s="1"/>
  <c r="F3236" i="8"/>
  <c r="H260" i="8"/>
  <c r="I260" i="8" s="1"/>
  <c r="F260" i="8"/>
  <c r="H4053" i="8"/>
  <c r="I4053" i="8" s="1"/>
  <c r="F4053" i="8"/>
  <c r="H371" i="8"/>
  <c r="I371" i="8" s="1"/>
  <c r="F371" i="8"/>
  <c r="H3449" i="8"/>
  <c r="I3449" i="8" s="1"/>
  <c r="F3449" i="8"/>
  <c r="H3948" i="8"/>
  <c r="I3948" i="8" s="1"/>
  <c r="F3948" i="8"/>
  <c r="H3553" i="8"/>
  <c r="I3553" i="8" s="1"/>
  <c r="F3553" i="8"/>
  <c r="H328" i="8"/>
  <c r="I328" i="8" s="1"/>
  <c r="F328" i="8"/>
  <c r="H4056" i="8"/>
  <c r="I4056" i="8" s="1"/>
  <c r="F4056" i="8"/>
  <c r="H4076" i="8"/>
  <c r="I4076" i="8" s="1"/>
  <c r="F4076" i="8"/>
  <c r="H2892" i="8"/>
  <c r="I2892" i="8" s="1"/>
  <c r="F2892" i="8"/>
  <c r="H3937" i="8"/>
  <c r="I3937" i="8" s="1"/>
  <c r="F3937" i="8"/>
  <c r="H3322" i="8"/>
  <c r="I3322" i="8" s="1"/>
  <c r="F3322" i="8"/>
  <c r="H4819" i="8"/>
  <c r="I4819" i="8" s="1"/>
  <c r="F4819" i="8"/>
  <c r="H3961" i="8"/>
  <c r="I3961" i="8" s="1"/>
  <c r="F3961" i="8"/>
  <c r="H714" i="8"/>
  <c r="F714" i="8"/>
  <c r="I714" i="8"/>
  <c r="H566" i="8"/>
  <c r="I566" i="8" s="1"/>
  <c r="F566" i="8"/>
  <c r="H3584" i="8"/>
  <c r="I3584" i="8" s="1"/>
  <c r="F3584" i="8"/>
  <c r="F1408" i="8"/>
  <c r="H1408" i="8"/>
  <c r="I1408" i="8" s="1"/>
  <c r="G3703" i="5"/>
  <c r="H329" i="8"/>
  <c r="I329" i="8" s="1"/>
  <c r="F329" i="8"/>
  <c r="H4352" i="8"/>
  <c r="I4352" i="8" s="1"/>
  <c r="F4352" i="8"/>
  <c r="H3031" i="8"/>
  <c r="I3031" i="8" s="1"/>
  <c r="F3031" i="8"/>
  <c r="H4482" i="8"/>
  <c r="I4482" i="8" s="1"/>
  <c r="F4482" i="8"/>
  <c r="F2333" i="8"/>
  <c r="H2333" i="8"/>
  <c r="I2333" i="8" s="1"/>
  <c r="H1546" i="8"/>
  <c r="I1546" i="8" s="1"/>
  <c r="F1546" i="8"/>
  <c r="H1107" i="8"/>
  <c r="I1107" i="8" s="1"/>
  <c r="F1107" i="8"/>
  <c r="H1419" i="8"/>
  <c r="I1419" i="8" s="1"/>
  <c r="F1419" i="8"/>
  <c r="H4529" i="8"/>
  <c r="I4529" i="8" s="1"/>
  <c r="F4529" i="8"/>
  <c r="H1039" i="8"/>
  <c r="I1039" i="8" s="1"/>
  <c r="F1039" i="8"/>
  <c r="F3037" i="8"/>
  <c r="H3037" i="8"/>
  <c r="I3037" i="8" s="1"/>
  <c r="H39" i="8"/>
  <c r="I39" i="8" s="1"/>
  <c r="F39" i="8"/>
  <c r="H1842" i="8"/>
  <c r="I1842" i="8" s="1"/>
  <c r="F1842" i="8"/>
  <c r="H4540" i="8"/>
  <c r="I4540" i="8" s="1"/>
  <c r="F4540" i="8"/>
  <c r="H1417" i="8"/>
  <c r="I1417" i="8" s="1"/>
  <c r="F1417" i="8"/>
  <c r="F1853" i="8"/>
  <c r="H1853" i="8"/>
  <c r="I1853" i="8" s="1"/>
  <c r="H1897" i="8"/>
  <c r="I1897" i="8" s="1"/>
  <c r="F1897" i="8"/>
  <c r="H3267" i="8"/>
  <c r="I3267" i="8" s="1"/>
  <c r="F3267" i="8"/>
  <c r="F3003" i="8"/>
  <c r="H3003" i="8"/>
  <c r="I3003" i="8" s="1"/>
  <c r="H78" i="8"/>
  <c r="I78" i="8" s="1"/>
  <c r="F78" i="8"/>
  <c r="H4304" i="8"/>
  <c r="I4304" i="8" s="1"/>
  <c r="F4304" i="8"/>
  <c r="H3266" i="8"/>
  <c r="I3266" i="8" s="1"/>
  <c r="F3266" i="8"/>
  <c r="H4789" i="8"/>
  <c r="I4789" i="8" s="1"/>
  <c r="F4789" i="8"/>
  <c r="H1812" i="8"/>
  <c r="I1812" i="8" s="1"/>
  <c r="F1812" i="8"/>
  <c r="H1413" i="8"/>
  <c r="I1413" i="8" s="1"/>
  <c r="F1413" i="8"/>
  <c r="H2707" i="8"/>
  <c r="I2707" i="8" s="1"/>
  <c r="F2707" i="8"/>
  <c r="H4726" i="8"/>
  <c r="I4726" i="8" s="1"/>
  <c r="F4726" i="8"/>
  <c r="F1837" i="8"/>
  <c r="H1837" i="8"/>
  <c r="I1837" i="8" s="1"/>
  <c r="H4706" i="8"/>
  <c r="I4706" i="8" s="1"/>
  <c r="F4706" i="8"/>
  <c r="H4423" i="8"/>
  <c r="I4423" i="8" s="1"/>
  <c r="F4423" i="8"/>
  <c r="H1414" i="8"/>
  <c r="I1414" i="8" s="1"/>
  <c r="F1414" i="8"/>
  <c r="H205" i="8"/>
  <c r="I205" i="8" s="1"/>
  <c r="F205" i="8"/>
  <c r="H183" i="8"/>
  <c r="I183" i="8" s="1"/>
  <c r="F183" i="8"/>
  <c r="H4015" i="8"/>
  <c r="I4015" i="8" s="1"/>
  <c r="F4015" i="8"/>
  <c r="F1867" i="8"/>
  <c r="H1867" i="8"/>
  <c r="I1867" i="8" s="1"/>
  <c r="H1333" i="8"/>
  <c r="I1333" i="8" s="1"/>
  <c r="F1333" i="8"/>
  <c r="H3462" i="8"/>
  <c r="I3462" i="8" s="1"/>
  <c r="F3462" i="8"/>
  <c r="H3955" i="8"/>
  <c r="I3955" i="8" s="1"/>
  <c r="F3955" i="8"/>
  <c r="H284" i="8"/>
  <c r="I284" i="8" s="1"/>
  <c r="F284" i="8"/>
  <c r="H50" i="8"/>
  <c r="I50" i="8" s="1"/>
  <c r="F50" i="8"/>
  <c r="H4564" i="8"/>
  <c r="I4564" i="8" s="1"/>
  <c r="F4564" i="8"/>
  <c r="H1018" i="8"/>
  <c r="I1018" i="8" s="1"/>
  <c r="F1018" i="8"/>
  <c r="F1552" i="8"/>
  <c r="H1552" i="8"/>
  <c r="I1552" i="8" s="1"/>
  <c r="H4524" i="8"/>
  <c r="I4524" i="8" s="1"/>
  <c r="F4524" i="8"/>
  <c r="H3951" i="8"/>
  <c r="I3951" i="8" s="1"/>
  <c r="F3951" i="8"/>
  <c r="H3980" i="8"/>
  <c r="I3980" i="8" s="1"/>
  <c r="F3980" i="8"/>
  <c r="H3950" i="8"/>
  <c r="I3950" i="8" s="1"/>
  <c r="F3950" i="8"/>
  <c r="H1832" i="8"/>
  <c r="I1832" i="8" s="1"/>
  <c r="F1832" i="8"/>
  <c r="H43" i="8"/>
  <c r="I43" i="8" s="1"/>
  <c r="F43" i="8"/>
  <c r="H1566" i="8"/>
  <c r="I1566" i="8" s="1"/>
  <c r="F1566" i="8"/>
  <c r="H3588" i="8"/>
  <c r="I3588" i="8" s="1"/>
  <c r="F3588" i="8"/>
  <c r="H3995" i="8"/>
  <c r="I3995" i="8" s="1"/>
  <c r="F3995" i="8"/>
  <c r="H4528" i="8"/>
  <c r="I4528" i="8" s="1"/>
  <c r="F4528" i="8"/>
  <c r="H1874" i="8"/>
  <c r="I1874" i="8" s="1"/>
  <c r="F1874" i="8"/>
  <c r="H4523" i="8"/>
  <c r="I4523" i="8" s="1"/>
  <c r="F4523" i="8"/>
  <c r="H448" i="8"/>
  <c r="I448" i="8" s="1"/>
  <c r="F448" i="8"/>
  <c r="H4664" i="8"/>
  <c r="I4664" i="8" s="1"/>
  <c r="F4664" i="8"/>
  <c r="H4754" i="8"/>
  <c r="I4754" i="8" s="1"/>
  <c r="F4754" i="8"/>
  <c r="H2218" i="8"/>
  <c r="I2218" i="8" s="1"/>
  <c r="F2218" i="8"/>
  <c r="I3014" i="8"/>
  <c r="H3014" i="8"/>
  <c r="F3014" i="8"/>
  <c r="H1211" i="8"/>
  <c r="I1211" i="8" s="1"/>
  <c r="F1211" i="8"/>
  <c r="F1424" i="8"/>
  <c r="H1424" i="8"/>
  <c r="I1424" i="8" s="1"/>
  <c r="H713" i="8"/>
  <c r="F713" i="8"/>
  <c r="I713" i="8"/>
  <c r="H4427" i="8"/>
  <c r="I4427" i="8" s="1"/>
  <c r="F4427" i="8"/>
  <c r="H4804" i="8"/>
  <c r="I4804" i="8" s="1"/>
  <c r="F4804" i="8"/>
  <c r="H4001" i="8"/>
  <c r="I4001" i="8" s="1"/>
  <c r="F4001" i="8"/>
  <c r="H222" i="8"/>
  <c r="I222" i="8" s="1"/>
  <c r="F222" i="8"/>
  <c r="H4046" i="8"/>
  <c r="I4046" i="8" s="1"/>
  <c r="F4046" i="8"/>
  <c r="H3460" i="8"/>
  <c r="I3460" i="8" s="1"/>
  <c r="F3460" i="8"/>
  <c r="G6466" i="5"/>
  <c r="H4753" i="8"/>
  <c r="I4753" i="8" s="1"/>
  <c r="F4753" i="8"/>
  <c r="F3317" i="8"/>
  <c r="H3317" i="8"/>
  <c r="I3317" i="8" s="1"/>
  <c r="H1046" i="8"/>
  <c r="I1046" i="8" s="1"/>
  <c r="F1046" i="8"/>
  <c r="H4351" i="8"/>
  <c r="I4351" i="8" s="1"/>
  <c r="F4351" i="8"/>
  <c r="H3294" i="8"/>
  <c r="I3294" i="8" s="1"/>
  <c r="F3294" i="8"/>
  <c r="H4348" i="8"/>
  <c r="I4348" i="8" s="1"/>
  <c r="F4348" i="8"/>
  <c r="H4832" i="8"/>
  <c r="I4832" i="8" s="1"/>
  <c r="F4832" i="8"/>
  <c r="H1347" i="8"/>
  <c r="I1347" i="8" s="1"/>
  <c r="F1347" i="8"/>
  <c r="H578" i="8"/>
  <c r="I578" i="8" s="1"/>
  <c r="F578" i="8"/>
  <c r="H4028" i="8"/>
  <c r="I4028" i="8" s="1"/>
  <c r="F4028" i="8"/>
  <c r="H173" i="8"/>
  <c r="I173" i="8" s="1"/>
  <c r="F173" i="8"/>
  <c r="H931" i="8"/>
  <c r="F931" i="8"/>
  <c r="I931" i="8"/>
  <c r="H410" i="8"/>
  <c r="I410" i="8" s="1"/>
  <c r="F410" i="8"/>
  <c r="H2910" i="8"/>
  <c r="I2910" i="8" s="1"/>
  <c r="F2910" i="8"/>
  <c r="H1129" i="8"/>
  <c r="I1129" i="8" s="1"/>
  <c r="F1129" i="8"/>
  <c r="F2608" i="8"/>
  <c r="H2608" i="8"/>
  <c r="I2608" i="8" s="1"/>
  <c r="H473" i="8"/>
  <c r="I473" i="8" s="1"/>
  <c r="F473" i="8"/>
  <c r="H3496" i="8"/>
  <c r="I3496" i="8" s="1"/>
  <c r="F3496" i="8"/>
  <c r="H924" i="8"/>
  <c r="I924" i="8" s="1"/>
  <c r="F924" i="8"/>
  <c r="H3303" i="8"/>
  <c r="I3303" i="8" s="1"/>
  <c r="F3303" i="8"/>
  <c r="H4429" i="8"/>
  <c r="I4429" i="8" s="1"/>
  <c r="F4429" i="8"/>
  <c r="H3963" i="8"/>
  <c r="I3963" i="8" s="1"/>
  <c r="F3963" i="8"/>
  <c r="H4002" i="8"/>
  <c r="I4002" i="8" s="1"/>
  <c r="F4002" i="8"/>
  <c r="H1906" i="8"/>
  <c r="I1906" i="8" s="1"/>
  <c r="F1906" i="8"/>
  <c r="H4269" i="8"/>
  <c r="I4269" i="8" s="1"/>
  <c r="F4269" i="8"/>
  <c r="H150" i="8"/>
  <c r="I150" i="8" s="1"/>
  <c r="F150" i="8"/>
  <c r="G9779" i="5"/>
  <c r="H238" i="8"/>
  <c r="I238" i="8" s="1"/>
  <c r="F238" i="8"/>
  <c r="H4301" i="8"/>
  <c r="I4301" i="8" s="1"/>
  <c r="F4301" i="8"/>
  <c r="H4303" i="8"/>
  <c r="I4303" i="8" s="1"/>
  <c r="F4303" i="8"/>
  <c r="H4755" i="8"/>
  <c r="I4755" i="8" s="1"/>
  <c r="F4755" i="8"/>
  <c r="H3094" i="8"/>
  <c r="I3094" i="8" s="1"/>
  <c r="F3094" i="8"/>
  <c r="H2895" i="8"/>
  <c r="I2895" i="8" s="1"/>
  <c r="F2895" i="8"/>
  <c r="H1607" i="8"/>
  <c r="I1607" i="8" s="1"/>
  <c r="F1607" i="8"/>
  <c r="H854" i="8"/>
  <c r="I854" i="8" s="1"/>
  <c r="F854" i="8"/>
  <c r="F3117" i="8"/>
  <c r="H3117" i="8"/>
  <c r="I3117" i="8" s="1"/>
  <c r="H3998" i="8"/>
  <c r="I3998" i="8" s="1"/>
  <c r="F3998" i="8"/>
  <c r="H4045" i="8"/>
  <c r="I4045" i="8" s="1"/>
  <c r="F4045" i="8"/>
  <c r="F2747" i="8"/>
  <c r="H2747" i="8"/>
  <c r="I2747" i="8" s="1"/>
  <c r="H4282" i="8"/>
  <c r="I4282" i="8" s="1"/>
  <c r="F4282" i="8"/>
  <c r="H4309" i="8"/>
  <c r="I4309" i="8" s="1"/>
  <c r="F4309" i="8"/>
  <c r="H4102" i="8"/>
  <c r="I4102" i="8" s="1"/>
  <c r="F4102" i="8"/>
  <c r="F1953" i="8"/>
  <c r="H1953" i="8"/>
  <c r="I1953" i="8" s="1"/>
  <c r="H1147" i="8"/>
  <c r="I1147" i="8" s="1"/>
  <c r="F1147" i="8"/>
  <c r="H4837" i="8"/>
  <c r="I4837" i="8" s="1"/>
  <c r="F4837" i="8"/>
  <c r="H820" i="8"/>
  <c r="I820" i="8" s="1"/>
  <c r="F820" i="8"/>
  <c r="H4063" i="8"/>
  <c r="I4063" i="8" s="1"/>
  <c r="F4063" i="8"/>
  <c r="H720" i="8"/>
  <c r="F720" i="8"/>
  <c r="I720" i="8"/>
  <c r="H3869" i="8"/>
  <c r="I3869" i="8" s="1"/>
  <c r="F3869" i="8"/>
  <c r="H4438" i="8"/>
  <c r="I4438" i="8" s="1"/>
  <c r="F4438" i="8"/>
  <c r="H4675" i="8"/>
  <c r="I4675" i="8" s="1"/>
  <c r="F4675" i="8"/>
  <c r="H1137" i="8"/>
  <c r="I1137" i="8" s="1"/>
  <c r="F1137" i="8"/>
  <c r="H4034" i="8"/>
  <c r="I4034" i="8" s="1"/>
  <c r="F4034" i="8"/>
  <c r="H3418" i="8"/>
  <c r="I3418" i="8" s="1"/>
  <c r="F3418" i="8"/>
  <c r="H2290" i="8"/>
  <c r="I2290" i="8" s="1"/>
  <c r="F2290" i="8"/>
  <c r="H3379" i="8"/>
  <c r="I3379" i="8" s="1"/>
  <c r="F3379" i="8"/>
  <c r="H3426" i="8"/>
  <c r="I3426" i="8" s="1"/>
  <c r="F3426" i="8"/>
  <c r="G11390" i="5"/>
  <c r="H913" i="8"/>
  <c r="I913" i="8" s="1"/>
  <c r="F913" i="8"/>
  <c r="H3423" i="8"/>
  <c r="I3423" i="8" s="1"/>
  <c r="F3423" i="8"/>
  <c r="H1866" i="8"/>
  <c r="I1866" i="8" s="1"/>
  <c r="F1866" i="8"/>
  <c r="H716" i="8"/>
  <c r="I716" i="8" s="1"/>
  <c r="F716" i="8"/>
  <c r="H1954" i="8"/>
  <c r="I1954" i="8" s="1"/>
  <c r="F1954" i="8"/>
  <c r="H1124" i="8"/>
  <c r="I1124" i="8" s="1"/>
  <c r="F1124" i="8"/>
  <c r="H496" i="8"/>
  <c r="I496" i="8" s="1"/>
  <c r="F496" i="8"/>
  <c r="H1273" i="8"/>
  <c r="I1273" i="8" s="1"/>
  <c r="F1273" i="8"/>
  <c r="F1120" i="8"/>
  <c r="H1120" i="8"/>
  <c r="I1120" i="8" s="1"/>
  <c r="H354" i="8"/>
  <c r="I354" i="8" s="1"/>
  <c r="F354" i="8"/>
  <c r="H54" i="8"/>
  <c r="I54" i="8" s="1"/>
  <c r="F54" i="8"/>
  <c r="H2087" i="8"/>
  <c r="I2087" i="8" s="1"/>
  <c r="F2087" i="8"/>
  <c r="H416" i="8"/>
  <c r="I416" i="8" s="1"/>
  <c r="F416" i="8"/>
  <c r="I1892" i="8"/>
  <c r="H1892" i="8"/>
  <c r="F1892" i="8"/>
  <c r="H1094" i="8"/>
  <c r="I1094" i="8" s="1"/>
  <c r="F1094" i="8"/>
  <c r="F2088" i="8"/>
  <c r="H2088" i="8"/>
  <c r="I2088" i="8" s="1"/>
  <c r="H1065" i="8"/>
  <c r="I1065" i="8" s="1"/>
  <c r="F1065" i="8"/>
  <c r="H1834" i="8"/>
  <c r="I1834" i="8" s="1"/>
  <c r="F1834" i="8"/>
  <c r="H4047" i="8"/>
  <c r="I4047" i="8" s="1"/>
  <c r="F4047" i="8"/>
  <c r="H1868" i="8"/>
  <c r="I1868" i="8" s="1"/>
  <c r="F1868" i="8"/>
  <c r="H581" i="8"/>
  <c r="I581" i="8" s="1"/>
  <c r="F581" i="8"/>
  <c r="H4345" i="8"/>
  <c r="I4345" i="8" s="1"/>
  <c r="F4345" i="8"/>
  <c r="H4619" i="8"/>
  <c r="I4619" i="8" s="1"/>
  <c r="F4619" i="8"/>
  <c r="F1933" i="8"/>
  <c r="H1933" i="8"/>
  <c r="I1933" i="8" s="1"/>
  <c r="H3466" i="8"/>
  <c r="I3466" i="8" s="1"/>
  <c r="F3466" i="8"/>
  <c r="H268" i="8"/>
  <c r="I268" i="8" s="1"/>
  <c r="F268" i="8"/>
  <c r="H1572" i="8"/>
  <c r="I1572" i="8" s="1"/>
  <c r="F1572" i="8"/>
  <c r="H3986" i="8"/>
  <c r="I3986" i="8" s="1"/>
  <c r="F3986" i="8"/>
  <c r="H1278" i="8"/>
  <c r="I1278" i="8" s="1"/>
  <c r="F1278" i="8"/>
  <c r="H4043" i="8"/>
  <c r="I4043" i="8" s="1"/>
  <c r="F4043" i="8"/>
  <c r="H1357" i="8"/>
  <c r="I1357" i="8" s="1"/>
  <c r="F1357" i="8"/>
  <c r="H4483" i="8"/>
  <c r="I4483" i="8" s="1"/>
  <c r="F4483" i="8"/>
  <c r="H1577" i="8"/>
  <c r="I1577" i="8" s="1"/>
  <c r="F1577" i="8"/>
  <c r="H4077" i="8"/>
  <c r="I4077" i="8" s="1"/>
  <c r="F4077" i="8"/>
  <c r="H4333" i="8"/>
  <c r="I4333" i="8" s="1"/>
  <c r="F4333" i="8"/>
  <c r="H4855" i="8"/>
  <c r="I4855" i="8" s="1"/>
  <c r="F4855" i="8"/>
  <c r="H4329" i="8"/>
  <c r="I4329" i="8" s="1"/>
  <c r="F4329" i="8"/>
  <c r="H4625" i="8"/>
  <c r="I4625" i="8" s="1"/>
  <c r="F4625" i="8"/>
  <c r="H4302" i="8"/>
  <c r="I4302" i="8" s="1"/>
  <c r="F4302" i="8"/>
  <c r="H1219" i="8"/>
  <c r="I1219" i="8" s="1"/>
  <c r="F1219" i="8"/>
  <c r="H4403" i="8"/>
  <c r="I4403" i="8" s="1"/>
  <c r="F4403" i="8"/>
  <c r="H2884" i="8"/>
  <c r="I2884" i="8" s="1"/>
  <c r="F2884" i="8"/>
  <c r="H134" i="8"/>
  <c r="I134" i="8" s="1"/>
  <c r="F134" i="8"/>
  <c r="H4353" i="8"/>
  <c r="I4353" i="8" s="1"/>
  <c r="F4353" i="8"/>
  <c r="H3363" i="8"/>
  <c r="I3363" i="8" s="1"/>
  <c r="F3363" i="8"/>
  <c r="H4080" i="8"/>
  <c r="I4080" i="8" s="1"/>
  <c r="F4080" i="8"/>
  <c r="H364" i="8"/>
  <c r="I364" i="8" s="1"/>
  <c r="F364" i="8"/>
  <c r="G7486" i="5" l="1"/>
  <c r="H229" i="8"/>
  <c r="I229" i="8" s="1"/>
  <c r="F229" i="8"/>
  <c r="G7479" i="5"/>
  <c r="G3494" i="5"/>
  <c r="H337" i="8"/>
  <c r="I337" i="8" s="1"/>
  <c r="F337" i="8"/>
  <c r="H128" i="8"/>
  <c r="I128" i="8" s="1"/>
  <c r="F128" i="8"/>
  <c r="G8526" i="5"/>
  <c r="H969" i="8"/>
  <c r="I969" i="8" s="1"/>
  <c r="F969" i="8"/>
  <c r="H200" i="8"/>
  <c r="I200" i="8" s="1"/>
  <c r="F200" i="8"/>
  <c r="H994" i="8"/>
  <c r="I994" i="8" s="1"/>
  <c r="F994" i="8"/>
  <c r="H4749" i="8"/>
  <c r="I4749" i="8" s="1"/>
  <c r="F4749" i="8"/>
  <c r="G427" i="5"/>
  <c r="H4639" i="8"/>
  <c r="I4639" i="8" s="1"/>
  <c r="F4639" i="8"/>
  <c r="H117" i="8"/>
  <c r="I117" i="8" s="1"/>
  <c r="F117" i="8"/>
  <c r="H113" i="8"/>
  <c r="I113" i="8" s="1"/>
  <c r="F113" i="8"/>
  <c r="H340" i="8"/>
  <c r="I340" i="8" s="1"/>
  <c r="F340" i="8"/>
  <c r="G6648" i="5"/>
  <c r="H1266" i="8"/>
  <c r="I1266" i="8" s="1"/>
  <c r="F1266" i="8"/>
  <c r="H1353" i="8"/>
  <c r="I1353" i="8" s="1"/>
  <c r="F1353" i="8"/>
  <c r="H190" i="8"/>
  <c r="I190" i="8" s="1"/>
  <c r="F190" i="8"/>
  <c r="H3476" i="8"/>
  <c r="I3476" i="8" s="1"/>
  <c r="F3476" i="8"/>
  <c r="H4841" i="8"/>
  <c r="I4841" i="8" s="1"/>
  <c r="F4841" i="8"/>
  <c r="G3527" i="5"/>
  <c r="H11387" i="5"/>
  <c r="E4724" i="8" s="1"/>
  <c r="G6480" i="5"/>
  <c r="H6460" i="5"/>
  <c r="E2614" i="8" s="1"/>
  <c r="G10819" i="5"/>
  <c r="H1134" i="8"/>
  <c r="I1134" i="8" s="1"/>
  <c r="F1134" i="8"/>
  <c r="F524" i="6"/>
  <c r="G522" i="6" s="1"/>
  <c r="G63" i="6"/>
  <c r="H3568" i="8"/>
  <c r="I3568" i="8" s="1"/>
  <c r="F3568" i="8"/>
  <c r="G547" i="5"/>
  <c r="G5419" i="5"/>
  <c r="H261" i="8"/>
  <c r="I261" i="8" s="1"/>
  <c r="F261" i="8"/>
  <c r="G6377" i="5"/>
  <c r="H1180" i="8"/>
  <c r="I1180" i="8" s="1"/>
  <c r="F1180" i="8"/>
  <c r="H207" i="8"/>
  <c r="I207" i="8" s="1"/>
  <c r="F207" i="8"/>
  <c r="G5398" i="5"/>
  <c r="G6483" i="5"/>
  <c r="G5585" i="5"/>
  <c r="H6426" i="5"/>
  <c r="E2609" i="8" s="1"/>
  <c r="H9775" i="5"/>
  <c r="E4265" i="8" s="1"/>
  <c r="H1356" i="8"/>
  <c r="I1356" i="8" s="1"/>
  <c r="F1356" i="8"/>
  <c r="H4846" i="8"/>
  <c r="I4846" i="8" s="1"/>
  <c r="F4846" i="8"/>
  <c r="G4564" i="5"/>
  <c r="H333" i="8"/>
  <c r="I333" i="8" s="1"/>
  <c r="F333" i="8"/>
  <c r="G7738" i="5"/>
  <c r="G5573" i="5"/>
  <c r="G3640" i="5"/>
  <c r="H180" i="8"/>
  <c r="I180" i="8" s="1"/>
  <c r="F180" i="8"/>
  <c r="F1135" i="8"/>
  <c r="H1135" i="8"/>
  <c r="I1135" i="8" s="1"/>
  <c r="H4225" i="8"/>
  <c r="I4225" i="8" s="1"/>
  <c r="F4225" i="8"/>
  <c r="H1140" i="8"/>
  <c r="I1140" i="8" s="1"/>
  <c r="F1140" i="8"/>
  <c r="G3487" i="5"/>
  <c r="F518" i="6"/>
  <c r="G516" i="6" s="1"/>
  <c r="F1391" i="8"/>
  <c r="H1391" i="8"/>
  <c r="I1391" i="8" s="1"/>
  <c r="G1341" i="5"/>
  <c r="F372" i="6"/>
  <c r="G369" i="6" s="1"/>
  <c r="H209" i="8"/>
  <c r="I209" i="8" s="1"/>
  <c r="F209" i="8"/>
  <c r="G7414" i="5"/>
  <c r="F3269" i="8"/>
  <c r="H3269" i="8"/>
  <c r="I3269" i="8" s="1"/>
  <c r="H206" i="8"/>
  <c r="I206" i="8" s="1"/>
  <c r="F206" i="8"/>
  <c r="H230" i="8"/>
  <c r="I230" i="8" s="1"/>
  <c r="F230" i="8"/>
  <c r="H231" i="8"/>
  <c r="I231" i="8" s="1"/>
  <c r="F231" i="8"/>
  <c r="G6634" i="5"/>
  <c r="G4612" i="5"/>
  <c r="H1355" i="8"/>
  <c r="I1355" i="8" s="1"/>
  <c r="F1355" i="8"/>
  <c r="H979" i="8"/>
  <c r="I979" i="8" s="1"/>
  <c r="F979" i="8"/>
  <c r="G11919" i="5"/>
  <c r="G10831" i="5"/>
  <c r="G6495" i="5"/>
  <c r="H4230" i="8"/>
  <c r="I4230" i="8" s="1"/>
  <c r="F4230" i="8"/>
  <c r="H3172" i="8"/>
  <c r="I3172" i="8" s="1"/>
  <c r="F3172" i="8"/>
  <c r="H189" i="8"/>
  <c r="I189" i="8" s="1"/>
  <c r="F189" i="8"/>
  <c r="G11365" i="5"/>
  <c r="H4727" i="8"/>
  <c r="I4727" i="8" s="1"/>
  <c r="F4727" i="8"/>
  <c r="H4577" i="8"/>
  <c r="I4577" i="8" s="1"/>
  <c r="F4577" i="8"/>
  <c r="G7799" i="5"/>
  <c r="F363" i="6"/>
  <c r="G363" i="6" s="1"/>
  <c r="G3573" i="5"/>
  <c r="H932" i="8"/>
  <c r="I932" i="8" s="1"/>
  <c r="F932" i="8"/>
  <c r="H188" i="8"/>
  <c r="I188" i="8" s="1"/>
  <c r="F188" i="8"/>
  <c r="H186" i="8"/>
  <c r="I186" i="8" s="1"/>
  <c r="F186" i="8"/>
  <c r="G442" i="5"/>
  <c r="H224" i="8"/>
  <c r="I224" i="8" s="1"/>
  <c r="F224" i="8"/>
  <c r="H973" i="8"/>
  <c r="I973" i="8" s="1"/>
  <c r="F973" i="8"/>
  <c r="H2607" i="8"/>
  <c r="I2607" i="8" s="1"/>
  <c r="F2607" i="8"/>
  <c r="G3814" i="5"/>
  <c r="H3989" i="5"/>
  <c r="E1070" i="8" s="1"/>
  <c r="G8495" i="5"/>
  <c r="H396" i="5"/>
  <c r="E91" i="8" s="1"/>
  <c r="G430" i="5"/>
  <c r="H106" i="8"/>
  <c r="I106" i="8" s="1"/>
  <c r="F106" i="8"/>
  <c r="F1336" i="8"/>
  <c r="H1336" i="8"/>
  <c r="I1336" i="8" s="1"/>
  <c r="G5588" i="5"/>
  <c r="H3270" i="8"/>
  <c r="I3270" i="8" s="1"/>
  <c r="F3270" i="8"/>
  <c r="H343" i="8"/>
  <c r="I343" i="8" s="1"/>
  <c r="F343" i="8"/>
  <c r="H217" i="8"/>
  <c r="I217" i="8" s="1"/>
  <c r="F217" i="8"/>
  <c r="H1322" i="8"/>
  <c r="I1322" i="8" s="1"/>
  <c r="F1322" i="8"/>
  <c r="G1354" i="5"/>
  <c r="G5590" i="5"/>
  <c r="G6527" i="5"/>
  <c r="G3549" i="5"/>
  <c r="H4217" i="8"/>
  <c r="I4217" i="8" s="1"/>
  <c r="F4217" i="8"/>
  <c r="H3536" i="8"/>
  <c r="I3536" i="8" s="1"/>
  <c r="F3536" i="8"/>
  <c r="H3567" i="8"/>
  <c r="I3567" i="8" s="1"/>
  <c r="F3567" i="8"/>
  <c r="H336" i="8"/>
  <c r="I336" i="8" s="1"/>
  <c r="F336" i="8"/>
  <c r="H4839" i="8"/>
  <c r="I4839" i="8" s="1"/>
  <c r="F4839" i="8"/>
  <c r="H334" i="8"/>
  <c r="I334" i="8" s="1"/>
  <c r="F334" i="8"/>
  <c r="H203" i="8"/>
  <c r="I203" i="8" s="1"/>
  <c r="F203" i="8"/>
  <c r="H335" i="8"/>
  <c r="I335" i="8" s="1"/>
  <c r="F335" i="8"/>
  <c r="G7685" i="5"/>
  <c r="G4604" i="5"/>
  <c r="H228" i="8"/>
  <c r="I228" i="8" s="1"/>
  <c r="F228" i="8"/>
  <c r="H4648" i="8"/>
  <c r="I4648" i="8" s="1"/>
  <c r="F4648" i="8"/>
  <c r="G3598" i="5"/>
  <c r="G4631" i="5"/>
  <c r="G1794" i="5"/>
  <c r="G5393" i="5"/>
  <c r="H210" i="8"/>
  <c r="I210" i="8" s="1"/>
  <c r="F210" i="8"/>
  <c r="H3218" i="8"/>
  <c r="I3218" i="8" s="1"/>
  <c r="F3218" i="8"/>
  <c r="G10882" i="5"/>
  <c r="H971" i="8"/>
  <c r="I971" i="8" s="1"/>
  <c r="F971" i="8"/>
  <c r="H338" i="8"/>
  <c r="I338" i="8" s="1"/>
  <c r="F338" i="8"/>
  <c r="H136" i="8"/>
  <c r="I136" i="8" s="1"/>
  <c r="F136" i="8"/>
  <c r="G10824" i="5"/>
  <c r="G3918" i="5"/>
  <c r="H4842" i="8"/>
  <c r="I4842" i="8" s="1"/>
  <c r="F4842" i="8"/>
  <c r="H212" i="8"/>
  <c r="I212" i="8" s="1"/>
  <c r="F212" i="8"/>
  <c r="H131" i="8"/>
  <c r="I131" i="8" s="1"/>
  <c r="F131" i="8"/>
  <c r="G3452" i="5"/>
  <c r="H339" i="8"/>
  <c r="I339" i="8" s="1"/>
  <c r="F339" i="8"/>
  <c r="G3798" i="5"/>
  <c r="H1075" i="8"/>
  <c r="I1075" i="8" s="1"/>
  <c r="F1075" i="8"/>
  <c r="G7603" i="5"/>
  <c r="F1168" i="8"/>
  <c r="H1168" i="8"/>
  <c r="I1168" i="8" s="1"/>
  <c r="G4549" i="5"/>
  <c r="H3185" i="8"/>
  <c r="I3185" i="8" s="1"/>
  <c r="F3185" i="8"/>
  <c r="H1257" i="8"/>
  <c r="I1257" i="8" s="1"/>
  <c r="F1257" i="8"/>
  <c r="H4728" i="8"/>
  <c r="I4728" i="8" s="1"/>
  <c r="F4728" i="8"/>
  <c r="H277" i="8"/>
  <c r="I277" i="8" s="1"/>
  <c r="F277" i="8"/>
  <c r="H3583" i="8"/>
  <c r="I3583" i="8" s="1"/>
  <c r="F3583" i="8"/>
  <c r="H4750" i="8"/>
  <c r="I4750" i="8" s="1"/>
  <c r="F4750" i="8"/>
  <c r="G557" i="5"/>
  <c r="G376" i="5"/>
  <c r="G6488" i="5"/>
  <c r="H374" i="8"/>
  <c r="I374" i="8" s="1"/>
  <c r="F374" i="8"/>
  <c r="G3772" i="5"/>
  <c r="G8851" i="5"/>
  <c r="H11394" i="5"/>
  <c r="E4725" i="8" s="1"/>
  <c r="H4475" i="8"/>
  <c r="I4475" i="8" s="1"/>
  <c r="F4475" i="8"/>
  <c r="H4216" i="8"/>
  <c r="I4216" i="8" s="1"/>
  <c r="F4216" i="8"/>
  <c r="H215" i="8"/>
  <c r="I215" i="8" s="1"/>
  <c r="F215" i="8"/>
  <c r="F480" i="6"/>
  <c r="G468" i="6" s="1"/>
  <c r="H341" i="8"/>
  <c r="I341" i="8" s="1"/>
  <c r="F341" i="8"/>
  <c r="G11116" i="5"/>
  <c r="G4636" i="5"/>
  <c r="G5396" i="5"/>
  <c r="H1081" i="8"/>
  <c r="I1081" i="8" s="1"/>
  <c r="F1081" i="8"/>
  <c r="H1354" i="8"/>
  <c r="I1354" i="8" s="1"/>
  <c r="F1354" i="8"/>
  <c r="H1301" i="8"/>
  <c r="I1301" i="8" s="1"/>
  <c r="F1301" i="8"/>
  <c r="H3701" i="5"/>
  <c r="E986" i="8" s="1"/>
  <c r="H240" i="8"/>
  <c r="I240" i="8" s="1"/>
  <c r="F240" i="8"/>
  <c r="H3541" i="8"/>
  <c r="I3541" i="8" s="1"/>
  <c r="F3541" i="8"/>
  <c r="H4576" i="8"/>
  <c r="I4576" i="8" s="1"/>
  <c r="F4576" i="8"/>
  <c r="G7472" i="5"/>
  <c r="G10823" i="5"/>
  <c r="H114" i="8"/>
  <c r="I114" i="8" s="1"/>
  <c r="F114" i="8"/>
  <c r="H1381" i="8"/>
  <c r="I1381" i="8" s="1"/>
  <c r="F1381" i="8"/>
  <c r="H948" i="8"/>
  <c r="I948" i="8" s="1"/>
  <c r="F948" i="8"/>
  <c r="G6641" i="5"/>
  <c r="G5577" i="5"/>
  <c r="H1115" i="8"/>
  <c r="I1115" i="8" s="1"/>
  <c r="F1115" i="8"/>
  <c r="H375" i="8"/>
  <c r="I375" i="8" s="1"/>
  <c r="F375" i="8"/>
  <c r="H191" i="8"/>
  <c r="I191" i="8" s="1"/>
  <c r="F191" i="8"/>
  <c r="H4640" i="8"/>
  <c r="I4640" i="8" s="1"/>
  <c r="F4640" i="8"/>
  <c r="H1292" i="8"/>
  <c r="I1292" i="8" s="1"/>
  <c r="F1292" i="8"/>
  <c r="G4060" i="5"/>
  <c r="G5578" i="5"/>
  <c r="H342" i="8"/>
  <c r="I342" i="8" s="1"/>
  <c r="F342" i="8"/>
  <c r="F1352" i="8"/>
  <c r="H1352" i="8"/>
  <c r="I1352" i="8" s="1"/>
  <c r="H1331" i="8"/>
  <c r="I1331" i="8" s="1"/>
  <c r="F1331" i="8"/>
  <c r="H8714" i="5"/>
  <c r="E3549" i="8" s="1"/>
  <c r="G6401" i="5"/>
  <c r="G3538" i="5"/>
  <c r="F1288" i="8"/>
  <c r="H1288" i="8"/>
  <c r="I1288" i="8" s="1"/>
  <c r="G275" i="5"/>
  <c r="H271" i="5" l="1"/>
  <c r="E79" i="8" s="1"/>
  <c r="H4635" i="5"/>
  <c r="E1162" i="8" s="1"/>
  <c r="H8851" i="5"/>
  <c r="E3580" i="8" s="1"/>
  <c r="H4544" i="5"/>
  <c r="E1152" i="8" s="1"/>
  <c r="H3793" i="5"/>
  <c r="E999" i="8" s="1"/>
  <c r="H3451" i="5"/>
  <c r="E951" i="8" s="1"/>
  <c r="H4059" i="5"/>
  <c r="E1079" i="8" s="1"/>
  <c r="H1121" i="8"/>
  <c r="I1121" i="8" s="1"/>
  <c r="F1121" i="8"/>
  <c r="H3543" i="8"/>
  <c r="I3543" i="8" s="1"/>
  <c r="F3543" i="8"/>
  <c r="H4231" i="8"/>
  <c r="I4231" i="8" s="1"/>
  <c r="F4231" i="8"/>
  <c r="H4836" i="8"/>
  <c r="I4836" i="8" s="1"/>
  <c r="F4836" i="8"/>
  <c r="H4610" i="5"/>
  <c r="E1158" i="8" s="1"/>
  <c r="H3486" i="5"/>
  <c r="E959" i="8" s="1"/>
  <c r="H3559" i="8"/>
  <c r="I3559" i="8" s="1"/>
  <c r="F3559" i="8"/>
  <c r="H6647" i="5"/>
  <c r="E2715" i="8" s="1"/>
  <c r="H381" i="8"/>
  <c r="I381" i="8" s="1"/>
  <c r="F381" i="8"/>
  <c r="H860" i="8"/>
  <c r="I860" i="8" s="1"/>
  <c r="F860" i="8"/>
  <c r="H4601" i="8"/>
  <c r="I4601" i="8" s="1"/>
  <c r="F4601" i="8"/>
  <c r="H1173" i="8"/>
  <c r="I1173" i="8" s="1"/>
  <c r="F1173" i="8"/>
  <c r="H4665" i="8"/>
  <c r="I4665" i="8" s="1"/>
  <c r="F4665" i="8"/>
  <c r="H893" i="8"/>
  <c r="I893" i="8" s="1"/>
  <c r="F893" i="8"/>
  <c r="H7602" i="5"/>
  <c r="E3253" i="8" s="1"/>
  <c r="H273" i="8"/>
  <c r="I273" i="8" s="1"/>
  <c r="F273" i="8"/>
  <c r="H1185" i="8"/>
  <c r="I1185" i="8" s="1"/>
  <c r="F1185" i="8"/>
  <c r="H909" i="8"/>
  <c r="I909" i="8" s="1"/>
  <c r="F909" i="8"/>
  <c r="H4667" i="8"/>
  <c r="I4667" i="8" s="1"/>
  <c r="F4667" i="8"/>
  <c r="H3563" i="5"/>
  <c r="E970" i="8" s="1"/>
  <c r="H7798" i="5"/>
  <c r="E3286" i="8" s="1"/>
  <c r="H11365" i="5"/>
  <c r="E4708" i="8" s="1"/>
  <c r="H10828" i="5"/>
  <c r="E4599" i="8" s="1"/>
  <c r="H1339" i="5"/>
  <c r="E232" i="8" s="1"/>
  <c r="H4559" i="5"/>
  <c r="E1153" i="8" s="1"/>
  <c r="H547" i="5"/>
  <c r="E110" i="8" s="1"/>
  <c r="H8525" i="5"/>
  <c r="E3491" i="8" s="1"/>
  <c r="H373" i="5"/>
  <c r="E89" i="8" s="1"/>
  <c r="H1793" i="5"/>
  <c r="E290" i="8" s="1"/>
  <c r="H4626" i="5"/>
  <c r="E1161" i="8" s="1"/>
  <c r="H1352" i="5"/>
  <c r="E234" i="8" s="1"/>
  <c r="H912" i="8"/>
  <c r="I912" i="8" s="1"/>
  <c r="F912" i="8"/>
  <c r="H889" i="8"/>
  <c r="I889" i="8" s="1"/>
  <c r="F889" i="8"/>
  <c r="H868" i="8"/>
  <c r="I868" i="8" s="1"/>
  <c r="F868" i="8"/>
  <c r="H6377" i="5"/>
  <c r="E2602" i="8" s="1"/>
  <c r="H4594" i="8"/>
  <c r="I4594" i="8" s="1"/>
  <c r="F4594" i="8"/>
  <c r="H305" i="8"/>
  <c r="I305" i="8" s="1"/>
  <c r="F305" i="8"/>
  <c r="H376" i="8"/>
  <c r="I376" i="8" s="1"/>
  <c r="F376" i="8"/>
  <c r="H424" i="5"/>
  <c r="E94" i="8" s="1"/>
  <c r="H575" i="8"/>
  <c r="I575" i="8" s="1"/>
  <c r="F575" i="8"/>
  <c r="H4805" i="8"/>
  <c r="I4805" i="8" s="1"/>
  <c r="F4805" i="8"/>
  <c r="H555" i="5"/>
  <c r="E111" i="8" s="1"/>
  <c r="H869" i="8"/>
  <c r="I869" i="8" s="1"/>
  <c r="F869" i="8"/>
  <c r="H4218" i="8"/>
  <c r="I4218" i="8" s="1"/>
  <c r="F4218" i="8"/>
  <c r="H4641" i="8"/>
  <c r="I4641" i="8" s="1"/>
  <c r="F4641" i="8"/>
  <c r="H226" i="8"/>
  <c r="I226" i="8" s="1"/>
  <c r="F226" i="8"/>
  <c r="H8487" i="5"/>
  <c r="E3483" i="8" s="1"/>
  <c r="H442" i="5"/>
  <c r="E96" i="8" s="1"/>
  <c r="H6494" i="5"/>
  <c r="E2616" i="8" s="1"/>
  <c r="H3588" i="5"/>
  <c r="E972" i="8" s="1"/>
  <c r="H147" i="8"/>
  <c r="I147" i="8" s="1"/>
  <c r="F147" i="8"/>
  <c r="H1163" i="8"/>
  <c r="I1163" i="8" s="1"/>
  <c r="F1163" i="8"/>
  <c r="H384" i="8"/>
  <c r="I384" i="8" s="1"/>
  <c r="F384" i="8"/>
  <c r="H7414" i="5"/>
  <c r="E3136" i="8" s="1"/>
  <c r="H7737" i="5"/>
  <c r="E3279" i="8" s="1"/>
  <c r="H2622" i="8"/>
  <c r="I2622" i="8" s="1"/>
  <c r="F2622" i="8"/>
  <c r="H1277" i="8"/>
  <c r="I1277" i="8" s="1"/>
  <c r="F1277" i="8"/>
  <c r="H4252" i="8"/>
  <c r="I4252" i="8" s="1"/>
  <c r="F4252" i="8"/>
  <c r="H5416" i="5"/>
  <c r="E1344" i="8" s="1"/>
  <c r="H861" i="8"/>
  <c r="I861" i="8" s="1"/>
  <c r="F861" i="8"/>
  <c r="H3493" i="5"/>
  <c r="E960" i="8" s="1"/>
  <c r="H170" i="8"/>
  <c r="I170" i="8" s="1"/>
  <c r="F170" i="8"/>
  <c r="F1320" i="8"/>
  <c r="H1320" i="8"/>
  <c r="I1320" i="8" s="1"/>
  <c r="H197" i="8"/>
  <c r="I197" i="8" s="1"/>
  <c r="F197" i="8"/>
  <c r="H116" i="8"/>
  <c r="I116" i="8" s="1"/>
  <c r="F116" i="8"/>
  <c r="H1290" i="8"/>
  <c r="I1290" i="8" s="1"/>
  <c r="F1290" i="8"/>
  <c r="H3916" i="5"/>
  <c r="E1059" i="8" s="1"/>
  <c r="H10882" i="5"/>
  <c r="E4611" i="8" s="1"/>
  <c r="H3164" i="8"/>
  <c r="I3164" i="8" s="1"/>
  <c r="F3164" i="8"/>
  <c r="H4843" i="8"/>
  <c r="I4843" i="8" s="1"/>
  <c r="F4843" i="8"/>
  <c r="H3271" i="8"/>
  <c r="I3271" i="8" s="1"/>
  <c r="F3271" i="8"/>
  <c r="H4602" i="5"/>
  <c r="E1157" i="8" s="1"/>
  <c r="H3544" i="5"/>
  <c r="E968" i="8" s="1"/>
  <c r="H4762" i="8"/>
  <c r="I4762" i="8" s="1"/>
  <c r="F4762" i="8"/>
  <c r="H11918" i="5"/>
  <c r="E4847" i="8" s="1"/>
  <c r="H3523" i="5"/>
  <c r="E966" i="8" s="1"/>
  <c r="H1182" i="8"/>
  <c r="I1182" i="8" s="1"/>
  <c r="F1182" i="8"/>
  <c r="H3808" i="5"/>
  <c r="E1016" i="8" s="1"/>
  <c r="H1260" i="8"/>
  <c r="I1260" i="8" s="1"/>
  <c r="F1260" i="8"/>
  <c r="H1337" i="8"/>
  <c r="I1337" i="8" s="1"/>
  <c r="F1337" i="8"/>
  <c r="H87" i="8"/>
  <c r="I87" i="8" s="1"/>
  <c r="F87" i="8"/>
  <c r="H6633" i="5"/>
  <c r="E2710" i="8" s="1"/>
  <c r="H1067" i="8"/>
  <c r="I1067" i="8" s="1"/>
  <c r="F1067" i="8"/>
  <c r="H4807" i="8"/>
  <c r="I4807" i="8" s="1"/>
  <c r="F4807" i="8"/>
  <c r="H892" i="8"/>
  <c r="I892" i="8" s="1"/>
  <c r="F892" i="8"/>
  <c r="H573" i="8"/>
  <c r="I573" i="8" s="1"/>
  <c r="F573" i="8"/>
  <c r="H896" i="8"/>
  <c r="I896" i="8" s="1"/>
  <c r="F896" i="8"/>
  <c r="H266" i="8"/>
  <c r="I266" i="8" s="1"/>
  <c r="F266" i="8"/>
  <c r="H7478" i="5"/>
  <c r="E3216" i="8" s="1"/>
  <c r="H7485" i="5"/>
  <c r="E3217" i="8" s="1"/>
  <c r="H1291" i="8"/>
  <c r="I1291" i="8" s="1"/>
  <c r="F1291" i="8"/>
  <c r="H3533" i="5"/>
  <c r="E967" i="8" s="1"/>
  <c r="H7471" i="5"/>
  <c r="E3215" i="8" s="1"/>
  <c r="H6398" i="5"/>
  <c r="E2605" i="8" s="1"/>
  <c r="H6640" i="5"/>
  <c r="E2714" i="8" s="1"/>
  <c r="H11115" i="5"/>
  <c r="E4651" i="8" s="1"/>
  <c r="H997" i="8"/>
  <c r="I997" i="8" s="1"/>
  <c r="F997" i="8"/>
  <c r="H877" i="8"/>
  <c r="I877" i="8" s="1"/>
  <c r="F877" i="8"/>
  <c r="H3768" i="5"/>
  <c r="E996" i="8" s="1"/>
  <c r="H890" i="8"/>
  <c r="I890" i="8" s="1"/>
  <c r="F890" i="8"/>
  <c r="H865" i="8"/>
  <c r="I865" i="8" s="1"/>
  <c r="F865" i="8"/>
  <c r="H574" i="8"/>
  <c r="I574" i="8" s="1"/>
  <c r="F574" i="8"/>
  <c r="H7684" i="5"/>
  <c r="E3265" i="8" s="1"/>
  <c r="H6518" i="5"/>
  <c r="E2619" i="8" s="1"/>
  <c r="H3631" i="5"/>
  <c r="E976" i="8" s="1"/>
  <c r="H943" i="8" l="1"/>
  <c r="I943" i="8" s="1"/>
  <c r="F943" i="8"/>
  <c r="H320" i="8"/>
  <c r="I320" i="8" s="1"/>
  <c r="F320" i="8"/>
  <c r="H2611" i="8"/>
  <c r="I2611" i="8" s="1"/>
  <c r="F2611" i="8"/>
  <c r="F1263" i="8"/>
  <c r="H1263" i="8"/>
  <c r="I1263" i="8" s="1"/>
  <c r="G6484" i="5"/>
  <c r="H3490" i="8"/>
  <c r="I3490" i="8" s="1"/>
  <c r="F3490" i="8"/>
  <c r="H1164" i="8"/>
  <c r="I1164" i="8" s="1"/>
  <c r="F1164" i="8"/>
  <c r="H907" i="8"/>
  <c r="I907" i="8" s="1"/>
  <c r="F907" i="8"/>
  <c r="H1246" i="8"/>
  <c r="I1246" i="8" s="1"/>
  <c r="F1246" i="8"/>
  <c r="F1247" i="8"/>
  <c r="H1247" i="8"/>
  <c r="I1247" i="8" s="1"/>
  <c r="H4638" i="8"/>
  <c r="I4638" i="8" s="1"/>
  <c r="F4638" i="8"/>
  <c r="H908" i="8"/>
  <c r="I908" i="8" s="1"/>
  <c r="F908" i="8"/>
  <c r="H300" i="8"/>
  <c r="I300" i="8" s="1"/>
  <c r="F300" i="8"/>
  <c r="H255" i="8"/>
  <c r="I255" i="8" s="1"/>
  <c r="F255" i="8"/>
  <c r="H864" i="8"/>
  <c r="I864" i="8" s="1"/>
  <c r="F864" i="8"/>
  <c r="F3213" i="8"/>
  <c r="H3213" i="8"/>
  <c r="I3213" i="8" s="1"/>
  <c r="H1245" i="8"/>
  <c r="I1245" i="8" s="1"/>
  <c r="F1245" i="8"/>
  <c r="F3261" i="8"/>
  <c r="H3261" i="8"/>
  <c r="I3261" i="8" s="1"/>
  <c r="H9" i="8"/>
  <c r="I9" i="8" s="1"/>
  <c r="I4884" i="8" s="1"/>
  <c r="F9" i="8"/>
  <c r="I4883" i="8" s="1"/>
  <c r="H862" i="8"/>
  <c r="I862" i="8" s="1"/>
  <c r="F862" i="8"/>
  <c r="H863" i="8"/>
  <c r="I863" i="8" s="1"/>
  <c r="F863" i="8"/>
  <c r="H1058" i="8"/>
  <c r="I1058" i="8" s="1"/>
  <c r="F1058" i="8"/>
  <c r="H4825" i="8"/>
  <c r="I4825" i="8" s="1"/>
  <c r="F4825" i="8"/>
  <c r="H95" i="8"/>
  <c r="I95" i="8" s="1"/>
  <c r="F95" i="8"/>
  <c r="H144" i="8"/>
  <c r="I144" i="8" s="1"/>
  <c r="F144" i="8"/>
  <c r="H82" i="8"/>
  <c r="I82" i="8" s="1"/>
  <c r="F82" i="8"/>
  <c r="F1264" i="8"/>
  <c r="H1264" i="8"/>
  <c r="I1264" i="8" s="1"/>
  <c r="H902" i="8"/>
  <c r="I902" i="8" s="1"/>
  <c r="F902" i="8"/>
  <c r="H4653" i="8"/>
  <c r="I4653" i="8" s="1"/>
  <c r="F4653" i="8"/>
  <c r="H978" i="8"/>
  <c r="I978" i="8" s="1"/>
  <c r="F978" i="8"/>
  <c r="H921" i="8"/>
  <c r="I921" i="8" s="1"/>
  <c r="F921" i="8"/>
  <c r="H2620" i="8"/>
  <c r="I2620" i="8" s="1"/>
  <c r="F2620" i="8"/>
  <c r="H4852" i="8"/>
  <c r="I4852" i="8" s="1"/>
  <c r="F4852" i="8"/>
  <c r="H4763" i="8"/>
  <c r="I4763" i="8" s="1"/>
  <c r="F4763" i="8"/>
  <c r="H4270" i="8"/>
  <c r="I4270" i="8" s="1"/>
  <c r="F4270" i="8"/>
  <c r="H83" i="8"/>
  <c r="I83" i="8" s="1"/>
  <c r="F83" i="8"/>
  <c r="F2601" i="8"/>
  <c r="H2601" i="8"/>
  <c r="I2601" i="8" s="1"/>
  <c r="H1171" i="8"/>
  <c r="I1171" i="8" s="1"/>
  <c r="F1171" i="8"/>
  <c r="H878" i="8"/>
  <c r="I878" i="8" s="1"/>
  <c r="F878" i="8"/>
  <c r="H4674" i="8"/>
  <c r="I4674" i="8" s="1"/>
  <c r="F4674" i="8"/>
  <c r="H3545" i="8"/>
  <c r="I3545" i="8" s="1"/>
  <c r="F3545" i="8"/>
  <c r="H4659" i="8"/>
  <c r="I4659" i="8" s="1"/>
  <c r="F4659" i="8"/>
  <c r="H4238" i="8"/>
  <c r="I4238" i="8" s="1"/>
  <c r="F4238" i="8"/>
  <c r="H308" i="8"/>
  <c r="I308" i="8" s="1"/>
  <c r="F308" i="8"/>
  <c r="H130" i="8"/>
  <c r="I130" i="8" s="1"/>
  <c r="F130" i="8"/>
  <c r="H922" i="8"/>
  <c r="I922" i="8" s="1"/>
  <c r="F922" i="8"/>
  <c r="H980" i="8"/>
  <c r="I980" i="8" s="1"/>
  <c r="F980" i="8"/>
  <c r="H3560" i="8"/>
  <c r="I3560" i="8" s="1"/>
  <c r="F3560" i="8"/>
  <c r="H378" i="8"/>
  <c r="I378" i="8" s="1"/>
  <c r="F378" i="8"/>
  <c r="H894" i="8"/>
  <c r="I894" i="8" s="1"/>
  <c r="F894" i="8"/>
  <c r="H318" i="8"/>
  <c r="I318" i="8" s="1"/>
  <c r="F318" i="8"/>
  <c r="H1338" i="8"/>
  <c r="I1338" i="8" s="1"/>
  <c r="F1338" i="8"/>
  <c r="H1082" i="8"/>
  <c r="I1082" i="8" s="1"/>
  <c r="F1082" i="8"/>
  <c r="H3561" i="8"/>
  <c r="I3561" i="8" s="1"/>
  <c r="F3561" i="8"/>
  <c r="H86" i="8"/>
  <c r="I86" i="8" s="1"/>
  <c r="F86" i="8"/>
  <c r="G6485" i="5"/>
  <c r="H3627" i="8"/>
  <c r="I3627" i="8" s="1"/>
  <c r="F3627" i="8"/>
  <c r="H904" i="8"/>
  <c r="I904" i="8" s="1"/>
  <c r="F904" i="8"/>
  <c r="H905" i="8"/>
  <c r="I905" i="8" s="1"/>
  <c r="F905" i="8"/>
  <c r="H1265" i="8"/>
  <c r="I1265" i="8" s="1"/>
  <c r="F1265" i="8"/>
  <c r="H301" i="8"/>
  <c r="I301" i="8" s="1"/>
  <c r="F301" i="8"/>
  <c r="H1340" i="8"/>
  <c r="I1340" i="8" s="1"/>
  <c r="F1340" i="8"/>
  <c r="H911" i="8"/>
  <c r="I911" i="8" s="1"/>
  <c r="F911" i="8"/>
  <c r="H903" i="8"/>
  <c r="I903" i="8" s="1"/>
  <c r="F903" i="8"/>
  <c r="H949" i="8"/>
  <c r="I949" i="8" s="1"/>
  <c r="F949" i="8"/>
  <c r="H263" i="8"/>
  <c r="I263" i="8" s="1"/>
  <c r="F263" i="8"/>
  <c r="H1261" i="8"/>
  <c r="I1261" i="8" s="1"/>
  <c r="F1261" i="8"/>
  <c r="G10822" i="5"/>
  <c r="H1100" i="8"/>
  <c r="I1100" i="8" s="1"/>
  <c r="F1100" i="8"/>
  <c r="H898" i="8"/>
  <c r="I898" i="8" s="1"/>
  <c r="F898" i="8"/>
  <c r="H910" i="8"/>
  <c r="I910" i="8" s="1"/>
  <c r="F910" i="8"/>
  <c r="H1395" i="8"/>
  <c r="I1395" i="8" s="1"/>
  <c r="F1395" i="8"/>
  <c r="H1269" i="8"/>
  <c r="I1269" i="8" s="1"/>
  <c r="F1269" i="8"/>
  <c r="H254" i="8"/>
  <c r="I254" i="8" s="1"/>
  <c r="F254" i="8"/>
  <c r="H926" i="8"/>
  <c r="I926" i="8" s="1"/>
  <c r="F926" i="8"/>
  <c r="H4761" i="8"/>
  <c r="I4761" i="8" s="1"/>
  <c r="F4761" i="8"/>
  <c r="H344" i="8"/>
  <c r="I344" i="8" s="1"/>
  <c r="F344" i="8"/>
  <c r="F3280" i="8"/>
  <c r="H3280" i="8"/>
  <c r="I3280" i="8" s="1"/>
  <c r="H4609" i="8"/>
  <c r="I4609" i="8" s="1"/>
  <c r="F4609" i="8"/>
  <c r="H891" i="8"/>
  <c r="I891" i="8" s="1"/>
  <c r="F891" i="8"/>
  <c r="H1085" i="8"/>
  <c r="I1085" i="8" s="1"/>
  <c r="F1085" i="8"/>
  <c r="H879" i="8"/>
  <c r="I879" i="8" s="1"/>
  <c r="F879" i="8"/>
  <c r="H272" i="8"/>
  <c r="I272" i="8" s="1"/>
  <c r="F272" i="8"/>
  <c r="H942" i="8"/>
  <c r="I942" i="8" s="1"/>
  <c r="F942" i="8"/>
  <c r="H157" i="8"/>
  <c r="I157" i="8" s="1"/>
  <c r="F157" i="8"/>
  <c r="H4257" i="8"/>
  <c r="I4257" i="8" s="1"/>
  <c r="F4257" i="8"/>
  <c r="H4840" i="8"/>
  <c r="I4840" i="8" s="1"/>
  <c r="F4840" i="8"/>
  <c r="H3214" i="8"/>
  <c r="I3214" i="8" s="1"/>
  <c r="F3214" i="8"/>
  <c r="H4663" i="8"/>
  <c r="I4663" i="8" s="1"/>
  <c r="F4663" i="8"/>
  <c r="H363" i="8"/>
  <c r="I363" i="8" s="1"/>
  <c r="F363" i="8"/>
  <c r="H906" i="8"/>
  <c r="I906" i="8" s="1"/>
  <c r="F906" i="8"/>
  <c r="H1332" i="8"/>
  <c r="I1332" i="8" s="1"/>
  <c r="F1332" i="8"/>
  <c r="H4645" i="8"/>
  <c r="I4645" i="8" s="1"/>
  <c r="F4645" i="8"/>
  <c r="H4808" i="8"/>
  <c r="I4808" i="8" s="1"/>
  <c r="F4808" i="8"/>
  <c r="H319" i="8"/>
  <c r="I319" i="8" s="1"/>
  <c r="F319" i="8"/>
  <c r="H304" i="8"/>
  <c r="I304" i="8" s="1"/>
  <c r="F304" i="8"/>
  <c r="H4239" i="8"/>
  <c r="I4239" i="8" s="1"/>
  <c r="F4239" i="8"/>
  <c r="H3493" i="8"/>
  <c r="I3493" i="8" s="1"/>
  <c r="F3493" i="8"/>
  <c r="H882" i="8"/>
  <c r="I882" i="8" s="1"/>
  <c r="F882" i="8"/>
  <c r="H895" i="8"/>
  <c r="I895" i="8" s="1"/>
  <c r="F895" i="8"/>
  <c r="H379" i="8"/>
  <c r="I379" i="8" s="1"/>
  <c r="F379" i="8"/>
  <c r="G5576" i="5"/>
  <c r="H1366" i="8"/>
  <c r="I1366" i="8" s="1"/>
  <c r="F1366" i="8"/>
  <c r="H101" i="8" l="1"/>
  <c r="I101" i="8" s="1"/>
  <c r="F101" i="8"/>
  <c r="H1365" i="8"/>
  <c r="I1365" i="8" s="1"/>
  <c r="F1365" i="8"/>
  <c r="H239" i="8"/>
  <c r="I239" i="8" s="1"/>
  <c r="F239" i="8"/>
  <c r="H129" i="8"/>
  <c r="I129" i="8" s="1"/>
  <c r="F129" i="8"/>
  <c r="H4613" i="8"/>
  <c r="I4613" i="8" s="1"/>
  <c r="F4613" i="8"/>
  <c r="H3581" i="8"/>
  <c r="I3581" i="8" s="1"/>
  <c r="F3581" i="8"/>
  <c r="H4660" i="8"/>
  <c r="I4660" i="8" s="1"/>
  <c r="F4660" i="8"/>
  <c r="H4242" i="8"/>
  <c r="I4242" i="8" s="1"/>
  <c r="F4242" i="8"/>
  <c r="H309" i="8"/>
  <c r="I309" i="8" s="1"/>
  <c r="F309" i="8"/>
  <c r="H4637" i="8"/>
  <c r="I4637" i="8" s="1"/>
  <c r="F4637" i="8"/>
  <c r="H3547" i="8"/>
  <c r="I3547" i="8" s="1"/>
  <c r="F3547" i="8"/>
  <c r="F1287" i="8"/>
  <c r="H1287" i="8"/>
  <c r="I1287" i="8" s="1"/>
  <c r="H4644" i="8"/>
  <c r="I4644" i="8" s="1"/>
  <c r="F4644" i="8"/>
  <c r="H221" i="8"/>
  <c r="I221" i="8" s="1"/>
  <c r="F221" i="8"/>
  <c r="H171" i="8"/>
  <c r="I171" i="8" s="1"/>
  <c r="F171" i="8"/>
  <c r="H289" i="8"/>
  <c r="I289" i="8" s="1"/>
  <c r="F289" i="8"/>
  <c r="H274" i="8"/>
  <c r="I274" i="8" s="1"/>
  <c r="F274" i="8"/>
  <c r="H285" i="8"/>
  <c r="I285" i="8" s="1"/>
  <c r="F285" i="8"/>
  <c r="G6489" i="5"/>
  <c r="H6470" i="5"/>
  <c r="E2615" i="8" s="1"/>
  <c r="H1262" i="8"/>
  <c r="I1262" i="8" s="1"/>
  <c r="F1262" i="8"/>
  <c r="H1139" i="8"/>
  <c r="I1139" i="8" s="1"/>
  <c r="F1139" i="8"/>
  <c r="H1323" i="8"/>
  <c r="I1323" i="8" s="1"/>
  <c r="F1323" i="8"/>
  <c r="H4241" i="8"/>
  <c r="I4241" i="8" s="1"/>
  <c r="F4241" i="8"/>
  <c r="H307" i="8"/>
  <c r="I307" i="8" s="1"/>
  <c r="F307" i="8"/>
  <c r="H4824" i="8"/>
  <c r="I4824" i="8" s="1"/>
  <c r="F4824" i="8"/>
  <c r="H97" i="8"/>
  <c r="I97" i="8" s="1"/>
  <c r="F97" i="8"/>
  <c r="H262" i="8"/>
  <c r="I262" i="8" s="1"/>
  <c r="F262" i="8"/>
  <c r="H270" i="8"/>
  <c r="I270" i="8" s="1"/>
  <c r="F270" i="8"/>
  <c r="H1069" i="8"/>
  <c r="I1069" i="8" s="1"/>
  <c r="F1069" i="8"/>
  <c r="H1330" i="8"/>
  <c r="I1330" i="8" s="1"/>
  <c r="F1330" i="8"/>
  <c r="H306" i="8"/>
  <c r="I306" i="8" s="1"/>
  <c r="F306" i="8"/>
  <c r="H288" i="8"/>
  <c r="I288" i="8" s="1"/>
  <c r="F288" i="8"/>
  <c r="H4643" i="8"/>
  <c r="I4643" i="8" s="1"/>
  <c r="F4643" i="8"/>
  <c r="H5572" i="5"/>
  <c r="E1375" i="8" s="1"/>
  <c r="H132" i="8"/>
  <c r="I132" i="8" s="1"/>
  <c r="F132" i="8"/>
  <c r="H311" i="8"/>
  <c r="I311" i="8" s="1"/>
  <c r="F311" i="8"/>
  <c r="F4850" i="8"/>
  <c r="H4850" i="8"/>
  <c r="I4850" i="8" s="1"/>
  <c r="H1141" i="8"/>
  <c r="I1141" i="8" s="1"/>
  <c r="F1141" i="8"/>
  <c r="H332" i="8"/>
  <c r="I332" i="8" s="1"/>
  <c r="F332" i="8"/>
  <c r="F1392" i="8"/>
  <c r="H1392" i="8"/>
  <c r="I1392" i="8" s="1"/>
  <c r="H10816" i="5"/>
  <c r="E4595" i="8" s="1"/>
  <c r="F1319" i="8"/>
  <c r="H1319" i="8"/>
  <c r="I1319" i="8" s="1"/>
  <c r="H1078" i="8"/>
  <c r="I1078" i="8" s="1"/>
  <c r="F1078" i="8"/>
  <c r="H3913" i="8"/>
  <c r="I3913" i="8" s="1"/>
  <c r="F3913" i="8"/>
  <c r="H365" i="8"/>
  <c r="I365" i="8" s="1"/>
  <c r="F365" i="8"/>
  <c r="H267" i="8"/>
  <c r="I267" i="8" s="1"/>
  <c r="F267" i="8"/>
  <c r="F2709" i="8"/>
  <c r="H2709" i="8"/>
  <c r="I2709" i="8" s="1"/>
  <c r="H4806" i="8"/>
  <c r="I4806" i="8" s="1"/>
  <c r="F4806" i="8"/>
  <c r="H3132" i="8"/>
  <c r="I3132" i="8" s="1"/>
  <c r="F3132" i="8"/>
  <c r="H4642" i="8"/>
  <c r="I4642" i="8" s="1"/>
  <c r="F4642" i="8"/>
  <c r="H1316" i="8"/>
  <c r="I1316" i="8" s="1"/>
  <c r="F1316" i="8"/>
  <c r="H303" i="8"/>
  <c r="I303" i="8" s="1"/>
  <c r="F303" i="8"/>
  <c r="H3565" i="8"/>
  <c r="I3565" i="8" s="1"/>
  <c r="F3565" i="8"/>
  <c r="H3562" i="8"/>
  <c r="I3562" i="8" s="1"/>
  <c r="F3562" i="8"/>
  <c r="H4658" i="8"/>
  <c r="I4658" i="8" s="1"/>
  <c r="F4658" i="8"/>
  <c r="H4224" i="8"/>
  <c r="I4224" i="8" s="1"/>
  <c r="F4224" i="8"/>
  <c r="F1136" i="8"/>
  <c r="H1136" i="8"/>
  <c r="I1136" i="8" s="1"/>
  <c r="H4384" i="8"/>
  <c r="I4384" i="8" s="1"/>
  <c r="F4384" i="8"/>
  <c r="H3282" i="8"/>
  <c r="I3282" i="8" s="1"/>
  <c r="F3282" i="8"/>
  <c r="G5589" i="5"/>
  <c r="H1064" i="8"/>
  <c r="I1064" i="8" s="1"/>
  <c r="F1064" i="8"/>
  <c r="H361" i="8"/>
  <c r="I361" i="8" s="1"/>
  <c r="F361" i="8"/>
  <c r="H1321" i="8"/>
  <c r="I1321" i="8" s="1"/>
  <c r="F1321" i="8"/>
  <c r="H4636" i="8"/>
  <c r="I4636" i="8" s="1"/>
  <c r="F4636" i="8"/>
  <c r="H323" i="8"/>
  <c r="I323" i="8" s="1"/>
  <c r="F323" i="8"/>
  <c r="H102" i="8"/>
  <c r="I102" i="8" s="1"/>
  <c r="F102" i="8"/>
  <c r="G5397" i="5"/>
  <c r="H3563" i="8"/>
  <c r="I3563" i="8" s="1"/>
  <c r="F3563" i="8"/>
  <c r="H4661" i="8"/>
  <c r="I4661" i="8" s="1"/>
  <c r="F4661" i="8"/>
  <c r="H3546" i="8"/>
  <c r="I3546" i="8" s="1"/>
  <c r="F3546" i="8"/>
  <c r="H1101" i="8"/>
  <c r="I1101" i="8" s="1"/>
  <c r="F1101" i="8"/>
  <c r="H1364" i="8"/>
  <c r="I1364" i="8" s="1"/>
  <c r="F1364" i="8"/>
  <c r="H385" i="8"/>
  <c r="I385" i="8" s="1"/>
  <c r="F385" i="8"/>
  <c r="H1324" i="8"/>
  <c r="I1324" i="8" s="1"/>
  <c r="F1324" i="8"/>
  <c r="H4770" i="8"/>
  <c r="I4770" i="8" s="1"/>
  <c r="F4770" i="8"/>
  <c r="H1268" i="8"/>
  <c r="I1268" i="8" s="1"/>
  <c r="F1268" i="8"/>
  <c r="H1317" i="8"/>
  <c r="I1317" i="8" s="1"/>
  <c r="F1317" i="8"/>
  <c r="H1346" i="8"/>
  <c r="I1346" i="8" s="1"/>
  <c r="F1346" i="8"/>
  <c r="H225" i="8"/>
  <c r="I225" i="8" s="1"/>
  <c r="F225" i="8"/>
  <c r="H107" i="8"/>
  <c r="I107" i="8" s="1"/>
  <c r="F107" i="8"/>
  <c r="H322" i="8"/>
  <c r="I322" i="8" s="1"/>
  <c r="F322" i="8"/>
  <c r="H4652" i="8"/>
  <c r="I4652" i="8" s="1"/>
  <c r="F4652" i="8"/>
  <c r="H1345" i="8"/>
  <c r="I1345" i="8" s="1"/>
  <c r="F1345" i="8"/>
  <c r="H1334" i="8"/>
  <c r="I1334" i="8" s="1"/>
  <c r="F1334" i="8"/>
  <c r="H1318" i="8"/>
  <c r="I1318" i="8" s="1"/>
  <c r="F1318" i="8"/>
  <c r="H310" i="8"/>
  <c r="I310" i="8" s="1"/>
  <c r="F310" i="8"/>
  <c r="H3564" i="8"/>
  <c r="I3564" i="8" s="1"/>
  <c r="F3564" i="8"/>
  <c r="H3554" i="8"/>
  <c r="I3554" i="8" s="1"/>
  <c r="F3554" i="8"/>
  <c r="H4236" i="8"/>
  <c r="I4236" i="8" s="1"/>
  <c r="F4236" i="8"/>
  <c r="H3586" i="8"/>
  <c r="I3586" i="8" s="1"/>
  <c r="F3586" i="8"/>
  <c r="H312" i="8"/>
  <c r="I312" i="8" s="1"/>
  <c r="F312" i="8"/>
  <c r="H282" i="8" l="1"/>
  <c r="I282" i="8" s="1"/>
  <c r="F282" i="8"/>
  <c r="H4693" i="8"/>
  <c r="I4693" i="8" s="1"/>
  <c r="F4693" i="8"/>
  <c r="H4582" i="8"/>
  <c r="I4582" i="8" s="1"/>
  <c r="F4582" i="8"/>
  <c r="H4583" i="8"/>
  <c r="I4583" i="8" s="1"/>
  <c r="F4583" i="8"/>
  <c r="H5582" i="5"/>
  <c r="E1378" i="8" s="1"/>
  <c r="H235" i="8"/>
  <c r="I235" i="8" s="1"/>
  <c r="F235" i="8"/>
  <c r="H1059" i="8"/>
  <c r="I1059" i="8" s="1"/>
  <c r="F1059" i="8"/>
  <c r="H4692" i="8"/>
  <c r="I4692" i="8" s="1"/>
  <c r="F4692" i="8"/>
  <c r="H236" i="8"/>
  <c r="I236" i="8" s="1"/>
  <c r="F236" i="8"/>
  <c r="H187" i="8"/>
  <c r="I187" i="8" s="1"/>
  <c r="F187" i="8"/>
  <c r="H100" i="8"/>
  <c r="I100" i="8" s="1"/>
  <c r="F100" i="8"/>
  <c r="H281" i="8"/>
  <c r="I281" i="8" s="1"/>
  <c r="F281" i="8"/>
  <c r="H280" i="8"/>
  <c r="I280" i="8" s="1"/>
  <c r="F280" i="8"/>
  <c r="H287" i="8"/>
  <c r="I287" i="8" s="1"/>
  <c r="F287" i="8"/>
  <c r="H967" i="8"/>
  <c r="I967" i="8" s="1"/>
  <c r="F967" i="8"/>
  <c r="H148" i="8"/>
  <c r="I148" i="8" s="1"/>
  <c r="F148" i="8"/>
  <c r="H1076" i="8"/>
  <c r="I1076" i="8" s="1"/>
  <c r="F1076" i="8"/>
  <c r="H3256" i="8"/>
  <c r="I3256" i="8" s="1"/>
  <c r="F3256" i="8"/>
  <c r="H4685" i="8"/>
  <c r="I4685" i="8" s="1"/>
  <c r="F4685" i="8"/>
  <c r="H3512" i="8"/>
  <c r="I3512" i="8" s="1"/>
  <c r="F3512" i="8"/>
  <c r="H888" i="8"/>
  <c r="I888" i="8" s="1"/>
  <c r="F888" i="8"/>
  <c r="H279" i="8"/>
  <c r="I279" i="8" s="1"/>
  <c r="F279" i="8"/>
  <c r="H325" i="8"/>
  <c r="I325" i="8" s="1"/>
  <c r="F325" i="8"/>
  <c r="H321" i="8"/>
  <c r="I321" i="8" s="1"/>
  <c r="F321" i="8"/>
  <c r="H4856" i="8"/>
  <c r="I4856" i="8" s="1"/>
  <c r="F4856" i="8"/>
  <c r="H233" i="8"/>
  <c r="I233" i="8" s="1"/>
  <c r="F233" i="8"/>
  <c r="H4235" i="8"/>
  <c r="I4235" i="8" s="1"/>
  <c r="F4235" i="8"/>
  <c r="H4630" i="8"/>
  <c r="I4630" i="8" s="1"/>
  <c r="F4630" i="8"/>
  <c r="H286" i="8"/>
  <c r="I286" i="8" s="1"/>
  <c r="F286" i="8"/>
  <c r="H4237" i="8"/>
  <c r="I4237" i="8" s="1"/>
  <c r="F4237" i="8"/>
  <c r="H4691" i="8"/>
  <c r="I4691" i="8" s="1"/>
  <c r="F4691" i="8"/>
  <c r="H3252" i="8"/>
  <c r="I3252" i="8" s="1"/>
  <c r="F3252" i="8"/>
  <c r="H275" i="8"/>
  <c r="I275" i="8" s="1"/>
  <c r="F275" i="8"/>
  <c r="H382" i="8"/>
  <c r="I382" i="8" s="1"/>
  <c r="F382" i="8"/>
  <c r="H380" i="8"/>
  <c r="I380" i="8" s="1"/>
  <c r="F380" i="8"/>
  <c r="H4631" i="8"/>
  <c r="I4631" i="8" s="1"/>
  <c r="F4631" i="8"/>
  <c r="H2600" i="8"/>
  <c r="I2600" i="8" s="1"/>
  <c r="F2600" i="8"/>
  <c r="H1315" i="8"/>
  <c r="I1315" i="8" s="1"/>
  <c r="F1315" i="8"/>
  <c r="F1256" i="8"/>
  <c r="H1256" i="8"/>
  <c r="I1256" i="8" s="1"/>
  <c r="H3582" i="8"/>
  <c r="I3582" i="8" s="1"/>
  <c r="F3582" i="8"/>
  <c r="H966" i="8"/>
  <c r="I966" i="8" s="1"/>
  <c r="F966" i="8"/>
  <c r="H999" i="8"/>
  <c r="I999" i="8" s="1"/>
  <c r="F999" i="8"/>
  <c r="H968" i="8"/>
  <c r="I968" i="8" s="1"/>
  <c r="F968" i="8"/>
  <c r="H2616" i="8"/>
  <c r="I2616" i="8" s="1"/>
  <c r="F2616" i="8"/>
  <c r="H165" i="8"/>
  <c r="I165" i="8" s="1"/>
  <c r="F165" i="8"/>
  <c r="F1152" i="8"/>
  <c r="H1152" i="8"/>
  <c r="I1152" i="8" s="1"/>
  <c r="H271" i="8"/>
  <c r="I271" i="8" s="1"/>
  <c r="F271" i="8"/>
  <c r="H4847" i="8"/>
  <c r="I4847" i="8" s="1"/>
  <c r="F4847" i="8"/>
  <c r="H324" i="8"/>
  <c r="I324" i="8" s="1"/>
  <c r="F324" i="8"/>
  <c r="H5390" i="5"/>
  <c r="E1339" i="8" s="1"/>
  <c r="H1117" i="8"/>
  <c r="I1117" i="8" s="1"/>
  <c r="F1117" i="8"/>
  <c r="H3279" i="8"/>
  <c r="I3279" i="8" s="1"/>
  <c r="F3279" i="8"/>
  <c r="H930" i="8"/>
  <c r="I930" i="8" s="1"/>
  <c r="F930" i="8"/>
  <c r="H867" i="8"/>
  <c r="I867" i="8" s="1"/>
  <c r="F867" i="8"/>
  <c r="F1359" i="8"/>
  <c r="H1359" i="8"/>
  <c r="I1359" i="8" s="1"/>
  <c r="H1382" i="8"/>
  <c r="I1382" i="8" s="1"/>
  <c r="F1382" i="8"/>
  <c r="H4771" i="8"/>
  <c r="I4771" i="8" s="1"/>
  <c r="F4771" i="8"/>
  <c r="H278" i="8"/>
  <c r="I278" i="8" s="1"/>
  <c r="F278" i="8"/>
  <c r="H3513" i="8"/>
  <c r="I3513" i="8" s="1"/>
  <c r="F3513" i="8"/>
  <c r="H2710" i="8" l="1"/>
  <c r="I2710" i="8" s="1"/>
  <c r="F2710" i="8"/>
  <c r="H3286" i="8"/>
  <c r="I3286" i="8" s="1"/>
  <c r="F3286" i="8"/>
  <c r="H959" i="8"/>
  <c r="I959" i="8" s="1"/>
  <c r="F959" i="8"/>
  <c r="F3483" i="8"/>
  <c r="H3483" i="8"/>
  <c r="I3483" i="8" s="1"/>
  <c r="H1162" i="8"/>
  <c r="I1162" i="8" s="1"/>
  <c r="F1162" i="8"/>
  <c r="F2715" i="8"/>
  <c r="H2715" i="8"/>
  <c r="I2715" i="8" s="1"/>
  <c r="H232" i="8"/>
  <c r="I232" i="8" s="1"/>
  <c r="F232" i="8"/>
  <c r="H1070" i="8"/>
  <c r="I1070" i="8" s="1"/>
  <c r="F1070" i="8"/>
  <c r="H4724" i="8"/>
  <c r="I4724" i="8" s="1"/>
  <c r="F4724" i="8"/>
  <c r="H4588" i="8"/>
  <c r="I4588" i="8" s="1"/>
  <c r="F4588" i="8"/>
  <c r="H4651" i="8"/>
  <c r="I4651" i="8" s="1"/>
  <c r="F4651" i="8"/>
  <c r="H4589" i="8"/>
  <c r="I4589" i="8" s="1"/>
  <c r="F4589" i="8"/>
  <c r="H960" i="8"/>
  <c r="I960" i="8" s="1"/>
  <c r="F960" i="8"/>
  <c r="H3549" i="8"/>
  <c r="I3549" i="8" s="1"/>
  <c r="F3549" i="8"/>
  <c r="H79" i="8"/>
  <c r="I79" i="8" s="1"/>
  <c r="F79" i="8"/>
  <c r="H91" i="8"/>
  <c r="I91" i="8" s="1"/>
  <c r="F91" i="8"/>
  <c r="H951" i="8"/>
  <c r="I951" i="8" s="1"/>
  <c r="F951" i="8"/>
  <c r="H119" i="8"/>
  <c r="I119" i="8" s="1"/>
  <c r="F119" i="8"/>
  <c r="H110" i="8"/>
  <c r="I110" i="8" s="1"/>
  <c r="F110" i="8"/>
  <c r="H4232" i="8"/>
  <c r="I4232" i="8" s="1"/>
  <c r="F4232" i="8"/>
  <c r="H111" i="8"/>
  <c r="I111" i="8" s="1"/>
  <c r="F111" i="8"/>
  <c r="H4725" i="8"/>
  <c r="I4725" i="8" s="1"/>
  <c r="F4725" i="8"/>
  <c r="H3281" i="8"/>
  <c r="I3281" i="8" s="1"/>
  <c r="F3281" i="8"/>
  <c r="H3217" i="8"/>
  <c r="I3217" i="8" s="1"/>
  <c r="F3217" i="8"/>
  <c r="H89" i="8"/>
  <c r="I89" i="8" s="1"/>
  <c r="F89" i="8"/>
  <c r="H237" i="8"/>
  <c r="I237" i="8" s="1"/>
  <c r="F237" i="8"/>
  <c r="H2714" i="8"/>
  <c r="I2714" i="8" s="1"/>
  <c r="F2714" i="8"/>
  <c r="F1344" i="8"/>
  <c r="H1344" i="8"/>
  <c r="I1344" i="8" s="1"/>
  <c r="H2609" i="8"/>
  <c r="I2609" i="8" s="1"/>
  <c r="F2609" i="8"/>
  <c r="F2619" i="8"/>
  <c r="H2619" i="8"/>
  <c r="I2619" i="8" s="1"/>
  <c r="H3542" i="8"/>
  <c r="I3542" i="8" s="1"/>
  <c r="F3542" i="8"/>
  <c r="H996" i="8"/>
  <c r="I996" i="8" s="1"/>
  <c r="F996" i="8"/>
  <c r="H1358" i="8"/>
  <c r="I1358" i="8" s="1"/>
  <c r="F1358" i="8"/>
  <c r="H4234" i="8"/>
  <c r="F4234" i="8"/>
  <c r="I4234" i="8"/>
  <c r="H96" i="8"/>
  <c r="I96" i="8" s="1"/>
  <c r="F96" i="8"/>
  <c r="F3216" i="8"/>
  <c r="H3216" i="8"/>
  <c r="I3216" i="8" s="1"/>
  <c r="H4708" i="8"/>
  <c r="I4708" i="8" s="1"/>
  <c r="F4708" i="8"/>
  <c r="H1161" i="8"/>
  <c r="I1161" i="8" s="1"/>
  <c r="F1161" i="8"/>
  <c r="H4233" i="8"/>
  <c r="I4233" i="8" s="1"/>
  <c r="F4233" i="8"/>
  <c r="H234" i="8"/>
  <c r="I234" i="8" s="1"/>
  <c r="F234" i="8"/>
  <c r="H4253" i="8"/>
  <c r="I4253" i="8" s="1"/>
  <c r="F4253" i="8"/>
  <c r="H115" i="8"/>
  <c r="I115" i="8" s="1"/>
  <c r="F115" i="8"/>
  <c r="H1157" i="8"/>
  <c r="I1157" i="8" s="1"/>
  <c r="F1157" i="8"/>
  <c r="H3491" i="8"/>
  <c r="I3491" i="8" s="1"/>
  <c r="F3491" i="8"/>
  <c r="H3557" i="8"/>
  <c r="I3557" i="8" s="1"/>
  <c r="F3557" i="8"/>
  <c r="H4599" i="8"/>
  <c r="I4599" i="8" s="1"/>
  <c r="F4599" i="8"/>
  <c r="H1158" i="8"/>
  <c r="I1158" i="8" s="1"/>
  <c r="F1158" i="8"/>
  <c r="H986" i="8"/>
  <c r="I986" i="8" s="1"/>
  <c r="F986" i="8"/>
  <c r="H3215" i="8"/>
  <c r="I3215" i="8" s="1"/>
  <c r="F3215" i="8"/>
  <c r="H290" i="8"/>
  <c r="I290" i="8" s="1"/>
  <c r="F290" i="8"/>
  <c r="H4265" i="8"/>
  <c r="I4265" i="8" s="1"/>
  <c r="F4265" i="8"/>
  <c r="H1363" i="8"/>
  <c r="I1363" i="8" s="1"/>
  <c r="F1363" i="8"/>
  <c r="H4821" i="8"/>
  <c r="I4821" i="8" s="1"/>
  <c r="F4821" i="8"/>
  <c r="H2602" i="8"/>
  <c r="I2602" i="8" s="1"/>
  <c r="F2602" i="8"/>
  <c r="H2614" i="8"/>
  <c r="I2614" i="8" s="1"/>
  <c r="F2614" i="8"/>
  <c r="F3253" i="8"/>
  <c r="H3253" i="8"/>
  <c r="I3253" i="8" s="1"/>
  <c r="H3558" i="8"/>
  <c r="I3558" i="8" s="1"/>
  <c r="F3558" i="8"/>
  <c r="H94" i="8"/>
  <c r="I94" i="8" s="1"/>
  <c r="F94" i="8"/>
  <c r="F1112" i="8"/>
  <c r="H1112" i="8"/>
  <c r="I1112" i="8" s="1"/>
  <c r="F2605" i="8"/>
  <c r="H2605" i="8"/>
  <c r="I2605" i="8" s="1"/>
  <c r="H1079" i="8"/>
  <c r="I1079" i="8" s="1"/>
  <c r="F1079" i="8"/>
  <c r="H1016" i="8"/>
  <c r="I1016" i="8" s="1"/>
  <c r="F1016" i="8"/>
  <c r="H3265" i="8"/>
  <c r="I3265" i="8" s="1"/>
  <c r="F3265" i="8"/>
  <c r="H327" i="8"/>
  <c r="I327" i="8" s="1"/>
  <c r="F327" i="8"/>
  <c r="F3136" i="8"/>
  <c r="H3136" i="8"/>
  <c r="I3136" i="8" s="1"/>
  <c r="H4831" i="8"/>
  <c r="I4831" i="8" s="1"/>
  <c r="F4831" i="8"/>
  <c r="F1111" i="8" l="1"/>
  <c r="H1111" i="8"/>
  <c r="I1111" i="8" s="1"/>
  <c r="H295" i="8"/>
  <c r="I295" i="8" s="1"/>
  <c r="F295" i="8"/>
  <c r="H120" i="8"/>
  <c r="I120" i="8" s="1"/>
  <c r="F120" i="8"/>
  <c r="H227" i="8"/>
  <c r="I227" i="8" s="1"/>
  <c r="F227" i="8"/>
  <c r="H3268" i="8"/>
  <c r="I3268" i="8" s="1"/>
  <c r="F3268" i="8"/>
  <c r="H326" i="8"/>
  <c r="I326" i="8" s="1"/>
  <c r="F326" i="8"/>
  <c r="H3580" i="8"/>
  <c r="I3580" i="8" s="1"/>
  <c r="F3580" i="8"/>
  <c r="H901" i="8"/>
  <c r="I901" i="8" s="1"/>
  <c r="F901" i="8"/>
  <c r="H2615" i="8"/>
  <c r="I2615" i="8" s="1"/>
  <c r="F2615" i="8"/>
  <c r="H112" i="8"/>
  <c r="I112" i="8" s="1"/>
  <c r="F112" i="8"/>
  <c r="H1153" i="8"/>
  <c r="I1153" i="8" s="1"/>
  <c r="F1153" i="8"/>
  <c r="F1335" i="8"/>
  <c r="H1335" i="8"/>
  <c r="I1335" i="8" s="1"/>
  <c r="H4828" i="8"/>
  <c r="I4828" i="8" s="1"/>
  <c r="F4828" i="8"/>
  <c r="H4611" i="8" l="1"/>
  <c r="I4611" i="8" s="1"/>
  <c r="F4611" i="8"/>
  <c r="H291" i="8"/>
  <c r="I291" i="8" s="1"/>
  <c r="F291" i="8"/>
  <c r="H292" i="8"/>
  <c r="I292" i="8" s="1"/>
  <c r="F292" i="8"/>
  <c r="H293" i="8"/>
  <c r="I293" i="8" s="1"/>
  <c r="F293" i="8"/>
  <c r="H296" i="8"/>
  <c r="I296" i="8" s="1"/>
  <c r="F296" i="8"/>
  <c r="H297" i="8"/>
  <c r="I297" i="8" s="1"/>
  <c r="F297" i="8"/>
  <c r="H4220" i="8" l="1"/>
  <c r="I4220" i="8" s="1"/>
  <c r="F4220" i="8"/>
  <c r="H1237" i="8"/>
  <c r="I1237" i="8" s="1"/>
  <c r="F1237" i="8"/>
  <c r="H4861" i="8"/>
  <c r="I4861" i="8" s="1"/>
  <c r="F4861" i="8"/>
  <c r="F3133" i="8"/>
  <c r="H3133" i="8"/>
  <c r="I3133" i="8" s="1"/>
  <c r="F1375" i="8"/>
  <c r="H1375" i="8"/>
  <c r="I1375" i="8" s="1"/>
  <c r="H4595" i="8"/>
  <c r="I4595" i="8" s="1"/>
  <c r="F4595" i="8"/>
  <c r="H1378" i="8"/>
  <c r="I1378" i="8" s="1"/>
  <c r="F1378" i="8"/>
  <c r="H4780" i="8"/>
  <c r="I4780" i="8" s="1"/>
  <c r="F4780" i="8"/>
  <c r="H2595" i="8"/>
  <c r="I2595" i="8" s="1"/>
  <c r="F2595" i="8"/>
  <c r="H2596" i="8"/>
  <c r="I2596" i="8" s="1"/>
  <c r="F2596" i="8"/>
  <c r="H1339" i="8"/>
  <c r="I1339" i="8" s="1"/>
  <c r="F1339" i="8"/>
  <c r="H970" i="8" l="1"/>
  <c r="I970" i="8" s="1"/>
  <c r="F970" i="8"/>
  <c r="F3131" i="8"/>
  <c r="H3131" i="8"/>
  <c r="I3131" i="8" s="1"/>
  <c r="H294" i="8"/>
  <c r="I294" i="8" s="1"/>
  <c r="F294" i="8"/>
  <c r="H4221" i="8"/>
  <c r="I4221" i="8" s="1"/>
  <c r="F4221" i="8"/>
  <c r="H976" i="8"/>
  <c r="I976" i="8" s="1"/>
  <c r="F976" i="8"/>
  <c r="H972" i="8"/>
  <c r="I972" i="8" s="1"/>
  <c r="F972" i="8"/>
  <c r="H245" i="8" l="1"/>
  <c r="I245" i="8" s="1"/>
  <c r="F245" i="8"/>
  <c r="H3284" i="8"/>
  <c r="I3284" i="8" s="1"/>
  <c r="F3284" i="8"/>
  <c r="H248" i="8"/>
  <c r="I248" i="8" s="1"/>
  <c r="F248" i="8"/>
  <c r="H246" i="8"/>
  <c r="I246" i="8" s="1"/>
  <c r="F246" i="8"/>
  <c r="F3285" i="8"/>
  <c r="H3285" i="8"/>
  <c r="I3285" i="8" s="1"/>
  <c r="H243" i="8" l="1"/>
  <c r="I243" i="8" s="1"/>
  <c r="F243" i="8"/>
  <c r="H244" i="8"/>
  <c r="I244" i="8" s="1"/>
  <c r="F244" i="8"/>
  <c r="H247" i="8"/>
  <c r="I247" i="8" s="1"/>
  <c r="F247" i="8"/>
  <c r="H4251" i="8"/>
  <c r="I4251" i="8" s="1"/>
  <c r="F4251" i="8"/>
  <c r="H1068" i="8"/>
  <c r="I1068" i="8" s="1"/>
  <c r="F1068" i="8"/>
  <c r="H242" i="8" l="1"/>
  <c r="I242" i="8" s="1"/>
  <c r="F242" i="8"/>
</calcChain>
</file>

<file path=xl/sharedStrings.xml><?xml version="1.0" encoding="utf-8"?>
<sst xmlns="http://schemas.openxmlformats.org/spreadsheetml/2006/main" count="49083" uniqueCount="11904">
  <si>
    <t>Data: Outubro de 2025</t>
  </si>
  <si>
    <t>COMPOSIÇÕES DE CUSTO UNITÁRIO</t>
  </si>
  <si>
    <t>ITEM</t>
  </si>
  <si>
    <t>DESCRIÇÃO</t>
  </si>
  <si>
    <t>DISCRIMINAÇÃO DA COMPOSIÇÃO</t>
  </si>
  <si>
    <t>UNIDADE</t>
  </si>
  <si>
    <t>COEFICIENTE</t>
  </si>
  <si>
    <t>CUSTO UNITÁRIO</t>
  </si>
  <si>
    <t>CUSTO TOTAL</t>
  </si>
  <si>
    <t>TOTAL DO SERVIÇO</t>
  </si>
  <si>
    <t>a</t>
  </si>
  <si>
    <t>QTD</t>
  </si>
  <si>
    <t>SF-00001</t>
  </si>
  <si>
    <t/>
  </si>
  <si>
    <t>SF-00002</t>
  </si>
  <si>
    <t>SF-00003</t>
  </si>
  <si>
    <t>SF-00004</t>
  </si>
  <si>
    <t>Anotação de Responsabilidade Técnica</t>
  </si>
  <si>
    <t>un</t>
  </si>
  <si>
    <t>SF-00005</t>
  </si>
  <si>
    <t>SF-00006</t>
  </si>
  <si>
    <t>SF-00007</t>
  </si>
  <si>
    <t>SF-00008</t>
  </si>
  <si>
    <t>SF-00009</t>
  </si>
  <si>
    <t>SF-00010</t>
  </si>
  <si>
    <t>SF-00011</t>
  </si>
  <si>
    <t>SF-00012</t>
  </si>
  <si>
    <t>SF-00013</t>
  </si>
  <si>
    <t>SF-00014</t>
  </si>
  <si>
    <t>SF-00016</t>
  </si>
  <si>
    <t>SF-00017</t>
  </si>
  <si>
    <t>SF-00018</t>
  </si>
  <si>
    <t>SF-00019</t>
  </si>
  <si>
    <t>SF-00020</t>
  </si>
  <si>
    <t>SF-00021</t>
  </si>
  <si>
    <t>SF-00022</t>
  </si>
  <si>
    <t>SF-00023</t>
  </si>
  <si>
    <t>SF-00024</t>
  </si>
  <si>
    <t>SF-00025</t>
  </si>
  <si>
    <t>SF-00026</t>
  </si>
  <si>
    <t>SF-00027</t>
  </si>
  <si>
    <t>SF-00028</t>
  </si>
  <si>
    <t>SF-00029</t>
  </si>
  <si>
    <t>SF-00030</t>
  </si>
  <si>
    <t>SF-00031</t>
  </si>
  <si>
    <t>SF-00032</t>
  </si>
  <si>
    <r>
      <t xml:space="preserve">Obs.: Remoção </t>
    </r>
    <r>
      <rPr>
        <b/>
        <u/>
        <sz val="10"/>
        <rFont val="Arial"/>
        <family val="2"/>
      </rPr>
      <t>com</t>
    </r>
    <r>
      <rPr>
        <b/>
        <sz val="10"/>
        <rFont val="Arial"/>
        <family val="2"/>
      </rPr>
      <t xml:space="preserve"> reaproveitamento</t>
    </r>
  </si>
  <si>
    <t>SF-00033</t>
  </si>
  <si>
    <t>SF-00034</t>
  </si>
  <si>
    <t>SF-00035</t>
  </si>
  <si>
    <t>SF-00036</t>
  </si>
  <si>
    <t>SF-00037</t>
  </si>
  <si>
    <t>SF-00038</t>
  </si>
  <si>
    <r>
      <t xml:space="preserve">Obs.: remoção </t>
    </r>
    <r>
      <rPr>
        <b/>
        <u/>
        <sz val="10"/>
        <rFont val="Arial"/>
        <family val="2"/>
      </rPr>
      <t>com</t>
    </r>
    <r>
      <rPr>
        <b/>
        <sz val="10"/>
        <rFont val="Arial"/>
        <family val="2"/>
      </rPr>
      <t xml:space="preserve"> reaproveitamento</t>
    </r>
  </si>
  <si>
    <t>SF-00039</t>
  </si>
  <si>
    <t>SF-00040</t>
  </si>
  <si>
    <t>SF-00041</t>
  </si>
  <si>
    <t>SF-00042</t>
  </si>
  <si>
    <t>SF-00043</t>
  </si>
  <si>
    <t>SF-00044</t>
  </si>
  <si>
    <t>SF-00045</t>
  </si>
  <si>
    <t>SF-00046</t>
  </si>
  <si>
    <t>SF-00048</t>
  </si>
  <si>
    <t>SF-00049</t>
  </si>
  <si>
    <t>SF-00051</t>
  </si>
  <si>
    <t>SF-00057</t>
  </si>
  <si>
    <t>SF-00070</t>
  </si>
  <si>
    <t>Chapa de madeira compensada resinada 1,10 x 2,20 m # 6 mm</t>
  </si>
  <si>
    <t>m2</t>
  </si>
  <si>
    <t>Oleo de linhaca</t>
  </si>
  <si>
    <t>L</t>
  </si>
  <si>
    <t>Pigmento em po para argamassas, cimentos e outros</t>
  </si>
  <si>
    <t>kg</t>
  </si>
  <si>
    <t>SF-00073</t>
  </si>
  <si>
    <t>SF-00074</t>
  </si>
  <si>
    <t>SF-00075</t>
  </si>
  <si>
    <t>SF-00076</t>
  </si>
  <si>
    <t>SF-00077</t>
  </si>
  <si>
    <t>Obs.: Considerando fornecedor de areia e brita a 20 km do Senado Federal.</t>
  </si>
  <si>
    <t>SF-00078</t>
  </si>
  <si>
    <t>SF-00079</t>
  </si>
  <si>
    <t>SF-00080</t>
  </si>
  <si>
    <t>RETIFICADORA DE SOLDA ELETRICA DE 430A, MODELO TRR 2600, BANBOZZI OU SIMILAR</t>
  </si>
  <si>
    <t>UN</t>
  </si>
  <si>
    <t>SF-00081</t>
  </si>
  <si>
    <t>SF-00082</t>
  </si>
  <si>
    <t>Bloco de concreto tipo canaleta 11,5 x 19 x 39 cm</t>
  </si>
  <si>
    <t xml:space="preserve">un </t>
  </si>
  <si>
    <t>SF-00083</t>
  </si>
  <si>
    <t>SF-00084</t>
  </si>
  <si>
    <t>SF-00085</t>
  </si>
  <si>
    <t>SF-00086</t>
  </si>
  <si>
    <t>SF-00087</t>
  </si>
  <si>
    <t>SF-00088</t>
  </si>
  <si>
    <t>SF-00089</t>
  </si>
  <si>
    <t>SF-00090</t>
  </si>
  <si>
    <t>SF-00091</t>
  </si>
  <si>
    <t>SF-00092</t>
  </si>
  <si>
    <t>Gesso cola</t>
  </si>
  <si>
    <t>Obs.: Fonte para o coeficiente do gesso (0,75 kg/m2) : http://www.trevogesso.com.br/produto/10/ - acesso em 16/08/18</t>
  </si>
  <si>
    <t>SF-00093</t>
  </si>
  <si>
    <t>Obs.: Rendimento de argamassa obtido como referência no SINAPI e no link abaixo. Extrato: "Revestimento: Em média 17,0 a 19,5 Kg/m2  para cada 1,0 cm de espessura, variando em função da aplicação".</t>
  </si>
  <si>
    <t>https://s3.amazonaws.com/mapa-da-obra-producao/wp-content/uploads/2015/12/2101-matrix-revestimento-interno.pdf</t>
  </si>
  <si>
    <t>SF-00094</t>
  </si>
  <si>
    <t>SF-00095</t>
  </si>
  <si>
    <t>Tela de poliéster adesiva largura 150mm e reforço central de 50mm</t>
  </si>
  <si>
    <t>m</t>
  </si>
  <si>
    <t>SELANTE A BASE DE RESINAS ACRILICAS PARA TRINCAS</t>
  </si>
  <si>
    <t>280 ml</t>
  </si>
  <si>
    <t>Obs.: Rendimento da resina e do selante de acordo com recomendações do fabricante. Consumo médio. Selante: 2,5 m por bisnaga de 280 ml (abertura de 20mm x 10mm). Resina: 165 m2 por embalagem de 18 L.</t>
  </si>
  <si>
    <t>https://bra.sika.com/dms/getdocument.get/936a7cee-8d90-4be4-9494-f16d0e9334b4/sikacryl_-103.pdf</t>
  </si>
  <si>
    <t>http://www.bautechbrasil.com.br/produtos/pinturas-especiais-e-complementos/bautech-resina-acr%C3%ADlica-multiuso</t>
  </si>
  <si>
    <t>SF-00096</t>
  </si>
  <si>
    <t>Fundo selador a base d'água</t>
  </si>
  <si>
    <t>SF-00097</t>
  </si>
  <si>
    <t>Fundo anticorrosivo e de aderência a base de água</t>
  </si>
  <si>
    <t xml:space="preserve">Obs.: Rendimento do fundo obtido de acordo com recomendação do fabricante. Consumo médio. </t>
  </si>
  <si>
    <t>https://www.sherwin-williams.com.br/produto-detalhe/metalatex-eco-complementos</t>
  </si>
  <si>
    <t>https://www.suvinil.com.br/upload/78d22676-91b1-4086-99ad-4258fadd7b08-suvinil-fundo-seca-rapidomaio2018.pdf</t>
  </si>
  <si>
    <t>SF-00098</t>
  </si>
  <si>
    <t>SF-00099</t>
  </si>
  <si>
    <t>SF-00100</t>
  </si>
  <si>
    <t>SF-00101</t>
  </si>
  <si>
    <t>Verniz a base de água para madeira</t>
  </si>
  <si>
    <t>Obs: considerando rendimento informado na especificação técnica de produto equivalente da Suvinil (Lata de 3,6L rende até 100 m²/demão).</t>
  </si>
  <si>
    <t>SF-00102</t>
  </si>
  <si>
    <t>Tinta esmalte sintetico a base de água</t>
  </si>
  <si>
    <t>Obs: considerando rendimento informado na especificação técnica de um dos produtos indicados como referência comercial (Lata de 3,6L rende até 75 m²/demão).</t>
  </si>
  <si>
    <t>SF-00103</t>
  </si>
  <si>
    <t>SF-00104</t>
  </si>
  <si>
    <t>SF-00105</t>
  </si>
  <si>
    <t>SF-00106</t>
  </si>
  <si>
    <t>SF-00107</t>
  </si>
  <si>
    <t>Granito Cinza Andorinha, com 20 mm de espessura, para piso</t>
  </si>
  <si>
    <t>SF-00108</t>
  </si>
  <si>
    <t>Granito Cinza Andorinha, com 20 mm de espessura e 70 mm de altura, para rodapé</t>
  </si>
  <si>
    <t>Obs: na pesquisa de preços do insumo, considerou-se 1 m de polimento a cada metro de rodapé.</t>
  </si>
  <si>
    <t>SF-00109</t>
  </si>
  <si>
    <t>Granito Cinza Andorinha, com 20 mm de espessura e 150 mm de altura, para soleira e peitoril</t>
  </si>
  <si>
    <t>Obs: na pesquisa de preços do insumo, considerou-se 1 m de polimento a cada metro de soleira.</t>
  </si>
  <si>
    <t>SF-00110</t>
  </si>
  <si>
    <t>Granito Preto São Gabriel, com 20 mm de espessura, para piso</t>
  </si>
  <si>
    <t>SF-00111</t>
  </si>
  <si>
    <t>Granito Preto São Gabriel, com 20 mm de espessura e 70 mm de altura, para rodapé</t>
  </si>
  <si>
    <t>SF-00112</t>
  </si>
  <si>
    <t>Granito Preto São Gabriel, com 20 mm de espessura e 150 mm de altura, para soleira e peitoril</t>
  </si>
  <si>
    <t>SF-00113</t>
  </si>
  <si>
    <t>SF-00114</t>
  </si>
  <si>
    <t>Mármore Bege Bahia, com 20 mm de espessura, para piso e parede</t>
  </si>
  <si>
    <t>SF-00115</t>
  </si>
  <si>
    <t>Mármore Branco Especial, com 20 mm de espessura, para piso e parede</t>
  </si>
  <si>
    <t>SF-00116</t>
  </si>
  <si>
    <t>SF-00117</t>
  </si>
  <si>
    <t>SF-00118</t>
  </si>
  <si>
    <t>SF-00119</t>
  </si>
  <si>
    <t>SF-00120</t>
  </si>
  <si>
    <t>SF-00121</t>
  </si>
  <si>
    <t>SF-00122</t>
  </si>
  <si>
    <t>SF-00123</t>
  </si>
  <si>
    <t>Granito Cinza Andorinha ou equivalente, com 20 mm de espessura e 150 mm de altura, polido, para rodabancada</t>
  </si>
  <si>
    <t>SF-00124</t>
  </si>
  <si>
    <t>Granito Cinza Andorinha, com 20 mm de espessura, polido, para bancadas, com testeira com acabamento em meia esquadria</t>
  </si>
  <si>
    <t>M2</t>
  </si>
  <si>
    <t>SF-00125</t>
  </si>
  <si>
    <t>DIVISORIA EM GRANITO, COM DUAS FACES POLIDAS, CINZA ANDORINHA, E=  2,0 CM</t>
  </si>
  <si>
    <t>SF-00126</t>
  </si>
  <si>
    <t>Granito Preto São Gabriel ou equivalente, com 20 mm de espessura e 150 mm de altura, polido, para rodabancada</t>
  </si>
  <si>
    <t>SF-00127</t>
  </si>
  <si>
    <t>Granito Preto São Gabriel ou equivalente, com 20 mm de espessura, polido, com testeira para acabamento em meia esquadria, para bancadas</t>
  </si>
  <si>
    <t>SF-00128</t>
  </si>
  <si>
    <t>SF-00129</t>
  </si>
  <si>
    <t>SF-00130</t>
  </si>
  <si>
    <t>SF-00131</t>
  </si>
  <si>
    <t>Mármore Branco Especial, com 20 mm de espessura e 150 mm de altura, polido, para rodabancada</t>
  </si>
  <si>
    <t>SF-00138</t>
  </si>
  <si>
    <t>Instalação de divisórias # 35 mm estruturadas em perfis de alumínio, mão de obra para execução</t>
  </si>
  <si>
    <t>SF-00139</t>
  </si>
  <si>
    <t>Placa de PVC com espessura mínima de 5 mm na cor branca</t>
  </si>
  <si>
    <t>SF-00140</t>
  </si>
  <si>
    <t>SF-00141</t>
  </si>
  <si>
    <t>SF-00142</t>
  </si>
  <si>
    <t>Forro de PVC modular em placas de 625 mm x 1250 mm</t>
  </si>
  <si>
    <t>SF-00143</t>
  </si>
  <si>
    <t>Forro em chapa galvanizada</t>
  </si>
  <si>
    <t>Pintura eletrostática</t>
  </si>
  <si>
    <t>SF-00144</t>
  </si>
  <si>
    <t>SF-00145</t>
  </si>
  <si>
    <t>SF-00146</t>
  </si>
  <si>
    <t>SF-00147</t>
  </si>
  <si>
    <t>SF-00148</t>
  </si>
  <si>
    <t>SF-00149</t>
  </si>
  <si>
    <t>SF-00150</t>
  </si>
  <si>
    <t>SF-00151</t>
  </si>
  <si>
    <t>SF-00152</t>
  </si>
  <si>
    <t>Baguetes metálicos</t>
  </si>
  <si>
    <t>SF-00153</t>
  </si>
  <si>
    <t>SF-00154</t>
  </si>
  <si>
    <t>Espelho cristal comum #5mm</t>
  </si>
  <si>
    <t>SF-00155</t>
  </si>
  <si>
    <t>SF-00156</t>
  </si>
  <si>
    <t>Obs.: considerando que cada bisnaga rende, no mínimo, 3 m de aplicação.</t>
  </si>
  <si>
    <t>SF-00157</t>
  </si>
  <si>
    <t>SF-00158</t>
  </si>
  <si>
    <t>SF-00159</t>
  </si>
  <si>
    <t>SF-00160</t>
  </si>
  <si>
    <t>Mola Hidráulica de piso universal para portas de batente e portas vai-e-vem em aço inoxidável. Ref.: DORMA, modelo BTS 75V/R, com eixo intercambiável tipo "B"</t>
  </si>
  <si>
    <t>Impermeabilizante para mola hidráulica. Ref: Dorma SealProtect</t>
  </si>
  <si>
    <t>SF-00161</t>
  </si>
  <si>
    <t>SF-00165</t>
  </si>
  <si>
    <t>Película de poliéster jateada incolor</t>
  </si>
  <si>
    <t>SF-00166</t>
  </si>
  <si>
    <t>Tubo de ligação para bacia sanitária em PVC, com acabamento cromado, ajustável ou não. Ref.: DECA 1968C ou equivalente</t>
  </si>
  <si>
    <t>SF-00167</t>
  </si>
  <si>
    <t>SF-00168</t>
  </si>
  <si>
    <t>SF-00169</t>
  </si>
  <si>
    <t>SF-00170</t>
  </si>
  <si>
    <t>SF-00171</t>
  </si>
  <si>
    <t>SF-00172</t>
  </si>
  <si>
    <t>SF-00173</t>
  </si>
  <si>
    <t>SF-00174</t>
  </si>
  <si>
    <t>SF-00175</t>
  </si>
  <si>
    <t>Base registro gaveta 3/4" em liga de cobre, mod 4509.202 ref: DECA ou equivalente</t>
  </si>
  <si>
    <t>SF-00176</t>
  </si>
  <si>
    <t>SF-00177</t>
  </si>
  <si>
    <t>SF-00178</t>
  </si>
  <si>
    <t>Grelha quadrada para ralo, com caixilho, dimensões 10x10cm, em Aço polido, ref.: Moldenox ou equivalente</t>
  </si>
  <si>
    <t>SF-00179</t>
  </si>
  <si>
    <t>Grelha quadrada para ralo, com caixilho, dimensões 15x15cm, em Aço polido, ref.: Moldenox ou equivalente</t>
  </si>
  <si>
    <t>SF-00180</t>
  </si>
  <si>
    <t>SF-00181</t>
  </si>
  <si>
    <t>Assento poliéster com fixação cromada na cor branco gelo, ref: AP.75.17 – Linha Fast/Aspen – Deca ou equivalente</t>
  </si>
  <si>
    <t>SF-00182</t>
  </si>
  <si>
    <t>SF-00183</t>
  </si>
  <si>
    <t>Bacia convencional com saída horizontal (Modelo P.90.17 – Linha Ravena – Deca)</t>
  </si>
  <si>
    <t>SF-00184</t>
  </si>
  <si>
    <t>Cuba oval de embutir, mod.: L37, cor branca ref: DECA ou equivalente</t>
  </si>
  <si>
    <t>SF-00185</t>
  </si>
  <si>
    <t>Cuba retangular com as dimensões 0,34x0,40x0,18m, em aço Inox AISI 304 com acabamento em alto brilho, com válvula de escoamento, ref: Franke 12646 ou equivalente</t>
  </si>
  <si>
    <t>SF-00186</t>
  </si>
  <si>
    <t>Cuba semi-encaixe com mesa, mod.: L830 ref: DECA ou equivalente</t>
  </si>
  <si>
    <t>SF-00187</t>
  </si>
  <si>
    <t>SF-00188</t>
  </si>
  <si>
    <t>Obs.: Redução do coeficiente de MO, considerando que esse serviço não inclui engate flexível e válvula de descarga.</t>
  </si>
  <si>
    <t>SF-00189</t>
  </si>
  <si>
    <t>SF-00190</t>
  </si>
  <si>
    <t>SF-00191</t>
  </si>
  <si>
    <t>SF-00192</t>
  </si>
  <si>
    <t>Tanque de louça com capacidade de 38 litros na cor branca, suspenso, sem coluna</t>
  </si>
  <si>
    <t>SF-00193</t>
  </si>
  <si>
    <t>Acabamento para registro de gaveta de 1 ¼” a 1 ½” (GD), cromado. Ref.: Modelo 4900.C35.GD – Linha Aspen – Deca</t>
  </si>
  <si>
    <t>SF-00194</t>
  </si>
  <si>
    <t>Acabamento para registro de gaveta e pressão até 1” (PQ), cromado. Ref.: Modelo, 4900.C35.PQ – Linha Aspen – Deca</t>
  </si>
  <si>
    <t>SF-00195</t>
  </si>
  <si>
    <t>Ducha higiênica com registro e derivação, com gatilho branco e flexível de 1,2m. Ref.: Modelo 1984.C35.ACT – Linha Aspen – Deca</t>
  </si>
  <si>
    <t>SF-00196</t>
  </si>
  <si>
    <t>SF-00197</t>
  </si>
  <si>
    <t>SF-00198</t>
  </si>
  <si>
    <t>Sifão regulável com tubo de saída corrugado para cozinha, cromado.  Ref.: Modelo VSM182 – Esteves</t>
  </si>
  <si>
    <t>SF-00199</t>
  </si>
  <si>
    <t>SF-00200</t>
  </si>
  <si>
    <t>SF-00201</t>
  </si>
  <si>
    <t>Torneira de mesa para cozinha, cromada. Ref.: Deca Targa 1167.C40.CR</t>
  </si>
  <si>
    <t>SF-00202</t>
  </si>
  <si>
    <t>Torneira de mesa bica móvel com arejador articulado para cozinha, cromada. Ref.: Código B5814C2CRB – Linha City – Celite</t>
  </si>
  <si>
    <t>SF-00203</t>
  </si>
  <si>
    <t>Torneira de mesa para lavatório, para uso clínico e apoio à pessoa. Ref.: Deca Link 1196.CLNK</t>
  </si>
  <si>
    <t>SF-00204</t>
  </si>
  <si>
    <t>Torneira de mesa para lavatorio, bica alta, com arejador, cromado. Ref.: Código B5810C2CRB – Linha City – Celite</t>
  </si>
  <si>
    <t>SF-00205</t>
  </si>
  <si>
    <t>Torneira de mesa para lavatorio bica baixa. Ref.: Código B5811C2CRB – Linha City – Celite</t>
  </si>
  <si>
    <t>SF-00206</t>
  </si>
  <si>
    <t>SF-00207</t>
  </si>
  <si>
    <t>Torneira de parede para cozinha bica móvel com arejador articulado, cromada. Ref.: Código B5815C2CRB – Linha City – Celite</t>
  </si>
  <si>
    <t>SF-00208</t>
  </si>
  <si>
    <t>SF-00209</t>
  </si>
  <si>
    <t xml:space="preserve">Kit conversor Hydra Max para Hydra Conforto 4916.C.112.CONF – linha Hydra Eco Conforto – Deca </t>
  </si>
  <si>
    <t>SF-00210</t>
  </si>
  <si>
    <t>Acabamento para válvula de descarga 4900.C.PRO - Deca</t>
  </si>
  <si>
    <t>SF-00211</t>
  </si>
  <si>
    <t>Kit conversor Hydra Max para Hydra Conforto 4916.C.114.CONF – Linha Hydra Eco Conforto – Deca</t>
  </si>
  <si>
    <t>SF-00212</t>
  </si>
  <si>
    <t>SF-00213</t>
  </si>
  <si>
    <t>SF-00214</t>
  </si>
  <si>
    <t>SF-00215</t>
  </si>
  <si>
    <t>SF-00216</t>
  </si>
  <si>
    <t xml:space="preserve">Alarme de emergência audiovisual intermitente com fio. Ref. Planeta Acessível Alarme PCD ou AbaFire AFSAVPNE + AbaFire AFAMPNE </t>
  </si>
  <si>
    <t>SF-00217</t>
  </si>
  <si>
    <t>Barra de apoio com comprimento de 405mm e espaçamento de 66mm da parede, barra com bitola de 32m, em aço escovado</t>
  </si>
  <si>
    <t>SF-00218</t>
  </si>
  <si>
    <t>Barra de apoio com comprimento de 705mm e espaçamento de 66mm da parede, barra com bitola de 32mm em aço escovado</t>
  </si>
  <si>
    <t>SF-00219</t>
  </si>
  <si>
    <t>Barra de apoio linha conforto com comprimento de 805mm e espaçamento de 66mm da parede, barra com bitola de 32mm em aço escovado</t>
  </si>
  <si>
    <t>SF-00220</t>
  </si>
  <si>
    <t>Barra de apoio lateral fixa, com 303mm de comprimento, com a bitola de 32mm e em aço escovado</t>
  </si>
  <si>
    <t>SF-00221</t>
  </si>
  <si>
    <t>Lavatório para instalação com coluna suspensa, para apoio à pessoa com deficiência. Ref.: Modelo L.39.17 – Linha Spot – Deca</t>
  </si>
  <si>
    <t>SF-00222</t>
  </si>
  <si>
    <t>Coluna suspensa para lavatório para apoio à pessoa com deficiência. Ref..: Deca Spot CS.39.17</t>
  </si>
  <si>
    <t>SF-00223</t>
  </si>
  <si>
    <t>Cabide, cromado. Ref.: Modelo 2060.C.FLX – Linha Flex – Deca</t>
  </si>
  <si>
    <t>SF-00224</t>
  </si>
  <si>
    <t>Papeleira, cromada. Ref.: Modelo 2020.C.FLX – Linha Flex – Deca</t>
  </si>
  <si>
    <t>SF-00225</t>
  </si>
  <si>
    <t>Porta-toalha em argola, cromado. Ref.: Modelo 2050.C.FLX – Linha Flex – Deca</t>
  </si>
  <si>
    <t>SF-00226</t>
  </si>
  <si>
    <t>Porta-toalha em barra, cromado. Ref.: Modelo 2040.C.FLX – Linha Flex – Deca</t>
  </si>
  <si>
    <t>SF-00227</t>
  </si>
  <si>
    <t>SF-00228</t>
  </si>
  <si>
    <t>Caixa 4x2 para drywall</t>
  </si>
  <si>
    <t>SF-00229</t>
  </si>
  <si>
    <t>SF-00230</t>
  </si>
  <si>
    <t>Caixa 4x4 para drywall</t>
  </si>
  <si>
    <t>SF-00231</t>
  </si>
  <si>
    <t>Caixa de passagem em alumínio c/ tampa, 100x100x50mm</t>
  </si>
  <si>
    <t>SF-00232</t>
  </si>
  <si>
    <t>Caixa de passagem em alumínio c/ tampa, 200x200x100mm</t>
  </si>
  <si>
    <t>Conector reto 1"</t>
  </si>
  <si>
    <t>SF-00233</t>
  </si>
  <si>
    <t>SF-00234</t>
  </si>
  <si>
    <t>Caixa para piso elevado, 170 mm x 170 mm x 70 mm (dimensões aproximadas), incluindo módulos de tomadas 2P+T (fêmea).</t>
  </si>
  <si>
    <t>SF-00235</t>
  </si>
  <si>
    <t>Canaleta em alumínio com tampa, divisória interna, 73x25mm, incluindo curvas, conexões e acessórios de fixação</t>
  </si>
  <si>
    <t>SF-00236</t>
  </si>
  <si>
    <t>SF-00237</t>
  </si>
  <si>
    <t>Tiro com pistola para fixação de pino Ø 1/4" em concreto, inclusive cartucho e pino</t>
  </si>
  <si>
    <t>Eletrocalha perfurada (cabos elétricos) ou lisa (dados), tipo "U", de aço galvanizado eletrolítico 100 x 50 mm, fabricado em chapa #20 (0,95 mm)</t>
  </si>
  <si>
    <t>Barra roscada em aço Ø 1/4", comprimento 1 m, bicromatizada ou zincada</t>
  </si>
  <si>
    <t>Arruela em aço galvanizado Ø 1/4"</t>
  </si>
  <si>
    <t>Suporte suspensão vertical para eletrocalha 100 x 50 mm largura x aba</t>
  </si>
  <si>
    <t>Prolongador para tirante rosqueado de 1/4" x 50 mm</t>
  </si>
  <si>
    <t>Parafuso lentilha 1/4 x 1/2"</t>
  </si>
  <si>
    <t>Tala auto portante para emenda 50 mm</t>
  </si>
  <si>
    <t>Tampa de encaixe para eletrocalha aço galvanizado perfurada ou lisa, 100 mm</t>
  </si>
  <si>
    <t>SF-00238</t>
  </si>
  <si>
    <t>Eletrocalha perfurada (cabos elétricos) ou lisa (dados), tipo "U", de aço galvanizado eletrolítico 200 x 100 mm, fabricado em chapa #18 (1,25 mm)</t>
  </si>
  <si>
    <t>Suporte suspensão omega para eletrocalha 200 x 100mm largura x aba</t>
  </si>
  <si>
    <t>Tala auto portante para emenda 100 mm</t>
  </si>
  <si>
    <t>Tampa de encaixe para eletrocalha aço galvanizado perfurada ou lisa, 200 mm</t>
  </si>
  <si>
    <t>SF-00239</t>
  </si>
  <si>
    <t>Eletrocalha perfurada (cabos elétricos) ou lisa (dados), tipo "U", de aço galvanizado eletrolítico 200 x 50 mm, fabricado em chapa #18 (1,25 mm)</t>
  </si>
  <si>
    <t>Suporte suspensão omega para eletrocalha 200 x 50 mm largura x aba</t>
  </si>
  <si>
    <t>SF-00240</t>
  </si>
  <si>
    <t>Eletrocalha perfurada (cabos elétricos) ou lisa (dados), tipo "U", de aço galvanizado eletrolítico 300 x 100 mm, fabricado em chapa #18 (1,25 mm)</t>
  </si>
  <si>
    <t>Suporte suspensão omega para eletrocalha 300 x 100 mm largura x aba</t>
  </si>
  <si>
    <t>Tampa de encaixe para eletrocalha aço galvanizado perfurada ou lisa, 300 mm</t>
  </si>
  <si>
    <t>SF-00241</t>
  </si>
  <si>
    <t>Eletrocalha perfurada (cabos elétricos) ou lisa (dados), tipo "U", de aço galvanizado eletrolítico 300 x 050 mm, fabricado em chapa #18 (1,25 mm)</t>
  </si>
  <si>
    <t>Suporte suspensão omega para eletrocalha 300 x 50 mm largura x aba</t>
  </si>
  <si>
    <t>SF-00242</t>
  </si>
  <si>
    <t>Eletrocalha perfurada (cabos elétricos) ou lisa (dados), tipo "U", de aço galvanizado eletrolítico 400 x 050 mm, fabricado em chapa #16 (1,55 mm)</t>
  </si>
  <si>
    <t>Suporte suspensão omega para eletrocalha 400 x 50 mm largura x aba</t>
  </si>
  <si>
    <t>Tampa de encaixe para eletrocalha aço galvanizado perfurada ou lisa, 400 mm</t>
  </si>
  <si>
    <t>SF-00243</t>
  </si>
  <si>
    <t>Eletrocalha perfurada (cabos elétricos) ou lisa (dados), tipo "U", de aço galvanizado eletrolítico 50 x 50 mm, fabricado em chapa #22 (0,8 mm)</t>
  </si>
  <si>
    <t>Suporte suspensão vertical para eletrocalha 50 x 50 mm largura x aba</t>
  </si>
  <si>
    <t>Tampa de encaixe para eletrocalha aço galvanizado perfurada ou lisa, 50 mm</t>
  </si>
  <si>
    <t>SF-00244</t>
  </si>
  <si>
    <t>Eletroduto de aço com costura galvanização eletrolítica Ø 1 1/2"</t>
  </si>
  <si>
    <t>SF-00245</t>
  </si>
  <si>
    <t>Eletroduto de aço com costura galvanização eletrolítica Ø 1 1/4"</t>
  </si>
  <si>
    <t>SF-00246</t>
  </si>
  <si>
    <t>Eletroduto de aço com costura galvanização eletrolítica Ø 1"</t>
  </si>
  <si>
    <t>SF-00247</t>
  </si>
  <si>
    <t>Eletroduto de aço com costura galvanização eletrolítica Ø 2"</t>
  </si>
  <si>
    <t>SF-00248</t>
  </si>
  <si>
    <t>Eletroduto de aço com costura galvanização eletrolítica Ø 3/4"</t>
  </si>
  <si>
    <t>SF-00249</t>
  </si>
  <si>
    <t>SF-00250</t>
  </si>
  <si>
    <t>SF-00251</t>
  </si>
  <si>
    <t>SF-00252</t>
  </si>
  <si>
    <t>SF-00253</t>
  </si>
  <si>
    <t>Perfilado perfurado em aço galvanizado # 18, 38 x 38 mm</t>
  </si>
  <si>
    <t>Suporte curto para perfilado em aço galvanizado # 22, 38 mm x 100 mm</t>
  </si>
  <si>
    <t>Tala 4 furos para emenda 38 mm</t>
  </si>
  <si>
    <t>Tampa de encaixe para perfilado em aço galvanizado 38 mm</t>
  </si>
  <si>
    <t>SF-00254</t>
  </si>
  <si>
    <t>SF-00255</t>
  </si>
  <si>
    <t>SF-00256</t>
  </si>
  <si>
    <t>Espelho cego redondo</t>
  </si>
  <si>
    <t>SF-00257</t>
  </si>
  <si>
    <t xml:space="preserve">Tampa para condulete alumínio para eletrodutos de 1", de sobrepor , com conexões e acessórios. </t>
  </si>
  <si>
    <t>Interruptor para condulete alumínio para eletrodutos de 1’’, de sobrepor, com conexões e acessórios.</t>
  </si>
  <si>
    <t>SF-00258</t>
  </si>
  <si>
    <t>Módulo cego</t>
  </si>
  <si>
    <t>SF-00259</t>
  </si>
  <si>
    <t>SF-00260</t>
  </si>
  <si>
    <t>SF-00261</t>
  </si>
  <si>
    <t>Módulo para saída de fio</t>
  </si>
  <si>
    <t>SF-00262</t>
  </si>
  <si>
    <t>Módulo sensor de presença</t>
  </si>
  <si>
    <t>SF-00263</t>
  </si>
  <si>
    <t>SF-00264</t>
  </si>
  <si>
    <t>SF-00265</t>
  </si>
  <si>
    <t>Porta equipamentos para canaleta de alumínio aparente</t>
  </si>
  <si>
    <t>SF-00266</t>
  </si>
  <si>
    <t xml:space="preserve">Tampa cega para caixa de piso 4x2 cromada. </t>
  </si>
  <si>
    <t>SF-00267</t>
  </si>
  <si>
    <t xml:space="preserve">Tampa cega para caixa de piso 4x4 cromada. </t>
  </si>
  <si>
    <t>SF-00268</t>
  </si>
  <si>
    <t>Tampa cega para condulete alumínio para eletrodutos de 1’’, de sobrepor, com conexões e acessórios.</t>
  </si>
  <si>
    <t>SF-00269</t>
  </si>
  <si>
    <t>Espelho para dois módulos RJ45 para condulete alumínio para eletrodutos de 1’’, de sobrepor, com conexões e acessórios.</t>
  </si>
  <si>
    <t>SF-00270</t>
  </si>
  <si>
    <t xml:space="preserve">Tomada 10A para condulete alumínio para eletrodutos de 1’’, de sobrepor, com conexões e acessórios. </t>
  </si>
  <si>
    <t>SF-00271</t>
  </si>
  <si>
    <t>Caixa com tampa fixa em perfil para tomada em perfilado</t>
  </si>
  <si>
    <t>Tomada de embutir 2 polos + terra sem placa 250 V 10 A</t>
  </si>
  <si>
    <t>SF-00272</t>
  </si>
  <si>
    <t>Bloco autônomo (luminária de emergência). Ref.: Aureon BLOKITO BLK 500 (9901.0000.1079.05 – Aclaramento e 9901.0000.1128.05 – balizamento)</t>
  </si>
  <si>
    <t>SF-00273</t>
  </si>
  <si>
    <t>Cabo de cobre multipolar isolado 0,6/1 kV 3x2,5 mm² resistente a chama, livre de halogênios</t>
  </si>
  <si>
    <t>Plugue (macho) com 3 polos (2P+T), para 10A</t>
  </si>
  <si>
    <t>Plugue (fêmea) com 3 polos (2P+T), para 10A</t>
  </si>
  <si>
    <t>SF-00274</t>
  </si>
  <si>
    <t>Luminária de embutir T5 2 x 7,5 W, ref.: Intral DE-500 (cod. 08017), Lumicenter FAA20-E214, Lumiluz LDA 2x14 W, G-Light LART5-2X14EBR-AA, Blan ACRUX T5 Elite A-7115</t>
  </si>
  <si>
    <t>Lâmpada TuboLED T5 de 7,5 W, ref.: Osram SubstiTUBE T5 HO AC 7.5W 4000K 900lm BIV G5 (7015212, Código de barras: 4058075196711); Philips CorePro LEDtube 600mm 8W840 G5 I (Código de barras: 8718696750469)</t>
  </si>
  <si>
    <t>SF-00275</t>
  </si>
  <si>
    <t>Luminária de sobrepor T5 2 x 7,5 W, ref.: Intral DS-500 (cod. 08021), Lumicenter FAA20-S214, Lumiluz LSA 2x14 W, G-Light LART5-2X14SBR-AA, Blan ACRUX T5 Elite A-7015</t>
  </si>
  <si>
    <t>SF-00276</t>
  </si>
  <si>
    <t>Luminária de embutir T5 2 x 15 W, ref.: Intral DE-500 (cod. 08025), Lumicenter FAA20-E228, Lumiluz LDA 2X28W, Sylvania LFT032-RN, G-Light LART5-2X28EBR-AA, Blan ACRUX T5 Elite A-7135</t>
  </si>
  <si>
    <t>Lâmpada TuboLED T5 de 15 W, ref.: Osram SubstiTUBE T5 HO AC 15W 4000K 1850lm BIV G5 (7015215, Código de barras: 4058075196773), Philips MASTER LEDtube 1200mm 13W840 G5 I</t>
  </si>
  <si>
    <t>SF-00277</t>
  </si>
  <si>
    <t>Luminária de sobrepor T5 2 x 15 W, ref.: Intral DS-500 (cod. 08029), Lumicenter FAA20-S228, Lumiluz LSA 2X28W, Sylvania LFT012-RN, G-Light LART5-2X28SBR-AA, Blan ACRUX T5 Elite A-7035</t>
  </si>
  <si>
    <t>SF-00278</t>
  </si>
  <si>
    <t>Cabo flexível isolado em EPR não halogenado 10 mm² 0,6 a 1 kV</t>
  </si>
  <si>
    <t>SF-00279</t>
  </si>
  <si>
    <t>Cabo flexível isolado em EPR não halogenado 16 mm² 0,6 a 1 kV</t>
  </si>
  <si>
    <t>SF-00280</t>
  </si>
  <si>
    <t>Cabo de cobre isolado PVC 450/750V 2,5mm² resistente a chamas, livre de halogênios</t>
  </si>
  <si>
    <t>SF-00281</t>
  </si>
  <si>
    <t>Cabo de cobre multipolar, classe 5, isolação em EPR, 0,6/1 kV, 3x2,5mm² resistente a chama, livre de halogênios</t>
  </si>
  <si>
    <t>SF-00282</t>
  </si>
  <si>
    <t>Cabo de cobre isolado PVC 450/750V 4mm² resistente a chamas, livre de halogênios</t>
  </si>
  <si>
    <t>SF-00283</t>
  </si>
  <si>
    <t>Cabo de cobre multipolar, classe 5, isolação em EPR, 0,6/1 kV, 4x2,5mm² resistente a chama, livre de halogênios</t>
  </si>
  <si>
    <t>SF-00284</t>
  </si>
  <si>
    <t>Cabo de cobre isolado PVC 450/750V 6mm² resistente a chamas, livre de halogênios</t>
  </si>
  <si>
    <t>SF-00285</t>
  </si>
  <si>
    <t>Quadro elétrico tipo TTA completo com 30 disjuntores terminais, contemplando disjuntores, DPS, DR, etc., conforme especificação</t>
  </si>
  <si>
    <t>SF-00286</t>
  </si>
  <si>
    <t>Ar-condicionado do tipo split piso-teto inverter 54.000 BTU/h</t>
  </si>
  <si>
    <t>SF-00287</t>
  </si>
  <si>
    <t>Ar-condicionado fancolete hidrônico dutado 2,5 TR</t>
  </si>
  <si>
    <t>SF-00288</t>
  </si>
  <si>
    <t>Ar-condicionado fancolete hidrônico dutado 4,5 TR</t>
  </si>
  <si>
    <t>SF-00289</t>
  </si>
  <si>
    <t>Ar-condicionado fancolete hidrônico hi-wall 1,4 TR</t>
  </si>
  <si>
    <t>SF-00290</t>
  </si>
  <si>
    <t>Ar-condicionado split dutado inverter 30.000 BTU/h</t>
  </si>
  <si>
    <t>SF-00291</t>
  </si>
  <si>
    <t>Ar-condicionado split hi-wall inverter 12.000 BTU/h</t>
  </si>
  <si>
    <t>SF-00292</t>
  </si>
  <si>
    <t>Ar-condicionado split hi-wall inverter 22.000 BTU/h</t>
  </si>
  <si>
    <t>SF-00293</t>
  </si>
  <si>
    <t>SF-00294</t>
  </si>
  <si>
    <t>SF-00295</t>
  </si>
  <si>
    <t>Exaustor axial, 1F/220V/60Hz,  vazão máxima 340 m3/h, pressão estática máxima 104 Pa. Referência Comercial: Multivac Muro150B 220V</t>
  </si>
  <si>
    <t>SF-00296</t>
  </si>
  <si>
    <t>Exaustor axial, 1F/220V/60Hz,  vazão máxima 865 m3/h, pressão estática máxima 582 Pa . Referência Comercial: Multivac AXC 200B</t>
  </si>
  <si>
    <t>SF-00297</t>
  </si>
  <si>
    <t>Suportes e acessórios de fixação de dutos em chapa de aço #22</t>
  </si>
  <si>
    <t>cj</t>
  </si>
  <si>
    <t>SF-00298</t>
  </si>
  <si>
    <t>Duto flexível com isolamento térmico e barreira de vapor, diâmetro 6”, 6 m de comprimento. Referência Comercial: Multivac Isodec RT 0.6</t>
  </si>
  <si>
    <t>SF-00299</t>
  </si>
  <si>
    <t>Duto flexível com isolamento térmico e barreira de vapor, diâmetro 8”, 6 m de comprimento. Referência: Multivac Isodec RT 0.6</t>
  </si>
  <si>
    <t>SF-00300</t>
  </si>
  <si>
    <t>Difusor de ar quadrado, 360x360 mm, Referência Comercial: Trox ADLQ-AG Nº4</t>
  </si>
  <si>
    <t>SF-00301</t>
  </si>
  <si>
    <t>Difusor de ar quadrado com caixa pleno AK6 360x360 mm. Ref.: Trox ADLK-AG Nº4</t>
  </si>
  <si>
    <t>SF-00302</t>
  </si>
  <si>
    <t>Difusor de ar quadrado para insuflamento em duas direções perpendiculares 376x376 mm, Referência Comercial: Trox  ADQ-2C-AG</t>
  </si>
  <si>
    <t>SF-00303</t>
  </si>
  <si>
    <t>Difusor de ar retangular para insuflamento em duas direções (fluxo na direção perpendicular às maiores arestas do retângulo), 371x208 mm. Ref.: Trox ADQ-2</t>
  </si>
  <si>
    <t>SF-00304</t>
  </si>
  <si>
    <t>Difusor de ar retangular para insuflamento em três direções (um fluxo na direção perpendicular às maiores arestas do retângulo e dois fluxos na direção perpendicular às menores arestas), 264x432 mm, Referência Comercial: Trox  ADQ-32-AG</t>
  </si>
  <si>
    <t>SF-00305</t>
  </si>
  <si>
    <t>Difusor de ar retangular para insuflamento em três direções 320x562 mm. Ref.: Trox ADQ-32-AG</t>
  </si>
  <si>
    <t>SF-00306</t>
  </si>
  <si>
    <t>Difusor de ar retangular para insuflamento em três direções (dois fluxos na direção perpendicular às maiores arestas do retângulo e um fluxo na direção perpendicular às menores arestas), 371x208 mm. Ref.: Trox ADQ-3</t>
  </si>
  <si>
    <t>SF-00307</t>
  </si>
  <si>
    <t>Difusor de ar retangular para insuflamento em uma direção (fluxo na direção perpendicular às maiores arestas do retângulo), 371x208 mm. Ref.: Trox ADQ-1</t>
  </si>
  <si>
    <t>SF-00308</t>
  </si>
  <si>
    <t>Grelha para retorno de ar com lâminas fixas e registro, 40 x 20 cm</t>
  </si>
  <si>
    <t>SF-00309</t>
  </si>
  <si>
    <t>Grelha para retorno de ar com lâminas fixas e registro, 50 x 30 cm</t>
  </si>
  <si>
    <t>SF-00310</t>
  </si>
  <si>
    <t>SF-00311</t>
  </si>
  <si>
    <t>SF-00312</t>
  </si>
  <si>
    <t>SF-00313</t>
  </si>
  <si>
    <t>Bomba para condensado de ar-condicionado para instalação oculta, 1F/220V/60Hz, vazão 14 l/h (a 0 mmca). Ref.: Elgin Mini Orange</t>
  </si>
  <si>
    <t>SF-00314</t>
  </si>
  <si>
    <t>Fita aluminizada 48 mm</t>
  </si>
  <si>
    <t>SF-00315</t>
  </si>
  <si>
    <t>Fita PVC 100 mm</t>
  </si>
  <si>
    <t>SF-00316</t>
  </si>
  <si>
    <t>Conector fixo NPT 3/4"</t>
  </si>
  <si>
    <t>Conector giratório NPT 3/4"</t>
  </si>
  <si>
    <t>Mangueira emborrachada 3/4"</t>
  </si>
  <si>
    <t>SF-00317</t>
  </si>
  <si>
    <t>Suporte para unidade condensadora de aparelho split ou fancolete</t>
  </si>
  <si>
    <t>SF-00318</t>
  </si>
  <si>
    <t>Suporte para unidade evaporadora de aparelho split ou fancolete</t>
  </si>
  <si>
    <t>SF-00319</t>
  </si>
  <si>
    <t>Filtro em Y 1" (DN 25 mm), fabricado em bronze, extremidade com roscas, filtro em aço inoxidável, classe de pressão PN20 ou superior. Ref.: Deca 000.085.100.03</t>
  </si>
  <si>
    <t>SF-00320</t>
  </si>
  <si>
    <t>Filtro em Y 3/4" (DN 20 mm), fabricado em bronze, extremidade com roscas, filtro em aço inoxidável, classe de pressão PN20 ou superior. Ref.: Deca 000.085.034.03</t>
  </si>
  <si>
    <t>SF-00321</t>
  </si>
  <si>
    <t>Atuador tipo liga/desliga (ON/OFF), com tensão compatível com o restante do sistema (24 V ou 220 V) e mecanicamente compatível com a válvula fornecida. Referência comercial: IMI Hydronic Engineering EMO-T</t>
  </si>
  <si>
    <t>Válvula de balanceamento e controle (PIBCV) 2 vias, para controle on-off, diâmetro nominal 1" (25 mm). Ref.: IMI Hydronic Engineering TA-COMPACT-P DN 25, Honeywell VRN2C</t>
  </si>
  <si>
    <t>SF-00322</t>
  </si>
  <si>
    <t>Válvula de balanceamento e controle (PIBCV) 2 vias, para controle on-off, diâmetro nominal 3/4" (20 mm). Ref.: IMI Hydronic Engineering TA-COMPACT-P DN 20, Honeywell VRN2B</t>
  </si>
  <si>
    <t>SF-00323</t>
  </si>
  <si>
    <t>SF-00324</t>
  </si>
  <si>
    <t>SF-00325</t>
  </si>
  <si>
    <t>SF-00326</t>
  </si>
  <si>
    <t>SF-00327</t>
  </si>
  <si>
    <t>Isolamento elastomérico em formato prancha autoadesiva de espessura M. Ref.: AF/Armaflex M-99/E-A, K-Flex ST</t>
  </si>
  <si>
    <t>SF-00328</t>
  </si>
  <si>
    <t>Isolamento elastomérico em formato de tubo ou coquilha de espessura M, próprio para tubulação de cobre de diâmetro nominal 1 1/8" e para tubulações de ferro de diâmetro nominal 3/4". Ref.: AF/Armaflex M-28, K-Flex ST</t>
  </si>
  <si>
    <t>Obs.: As seguintes proporções foram consideradas quanto ao tempo de mão de obra: 70% para instalação do tubo e 30% para instalação do isolamento térmico.</t>
  </si>
  <si>
    <t>SF-00329</t>
  </si>
  <si>
    <t>Isolamento elastomérico em formato de tubo ou coquilha de espessura M, próprio para tubulação de cobre de diâmetro nominal 1/2". Ref.: AF/Armaflex M-12, K-Flex ST</t>
  </si>
  <si>
    <t>SF-00330</t>
  </si>
  <si>
    <t>Isolamento elastomérico em formato de tubo ou coquilha de espessura M, próprio para tubulação de cobre de diâmetro nominal 1/4". Ref.: AF/Armaflex M-06, K-Flex ST</t>
  </si>
  <si>
    <t>SF-00331</t>
  </si>
  <si>
    <t>Isolamento elastomérico em formato de tubo ou coquilha de espessura M, próprio para tubulação de cobre de diâmetro nominal 3/4". Ref.: AF/Armaflex M-18, K-Flex ST</t>
  </si>
  <si>
    <t>SF-00332</t>
  </si>
  <si>
    <t>Isolamento elastomérico em formato de tubo ou coquilha de espessura M, próprio para tubulação de cobre de diâmetro nominal 3/8". Ref.: AF/Armaflex M-10, K-Flex ST</t>
  </si>
  <si>
    <t>SF-00333</t>
  </si>
  <si>
    <t>Isolamento elastomérico em formato de tubo ou coquilha de espessura M, próprio para tubulação de cobre de diâmetro nominal 5/8". Ref.: AF/Armaflex M-15, K-Flex ST</t>
  </si>
  <si>
    <t>SF-00334</t>
  </si>
  <si>
    <t>Isolamento elastomérico em formato de tubo ou coquilha de espessura M, próprio para tubulação de cobre de diâmetro nominal 7/8" e para tubulações de ferro de diâmetro nominal 1/2". Ref.: AF/Armaflex M-22, K-Flex ST</t>
  </si>
  <si>
    <t>SF-00335</t>
  </si>
  <si>
    <t>Isolamento elastomérico em formato de tubo ou coquilha de espessura M, próprio para tubulação de cobre de diâmetro nominal 1". Ref.: AF/Armaflex M-25, K-Flex ST</t>
  </si>
  <si>
    <t>SF-00336</t>
  </si>
  <si>
    <t>Isolamento elastomérico em formato de tubo ou coquilha de espessura M, próprio para tubulação ferro de diâmetro nominal 1 1/2". Ref.: AF/Armaflex M-48, K-Flex ST</t>
  </si>
  <si>
    <t>SF-00337</t>
  </si>
  <si>
    <t>Isolamento elastomérico em formato de tubo ou coquilha de espessura M, próprio para tubulação ferro de diâmetro nominal 1 1/4". Ref.: AF/Armaflex M-42, K-Flex ST</t>
  </si>
  <si>
    <t>SF-00338</t>
  </si>
  <si>
    <t>Isolamento elastomérico em formato de tubo ou coquilha de espessura M, próprio para tubulação ferro de diâmetro nominal 1". Ref.: AF/Armaflex M-35, K-Flex ST</t>
  </si>
  <si>
    <t>SF-00339</t>
  </si>
  <si>
    <t>Alumínio corrugado sem barreira espessura mínima = 0,15mm</t>
  </si>
  <si>
    <t>SF-00340</t>
  </si>
  <si>
    <t>SF-00341</t>
  </si>
  <si>
    <t>SF-00342</t>
  </si>
  <si>
    <t>SF-00343</t>
  </si>
  <si>
    <t>SF-00344</t>
  </si>
  <si>
    <t>SF-00345</t>
  </si>
  <si>
    <t>SF-00346</t>
  </si>
  <si>
    <t>SF-00347</t>
  </si>
  <si>
    <t>SF-00348</t>
  </si>
  <si>
    <t>SF-00349</t>
  </si>
  <si>
    <t>Tubo de cobre flexivel, D = 7/8 ", E = 0,79 mm, para ar-condicionado/ instalacoes gas residenciais e comerciais</t>
  </si>
  <si>
    <t>SF-00350</t>
  </si>
  <si>
    <t>Tubo de cobre flexivel, D = 1 ", E = 0,79 mm, para ar-condicionado/ instalacoes gas residenciais e comerciais</t>
  </si>
  <si>
    <t>SF-00351</t>
  </si>
  <si>
    <t>Tubo de cobre flexivel, D = 1 1/8 ", E = 0,79 mm, para ar-condicionado/ instalacoes gas residenciais e comerciais</t>
  </si>
  <si>
    <t>SF-00354</t>
  </si>
  <si>
    <t>SF-00355</t>
  </si>
  <si>
    <t>SF-00356</t>
  </si>
  <si>
    <t>Lâmina de madeira - freijó</t>
  </si>
  <si>
    <t>SF-00357</t>
  </si>
  <si>
    <t>SF-00358</t>
  </si>
  <si>
    <t>Painel de TV de 90 x 120 cm, fabricado em MDP. Ref.: Germai Ipanema 90 x 120 x 26,5</t>
  </si>
  <si>
    <t>SF-00359</t>
  </si>
  <si>
    <t>SF-00360</t>
  </si>
  <si>
    <t>Chapa de proteção em aço inox AISI 304, largura conforme projeto, 400 mm de altura, chapa com espessura de 1 mm, acabamento escovado fosco</t>
  </si>
  <si>
    <t>SF-00361</t>
  </si>
  <si>
    <t>SF-00362</t>
  </si>
  <si>
    <t>SF-00363</t>
  </si>
  <si>
    <t>SF-00364</t>
  </si>
  <si>
    <t>SF-00365</t>
  </si>
  <si>
    <t>SF-00366</t>
  </si>
  <si>
    <t>SF-00367</t>
  </si>
  <si>
    <t>SF-00368</t>
  </si>
  <si>
    <t>SF-00369</t>
  </si>
  <si>
    <t>Fechadura para porta de banheiro, com maçaneta em formato de barra, confeccionada em aço com acabamento inox polido. Ref.: MZ 270 WC Standard – Linha Standard – Papaiz</t>
  </si>
  <si>
    <t>SF-00370</t>
  </si>
  <si>
    <t>Fechadura para porta externa, com maçaneta em formato de barra, confeccionada em zamac com acabamento cromado. Ref.: MZ 270 EXT Standard – Linha Standard – Papaiz</t>
  </si>
  <si>
    <t>SF-00371</t>
  </si>
  <si>
    <t>Fechadura para porta interna, com acabamento cromado brilhante, maçaneta tipo tulipa, ref.: Gold STF 050001, Soprano Tulipa Classic BR90 PY</t>
  </si>
  <si>
    <t>SF-00372</t>
  </si>
  <si>
    <t>SF-00373</t>
  </si>
  <si>
    <t>Mola aérea para fechamento automático de portas com regulagem da velocidade de fechamento. Ref.: Mola automática – Modelo 453 - Coimbra</t>
  </si>
  <si>
    <t>SF-00374</t>
  </si>
  <si>
    <t>Pivô em latão com acabamento cromado para portas pivotantes até 150 kg. Conjunto completo composto de superior macho e fêmea e inferior macho e fêmea. Ref.: Pivô Strong 150 - La fonte</t>
  </si>
  <si>
    <t>SF-00375</t>
  </si>
  <si>
    <t>Cabo de dados tipo UTP, tipo LSZH, categoria 6. Ref.: AMP 1989106-6, Furukawa 23400196</t>
  </si>
  <si>
    <t>SF-00376</t>
  </si>
  <si>
    <t>Tampa p/ conector /RJ45. ref.: Schneider Electric PRM47761 (Padrão Keystone), Schneider Electric PRM47771 (Padrão AMP)</t>
  </si>
  <si>
    <t>Módulo RJ 45 - CAT 6. Ref.: AMP 1375055-2, Furukawa 35030621</t>
  </si>
  <si>
    <t>Certificação de ponto de rede</t>
  </si>
  <si>
    <t>SF-00377</t>
  </si>
  <si>
    <t>Painel de distribuição (patch panel) de 24 portas, categoria 6. Ref.: AMP 1375014-2</t>
  </si>
  <si>
    <t>SF-00378</t>
  </si>
  <si>
    <t>SF-00379</t>
  </si>
  <si>
    <t>Tampa p/ conector /RJ45. ref.: Schneider Electric PRM47761 (padrão Keystone), Schneider Electric PRM47771 (padrão AMP)</t>
  </si>
  <si>
    <t>SF-00380</t>
  </si>
  <si>
    <t>Grelha para retorno para portas, divisórias e paredes 525x325 mm, Ref. Trox AGS-T</t>
  </si>
  <si>
    <t>SF-00405</t>
  </si>
  <si>
    <t>SF-00407</t>
  </si>
  <si>
    <t>SF-00408</t>
  </si>
  <si>
    <t>SF-00409</t>
  </si>
  <si>
    <t>SF-00411</t>
  </si>
  <si>
    <t>SF-00414</t>
  </si>
  <si>
    <t>FECHADURA DE SOBREPOR PARA PORTAO, EM ACO INOX COM ACABAMENTO CROMADO, CAIXA DE 100 MM, INCLUINDO CHAVE TIPO CILINDRO</t>
  </si>
  <si>
    <t>SF-00415</t>
  </si>
  <si>
    <t>SF-00416</t>
  </si>
  <si>
    <t>SF-00443</t>
  </si>
  <si>
    <t>SF-00467</t>
  </si>
  <si>
    <t>SF-00468</t>
  </si>
  <si>
    <t>SF-00470</t>
  </si>
  <si>
    <t>SF-00471</t>
  </si>
  <si>
    <t>SF-00472</t>
  </si>
  <si>
    <t>SF-00489</t>
  </si>
  <si>
    <t>SF-00490</t>
  </si>
  <si>
    <t>SF-00491</t>
  </si>
  <si>
    <t>SF-00494</t>
  </si>
  <si>
    <t>SF-00496</t>
  </si>
  <si>
    <t>SF-00498</t>
  </si>
  <si>
    <t>SF-00500</t>
  </si>
  <si>
    <t>SF-00501</t>
  </si>
  <si>
    <t>SF-00502</t>
  </si>
  <si>
    <t>SF-00503</t>
  </si>
  <si>
    <t>SF-00504</t>
  </si>
  <si>
    <t>SF-00505</t>
  </si>
  <si>
    <t>SF-00506</t>
  </si>
  <si>
    <t>SF-00507</t>
  </si>
  <si>
    <t>SF-00508</t>
  </si>
  <si>
    <t>SF-00509</t>
  </si>
  <si>
    <t>SF-00510</t>
  </si>
  <si>
    <t>SF-00511</t>
  </si>
  <si>
    <t>SF-00512</t>
  </si>
  <si>
    <t>SF-00513</t>
  </si>
  <si>
    <t>SF-00514</t>
  </si>
  <si>
    <t>SF-00557</t>
  </si>
  <si>
    <t>SF-00559</t>
  </si>
  <si>
    <t>SF-00561</t>
  </si>
  <si>
    <t>SF-00562</t>
  </si>
  <si>
    <t>SF-00563</t>
  </si>
  <si>
    <t>SF-00564</t>
  </si>
  <si>
    <t>SF-00565</t>
  </si>
  <si>
    <t>SF-00566</t>
  </si>
  <si>
    <t>SF-00567</t>
  </si>
  <si>
    <t>SF-00568</t>
  </si>
  <si>
    <t>Obs.: Considerando fornecedor de areia a 20 km do Senado Federal.</t>
  </si>
  <si>
    <t>SF-00569</t>
  </si>
  <si>
    <t>Obs.: Considerando fornecedor de brita a 20 km do Senado Federal.</t>
  </si>
  <si>
    <t>SF-00570</t>
  </si>
  <si>
    <t>SF-00571</t>
  </si>
  <si>
    <t>SF-00572</t>
  </si>
  <si>
    <t>SF-00573</t>
  </si>
  <si>
    <t>SF-00574</t>
  </si>
  <si>
    <t>BLOCO DE VEDACAO TIPO CANALETA DE CONCRETO 19 X 19 X 39 CM (CLASSE C - NBR 6136)</t>
  </si>
  <si>
    <t>SF-00575</t>
  </si>
  <si>
    <t>SF-00576</t>
  </si>
  <si>
    <t>SF-00577</t>
  </si>
  <si>
    <t>SF-00578</t>
  </si>
  <si>
    <t>SF-00579</t>
  </si>
  <si>
    <t>SF-00580</t>
  </si>
  <si>
    <t>SF-00581</t>
  </si>
  <si>
    <t>SF-00582</t>
  </si>
  <si>
    <t>SF-00583</t>
  </si>
  <si>
    <t>SF-00588</t>
  </si>
  <si>
    <t>SF-00592</t>
  </si>
  <si>
    <t>SF-00681</t>
  </si>
  <si>
    <t>SF-00708</t>
  </si>
  <si>
    <t>Obs: considerando 220h/mês e encargos sociais indicados na tabela do SINAPI.</t>
  </si>
  <si>
    <t>SF-00709</t>
  </si>
  <si>
    <t>SF-00710</t>
  </si>
  <si>
    <t>SF-00711</t>
  </si>
  <si>
    <t>SF-00712</t>
  </si>
  <si>
    <t>SF-00713</t>
  </si>
  <si>
    <t>SF-00714</t>
  </si>
  <si>
    <t>SF-00715</t>
  </si>
  <si>
    <t>SF-00716</t>
  </si>
  <si>
    <t>SF-00717</t>
  </si>
  <si>
    <t>SF-00718</t>
  </si>
  <si>
    <t>SF-00728</t>
  </si>
  <si>
    <t>SF-00737</t>
  </si>
  <si>
    <t>SF-00745</t>
  </si>
  <si>
    <t>SF-00746</t>
  </si>
  <si>
    <t>SF-00769</t>
  </si>
  <si>
    <t>SF-00770</t>
  </si>
  <si>
    <t>SF-00772</t>
  </si>
  <si>
    <t>SF-00814</t>
  </si>
  <si>
    <t>SF-00815</t>
  </si>
  <si>
    <t>SF-00828</t>
  </si>
  <si>
    <t>SF-00829</t>
  </si>
  <si>
    <t>SF-00840</t>
  </si>
  <si>
    <t>SF-00841</t>
  </si>
  <si>
    <t>SF-00844</t>
  </si>
  <si>
    <t>SF-00845</t>
  </si>
  <si>
    <t>SF-00846</t>
  </si>
  <si>
    <t>SF-00847</t>
  </si>
  <si>
    <t>SF-00848</t>
  </si>
  <si>
    <t>SF-00849</t>
  </si>
  <si>
    <t>SF-00850</t>
  </si>
  <si>
    <t>Bucha para pivô de dobradiça para vidro temperado. Ref.: Santa Marina/1201; Belga Metais / 9201</t>
  </si>
  <si>
    <t>SF-00851</t>
  </si>
  <si>
    <t>Suporte para bandeira de vidro temperado, com ponto de giro para dobradiça. Ref.: Santa Marina / 1203; Belga Metais / 9203</t>
  </si>
  <si>
    <t>SF-00852</t>
  </si>
  <si>
    <t>Suporte de canto, simples, para vidro temperado. Ref.: Santa Marina/1302; Belga Metais/9302</t>
  </si>
  <si>
    <t>SF-00853</t>
  </si>
  <si>
    <t>Suporte de união em "L" em latão fundido, sem batedor, para dois ou três vidros temperados de 10 mm. Ref.: Santa Marina/1310; Belga Metais/9310</t>
  </si>
  <si>
    <t>OBS: Para o preço unitário do insumo, considerou-se 85% do preço da peça tipo 1308 da tabela TCPO/PINI, percentual esse verificado mediante pesquisa de mercado.</t>
  </si>
  <si>
    <t>SF-00854</t>
  </si>
  <si>
    <t>Botão de correção fosco acetinado com parafuso. Ref.: Santa Marina/1002</t>
  </si>
  <si>
    <t>SF-00855</t>
  </si>
  <si>
    <t>Fechadura bico-de-papagaio, com furo, para porta de correr em vidro temperado 10 mm. Ref.: Santa Marina / 3530; Belga Metais / 9510-F</t>
  </si>
  <si>
    <t>SF-00856</t>
  </si>
  <si>
    <t>Fechadura bico-de-papagaio, com furo, para aplicação em janela de correr em vidro temperado 10 mm. Ref.: Santa Marina/3532; Belga Metais/9510-JF</t>
  </si>
  <si>
    <t>SF-00857</t>
  </si>
  <si>
    <t>Fechadura para aplicação em porta de abrirem vidro temperado 10 mm. Ref.: Santa Marina/1520; Belga Metais/9520</t>
  </si>
  <si>
    <t>SF-00858</t>
  </si>
  <si>
    <t>Contra fechadura, para alvenaria, para porta com fechadura 1520/952, aplicada em alvenaria junto a porta de abrirem vidro temperado 10 mm. Ref.: TQ Ferragens/1504; Santa Marina/1504; Belga Metais/1504</t>
  </si>
  <si>
    <t>SF-00859</t>
  </si>
  <si>
    <t>Contra fechadura de pressão para porta de vidro temperado de 10 mm, usada com fechaduras de referência 1520SE / 9520PRD / 9520PRE. Ref.: Santa Marina/1504S; Belga Metais 9504S</t>
  </si>
  <si>
    <t>SF-00860</t>
  </si>
  <si>
    <t>Contra fechadura, com furo, para porta de correr com furo em vidro temperado 10 mm, usada com fechaduras de referência 3530/9510-F. Ref.: Santa Marina/3534; Belga Metais/9511-F</t>
  </si>
  <si>
    <t>SF-00861</t>
  </si>
  <si>
    <t>Trinco inferior, com miolo, em latão fundido cromado, para porta de vidro temperado 10 mm. Ref.: Santa Marina/1502; Belga Metais/9502</t>
  </si>
  <si>
    <t>SF-00862</t>
  </si>
  <si>
    <t>SF-00863</t>
  </si>
  <si>
    <t>Puxador para porta de vidro temperado redondo duplo em resina poliéster incolor com aditivo anti-UV com 110-135 mm de diâmetro. Ref.: 1608 e 1609, Poliforma Alumínios e Ferragens; 1613, Aço Metais</t>
  </si>
  <si>
    <t>SF-00864</t>
  </si>
  <si>
    <t>Puxador para porta de vidro temperado em aço inox, sob medida, tipo A</t>
  </si>
  <si>
    <t>SF-00865</t>
  </si>
  <si>
    <t>Dobradiça superior para porta de vidro temperado, em latão fundido cromado. Ref.: Santa Marina / 1101 ou Belga Metais / 9101</t>
  </si>
  <si>
    <t>SF-00866</t>
  </si>
  <si>
    <t>Obs: Perfil em alumínio anodizado, tipo U - abas iguais - PU 5/8" x 5/8" – espessura 1,58mm</t>
  </si>
  <si>
    <t>Fonte do coeficiente: http://www.estreladosmetais.com.br/pag_metal_aluminio_perfil_u_igual.php</t>
  </si>
  <si>
    <t>SF-00867</t>
  </si>
  <si>
    <t>Obs: Trilho superior em alumínio anodizado 60mm x 49,5mm, para vidro temperado. Ref.: AL-0051</t>
  </si>
  <si>
    <t>Fonte do coeficiente: http://www.ferragensdbf.com.br/produtos-aluminio.html</t>
  </si>
  <si>
    <t>SF-00868</t>
  </si>
  <si>
    <t>Obs: Perfil guia inferior de alumínio anodizado 39,3 mm x 24 mm para vidro temperado 10mm. Ref.: Perfil Guia Inferior AL-0005</t>
  </si>
  <si>
    <t>SF-00869</t>
  </si>
  <si>
    <t>SF-00870</t>
  </si>
  <si>
    <t>Obs: Perfil Guia Inferior “Click” de alumínio anodizado. Ref.: Perfil AL-0013</t>
  </si>
  <si>
    <t>SF-00871</t>
  </si>
  <si>
    <t>Dobradiça inferior para porta de vidro temperado, em latão fundido cromado. Ref.: Santa Marina / 1103; Belga Metais / 9103</t>
  </si>
  <si>
    <t>SF-00872</t>
  </si>
  <si>
    <t>Escova de vedação para aplicação em janela ou porta de vidro temperado, autocolante ou de encaixe, na cor preta, branca ou cinza alumínio, entre 5mm e 7mm de base. Ref.: 290-1 (vidromax) 5x5 preto; Seal; VBrasil; Aluinter</t>
  </si>
  <si>
    <t>SF-00873</t>
  </si>
  <si>
    <t>Roldana simples em nylon para porta ou janela de correr de vidro temperado. Ref.: Santa Marina/1125N; Belga Metais/9125</t>
  </si>
  <si>
    <t>SF-00874</t>
  </si>
  <si>
    <t>Roldana dupla em nylon para porta ou janela de correr de vidro temperado. Ref.: Santa Marina/1125N; Belga Metais/9125</t>
  </si>
  <si>
    <t>SF-00875</t>
  </si>
  <si>
    <t>Capuchinho para trinco para vidro temperado, com furo de 8 ou 10 mm, em latão fundido. Ref.: Santa Marina/1037; Santa Marina/1038; Belga Metais/9038</t>
  </si>
  <si>
    <t>SF-00876</t>
  </si>
  <si>
    <t>Facão simples para lateral e bandeira de vidro temperado 10 mm, com ponto de giro para dobradiça superior, em latão fundido cromado. Ref.: Santa Marina/1209; Belga Metais/9209</t>
  </si>
  <si>
    <t>SF-00877</t>
  </si>
  <si>
    <t>Fechadura de pressão para porta de abrir em vidro temperado 10 mm. Ref.: Belga  Metais/9520-PRD (lado direito); Santa Marina/1520SE; Belga Metais/9520-PRE (lado esquerdo)</t>
  </si>
  <si>
    <t>SF-00878</t>
  </si>
  <si>
    <t>Suporte de união, com miolo, para vidro temperado de 10 mm, em latão fundido cromado. Ref.: Santa Marina/1306; Belga Metais/9306</t>
  </si>
  <si>
    <t>SF-00879</t>
  </si>
  <si>
    <t>Suporte para basculante e pivotante de vidro temperado 10 mm, em latão fundido cromado. Ref.: Santa Marina/1230; Belga Metais/9230</t>
  </si>
  <si>
    <t>SF-00880</t>
  </si>
  <si>
    <t>Trinco central para basculante em vidro temperado 10 mm, em latão fundido cromado. Ref.: Santa Marina/1523; Belga Metais/9523</t>
  </si>
  <si>
    <t>SF-00881</t>
  </si>
  <si>
    <t>SF-00883</t>
  </si>
  <si>
    <t>Dobradiça automática para Box de vidro temperado. Ref.: Belga Metais/9114 e Belga Metais/9115</t>
  </si>
  <si>
    <t>SF-00884</t>
  </si>
  <si>
    <t>Dobradiça horizontal, com trinco central, para janela tipo basculante de vidro temperado com 8mm ou 10mm de espessura. Ref.: Belga Metais/9123-A</t>
  </si>
  <si>
    <t>SF-00885</t>
  </si>
  <si>
    <t>Dobradiça horizontal, sem trinco, para janela tipo basculante de vidro temperado com 8mm ou 10mm de espessura. Ref.: Belga Metais/9123</t>
  </si>
  <si>
    <t>SF-00886</t>
  </si>
  <si>
    <t>Fechadura elétrica para porta de vidro temperado com 8mm ou 10mm de espessura, acabamento cromado. Ref.: Fechadura Modelo FV35ICR / FV35ECRA / FV32ICR / FV32IPR / FV32ICRA / FV32ECRA, fabricante Amelco</t>
  </si>
  <si>
    <t>SF-00887</t>
  </si>
  <si>
    <t>Porteiro eletrônico residencial. Ref.: Amelco AM-m²00</t>
  </si>
  <si>
    <t>SF-00888</t>
  </si>
  <si>
    <t>Acionador de fechadura elétrica para porta de vidro temperado com 01 acionador fixo. Ref.; Amelco AF62UP</t>
  </si>
  <si>
    <t>SF-00889</t>
  </si>
  <si>
    <t>Mini chapinha para trinco de janela basculante em vidro temperado 8 ou 10 mm, em latão fundido cromado. Ref.: Belga Metais/9801-M</t>
  </si>
  <si>
    <t>SF-00890</t>
  </si>
  <si>
    <t>Puxador de latão polido - diâmetro 25mm, para portas e janelas de vidro temperado. Ref.: Belga Metais/9629</t>
  </si>
  <si>
    <t>SF-00891</t>
  </si>
  <si>
    <t>Trinco sem miolo, para vidro temperado 8mm ou 10 mm, funcionando como suporte inferior de centro, em latão fundido cromado. Ref.: Belga Metais/9335</t>
  </si>
  <si>
    <t>SF-00892</t>
  </si>
  <si>
    <t>Obs: Tubo de alumínio quadrado 50x50, para fixação de painéis em vidro temperado de 8mm ou 10 mm</t>
  </si>
  <si>
    <t>SF-00893</t>
  </si>
  <si>
    <t>Veda fresta adesivo “E” em PVC branco, elemento vedante adesivo para portas e janelas</t>
  </si>
  <si>
    <t>SF-00894</t>
  </si>
  <si>
    <t>Obs: Vedapress 10mm, elemento vedante para portas e janelas de vidro temperado de 8mm ou 10 mm. Ref.: AL-15 - Poliformas alumínio e ferragens</t>
  </si>
  <si>
    <t>Fonte do coeficiente: http://www.alumipremium.com/produto/al15</t>
  </si>
  <si>
    <t>SF-00895</t>
  </si>
  <si>
    <t>SF-00896</t>
  </si>
  <si>
    <t>Vidro fumê/bronze temperado 10mm</t>
  </si>
  <si>
    <t>SF-00897</t>
  </si>
  <si>
    <t>Puxador para porta de vidro temperado em aço inox, sob medida, tipo B</t>
  </si>
  <si>
    <t>SF-00898</t>
  </si>
  <si>
    <t>SF-00899</t>
  </si>
  <si>
    <t>Pivô para dobradiça inferior (montagem com a 1103- TQ) para porta em vidro temperado</t>
  </si>
  <si>
    <t>SF-00900</t>
  </si>
  <si>
    <t>Dobradiça direita inferior excêntrica para porta pivotante em vidro temperado, dimensões máximas recomendadas 1000 x 2100 mm ou 900 x 2400 mm</t>
  </si>
  <si>
    <t>SF-00901</t>
  </si>
  <si>
    <t>Dobradiça esquerda inferior excêntrica para porta pivotante em vidro temperado, dimensões máximas recomendadas 1000 x 2100 mm ou 900 x 2400 mm</t>
  </si>
  <si>
    <t>SF-00902</t>
  </si>
  <si>
    <t>Dobradiça pivotante inferior com trinco, em alumínio, para porta em vidro temperado, dimensões máximas recomendadas 900 x 2200 mm</t>
  </si>
  <si>
    <t>SF-00903</t>
  </si>
  <si>
    <t>Carrinho para porta de correr em vidro temperado até 20kg 1 roldana e 2 furos. Ref.: Vidromax 1122-S</t>
  </si>
  <si>
    <t>SF-00904</t>
  </si>
  <si>
    <t>Carrinho para porta de correr em vidro temperado até 80kg 2 roldanas e 2 furos. Ref.: Vidromax 1122</t>
  </si>
  <si>
    <t>SF-00905</t>
  </si>
  <si>
    <t>Carrinho para porta de correr em vidro temperado com roldana côncava, dimensões máximas recomendadas 600 x 1800 mm</t>
  </si>
  <si>
    <t>SF-00906</t>
  </si>
  <si>
    <t>Guia de nylon para porta de correr em vidro temperado</t>
  </si>
  <si>
    <t>SF-00907</t>
  </si>
  <si>
    <t>Puxador H tubular em aço inox AISI304, com porcas tipo castelo, comprimento 45cm, entre furos de 30cm,  diâmetro 1.1/4",  chapa #16, acabamento escovado. Ref.: PX-RD, Poliforma Alumínio e Ferragens</t>
  </si>
  <si>
    <t>SF-00908</t>
  </si>
  <si>
    <t>SF-00909</t>
  </si>
  <si>
    <t>SF-00910</t>
  </si>
  <si>
    <t>SF-00911</t>
  </si>
  <si>
    <t>SF-00912</t>
  </si>
  <si>
    <t>SF-00913</t>
  </si>
  <si>
    <t>Espelho fumê/bronze 4mm lapidado</t>
  </si>
  <si>
    <t>SF-00914</t>
  </si>
  <si>
    <t>SF-00915</t>
  </si>
  <si>
    <t>Obs.: Consumo de acordo com o fabricante do produto "Super Graute Quartzolit", referência comercial indicada.</t>
  </si>
  <si>
    <t>https://www.quartzolit.weber/files/br/2017-12/super_graute_quartzolit.pdf</t>
  </si>
  <si>
    <t>SF-00916</t>
  </si>
  <si>
    <t>SF-00917</t>
  </si>
  <si>
    <t>SF-00918</t>
  </si>
  <si>
    <t>SF-00919</t>
  </si>
  <si>
    <t>SF-00920</t>
  </si>
  <si>
    <t>SF-00921</t>
  </si>
  <si>
    <t>Obs.: Considerando fornecedor de argila a 20 km do Senado Federal.</t>
  </si>
  <si>
    <t>SF-00922</t>
  </si>
  <si>
    <t>SF-00923</t>
  </si>
  <si>
    <t>SF-00924</t>
  </si>
  <si>
    <t>SF-00925</t>
  </si>
  <si>
    <t>SF-00926</t>
  </si>
  <si>
    <t>Assento poliéster, mod.: Vogue plus, cor branca, com fixação cromada. AP.51 ref: DECA ou equivalente</t>
  </si>
  <si>
    <t>SF-00927</t>
  </si>
  <si>
    <t>Registro gaveta em liga de cobre, bitola 1 1/2" mod:1502.B.112 ref: DECA ou equivalente</t>
  </si>
  <si>
    <t>SF-00928</t>
  </si>
  <si>
    <t>Cabo flexível isolado em EPR não halogenado 25 mm² 0,6 a 1 kV</t>
  </si>
  <si>
    <t>SF-00929</t>
  </si>
  <si>
    <t>Cabo flexível isolado em EPR não halogenado 35 mm² 0,6 a 1 kV</t>
  </si>
  <si>
    <t>SF-00930</t>
  </si>
  <si>
    <t>Cabo flexível isolado em EPR não halogenado 50 mm² 0,6 a 1 kV</t>
  </si>
  <si>
    <t>SF-00931</t>
  </si>
  <si>
    <t>Cabo flexível isolado em EPR não halogenado 70 mm² 0,6 a 1 kV</t>
  </si>
  <si>
    <t>SF-00932</t>
  </si>
  <si>
    <t>Cabo flexível isolado em EPR não halogenado 95 mm² 0,6 a 1 kV</t>
  </si>
  <si>
    <t>SF-00933</t>
  </si>
  <si>
    <t>Cabo flexível isolado em EPR não halogenado 120 mm² 0,6 a 1 kV</t>
  </si>
  <si>
    <t>SF-00934</t>
  </si>
  <si>
    <t>Cabo flexível isolado em EPR não halogenado 150 mm² 0,6 a 1 kV</t>
  </si>
  <si>
    <t>SF-00935</t>
  </si>
  <si>
    <t>Cabo flexível isolado em EPR não halogenado 185 mm² 0,6 a 1 kV</t>
  </si>
  <si>
    <t>SF-00936</t>
  </si>
  <si>
    <t>Cabo flexível isolado em EPR não halogenado 240 mm² 0,6 a 1 kV</t>
  </si>
  <si>
    <t>SF-00937</t>
  </si>
  <si>
    <t>SF-00938</t>
  </si>
  <si>
    <t>SF-00940</t>
  </si>
  <si>
    <t>Obs.: Considerou-se aproveitamento de 3x para a tela, já que trata-se de locação.</t>
  </si>
  <si>
    <t>SF-00942</t>
  </si>
  <si>
    <t>SF-00943</t>
  </si>
  <si>
    <t>Registro de gaveta em liga de cobre, bitola 1" mod: 4509.302 ref: DECA ou equivalente</t>
  </si>
  <si>
    <t>SF-00944</t>
  </si>
  <si>
    <t>Registro de pressão em liga de cobre, bitola 3/4" mod: 4416.202 ref: DECA ou equivalente</t>
  </si>
  <si>
    <t>SF-00946</t>
  </si>
  <si>
    <t>SF-00947</t>
  </si>
  <si>
    <t>SF-00948</t>
  </si>
  <si>
    <t>SF-00950</t>
  </si>
  <si>
    <t>SF-00951</t>
  </si>
  <si>
    <t>SF-00952</t>
  </si>
  <si>
    <t>SF-00953</t>
  </si>
  <si>
    <t>SF-00954</t>
  </si>
  <si>
    <t>SF-00955</t>
  </si>
  <si>
    <t>SF-00956</t>
  </si>
  <si>
    <t>SF-00957</t>
  </si>
  <si>
    <t>SF-00958</t>
  </si>
  <si>
    <t>SF-00959</t>
  </si>
  <si>
    <t>SF-00960</t>
  </si>
  <si>
    <t>SF-00961</t>
  </si>
  <si>
    <t>Broca com ponta de widia Ø 3/8" x 160 mm</t>
  </si>
  <si>
    <t>Furadeira de impacto elétrica - 0,65 kW, Ø mandril 5/8"</t>
  </si>
  <si>
    <t>h prod</t>
  </si>
  <si>
    <t>Fontes: PINI 05.102.000020.SER</t>
  </si>
  <si>
    <t>SF-00962</t>
  </si>
  <si>
    <t>Insert metálico tipo 2, conforme projeto</t>
  </si>
  <si>
    <t>SF-00963</t>
  </si>
  <si>
    <t>Insert metálico tipo 3, conforme projeto</t>
  </si>
  <si>
    <t>SF-00964</t>
  </si>
  <si>
    <t>Mármore branco especial 20mm</t>
  </si>
  <si>
    <t>SF-00965</t>
  </si>
  <si>
    <t>Insert metálico tipo 1, conforme projeto</t>
  </si>
  <si>
    <t>Fontes: ORSE 03735, PINI 05.102.000020.SER e 05.108.000450.SER</t>
  </si>
  <si>
    <r>
      <rPr>
        <b/>
        <sz val="10"/>
        <rFont val="Arial"/>
        <family val="2"/>
      </rPr>
      <t>Observações:</t>
    </r>
    <r>
      <rPr>
        <sz val="10"/>
        <rFont val="Arial"/>
        <family val="2"/>
      </rPr>
      <t xml:space="preserve"> Considerando uma placa de 0,40 m x 0,80 m, que, conforme projeto, necessita de 2 inserts.</t>
    </r>
  </si>
  <si>
    <t>SF-00966</t>
  </si>
  <si>
    <t>Mármore branco especial 30mm</t>
  </si>
  <si>
    <t>SF-00967</t>
  </si>
  <si>
    <t>SF-00968</t>
  </si>
  <si>
    <t>Fontes: PINI 05.102.000020.SER e 05.108.000450.SER</t>
  </si>
  <si>
    <t>SF-00969</t>
  </si>
  <si>
    <t>SF-00970</t>
  </si>
  <si>
    <t>SF-00971</t>
  </si>
  <si>
    <t>SF-00972</t>
  </si>
  <si>
    <t>Hidrofugante à base de silano e silicone</t>
  </si>
  <si>
    <t>SF-00973</t>
  </si>
  <si>
    <t>Cantoneira em alumínio abas iguais 1" x 1/8" com pintura eletrostática branca</t>
  </si>
  <si>
    <t>SF-00974</t>
  </si>
  <si>
    <t>Granito Amarelo Capri para rodapé</t>
  </si>
  <si>
    <t>SF-00975</t>
  </si>
  <si>
    <t>Lixadeira angular manual elétrica Ø 7" 2200 W 6600 rpm</t>
  </si>
  <si>
    <t>loc/un/dia</t>
  </si>
  <si>
    <t>Ponta montada A2 haste 1/4"</t>
  </si>
  <si>
    <t>SF-00976</t>
  </si>
  <si>
    <t>SF-00977</t>
  </si>
  <si>
    <t>Fonte: SINAPI 98575 (05/2022)</t>
  </si>
  <si>
    <t>SF-00978</t>
  </si>
  <si>
    <t>SF-00980</t>
  </si>
  <si>
    <t>SF-00981</t>
  </si>
  <si>
    <t>SF-00982</t>
  </si>
  <si>
    <t>SF-00983</t>
  </si>
  <si>
    <t>SF-00984</t>
  </si>
  <si>
    <t>SF-00986</t>
  </si>
  <si>
    <t>SF-00987</t>
  </si>
  <si>
    <t>SF-00988</t>
  </si>
  <si>
    <t>SF-00989</t>
  </si>
  <si>
    <t>Obs.: Considerando fornecedor de calcário a 20km do Senado Federal.</t>
  </si>
  <si>
    <t>SF-00990</t>
  </si>
  <si>
    <t>Obs: considerando uma demão, meio-fio de 30 cm x 15 cm x 13 cm (altura, base inferior, base superior), enterrado 5 cm.</t>
  </si>
  <si>
    <t>SF-00991</t>
  </si>
  <si>
    <t>Obs.: Considerando fornecedor de areia a 20km do Senado Federal.</t>
  </si>
  <si>
    <t>SF-00992</t>
  </si>
  <si>
    <t>Obs.: Considerando fornecedor de brita a 20km do Senado Federal.</t>
  </si>
  <si>
    <t>SF-00994</t>
  </si>
  <si>
    <t>SF-01001</t>
  </si>
  <si>
    <t>SF-01011</t>
  </si>
  <si>
    <t>SF-01012</t>
  </si>
  <si>
    <t>SF-01013</t>
  </si>
  <si>
    <t>Impermeabilizante Idea HP</t>
  </si>
  <si>
    <t>Obs: Rendimento informado na especificação do serviço (12 m2 para 1 L, considerando duas demãos).</t>
  </si>
  <si>
    <t>Fonte: SINAPI 73872/2</t>
  </si>
  <si>
    <t>SF-01014</t>
  </si>
  <si>
    <t>SF-01029</t>
  </si>
  <si>
    <t>SF-01030</t>
  </si>
  <si>
    <t>SF-01031</t>
  </si>
  <si>
    <t>SF-01032</t>
  </si>
  <si>
    <t>SF-01033</t>
  </si>
  <si>
    <t>SF-01034</t>
  </si>
  <si>
    <t>SF-01035</t>
  </si>
  <si>
    <t>SF-01036</t>
  </si>
  <si>
    <t>SF-01037</t>
  </si>
  <si>
    <t>SF-01038</t>
  </si>
  <si>
    <t>SF-01039</t>
  </si>
  <si>
    <t>SF-01040</t>
  </si>
  <si>
    <t>SF-01041</t>
  </si>
  <si>
    <t>SF-01053</t>
  </si>
  <si>
    <t>Adesivo epóxi estrutural - bisnaga de 50ml</t>
  </si>
  <si>
    <t>SF-01054</t>
  </si>
  <si>
    <t>Perfil metálico em chapa #14 dobrada</t>
  </si>
  <si>
    <t>Fonte: SIURB 08-01-70 e SBC 150700</t>
  </si>
  <si>
    <t>SF-01059</t>
  </si>
  <si>
    <t>Granito Vermelho Brasília, com 20 mm de espessura, polido, com testeira para acabamento em meia esquadria, para bancadas</t>
  </si>
  <si>
    <t>SF-01060</t>
  </si>
  <si>
    <t>SF-01061</t>
  </si>
  <si>
    <t>SF-01062</t>
  </si>
  <si>
    <t>SF-01063</t>
  </si>
  <si>
    <t xml:space="preserve">MEDIDOR DE GÁS EM ALUMÍNIO. Ref. LAO G6 </t>
  </si>
  <si>
    <t>SF-01064</t>
  </si>
  <si>
    <t>Válvula de esfera tripartida Classe 300</t>
  </si>
  <si>
    <t>SF-01065</t>
  </si>
  <si>
    <t>SF-01066</t>
  </si>
  <si>
    <t>SF-01068</t>
  </si>
  <si>
    <t>Eletroduto de aço com costura galvanização eletrolítica Ø 3"</t>
  </si>
  <si>
    <t>SF-01069</t>
  </si>
  <si>
    <t>Grelha em ferro fundido com caixilho de apoio espessura 15 mm, largura 200 mm</t>
  </si>
  <si>
    <t>SF-01070</t>
  </si>
  <si>
    <t>Granito Vermelho Brasília, com 20 mm de espessura e 150 mm de altura, para soleira e peitoril</t>
  </si>
  <si>
    <t>SF-01071</t>
  </si>
  <si>
    <t>Luminária redonda de embutir, LED, potência 19 W, temperatura de cor 3000 K, fluxo luminoso 1770 lm. Ref: OSRAM - LEDVANCE DOWNLIGHT XL WT 830</t>
  </si>
  <si>
    <t>SF-01072</t>
  </si>
  <si>
    <t>SF-01073</t>
  </si>
  <si>
    <t>DIVISORIA EM GRANITO, COM DUAS FACES POLIDAS, TIPO ANDORINHA/ QUARTZ/ CASTELO/ CORUMBA OU OUTROS EQUIVALENTES DA REGIAO, E=  2,0 CM</t>
  </si>
  <si>
    <t>SF-01074</t>
  </si>
  <si>
    <t>SF-01076</t>
  </si>
  <si>
    <t>Cerâmica GAIL (Referência 1009 Placa Cerâmica Linha Gressit da Marca Gail, tamanho 240 mm x 116 mm, espessura 9 mm)</t>
  </si>
  <si>
    <t>SF-01077</t>
  </si>
  <si>
    <t>SF-01078</t>
  </si>
  <si>
    <t>SF-01080</t>
  </si>
  <si>
    <t>Perfil "U" em aço galvanizado 25mm x 25mm, espessura 1,5mm (#16)</t>
  </si>
  <si>
    <t>SF-01082</t>
  </si>
  <si>
    <t>SF-01083</t>
  </si>
  <si>
    <t>SF-01088</t>
  </si>
  <si>
    <t>SF-01089</t>
  </si>
  <si>
    <t>SF-01090</t>
  </si>
  <si>
    <t>SF-01092</t>
  </si>
  <si>
    <t>SF-01093</t>
  </si>
  <si>
    <t>SF-01094</t>
  </si>
  <si>
    <t>SF-01095</t>
  </si>
  <si>
    <t>Ar-condicionado "splitão" 49 kW</t>
  </si>
  <si>
    <t>SF-01096</t>
  </si>
  <si>
    <t>Ar-condicionado "splitão" 64 kW</t>
  </si>
  <si>
    <t>SF-01097</t>
  </si>
  <si>
    <t>SF-01098</t>
  </si>
  <si>
    <t>SF-01101</t>
  </si>
  <si>
    <t>SF-01102</t>
  </si>
  <si>
    <t>SF-01104</t>
  </si>
  <si>
    <t>SF-01105</t>
  </si>
  <si>
    <t>Laminado melamínico texturizado esp. 1,3 mm</t>
  </si>
  <si>
    <t>SF-01106</t>
  </si>
  <si>
    <t>Granito Preto Absoluto, com 20 mm de espessura</t>
  </si>
  <si>
    <t>SF-01107</t>
  </si>
  <si>
    <t>Granito Arabesco, com 20 mm de espessura</t>
  </si>
  <si>
    <t>SF-01108</t>
  </si>
  <si>
    <t>SF-01109</t>
  </si>
  <si>
    <t>SF-01110</t>
  </si>
  <si>
    <t>Piso vinílico em manta esp. 2 mm</t>
  </si>
  <si>
    <t>Argamassa autonivelante para preparação/regularização de contrapiso</t>
  </si>
  <si>
    <t>SF-01111</t>
  </si>
  <si>
    <t>Corpo de apoio em polietileno para aplicação de mástiques em juntas</t>
  </si>
  <si>
    <t>Obs 1: Considerando consumo do adesivo estrutural 1,8 kg / m² / mm.</t>
  </si>
  <si>
    <t>Obs 2: Considerando consumo do selante 100 ml / cm de espessura.</t>
  </si>
  <si>
    <t>SF-01112</t>
  </si>
  <si>
    <t>Massa rápida para recuperação</t>
  </si>
  <si>
    <t>Argamassa para recuperação</t>
  </si>
  <si>
    <t>Primer à base de resina acrílica</t>
  </si>
  <si>
    <t>Lixa grana 100 para superfície metálica</t>
  </si>
  <si>
    <t>Fonte: PINI 20.105.000010.SER e PINI 20.105.000015.SER</t>
  </si>
  <si>
    <t>SF-01113</t>
  </si>
  <si>
    <t>Raspagem, calafetagem, aplicação de synteko alto brilho em piso de madeira</t>
  </si>
  <si>
    <t>SF-01114</t>
  </si>
  <si>
    <t>SF-01115</t>
  </si>
  <si>
    <t>SF-01116</t>
  </si>
  <si>
    <t>Piso sintético flutuante, laminado de alta resistência, superfície em overlay, substrato HDF-H, painel de fibras de madeira de alta densidade, e = 7 cm</t>
  </si>
  <si>
    <t>SF-01117</t>
  </si>
  <si>
    <t>Placa acústica perfilada, semi-rígida, de estrutura micro-celular, com dimensões de 625x625x25 mm, na cor natural (cinza claro)</t>
  </si>
  <si>
    <t>SF-01118</t>
  </si>
  <si>
    <t>Placa acústica plana, semi-rígida, de estrutura micro-celular, com dimensões de 625x625x25 mm, na cor natural (cinza claro)</t>
  </si>
  <si>
    <t>SF-01119</t>
  </si>
  <si>
    <t>SF-01120</t>
  </si>
  <si>
    <t>SF-01121</t>
  </si>
  <si>
    <t>Obs.: Acréscimo de 15% no coeficiente da tinta para suprir a diferença de preço da tinta branca para as tintas de cores especiais.</t>
  </si>
  <si>
    <t>SF-01123</t>
  </si>
  <si>
    <t>SF-01124</t>
  </si>
  <si>
    <t>SF-01125</t>
  </si>
  <si>
    <t>SOLVENTE PARA VERNIZ POLIURETANO</t>
  </si>
  <si>
    <t>VERNIZ POLIURETANO ALIFÁTICO BICOMPONENTE</t>
  </si>
  <si>
    <t>KG</t>
  </si>
  <si>
    <t>SF-01126</t>
  </si>
  <si>
    <t>Carga inerte para tratamento antiderrapante em piso (ref.: Sikadur 512 ou 515)</t>
  </si>
  <si>
    <t>SF-01127</t>
  </si>
  <si>
    <t>SF-01128</t>
  </si>
  <si>
    <t>Compressor de ar portátil de 71 PCM - 15 kW</t>
  </si>
  <si>
    <t>CHP</t>
  </si>
  <si>
    <t>Serra para corte de concreto e asfalto - 10 kW</t>
  </si>
  <si>
    <t>Cordão de polietileno expandido</t>
  </si>
  <si>
    <t>Disco diamantado - D = 350 mm</t>
  </si>
  <si>
    <t>SF-01129</t>
  </si>
  <si>
    <t>Obs: considerando fornecedor de areia e brita a 20 km do Senado Federal</t>
  </si>
  <si>
    <t>SF-01130</t>
  </si>
  <si>
    <t>Emulsão asfáltica RR 2C</t>
  </si>
  <si>
    <t>SF-01131</t>
  </si>
  <si>
    <t>Compactador manual de placa vibratória - 3 kW</t>
  </si>
  <si>
    <t>Asfalto a frio ensacado</t>
  </si>
  <si>
    <t>SF-01132</t>
  </si>
  <si>
    <t>SF-01133</t>
  </si>
  <si>
    <t>SF-01134</t>
  </si>
  <si>
    <t>Cumeeira metálica galvanizada GR 40 com espessura de 0,43 mm.</t>
  </si>
  <si>
    <t>SF-01135</t>
  </si>
  <si>
    <t>Telha metálica trapezoidal galvanizada GR 25 com espessura de 0,43 mm, com largura de 1020 mm e comprimento de 5 metros.</t>
  </si>
  <si>
    <t>SF-01136</t>
  </si>
  <si>
    <t>Cumeeira metálica galvanizada GR 25 com espessura de 0,43 mm.</t>
  </si>
  <si>
    <t>SF-01137</t>
  </si>
  <si>
    <t>Conjunto de vedação elástica para furo Ø 8 mm</t>
  </si>
  <si>
    <t>Telha estrutural de fibrocimento ondulada esp. 8 mm largura útil 102 cm</t>
  </si>
  <si>
    <t>Calço plástico para fixação de telha de fibrocimento tipo modulada e onda 50</t>
  </si>
  <si>
    <t>Fixador de aba telha de fibrocimento simples modulada</t>
  </si>
  <si>
    <t>Parafuso rosca soberba galvanizado Ø 8 mm x 165 mm</t>
  </si>
  <si>
    <t>SF-01138</t>
  </si>
  <si>
    <t>Cumeeira articulada superior para telha de fibrocimento modulada ou onda 50</t>
  </si>
  <si>
    <t>SF-01139</t>
  </si>
  <si>
    <t>Cumeeira articulada inferior para telha de fibrocimento tipo modulada ou onda 50</t>
  </si>
  <si>
    <t>SF-01140</t>
  </si>
  <si>
    <t>SF-01141</t>
  </si>
  <si>
    <t>SF-01142</t>
  </si>
  <si>
    <t>SF-01143</t>
  </si>
  <si>
    <t>Telha estrutural de fibrocimento esp. 8 mm largura útil 49 cm</t>
  </si>
  <si>
    <t>Parafuso rosca soberba galvanizado Ø 8 mm x 250 mm</t>
  </si>
  <si>
    <t>SF-01147</t>
  </si>
  <si>
    <t>SF-01148</t>
  </si>
  <si>
    <t>SF-01149</t>
  </si>
  <si>
    <t>Lava-jato água fria pressão 1700 psi</t>
  </si>
  <si>
    <t>loc/un/h</t>
  </si>
  <si>
    <t>Solução limpadora diluída em água</t>
  </si>
  <si>
    <t>SF-01150</t>
  </si>
  <si>
    <t>SF-01151</t>
  </si>
  <si>
    <t>SF-01152</t>
  </si>
  <si>
    <t>SF-01153</t>
  </si>
  <si>
    <t>SF-01154</t>
  </si>
  <si>
    <t>SF-01155</t>
  </si>
  <si>
    <t>SF-01156</t>
  </si>
  <si>
    <t>Emulsão asfáltica elastomérica para uso em impermeabilização</t>
  </si>
  <si>
    <t>SF-01157</t>
  </si>
  <si>
    <t>SF-01158</t>
  </si>
  <si>
    <t>Pintura inibidora de raízes</t>
  </si>
  <si>
    <t>SF-01159</t>
  </si>
  <si>
    <t>Geocomposto Drenante industrializado formado por estrutura drenante de pelo menos 10 mm</t>
  </si>
  <si>
    <t>SF-01160</t>
  </si>
  <si>
    <t>SF-01161</t>
  </si>
  <si>
    <t>SF-01163</t>
  </si>
  <si>
    <t>Chapa de madeira compensada resinada 1,10 x 2,20 m # 10 mm</t>
  </si>
  <si>
    <t>SF-01164</t>
  </si>
  <si>
    <t>SF-01165</t>
  </si>
  <si>
    <t>SF-01166</t>
  </si>
  <si>
    <t>Revestimento impermabilizante bloqueador de umidade</t>
  </si>
  <si>
    <t>Obs: considerando rendimento informado na especificação técnica do produto indicado como referência comercial (Lata de 3,6L rende até 3 demãos, com 25 m²/demão).</t>
  </si>
  <si>
    <t>SF-01167</t>
  </si>
  <si>
    <t>Tinta aluminizada de base asfáltica</t>
  </si>
  <si>
    <t>SF-01168</t>
  </si>
  <si>
    <t>Obs: considerando fornecedor de areia a 20 km do Senado Federal</t>
  </si>
  <si>
    <t>SF-01169</t>
  </si>
  <si>
    <t>Obs: Adotou-se o consumo de 350 mL/m², conforme recomendação do fabricante do produto para aplicação homogênea.</t>
  </si>
  <si>
    <t>http://vedacit.com.br/produtos/primer-eco-vedacit</t>
  </si>
  <si>
    <t>SF-01170</t>
  </si>
  <si>
    <t>SF-01171</t>
  </si>
  <si>
    <t>SF-01172</t>
  </si>
  <si>
    <t>Manta asfáltica aluminizada</t>
  </si>
  <si>
    <t>SF-01173</t>
  </si>
  <si>
    <t>Emulsão hidro-asfáltica</t>
  </si>
  <si>
    <t>Tinta betuminosa</t>
  </si>
  <si>
    <t>Manta butílica # 0,8 mm</t>
  </si>
  <si>
    <t>Fita de caldeação para manta butilíca largura 50 mm # 3 mm</t>
  </si>
  <si>
    <t>Adesivo auto vulcanizante para manta butilíca</t>
  </si>
  <si>
    <t>SF-01174</t>
  </si>
  <si>
    <t>SF-01175</t>
  </si>
  <si>
    <t>Asfalto elastomérico</t>
  </si>
  <si>
    <t>*Adotou-se o consumo de 2 kg/m², valor intermediário da recomendação do fabricante do produto.</t>
  </si>
  <si>
    <t>http://www.denverimper.com.br/files/produtos/0000001-0000500/122/e5fe48d2b8810574e94921c5fb6cea0c.pdf</t>
  </si>
  <si>
    <t>SF-01176</t>
  </si>
  <si>
    <t>SF-01177</t>
  </si>
  <si>
    <t>SF-01178</t>
  </si>
  <si>
    <t>FIBRA DE POLIPROPILENO P/ CONCRETO DOSADO EM CENTRAL FILAMENTOS - TECNOLOGIA "CRACKSTOP"</t>
  </si>
  <si>
    <t>SF-01179</t>
  </si>
  <si>
    <t>Obs: considerando 1,01 L/kg, conforme especificado na ficha técnica do produto indicado como referência comercial.</t>
  </si>
  <si>
    <t>SF-01180</t>
  </si>
  <si>
    <t>Obs: considerando fornecedor de brita a 20 km do Senado Federal</t>
  </si>
  <si>
    <t>SF-01184</t>
  </si>
  <si>
    <t>SF-01185</t>
  </si>
  <si>
    <t>SF-01201</t>
  </si>
  <si>
    <t>SF-01205</t>
  </si>
  <si>
    <t>SF-01206</t>
  </si>
  <si>
    <t>SF-01214</t>
  </si>
  <si>
    <t>SF-01219</t>
  </si>
  <si>
    <t>SF-01225</t>
  </si>
  <si>
    <t>SF-01226</t>
  </si>
  <si>
    <t>SF-01232</t>
  </si>
  <si>
    <t>Adesivo de contato a base d'água</t>
  </si>
  <si>
    <t>Carpete aveludado azul royal, para uso comercial, adequado para tráfego pesado, conforme especificações técnicas.</t>
  </si>
  <si>
    <t>Adjuvante para argamassa base PVA</t>
  </si>
  <si>
    <t>SF-01233</t>
  </si>
  <si>
    <t>SF-01234</t>
  </si>
  <si>
    <t xml:space="preserve">Cortina de proteção para solda com suporte, 1,22 m x 1,78 m </t>
  </si>
  <si>
    <t>SF-01235</t>
  </si>
  <si>
    <t>SF-01236</t>
  </si>
  <si>
    <t>SF-01240</t>
  </si>
  <si>
    <t>Batedor/limitador inferior para box de correr, em material polimérico sintético</t>
  </si>
  <si>
    <t>SF-01241</t>
  </si>
  <si>
    <t>Batedor/amortecedor lateral de borracha para box de correr.</t>
  </si>
  <si>
    <t>SF-01242</t>
  </si>
  <si>
    <t>Batedor/limitador superior para roldana de box de correr, em material polimérico sintético</t>
  </si>
  <si>
    <t>SF-01243</t>
  </si>
  <si>
    <t>Ref.: AL Indústria Ref.: AL-63</t>
  </si>
  <si>
    <t>Fonte: http://www.alpuxadores.com.br/baixar/catalogo.pdf</t>
  </si>
  <si>
    <t>SF-01244</t>
  </si>
  <si>
    <t>Ref.: AL Indústria Ref.: AL-BX-02</t>
  </si>
  <si>
    <t>SF-01245</t>
  </si>
  <si>
    <t>Ref.: AL Indústria Ref.: AL-BX-07</t>
  </si>
  <si>
    <t>SF-01246</t>
  </si>
  <si>
    <t>Ref.: AL Indústria Ref.: AL-BX-08</t>
  </si>
  <si>
    <t>SF-01247</t>
  </si>
  <si>
    <t>Ref.: AL Indústria Ref.: AL-BX-03</t>
  </si>
  <si>
    <t>SF-01248</t>
  </si>
  <si>
    <t>Ref.: AL Indústria Ref.: AL-BX-01</t>
  </si>
  <si>
    <t>SF-01249</t>
  </si>
  <si>
    <t>Ref.: AL Indústria Ref.: AL-BX-05</t>
  </si>
  <si>
    <t>SF-01250</t>
  </si>
  <si>
    <t>Ref.: AL Indústria Ref.: AL-BX-06</t>
  </si>
  <si>
    <t>SF-01251</t>
  </si>
  <si>
    <t>Bacia Sanitária convencional branca ref: Deca Vogue Plus P.5.17 ou equivalente</t>
  </si>
  <si>
    <t>SF-01252</t>
  </si>
  <si>
    <t>Bidê 3 furos branco ref: Deca Vogue Plus B.5.17 ou equivalente</t>
  </si>
  <si>
    <t>SF-01255</t>
  </si>
  <si>
    <t>Chuveiro de metal cromado com tubo de parede, crivo regulável e restritor de vazão. Ref.: Deca Aspen 1967.C.CT ou equivalente</t>
  </si>
  <si>
    <t>SF-01256</t>
  </si>
  <si>
    <t>Misturador para bidê, ref: Deca Aspen 1895.C35 ou equivalente</t>
  </si>
  <si>
    <t>SF-01257</t>
  </si>
  <si>
    <t>Misturador de mesa para cozinha, bica móvel, cromado. Ref.: Deca Aspen 1256.C35 ou equivalente</t>
  </si>
  <si>
    <t>SF-01258</t>
  </si>
  <si>
    <t>Misturador para lavatório de mesa bica alta, cromado. Ref.: Deca Aspen 1877.C35 ou equivalente</t>
  </si>
  <si>
    <t>SF-01259</t>
  </si>
  <si>
    <t>Misturador de parede para cozinha, cromada. Ref.: Deca Aspen 1258.C35 ou equivalente</t>
  </si>
  <si>
    <t>SF-01260</t>
  </si>
  <si>
    <t>Dobradiça metálica automática para vidro/vidro, utilizada em Box de vidro temperado, com porta de abrir. Ref.: Santa Marina, 1129.</t>
  </si>
  <si>
    <t>SF-01261</t>
  </si>
  <si>
    <t>Luminária tipo arandela, de sobrepor, dimensões (em mm) 250 x 250 x 73, base E27. Ref.: Taschibra-Arandela Embaú; Bronzearte - Bambu</t>
  </si>
  <si>
    <t>Lâmpada fluorescente compacta, 23W, ref: OSRAM Duluxstar DST STICK 23 W/865 220V E27</t>
  </si>
  <si>
    <t>SF-01262</t>
  </si>
  <si>
    <t>SF-01263</t>
  </si>
  <si>
    <t>Base de válvula de descarga 1 1/2”</t>
  </si>
  <si>
    <t>SF-01264</t>
  </si>
  <si>
    <t>Base de válvula de descarga 1 1/4”</t>
  </si>
  <si>
    <t>SF-01265</t>
  </si>
  <si>
    <t>SF-01266</t>
  </si>
  <si>
    <t>SF-01267</t>
  </si>
  <si>
    <t>SF-01268</t>
  </si>
  <si>
    <t>SF-01269</t>
  </si>
  <si>
    <t>SF-01270</t>
  </si>
  <si>
    <t>SF-01271</t>
  </si>
  <si>
    <t>SF-01272</t>
  </si>
  <si>
    <t>Cerâmica 30x60xm Glacier White (26109E) – Linha White Home – Portobello, ou similar</t>
  </si>
  <si>
    <t>SF-01273</t>
  </si>
  <si>
    <t>SF-01278</t>
  </si>
  <si>
    <t>SF-01279</t>
  </si>
  <si>
    <t>SF-01280</t>
  </si>
  <si>
    <t>SF-01281</t>
  </si>
  <si>
    <t>SF-01282</t>
  </si>
  <si>
    <t>Aquecedor elétrico individual automático, 5000W, 220V</t>
  </si>
  <si>
    <t>SF-01283</t>
  </si>
  <si>
    <t>Chuveiro elétrico 7800W, 220V. Ref: Lorenzetti Acqua Storm Ultra</t>
  </si>
  <si>
    <t>SF-01284</t>
  </si>
  <si>
    <t>SF-01285</t>
  </si>
  <si>
    <t>Prateleira com base em resina, com acabamento cromado. Ref: Deca Flex 2031.C.FLX ou equivalente</t>
  </si>
  <si>
    <t>SF-01286</t>
  </si>
  <si>
    <t>Saboneteira com base em resina de alta resistência com espessura com acabamento cromado. Ref: Deca Flex 2010.C.FLX ou equivalente</t>
  </si>
  <si>
    <t>SF-01287</t>
  </si>
  <si>
    <t>Campainha eletrônica de dois tons, 70 dB,  220V</t>
  </si>
  <si>
    <t>SF-01288</t>
  </si>
  <si>
    <t>SF-01289</t>
  </si>
  <si>
    <t>SF-01295</t>
  </si>
  <si>
    <t>SF-01296</t>
  </si>
  <si>
    <t>SF-01310</t>
  </si>
  <si>
    <t>Cambota elastomérica de 8" para suporte de tubulação industrial</t>
  </si>
  <si>
    <t>SF-01311</t>
  </si>
  <si>
    <t>Curva raio curto 45° em aço carbono para solda de topo, SCH 40, DN 125 (5" NPS)</t>
  </si>
  <si>
    <t>SF-01312</t>
  </si>
  <si>
    <t>Curva raio curto 90° em aço carbono para solda de topo, SCH 40, DN 125 (5" NPS)</t>
  </si>
  <si>
    <t>SF-01313</t>
  </si>
  <si>
    <t>Curva raio longo 90° em aço carbono para solda de topo, SCH 40, DN 125 (5" NPS)</t>
  </si>
  <si>
    <t>SF-01314</t>
  </si>
  <si>
    <t>Curva raio longo 90° em aço carbono para solda de topo, SCH 40, DN 200 (8" NPS)</t>
  </si>
  <si>
    <t>SF-01315</t>
  </si>
  <si>
    <t>Eliminador de ar para líquidos com pressão máxima de operação de 10,5 kgf/cm2 (150 psi), DN 20 (3/4" NPS), conexão roscada</t>
  </si>
  <si>
    <t>SF-01316</t>
  </si>
  <si>
    <t>Flange de pescoço em aço carbono, classe 150, DN 125 (5" NPS)</t>
  </si>
  <si>
    <t>SF-01317</t>
  </si>
  <si>
    <t>Isolamento elastomérico em formato de tubo ou coquilha de espessura M, próprio para tubulação ferro de diâmetro nominal 5". Ref.: AF/Armaflex M-140, K-Flex ST</t>
  </si>
  <si>
    <t>SF-01318</t>
  </si>
  <si>
    <t>Meia luva em aço carbono, classe 3000 lbs, rosca BSP ou NPT, DN 15 (1/2" NPS)</t>
  </si>
  <si>
    <t>SF-01319</t>
  </si>
  <si>
    <t>Redução concêntrica em aço carbono para solda de topo, SCH 40, diâmetro DN 200 (8" NPS) × DN 125 (5" NPS)</t>
  </si>
  <si>
    <t>SF-01325</t>
  </si>
  <si>
    <t>Tê em aço carbono para solda de topo, SCH 40, diâmetro DN 200 (8" NPS)</t>
  </si>
  <si>
    <t>SF-01326</t>
  </si>
  <si>
    <t>*Considerando distância Brasília-Sâo Paulo = 1.030 km</t>
  </si>
  <si>
    <t>SF-01327</t>
  </si>
  <si>
    <t>SF-01328</t>
  </si>
  <si>
    <t>SF-01329</t>
  </si>
  <si>
    <t>Válvula gaveta com flange DN 125 (5" NPS)</t>
  </si>
  <si>
    <t>SF-01330</t>
  </si>
  <si>
    <t>Ar-condicionado split hi-wall inverter 18.000 BTU/h</t>
  </si>
  <si>
    <t>SF-01331</t>
  </si>
  <si>
    <t>Cabo constituído por 12 fibras ópticas do tipo monomodo (9/125μm)</t>
  </si>
  <si>
    <t>SF-01332</t>
  </si>
  <si>
    <t>Cabo constituído por 144 fibras ópticas do tipo monomodo (9/125μm)</t>
  </si>
  <si>
    <t>SF-01333</t>
  </si>
  <si>
    <t>SF-01334</t>
  </si>
  <si>
    <t>SF-01335</t>
  </si>
  <si>
    <t>SF-01336</t>
  </si>
  <si>
    <t>SF-01339</t>
  </si>
  <si>
    <t>SF-01340</t>
  </si>
  <si>
    <t>Válvula solenóide para gás</t>
  </si>
  <si>
    <t>SF-01341</t>
  </si>
  <si>
    <t>Coletor de gás</t>
  </si>
  <si>
    <t>SF-01342</t>
  </si>
  <si>
    <t>SF-01343</t>
  </si>
  <si>
    <t>SF-01344</t>
  </si>
  <si>
    <t>SF-01347</t>
  </si>
  <si>
    <t>Bloco autônomo de emergência com fluxo mínimo de 1000 lumens</t>
  </si>
  <si>
    <t>SF-01348</t>
  </si>
  <si>
    <t>Cabo ethernet categoria 5e blindado (FTP)</t>
  </si>
  <si>
    <t>SF-01349</t>
  </si>
  <si>
    <t>Cabo constituído por 12 fibras ópticas do tipo multimodo, LSZH</t>
  </si>
  <si>
    <t>SF-01350</t>
  </si>
  <si>
    <t>Cabo de cobre para comunicação CANbus</t>
  </si>
  <si>
    <t>SF-01351</t>
  </si>
  <si>
    <t>Cabo de cobre para comunicação padrão RS-485</t>
  </si>
  <si>
    <t>SF-01352</t>
  </si>
  <si>
    <t>SF-01353</t>
  </si>
  <si>
    <t>Cabo de potência, 8,7 kV / 15 kV, 95 mm²</t>
  </si>
  <si>
    <t>SF-01354</t>
  </si>
  <si>
    <t>Cabo de potência, 8,7 kV / 15 kV, 240 mm²</t>
  </si>
  <si>
    <t>SF-01355</t>
  </si>
  <si>
    <t>Distribuidor Interno Óptico Industrial para, no mínimo, 12 fibras</t>
  </si>
  <si>
    <t>SF-01356</t>
  </si>
  <si>
    <t>ELETRODUTO/DUTO PEAD FLEXIVEL PAREDE SIMPLES, CORRUGACAO HELICOIDAL, COR PRETA, SEM ROSCA, DE 5",  PARA CABEAMENTO SUBTERRANEO (NBR 15715)</t>
  </si>
  <si>
    <t>M</t>
  </si>
  <si>
    <t>SF-01358</t>
  </si>
  <si>
    <t>Interruptor duplo para condulete alumínio para eletrodutos de 1’’, de sobrepor, com conexões e acessórios.</t>
  </si>
  <si>
    <t>SF-01359</t>
  </si>
  <si>
    <t>Leito tipo semi-pesado 400 mm x 100 mm fabricado em aço galvanizado a fogo # 12/14</t>
  </si>
  <si>
    <t>SF-01360</t>
  </si>
  <si>
    <t>Leito tipo semi-pesado 600 mm x 100 mm fabricado em aço galvanizado a fogo # 12/14</t>
  </si>
  <si>
    <t>SF-01361</t>
  </si>
  <si>
    <t>Luminária de sobrepor T5 2 x 28 W, ref:Osram LEDVANCE DAMP‐PROOF HOUSING Longa Dupla (7016392), Osram LEDVANCE DAMP‐PROOF SEM TUBO DUPLA (7012956), Philips TCW060 2x36, Ourolux Ourofort IP65 2X28/32/36/40W (01527/01528), Lumicenter FHT03‐S228</t>
  </si>
  <si>
    <t>Reator eletrônico 2 x 28 W. Ref.: Osram QUICKTRONIC fit T5 QT‐FIT5 2x14‐35, Philips EL1/214‐28A26 P (EL1/21428).</t>
  </si>
  <si>
    <t>Lâmpada fluorescente T5 de 28 W, ref.: Philips TL5 Essential HE Super 80 28W/840 (TL5‐28W‐ESS/840), Osram HE SL 28 W/840 (7009688, Série Smartlux), Philips TL5‐28W‐HE/840, GE F28W/T5/840</t>
  </si>
  <si>
    <t>SF-01362</t>
  </si>
  <si>
    <t>SF-01363</t>
  </si>
  <si>
    <t>SF-01369</t>
  </si>
  <si>
    <t>SF-01370</t>
  </si>
  <si>
    <t>SF-01373</t>
  </si>
  <si>
    <t>SF-01375</t>
  </si>
  <si>
    <t>Terminal para cabo de média tensão. Ref: Prysmian TM-20-120</t>
  </si>
  <si>
    <t>SF-01376</t>
  </si>
  <si>
    <t>Terminal para cabo de média tensão. Ref: Prysmian TM-20-240</t>
  </si>
  <si>
    <t>SF-01377</t>
  </si>
  <si>
    <t xml:space="preserve">Tomada 20A para condulete alumínio para eletrodutos de 1’’, de sobrepor, com conexões e acessórios. </t>
  </si>
  <si>
    <t>SF-01381</t>
  </si>
  <si>
    <t>SF-01384</t>
  </si>
  <si>
    <t>SF-01386</t>
  </si>
  <si>
    <t>Haste de aterramento 3/4" x 3 m, tipo camada alta de cobre</t>
  </si>
  <si>
    <t>SF-01387</t>
  </si>
  <si>
    <t>Leito tipo semi-pesado 800 mm x 100 mm fabricado em aço galvanizado a fogo # 12/14</t>
  </si>
  <si>
    <t>SF-01388</t>
  </si>
  <si>
    <t>SF-01390</t>
  </si>
  <si>
    <t>Mão francesa metálica dupla, com dois perfis 38 mm x 38 mm, L = 800 mm</t>
  </si>
  <si>
    <t>SF-01391</t>
  </si>
  <si>
    <t>OLEO DIESEL S-10 OU S-500</t>
  </si>
  <si>
    <t>SF-01403</t>
  </si>
  <si>
    <t>SF-01404</t>
  </si>
  <si>
    <t>SF-01405</t>
  </si>
  <si>
    <t>SF-01406</t>
  </si>
  <si>
    <t>SF-01407</t>
  </si>
  <si>
    <t>SF-01408</t>
  </si>
  <si>
    <t>SF-01409</t>
  </si>
  <si>
    <t>SF-01410</t>
  </si>
  <si>
    <t>SF-01411</t>
  </si>
  <si>
    <t>SF-01412</t>
  </si>
  <si>
    <t>SF-01413</t>
  </si>
  <si>
    <t>SF-01414</t>
  </si>
  <si>
    <t>SF-01415</t>
  </si>
  <si>
    <t>SF-01416</t>
  </si>
  <si>
    <t>SF-01417</t>
  </si>
  <si>
    <t>SF-01418</t>
  </si>
  <si>
    <t>SF-01419</t>
  </si>
  <si>
    <t>SF-01420</t>
  </si>
  <si>
    <t>SF-01421</t>
  </si>
  <si>
    <t>SF-01422</t>
  </si>
  <si>
    <t>SF-01488</t>
  </si>
  <si>
    <t>SF-01494</t>
  </si>
  <si>
    <t>SF-01540</t>
  </si>
  <si>
    <t>SF-01541</t>
  </si>
  <si>
    <t>SF-01542</t>
  </si>
  <si>
    <t>SF-01543</t>
  </si>
  <si>
    <t>SF-01544</t>
  </si>
  <si>
    <t>SF-01546</t>
  </si>
  <si>
    <t>SF-01547</t>
  </si>
  <si>
    <t>SF-01561</t>
  </si>
  <si>
    <t>SF-01563</t>
  </si>
  <si>
    <t>SF-01564</t>
  </si>
  <si>
    <t>SF-01565</t>
  </si>
  <si>
    <t>SF-01566</t>
  </si>
  <si>
    <t>SF-01567</t>
  </si>
  <si>
    <t>SF-01568</t>
  </si>
  <si>
    <t>SF-01569</t>
  </si>
  <si>
    <t>SF-01570</t>
  </si>
  <si>
    <t>SF-01571</t>
  </si>
  <si>
    <t>SF-01572</t>
  </si>
  <si>
    <t>SF-01599</t>
  </si>
  <si>
    <t>SF-01600</t>
  </si>
  <si>
    <t>SF-01601</t>
  </si>
  <si>
    <t>SF-01602</t>
  </si>
  <si>
    <t>SF-01603</t>
  </si>
  <si>
    <t>SF-01807</t>
  </si>
  <si>
    <t>SF-01808</t>
  </si>
  <si>
    <t>Eletroduto de aço carbono com costura galvanização eletrolítica inclusive conexões Ø 25 mm 1"</t>
  </si>
  <si>
    <t>SF-01809</t>
  </si>
  <si>
    <t>Eletroduto de aço carbono com costura galvanização eletrolítica inclusive conexões Ø 32 mm 1 1/4"</t>
  </si>
  <si>
    <t>SF-01810</t>
  </si>
  <si>
    <t>Eletroduto de aço carbono com costura galvanização eletrolítica inclusive conexões Ø 40 mm 1 1/2"</t>
  </si>
  <si>
    <t>SF-01811</t>
  </si>
  <si>
    <t>Eletroduto de aço carbono com costura galvanização eletrolítica inclusive conexões Ø 50 mm 2"</t>
  </si>
  <si>
    <t>SF-01812</t>
  </si>
  <si>
    <t>Eletroduto de aço carbono com costura galvanização eletrolítica inclusive conexões Ø 65 mm 2 1/2"</t>
  </si>
  <si>
    <t>SF-01813</t>
  </si>
  <si>
    <t>Eletroduto de aço carbono com costura galvanização eletrolítica inclusive conexões Ø 80 mm 3"</t>
  </si>
  <si>
    <t>SF-01814</t>
  </si>
  <si>
    <t>Eletroduto de aço carbono com costura galvanização eletrolítica inclusive conexões Ø 100 mm 4"</t>
  </si>
  <si>
    <t>SF-01824</t>
  </si>
  <si>
    <t>SF-01826</t>
  </si>
  <si>
    <t>SF-01827</t>
  </si>
  <si>
    <t>SF-01828</t>
  </si>
  <si>
    <t>SF-01829</t>
  </si>
  <si>
    <t>SF-01831</t>
  </si>
  <si>
    <t>SF-01832</t>
  </si>
  <si>
    <t>SF-01833</t>
  </si>
  <si>
    <t>SF-01834</t>
  </si>
  <si>
    <t>SF-01836</t>
  </si>
  <si>
    <t>SF-01837</t>
  </si>
  <si>
    <t>SF-01838</t>
  </si>
  <si>
    <t>SF-01839</t>
  </si>
  <si>
    <t>SF-01841</t>
  </si>
  <si>
    <t>SF-01842</t>
  </si>
  <si>
    <t>SF-01843</t>
  </si>
  <si>
    <t>SF-01844</t>
  </si>
  <si>
    <t>SF-01846</t>
  </si>
  <si>
    <t>SF-01847</t>
  </si>
  <si>
    <t>SF-01848</t>
  </si>
  <si>
    <t>SF-01849</t>
  </si>
  <si>
    <t>SF-01851</t>
  </si>
  <si>
    <t>SF-01853</t>
  </si>
  <si>
    <t>SF-01854</t>
  </si>
  <si>
    <t>SF-01856</t>
  </si>
  <si>
    <t>SF-01857</t>
  </si>
  <si>
    <t>SF-01858</t>
  </si>
  <si>
    <t>SF-01859</t>
  </si>
  <si>
    <t>SF-01861</t>
  </si>
  <si>
    <t>SF-01862</t>
  </si>
  <si>
    <t>SF-01863</t>
  </si>
  <si>
    <t>SF-01864</t>
  </si>
  <si>
    <t>SF-01866</t>
  </si>
  <si>
    <t>SF-01867</t>
  </si>
  <si>
    <t>SF-01868</t>
  </si>
  <si>
    <t>SF-01869</t>
  </si>
  <si>
    <t>SF-01871</t>
  </si>
  <si>
    <t>SF-01873</t>
  </si>
  <si>
    <t>SF-01875</t>
  </si>
  <si>
    <t>SF-01877</t>
  </si>
  <si>
    <t>SF-01879</t>
  </si>
  <si>
    <t>SF-01880</t>
  </si>
  <si>
    <t>SF-01881</t>
  </si>
  <si>
    <t>SF-01882</t>
  </si>
  <si>
    <t>SF-01883</t>
  </si>
  <si>
    <t>SF-01884</t>
  </si>
  <si>
    <t>SF-01885</t>
  </si>
  <si>
    <t>SF-01886</t>
  </si>
  <si>
    <t>SF-01887</t>
  </si>
  <si>
    <t>SF-01888</t>
  </si>
  <si>
    <t>SF-01889</t>
  </si>
  <si>
    <t>SF-01890</t>
  </si>
  <si>
    <t>SF-01891</t>
  </si>
  <si>
    <t>SF-01892</t>
  </si>
  <si>
    <t>SF-01893</t>
  </si>
  <si>
    <t>SF-01894</t>
  </si>
  <si>
    <t>SF-01895</t>
  </si>
  <si>
    <t>SF-01896</t>
  </si>
  <si>
    <t>SF-01897</t>
  </si>
  <si>
    <t>SF-01898</t>
  </si>
  <si>
    <t>SF-01899</t>
  </si>
  <si>
    <t>SF-01900</t>
  </si>
  <si>
    <t>SF-01901</t>
  </si>
  <si>
    <t>SF-01902</t>
  </si>
  <si>
    <t>SF-01915</t>
  </si>
  <si>
    <t>BASE DE FUSÍVEL NH 00 ATÉ 160 A EM QUADRO DE DISTRIBUIÇÃO DE LUZ E FORÇA</t>
  </si>
  <si>
    <t>SF-01916</t>
  </si>
  <si>
    <t>BASE DE FUSÍVEL NH 1 ATÉ 250 A EM QUADRO DE DISTRIBUIÇÃO DE LUZ E FORÇA</t>
  </si>
  <si>
    <t>SF-01917</t>
  </si>
  <si>
    <t>BASE DE FUSÍVEL NH 2 ATÉ 400 A EM QUADRO DE DISTRIBUIÇÃO DE LUZ E FORÇA</t>
  </si>
  <si>
    <t>SF-01918</t>
  </si>
  <si>
    <t>BASE DE FUSÍVEL NH 3 ATÉ 630 A EM QUADRO DE DISTRIBUIÇÃO DE FORÇA</t>
  </si>
  <si>
    <t>SF-01919</t>
  </si>
  <si>
    <t>FUSÍVEL RETARDADO NH 00 COM INDICADOR DE TOPO 125 A</t>
  </si>
  <si>
    <t>SF-01921</t>
  </si>
  <si>
    <t>FUSÍVEL RETARDADO NH 01 COM INDICADOR DE TOPO 250 A</t>
  </si>
  <si>
    <t>SF-01923</t>
  </si>
  <si>
    <t>FUSÍVEL RETARDADO NH 02 COM INDICADOR DE TOPO 400 A</t>
  </si>
  <si>
    <t>SF-01925</t>
  </si>
  <si>
    <t>FUSÍVEL RETARDADO NH 03 COM INDICADOR DE TOPO 630 A</t>
  </si>
  <si>
    <t>SF-01928</t>
  </si>
  <si>
    <t>SF-01944</t>
  </si>
  <si>
    <t>SF-01946</t>
  </si>
  <si>
    <t>SF-01948</t>
  </si>
  <si>
    <t>SF-01949</t>
  </si>
  <si>
    <t>SF-02076</t>
  </si>
  <si>
    <t>SF-02083</t>
  </si>
  <si>
    <t>SF-02082</t>
  </si>
  <si>
    <t>SF-02091</t>
  </si>
  <si>
    <t>CAIXA DE PASSAGEM EM CHAPA DE AÇO COM TAMPA APARAFUSADA 402 X 402 X 152 MM</t>
  </si>
  <si>
    <t>SF-02094</t>
  </si>
  <si>
    <t>SF-02095</t>
  </si>
  <si>
    <t>ABRACADEIRA TIPO COPO, DE 3"</t>
  </si>
  <si>
    <t>SF-02099</t>
  </si>
  <si>
    <t>SF-02212</t>
  </si>
  <si>
    <t>SF-02213</t>
  </si>
  <si>
    <t>SF-02214</t>
  </si>
  <si>
    <t>SF-02250</t>
  </si>
  <si>
    <t>SF-02285</t>
  </si>
  <si>
    <t>SF-02290</t>
  </si>
  <si>
    <t>SF-02291</t>
  </si>
  <si>
    <t>SF-02292</t>
  </si>
  <si>
    <t>SF-02294</t>
  </si>
  <si>
    <t>SF-02314</t>
  </si>
  <si>
    <t>SF-02310</t>
  </si>
  <si>
    <t>SF-02328</t>
  </si>
  <si>
    <t>SF-02329</t>
  </si>
  <si>
    <t>SF-02330</t>
  </si>
  <si>
    <t>SF-02363</t>
  </si>
  <si>
    <t>SF-02379</t>
  </si>
  <si>
    <t>MOLDE CADINHO SOLDA EXOTERMICA Cch 35mm</t>
  </si>
  <si>
    <t>CARTUCHO EM PO PARA SOLDA EXOTERMICA 90/115/150/250</t>
  </si>
  <si>
    <t>PALITO IGNITOR PARA SOLDA EXOTERMICA</t>
  </si>
  <si>
    <t>SF-02389</t>
  </si>
  <si>
    <t>SF-02499</t>
  </si>
  <si>
    <t>SF-02588</t>
  </si>
  <si>
    <t>SF-02590</t>
  </si>
  <si>
    <t>Carpete em placa, para uso comercial, adequado para tráfego pesado, conforme especificações técnicas.</t>
  </si>
  <si>
    <t>SF-02591</t>
  </si>
  <si>
    <t>Carpete em rolo, para uso comercial, adequado para tráfego pesado, conforme especificações técnicas.</t>
  </si>
  <si>
    <t>SF-02592</t>
  </si>
  <si>
    <t>SF-02593</t>
  </si>
  <si>
    <t>SF-02594</t>
  </si>
  <si>
    <t>SF-02595</t>
  </si>
  <si>
    <t>Graute epóxi fluido de alta resistência mecânica. Ref: Sikadur 42 BR.</t>
  </si>
  <si>
    <t>Obs.: considerando consumo de 2.000 kg/m³, conforme site do fabricante: https://bra.sika.com/pt/construcao/pisos-industriais/reparo-em-pisos/argamassa-epoxi/sikadur-42-br.html</t>
  </si>
  <si>
    <t>SF-02596</t>
  </si>
  <si>
    <t>SF-02597</t>
  </si>
  <si>
    <t>SF-02598</t>
  </si>
  <si>
    <t>SF-02599</t>
  </si>
  <si>
    <t>SF-02600</t>
  </si>
  <si>
    <t>SF-02601</t>
  </si>
  <si>
    <t>SF-02602</t>
  </si>
  <si>
    <t>QUADRO DE DISTRIBUICAO COM BARRAMENTO TRIFASICO, DE SOBREPOR, EM CHAPA DE ACO GALVANIZADO, PARA 18 DISJUNTORES DIN, 100 A</t>
  </si>
  <si>
    <t>SF-02603</t>
  </si>
  <si>
    <t>SF-02604</t>
  </si>
  <si>
    <t>SF-02606</t>
  </si>
  <si>
    <t>SF-02607</t>
  </si>
  <si>
    <t>SF-02608</t>
  </si>
  <si>
    <t>SF-02609</t>
  </si>
  <si>
    <t>SF-02610</t>
  </si>
  <si>
    <t>SF-02611</t>
  </si>
  <si>
    <t>Grelha pré-moldada de concreto para canaleta 35 x 60 x 5 cm</t>
  </si>
  <si>
    <t>SF-02612</t>
  </si>
  <si>
    <t>SF-02613</t>
  </si>
  <si>
    <t>SF-02614</t>
  </si>
  <si>
    <t>SF-02615</t>
  </si>
  <si>
    <t>Furo em concreto com broca de widia, utilizando martele elétrico Ø 3/8" profundidade 10 cm</t>
  </si>
  <si>
    <t>SF-02617</t>
  </si>
  <si>
    <t>POSTE CONICO CONTINUO EM ACO GALVANIZADO, RETO, BRACO SIMPLES, ENGASTADO,  H = 5 M</t>
  </si>
  <si>
    <t>SF-02618</t>
  </si>
  <si>
    <t>SUPORTE PARA 1 PÉTALA PARA LUMINÁRIA DE ILUMINAÇÃO PÚBLICA</t>
  </si>
  <si>
    <t>SF-02678</t>
  </si>
  <si>
    <t>SF-02679</t>
  </si>
  <si>
    <t>SF-02680</t>
  </si>
  <si>
    <t>SF-02681</t>
  </si>
  <si>
    <t>SF-02682</t>
  </si>
  <si>
    <t>SF-02689</t>
  </si>
  <si>
    <t>SF-02690</t>
  </si>
  <si>
    <t>SF-02691</t>
  </si>
  <si>
    <t>SF-02692</t>
  </si>
  <si>
    <t>SF-02701</t>
  </si>
  <si>
    <t>SF-02702</t>
  </si>
  <si>
    <t>SF-02703</t>
  </si>
  <si>
    <t>SF-02704</t>
  </si>
  <si>
    <t>POSTE CONICO CONTINUO EM ACO GALVANIZADO, RETO, H = 4 M</t>
  </si>
  <si>
    <t>SF-02705</t>
  </si>
  <si>
    <t>Caixa hermética para CFTV</t>
  </si>
  <si>
    <t>SF-02709</t>
  </si>
  <si>
    <t>Quadro elétrico tipo TTA completo com 06 disjuntores terminais, contemplando disjuntores, DPS, DR, etc., conforme especificação</t>
  </si>
  <si>
    <t>SF-02710</t>
  </si>
  <si>
    <t>Quadro elétrico tipo TTA completo com 11 disjuntores terminais, contemplando disjuntores, DPS, DR, etc., conforme especificação</t>
  </si>
  <si>
    <t>SF-02717</t>
  </si>
  <si>
    <t>SF-02719</t>
  </si>
  <si>
    <t>SF-02720</t>
  </si>
  <si>
    <t>SF-02724</t>
  </si>
  <si>
    <t>SF-02730</t>
  </si>
  <si>
    <t>SF-02731</t>
  </si>
  <si>
    <t>SF-02735</t>
  </si>
  <si>
    <t>SF-02737</t>
  </si>
  <si>
    <t>SF-02739</t>
  </si>
  <si>
    <t>SF-02742</t>
  </si>
  <si>
    <t>SF-02743</t>
  </si>
  <si>
    <t>SF-02745</t>
  </si>
  <si>
    <t>SF-02747</t>
  </si>
  <si>
    <t>SF-02748</t>
  </si>
  <si>
    <t>SF-02752</t>
  </si>
  <si>
    <t>SF-02760</t>
  </si>
  <si>
    <t>SF-02778</t>
  </si>
  <si>
    <t>SF-02784</t>
  </si>
  <si>
    <t>SF-02801</t>
  </si>
  <si>
    <t>SF-02807</t>
  </si>
  <si>
    <t>SF-02808</t>
  </si>
  <si>
    <t>SF-02809</t>
  </si>
  <si>
    <t>SF-02810</t>
  </si>
  <si>
    <t>SF-02811</t>
  </si>
  <si>
    <t>SF-02812</t>
  </si>
  <si>
    <t>SF-02813</t>
  </si>
  <si>
    <t>SF-02814</t>
  </si>
  <si>
    <t>SF-02815</t>
  </si>
  <si>
    <t>SF-02816</t>
  </si>
  <si>
    <t>SF-02817</t>
  </si>
  <si>
    <t>SF-02818</t>
  </si>
  <si>
    <t>SF-02819</t>
  </si>
  <si>
    <t>SF-02820</t>
  </si>
  <si>
    <t>SF-02823</t>
  </si>
  <si>
    <t>SF-02824</t>
  </si>
  <si>
    <t>SF-02825</t>
  </si>
  <si>
    <t>SF-02826</t>
  </si>
  <si>
    <t>SF-02827</t>
  </si>
  <si>
    <t>SF-02828</t>
  </si>
  <si>
    <t>SF-02848</t>
  </si>
  <si>
    <t>SF-02849</t>
  </si>
  <si>
    <t>SF-02850</t>
  </si>
  <si>
    <t>SF-02852</t>
  </si>
  <si>
    <t>SF-02853</t>
  </si>
  <si>
    <t>SF-02854</t>
  </si>
  <si>
    <t>SF-02855</t>
  </si>
  <si>
    <t>SF-02856</t>
  </si>
  <si>
    <t>SF-02863</t>
  </si>
  <si>
    <t>SF-02864</t>
  </si>
  <si>
    <t>SF-02865</t>
  </si>
  <si>
    <t>SF-02866</t>
  </si>
  <si>
    <t>SF-02867</t>
  </si>
  <si>
    <t>SF-02868</t>
  </si>
  <si>
    <t>SF-02869</t>
  </si>
  <si>
    <t>SF-02870</t>
  </si>
  <si>
    <t>SF-02871</t>
  </si>
  <si>
    <t>SF-02872</t>
  </si>
  <si>
    <t>SF-02873</t>
  </si>
  <si>
    <t>SF-02874</t>
  </si>
  <si>
    <t>SF-02875</t>
  </si>
  <si>
    <t>SF-02876</t>
  </si>
  <si>
    <t>SF-02877</t>
  </si>
  <si>
    <t>SF-02878</t>
  </si>
  <si>
    <t>SF-02879</t>
  </si>
  <si>
    <t>SF-02880</t>
  </si>
  <si>
    <t>SF-02881</t>
  </si>
  <si>
    <t>SF-02882</t>
  </si>
  <si>
    <t>SF-02885</t>
  </si>
  <si>
    <t>SF-02886</t>
  </si>
  <si>
    <t>SF-02887</t>
  </si>
  <si>
    <t>SF-02888</t>
  </si>
  <si>
    <t>SF-02889</t>
  </si>
  <si>
    <t>SF-02890</t>
  </si>
  <si>
    <t>SF-02891</t>
  </si>
  <si>
    <t>SF-02892</t>
  </si>
  <si>
    <t>SF-02893</t>
  </si>
  <si>
    <t>SF-02894</t>
  </si>
  <si>
    <t>SF-02895</t>
  </si>
  <si>
    <t>TUBO PVC, ROSCAVEL, 3", AGUA FRIA PREDIAL</t>
  </si>
  <si>
    <t>SF-02896</t>
  </si>
  <si>
    <t>SF-02897</t>
  </si>
  <si>
    <t>TUBO PVC, ROSCAVEL, 4", AGUA FRIA PREDIAL</t>
  </si>
  <si>
    <t>SF-02899</t>
  </si>
  <si>
    <t>SF-02900</t>
  </si>
  <si>
    <t>SF-02901</t>
  </si>
  <si>
    <t>SF-02902</t>
  </si>
  <si>
    <t>SF-02903</t>
  </si>
  <si>
    <t>SF-02904</t>
  </si>
  <si>
    <t>SF-02905</t>
  </si>
  <si>
    <t>SF-02906</t>
  </si>
  <si>
    <t>SF-02907</t>
  </si>
  <si>
    <t>SF-02918</t>
  </si>
  <si>
    <t>SF-02919</t>
  </si>
  <si>
    <t>SF-02921</t>
  </si>
  <si>
    <t>SF-02922</t>
  </si>
  <si>
    <t>SF-02924</t>
  </si>
  <si>
    <t>SF-02925</t>
  </si>
  <si>
    <t>SF-02926</t>
  </si>
  <si>
    <t>SF-02927</t>
  </si>
  <si>
    <t>SF-02928</t>
  </si>
  <si>
    <t>SF-02929</t>
  </si>
  <si>
    <t>SF-02931</t>
  </si>
  <si>
    <t>SF-02932</t>
  </si>
  <si>
    <t>SF-02933</t>
  </si>
  <si>
    <t>SF-02935</t>
  </si>
  <si>
    <t>SF-02940</t>
  </si>
  <si>
    <t>SF-02941</t>
  </si>
  <si>
    <t>SF-02943</t>
  </si>
  <si>
    <t>SF-02970</t>
  </si>
  <si>
    <t>SF-02973</t>
  </si>
  <si>
    <t>SF-02974</t>
  </si>
  <si>
    <t>SF-02975</t>
  </si>
  <si>
    <t>SF-02976</t>
  </si>
  <si>
    <t>SF-02977</t>
  </si>
  <si>
    <t>SF-02979</t>
  </si>
  <si>
    <t>SF-02980</t>
  </si>
  <si>
    <t>SF-02985</t>
  </si>
  <si>
    <t>SF-02986</t>
  </si>
  <si>
    <t>CURVA PVC LONGA 45 GRAUS, 100 MM, PARA ESGOTO PREDIAL</t>
  </si>
  <si>
    <t>SF-02987</t>
  </si>
  <si>
    <t>SF-02988</t>
  </si>
  <si>
    <t>SF-02989</t>
  </si>
  <si>
    <t>SF-02990</t>
  </si>
  <si>
    <t>SF-02991</t>
  </si>
  <si>
    <t>SF-02996</t>
  </si>
  <si>
    <t>SF-02997</t>
  </si>
  <si>
    <t>SF-02998</t>
  </si>
  <si>
    <t>SF-02999</t>
  </si>
  <si>
    <t>SF-03006</t>
  </si>
  <si>
    <t>SF-03007</t>
  </si>
  <si>
    <t>SF-03008</t>
  </si>
  <si>
    <t>SF-03009</t>
  </si>
  <si>
    <t>SF-03013</t>
  </si>
  <si>
    <t>SF-03014</t>
  </si>
  <si>
    <t>SF-03015</t>
  </si>
  <si>
    <t>SF-03017</t>
  </si>
  <si>
    <t>SF-03019</t>
  </si>
  <si>
    <t>SF-03020</t>
  </si>
  <si>
    <t>SF-03021</t>
  </si>
  <si>
    <t>SF-03022</t>
  </si>
  <si>
    <t>SF-03023</t>
  </si>
  <si>
    <t>SF-03024</t>
  </si>
  <si>
    <t>SF-03025</t>
  </si>
  <si>
    <t>SF-03026</t>
  </si>
  <si>
    <t>SF-03027</t>
  </si>
  <si>
    <t>SF-03028</t>
  </si>
  <si>
    <t>SF-03029</t>
  </si>
  <si>
    <t>SF-03030</t>
  </si>
  <si>
    <t>SF-03031</t>
  </si>
  <si>
    <t>SF-03032</t>
  </si>
  <si>
    <t>SF-03033</t>
  </si>
  <si>
    <t>SF-03034</t>
  </si>
  <si>
    <t>SF-03035</t>
  </si>
  <si>
    <t>SF-03036</t>
  </si>
  <si>
    <t>SF-03037</t>
  </si>
  <si>
    <t>SF-03038</t>
  </si>
  <si>
    <t>SF-03039</t>
  </si>
  <si>
    <t>SF-03040</t>
  </si>
  <si>
    <t>SF-03041</t>
  </si>
  <si>
    <t>SF-03042</t>
  </si>
  <si>
    <t>SF-03043</t>
  </si>
  <si>
    <t>SF-03044</t>
  </si>
  <si>
    <t>SF-03045</t>
  </si>
  <si>
    <t>LUVA PVC, ROSCAVEL, 2", AGUA FRIA PREDIAL</t>
  </si>
  <si>
    <t>SF-03046</t>
  </si>
  <si>
    <t>SF-03047</t>
  </si>
  <si>
    <t>SF-03048</t>
  </si>
  <si>
    <t>SF-03084</t>
  </si>
  <si>
    <t>SF-03085</t>
  </si>
  <si>
    <t>SF-03086</t>
  </si>
  <si>
    <t>SF-03087</t>
  </si>
  <si>
    <t>SF-03088</t>
  </si>
  <si>
    <t>SF-03089</t>
  </si>
  <si>
    <t>SF-03090</t>
  </si>
  <si>
    <t>SF-03091</t>
  </si>
  <si>
    <t>SF-03092</t>
  </si>
  <si>
    <t>SF-03093</t>
  </si>
  <si>
    <t>SF-03095</t>
  </si>
  <si>
    <t>SF-03096</t>
  </si>
  <si>
    <t>SF-03111</t>
  </si>
  <si>
    <t>SF-03112</t>
  </si>
  <si>
    <t>SF-03126</t>
  </si>
  <si>
    <t>Ar-condicionado fancolete hidrônico dutado 1,5 TR</t>
  </si>
  <si>
    <t>SF-03127</t>
  </si>
  <si>
    <t>Grelha para retorno de ar com lâminas fixas e registro, 225 mm x 225 mm</t>
  </si>
  <si>
    <t>SF-03128</t>
  </si>
  <si>
    <t>Ar-condicionado fancolete hidrônico dutado 0,58 TR (7.000 BTU/h)</t>
  </si>
  <si>
    <t>SF-03131</t>
  </si>
  <si>
    <t>SF-03132</t>
  </si>
  <si>
    <t>SF-03159</t>
  </si>
  <si>
    <t>Água destilada/desmineralizada/desionizada/ultrafiltrada</t>
  </si>
  <si>
    <t>Fluido de arrefecimento para motor MTU 16V4000</t>
  </si>
  <si>
    <t>SF-03167</t>
  </si>
  <si>
    <t>Fluido de arrefecimento para motor Cummins NTA 855</t>
  </si>
  <si>
    <t>SF-03180</t>
  </si>
  <si>
    <t>Fluido de arrefecimento para motor Mercedes-Benz OM 447 LA</t>
  </si>
  <si>
    <t>SF-03203</t>
  </si>
  <si>
    <t>SF-03204</t>
  </si>
  <si>
    <t>Válvula de gaveta em bronze com fecho rápido sem acabamento, DN= 1 1/2"</t>
  </si>
  <si>
    <t>SF-03206</t>
  </si>
  <si>
    <t>SF-03207</t>
  </si>
  <si>
    <t>SF-03208</t>
  </si>
  <si>
    <t>Chave de nível tipo bóia pêra</t>
  </si>
  <si>
    <t>SF-03209</t>
  </si>
  <si>
    <t>SF-03210</t>
  </si>
  <si>
    <t>Quadro de transferência automática para sistema de bombas do Bloco 01</t>
  </si>
  <si>
    <t>SF-03211</t>
  </si>
  <si>
    <t>Painel para acionamento de bombas do sistema de drenagem de águas pluviais do Bloco 01</t>
  </si>
  <si>
    <t>SF-03212</t>
  </si>
  <si>
    <t>Painel para acionamento de bombas do sistema de esgoto do Bloco 01</t>
  </si>
  <si>
    <t>SF-03213</t>
  </si>
  <si>
    <t>Transmissor de nível ultrassônico</t>
  </si>
  <si>
    <t>SF-03214</t>
  </si>
  <si>
    <t>SF-03215</t>
  </si>
  <si>
    <t>Bloco de concreto tipo canaleta 19 x 19 x 39 cm</t>
  </si>
  <si>
    <t>SF-03217</t>
  </si>
  <si>
    <t>SF-03220</t>
  </si>
  <si>
    <t>SF-03221</t>
  </si>
  <si>
    <t>SF-03222</t>
  </si>
  <si>
    <t>SF-03223</t>
  </si>
  <si>
    <t>Vermiculita expandida</t>
  </si>
  <si>
    <t>m3</t>
  </si>
  <si>
    <t>SF-03225</t>
  </si>
  <si>
    <t>Adaptador fixo rosca macho PEX gás Ø 26 mm x 3/4</t>
  </si>
  <si>
    <t>SF-03226</t>
  </si>
  <si>
    <t>Cotovelo PEX multicamada macho Ø 20 mm x 1/2"</t>
  </si>
  <si>
    <t>SF-03229</t>
  </si>
  <si>
    <t>Luva redução PEX gás Ø 26 mm x 20 mm</t>
  </si>
  <si>
    <t>SF-03230</t>
  </si>
  <si>
    <t>Tê rosca fêmea PEX gás Ø 26 mm x 3/4"</t>
  </si>
  <si>
    <t>SF-03231</t>
  </si>
  <si>
    <t>SF-03232</t>
  </si>
  <si>
    <t>SF-03235</t>
  </si>
  <si>
    <t>SF-03238</t>
  </si>
  <si>
    <t>SF-03242</t>
  </si>
  <si>
    <t>SF-03243</t>
  </si>
  <si>
    <t>SF-03244</t>
  </si>
  <si>
    <t>SUPORTE PARA 3 PÉTALAS PARA LUMINÁRIA DE ILUMINAÇÃO PÚBLICA</t>
  </si>
  <si>
    <t>SF-03245</t>
  </si>
  <si>
    <t>SF-03246</t>
  </si>
  <si>
    <t>SF-03247</t>
  </si>
  <si>
    <t>Cabo de cobre multipolar, classe 5, isolação em EPR, 0,6/1 kV, 3x10,0mm² resistente a chama, livre de halogênios</t>
  </si>
  <si>
    <t>SF-03248</t>
  </si>
  <si>
    <t>Quadro elétrico tipo TTA completo, para uso externo, com 11 disjuntores terminais, contemplando disjuntores, DPS, DR, etc., conforme especificação</t>
  </si>
  <si>
    <t>SF-03249</t>
  </si>
  <si>
    <t>SF-03250</t>
  </si>
  <si>
    <t>SF-03251</t>
  </si>
  <si>
    <t>Cabo de cobre multipolar, classe 5, isolação em EPR, 0,6/1 kV, 3x6,0mm² resistente a chama, livre de halogênios</t>
  </si>
  <si>
    <t>SF-03252</t>
  </si>
  <si>
    <t>Eletroduto rígido roscável de aço galvanizado a fogo de 1”, tipo pesado</t>
  </si>
  <si>
    <t>SF-03253</t>
  </si>
  <si>
    <t>Eletroduto rígido roscável de aço galvanizado a fogo de 1 1/2”, tipo pesado</t>
  </si>
  <si>
    <t>SF-03254</t>
  </si>
  <si>
    <t>Eletroduto rígido roscável de aço galvanizado a fogo de 2”, tipo pesado</t>
  </si>
  <si>
    <t>SF-03255</t>
  </si>
  <si>
    <t>Eletroduto rígido roscável de aço galvanizado a fogo de 3”, tipo pesado</t>
  </si>
  <si>
    <t>SF-03256</t>
  </si>
  <si>
    <t>SF-03257</t>
  </si>
  <si>
    <t>SF-03258</t>
  </si>
  <si>
    <t>SUPORTE PARA 4 PÉTALAS PARA LUMINÁRIA DE ILUMINAÇÃO PÚBLICA</t>
  </si>
  <si>
    <t>SF-03259</t>
  </si>
  <si>
    <t>SF-03260</t>
  </si>
  <si>
    <t>Quadro elétrico tipo TTA completo, para uso externo, com 18 disjuntores terminais, contemplando disjuntores, DPS, DR, etc., conforme especificação</t>
  </si>
  <si>
    <t>SF-03261</t>
  </si>
  <si>
    <t>SF-03262</t>
  </si>
  <si>
    <t>SF-03263</t>
  </si>
  <si>
    <t>Ar-condicionado split dutado 24.000 BTU/h</t>
  </si>
  <si>
    <t>SF-03264</t>
  </si>
  <si>
    <t>Cerâmica esmaltada (G-Glazed), brilho ou acetinado, retificada ou não retificada, fabricante Eliane, modelo Branco Piscina, 20x20, fabricante Portobello, modelo Idea Bianco ou Antartida, 30x60, fabricante Biancogres, modelo Tradizione, 32x60, ou similares</t>
  </si>
  <si>
    <t>SF-03265</t>
  </si>
  <si>
    <t>Cerâmica esmaltada (G-Glazed), acetinado, retificada ou não retificada, fabricante Eliane, modelo Cargo Plus White AC 45x45cm, ou similares</t>
  </si>
  <si>
    <t>SF-03266</t>
  </si>
  <si>
    <t>Cerâmica Gail Industrial linha Gressit 300x300x9mm, 240x116x9mm ou 300x147x9mm cor 1001 – Bege ou similares</t>
  </si>
  <si>
    <t>SF-03274</t>
  </si>
  <si>
    <t>SF-03275</t>
  </si>
  <si>
    <t>SF-03276</t>
  </si>
  <si>
    <t>Grelha em alumínio para captação de ar externo, veneziana, 785 x 660 mm</t>
  </si>
  <si>
    <t>Elemento filtrante classe G4, compatível com grelha de 785 x 660 mm</t>
  </si>
  <si>
    <t>Damper em aço galvanizado compatível com grelha de 785 x 660 mm</t>
  </si>
  <si>
    <t>Atuador para damper, torque compatível</t>
  </si>
  <si>
    <t>SF-03277</t>
  </si>
  <si>
    <t>Grelha para retorno de ar com lâminas fixas e sem registro, 1225x525 mm</t>
  </si>
  <si>
    <t>SF-03278</t>
  </si>
  <si>
    <t>Grelha para retorno de ar com lâminas fixas e registro, 30 x 15 cm</t>
  </si>
  <si>
    <t>SF-03279</t>
  </si>
  <si>
    <t>Fan-coil 5,0 TR, vazão de ar 3730 m3/h, 250 Pa disponível</t>
  </si>
  <si>
    <t>Válvula de balanceamento e controle independente de pressão (PIBCV) 2 vias, para controle proporcional, de diâmetro compatível com o fan-coil. Ref.: IMI Hydronic Engineering TA-MODULATOR, Honeywell VRN2</t>
  </si>
  <si>
    <t>Atuador para controle proporcional compatível com a válvula PIBCV. Ref.: IMI TA-SLIDER</t>
  </si>
  <si>
    <t>Válvula de esfera em bronze ou em latão niquelado, PN20 a 5°C, conexão com rosca, acompanhadas dos elementos de fixação e vedação e dos conectores. Ref.: Mipel Linha 9101</t>
  </si>
  <si>
    <t xml:space="preserve"> Filtro em Y fabricado em bronze, extremidade com roscas, filtro em aço inoxidável, classe de pressão PN25 ou superior. Ref.: Deca Linha F085</t>
  </si>
  <si>
    <t>Pressostato diferencial para ar, ajuste de diferencial de pressão 100–500 Pa, contato SPDT 250V/1,5A, para montagem vertical. Ref.: Honeywell DPS500</t>
  </si>
  <si>
    <t>SF-03280</t>
  </si>
  <si>
    <t>Fan-coil 3,5 TR, vazão de ar 2560 m3/h, 250 Pa disponível</t>
  </si>
  <si>
    <t>SF-03281</t>
  </si>
  <si>
    <t>Quadro para acionamento, proteção e controle de sistema de climatização por fan coil – capacidade até 5 TR</t>
  </si>
  <si>
    <t>SF-03289</t>
  </si>
  <si>
    <t>SF-03290</t>
  </si>
  <si>
    <t>SF-03291</t>
  </si>
  <si>
    <t>SF-03292</t>
  </si>
  <si>
    <t>SF-03293</t>
  </si>
  <si>
    <t>SF-03294</t>
  </si>
  <si>
    <t>SF-03295</t>
  </si>
  <si>
    <t>SF-03296</t>
  </si>
  <si>
    <t>SF-03297</t>
  </si>
  <si>
    <t>SF-03298</t>
  </si>
  <si>
    <t>SF-03299</t>
  </si>
  <si>
    <t>SF-03300</t>
  </si>
  <si>
    <t>SF-03301</t>
  </si>
  <si>
    <t>SF-03302</t>
  </si>
  <si>
    <t>SF-03303</t>
  </si>
  <si>
    <t>SF-03304</t>
  </si>
  <si>
    <t>SF-03305</t>
  </si>
  <si>
    <t>SF-03306</t>
  </si>
  <si>
    <t>SF-03307</t>
  </si>
  <si>
    <t>SF-03308</t>
  </si>
  <si>
    <t>SF-03309</t>
  </si>
  <si>
    <t>SF-03310</t>
  </si>
  <si>
    <t>SF-03311</t>
  </si>
  <si>
    <t>SF-03312</t>
  </si>
  <si>
    <t>SF-03313</t>
  </si>
  <si>
    <t>SF-03314</t>
  </si>
  <si>
    <t>SF-03315</t>
  </si>
  <si>
    <t>SF-03316</t>
  </si>
  <si>
    <t>SF-03317</t>
  </si>
  <si>
    <t>SF-03318</t>
  </si>
  <si>
    <t>SF-03319</t>
  </si>
  <si>
    <t>SF-03320</t>
  </si>
  <si>
    <t>SF-03321</t>
  </si>
  <si>
    <t>SF-03322</t>
  </si>
  <si>
    <t>SF-03323</t>
  </si>
  <si>
    <t>SF-03324</t>
  </si>
  <si>
    <t>SF-03325</t>
  </si>
  <si>
    <t>SF-03326</t>
  </si>
  <si>
    <t>SF-03327</t>
  </si>
  <si>
    <t>SF-03328</t>
  </si>
  <si>
    <t>SF-03329</t>
  </si>
  <si>
    <t>SF-03330</t>
  </si>
  <si>
    <t>SF-03331</t>
  </si>
  <si>
    <t>SF-03332</t>
  </si>
  <si>
    <t>SF-03333</t>
  </si>
  <si>
    <t>SF-03334</t>
  </si>
  <si>
    <t>SF-03335</t>
  </si>
  <si>
    <t>SF-03336</t>
  </si>
  <si>
    <t>SF-03337</t>
  </si>
  <si>
    <t>SF-03338</t>
  </si>
  <si>
    <t>SF-03339</t>
  </si>
  <si>
    <t>SF-03340</t>
  </si>
  <si>
    <t>SF-03341</t>
  </si>
  <si>
    <t>SF-03342</t>
  </si>
  <si>
    <t>SF-03343</t>
  </si>
  <si>
    <t>SF-03344</t>
  </si>
  <si>
    <t>SF-03345</t>
  </si>
  <si>
    <t>SF-03346</t>
  </si>
  <si>
    <t>SF-03347</t>
  </si>
  <si>
    <t>SF-03348</t>
  </si>
  <si>
    <t>SF-03349</t>
  </si>
  <si>
    <t>SF-03350</t>
  </si>
  <si>
    <t>SF-03351</t>
  </si>
  <si>
    <t>SF-03352</t>
  </si>
  <si>
    <t>SF-03353</t>
  </si>
  <si>
    <t>Bucha de redução curta PVC soldável 75 mm x 60 mm</t>
  </si>
  <si>
    <t>SF-03354</t>
  </si>
  <si>
    <t>SF-03355</t>
  </si>
  <si>
    <t>SF-03356</t>
  </si>
  <si>
    <t>SF-03357</t>
  </si>
  <si>
    <t>SF-03358</t>
  </si>
  <si>
    <t>SF-03359</t>
  </si>
  <si>
    <t>SF-03360</t>
  </si>
  <si>
    <t>SF-03361</t>
  </si>
  <si>
    <t>SF-03362</t>
  </si>
  <si>
    <t>SF-03363</t>
  </si>
  <si>
    <t>Bucha de redução curta PVC soldável 85 mm x 75 mm</t>
  </si>
  <si>
    <t>SF-03364</t>
  </si>
  <si>
    <t>SF-03365</t>
  </si>
  <si>
    <t>SF-03366</t>
  </si>
  <si>
    <t>Joelho 45º PVC soldável 110 mm</t>
  </si>
  <si>
    <t>SF-03367</t>
  </si>
  <si>
    <t>SF-03368</t>
  </si>
  <si>
    <t>SF-03369</t>
  </si>
  <si>
    <t>SF-03370</t>
  </si>
  <si>
    <t>SF-03371</t>
  </si>
  <si>
    <t>SF-03372</t>
  </si>
  <si>
    <t>SF-03373</t>
  </si>
  <si>
    <t>SF-03374</t>
  </si>
  <si>
    <t>SF-03375</t>
  </si>
  <si>
    <t>Luva de correr PVC esgoto ou águas pluviais 40 mm</t>
  </si>
  <si>
    <t>SF-03376</t>
  </si>
  <si>
    <t>SF-03377</t>
  </si>
  <si>
    <t>SF-03378</t>
  </si>
  <si>
    <t>SF-03379</t>
  </si>
  <si>
    <t>SF-03380</t>
  </si>
  <si>
    <t>SF-03381</t>
  </si>
  <si>
    <t>SF-03382</t>
  </si>
  <si>
    <t>SF-03383</t>
  </si>
  <si>
    <t>SF-03384</t>
  </si>
  <si>
    <t>SF-03385</t>
  </si>
  <si>
    <t>SF-03386</t>
  </si>
  <si>
    <t>SF-03387</t>
  </si>
  <si>
    <t>Joelho 90º com anel PVC esgoto ou águas pluviais 50 mm</t>
  </si>
  <si>
    <t>SF-03388</t>
  </si>
  <si>
    <t>SF-03389</t>
  </si>
  <si>
    <t>SF-03390</t>
  </si>
  <si>
    <t>SF-03391</t>
  </si>
  <si>
    <t>SF-03392</t>
  </si>
  <si>
    <t>SF-03393</t>
  </si>
  <si>
    <t>SF-03394</t>
  </si>
  <si>
    <t>SF-03395</t>
  </si>
  <si>
    <t>SF-03396</t>
  </si>
  <si>
    <t>SF-03397</t>
  </si>
  <si>
    <t>SF-03398</t>
  </si>
  <si>
    <t>SF-03399</t>
  </si>
  <si>
    <t>SF-03400</t>
  </si>
  <si>
    <t>SF-03401</t>
  </si>
  <si>
    <t>SF-03402</t>
  </si>
  <si>
    <t>SF-03403</t>
  </si>
  <si>
    <t>SF-03404</t>
  </si>
  <si>
    <t>SF-03405</t>
  </si>
  <si>
    <t>SF-03406</t>
  </si>
  <si>
    <t>SF-03407</t>
  </si>
  <si>
    <t>SF-03408</t>
  </si>
  <si>
    <t>SF-03409</t>
  </si>
  <si>
    <t>SF-03410</t>
  </si>
  <si>
    <t>SF-03411</t>
  </si>
  <si>
    <t>SF-03412</t>
  </si>
  <si>
    <t>SF-03413</t>
  </si>
  <si>
    <t>SF-03414</t>
  </si>
  <si>
    <t>SF-03415</t>
  </si>
  <si>
    <t>SF-03416</t>
  </si>
  <si>
    <t>SF-03417</t>
  </si>
  <si>
    <t>SF-03418</t>
  </si>
  <si>
    <t>SF-03419</t>
  </si>
  <si>
    <t>SF-03421</t>
  </si>
  <si>
    <t>SF-03422</t>
  </si>
  <si>
    <t>SF-03423</t>
  </si>
  <si>
    <t>SF-03428</t>
  </si>
  <si>
    <t>SF-03429</t>
  </si>
  <si>
    <t>SF-03430</t>
  </si>
  <si>
    <t>SF-03432</t>
  </si>
  <si>
    <t>SF-03434</t>
  </si>
  <si>
    <t>SF-03436</t>
  </si>
  <si>
    <t>SF-03437</t>
  </si>
  <si>
    <t>SF-03438</t>
  </si>
  <si>
    <t>UNIÃO SEM ANEL N. 733 COBRE/BRONZE 54 MM</t>
  </si>
  <si>
    <t>SF-03439</t>
  </si>
  <si>
    <t>SF-03440</t>
  </si>
  <si>
    <t>TAMPÃO COBRE 617 SEM ANEL DE SOLDA 54 MM</t>
  </si>
  <si>
    <t>SF-03441</t>
  </si>
  <si>
    <t>SF-03443</t>
  </si>
  <si>
    <t>SF-03444</t>
  </si>
  <si>
    <t>SF-03446</t>
  </si>
  <si>
    <t>SF-03448</t>
  </si>
  <si>
    <t>SF-03450</t>
  </si>
  <si>
    <t>SF-03451</t>
  </si>
  <si>
    <t>SF-03455</t>
  </si>
  <si>
    <t>SF-03456</t>
  </si>
  <si>
    <t>SF-03457</t>
  </si>
  <si>
    <t>SF-03458</t>
  </si>
  <si>
    <t>SF-03459</t>
  </si>
  <si>
    <t>SF-03460</t>
  </si>
  <si>
    <t>SF-03461</t>
  </si>
  <si>
    <t>SF-03463</t>
  </si>
  <si>
    <t>SF-03464</t>
  </si>
  <si>
    <t>SF-03465</t>
  </si>
  <si>
    <t>Plug PVC roscável Ø 3/4"</t>
  </si>
  <si>
    <t>SF-03466</t>
  </si>
  <si>
    <t>Plug PVC roscável Ø 1/2"</t>
  </si>
  <si>
    <t>SF-03471</t>
  </si>
  <si>
    <t>Perfil em MDF para acabamento de piso sintético laminado flutuante</t>
  </si>
  <si>
    <t>SF-03472</t>
  </si>
  <si>
    <t>SF-03474</t>
  </si>
  <si>
    <t>SF-03475</t>
  </si>
  <si>
    <t>SF-03477</t>
  </si>
  <si>
    <t>SF-03478</t>
  </si>
  <si>
    <t>SF-03480</t>
  </si>
  <si>
    <t>SF-03482</t>
  </si>
  <si>
    <t>REJUNTE ACRÍLICO, QUALQUER COR</t>
  </si>
  <si>
    <t>SF-03483</t>
  </si>
  <si>
    <t>SF-03484</t>
  </si>
  <si>
    <t>Forro de alumínio sistema linear múltiplo liso com bordas dobradas em ângulo reto com flush em "V" largura 8 cm</t>
  </si>
  <si>
    <t>SF-03485</t>
  </si>
  <si>
    <t>SF-03486</t>
  </si>
  <si>
    <t>Quadro elétrico tipo TTA completo para suprimento do sistema de climatização do Bloco 17 por splits, contemplando disjuntores, DPS, DR, etc., conforme especificação</t>
  </si>
  <si>
    <t>SF-03487</t>
  </si>
  <si>
    <t>SF-03488</t>
  </si>
  <si>
    <t>Película de aplicação externa para controle solar para clarabóias</t>
  </si>
  <si>
    <t>SF-03490</t>
  </si>
  <si>
    <t>SF-03491</t>
  </si>
  <si>
    <t>SF-03492</t>
  </si>
  <si>
    <t>Grelha com malha quadriculada e requadro, em ferro fundido nodular classe 250/300, de 50 x 100 x 5 cm, ref. Fuminas, Afer Industrial ou equivalente</t>
  </si>
  <si>
    <t>SF-03494</t>
  </si>
  <si>
    <t>SF-03495</t>
  </si>
  <si>
    <t>SF-03496</t>
  </si>
  <si>
    <t>SF-03501</t>
  </si>
  <si>
    <t>SF-03502</t>
  </si>
  <si>
    <t>Cantoneira de alumínio sextavada para acabamento de quinas de paredes azulejadas</t>
  </si>
  <si>
    <t>SF-03503</t>
  </si>
  <si>
    <t>Conector CPVC soldável roscável Ø 22 x 3/4"</t>
  </si>
  <si>
    <t>SF-03504</t>
  </si>
  <si>
    <t>FORRO COLMEIA 625x1250mm B15 REFAX</t>
  </si>
  <si>
    <t>MANTA TERMO ACUSTICA 1 FACE TERMOFOIL</t>
  </si>
  <si>
    <t>SF-03506</t>
  </si>
  <si>
    <t>SF-03507</t>
  </si>
  <si>
    <t>Luminária de embutir T5 2 x 28 W, ref: Intral DE-500 (cod. 08025), Lumicenter FAA20-E228, Lumiluz LDA 2X28W, Sylvania LFT032-RN, G-Light LART5-2X28EBR-AA, Blan ACRUX T5 Elite A-7135</t>
  </si>
  <si>
    <t>Lâmpada TuboLED T5 de 28 W, ref: Osram SubstiTUBE T5 HO AC 15W 4000K 1850lm BIV G5 (7015215, cód. de barras: 4058075196773), Philips MASTER LEDtube 1200mm 13W840 G5 I</t>
  </si>
  <si>
    <t>SF-03508</t>
  </si>
  <si>
    <t>Luminária de sobrepor T5 2 x 28 W, ref: Intral DS-500 (cod. 08029), Lumicenter FAA20-S228, Lumiluz LSA 2X28W, Sylvania LFT012-RN, G-Light LART5-2X28SBR-AA, Blan ACRUX T5 Elite A-7035</t>
  </si>
  <si>
    <t>SF-03509</t>
  </si>
  <si>
    <t>SF-03510</t>
  </si>
  <si>
    <t>SF-03513</t>
  </si>
  <si>
    <t>Caixa d'água de polietileno alta densidade, cilíndrica, 310 litros</t>
  </si>
  <si>
    <t>SF-03521</t>
  </si>
  <si>
    <t>SF-03531</t>
  </si>
  <si>
    <t>Caixa para Medição de SPDA, ref.: TERMOTÉCNICA TEL0541</t>
  </si>
  <si>
    <t>SF-03532</t>
  </si>
  <si>
    <t>SF-03536</t>
  </si>
  <si>
    <t>Bloco autônomo de emergência com fluxo mínimo de 2400 lumens</t>
  </si>
  <si>
    <t>SF-03537</t>
  </si>
  <si>
    <t>Luminária LED Highbay 200 W, IP65, 20000 lumens, ref.: Osram LEDVANCE HIGHBAY VALUE 200W/4000K 220V (7016720), Osram LEDVANCE HIGHBAY 200W 110o IP65 100-277V (7014443), Osram LEDVANCE HIGHBAY 200W 90o IP65 100-277V (7014445)</t>
  </si>
  <si>
    <t>SF-03538</t>
  </si>
  <si>
    <t>ARGAMASSA POLIMERICA IMPERMEABILIZANTE SEMIFLEXIVEL, BICOMPONENTE (MEMBRANA IMPERMEABILIZANTE ACRILICA), RESISTENTE A EFLUENTES DOMÉSTICOS E SUBSTÂNCIAS AGRESSIVAS</t>
  </si>
  <si>
    <t>SF-03540</t>
  </si>
  <si>
    <t>Detector de fumaça para central Notifier NFS-320, ref.: Notifier FSP-851</t>
  </si>
  <si>
    <t>SF-03541</t>
  </si>
  <si>
    <t>Cabo de cobre blindado para sistema de alarme de incêndio 2 x 1,5 mm2, tensão de isolamento de 600 V</t>
  </si>
  <si>
    <t>SF-03542</t>
  </si>
  <si>
    <t>Central de alarme inteligente contra incêndio, ref.: Notifier - NFS2-3030</t>
  </si>
  <si>
    <t>SF-03543</t>
  </si>
  <si>
    <t>SF-03544</t>
  </si>
  <si>
    <t>SF-03545</t>
  </si>
  <si>
    <t>SF-03546</t>
  </si>
  <si>
    <t>SF-03548</t>
  </si>
  <si>
    <t>SF-03549</t>
  </si>
  <si>
    <t>Tampa cega redonda em aço inox com moldura, para caixa de gordura, 25 cm de diâmetro</t>
  </si>
  <si>
    <t>SF-03550</t>
  </si>
  <si>
    <t>SF-03551</t>
  </si>
  <si>
    <t>SF-03552</t>
  </si>
  <si>
    <t>Luminária Plafon LED Slim 15 W, ref.: Osram Ledvance Slim</t>
  </si>
  <si>
    <t>SF-03553</t>
  </si>
  <si>
    <t>Luminária Plafon LED Slim 24 W, ref.: Osram Ledvance Slim</t>
  </si>
  <si>
    <t>SF-03554</t>
  </si>
  <si>
    <t>Tampa unha simples metálica para caixas de piso 4x2</t>
  </si>
  <si>
    <t>SF-03555</t>
  </si>
  <si>
    <t>Tampa unha simples metálica para caixas de piso 4x4</t>
  </si>
  <si>
    <t>SF-03556</t>
  </si>
  <si>
    <t>Tampa unha dupla metálica para caixas de piso 4x4</t>
  </si>
  <si>
    <t>SF-03557</t>
  </si>
  <si>
    <t>Tomada 2P+T 10A com encaixe para móveis</t>
  </si>
  <si>
    <t>SF-03558</t>
  </si>
  <si>
    <t>Caixa de piso 4x2 em alumínio</t>
  </si>
  <si>
    <t>SF-03559</t>
  </si>
  <si>
    <t>Caixa de piso 4x4 em alumínio</t>
  </si>
  <si>
    <t>SF-03560</t>
  </si>
  <si>
    <t>Cabo de manobra (patch Cord) de 2,5 metros - cat 6 - 4 pares</t>
  </si>
  <si>
    <t>SF-03561</t>
  </si>
  <si>
    <t>SF-03562</t>
  </si>
  <si>
    <t>Cabo de fibra óptica multimodo 24 fibras - Cabo tronco OM4</t>
  </si>
  <si>
    <t>SF-03563</t>
  </si>
  <si>
    <t>Cordão Óptico Duplex Multimodo LC/LC - 5 metros</t>
  </si>
  <si>
    <t>SF-03564</t>
  </si>
  <si>
    <t>DIO – Distribuidor Interno Óptico pré-terminado – 1U - 48 portas</t>
  </si>
  <si>
    <t>SF-03565</t>
  </si>
  <si>
    <t>Módulo MPO/MPT para DIO - 12 portas</t>
  </si>
  <si>
    <t>SF-03575</t>
  </si>
  <si>
    <t>TUBO / POSTE RETANGULAR  40 X 60 MM, EM CHAPA ACO GALVANIZADO REVESTIDO EM PVC COM E = 1,55 MM, H = 2,6 M, 6,4 KG/PC, PARA GRADIL E OUTROS (POSTE RETO, SEM BASE, PARA CHUMBAMENTO, INCLUI TAMPA SUPERIOR) (NAO INCLUI FIXADORES)</t>
  </si>
  <si>
    <t>GRADIL *2030 X 2500* MM (A X L), FIO DE 4,30 MM (HORIZONTAL) E 5,10 MM (VERTICAL), MALHA 50 X 200 MM, GALVANIZADO E REVESTIDO EM PVC</t>
  </si>
  <si>
    <t>FIXADOR PARA GRADIL EM POLIAMIDA, ACOMPANHA TAMPA ACABAMENTO (NAO INCLUI PARAFUSO ALLEN)</t>
  </si>
  <si>
    <t>Fonte: SINAPI 98523</t>
  </si>
  <si>
    <t>SF-03576</t>
  </si>
  <si>
    <t>Telha termoacústica, espessura isolante mínima de 30mm de poliisocianurato (PIR), espessura mínima interna 0,43mm e externa= 0,50mm, fabricada em aço galvanizado ou material similar, pré-pintada de fábrica na cor branca</t>
  </si>
  <si>
    <t>SF-03577</t>
  </si>
  <si>
    <t>SF-03578</t>
  </si>
  <si>
    <t>Chuveiro de Emergência e Lava Olhos em inox com pedal, ref.: HM 010 INOX - PEDAL: HM Chuveiros de Emergência; IBR001CLOi : IBR Brasil; CL001IF: Haws Avlis</t>
  </si>
  <si>
    <t>SF-03579</t>
  </si>
  <si>
    <t>SF-03580</t>
  </si>
  <si>
    <t>SF-03581</t>
  </si>
  <si>
    <t>EXTINTOR DE INCENDIO PORTATIL COM CARGA DE PO QUIMICO SECO (PQS) DE 8 KG, CLASSE ABC</t>
  </si>
  <si>
    <t>SF-03582</t>
  </si>
  <si>
    <t>SF-03583</t>
  </si>
  <si>
    <t>SF-03586</t>
  </si>
  <si>
    <t>SF-03587</t>
  </si>
  <si>
    <t>SF-03588</t>
  </si>
  <si>
    <t>SF-03589</t>
  </si>
  <si>
    <t>SF-03590</t>
  </si>
  <si>
    <t>SF-03591</t>
  </si>
  <si>
    <t>SF-03592</t>
  </si>
  <si>
    <t>SF-03593</t>
  </si>
  <si>
    <t>SF-03594</t>
  </si>
  <si>
    <t>SF-03595</t>
  </si>
  <si>
    <t>SF-03596</t>
  </si>
  <si>
    <t>SF-03597</t>
  </si>
  <si>
    <t>SF-03598</t>
  </si>
  <si>
    <t>SF-03599</t>
  </si>
  <si>
    <t>SF-03622</t>
  </si>
  <si>
    <t>SF-03721</t>
  </si>
  <si>
    <t>SF-03862</t>
  </si>
  <si>
    <t>SF-03863</t>
  </si>
  <si>
    <t>SF-03864</t>
  </si>
  <si>
    <t>SF-03865</t>
  </si>
  <si>
    <t>SF-03866</t>
  </si>
  <si>
    <t>SF-03908</t>
  </si>
  <si>
    <t>Válvula de Retenção Dupla 6" em ferro fundido</t>
  </si>
  <si>
    <t>SF-03922</t>
  </si>
  <si>
    <t>SF-03923</t>
  </si>
  <si>
    <t>SF-03924</t>
  </si>
  <si>
    <t>SF-03925</t>
  </si>
  <si>
    <t>SF-03926</t>
  </si>
  <si>
    <t>SF-03927</t>
  </si>
  <si>
    <t>SF-03928</t>
  </si>
  <si>
    <t>SF-03929</t>
  </si>
  <si>
    <t>SF-03931</t>
  </si>
  <si>
    <t>SF-03932</t>
  </si>
  <si>
    <t>SF-03933</t>
  </si>
  <si>
    <t>SF-03934</t>
  </si>
  <si>
    <t>SF-03935</t>
  </si>
  <si>
    <t>SF-03936</t>
  </si>
  <si>
    <t>SF-03937</t>
  </si>
  <si>
    <t>SF-03938</t>
  </si>
  <si>
    <t>SF-03940</t>
  </si>
  <si>
    <t>SF-03941</t>
  </si>
  <si>
    <t>SF-03942</t>
  </si>
  <si>
    <t>SF-03943</t>
  </si>
  <si>
    <t>SF-03944</t>
  </si>
  <si>
    <t>SF-03945</t>
  </si>
  <si>
    <t>SF-03946</t>
  </si>
  <si>
    <t>SF-03947</t>
  </si>
  <si>
    <t>SF-03948</t>
  </si>
  <si>
    <t>SF-03949</t>
  </si>
  <si>
    <t>SF-03950</t>
  </si>
  <si>
    <t>SF-03952</t>
  </si>
  <si>
    <t>SF-03953</t>
  </si>
  <si>
    <t>SF-03954</t>
  </si>
  <si>
    <t>SF-03955</t>
  </si>
  <si>
    <t>SF-03956</t>
  </si>
  <si>
    <t>SF-03957</t>
  </si>
  <si>
    <t>SF-03958</t>
  </si>
  <si>
    <t>SF-03959</t>
  </si>
  <si>
    <t>SF-03960</t>
  </si>
  <si>
    <t>SF-03961</t>
  </si>
  <si>
    <t>SF-03962</t>
  </si>
  <si>
    <t>SF-03964</t>
  </si>
  <si>
    <t>SF-03965</t>
  </si>
  <si>
    <t>SF-03966</t>
  </si>
  <si>
    <t>SF-03967</t>
  </si>
  <si>
    <t>SF-03968</t>
  </si>
  <si>
    <t>SF-03969</t>
  </si>
  <si>
    <t>SF-03970</t>
  </si>
  <si>
    <t>SF-03971</t>
  </si>
  <si>
    <t>SF-03972</t>
  </si>
  <si>
    <t>SF-03973</t>
  </si>
  <si>
    <t>SF-03974</t>
  </si>
  <si>
    <t>SF-03975</t>
  </si>
  <si>
    <t>SF-03976</t>
  </si>
  <si>
    <t>SF-03977</t>
  </si>
  <si>
    <t>SF-03979</t>
  </si>
  <si>
    <t>SF-03980</t>
  </si>
  <si>
    <t>SF-03981</t>
  </si>
  <si>
    <t>SF-03982</t>
  </si>
  <si>
    <t>SF-03983</t>
  </si>
  <si>
    <t>SF-03984</t>
  </si>
  <si>
    <t>SF-03985</t>
  </si>
  <si>
    <t>SF-03986</t>
  </si>
  <si>
    <t>SF-03987</t>
  </si>
  <si>
    <t>SF-03988</t>
  </si>
  <si>
    <t>SF-03989</t>
  </si>
  <si>
    <t>SF-03990</t>
  </si>
  <si>
    <t>SF-03991</t>
  </si>
  <si>
    <t>SF-03992</t>
  </si>
  <si>
    <t>SF-03993</t>
  </si>
  <si>
    <t>SF-03994</t>
  </si>
  <si>
    <t>SF-03995</t>
  </si>
  <si>
    <t>SF-03996</t>
  </si>
  <si>
    <t>SF-03997</t>
  </si>
  <si>
    <t>SF-03998</t>
  </si>
  <si>
    <t>SF-04010</t>
  </si>
  <si>
    <t>SF-04016</t>
  </si>
  <si>
    <t>SF-04023</t>
  </si>
  <si>
    <t>SF-04029</t>
  </si>
  <si>
    <t>SF-04036</t>
  </si>
  <si>
    <t>SF-04037</t>
  </si>
  <si>
    <t>SF-04038</t>
  </si>
  <si>
    <t>SF-04039</t>
  </si>
  <si>
    <t>SF-04040</t>
  </si>
  <si>
    <t>SF-04041</t>
  </si>
  <si>
    <t>SF-04042</t>
  </si>
  <si>
    <t>SF-04043</t>
  </si>
  <si>
    <t>SF-04044</t>
  </si>
  <si>
    <t>SF-04045</t>
  </si>
  <si>
    <t>SF-04048</t>
  </si>
  <si>
    <t>SF-04051</t>
  </si>
  <si>
    <t>SF-04052</t>
  </si>
  <si>
    <t>SF-04053</t>
  </si>
  <si>
    <t>SF-04054</t>
  </si>
  <si>
    <t>SF-04057</t>
  </si>
  <si>
    <t>SF-04058</t>
  </si>
  <si>
    <t>SF-04059</t>
  </si>
  <si>
    <t>SF-04064</t>
  </si>
  <si>
    <t>SF-04065</t>
  </si>
  <si>
    <t>SF-04066</t>
  </si>
  <si>
    <t>SF-04071</t>
  </si>
  <si>
    <t>SF-04072</t>
  </si>
  <si>
    <t>SF-04074</t>
  </si>
  <si>
    <t>SF-04075</t>
  </si>
  <si>
    <t>SF-04097</t>
  </si>
  <si>
    <t>SF-04211</t>
  </si>
  <si>
    <t>Motobomba centrífuga de superfície 7,5 cv, trifásica, rotor fechado, para líquidos sem sólidos em suspensão, Ø sucção = 2 1/2", Ø recalque = 2 1/2", pressão máxima ≥ 44 m.c.a., vazão máxima ≥ 38,3 m³/h, ref.: Schneider BPI-22 7,5 cv</t>
  </si>
  <si>
    <t>SF-04212</t>
  </si>
  <si>
    <t>Motobomba centrífuga de superfície 15 cv, trifásica, rotor fechado, para líquidos sem sólidos em suspensão, Ø sucção = 2 1/2", Ø recalque = 2 1/2", pressão máxima ≥ 58 m.c.a., vazão máxima ≥ 71,2 m³/h, ref.: Schneider BPI-22 15 cv</t>
  </si>
  <si>
    <t>SF-04213</t>
  </si>
  <si>
    <t>Motobomba centrífuga submersível 5 cv, trifásica, Ø máx. sólidos ≥ 60mm, Ø recalque = 3", pressão máxima sem vazão ≥ 15 m.c.a., vazão máxima ≥ 100 m³/h, ref.: Schneider BCS-365</t>
  </si>
  <si>
    <t>SF-04215</t>
  </si>
  <si>
    <t>Ar-condicionado do tipo fancolete hidrônico piso-teto com capacidade nominal entre 24.000 BTU/h (inclusive) e 30.000 BTU/h (inclusive)</t>
  </si>
  <si>
    <t>SF-04216</t>
  </si>
  <si>
    <t>Ar-condicionado do tipo fancolete hidrônico piso-teto com capacidade nominal entre 36.000 BTU/h (inclusive) e 44.000 BTU/h (inclusive)</t>
  </si>
  <si>
    <t>SF-04217</t>
  </si>
  <si>
    <t>SF-04219</t>
  </si>
  <si>
    <t>Difusor de ar retangular para insuflamento em uma direção (fluxo na direção perpendicular às maiores arestas do retângulo), 425x125 mm. Ref.: Trox AT-AG.</t>
  </si>
  <si>
    <t>SF-04220</t>
  </si>
  <si>
    <t>TUBO ACO CARBONO SEM COSTURA 1/4", E= *2,24 MM, SCHEDULE 40, *0,63 KG/M</t>
  </si>
  <si>
    <t>SF-04221</t>
  </si>
  <si>
    <t>SF-04222</t>
  </si>
  <si>
    <t>SF-04223</t>
  </si>
  <si>
    <t>SF-04224</t>
  </si>
  <si>
    <t>Grelha de concreto pré-moldada para drenagem - 20 Mpa - 60 x 50 x 5 cm</t>
  </si>
  <si>
    <t xml:space="preserve">UN </t>
  </si>
  <si>
    <t>SF-04225</t>
  </si>
  <si>
    <t>Isolamento elastomérico em formato de tubo ou coquilha de espessura M, próprio para tubulação ferro de diâmetro nominal 2 1/2". Ref.: AF/Armaflex M-76, K-Flex ST</t>
  </si>
  <si>
    <t>SF-04226</t>
  </si>
  <si>
    <t>Isolamento elastomérico em formato de tubo ou coquilha de espessura M, próprio para tubulação ferro de diâmetro nominal 3". Ref.: AF/Armaflex M-89, K-Flex ST</t>
  </si>
  <si>
    <t>SF-04227</t>
  </si>
  <si>
    <t>Válvula de balanceamento e controle (PIBCV) 2 vias, para controle on-off, diâmetro nominal 1/4". Ref.: IMI Hydronic Engineering TA-COMPACT-P, Honeywell VRN2C</t>
  </si>
  <si>
    <t>SF-04228</t>
  </si>
  <si>
    <t>Válvula de balanceamento e controle (PIBCV) 2 vias, para controle on-off, diâmetro nominal 1/2". Ref.: IMI Hydronic Engineering TA-COMPACT-P, Honeywell VRN2C</t>
  </si>
  <si>
    <t>SF-04229</t>
  </si>
  <si>
    <t>SF-04230</t>
  </si>
  <si>
    <t>Filtro em Y 1/4", fabricado em bronze, extremidade com roscas, filtro em aço inoxidável, classe de pressão PN20 ou superior.</t>
  </si>
  <si>
    <t>SF-04231</t>
  </si>
  <si>
    <t>Filtro em Y 1/2", fabricado em bronze, extremidade com roscas, filtro em aço inoxidável, classe de pressão PN20 ou superior.</t>
  </si>
  <si>
    <t>SF-04232</t>
  </si>
  <si>
    <t>Filtro em Y 2 1/2", fabricado em bronze, extremidade com roscas, filtro em aço inoxidável, classe de pressão PN20 ou superior.</t>
  </si>
  <si>
    <t>SF-04233</t>
  </si>
  <si>
    <t>VALVULA DE ESFERA BRUTA EM BRONZE, BITOLA 1/4 " (REF 1552-B)</t>
  </si>
  <si>
    <t>SF-04234</t>
  </si>
  <si>
    <t>SF-04235</t>
  </si>
  <si>
    <t>SF-04236</t>
  </si>
  <si>
    <t>VALVULA DE ESFERA BRUTA EM BRONZE, BITOLA 2 1/2 " (REF 1552-B)</t>
  </si>
  <si>
    <t>SF-04237</t>
  </si>
  <si>
    <t>VALVULA DE ESFERA BRUTA EM BRONZE, BITOLA 3 " (REF 1552-B)</t>
  </si>
  <si>
    <t>SF-04238</t>
  </si>
  <si>
    <t>SF-04239</t>
  </si>
  <si>
    <t>SF-04246</t>
  </si>
  <si>
    <t>Chapa de aco USI-SAC 350, de (2,44x6)m, com espessura de 1/2"</t>
  </si>
  <si>
    <t>Chapa de aco carbono, qualidade comum, para uso geral, tamanho padrao, borda Universal, espessura de 12,5mm, tipo grossa</t>
  </si>
  <si>
    <t>Parafuso de aco carbono, cabeca sextavada, medindo: (3/8"x1")</t>
  </si>
  <si>
    <t>Porca sextavada de aco galvanizado, de 5/8"</t>
  </si>
  <si>
    <t>Chapa perfurada #14 (2.00mm), de 1000x2000mm, com furos quadrados de tamanho máximo de 25 X 25mm e distância entre centros de 32mm</t>
  </si>
  <si>
    <t>PLACA DE POLICARBONATO COMPACTO, COR CRISTAL, COM ESPESSURA DE 10MM</t>
  </si>
  <si>
    <t>SF-04247</t>
  </si>
  <si>
    <t>SF-04248</t>
  </si>
  <si>
    <t>Mármore Rosa (Paraná, Tea, Marília ou similar), com 20 mm de espessura, para piso e parede</t>
  </si>
  <si>
    <t>SF-04249</t>
  </si>
  <si>
    <t>SF-04250</t>
  </si>
  <si>
    <t>SF-04251</t>
  </si>
  <si>
    <t>SF-04252</t>
  </si>
  <si>
    <t>Porta corta-fogo 1,60 x 2,10 m (P-90), duas folhas, com batentes e ferragens</t>
  </si>
  <si>
    <t>SF-04253</t>
  </si>
  <si>
    <t>SF-04254</t>
  </si>
  <si>
    <t>SF-04255</t>
  </si>
  <si>
    <t>SF-04256</t>
  </si>
  <si>
    <t>SF-04257</t>
  </si>
  <si>
    <t>SF-04260</t>
  </si>
  <si>
    <t>SF-04261</t>
  </si>
  <si>
    <t>SF-04262</t>
  </si>
  <si>
    <t>SF-04263</t>
  </si>
  <si>
    <t>SF-04264</t>
  </si>
  <si>
    <t>SF-04265</t>
  </si>
  <si>
    <t xml:space="preserve">Chapa de aço carbono espessura 2.65mm (#12) </t>
  </si>
  <si>
    <t>SF-04267</t>
  </si>
  <si>
    <t>Válvula de pé com crivos em bronze 4"</t>
  </si>
  <si>
    <t>SF-04268</t>
  </si>
  <si>
    <t>Válvula Esfera Tripartida em aço, com passagem plena, acionamento manual, Ø 3/4”</t>
  </si>
  <si>
    <t>SF-04270</t>
  </si>
  <si>
    <t>SF-04273</t>
  </si>
  <si>
    <t>SF-04274</t>
  </si>
  <si>
    <t>SF-04275</t>
  </si>
  <si>
    <t>SF-04276</t>
  </si>
  <si>
    <t>SF-04277</t>
  </si>
  <si>
    <t>SF-04278</t>
  </si>
  <si>
    <t>SF-04279</t>
  </si>
  <si>
    <t>SF-04280</t>
  </si>
  <si>
    <t>SF-04281</t>
  </si>
  <si>
    <t>Cruzeta PVC soldável 25 mm</t>
  </si>
  <si>
    <t>SF-04282</t>
  </si>
  <si>
    <t>Cap PVC Soldável 20 mm</t>
  </si>
  <si>
    <t>SF-04283</t>
  </si>
  <si>
    <t>CURVA 45° DE PVC, SOLDÁVEL, DE 110 MM</t>
  </si>
  <si>
    <t>SF-04284</t>
  </si>
  <si>
    <t>SF-04285</t>
  </si>
  <si>
    <t>SF-04286</t>
  </si>
  <si>
    <t>SF-04287</t>
  </si>
  <si>
    <t>SF-04288</t>
  </si>
  <si>
    <t>SF-04289</t>
  </si>
  <si>
    <t>SF-04290</t>
  </si>
  <si>
    <t>SF-04291</t>
  </si>
  <si>
    <t>SF-04292</t>
  </si>
  <si>
    <t>SF-04293</t>
  </si>
  <si>
    <t>SF-04294</t>
  </si>
  <si>
    <t>SF-04295</t>
  </si>
  <si>
    <t>SF-04296</t>
  </si>
  <si>
    <t>SF-04297</t>
  </si>
  <si>
    <t>SF-04298</t>
  </si>
  <si>
    <t>SF-04299</t>
  </si>
  <si>
    <t>SF-04300</t>
  </si>
  <si>
    <t>SF-04301</t>
  </si>
  <si>
    <t>SF-04302</t>
  </si>
  <si>
    <t>SF-04303</t>
  </si>
  <si>
    <t>Tê de redução PVC soldável água fria 110 x 75 mm</t>
  </si>
  <si>
    <t>SF-04304</t>
  </si>
  <si>
    <t>SF-04305</t>
  </si>
  <si>
    <t>SF-04306</t>
  </si>
  <si>
    <t>SF-04307</t>
  </si>
  <si>
    <t>Bucha de redução PVC roscável 1 1/4” x 3/4”</t>
  </si>
  <si>
    <t>SF-04308</t>
  </si>
  <si>
    <t>Bucha de redução PVC roscável 1 1/2” x 3/4”</t>
  </si>
  <si>
    <t>SF-04309</t>
  </si>
  <si>
    <t>Bucha de redução PVC roscável 1 1/2” x 1 1/4”</t>
  </si>
  <si>
    <t>SF-04310</t>
  </si>
  <si>
    <t>Bucha de redução PVC roscável 2” x 1”</t>
  </si>
  <si>
    <t>SF-04311</t>
  </si>
  <si>
    <t>SF-04312</t>
  </si>
  <si>
    <t>JOELHO 45° DE PVC, COM ROSCA, DE 1 1/2"</t>
  </si>
  <si>
    <t>SF-04313</t>
  </si>
  <si>
    <t>Joelho 45° PVC rígido roscável d=2"</t>
  </si>
  <si>
    <t>SF-04314</t>
  </si>
  <si>
    <t>SF-04315</t>
  </si>
  <si>
    <t>SF-04316</t>
  </si>
  <si>
    <t>Joelho 90° PVC rígido roscável d=1 1/2"</t>
  </si>
  <si>
    <t>SF-04317</t>
  </si>
  <si>
    <t>Joelho 90° PVC rígido roscável d=2"</t>
  </si>
  <si>
    <t>SF-04318</t>
  </si>
  <si>
    <t>Joelho de PVC rígido, 90°, roscável, diâmetro nominal de 2 1/2"</t>
  </si>
  <si>
    <t>SF-04319</t>
  </si>
  <si>
    <t>Joelho 90° PVC rígido roscável d=3"</t>
  </si>
  <si>
    <t>SF-04320</t>
  </si>
  <si>
    <t>Joelho 90° PVC rígido roscável d=4"</t>
  </si>
  <si>
    <t>SF-04321</t>
  </si>
  <si>
    <t>Joelho 90 graus com rosca e bucha latão 1/2"</t>
  </si>
  <si>
    <t>SF-04322</t>
  </si>
  <si>
    <t>Joelho 90° PVC roscável com Bucha de Latão 3/4”</t>
  </si>
  <si>
    <t>SF-04323</t>
  </si>
  <si>
    <t>Joelho de redução 90° de PVC, com rosca e bucha de latão, de 3/4" x 1/2"</t>
  </si>
  <si>
    <t>SF-04324</t>
  </si>
  <si>
    <t>SF-04325</t>
  </si>
  <si>
    <t>SF-04326</t>
  </si>
  <si>
    <t>LUVA DE PVC RÍGIDO ROSQUEÁVEL, DE 1"</t>
  </si>
  <si>
    <t>SF-04327</t>
  </si>
  <si>
    <t>LUVA DE PVC RÍGIDO ROSQUEÁVEL, DE 1 1/4"</t>
  </si>
  <si>
    <t>SF-04328</t>
  </si>
  <si>
    <t>SF-04329</t>
  </si>
  <si>
    <t>SF-04330</t>
  </si>
  <si>
    <t>SF-04331</t>
  </si>
  <si>
    <t>Niple de PVC rígido, roscável, diâmetro nominal de 1/2"</t>
  </si>
  <si>
    <t>SF-04332</t>
  </si>
  <si>
    <t>Niple de PVC rígido, roscável, diâmetro nominal de 3/4"</t>
  </si>
  <si>
    <t>SF-04333</t>
  </si>
  <si>
    <t>Niple de PVC rígido, roscável, diâmetro nominal de 1"</t>
  </si>
  <si>
    <t>SF-04334</t>
  </si>
  <si>
    <t>Niple PVC rosca 1 1/4"</t>
  </si>
  <si>
    <t>SF-04335</t>
  </si>
  <si>
    <t>Niple PVC rosca 1 1/2"</t>
  </si>
  <si>
    <t>SF-04336</t>
  </si>
  <si>
    <t>Niple de PVC rígido, roscável, diâmetro nominal de 2"</t>
  </si>
  <si>
    <t>SF-04337</t>
  </si>
  <si>
    <t>Niple PVC rosca 2 1/2"</t>
  </si>
  <si>
    <t>SF-04338</t>
  </si>
  <si>
    <t>Plug PVC rígido roscável d=1"</t>
  </si>
  <si>
    <t>SF-04339</t>
  </si>
  <si>
    <t>Plug de PVC, com rosca, de 1 1/4"</t>
  </si>
  <si>
    <t>SF-04340</t>
  </si>
  <si>
    <t>SF-04341</t>
  </si>
  <si>
    <t>SF-04342</t>
  </si>
  <si>
    <t>SF-04343</t>
  </si>
  <si>
    <t>SF-04344</t>
  </si>
  <si>
    <t>SF-04345</t>
  </si>
  <si>
    <t>SF-04346</t>
  </si>
  <si>
    <t>SF-04347</t>
  </si>
  <si>
    <t>SF-04348</t>
  </si>
  <si>
    <t>SF-04349</t>
  </si>
  <si>
    <t>SF-04350</t>
  </si>
  <si>
    <t>SF-04351</t>
  </si>
  <si>
    <t>SF-04352</t>
  </si>
  <si>
    <t>SF-04353</t>
  </si>
  <si>
    <t>Cap CPVC soldável Ø 22 mm</t>
  </si>
  <si>
    <t>SF-04354</t>
  </si>
  <si>
    <t>Cap CPVC soldável Ø 28 mm</t>
  </si>
  <si>
    <t>SF-04355</t>
  </si>
  <si>
    <t>Cap CPVC soldável Ø 54 mm</t>
  </si>
  <si>
    <t>SF-04356</t>
  </si>
  <si>
    <t>SF-04357</t>
  </si>
  <si>
    <t>SF-04358</t>
  </si>
  <si>
    <t>SF-04359</t>
  </si>
  <si>
    <t>SF-04360</t>
  </si>
  <si>
    <t>SF-04363</t>
  </si>
  <si>
    <t>SF-04364</t>
  </si>
  <si>
    <t>SF-04367</t>
  </si>
  <si>
    <t>SF-04366</t>
  </si>
  <si>
    <t>Joelho 45 PVC leve 200 mm</t>
  </si>
  <si>
    <t>SF-04368</t>
  </si>
  <si>
    <t>SF-04369</t>
  </si>
  <si>
    <t>Curva 45° Longa PVC esgoto ou águas pluviais 50 mm</t>
  </si>
  <si>
    <t>SF-04370</t>
  </si>
  <si>
    <t>Curva 45° Longa PVC esgoto ou águas pluviais 75 mm</t>
  </si>
  <si>
    <t>SF-04371</t>
  </si>
  <si>
    <t>SF-04372</t>
  </si>
  <si>
    <t>Junção Simples PVC esgoto ou águas pluviais 75 mm x 50 mm</t>
  </si>
  <si>
    <t>SF-04373</t>
  </si>
  <si>
    <t>SF-04374</t>
  </si>
  <si>
    <t>SF-04375</t>
  </si>
  <si>
    <t>SF-04376</t>
  </si>
  <si>
    <t>SF-04377</t>
  </si>
  <si>
    <t>SF-04378</t>
  </si>
  <si>
    <t>SF-04379</t>
  </si>
  <si>
    <t>Válvula de Retenção Dupla 3" em ferro fundido</t>
  </si>
  <si>
    <t>SF-04380</t>
  </si>
  <si>
    <t>SF-04383</t>
  </si>
  <si>
    <t>Válvula de Retenção PVC esgoto ou águas pluviais 150 mm</t>
  </si>
  <si>
    <t>SF-04385</t>
  </si>
  <si>
    <t>SF-04386</t>
  </si>
  <si>
    <t>SF-04387</t>
  </si>
  <si>
    <t>SF-04388</t>
  </si>
  <si>
    <t>SF-04389</t>
  </si>
  <si>
    <t>SF-04390</t>
  </si>
  <si>
    <t>SF-04391</t>
  </si>
  <si>
    <t>SF-04392</t>
  </si>
  <si>
    <t>SF-04393</t>
  </si>
  <si>
    <t>SF-04394</t>
  </si>
  <si>
    <t>SF-04395</t>
  </si>
  <si>
    <t>SF-04396</t>
  </si>
  <si>
    <t>SF-04397</t>
  </si>
  <si>
    <t>SF-04398</t>
  </si>
  <si>
    <t>SF-04399</t>
  </si>
  <si>
    <t>SF-04400</t>
  </si>
  <si>
    <t>SF-04401</t>
  </si>
  <si>
    <t>SF-04413</t>
  </si>
  <si>
    <t>SF-04414</t>
  </si>
  <si>
    <t>SF-04415</t>
  </si>
  <si>
    <t>SF-04416</t>
  </si>
  <si>
    <t>SF-04417</t>
  </si>
  <si>
    <t>SF-04418</t>
  </si>
  <si>
    <t>SF-04419</t>
  </si>
  <si>
    <t>SF-04420</t>
  </si>
  <si>
    <t>SF-04421</t>
  </si>
  <si>
    <t>SF-04422</t>
  </si>
  <si>
    <t>SF-04423</t>
  </si>
  <si>
    <t>SF-04424</t>
  </si>
  <si>
    <t>SF-04425</t>
  </si>
  <si>
    <t>SF-04432</t>
  </si>
  <si>
    <t>SF-04433</t>
  </si>
  <si>
    <t>SF-04434</t>
  </si>
  <si>
    <t>Válvula de retenção em PVC soldável 25 mm</t>
  </si>
  <si>
    <t>SF-04453</t>
  </si>
  <si>
    <t>Niple em cobre, rosca macho x rosca macho, 1/2”</t>
  </si>
  <si>
    <t>SF-04454</t>
  </si>
  <si>
    <t>Niple em cobre, rosca macho x rosca macho, 3/4”</t>
  </si>
  <si>
    <t>SF-04455</t>
  </si>
  <si>
    <t>Niple em cobre, rosca macho x rosca macho, 1”</t>
  </si>
  <si>
    <t>SF-04456</t>
  </si>
  <si>
    <t>Niple em cobre, rosca macho x rosca macho, 1 1/4”</t>
  </si>
  <si>
    <t>SF-04457</t>
  </si>
  <si>
    <t>Niple em cobre, rosca macho x rosca macho, 1 1/2”</t>
  </si>
  <si>
    <t>SF-04458</t>
  </si>
  <si>
    <t>Niple de redução em latão, rosca NPT x rosca NPT, 1/2” x 3/8”</t>
  </si>
  <si>
    <t>SF-04459</t>
  </si>
  <si>
    <t xml:space="preserve">Niple cobre rosca com redução N602-R 3/4" x 1/2" </t>
  </si>
  <si>
    <t>SF-04462</t>
  </si>
  <si>
    <t>Plug em cobre, rosca macho, 1/2”</t>
  </si>
  <si>
    <t>SF-04463</t>
  </si>
  <si>
    <t>Plug em cobre, rosca macho, 3/4”</t>
  </si>
  <si>
    <t>SF-04467</t>
  </si>
  <si>
    <t>SF-04468</t>
  </si>
  <si>
    <t>SF-04470</t>
  </si>
  <si>
    <t>Motobomba centrífuga submersível, altura manométrica superior a 10 mca, vazão nominal superior a 30 m3/h, ramal 3", trifásica, com sensores e sistema de comando e controle. Ref.: Marca KSB, modelo Amarex KRT F 80-217/4 4 UN/UE G-S IE3</t>
  </si>
  <si>
    <t>SF-04471</t>
  </si>
  <si>
    <t>SF-04475</t>
  </si>
  <si>
    <t>SF-04476</t>
  </si>
  <si>
    <t>SF-04477</t>
  </si>
  <si>
    <t>SF-04478</t>
  </si>
  <si>
    <t>SF-04479</t>
  </si>
  <si>
    <t>SF-04480</t>
  </si>
  <si>
    <t>SF-04481</t>
  </si>
  <si>
    <t>SF-04482</t>
  </si>
  <si>
    <t>SF-04483</t>
  </si>
  <si>
    <t>SF-04484</t>
  </si>
  <si>
    <t>SF-04485</t>
  </si>
  <si>
    <t>SF-04487</t>
  </si>
  <si>
    <t>SF-04488</t>
  </si>
  <si>
    <t>SF-04489</t>
  </si>
  <si>
    <t>SF-04493</t>
  </si>
  <si>
    <t>Tê de redução em cobre, sem anel de solda, bolsa x bolsa x bolsa, 28 mm x 22 mm</t>
  </si>
  <si>
    <t>SF-04494</t>
  </si>
  <si>
    <t>Tê de redução em cobre, sem anel de solda, bolsa x bolsa x bolsa, 35 mm x 22 mm</t>
  </si>
  <si>
    <t>SF-04495</t>
  </si>
  <si>
    <t>Tê de redução em cobre, sem anel de solda, bolsa x bolsa x bolsa, 35 mm x 28 mm</t>
  </si>
  <si>
    <t>SF-04496</t>
  </si>
  <si>
    <t>Tê de redução em cobre, sem anel de solda, bolsa x bolsa x bolsa, 42 mm x 22 mm</t>
  </si>
  <si>
    <t>SF-04497</t>
  </si>
  <si>
    <t>Tê de redução em cobre, sem anel de solda, bolsa x bolsa x bolsa, 42 mm x 28 mm</t>
  </si>
  <si>
    <t>SF-04498</t>
  </si>
  <si>
    <t>Tê de redução em cobre, sem anel de solda, bolsa x bolsa x bolsa, 42 mm x 35 mm</t>
  </si>
  <si>
    <t>SF-04499</t>
  </si>
  <si>
    <t>Tê de redução em cobre, sem anel de solda, bolsa x bolsa x bolsa, 54 mm x 22 mm</t>
  </si>
  <si>
    <t>SF-04500</t>
  </si>
  <si>
    <t>Tê de redução em cobre, sem anel de solda, bolsa x bolsa x bolsa, 54 mm x 28 mm</t>
  </si>
  <si>
    <t>SF-04501</t>
  </si>
  <si>
    <t>Tê de redução em cobre, sem anel de solda, bolsa x bolsa x bolsa, 54 mm x 35 mm</t>
  </si>
  <si>
    <t>SF-04502</t>
  </si>
  <si>
    <t>Tê de redução em cobre, sem anel de solda, bolsa x bolsa x bolsa, 54 mm x 42 mm</t>
  </si>
  <si>
    <t>SF-04512</t>
  </si>
  <si>
    <t>SF-04513</t>
  </si>
  <si>
    <t>SF-04516</t>
  </si>
  <si>
    <t>Tampão (cap) em cobre, sem anel de solda, 22 mm</t>
  </si>
  <si>
    <t>SF-04517</t>
  </si>
  <si>
    <t>Tampão (cap) em cobre, sem anel de solda, 28 mm</t>
  </si>
  <si>
    <t>SF-04518</t>
  </si>
  <si>
    <t>SF-04519</t>
  </si>
  <si>
    <t>SF-04520</t>
  </si>
  <si>
    <t>SF-04521</t>
  </si>
  <si>
    <t>SF-04522</t>
  </si>
  <si>
    <t>SF-04523</t>
  </si>
  <si>
    <t>SF-04524</t>
  </si>
  <si>
    <t>SF-04525</t>
  </si>
  <si>
    <t>SF-04526</t>
  </si>
  <si>
    <t>SF-04527</t>
  </si>
  <si>
    <t>SF-04535</t>
  </si>
  <si>
    <t>SF-04528</t>
  </si>
  <si>
    <t xml:space="preserve">Conector PEX multicamada femea 16 mm x 1/2" </t>
  </si>
  <si>
    <t>SF-04532</t>
  </si>
  <si>
    <t xml:space="preserve">Conector PEX multicamada femea 26 mm x 3/4" </t>
  </si>
  <si>
    <t>SF-04533</t>
  </si>
  <si>
    <t>Conextor fixo rosca macho metálica para tubo PEX 16 mm x 1/2" Ava Metais</t>
  </si>
  <si>
    <t>SF-04534</t>
  </si>
  <si>
    <t>Conextor fixo rosca macho metálica para tubo PEX 20 mm x 3/4" Ava Metais</t>
  </si>
  <si>
    <t>SF-04536</t>
  </si>
  <si>
    <t>SF-04537</t>
  </si>
  <si>
    <t>SF-04538</t>
  </si>
  <si>
    <t>SF-04539</t>
  </si>
  <si>
    <t xml:space="preserve">Cotovelo PEX multicamada femea 16 mm x 1/2" </t>
  </si>
  <si>
    <t>SF-04540</t>
  </si>
  <si>
    <t xml:space="preserve">Cotovelo PEX multicamada femea 20 mm x 1/2" </t>
  </si>
  <si>
    <t>SF-04542</t>
  </si>
  <si>
    <t xml:space="preserve">Cotovelo PEX multicamada macho 16 mm x 1/2" </t>
  </si>
  <si>
    <t>SF-04544</t>
  </si>
  <si>
    <t xml:space="preserve">Cotovelo PEX multicamada macho 26 mm x 3/4" </t>
  </si>
  <si>
    <t>SF-04545</t>
  </si>
  <si>
    <t>SF-04546</t>
  </si>
  <si>
    <t>SF-04547</t>
  </si>
  <si>
    <t>SF-04549</t>
  </si>
  <si>
    <t>SF-04550</t>
  </si>
  <si>
    <t>SF-04554</t>
  </si>
  <si>
    <t>Tê de redução para tubo PEX multicamada para gás, bolsa crimpagem x bolsa crimpagem x bolsa crimpagem, 20 mm x 16 mm e variantes</t>
  </si>
  <si>
    <t>SF-04555</t>
  </si>
  <si>
    <t>Tê de redução para tubo PEX multicamada para gás, bolsa crimpagem x bolsa crimpagem x bolsa crimpagem, 26 mm x 16 mm e variantes</t>
  </si>
  <si>
    <t>SF-04559</t>
  </si>
  <si>
    <t>SF-04564</t>
  </si>
  <si>
    <t>SF-04570</t>
  </si>
  <si>
    <t>SF-04571</t>
  </si>
  <si>
    <t>Quadro Geral de Emergência, conforme especificações técnicas</t>
  </si>
  <si>
    <t>SF-04572</t>
  </si>
  <si>
    <t>Quadro de Distribuição de Emergência, conforme especificações técnicas</t>
  </si>
  <si>
    <t>SF-04573</t>
  </si>
  <si>
    <t>Eletroduto de aço com costura galvanização eletrolítica Ø 4"</t>
  </si>
  <si>
    <t>SF-04574</t>
  </si>
  <si>
    <t>SF-04575</t>
  </si>
  <si>
    <t>Eletroduto de aço com costura galvanização eletrolítica Ø 2 1/2"</t>
  </si>
  <si>
    <t>SF-04576</t>
  </si>
  <si>
    <t>Condulete de alumínio roscável tipo "E" Ø 2 1/2"</t>
  </si>
  <si>
    <t>SF-04577</t>
  </si>
  <si>
    <t>Luminária hermética IP65 para duas lâmpadas tubo LED de 15W</t>
  </si>
  <si>
    <t>SF-04578</t>
  </si>
  <si>
    <t>SF-04579</t>
  </si>
  <si>
    <t>SF-04581</t>
  </si>
  <si>
    <t>Estaca raiz em solo Ø 310 mm, mão de obra e equipamento</t>
  </si>
  <si>
    <t>SF-04582</t>
  </si>
  <si>
    <t>SF-04583</t>
  </si>
  <si>
    <t>Luminária LED Highbay 60 W, IP65, 6000 lumens, ref.: Osram LEDVANCE HIGHBAY VALUE 60W/4000K 220V (7016710)</t>
  </si>
  <si>
    <t>SF-04584</t>
  </si>
  <si>
    <t>Luminária LED Highbay 80 W, IP65, 8000 lumens, ref.: Osram LEDVANCE HIGHBAY VALUE 60W/4000K 220V (7016712)</t>
  </si>
  <si>
    <t>SF-04585</t>
  </si>
  <si>
    <t>SF-04586</t>
  </si>
  <si>
    <t>SF-04587</t>
  </si>
  <si>
    <t>SF-04588</t>
  </si>
  <si>
    <t>SF-04589</t>
  </si>
  <si>
    <t>Motobomba centrífuga submersível, altura manométrica superior a 30 mca, vazão nominal superior a 130 m3/h, ramal 6", trifásica, com sensores e sistema de comando e controle. Ref.: Marca KSB, modelo Amarex KRT K 80-315/22 4 UN/UE G-S IE3.</t>
  </si>
  <si>
    <t>SF-04590</t>
  </si>
  <si>
    <t>SF-04594</t>
  </si>
  <si>
    <t>Grelha em ferro nodular, classe C250 - 800 × 1000 x 50 mm, com requadro</t>
  </si>
  <si>
    <t>SF-04595</t>
  </si>
  <si>
    <t>PERFIL DE ACO ASTM A-572-NBR7007</t>
  </si>
  <si>
    <t>SF-04596</t>
  </si>
  <si>
    <t>Piso vinílico flexível (Luxury Vinyl Tile - LVT), autoportante, placas de 50x50 cm, espessura ≥ 4,5 mm, espessura da capa de uso ≥ 0,55 mm, absorção do som ao impacto até 15 dB. Ref.: Square Acoustic - Tarkett; Hercules Square - Belgotex, ou similar</t>
  </si>
  <si>
    <t>Adesivo de pega permanente ("tack permanente") para piso vinílico autoportante. Ref.: Tackfix, fabricante Tarkett ou similar</t>
  </si>
  <si>
    <t>SF-04597</t>
  </si>
  <si>
    <t>SF-04598</t>
  </si>
  <si>
    <t>Trilho eletrificado de 1m</t>
  </si>
  <si>
    <t>SF-04599</t>
  </si>
  <si>
    <t>LUMINARIA - SPOT DIRECIONAVEL PARA TRILHO BRANCO cm LED EMBUTIDO 7W</t>
  </si>
  <si>
    <t>SF-04604</t>
  </si>
  <si>
    <t>SF-04606</t>
  </si>
  <si>
    <t>Quadro termoplástico de sobrepor para 12 disjuntores</t>
  </si>
  <si>
    <t>Barramento isolado em cobre, capacidade até 80 A</t>
  </si>
  <si>
    <t>Disjuntor tripolar, capacidade até 100 A</t>
  </si>
  <si>
    <t>Dispositivo protetor de surto DPS 45 kA</t>
  </si>
  <si>
    <t>Disjuntor diferencial resitual (DR) tetrapolar 30 mA</t>
  </si>
  <si>
    <t>SF-04608</t>
  </si>
  <si>
    <t>Cabo de cobre multipolar, classe 5, isolação em EPR, 0,6/1 kV, 5x1,5mm² resistente a chama, livre de halogênios</t>
  </si>
  <si>
    <t>SF-04609</t>
  </si>
  <si>
    <t>SF-04610</t>
  </si>
  <si>
    <t>SF-04611</t>
  </si>
  <si>
    <t>SF-04612</t>
  </si>
  <si>
    <t>SF-04613</t>
  </si>
  <si>
    <t>SF-04614</t>
  </si>
  <si>
    <t>SF-04615</t>
  </si>
  <si>
    <t>SF-04616</t>
  </si>
  <si>
    <t>SF-04617</t>
  </si>
  <si>
    <t>SF-04618</t>
  </si>
  <si>
    <t>SF-04619</t>
  </si>
  <si>
    <t>SF-04620</t>
  </si>
  <si>
    <t>SF-04625</t>
  </si>
  <si>
    <t>Cambota elastomérica de DN 100 (4" NPS)</t>
  </si>
  <si>
    <t>SF-04626</t>
  </si>
  <si>
    <t>Cambota elastomérica de DN 150 (6" NPS)</t>
  </si>
  <si>
    <t>SF-04627</t>
  </si>
  <si>
    <t>Curva raio curto 90° em aço carbono para solda de topo, SCH 40, DN 150 (6" NPS)</t>
  </si>
  <si>
    <t>SF-04628</t>
  </si>
  <si>
    <t>Curva raio longo 45° em aço carbono para solda de topo, SCH 40, DN 100 (4" NPS)</t>
  </si>
  <si>
    <t>SF-04629</t>
  </si>
  <si>
    <t>Curva raio longo 90° em aço carbono para solda de topo, SCH 40, DN 150 (6" NPS)</t>
  </si>
  <si>
    <t>SF-04630</t>
  </si>
  <si>
    <t>Fonte: SINAPI 95563 - abril/2024</t>
  </si>
  <si>
    <t>SF-04631</t>
  </si>
  <si>
    <t>Flange cega, aço carbono, classe 150, DN 150 (6” NPS)</t>
  </si>
  <si>
    <t>SF-04632</t>
  </si>
  <si>
    <t>Flange de pescoço, aço carbono, classe 150, DN 100 (4” NPS)</t>
  </si>
  <si>
    <t>SF-04633</t>
  </si>
  <si>
    <t>Flange de pescoço, aço carbono, classe 150, DN 150 (6” NPS)</t>
  </si>
  <si>
    <t>SF-04634</t>
  </si>
  <si>
    <t>Isolamento elastomérico em formato de tubo ou coquilha de espessura M, próprio para tubulação de cobre 2 3/8"/ tubulações de ferro de diâmetro nominal 2". Ref.: AF/Armaflex M-60, K-Flex ST</t>
  </si>
  <si>
    <t>SF-04635</t>
  </si>
  <si>
    <t>Isolamento elastomérico em formato de tubo ou coquilha de espessura M, próprio para tubulação ferro de diâmetro nominal 4". Ref.: AF/Armaflex M-114, K-Flex ST</t>
  </si>
  <si>
    <t>SF-04636</t>
  </si>
  <si>
    <t>Isolamento elastomérico em formato de tubo ou coquilha de espessura M, próprio para tubulação ferro de diâmetro nominal 6". Ref.: AF/Armaflex M-168, K-Flex ST</t>
  </si>
  <si>
    <t>SF-04637</t>
  </si>
  <si>
    <t>Redução concêntrica em aço carbono para solda de topo DN 100 (4" NPS) × DN 65 (2 1/2" NPS)</t>
  </si>
  <si>
    <t>SF-04638</t>
  </si>
  <si>
    <t>Redução concêntrica em aço carbono para solda de topo DN 100 (4" NPS) × DN 50 (2" NPS)</t>
  </si>
  <si>
    <t>SF-04639</t>
  </si>
  <si>
    <t>Redução concêntrica em aço carbono para solda de topo DN 150 (6" NPS) × DN 100 (4" NPS)</t>
  </si>
  <si>
    <t>SF-04640</t>
  </si>
  <si>
    <t>Redução concêntrica em aço carbono para solda de topo DN 200 (8" NPS) × DN 150 (6" NPS)</t>
  </si>
  <si>
    <t>SF-04641</t>
  </si>
  <si>
    <t>Suporte fixado no piso para tubulação DN 150 (6” NPS)</t>
  </si>
  <si>
    <t>SF-04642</t>
  </si>
  <si>
    <t>Suporte fixado no piso para tubulação DN 100 (4” NPS)</t>
  </si>
  <si>
    <t>SF-04643</t>
  </si>
  <si>
    <t>Motobomba centrífuga submersível 3 cv, trifásica, Ø máx. sólidos ≥ 50mm, Ø recalque = 3", pressão máxima sem vazão ≥ 11 m.c.a., vazão máxima ≥ 70 m³/h, ref.: Marca Schneider, BCS-250, Marca Thebe, TSB-250 ou similares</t>
  </si>
  <si>
    <t>SF-04644</t>
  </si>
  <si>
    <t>SF-04645</t>
  </si>
  <si>
    <t>SF-04646</t>
  </si>
  <si>
    <t>Painel para acionamento de bombas do sistema de esgoto - Subsolo do Anexo 1</t>
  </si>
  <si>
    <t>SF-04647</t>
  </si>
  <si>
    <t>Tê em aço carbono para solda de topo DN 100 (4" NPS)</t>
  </si>
  <si>
    <t>SF-04648</t>
  </si>
  <si>
    <t>Tê em aço carbono para solda de topo DN 150 (6" NPS)</t>
  </si>
  <si>
    <t>SF-04649</t>
  </si>
  <si>
    <t>SF-04650</t>
  </si>
  <si>
    <t>SF-04651</t>
  </si>
  <si>
    <t>SF-04652</t>
  </si>
  <si>
    <t>SF-04653</t>
  </si>
  <si>
    <t>Válvula gaveta ferro fundido classe ANSI 125 com flanges padrão DN 65 (2 1/2” NPS)</t>
  </si>
  <si>
    <t>SF-04654</t>
  </si>
  <si>
    <t>Válvula gaveta ferro fundido classe ANSI 125 com flanges padrão DN 50 (2” NPS)</t>
  </si>
  <si>
    <t>SF-04655</t>
  </si>
  <si>
    <t>Válvula gaveta ferro fundido classe ANSI 125 com flanges padrão DN 100 (4” NPS)</t>
  </si>
  <si>
    <t>SF-04656</t>
  </si>
  <si>
    <t>Válvula gaveta ferro fundido classe ANSI 125 com flanges padrão DN 150 (6” NPS)</t>
  </si>
  <si>
    <t>SF-04657</t>
  </si>
  <si>
    <t>SF-04658</t>
  </si>
  <si>
    <t>Películas antivandalismo para aplicação interna</t>
  </si>
  <si>
    <t>SF-04659</t>
  </si>
  <si>
    <t>SF-04660</t>
  </si>
  <si>
    <t>Películas antivandalismo para aplicação externa</t>
  </si>
  <si>
    <t>SF-04662</t>
  </si>
  <si>
    <t>Obs.: Considerando 54089 kg de aço ASTM A-572, 93 kg de aço CA-25 8.00 mm e 671 kg de aço CA-25 16.00 mm, conforme especificações do item.</t>
  </si>
  <si>
    <t>SF-04663</t>
  </si>
  <si>
    <t>SF-04664</t>
  </si>
  <si>
    <t>SF-04667</t>
  </si>
  <si>
    <t>Mancal superior e lateral para porta de vidro temperado, em latão fundido cromado. Ref.: Santa Marina / 1201</t>
  </si>
  <si>
    <t>SF-04668</t>
  </si>
  <si>
    <t>SF-04669</t>
  </si>
  <si>
    <t>SF-04670</t>
  </si>
  <si>
    <t>Refletor LED 100 W IP65</t>
  </si>
  <si>
    <t>SF-04671</t>
  </si>
  <si>
    <t>SF-04675</t>
  </si>
  <si>
    <t>SF-04678</t>
  </si>
  <si>
    <t>SF-04679</t>
  </si>
  <si>
    <t>SF-04680</t>
  </si>
  <si>
    <t>Luminária de sobrepor T8 2 x 32 W, ref. Intral, Lumicenter, Lumepetro ou G-Light</t>
  </si>
  <si>
    <t>Lâmpada T8 fluorescente de 32 W ou tuboLED de 18 W / 20 W</t>
  </si>
  <si>
    <t>SF-04684</t>
  </si>
  <si>
    <t>SF-04685</t>
  </si>
  <si>
    <t>SF-04686</t>
  </si>
  <si>
    <t>Luminária de embutir T8 2 x 32 W, ref. Intral, Lumicenter, Lumepetro ou G-Light</t>
  </si>
  <si>
    <t>SF-04687</t>
  </si>
  <si>
    <t>Luminária de sobrepor T8 2 x 16 W, ref. Intral, Lumicenter, Lumepetro ou G-Light</t>
  </si>
  <si>
    <t>Lâmpada T8 fluorescente de 16 W ou tuboLED de 9 W / 10 W</t>
  </si>
  <si>
    <t>SF-04688</t>
  </si>
  <si>
    <t>Luminária de embutir T8 2 x 16 W, ref. Intral, Lumicenter, Lumepetro ou G-Light</t>
  </si>
  <si>
    <t>SF-04700</t>
  </si>
  <si>
    <t xml:space="preserve">Tê de redução ferro galvanizado d=3 x 2 1/2" </t>
  </si>
  <si>
    <t>SF-04701</t>
  </si>
  <si>
    <t>SF-04703</t>
  </si>
  <si>
    <t>SF-04716</t>
  </si>
  <si>
    <t>SF-04717</t>
  </si>
  <si>
    <t>SF-04718</t>
  </si>
  <si>
    <t>SF-04719</t>
  </si>
  <si>
    <t>SF-04720</t>
  </si>
  <si>
    <t>SF-04721</t>
  </si>
  <si>
    <t>Fixador universal para SPDA</t>
  </si>
  <si>
    <t>SF-04722</t>
  </si>
  <si>
    <t>Fixador colado para SPDA</t>
  </si>
  <si>
    <t>SF-04723</t>
  </si>
  <si>
    <t>Isolador duplo curva 90 graus para SPDA</t>
  </si>
  <si>
    <t>SF-04724</t>
  </si>
  <si>
    <t>Pré-marcador</t>
  </si>
  <si>
    <t>H</t>
  </si>
  <si>
    <t>Caminhão demarcador de faixas com sistema de pintura Spray - 115 kW</t>
  </si>
  <si>
    <t>Microesferas refletivas de vidro tipo II-C</t>
  </si>
  <si>
    <t>Tinta à base de resina acrílica emulsionada em água para pré-marcação viária</t>
  </si>
  <si>
    <t>Tinta plástica à base de resina metacrílica aplicada a frio por dispersão ou extrusão</t>
  </si>
  <si>
    <t>SF-04726</t>
  </si>
  <si>
    <t>SF-04730</t>
  </si>
  <si>
    <t>SF-04731</t>
  </si>
  <si>
    <t>SF-04732</t>
  </si>
  <si>
    <t>Grelha de ferro fundido para canaleta 20 mm, medindo 1000 x 300 mm</t>
  </si>
  <si>
    <t>SF-04735</t>
  </si>
  <si>
    <t>Grelha de ferro fundido para canaleta 20 mm, medindo 1000 x 150 mm</t>
  </si>
  <si>
    <t>SF-04742</t>
  </si>
  <si>
    <t>SF-04744</t>
  </si>
  <si>
    <t>Luminária spot de sobrepor, conforme especificações</t>
  </si>
  <si>
    <t>SF-04745</t>
  </si>
  <si>
    <t>Luminária spot de embutir, conforme especificações</t>
  </si>
  <si>
    <t>SF-04746</t>
  </si>
  <si>
    <t>SF-04747</t>
  </si>
  <si>
    <t>SF-04748</t>
  </si>
  <si>
    <t>SF-04749</t>
  </si>
  <si>
    <t>SF-04750</t>
  </si>
  <si>
    <t>SF-04751</t>
  </si>
  <si>
    <t>SF-04752</t>
  </si>
  <si>
    <t>SF-04755</t>
  </si>
  <si>
    <t>SF-04756</t>
  </si>
  <si>
    <t>Poltrona de auditório específica para P.M.R. (pessoa com mobilidade reduzida) e/ou P.O. (pessoa obesa)</t>
  </si>
  <si>
    <t>SF-04757</t>
  </si>
  <si>
    <t>Faixa em policarbonato para sinalização para degraus, fotoluminescente, adesivado, antiderrapante, 7 cm x 3 cm</t>
  </si>
  <si>
    <t>SF-04758</t>
  </si>
  <si>
    <t>SF-04760</t>
  </si>
  <si>
    <t>SF-04763</t>
  </si>
  <si>
    <t>Fixação de apoios estruturais, chumbadores, calhas e guias, ancoragem de cabos, colagem de elementos pre-moldados, juntas de concretagem, reparos em arestas de concreto aparente, trincas e defeitos superficiais e colagem de concreto com resina epóxica.</t>
  </si>
  <si>
    <t>Lixadeira eletrica, modelo 1353-GWS-18U, Bosch ou similar, aluguel</t>
  </si>
  <si>
    <t>SikaWrap 230C, Sika ou similar</t>
  </si>
  <si>
    <t>Sikadur 330 (A+B), com 5kg, Sika ou similar (1,150g/m2)</t>
  </si>
  <si>
    <t>SF-04765</t>
  </si>
  <si>
    <t>Quadro elétrico para uso ao tempo, metálico de sobrepor com 10 (dez) disjuntores trifásicos terminais, contemplando disjuntores, dispositivos de proteção contra surto (DPS), borneiras, barramentos e outros itens necessários, conforme projeto executivo</t>
  </si>
  <si>
    <t>SF-04766</t>
  </si>
  <si>
    <t>Quadro elétrico para uso ao tempo, metálico de sobrepor com 20 (vinte) disjuntores trifásicos terminais, contemplando disjuntores, dispositivos de proteção contra surto (DPS), borneiras, barramentos e outros itens necessários, conforme projeto executivo</t>
  </si>
  <si>
    <t>SF-04767</t>
  </si>
  <si>
    <t>SF-04768</t>
  </si>
  <si>
    <t>LOCAÇÃO MENSAL DE ESTRUTURA DE COBERTURA IMPERMEÁVEL (TENDA) INCLUSIVE MONTAGEM E FRETE.</t>
  </si>
  <si>
    <t>SF-04769</t>
  </si>
  <si>
    <t>SF-04770</t>
  </si>
  <si>
    <t>Tachão refletivo em plástico injetado bidirecional</t>
  </si>
  <si>
    <t>SF-04771</t>
  </si>
  <si>
    <t>Tachão refletivo em plástico injetado monodirecional</t>
  </si>
  <si>
    <t>SF-04772</t>
  </si>
  <si>
    <t>Tacha refletiva em resina sintética bidirecional com um pino - tipo III</t>
  </si>
  <si>
    <t>SF-04773</t>
  </si>
  <si>
    <t>Tacha refletiva em resina sintética monodirecional com um pino - tipo III</t>
  </si>
  <si>
    <t>SF-04774</t>
  </si>
  <si>
    <t>SF-04775</t>
  </si>
  <si>
    <t>Carpete aveludado marrom camelo ou ocre, para uso comercial, adequado para tráfego pesado, conforme especificações técnicas.</t>
  </si>
  <si>
    <t>SF-04776</t>
  </si>
  <si>
    <t>SF-04780</t>
  </si>
  <si>
    <t>SF-04782</t>
  </si>
  <si>
    <t>SF-04783</t>
  </si>
  <si>
    <t>SF-04784</t>
  </si>
  <si>
    <t>SF-04798</t>
  </si>
  <si>
    <t>SF-04799</t>
  </si>
  <si>
    <t>SF-04800</t>
  </si>
  <si>
    <t>Telha metálica trapezoidal galvanizada GR 40 com espessura de 0,65 mm, com largura de 1020 mm e comprimento de 5 metros.</t>
  </si>
  <si>
    <t>SF-04801</t>
  </si>
  <si>
    <t>Cumeeira metálica galvanizada GR 40 com espessura de 0,65 mm.</t>
  </si>
  <si>
    <t>SF-04802</t>
  </si>
  <si>
    <t>Telha metálica trapezoidal galvanizada GR 25 com espessura de 0,65 mm, com largura de 1020 mm e comprimento de 5 metros.</t>
  </si>
  <si>
    <t>SF-04803</t>
  </si>
  <si>
    <t>Cumeeira metálica galvanizada GR 25 com espessura de 0,65 mm.</t>
  </si>
  <si>
    <t>SF-04813</t>
  </si>
  <si>
    <t>SF-04814</t>
  </si>
  <si>
    <t>ASFALTO DILUIDO DE PETROLEO CM-30</t>
  </si>
  <si>
    <t>SF-04815</t>
  </si>
  <si>
    <t>Aquecedor de fluido térmico - 12 Kw</t>
  </si>
  <si>
    <t>Carregadeira de pneus com capacidade de 1,72 m³ - 113 kW</t>
  </si>
  <si>
    <t>Grupo gerador - 456 kVA</t>
  </si>
  <si>
    <t>Tanque de estocagem de asfalto com capacidade de 30.000 l</t>
  </si>
  <si>
    <t>Usina de asfalto a quente gravimétrica com capacidade de 100/140 t/h - 260 kW</t>
  </si>
  <si>
    <t>Areia média</t>
  </si>
  <si>
    <t>M3</t>
  </si>
  <si>
    <t>Brita 0</t>
  </si>
  <si>
    <t>Brita 1</t>
  </si>
  <si>
    <t>Cal hidratada - a granel</t>
  </si>
  <si>
    <t>CIMENTO ASFÁLTICO DE PETRÓLEO - CAP 50/70</t>
  </si>
  <si>
    <t>T</t>
  </si>
  <si>
    <t>Óleo tipo A1</t>
  </si>
  <si>
    <t>Pedrisco</t>
  </si>
  <si>
    <t>Caminhão basculante com capacidade de 10 m³ - 210 Kw</t>
  </si>
  <si>
    <t>Caminhão silo com capacidade de 30 m³ - 265 Kw</t>
  </si>
  <si>
    <t>SF-04816</t>
  </si>
  <si>
    <t>TUBO REDONDO DE ACO INOX 304, E = 1,50 MM, DIAMETRO = 1 1/2"</t>
  </si>
  <si>
    <t>SUPORTE PARA FIXACAO CORRIMAO TUBULAR NA PAREDE EM, ACO INOX POLIDO, PARA APOIO BARRA CURVA DE 1/2" E BERCO, COM CANOPLA</t>
  </si>
  <si>
    <t>SF-04817</t>
  </si>
  <si>
    <t>PLACA TATIL BRAILLE/RELEVO ACO INOX 10x3cm PARA CORRIMAO</t>
  </si>
  <si>
    <t>SF-04818</t>
  </si>
  <si>
    <t>Caminhão carroceria com capacidade de 5 t - 115 kW</t>
  </si>
  <si>
    <t>Placa modulada em aço nº 18 galvanizado com película retrorrefletiva tipo I + I -confecção</t>
  </si>
  <si>
    <t>SF-04819</t>
  </si>
  <si>
    <t>Limitador de vagas de estacionamento, feito em ferro fundido, com diâmetro 2”, comprimento 2 m, com pintura eletrostática cor amarela</t>
  </si>
  <si>
    <t>SF-04820</t>
  </si>
  <si>
    <t>Mapa tátil em acrílico, com o texto em relevo, chapa de 7mm, incluso pedestal e base em aço escovado</t>
  </si>
  <si>
    <t>SF-04821</t>
  </si>
  <si>
    <t>PLACA DE SINALIZACAO FOTOLUMINESCENTE SAIDA DE EMERGENCIA 15x30cm</t>
  </si>
  <si>
    <t>SF-04822</t>
  </si>
  <si>
    <t>PISO TATIL DIRECIONAL ACO INOX PARAFUSADO (COM RANHURAS)</t>
  </si>
  <si>
    <t>SF-04823</t>
  </si>
  <si>
    <t>Porta corta-fogo 1,00 x 2,10 m (P-90), com batentes e ferragens</t>
  </si>
  <si>
    <t>SF-04824</t>
  </si>
  <si>
    <t>SF-04826</t>
  </si>
  <si>
    <t>SF-04827</t>
  </si>
  <si>
    <t>SF-04828</t>
  </si>
  <si>
    <t>Cabo flexível isolado em EPR 4 mm² 0,6/1,0 kV</t>
  </si>
  <si>
    <t>SF-04829</t>
  </si>
  <si>
    <t>SF-04830</t>
  </si>
  <si>
    <t>Caminhão tanque com capacidade de 10.000 l - 188 kW</t>
  </si>
  <si>
    <t>Fresadora a frio - 455 kW</t>
  </si>
  <si>
    <t>Minicarregadeira de pneus com vassoura de 1,68 m - 45,50 kW</t>
  </si>
  <si>
    <t>Soprador de ar costal - 2,6 kW</t>
  </si>
  <si>
    <t>Dente de corte para fresadora de 455 kW</t>
  </si>
  <si>
    <t>Porta-dente de corte para fresadora e recicladora a frio</t>
  </si>
  <si>
    <t>SF-04831</t>
  </si>
  <si>
    <t>SF-04832</t>
  </si>
  <si>
    <t>SF-04833</t>
  </si>
  <si>
    <t>SF-04834</t>
  </si>
  <si>
    <t>Luminária arandela (tartaruga) em alumínio, conforme especificações</t>
  </si>
  <si>
    <t>SF-04835</t>
  </si>
  <si>
    <t>SF-04836</t>
  </si>
  <si>
    <t>Mesa de iluminação DMX 384 canais, conforme especificações</t>
  </si>
  <si>
    <t>SF-04837</t>
  </si>
  <si>
    <t>Rack de iluminação dimmer DMX 12 canais, conforme especificações</t>
  </si>
  <si>
    <t>SF-04838</t>
  </si>
  <si>
    <t>Luminária spot LED dimerizável de sobrepor, conforme especificações</t>
  </si>
  <si>
    <t>SF-04839</t>
  </si>
  <si>
    <t>Refletor LED COB 200 W, conforme especificações</t>
  </si>
  <si>
    <t>SF-04840</t>
  </si>
  <si>
    <t>Refletor elipsoidal LED 200 W DMX, conforme especificações</t>
  </si>
  <si>
    <t>SF-04841</t>
  </si>
  <si>
    <t>Cabo flexível DMX 110 ohms, 2 x 0,30 mm², 22 AWG</t>
  </si>
  <si>
    <t>SF-04842</t>
  </si>
  <si>
    <t>SF-04845</t>
  </si>
  <si>
    <t>Dispositivo de proteção contra surtos (DPS), Classe I, 2000 V, conforme especificações</t>
  </si>
  <si>
    <t>SF-04846</t>
  </si>
  <si>
    <t>SF-04847</t>
  </si>
  <si>
    <t>Barra chata em alumínio 7/8" x 1/8"</t>
  </si>
  <si>
    <t>SF-04848</t>
  </si>
  <si>
    <t>SF-04849</t>
  </si>
  <si>
    <t>SF-04850</t>
  </si>
  <si>
    <t>SF-04851</t>
  </si>
  <si>
    <t>Condulete de PVC 1.1/4"</t>
  </si>
  <si>
    <t>SF-04852</t>
  </si>
  <si>
    <t>SF-04856</t>
  </si>
  <si>
    <t>Carpete aveludado verde escuro ou musgo, para uso comercial, adequado para tráfego pesado, conforme especificações técnicas.</t>
  </si>
  <si>
    <t>COMPOSIÇÕES DE CUSTO UNITÁRIO AUXILIARES DE 1º NÍVEL</t>
  </si>
  <si>
    <t>TOTAL</t>
  </si>
  <si>
    <t>LUVA DE AÇO GALVANIZADO PARA ELETRODUTO Ø 20 MM - 3/4"</t>
  </si>
  <si>
    <t>LUVA DE AÇO GALVANIZADO PARA ELETRODUTO Ø 25 MM - 1"</t>
  </si>
  <si>
    <t>LUVA DE AÇO GALVANIZADO PARA ELETRODUTO Ø 32 MM - 1 1/4"</t>
  </si>
  <si>
    <t>LUVA DE AÇO GALVANIZADO PARA ELETRODUTO Ø 40 MM - 1 1/2"</t>
  </si>
  <si>
    <t>COMPOSIÇÕES DE CUSTO UNITÁRIO AUXILIARES DE 2º NÍVEL</t>
  </si>
  <si>
    <t>Obs.2: Inclusão de composições SINAPI 100973 e 97914.</t>
  </si>
  <si>
    <t>Obs.2: Inclusão de composições (abertas) SINAPI 100973 e 97914.</t>
  </si>
  <si>
    <t>Zero</t>
  </si>
  <si>
    <t>PLANILHA ORÇAMENTÁRIA</t>
  </si>
  <si>
    <t>Diferenciado</t>
  </si>
  <si>
    <t>Desonerado</t>
  </si>
  <si>
    <t>Padrão</t>
  </si>
  <si>
    <t>Não desonerado</t>
  </si>
  <si>
    <t>QUANTIDADE</t>
  </si>
  <si>
    <t>CUSTO DIRETO TOTAL</t>
  </si>
  <si>
    <t>BDI (%)</t>
  </si>
  <si>
    <t>PREÇO UNITÁRIO COM BDI</t>
  </si>
  <si>
    <t>PREÇO TOTAL</t>
  </si>
  <si>
    <t>DEFINIR BDI</t>
  </si>
  <si>
    <t>Engenheiro(a) /Arquiteto(a) júnior</t>
  </si>
  <si>
    <t>hh</t>
  </si>
  <si>
    <t>Mestre de obras</t>
  </si>
  <si>
    <t>Planejamento físico-financeiro</t>
  </si>
  <si>
    <t>Projetos de segurança do trabalho</t>
  </si>
  <si>
    <t>Demolição de alvenarias</t>
  </si>
  <si>
    <t>Demolição de concreto simples</t>
  </si>
  <si>
    <t>Demolição de contrapiso</t>
  </si>
  <si>
    <t>Demolição de fechamento ou parede em gesso acartonado</t>
  </si>
  <si>
    <t>Demolição de forro</t>
  </si>
  <si>
    <t>Demolição de infraestrutura elétrica (eletrodutos, eletrocalhas, cabos)</t>
  </si>
  <si>
    <t>Demolição de revestimento cerâmico ou pétreo (piso ou parede)</t>
  </si>
  <si>
    <t>Demolição de revestimento em argamassa</t>
  </si>
  <si>
    <t>Demolição de tubulação hidrossanitária embutida com conexões e acessórios</t>
  </si>
  <si>
    <t>Demolição em concreto armado</t>
  </si>
  <si>
    <t>SF-00015</t>
  </si>
  <si>
    <t>Locação de caçambas e destinação final do entulho</t>
  </si>
  <si>
    <t>Remoção de armários</t>
  </si>
  <si>
    <t>Remoção de bancadas</t>
  </si>
  <si>
    <t>Remoção de batentes de madeira</t>
  </si>
  <si>
    <t>Remoção de canaleta em alumínio</t>
  </si>
  <si>
    <t>Remoção de carpete</t>
  </si>
  <si>
    <t>Remoção de cortinas</t>
  </si>
  <si>
    <t>Remoção de difusores, grelhas e acessórios de climatização</t>
  </si>
  <si>
    <t>Remoção de divisória de mármore ou granito</t>
  </si>
  <si>
    <t>Remoção de divisórias de MDF e gesso acartonado</t>
  </si>
  <si>
    <t>Remoção de dutos/tubulações</t>
  </si>
  <si>
    <t>Remoção de esquadrias metálicas</t>
  </si>
  <si>
    <t>Remoção de exaustor</t>
  </si>
  <si>
    <t>Remoção de fechadura/puxador de porta</t>
  </si>
  <si>
    <t>Remoção de folha de porta e dobradiças / pivôs</t>
  </si>
  <si>
    <t>Remoção de revestimento sintético fixado com cola ou adesivo</t>
  </si>
  <si>
    <t>Remoção de louças</t>
  </si>
  <si>
    <t>Remoção de luminária</t>
  </si>
  <si>
    <t>Remoção de metais e acessórios</t>
  </si>
  <si>
    <t>Remoção de vidro de segurança (temperado, laminado ou aramado)</t>
  </si>
  <si>
    <t>Remoção de película</t>
  </si>
  <si>
    <t>Remoção de persianas</t>
  </si>
  <si>
    <t>Remoção de pintura ou textura</t>
  </si>
  <si>
    <t>Remoção de placas/réguas de forro sintético ou metálico</t>
  </si>
  <si>
    <t>Remoção de quadros de elétricos ou de telecomunicações</t>
  </si>
  <si>
    <t>Remoção de revestimento acústico</t>
  </si>
  <si>
    <t>Remoção de rodapé/rodabanca de mármore ou granito</t>
  </si>
  <si>
    <t>Remoção de rodapés de madeira</t>
  </si>
  <si>
    <t>Remoção de soleira de mármore ou granito</t>
  </si>
  <si>
    <t>Remoção de split/fancolete/ACJ (equipamento unitário)</t>
  </si>
  <si>
    <t>Remoção de vidro comum / espelho</t>
  </si>
  <si>
    <t>Retirada de entulhos</t>
  </si>
  <si>
    <t>SF-00047</t>
  </si>
  <si>
    <t>Absorvedor de energia para linha de vida</t>
  </si>
  <si>
    <t>Andaime fachadeiro</t>
  </si>
  <si>
    <t>m2 x mês</t>
  </si>
  <si>
    <t>Andaime tubular (aluguel/mês)</t>
  </si>
  <si>
    <t>m x mês</t>
  </si>
  <si>
    <t>SF-00050</t>
  </si>
  <si>
    <t>Cabo de aço com 8 mm de diâmetro galvanizado para linha de vida</t>
  </si>
  <si>
    <t>Corda de poliamida 12 mm tipo bombeiro, para trabalho em altura</t>
  </si>
  <si>
    <t>SF-00052</t>
  </si>
  <si>
    <t>Ensaio de ponto de ancoragem existente</t>
  </si>
  <si>
    <t>SF-00053</t>
  </si>
  <si>
    <t>Escadas de acesso para andaime tubular</t>
  </si>
  <si>
    <t>SF-00054</t>
  </si>
  <si>
    <t>Esticador de cabo de aço</t>
  </si>
  <si>
    <t>SF-00055</t>
  </si>
  <si>
    <t>Guarda-corpo com rodapé para andaime tubular</t>
  </si>
  <si>
    <t>SF-00056</t>
  </si>
  <si>
    <t>Indicador de tensão</t>
  </si>
  <si>
    <t>Isolamento de obra com tela plástica com malha de 5mm e estrutura de madeira pontaleteada</t>
  </si>
  <si>
    <t>SF-00058</t>
  </si>
  <si>
    <t>Suporte intermediário curvo para linha de vida</t>
  </si>
  <si>
    <t>SF-00059</t>
  </si>
  <si>
    <t>Kit de linha de vida para escada de marinheiro</t>
  </si>
  <si>
    <t>SF-00060</t>
  </si>
  <si>
    <t>Kit para montagem de dois olhais</t>
  </si>
  <si>
    <t>SF-00061</t>
  </si>
  <si>
    <t>Manilha com travamento por porca e cupilha</t>
  </si>
  <si>
    <t>SF-00062</t>
  </si>
  <si>
    <t>Pilar de ancoragem para linha de vida</t>
  </si>
  <si>
    <t>SF-00063</t>
  </si>
  <si>
    <t>Piso metálico para andaime tubular</t>
  </si>
  <si>
    <t>SF-00064</t>
  </si>
  <si>
    <t>Placa de ancoragem para extremidade</t>
  </si>
  <si>
    <t>SF-00065</t>
  </si>
  <si>
    <t>Placa de ancoragem para montagem no pilar</t>
  </si>
  <si>
    <t>SF-00066</t>
  </si>
  <si>
    <t>Ponto de ancoragem</t>
  </si>
  <si>
    <t>SF-00067</t>
  </si>
  <si>
    <t>Sapatas e rodízios para andaime tubular</t>
  </si>
  <si>
    <t>conj x mês</t>
  </si>
  <si>
    <t>SF-00068</t>
  </si>
  <si>
    <t>Sistema Guarda-corpo-Rodapé (GcR) metálico</t>
  </si>
  <si>
    <t>SF-00069</t>
  </si>
  <si>
    <t>Suporte intermediário reto para linha de vida</t>
  </si>
  <si>
    <t>Tapume em compensado de madeira</t>
  </si>
  <si>
    <t>SF-00071</t>
  </si>
  <si>
    <t>Trole para linha de vida horizontal</t>
  </si>
  <si>
    <t>SF-00072</t>
  </si>
  <si>
    <t>Trole para travaqueda retrátil</t>
  </si>
  <si>
    <t>Limpeza final de intervenção</t>
  </si>
  <si>
    <t>Abertura/fechamento rasgo em alvenaria</t>
  </si>
  <si>
    <t>Furo em concreto de 40 mm até 75 mm de diâmetro</t>
  </si>
  <si>
    <t>Furo em concreto para diâmetros maiores que 75 mm</t>
  </si>
  <si>
    <t>Concreto virado em betoneira, fck = 15 MPa</t>
  </si>
  <si>
    <t>Concreto virado em betoneira, fck = 25 MPa</t>
  </si>
  <si>
    <t>Escoramento metálico</t>
  </si>
  <si>
    <t>Estrutura metálica em aço</t>
  </si>
  <si>
    <t>Forma para estruturas de concreto</t>
  </si>
  <si>
    <t>Verga/contraverga/cinta em bloco de concreto canaleta 11,5 x 19 x 39 cm</t>
  </si>
  <si>
    <t>Impermeabilização rígida (semiflexível) com argamassa polimérica bicomponente</t>
  </si>
  <si>
    <t>Alvenaria de vedação</t>
  </si>
  <si>
    <t>Fechamento ou shaft em gesso acartonado tipo drywall</t>
  </si>
  <si>
    <t>Fixação (encunhamento) de Alvenaria de Vedação</t>
  </si>
  <si>
    <t>Parede em gesso acartonado (drywall)</t>
  </si>
  <si>
    <t>Reparos superficiais em painéis de gesso acartonado</t>
  </si>
  <si>
    <t>Sóculo h=10 cm</t>
  </si>
  <si>
    <t>Chapisco colante industrializado em vigas e pilares</t>
  </si>
  <si>
    <t>Chapisco com argamassa traço 1:3</t>
  </si>
  <si>
    <t>Aplicação de Gesso cola</t>
  </si>
  <si>
    <t>Reboco com argamassa industrializada e = 2,0 cm</t>
  </si>
  <si>
    <t>Regularização com argamassa industrializada e = 0,5 cm</t>
  </si>
  <si>
    <t>Selagem de trincas superficiais</t>
  </si>
  <si>
    <t>Aplicação de fundo selador base água</t>
  </si>
  <si>
    <t>Fundo anticorrosivo e de aderência</t>
  </si>
  <si>
    <t>Massa acrílica</t>
  </si>
  <si>
    <t>Massa corrida</t>
  </si>
  <si>
    <t>Pintura com tinta látex acrílica Premium (paredes)</t>
  </si>
  <si>
    <t>Pintura em verniz sintético</t>
  </si>
  <si>
    <t>Pintura esmalte acetinado (metais e madeiras)</t>
  </si>
  <si>
    <t>Pintura tinta látex acrílica standard (tetos)</t>
  </si>
  <si>
    <t>Cerâmica para revestimento de superfícies internas ou externas – Linha Administrativa</t>
  </si>
  <si>
    <t>Contrapiso em argamassa</t>
  </si>
  <si>
    <t>Contrapiso em argamassa (e = 2 cm) ou Regularização de contrapiso existente</t>
  </si>
  <si>
    <t>Granito cinza andorinha para piso</t>
  </si>
  <si>
    <t>Granito Cinza Andorinha para rodapé</t>
  </si>
  <si>
    <t>Granito Cinza Andorinha para soleira e peitoril</t>
  </si>
  <si>
    <t>Granito Preto São Gabriel para piso</t>
  </si>
  <si>
    <t>Granito Preto São Gabriel para rodapé</t>
  </si>
  <si>
    <t>Granito Preto São Gabriel para soleira e peitoril</t>
  </si>
  <si>
    <t>Instalação de rodapé de madeira reaproveitado</t>
  </si>
  <si>
    <t>Mármore Bege Bahia para piso e parede</t>
  </si>
  <si>
    <t>Mármore Branco Especial para piso e parede</t>
  </si>
  <si>
    <t>Rodapé de madeira</t>
  </si>
  <si>
    <t>Acabamento abaulado em placas de granito ou mármore reaproveitadas</t>
  </si>
  <si>
    <t>Acabamento em meia esquadria em placas de granito ou mármore reaproveitadas</t>
  </si>
  <si>
    <t>Acabamento reto em placas de granito ou mármore reaproveitadas</t>
  </si>
  <si>
    <t>Corte de peça de granito ou mármore reaproveitada</t>
  </si>
  <si>
    <t>Corte em placas de granito ou mármore reaproveitadas, para instalação de cubas</t>
  </si>
  <si>
    <t>Furo em placas de granito ou mármore reaproveitadas, para instalação de torneira ou misturador</t>
  </si>
  <si>
    <t>Granito Cinza Andorinha 20 mm para rodabancada</t>
  </si>
  <si>
    <t>Granito Cinza Andorinha 20 mm para bancadas</t>
  </si>
  <si>
    <t>Granito Cinza Andorinha 20 mm para divisória</t>
  </si>
  <si>
    <t>Granito Preto São Gabriel 20 mm para rodabancada</t>
  </si>
  <si>
    <t>Granito Preto São Gabriel 20 mm para bancadas</t>
  </si>
  <si>
    <t>Instalação de bancada de granito ou mármore reaproveitada</t>
  </si>
  <si>
    <t>Instalação de rodapé/rodabanca reaproveitado(a), de mármore ou granito</t>
  </si>
  <si>
    <t>Instalação de soleira ou peitoril, de mármore ou granito, reaproveitados</t>
  </si>
  <si>
    <t>Mármore Branco Especial 20 mm para rodabancada</t>
  </si>
  <si>
    <t>SF-00132</t>
  </si>
  <si>
    <t>Divisória em gesso acartonado revestido - Painel liso cego - Ed. Anexo I</t>
  </si>
  <si>
    <t>SF-00133</t>
  </si>
  <si>
    <t>Divisória em gesso acartonado revestido - Painel liso, painel de vidro e bandeira – ed. Anexo I</t>
  </si>
  <si>
    <t>SF-00134</t>
  </si>
  <si>
    <t>Divisória MDF com painel liso cego e bandeira</t>
  </si>
  <si>
    <t>SF-00135</t>
  </si>
  <si>
    <t>Divisória MDF com painel liso, painel de vidro e bandeira</t>
  </si>
  <si>
    <t>SF-00136</t>
  </si>
  <si>
    <t>Divisória MDF com painel paginado cego e bandeira - Interlegis</t>
  </si>
  <si>
    <t>SF-00137</t>
  </si>
  <si>
    <t>Divisória MDF com painel paginado, painel de vidro e bandeira - Interlegis</t>
  </si>
  <si>
    <t>Instalação de divisória e porta de divisória com dobradiça reaproveitadas</t>
  </si>
  <si>
    <t>Alçapão em forro de gesso acartonado</t>
  </si>
  <si>
    <t>Forro de PVC em réguas de 100 x 6000 mm</t>
  </si>
  <si>
    <t>Forro de PVC em réguas de 100 x 6000 mm, sem estrutura</t>
  </si>
  <si>
    <t>Forro de PVC modular em placas</t>
  </si>
  <si>
    <t>Forro em chapas metálicas</t>
  </si>
  <si>
    <t>Forro em gesso acartonado monolítico</t>
  </si>
  <si>
    <t>Forro em gesso acartonado monolítico, sem estrutura</t>
  </si>
  <si>
    <t>Forro mineral modulado</t>
  </si>
  <si>
    <t>Forro mineral modulado, sem estrutura</t>
  </si>
  <si>
    <t>Instalação de forro de PVC reaproveitado</t>
  </si>
  <si>
    <t>Instalação de forro mineral reaproveitado</t>
  </si>
  <si>
    <t>Tabica metálica em forro de gesso acartonado</t>
  </si>
  <si>
    <t>Instalação de revestimento de piso têxtil (carpete) reaproveitado</t>
  </si>
  <si>
    <t>Baguetes metálicos - Instalação/Substituição</t>
  </si>
  <si>
    <t>Cordão de massa de vidraceiro - Instalação/Substituição</t>
  </si>
  <si>
    <t>Espelho cristal, e = 5 mm</t>
  </si>
  <si>
    <t>Instalação de vidro reaproveitado</t>
  </si>
  <si>
    <t>Calafetação com selante de silicone sem remoção do vidro - Aplicação/Substituição</t>
  </si>
  <si>
    <t>Vidro liso comum transparente 4 mm</t>
  </si>
  <si>
    <t>Vidro liso comum transparente 6 mm</t>
  </si>
  <si>
    <t>Instalação de painéis de vidro temperado reaproveitados</t>
  </si>
  <si>
    <t>Mola hidráulica de piso - Instalação/Substituição</t>
  </si>
  <si>
    <t>Instalação de persianas reaproveitadas</t>
  </si>
  <si>
    <t>SF-00162</t>
  </si>
  <si>
    <t>Persiana vertical em alumínio 90 mm, cor verde claro</t>
  </si>
  <si>
    <t>SF-00163</t>
  </si>
  <si>
    <t>Persiana vertical em tecido Juta Resinado sem blecaute de 90 mm, cor bege</t>
  </si>
  <si>
    <t>SF-00164</t>
  </si>
  <si>
    <t>Persiana vertical em tecido sintético sem blecaute de 90 mm, cores verde escuro ou branca</t>
  </si>
  <si>
    <t>Tubo de ligação para bacia sanitária</t>
  </si>
  <si>
    <t>Tubo PVC esgoto ou aguas pluviais predial DN 100 mm</t>
  </si>
  <si>
    <t>Tubo PVC esgoto ou aguas pluviais predial DN 40 mm</t>
  </si>
  <si>
    <t>Tubo PVC esgoto ou aguas pluviais predial DN 50 mm</t>
  </si>
  <si>
    <t>Tubo PVC esgoto ou aguas pluviais predial DN 75 mm</t>
  </si>
  <si>
    <t>Tubo PVC soldável água fria DN 25 mm</t>
  </si>
  <si>
    <t>Tubo PVC soldável água fria DN 32 mm</t>
  </si>
  <si>
    <t>Tubo PVC soldável água fria DN 40 mm</t>
  </si>
  <si>
    <t>Tubo PVC soldável água fria DN 50 mm</t>
  </si>
  <si>
    <t>Base registro gaveta 3/4"</t>
  </si>
  <si>
    <t>Caixa sifonada de PVC DN 150 mm</t>
  </si>
  <si>
    <t>Caixa sifonada de PVC DN 250 mm</t>
  </si>
  <si>
    <t>Grelha quadrada para ralo 10 x 10 cm</t>
  </si>
  <si>
    <t>Grelha quadrada para ralo 15 x 15 cm</t>
  </si>
  <si>
    <t>Ralo seco PVC DN 100 x 40 mm</t>
  </si>
  <si>
    <t>Assento para bacia convencional</t>
  </si>
  <si>
    <t>Bacia convencional – Linha Administrativa</t>
  </si>
  <si>
    <t>Bacia convencional com saída horizontal</t>
  </si>
  <si>
    <t>Cuba oval de embutir</t>
  </si>
  <si>
    <t>Cuba retangular em aço inox</t>
  </si>
  <si>
    <t>Cuba semiencaixe quadrada com mesa</t>
  </si>
  <si>
    <t>Instalação de lavatório reaproveitado</t>
  </si>
  <si>
    <t>Instalação de mictório reaproveitado</t>
  </si>
  <si>
    <t>Instalação de vaso sanitário reaproveitado</t>
  </si>
  <si>
    <t>Lavatório suspenso</t>
  </si>
  <si>
    <t>Mictório – Linha Administrativa</t>
  </si>
  <si>
    <t>Tanque 38 litros</t>
  </si>
  <si>
    <t>Acabamento para registro GD</t>
  </si>
  <si>
    <t>Acabamento para registro PQ</t>
  </si>
  <si>
    <t>Ducha higiênica</t>
  </si>
  <si>
    <t>Instalação de metais e acessórios reaproveitados</t>
  </si>
  <si>
    <t>Ligação flexível 1/2” x 40 cm</t>
  </si>
  <si>
    <t>Sifão articulado para cozinha</t>
  </si>
  <si>
    <t>Sifão para lavatório 1 1/2"</t>
  </si>
  <si>
    <t>Sifão para tanque</t>
  </si>
  <si>
    <t>Torneira de mesa para cozinha bica móvel – Linha Administrativa</t>
  </si>
  <si>
    <t>Torneira de mesa para cozinha bica móvel</t>
  </si>
  <si>
    <t>Torneira de mesa para lavatório – Linha Acessibilidade</t>
  </si>
  <si>
    <t>Torneira de mesa para lavatório bica alta</t>
  </si>
  <si>
    <t>Torneira de mesa para lavatório bica baixa</t>
  </si>
  <si>
    <t>Torneira de mesa para lavatório com fechamento automático – Linha Administrativa</t>
  </si>
  <si>
    <t>Torneira de parede para cozinha</t>
  </si>
  <si>
    <t>Torneira de parede para tanque</t>
  </si>
  <si>
    <t>Acabamento para válvula de descarga 1 1/2" – Linha Acessibilidade</t>
  </si>
  <si>
    <t>Acabamento para válvula de descarga 1 1/2"</t>
  </si>
  <si>
    <t>Acabamento para válvula de descarga 1 1/4" – Linha Acessibilidade</t>
  </si>
  <si>
    <t>Acabamento para válvula de descarga 1 1/4"</t>
  </si>
  <si>
    <t>Válvula de escoamento para lavatório</t>
  </si>
  <si>
    <t>Válvula de escoamento para tanque</t>
  </si>
  <si>
    <t>Válvula descarga para mictório – Linha Administrativa</t>
  </si>
  <si>
    <t>Alarme de emergência para sanitários PNE</t>
  </si>
  <si>
    <t>Barra de apoio 40 cm – Linha Acessibilidade</t>
  </si>
  <si>
    <t>Barra de apoio 70 cm – Linha Acessibilidade</t>
  </si>
  <si>
    <t>Barra de apoio 80 cm – Linha Acessibilidade</t>
  </si>
  <si>
    <t>Barra de apoio lateral fixa 30 cm – Linha Acessibilidade</t>
  </si>
  <si>
    <t>Lavatório suspenso – Linha Acessibilidade</t>
  </si>
  <si>
    <t>Lavatório suspenso com Coluna – Linha Acessibilidade</t>
  </si>
  <si>
    <t>Cabide</t>
  </si>
  <si>
    <t>Papeleira</t>
  </si>
  <si>
    <t>Porta toalha argola</t>
  </si>
  <si>
    <t>Porta toalha barra</t>
  </si>
  <si>
    <t>Caixa 4" x 2" de embutir para alvenaria</t>
  </si>
  <si>
    <t>Caixa 4" x 2" para drywall</t>
  </si>
  <si>
    <t>Caixa 4" x 4" de embutir para alvenaria</t>
  </si>
  <si>
    <t>Caixa 4" x 4" para drywall</t>
  </si>
  <si>
    <t>Caixa de passagem em alumínio 100 x 100 x 50 mm</t>
  </si>
  <si>
    <t>Caixa de passagem em alumínio 200 x 200 x 100 mm</t>
  </si>
  <si>
    <t>Caixa de passagem em PVC 150 x 150 x 75 mm</t>
  </si>
  <si>
    <t xml:space="preserve">Caixa para piso elevado </t>
  </si>
  <si>
    <t>Canaleta em alumínio aparente 73 mm x 25 mm</t>
  </si>
  <si>
    <t>Condulete de alumínio de 1"</t>
  </si>
  <si>
    <t>Eletrocalha 100 x 50 mm</t>
  </si>
  <si>
    <t>Eletrocalha 200 x 100 mm</t>
  </si>
  <si>
    <t>Eletrocalha 200 x 50 mm</t>
  </si>
  <si>
    <t>Eletrocalha 300 x 100 mm</t>
  </si>
  <si>
    <t>Eletrocalha 300 x 50 mm</t>
  </si>
  <si>
    <t>Eletrocalha 400 x 50 mm</t>
  </si>
  <si>
    <t>Eletrocalha 50 x 50 mm</t>
  </si>
  <si>
    <t>Eletroduto de aço galvanizado de 1 1/2"</t>
  </si>
  <si>
    <t>Eletroduto de aço galvanizado de 1 1/4"</t>
  </si>
  <si>
    <t>Eletroduto de aço galvanizado de 1"</t>
  </si>
  <si>
    <t>Eletroduto de aço galvanizado de 2"</t>
  </si>
  <si>
    <t>Eletroduto de aço galvanizado de 3/4"</t>
  </si>
  <si>
    <t>Eletroduto de PVC Corrugado Reforçado 1'' (DE 32 mm)</t>
  </si>
  <si>
    <t>Eletroduto de PVC Corrugado Reforçado 3/4'' (DE 25 mm)</t>
  </si>
  <si>
    <t>Eletroduto flexível metálico com capa de PVC 1’’</t>
  </si>
  <si>
    <t>Eletroduto flexível metálico com capa de PVC 3/4"</t>
  </si>
  <si>
    <t>Perfilado 38 x 38 mm</t>
  </si>
  <si>
    <t xml:space="preserve">Espelho 4" x 2" </t>
  </si>
  <si>
    <t xml:space="preserve">Espelho 4" x 4" </t>
  </si>
  <si>
    <t xml:space="preserve">Espelho cego redondo </t>
  </si>
  <si>
    <t xml:space="preserve">Interruptor para condulete </t>
  </si>
  <si>
    <t xml:space="preserve">Módulo cego </t>
  </si>
  <si>
    <t xml:space="preserve">Módulo interruptor paralelo </t>
  </si>
  <si>
    <t xml:space="preserve">Módulo interruptor simples </t>
  </si>
  <si>
    <t xml:space="preserve">Módulo sensor de presença </t>
  </si>
  <si>
    <t xml:space="preserve">Módulo tomada 10 A </t>
  </si>
  <si>
    <t xml:space="preserve">Módulo tomada 20 A </t>
  </si>
  <si>
    <t>Tampa cega metálica para caixas de piso 4" x 2"</t>
  </si>
  <si>
    <t xml:space="preserve">Tampa cega metálica para caixas de piso 4" x 4" </t>
  </si>
  <si>
    <t>Tampa cega para condulete</t>
  </si>
  <si>
    <t>Tampa RJ45 dupla para condulete</t>
  </si>
  <si>
    <t>Tomada para condulete</t>
  </si>
  <si>
    <t xml:space="preserve">Tomada para perfilado e eletrocalha </t>
  </si>
  <si>
    <t>Bloco autônomo de emergência</t>
  </si>
  <si>
    <t>Instalação de luminária reaproveitada</t>
  </si>
  <si>
    <t>Luminária 2 x 7,5 W de embutir</t>
  </si>
  <si>
    <t>Luminária 2 x 7,5 W de sobrepor</t>
  </si>
  <si>
    <t>Luminária 2 x 15 W de embutir</t>
  </si>
  <si>
    <t>Luminária 2 x 15 W de sobrepor</t>
  </si>
  <si>
    <t xml:space="preserve">Condutor 10 mm² </t>
  </si>
  <si>
    <t xml:space="preserve">Condutor 16 mm² </t>
  </si>
  <si>
    <t xml:space="preserve">Condutor 2,5 mm² </t>
  </si>
  <si>
    <t>Condutor 3 x 2,5 mm²</t>
  </si>
  <si>
    <t xml:space="preserve">Condutor 4 mm² </t>
  </si>
  <si>
    <t>Condutor 4 x 2,5 mm²</t>
  </si>
  <si>
    <t xml:space="preserve">Condutor 6 mm² </t>
  </si>
  <si>
    <t>Quadro elétrico TTA</t>
  </si>
  <si>
    <t>Ar-condicionado split hi-wall inverter 24.000 BTU/h</t>
  </si>
  <si>
    <t>Instalação de fancolete reaproveitado</t>
  </si>
  <si>
    <t>Instalação de split reaproveitado</t>
  </si>
  <si>
    <t>Exaustor axial 340 m3/h</t>
  </si>
  <si>
    <t>Exaustor axial 865 m3/h</t>
  </si>
  <si>
    <t>Duto chapa galvanizada # 22</t>
  </si>
  <si>
    <t>Duto flexível 6”</t>
  </si>
  <si>
    <t>Duto flexível 8”</t>
  </si>
  <si>
    <t>Difusor de ar quadrado 360 mm x 360 mm</t>
  </si>
  <si>
    <t>Difusor de ar quadrado com caixa plenum AK6 360 x 360 mm</t>
  </si>
  <si>
    <t>Difusor de ar quadrado para insuflamento em duas direções perpendiculares 376 x 376 mm</t>
  </si>
  <si>
    <t>Difusor de ar retangular para insuflamento em duas direções 371 mm x 208 mm</t>
  </si>
  <si>
    <t>Difusor de ar retangular para insuflamento em três direções 264 mm x 432 mm</t>
  </si>
  <si>
    <t>Difusor de ar retangular para insuflamento em três direções 320 mm x 562 mm</t>
  </si>
  <si>
    <t>Difusor de ar retangular para insuflamento em três direções 371 mm x 208 mm</t>
  </si>
  <si>
    <t>Difusor de ar retangular para insuflamento em uma direção 371 mm x 208 mm</t>
  </si>
  <si>
    <t>Grelha para retorno retangular 425 x 225 mm</t>
  </si>
  <si>
    <t>Grelha para retorno retangular 525 x 325 mm</t>
  </si>
  <si>
    <t>Instalação de difusores, grelhas e acessórios de climatização reaproveitados</t>
  </si>
  <si>
    <t>Instalação de exaustor reaproveitado</t>
  </si>
  <si>
    <t>Preparação para instalação de difusores/grelhas de ar em portas</t>
  </si>
  <si>
    <t>Bomba para condensado de ar-condicionado para instalação oculta</t>
  </si>
  <si>
    <t>Fita aluminizada para refrigeração 48 mm</t>
  </si>
  <si>
    <t>Fita PVC 100 mm para acabamento em refrigeração</t>
  </si>
  <si>
    <t>Mangueira emborrachada 3/4” para água gelada</t>
  </si>
  <si>
    <t>Suporte para unidade condensadora de aparelho split</t>
  </si>
  <si>
    <t>Filtro em Y 1”</t>
  </si>
  <si>
    <t>Filtro em Y 3/4”</t>
  </si>
  <si>
    <t>Válvula de balanceamento e controle independente da pressão (PIBCV) 2 vias 1”</t>
  </si>
  <si>
    <t>Válvula de balanceamento e controle independente da pressão (PIBCV) 2 vias 3/4”</t>
  </si>
  <si>
    <t>Válvula de esfera em bronze 1 1/2"</t>
  </si>
  <si>
    <t>Válvula de esfera em bronze 1 1/4"</t>
  </si>
  <si>
    <t>Válvula de esfera em bronze 1"</t>
  </si>
  <si>
    <t>Válvula de esfera em bronze 3/4"</t>
  </si>
  <si>
    <t>Isolamento elastomérico em formato de prancha autoadesiva</t>
  </si>
  <si>
    <t>Isolamento elastomérico para tubulações de cobre de 1 1/8" / tubulações de ferro de 3/4"</t>
  </si>
  <si>
    <t>Isolamento elastomérico para tubulações de cobre de 1/2"</t>
  </si>
  <si>
    <t>Isolamento elastomérico para tubulações de cobre de 1/4"</t>
  </si>
  <si>
    <t>Isolamento elastomérico para tubulações de cobre de 3/4"</t>
  </si>
  <si>
    <t>Isolamento elastomérico para tubulações de cobre de 3/8"</t>
  </si>
  <si>
    <t>Isolamento elastomérico para tubulações de cobre de 5/8"</t>
  </si>
  <si>
    <t>Isolamento elastomérico para tubulações de cobre de 7/8" / tubulações de ferro de 1/2"</t>
  </si>
  <si>
    <t>Isolamento elastomérico para tubulações de cobre de 1"</t>
  </si>
  <si>
    <t>Isolamento elastomérico para tubulações de ferro de 1 1/2"</t>
  </si>
  <si>
    <t>Isolamento elastomérico para tubulações de cobre 1 5/8" / tubulações de ferro de 1 1/4"</t>
  </si>
  <si>
    <t>Isolamento elastomérico para tubulações de cobre 1 3/8" / tubulações de ferro de 1"</t>
  </si>
  <si>
    <t>Proteção mecânica em alumínio</t>
  </si>
  <si>
    <t>Tubo de aço-carbono galvanizado 1 1/2”</t>
  </si>
  <si>
    <t>Tubo de aço-carbono galvanizado 1 1/4”</t>
  </si>
  <si>
    <t>Tubo de aço-carbono galvanizado 1”</t>
  </si>
  <si>
    <t>Tubo de aço-carbono galvanizado 3/4”</t>
  </si>
  <si>
    <t>Tubo de cobre de 1/2”</t>
  </si>
  <si>
    <t>Tubo de cobre de 1/4”</t>
  </si>
  <si>
    <t>Tubo de cobre de 3/4”</t>
  </si>
  <si>
    <t>Tubo de cobre de 3/8”</t>
  </si>
  <si>
    <t>Tubo de cobre de 5/8”</t>
  </si>
  <si>
    <t>Tubo de cobre de 7/8”</t>
  </si>
  <si>
    <t>Tubo de cobre de 1”</t>
  </si>
  <si>
    <t>Tubo de cobre de 1 1/8”</t>
  </si>
  <si>
    <t>SF-00352</t>
  </si>
  <si>
    <t>Armário em MDF laminado com porta e prateleiras</t>
  </si>
  <si>
    <t>SF-00353</t>
  </si>
  <si>
    <t>Armários em MDF laminado com módulo de gaveta (sem porta)</t>
  </si>
  <si>
    <t>Instalação de armários reaproveitados</t>
  </si>
  <si>
    <t>Mesa/tampo de MDF, fixada em parede com mão-francesa</t>
  </si>
  <si>
    <t>Painel de TV em Compensado - Linha Residencial / Gabinete Parlamentar</t>
  </si>
  <si>
    <t>Painel de TV em MDF</t>
  </si>
  <si>
    <t>Painel para TV de 90 x 120 cm</t>
  </si>
  <si>
    <t>Batentes e Guarnições em madeira, com verniz ou esmalte</t>
  </si>
  <si>
    <t>Chapa de proteção para porta – Linha Acessibilidade</t>
  </si>
  <si>
    <t>Folha de porta em madeira 2,10 m x 0,60 m, pintada</t>
  </si>
  <si>
    <t>Folha de porta em madeira 2,10 m x 0,70 m, pintada</t>
  </si>
  <si>
    <t>Folha de porta em madeira 2,10 m x 0,80 m, pintada</t>
  </si>
  <si>
    <t>Folha de porta em madeira 2,10 m x 0,90 m, pintada</t>
  </si>
  <si>
    <t>Folha de porta em madeira 2,10 m x 1,00 m, pintada</t>
  </si>
  <si>
    <t>Instalação de batentes de madeira reaproveitados</t>
  </si>
  <si>
    <t>Instalação de folhas de portas e dobradiças reaproveitadas</t>
  </si>
  <si>
    <t>Dobradiça para porta</t>
  </si>
  <si>
    <t>Fechadura para banheiro maçaneta em barra</t>
  </si>
  <si>
    <t xml:space="preserve">Fechadura para porta externa maçaneta em barra </t>
  </si>
  <si>
    <t>Fechadura para porta interna maçaneta tubular</t>
  </si>
  <si>
    <t>Instalação de fechadura/puxador de porta reaproveitados</t>
  </si>
  <si>
    <t>Mola hidráulica aérea</t>
  </si>
  <si>
    <t>Pivô em latão com acabamento cromado para portas pivotantes</t>
  </si>
  <si>
    <t>Cabo de dados tipo UTP, tipo LSZH, categoria 6</t>
  </si>
  <si>
    <t>Módulo (tomada) de rede RJ45, categoria 6, com conectorização e certificação</t>
  </si>
  <si>
    <t>Painel de distribuição (patch panel) de 24 portas, categoria 6</t>
  </si>
  <si>
    <t>Cabo de telefonia tipo CCI 50x2</t>
  </si>
  <si>
    <t>Módulo (tomada) de rede RJ45, para telefonia</t>
  </si>
  <si>
    <t>Grelha para retorno para portas, divisórias e paredes 525 mm x 325 mm</t>
  </si>
  <si>
    <t>SF-00381</t>
  </si>
  <si>
    <t>Anilina</t>
  </si>
  <si>
    <t>25 g</t>
  </si>
  <si>
    <t>SF-00382</t>
  </si>
  <si>
    <t>Seladora incolor</t>
  </si>
  <si>
    <t>SF-00383</t>
  </si>
  <si>
    <t>Veladura</t>
  </si>
  <si>
    <t>200 ml</t>
  </si>
  <si>
    <t>SF-00384</t>
  </si>
  <si>
    <t>Massa para calafetar madeira</t>
  </si>
  <si>
    <t>SF-00385</t>
  </si>
  <si>
    <t>Removedor pastoso</t>
  </si>
  <si>
    <t>SF-00386</t>
  </si>
  <si>
    <t>Tingidor para madeira</t>
  </si>
  <si>
    <t>150 ml</t>
  </si>
  <si>
    <t>SF-00387</t>
  </si>
  <si>
    <t>Thinner</t>
  </si>
  <si>
    <t>SF-00388</t>
  </si>
  <si>
    <t>Goma Laca Indiana</t>
  </si>
  <si>
    <t>SF-00389</t>
  </si>
  <si>
    <t>Cera em pasta para madeira</t>
  </si>
  <si>
    <t>SF-00390</t>
  </si>
  <si>
    <t>Fita de borda de 22 mm para encabeçamento</t>
  </si>
  <si>
    <t>SF-00391</t>
  </si>
  <si>
    <t>Fita de borda de 35 mm para encabeçamento</t>
  </si>
  <si>
    <t>SF-00392</t>
  </si>
  <si>
    <t>Fita de borda de 64 mm para encabeçamento</t>
  </si>
  <si>
    <t>SF-00393</t>
  </si>
  <si>
    <t>Fita de borda de 45 mm para encabeçamento</t>
  </si>
  <si>
    <t>SF-00394</t>
  </si>
  <si>
    <t>Suporte para prateleira redondo - 10 mm x 15 mm</t>
  </si>
  <si>
    <t>SF-00395</t>
  </si>
  <si>
    <t>Rodízio Giratório com Freio - 2 Polegadas</t>
  </si>
  <si>
    <t>SF-00396</t>
  </si>
  <si>
    <t>Rodízio fixo de 4 Polegadas</t>
  </si>
  <si>
    <t>SF-00397</t>
  </si>
  <si>
    <t>Rodízio Giratório  Ref. 1500HC – Base de Pino com Bucha</t>
  </si>
  <si>
    <t>SF-00398</t>
  </si>
  <si>
    <t>Cordão para Persiana Horizontal (metro)</t>
  </si>
  <si>
    <t>SF-00399</t>
  </si>
  <si>
    <t>Cordão para Persiana Vertical (metro)</t>
  </si>
  <si>
    <t>SF-00400</t>
  </si>
  <si>
    <t>Freio de Cordão de Persiana (travador de cordão) e acionador</t>
  </si>
  <si>
    <t>SF-00401</t>
  </si>
  <si>
    <t>Corrente para persiana (com clip)</t>
  </si>
  <si>
    <t>SF-00402</t>
  </si>
  <si>
    <t>Peso envelope para persiana</t>
  </si>
  <si>
    <t>SF-00403</t>
  </si>
  <si>
    <t>Rodízio de Cortina Comum</t>
  </si>
  <si>
    <t>SF-00404</t>
  </si>
  <si>
    <t>Cantoneira 2 furos - Cioba</t>
  </si>
  <si>
    <t>Dobradiça para porta com anel</t>
  </si>
  <si>
    <t>SF-00406</t>
  </si>
  <si>
    <t>Dobradiça curva para porta de armário (com parafuso de fixação)</t>
  </si>
  <si>
    <t>Fechadura para porta externa maçaneta em barra</t>
  </si>
  <si>
    <t>Fechadura para porta externa com espelho - Millenio</t>
  </si>
  <si>
    <t>Fechadura para Porta de Banheiro com Espelho - Millenio</t>
  </si>
  <si>
    <t>SF-00410</t>
  </si>
  <si>
    <t>Fechadura para porta de divisória - Soprano</t>
  </si>
  <si>
    <t>Tarjeta Livre / Ocupado para portas de banheiro</t>
  </si>
  <si>
    <t>SF-00412</t>
  </si>
  <si>
    <t>Fechadura tubular cilíndrica para porta de divisória</t>
  </si>
  <si>
    <t>SF-00413</t>
  </si>
  <si>
    <t>Fechadura Cilíndrica para Armário</t>
  </si>
  <si>
    <t>Fechadura de embutir para armário e gaveta</t>
  </si>
  <si>
    <t>Fechadura de embutir para móveis – Fechamento Superior - Referência 861</t>
  </si>
  <si>
    <t>Fechadura de embutir para móveis – Fechamento lateral - Referência 871</t>
  </si>
  <si>
    <t>SF-00417</t>
  </si>
  <si>
    <t>Fechadura para porta de correr (Bico de Papagaio)</t>
  </si>
  <si>
    <t>SF-00418</t>
  </si>
  <si>
    <t>Fechadura para Gaveteiro</t>
  </si>
  <si>
    <t>SF-00419</t>
  </si>
  <si>
    <t>Fechadura para porta de divisória – LaFonte</t>
  </si>
  <si>
    <t>SF-00420</t>
  </si>
  <si>
    <t>Fechadura para Porta de divisória - Lockwell</t>
  </si>
  <si>
    <t>SF-00421</t>
  </si>
  <si>
    <t>Fechadura para Vitrine de 140 mm</t>
  </si>
  <si>
    <t>SF-00422</t>
  </si>
  <si>
    <t>Fecho para porta de armário – Tipo Gangorra – 75 mm</t>
  </si>
  <si>
    <t>SF-00423</t>
  </si>
  <si>
    <t>Fecho para porta de armário – Tipo Gangorra – 130 mm</t>
  </si>
  <si>
    <t>SF-00424</t>
  </si>
  <si>
    <t>Fecho de Pressão Tipo Roller</t>
  </si>
  <si>
    <t>SF-00425</t>
  </si>
  <si>
    <t>Fecho Eletromagnético</t>
  </si>
  <si>
    <t>SF-00426</t>
  </si>
  <si>
    <t>Acionador de Fechadura Elétrica</t>
  </si>
  <si>
    <t>SF-00427</t>
  </si>
  <si>
    <t>Puxador em Botão côncavo de 25 mm de diâmetro</t>
  </si>
  <si>
    <t>SF-00428</t>
  </si>
  <si>
    <t>Puxador em botão convexo de 25 mm de diâmetro</t>
  </si>
  <si>
    <t>SF-00429</t>
  </si>
  <si>
    <t>Corrediça Simples de Roldanas - 250 mm a 300 mm</t>
  </si>
  <si>
    <t>par</t>
  </si>
  <si>
    <t>SF-00430</t>
  </si>
  <si>
    <t>Corrediça Simples de Roldanas - 350 mm a 400 mm</t>
  </si>
  <si>
    <t>SF-00431</t>
  </si>
  <si>
    <t>Corrediça Simples de Roldanas - 450 mm a 500 mm</t>
  </si>
  <si>
    <t>SF-00432</t>
  </si>
  <si>
    <t>Corrediça Simples de Roldanas - 550 mm</t>
  </si>
  <si>
    <t>SF-00433</t>
  </si>
  <si>
    <t>Corrediça Telescópica - 300 mm</t>
  </si>
  <si>
    <t>SF-00434</t>
  </si>
  <si>
    <t>Corrediça Telescópica - 400 mm; 450 mm; 500 mm</t>
  </si>
  <si>
    <t>SF-00435</t>
  </si>
  <si>
    <t>Gancho de ferro com rosca – 17 x 50</t>
  </si>
  <si>
    <t>SF-00436</t>
  </si>
  <si>
    <t>Gancho de ferro tipo "pitão" com rosca – 21 x 80</t>
  </si>
  <si>
    <t>SF-00437</t>
  </si>
  <si>
    <t>Suporte triangular para quadro - nº 2</t>
  </si>
  <si>
    <t>SF-00438</t>
  </si>
  <si>
    <t>Suporte triangular para quadro - nº 3</t>
  </si>
  <si>
    <t>SF-00439</t>
  </si>
  <si>
    <t>Sapata niveladora para móveis com rosca 3/8"</t>
  </si>
  <si>
    <t>SF-00440</t>
  </si>
  <si>
    <t>Sapata niveladora para móveis com base de 40 mm</t>
  </si>
  <si>
    <t>SF-00441</t>
  </si>
  <si>
    <t>Sapata niveladora para móveis com base de 60 mm</t>
  </si>
  <si>
    <t>SF-00442</t>
  </si>
  <si>
    <t>Cabide duplo com gancho grande para banheiro</t>
  </si>
  <si>
    <t>Puxador alça 102 mm</t>
  </si>
  <si>
    <t>SF-00444</t>
  </si>
  <si>
    <t>Puxador tipo “C” em arco - 128 mm</t>
  </si>
  <si>
    <t>SF-00445</t>
  </si>
  <si>
    <t>Puxador tipo “C” em arco - 96 mm</t>
  </si>
  <si>
    <t>SF-00446</t>
  </si>
  <si>
    <t>Bucha para Gesso K 54</t>
  </si>
  <si>
    <t>SF-00447</t>
  </si>
  <si>
    <t>Alavanca curva com argola para basculante com cavalete – Direita ou Esquerda</t>
  </si>
  <si>
    <t>SF-00448</t>
  </si>
  <si>
    <t>Alavanca reta (chata) com argola para basculante com cavalete</t>
  </si>
  <si>
    <t>SF-00449</t>
  </si>
  <si>
    <t>Fecho maximar alavanca 100mm cromado</t>
  </si>
  <si>
    <t>SF-00450</t>
  </si>
  <si>
    <t>Gonzo com aba 1”</t>
  </si>
  <si>
    <t>SF-00451</t>
  </si>
  <si>
    <t>Gonzo com aba 3/4"</t>
  </si>
  <si>
    <t>SF-00452</t>
  </si>
  <si>
    <t>Gonzo com aba 7/8"</t>
  </si>
  <si>
    <t>SF-00453</t>
  </si>
  <si>
    <t>Gonzo sem aba 1"</t>
  </si>
  <si>
    <t>SF-00454</t>
  </si>
  <si>
    <t>Gonzo sem aba 3/4"</t>
  </si>
  <si>
    <t>SF-00455</t>
  </si>
  <si>
    <t>Gonzo sem aba 7/8"</t>
  </si>
  <si>
    <t>SF-00456</t>
  </si>
  <si>
    <t>Roldana em aço tipo Canal em (V) com eixo furado e 2 rolamentos (medidas: 2 1/2" x 50mm ou 2 1/2" x 70mm)</t>
  </si>
  <si>
    <t>SF-00457</t>
  </si>
  <si>
    <t>Roldana em aço tipo Canal em (V) com eixo furado e 2 rolamentos  (medidas: 3” x 50mm ou 3 1/2" x 50mm ou 3 1/2" x 70mm)</t>
  </si>
  <si>
    <t>SF-00458</t>
  </si>
  <si>
    <t>Mancal Pedestal</t>
  </si>
  <si>
    <t>SF-00459</t>
  </si>
  <si>
    <t>Rolamento rígido de esfera</t>
  </si>
  <si>
    <t>SF-00460</t>
  </si>
  <si>
    <t>Fixador trava porta de piso niquelado</t>
  </si>
  <si>
    <t>SF-00461</t>
  </si>
  <si>
    <t>Batedor de porta cilíndrico de 25 mm x 25 mm</t>
  </si>
  <si>
    <t>SF-00462</t>
  </si>
  <si>
    <t>Porta cadeado de 4 1/2"</t>
  </si>
  <si>
    <t>SF-00463</t>
  </si>
  <si>
    <t>Porta Cadeado de 4”</t>
  </si>
  <si>
    <t>SF-00464</t>
  </si>
  <si>
    <t>Suporte para mesa dobrável</t>
  </si>
  <si>
    <t>SF-00465</t>
  </si>
  <si>
    <t>Suporte universal fixo de parede para TV</t>
  </si>
  <si>
    <t>SF-00466</t>
  </si>
  <si>
    <t>Mola aérea hidráulica automática para portas</t>
  </si>
  <si>
    <t>Espuma Expansiva à base de poliuretano</t>
  </si>
  <si>
    <t>500 ml</t>
  </si>
  <si>
    <t>Adesivo de Contato à Base d’água</t>
  </si>
  <si>
    <t>SF-00469</t>
  </si>
  <si>
    <t>Adesivo de Contato de Alto Desempenho sem Toluol</t>
  </si>
  <si>
    <t>Laminado fenólico melamínico texturizado - Azul Noturno</t>
  </si>
  <si>
    <t>Laminado fenólico melamínico texturizado - Branco</t>
  </si>
  <si>
    <t>Laminado fenólico melamínico texturizado - Ovo</t>
  </si>
  <si>
    <t>SF-00473</t>
  </si>
  <si>
    <t>Lâmina de Madeira - Freijó</t>
  </si>
  <si>
    <t>SF-00474</t>
  </si>
  <si>
    <t>Lâmina de Madeira - Marfim</t>
  </si>
  <si>
    <t>SF-00475</t>
  </si>
  <si>
    <t>Lâmina de Madeira - Cerejeira</t>
  </si>
  <si>
    <t>SF-00476</t>
  </si>
  <si>
    <t>Compensado laminado comum - 04 mm</t>
  </si>
  <si>
    <t>SF-00477</t>
  </si>
  <si>
    <t>Compensado laminado comum - 06 mm</t>
  </si>
  <si>
    <t>SF-00478</t>
  </si>
  <si>
    <t>Compensado laminado comum - 10 mm</t>
  </si>
  <si>
    <t>SF-00479</t>
  </si>
  <si>
    <t>Compensado laminado comum - 15 mm</t>
  </si>
  <si>
    <t>SF-00480</t>
  </si>
  <si>
    <t>Compensado laminado comum - 20 mm</t>
  </si>
  <si>
    <t>SF-00481</t>
  </si>
  <si>
    <t>Compensado Laminado de cerejeira em uma face - 04 mm</t>
  </si>
  <si>
    <t>SF-00482</t>
  </si>
  <si>
    <t>Compensado Laminado de cerejeira em duas faces - 10 mm</t>
  </si>
  <si>
    <t>SF-00483</t>
  </si>
  <si>
    <t>Compensado Laminado de cerejeira em duas faces - 15 mm</t>
  </si>
  <si>
    <t>SF-00484</t>
  </si>
  <si>
    <t>Compensado Laminado de cerejeira em duas faces - 18 mm</t>
  </si>
  <si>
    <t>SF-00485</t>
  </si>
  <si>
    <t>Compensado Resinado – 10 mm</t>
  </si>
  <si>
    <t>SF-00486</t>
  </si>
  <si>
    <t>Tábua de madeira bruta certificada e aparelhada - Cedrinho</t>
  </si>
  <si>
    <t>SF-00487</t>
  </si>
  <si>
    <t>Tábua de madeira bruta certificada e aparelhada - Freijó</t>
  </si>
  <si>
    <t>SF-00488</t>
  </si>
  <si>
    <t>Tábua de madeira bruta certificada e aparelhada - Cedro</t>
  </si>
  <si>
    <t>Tábua de Madeira bruta aparelhada - Pinus</t>
  </si>
  <si>
    <t>Sarrafo De Madeira</t>
  </si>
  <si>
    <t>Caibro De Madeira</t>
  </si>
  <si>
    <t>SF-00492</t>
  </si>
  <si>
    <t>Pontalete De Madeira</t>
  </si>
  <si>
    <t>SF-00493</t>
  </si>
  <si>
    <t>Ripa De Madeira</t>
  </si>
  <si>
    <t>Painel de MDF Laminado – Branco - 06 mm</t>
  </si>
  <si>
    <t>SF-00495</t>
  </si>
  <si>
    <t>Painel de MDF Laminado – Ovo - 06 mm</t>
  </si>
  <si>
    <t>Painel de MDF Laminado - Branco - 15 mm</t>
  </si>
  <si>
    <t>SF-00497</t>
  </si>
  <si>
    <t>Painel de MDF Laminado – Ovo - 15 mm</t>
  </si>
  <si>
    <t>Painel de MDF Laminado – Branco - 18 mm</t>
  </si>
  <si>
    <t>SF-00499</t>
  </si>
  <si>
    <t>Painel de MDF Laminado – Ovo - 18 mm</t>
  </si>
  <si>
    <t>Cantoneira laminada em aço abas iguais 1" x 3/16"</t>
  </si>
  <si>
    <t>Cantoneira laminada em aço abas iguais 1"1/4 x 3/16"</t>
  </si>
  <si>
    <t>Cantoneira laminada em aço abas iguais 2” x 1/8”</t>
  </si>
  <si>
    <t>Cantoneira laminada em aço abas Iguais 2” x 3/16”</t>
  </si>
  <si>
    <t>Cantoneira laminada em aço abas Iguais 5/8” x 1/8”</t>
  </si>
  <si>
    <t>Chapa aço galvanizado # 16 (kg)</t>
  </si>
  <si>
    <t>Ferro chato 1"x1/8"</t>
  </si>
  <si>
    <t>Ferro chato 1"x3/16"</t>
  </si>
  <si>
    <t>Ferro chato  3/4"x1/4" ou 7/8"x1/4" ou 1” x 1/4”</t>
  </si>
  <si>
    <t>Ferro chato 3/4"x1/8"</t>
  </si>
  <si>
    <t>Ferro chato 3/4"x3/16"</t>
  </si>
  <si>
    <t>Ferro chato 5/8"x1/8"</t>
  </si>
  <si>
    <t>Ferro chato 5/8"x3/16"</t>
  </si>
  <si>
    <t>Ferro chato 7/8"x1/8"</t>
  </si>
  <si>
    <t>Ferro chato 7/8"x3/16"</t>
  </si>
  <si>
    <t>SF-00515</t>
  </si>
  <si>
    <t>Perfil trilho Stanley 60 mm x 55 mm, # 16</t>
  </si>
  <si>
    <t>SF-00516</t>
  </si>
  <si>
    <t>Perfil U Enrijecido 100 mm x 50 mm x 17 mm</t>
  </si>
  <si>
    <t>SF-00517</t>
  </si>
  <si>
    <t>Perfil Cadeirinha Fechada - 85 x 30 mm a 100 x 30 mm</t>
  </si>
  <si>
    <t>SF-00518</t>
  </si>
  <si>
    <t>Perfil Cadeirinha Fechada – 40 x 30 mm a 55 x 30 mm</t>
  </si>
  <si>
    <t>SF-00519</t>
  </si>
  <si>
    <t>Perfil Cadeirinha Aberta – 65 x 30 mm</t>
  </si>
  <si>
    <t>SF-00520</t>
  </si>
  <si>
    <t>Perfil Cadeirinha Aberta – 40 x 30 mm a 55 x 30 mm</t>
  </si>
  <si>
    <t>SF-00521</t>
  </si>
  <si>
    <t>Perfil Cadeirinha Fêmea – 40 x 30 mm</t>
  </si>
  <si>
    <t>SF-00522</t>
  </si>
  <si>
    <t>Perfil Cadeirinha Fechada Máximo Ar – 30 x 30 mm</t>
  </si>
  <si>
    <t>SF-00523</t>
  </si>
  <si>
    <t>Perfil Cadeirinha Engate – Direito ou Esquerdo</t>
  </si>
  <si>
    <t>SF-00524</t>
  </si>
  <si>
    <t>Perfil Cadeirinha Direito – 35 x 25 x 18 mm</t>
  </si>
  <si>
    <t>SF-00525</t>
  </si>
  <si>
    <t>Perfil Cadeirinha Direito – 60 x 25 mm a 60 x 30 mm</t>
  </si>
  <si>
    <t>SF-00526</t>
  </si>
  <si>
    <t>Perfil “T” dobrado Máximo Ar Abas Iguais – 50 x 30 mm a 60 x 30 mm</t>
  </si>
  <si>
    <t>SF-00527</t>
  </si>
  <si>
    <t>Perfil “T” dobrado Máximo Ar Abas Desiguais – 50 x 25 mm a 50 x 30 mm</t>
  </si>
  <si>
    <t>SF-00528</t>
  </si>
  <si>
    <t>Perfil Superior Máximo Ar – 48 x 30 mm</t>
  </si>
  <si>
    <t>SF-00529</t>
  </si>
  <si>
    <t>Perfil “T” Abas Iguais – 25 x 25 mm</t>
  </si>
  <si>
    <t>SF-00530</t>
  </si>
  <si>
    <t>Perfil “T” Dobrado – 75 x 30 mm</t>
  </si>
  <si>
    <t>SF-00531</t>
  </si>
  <si>
    <t>Perfil “T” Dobrado – 39 x 30 mm; 55 x 30 mm; 65 x 30 mm; ou 60 x 25 mm</t>
  </si>
  <si>
    <t>SF-00532</t>
  </si>
  <si>
    <t>Perfil “T” Dobrado – 39 x 25 mm</t>
  </si>
  <si>
    <t>SF-00533</t>
  </si>
  <si>
    <t>Perfil “T” Laminado – 1/8" x 7/8" x 6000 mm a 1/8" x 1" x 6000 mm</t>
  </si>
  <si>
    <t>SF-00534</t>
  </si>
  <si>
    <t>Perfil Marco Vincado – 140 x 32 mm</t>
  </si>
  <si>
    <t>SF-00535</t>
  </si>
  <si>
    <t>Perfil Acabamento - 140 x 15 mm</t>
  </si>
  <si>
    <t>SF-00536</t>
  </si>
  <si>
    <t>Perfil Trilho Superior Tipo “G” - 50 x 40 mm</t>
  </si>
  <si>
    <t>SF-00537</t>
  </si>
  <si>
    <t>Perfil Tampa Trilho “G”</t>
  </si>
  <si>
    <t>SF-00538</t>
  </si>
  <si>
    <t>Chapa Perfurada de Aço Carbono - 3000 x 1200 x 1,2 mm</t>
  </si>
  <si>
    <t>SF-00539</t>
  </si>
  <si>
    <t>Chapa de Aço Xadrez – 3000 x 1200 x 3 mm</t>
  </si>
  <si>
    <t>SF-00540</t>
  </si>
  <si>
    <t>Ferro Redondo – 1/2”</t>
  </si>
  <si>
    <t>SF-00541</t>
  </si>
  <si>
    <t>Ferro Redondo – 1/4"</t>
  </si>
  <si>
    <t>SF-00542</t>
  </si>
  <si>
    <t>Ferro Redondo – 3/8”</t>
  </si>
  <si>
    <t>SF-00543</t>
  </si>
  <si>
    <t>Ferro Quadrado – 1/2”</t>
  </si>
  <si>
    <t>SF-00544</t>
  </si>
  <si>
    <t>Ferro Quadrado – 1/4”</t>
  </si>
  <si>
    <t>SF-00545</t>
  </si>
  <si>
    <t>Ferro Quadrado – 3/8”</t>
  </si>
  <si>
    <t>SF-00546</t>
  </si>
  <si>
    <t>Ferro maciço 1 1/2”</t>
  </si>
  <si>
    <t>SF-00547</t>
  </si>
  <si>
    <t>Tubo Industrial Redondo – 1”</t>
  </si>
  <si>
    <t>SF-00548</t>
  </si>
  <si>
    <t>Tubo Industrial Redondo – 1 1/2”</t>
  </si>
  <si>
    <t>SF-00549</t>
  </si>
  <si>
    <t>Tubo Industrial Redondo - 1 1/4”</t>
  </si>
  <si>
    <t>SF-00550</t>
  </si>
  <si>
    <t>Tubo Industrial Redondo – 2”</t>
  </si>
  <si>
    <t>SF-00551</t>
  </si>
  <si>
    <t>Tubo quadrado em metalon - 16 mm x 16 mm a 20 mm x 20 mm - chapa 18</t>
  </si>
  <si>
    <t>SF-00552</t>
  </si>
  <si>
    <t>Tubo quadrado em metalon - 25 mm x 25 mm a 40 mm x 40 mm - chapa 18</t>
  </si>
  <si>
    <t>SF-00553</t>
  </si>
  <si>
    <t>Tubo quadrado em metalon - 50 mm x 50 mm - chapa 18</t>
  </si>
  <si>
    <t>SF-00554</t>
  </si>
  <si>
    <t>Tubo retangular em metalon - 30 mm x 20 mm - chapa 18</t>
  </si>
  <si>
    <t>SF-00555</t>
  </si>
  <si>
    <t>Tubo retangular em metalon - 40 mm x 20 mm a 50 mm x 30 mm - chapa 18</t>
  </si>
  <si>
    <t>SF-00556</t>
  </si>
  <si>
    <t>Concertina simples em aço galvanizado, lâminas de 22 mm x 15 mm, diâmetro 45 cm (rolo com 40 espiras)</t>
  </si>
  <si>
    <t>rolo</t>
  </si>
  <si>
    <t>Tela fabricada a partir de chapa de aço carbono, espessura 0,18 mm, malha 1" (tela para estuque)</t>
  </si>
  <si>
    <t>SF-00558</t>
  </si>
  <si>
    <t>Tela de arame de aço galvanizado, malha hexagonal 2", fio BWG 22 (tela galinheiro)</t>
  </si>
  <si>
    <t>Arame galvanizado, bitola 16 BWG (1,65 mm)</t>
  </si>
  <si>
    <t>SF-00560</t>
  </si>
  <si>
    <t>Arame galvanizado nº 20</t>
  </si>
  <si>
    <t>Tela de arame de aço galvanizado de simples torção (alambrado), malha 2", fio 12</t>
  </si>
  <si>
    <t>Massa Adesiva Plástica</t>
  </si>
  <si>
    <t>Argamassa Para Contrapiso</t>
  </si>
  <si>
    <t>40 kg</t>
  </si>
  <si>
    <t>Argamassa Múltiplo Uso</t>
  </si>
  <si>
    <t>Cimento Portland CP II E 32</t>
  </si>
  <si>
    <t>50 kg</t>
  </si>
  <si>
    <t>Argamassa Colante tipo AC-III</t>
  </si>
  <si>
    <t>20 kg</t>
  </si>
  <si>
    <t>Gesso Para Uso Geral</t>
  </si>
  <si>
    <t>Areia Média</t>
  </si>
  <si>
    <t>Brita Nº 0</t>
  </si>
  <si>
    <t>Brita Nº 1</t>
  </si>
  <si>
    <t>Bloco Cerâmico De 08 Furos</t>
  </si>
  <si>
    <t>Tijolo Maciço</t>
  </si>
  <si>
    <t>Bloco vazado de concreto simples com 02 furos (9x19x39 - Classe C)</t>
  </si>
  <si>
    <t>Bloco vazado de concreto simples tipo canaleta (19x19x39 - Classe C)</t>
  </si>
  <si>
    <t>Vergalhão Ca-60 Diâmetro 5,0 Mm</t>
  </si>
  <si>
    <t>Vergalhão Ca-50 Diâmetro 6,3 Mm</t>
  </si>
  <si>
    <t>Vergalhão Ca-50 Diâmetro 8,0 Mm</t>
  </si>
  <si>
    <t>Vergalhão Ca-50 Diâmetro 10,0 Mm</t>
  </si>
  <si>
    <t>Vergalhão Ca-50 Diâmetro 12,5 Mm</t>
  </si>
  <si>
    <t>Arame Recozido Nº 18</t>
  </si>
  <si>
    <t xml:space="preserve">Adesivo Estrutural Epóxi Bicomponente </t>
  </si>
  <si>
    <t>Adesivo Selante Poliuretano</t>
  </si>
  <si>
    <t>Selante de Silicone</t>
  </si>
  <si>
    <t>SF-00584</t>
  </si>
  <si>
    <t>Fita Asfáltica Autoadesiva (30 cm)</t>
  </si>
  <si>
    <t>SF-00585</t>
  </si>
  <si>
    <t>Fita Asfáltica Autoadesiva (45 cm)</t>
  </si>
  <si>
    <t>SF-00586</t>
  </si>
  <si>
    <t>Membrana Impermeabilizante De Alto Desempenho</t>
  </si>
  <si>
    <t>SF-00587</t>
  </si>
  <si>
    <t>Aditivo de Pega Ultrarrápida</t>
  </si>
  <si>
    <t>Aditivo Impermeabilizante</t>
  </si>
  <si>
    <t>SF-00589</t>
  </si>
  <si>
    <t>Aditivo Plastificante Para Argamassa</t>
  </si>
  <si>
    <t>SF-00590</t>
  </si>
  <si>
    <t>Fita adesiva antiderrapante na cor preta</t>
  </si>
  <si>
    <t>SF-00591</t>
  </si>
  <si>
    <t>Fita adesiva antiderrapante na cor preta com faixa fosforescente na cor branca</t>
  </si>
  <si>
    <t>Lona Plástica (e ≥ 200µ)</t>
  </si>
  <si>
    <t>SF-00593</t>
  </si>
  <si>
    <t>Tapa Furo Plástico</t>
  </si>
  <si>
    <t>SF-00594</t>
  </si>
  <si>
    <t>Arremate de Plástico - (Tampa para cabeça de parafuso)</t>
  </si>
  <si>
    <t>SF-00595</t>
  </si>
  <si>
    <t>Rebite de Aço Maciço – 1/4” x 1/2"</t>
  </si>
  <si>
    <t>SF-00596</t>
  </si>
  <si>
    <t>Rebite de Aço Maciço – 3/16” x 1”</t>
  </si>
  <si>
    <t>SF-00597</t>
  </si>
  <si>
    <t>Rebite de Aço Maciço – 3/16” x 1/2"</t>
  </si>
  <si>
    <t>SF-00598</t>
  </si>
  <si>
    <t>Arruela Lisa de  1/2”</t>
  </si>
  <si>
    <t>SF-00599</t>
  </si>
  <si>
    <t>Arruela Lisa de  3/4”</t>
  </si>
  <si>
    <t>SF-00600</t>
  </si>
  <si>
    <t>Arruela Lisa de  5/16”</t>
  </si>
  <si>
    <t>SF-00601</t>
  </si>
  <si>
    <t>Arruela Lisa de  1/4”</t>
  </si>
  <si>
    <t>SF-00602</t>
  </si>
  <si>
    <t>Bucha Plástica S5</t>
  </si>
  <si>
    <t>SF-00603</t>
  </si>
  <si>
    <t>Bucha Plástica S6</t>
  </si>
  <si>
    <t>SF-00604</t>
  </si>
  <si>
    <t>Bucha Plástica S8</t>
  </si>
  <si>
    <t>SF-00605</t>
  </si>
  <si>
    <t>Bucha Plástica S10</t>
  </si>
  <si>
    <t>SF-00606</t>
  </si>
  <si>
    <t>Bucha Plástica S12</t>
  </si>
  <si>
    <t>SF-00607</t>
  </si>
  <si>
    <t>Rebite de Repuxo de 32 x 10</t>
  </si>
  <si>
    <t>SF-00608</t>
  </si>
  <si>
    <t>Rebite de Repuxo de 40 x 12</t>
  </si>
  <si>
    <t>SF-00609</t>
  </si>
  <si>
    <t>Rebite de repuxo de 62 x 30 mm</t>
  </si>
  <si>
    <t>SF-00610</t>
  </si>
  <si>
    <t>Rebite de Repuxo de  3/16” x 30 mm</t>
  </si>
  <si>
    <t>SF-00611</t>
  </si>
  <si>
    <t>Rebite de Repuxo de  4.8 x 12 mm</t>
  </si>
  <si>
    <t>SF-00612</t>
  </si>
  <si>
    <t>Rebite de Repuxo de  4.8 x 25 mm</t>
  </si>
  <si>
    <t>SF-00613</t>
  </si>
  <si>
    <t>Rebite de Repuxo de  6.2 x 22 mm</t>
  </si>
  <si>
    <t>SF-00614</t>
  </si>
  <si>
    <t>Parafuso Phillips Cabeça Chata - 3.0 x 10 mm</t>
  </si>
  <si>
    <t>SF-00615</t>
  </si>
  <si>
    <t>Parafuso Phillips Cabeça Chata - 3.0 x 12 mm</t>
  </si>
  <si>
    <t>SF-00616</t>
  </si>
  <si>
    <t>Parafuso Philips Cabeça Chata - 3.0 x 16 mm</t>
  </si>
  <si>
    <t>SF-00617</t>
  </si>
  <si>
    <t>Parafuso Philips Cabeça Chata - 3.0 x 22 mm</t>
  </si>
  <si>
    <t>SF-00618</t>
  </si>
  <si>
    <t>Parafuso Philips Cabeça Chata - 3.0 x 25 mm</t>
  </si>
  <si>
    <t>SF-00619</t>
  </si>
  <si>
    <t>Parafuso Philips Cabeça Chata - 3.0 x 30 mm</t>
  </si>
  <si>
    <t>SF-00620</t>
  </si>
  <si>
    <t>Parafuso Philips Cabeça Chata - 3.5 x 14 mm</t>
  </si>
  <si>
    <t>SF-00621</t>
  </si>
  <si>
    <t>Parafuso Philips Cabeça Chata - 3.5 x 16 mm</t>
  </si>
  <si>
    <t>SF-00622</t>
  </si>
  <si>
    <t>Parafuso Philips Cabeça Chata - 3.5 x 20 mm</t>
  </si>
  <si>
    <t>SF-00623</t>
  </si>
  <si>
    <t>Parafuso Philips Cabeça Chata - 3.5 x 22  mm</t>
  </si>
  <si>
    <t>SF-00624</t>
  </si>
  <si>
    <t>Parafuso Philips Cabeça Chata - 3.5 x 25 mm</t>
  </si>
  <si>
    <t>SF-00625</t>
  </si>
  <si>
    <t>Parafuso Philips Cabeça Chata - 3.5 x 30 mm</t>
  </si>
  <si>
    <t>SF-00626</t>
  </si>
  <si>
    <t>Parafuso Philips Cabeça Chata - 3.5 x 35 mm</t>
  </si>
  <si>
    <t>SF-00627</t>
  </si>
  <si>
    <t>Parafuso Philips Cabeça Chata - 3.5 x 40 mm</t>
  </si>
  <si>
    <t>SF-00628</t>
  </si>
  <si>
    <t>Parafuso Phillips Cabeça Chata - 4.0 x 40 mm</t>
  </si>
  <si>
    <t>SF-00629</t>
  </si>
  <si>
    <t>Parafuso Phillips Cabeça Chata - 4.0 x 45 mm</t>
  </si>
  <si>
    <t>SF-00630</t>
  </si>
  <si>
    <t>Parafuso Phillips Cabeça Chata - 4.0 x 50 mm</t>
  </si>
  <si>
    <t>SF-00631</t>
  </si>
  <si>
    <t>Parafuso Phillips cabeça chata - 4.0 x 60 mm</t>
  </si>
  <si>
    <t>SF-00632</t>
  </si>
  <si>
    <t>Parafuso Philips Cabeça Chata - 4.0 x 30 mm</t>
  </si>
  <si>
    <t>SF-00633</t>
  </si>
  <si>
    <t>Parafuso Philips Cabeça Chata - 4.0 x 35 mm</t>
  </si>
  <si>
    <t>SF-00634</t>
  </si>
  <si>
    <t xml:space="preserve">Parafuso Philips Cabeça Chata - 5.0 x 60 mm </t>
  </si>
  <si>
    <t>SF-00635</t>
  </si>
  <si>
    <t>Parafuso Philips Cabeça Chata - 6.0 x 60 mm</t>
  </si>
  <si>
    <t>SF-00636</t>
  </si>
  <si>
    <t>Parafuso Philips Cabeça Chata - 6.0 x 65 mm</t>
  </si>
  <si>
    <t>SF-00637</t>
  </si>
  <si>
    <t>Porca Tipo Borboleta – 1/4”</t>
  </si>
  <si>
    <t>SF-00638</t>
  </si>
  <si>
    <t>Parafuso Philips Cabeça Oval - 4.0 x 16 mm</t>
  </si>
  <si>
    <t>SF-00639</t>
  </si>
  <si>
    <t>Parafuso Tipo Board</t>
  </si>
  <si>
    <t>SF-00640</t>
  </si>
  <si>
    <t>Cavilha de Madeira – 6 x 30 mm</t>
  </si>
  <si>
    <t>SF-00641</t>
  </si>
  <si>
    <t>Cavilha de Madeira – 8 x 40 mm</t>
  </si>
  <si>
    <t>SF-00642</t>
  </si>
  <si>
    <t>Cavilha de Madeira – 10 x 50 mm</t>
  </si>
  <si>
    <t>SF-00643</t>
  </si>
  <si>
    <t>Orelhinha para suporte de Vitrô</t>
  </si>
  <si>
    <t>SF-00644</t>
  </si>
  <si>
    <t>Prego 18X27</t>
  </si>
  <si>
    <t>SF-00645</t>
  </si>
  <si>
    <t>Ácidos</t>
  </si>
  <si>
    <t>SF-00646</t>
  </si>
  <si>
    <t>Aditivos químicos</t>
  </si>
  <si>
    <t>SF-00647</t>
  </si>
  <si>
    <t>Água destilada</t>
  </si>
  <si>
    <t>SF-00648</t>
  </si>
  <si>
    <t>Água sanitária</t>
  </si>
  <si>
    <t>SF-00649</t>
  </si>
  <si>
    <t>Álcoois</t>
  </si>
  <si>
    <t>SF-00650</t>
  </si>
  <si>
    <t>Botijões de gás inclusive p-13 com recargas</t>
  </si>
  <si>
    <t>SF-00651</t>
  </si>
  <si>
    <t>Cola branca</t>
  </si>
  <si>
    <t>SF-00652</t>
  </si>
  <si>
    <t>Desengraxantes</t>
  </si>
  <si>
    <t>SF-00653</t>
  </si>
  <si>
    <t>Desengripante</t>
  </si>
  <si>
    <t>SF-00654</t>
  </si>
  <si>
    <t>Detergentes</t>
  </si>
  <si>
    <t>SF-00655</t>
  </si>
  <si>
    <t>Eletrodos para solda</t>
  </si>
  <si>
    <t>SF-00656</t>
  </si>
  <si>
    <t>Espuma</t>
  </si>
  <si>
    <t>SF-00657</t>
  </si>
  <si>
    <t>Escovas para limpeza</t>
  </si>
  <si>
    <t>SF-00658</t>
  </si>
  <si>
    <t>Estopa</t>
  </si>
  <si>
    <t>SF-00659</t>
  </si>
  <si>
    <t>Fita de arquear</t>
  </si>
  <si>
    <t>SF-00660</t>
  </si>
  <si>
    <t>Fita teflon veda-rosca</t>
  </si>
  <si>
    <t>SF-00661</t>
  </si>
  <si>
    <t>Fita vinílica de proteção</t>
  </si>
  <si>
    <t>SF-00662</t>
  </si>
  <si>
    <t>Fitas adesivas</t>
  </si>
  <si>
    <t>SF-00663</t>
  </si>
  <si>
    <t>Fitas isolantes</t>
  </si>
  <si>
    <t>SF-00664</t>
  </si>
  <si>
    <t>Fluxo de solda</t>
  </si>
  <si>
    <t>SF-00665</t>
  </si>
  <si>
    <t>Fundo anticorrosivo</t>
  </si>
  <si>
    <t>SF-00666</t>
  </si>
  <si>
    <t>Gasolina</t>
  </si>
  <si>
    <t>SF-00667</t>
  </si>
  <si>
    <t>Graxas</t>
  </si>
  <si>
    <t>SF-00668</t>
  </si>
  <si>
    <t>Impermeabilizantes</t>
  </si>
  <si>
    <t>SF-00669</t>
  </si>
  <si>
    <t>Jogo de brocas para concreto</t>
  </si>
  <si>
    <t>SF-00670</t>
  </si>
  <si>
    <t>Jogo de brocas para madeira</t>
  </si>
  <si>
    <t>SF-00671</t>
  </si>
  <si>
    <t>Jogo de discos para polir e para lixar</t>
  </si>
  <si>
    <t>SF-00672</t>
  </si>
  <si>
    <t>Jogo de pontas e brocas para metal</t>
  </si>
  <si>
    <t>SF-00673</t>
  </si>
  <si>
    <t>Jogo de pontas para parafusadeira</t>
  </si>
  <si>
    <t>SF-00674</t>
  </si>
  <si>
    <t>Kit de brocas serra copos inclusive para metal</t>
  </si>
  <si>
    <t>SF-00675</t>
  </si>
  <si>
    <t>Lâminas de serra de arco</t>
  </si>
  <si>
    <t>SF-00676</t>
  </si>
  <si>
    <t>Lâminas de serra e de segueta</t>
  </si>
  <si>
    <t>SF-00677</t>
  </si>
  <si>
    <t>Lâminas de serra tico-tico</t>
  </si>
  <si>
    <t>SF-00678</t>
  </si>
  <si>
    <t>Limas chatas</t>
  </si>
  <si>
    <t>SF-00679</t>
  </si>
  <si>
    <t>Limas triangulares</t>
  </si>
  <si>
    <t>SF-00680</t>
  </si>
  <si>
    <t>Lixas</t>
  </si>
  <si>
    <t>Lona Plástica (e=100µ)</t>
  </si>
  <si>
    <t>SF-00682</t>
  </si>
  <si>
    <t>Lubrificantes</t>
  </si>
  <si>
    <t>SF-00683</t>
  </si>
  <si>
    <t>Materiais de escritório</t>
  </si>
  <si>
    <t>SF-00684</t>
  </si>
  <si>
    <t>Óleos</t>
  </si>
  <si>
    <t>SF-00685</t>
  </si>
  <si>
    <t>Palha de aço</t>
  </si>
  <si>
    <t>SF-00686</t>
  </si>
  <si>
    <t>Panos</t>
  </si>
  <si>
    <t>SF-00687</t>
  </si>
  <si>
    <t>Parafina</t>
  </si>
  <si>
    <t>SF-00688</t>
  </si>
  <si>
    <t>Pasta para solda</t>
  </si>
  <si>
    <t>SF-00689</t>
  </si>
  <si>
    <t>Pilhas e baterias</t>
  </si>
  <si>
    <t>SF-00690</t>
  </si>
  <si>
    <t>Pincéis</t>
  </si>
  <si>
    <t>SF-00691</t>
  </si>
  <si>
    <t>Pregos em tamanhos variados</t>
  </si>
  <si>
    <t>SF-00692</t>
  </si>
  <si>
    <t>Produtos antiferrugem</t>
  </si>
  <si>
    <t>SF-00693</t>
  </si>
  <si>
    <t>Querosene</t>
  </si>
  <si>
    <t>SF-00694</t>
  </si>
  <si>
    <t>Rebolos</t>
  </si>
  <si>
    <t>SF-00695</t>
  </si>
  <si>
    <t>Rebolos de esmeril retangular</t>
  </si>
  <si>
    <t>SF-00696</t>
  </si>
  <si>
    <t>Resinas</t>
  </si>
  <si>
    <t>SF-00697</t>
  </si>
  <si>
    <t>Sabão</t>
  </si>
  <si>
    <t>SF-00698</t>
  </si>
  <si>
    <t>Serra copo</t>
  </si>
  <si>
    <t>SF-00699</t>
  </si>
  <si>
    <t>Silicone</t>
  </si>
  <si>
    <t>SF-00700</t>
  </si>
  <si>
    <t>Soldas</t>
  </si>
  <si>
    <t>SF-00701</t>
  </si>
  <si>
    <t>Solventes</t>
  </si>
  <si>
    <t>SF-00702</t>
  </si>
  <si>
    <t>Utensílios e produtos para limpeza</t>
  </si>
  <si>
    <t>SF-00703</t>
  </si>
  <si>
    <t>Varetas soldadoras</t>
  </si>
  <si>
    <t>SF-00704</t>
  </si>
  <si>
    <t>Vaselina</t>
  </si>
  <si>
    <t>SF-00705</t>
  </si>
  <si>
    <t>Vedante em gel</t>
  </si>
  <si>
    <t>SF-00706</t>
  </si>
  <si>
    <t>Massa epóxi</t>
  </si>
  <si>
    <t>SF-00707</t>
  </si>
  <si>
    <t>Algodão</t>
  </si>
  <si>
    <t>Supervisor(a)-Geral</t>
  </si>
  <si>
    <t>Profissional</t>
  </si>
  <si>
    <t>Apoio Técnico Administrativo – Controle de Almoxarifado</t>
  </si>
  <si>
    <t>Ajudante de Serviços Gerais</t>
  </si>
  <si>
    <t>Ajudante de Marceneiro(a)</t>
  </si>
  <si>
    <t>Ajudante de Serralheiro(a)</t>
  </si>
  <si>
    <t>Lustrador(a) de Móveis</t>
  </si>
  <si>
    <t>Marceneiro(a)</t>
  </si>
  <si>
    <t>Serralheiro(a)</t>
  </si>
  <si>
    <t>Mestre de Obras (Posto de Trabalho)</t>
  </si>
  <si>
    <t>Oficial de Serviços Gerais</t>
  </si>
  <si>
    <t>Alicate de corte diagonal 6''</t>
  </si>
  <si>
    <t>SF-00719</t>
  </si>
  <si>
    <t>Alicate de pressão de 10”</t>
  </si>
  <si>
    <t>SF-00720</t>
  </si>
  <si>
    <t>Alicate meia cana 6”</t>
  </si>
  <si>
    <t>SF-00721</t>
  </si>
  <si>
    <t>Alicate torquês de 8"</t>
  </si>
  <si>
    <t>SF-00722</t>
  </si>
  <si>
    <t>Alicate universal de 8”</t>
  </si>
  <si>
    <t>SF-00723</t>
  </si>
  <si>
    <t>Arco de serra</t>
  </si>
  <si>
    <t>SF-00724</t>
  </si>
  <si>
    <t>Aspirador industrial para sólidos e líquidos</t>
  </si>
  <si>
    <t>SF-00725</t>
  </si>
  <si>
    <t>Balde metálico</t>
  </si>
  <si>
    <t>SF-00726</t>
  </si>
  <si>
    <t>Caixa para ferramenta sanfonada metálica com cadeado</t>
  </si>
  <si>
    <t>SF-00727</t>
  </si>
  <si>
    <t>Carretel com linha em caixa de pó para marcação</t>
  </si>
  <si>
    <t>Carrinho de mão reforçado</t>
  </si>
  <si>
    <t>SF-00729</t>
  </si>
  <si>
    <t>Cavadeira articulada</t>
  </si>
  <si>
    <t>SF-00730</t>
  </si>
  <si>
    <t>Chave de fenda de 1/2” x 10”</t>
  </si>
  <si>
    <t>SF-00731</t>
  </si>
  <si>
    <t>Chave de fenda de 1/4”</t>
  </si>
  <si>
    <t>SF-00732</t>
  </si>
  <si>
    <t>Chave de fenda de 3/16” x 5”</t>
  </si>
  <si>
    <t>SF-00733</t>
  </si>
  <si>
    <t>Chave Philips PH2 1/4” x 6”</t>
  </si>
  <si>
    <t>SF-00734</t>
  </si>
  <si>
    <t>Chave Philips PH3 5/16” x 8”</t>
  </si>
  <si>
    <t>SF-00735</t>
  </si>
  <si>
    <t>Compressor de ar</t>
  </si>
  <si>
    <t>SF-00736</t>
  </si>
  <si>
    <t>Enxadão com cabo</t>
  </si>
  <si>
    <t>Enxadão estreito com cabo</t>
  </si>
  <si>
    <t>SF-00738</t>
  </si>
  <si>
    <t>Escada duplo acesso 6 degraus</t>
  </si>
  <si>
    <t>SF-00739</t>
  </si>
  <si>
    <t>Escada tipo tesoura e singela de fibra com 2 m</t>
  </si>
  <si>
    <t>SF-00740</t>
  </si>
  <si>
    <t>Escala métrica de madeira 2 m</t>
  </si>
  <si>
    <t>SF-00741</t>
  </si>
  <si>
    <t>Esmerilhadeira Angular 4,5”</t>
  </si>
  <si>
    <t>SF-00742</t>
  </si>
  <si>
    <t>Esmerilhadeira Angular 7”</t>
  </si>
  <si>
    <t>SF-00743</t>
  </si>
  <si>
    <t>Espátula forjada de 12 cm</t>
  </si>
  <si>
    <t>SF-00744</t>
  </si>
  <si>
    <t>Espátula forjada de 4 cm</t>
  </si>
  <si>
    <t>Espátula forjada de 8 cm</t>
  </si>
  <si>
    <t>Esquadro 300 mm</t>
  </si>
  <si>
    <t>SF-00747</t>
  </si>
  <si>
    <t>Estilete emborrachado de 18 mm</t>
  </si>
  <si>
    <t>SF-00748</t>
  </si>
  <si>
    <t>Estilete emborrachado de 25 mm</t>
  </si>
  <si>
    <t>SF-00749</t>
  </si>
  <si>
    <t>Faca de 8”</t>
  </si>
  <si>
    <t>SF-00750</t>
  </si>
  <si>
    <t>Furadeira Industrial</t>
  </si>
  <si>
    <t>SF-00751</t>
  </si>
  <si>
    <t>Jogo de chave combinada de 8 mm a 24 mm, com 14 peças</t>
  </si>
  <si>
    <t>SF-00752</t>
  </si>
  <si>
    <t>Chave catraca de 1/2’’ com jogo de soquetes de 10 a 32 mm</t>
  </si>
  <si>
    <t>SF-00753</t>
  </si>
  <si>
    <t>Jogo de soquetes 1/4 métrico 10 soquetes</t>
  </si>
  <si>
    <t>SF-00754</t>
  </si>
  <si>
    <t>Kit Parafusadeira de Impacto à Bateria</t>
  </si>
  <si>
    <t>SF-00755</t>
  </si>
  <si>
    <t>Linha de pedreiro de 100 m</t>
  </si>
  <si>
    <t>SF-00756</t>
  </si>
  <si>
    <t>Marreta de 1 kg</t>
  </si>
  <si>
    <t>SF-00757</t>
  </si>
  <si>
    <t>Marreta de borracha de 600 g</t>
  </si>
  <si>
    <t>SF-00758</t>
  </si>
  <si>
    <t>Martelo de bola 500 g</t>
  </si>
  <si>
    <t>SF-00759</t>
  </si>
  <si>
    <t>Martelo de pena 300 g</t>
  </si>
  <si>
    <t>SF-00760</t>
  </si>
  <si>
    <t>Martelo tipo unha</t>
  </si>
  <si>
    <t>SF-00761</t>
  </si>
  <si>
    <t>Nível manual de alumínio com base magnética 350 mm</t>
  </si>
  <si>
    <t>SF-00762</t>
  </si>
  <si>
    <t>Nível manual de alumínio com base magnética 220 mm</t>
  </si>
  <si>
    <t>SF-00763</t>
  </si>
  <si>
    <t>Pá quadrada com 120 cm</t>
  </si>
  <si>
    <t>SF-00764</t>
  </si>
  <si>
    <t>Pedra de afiar dupla face</t>
  </si>
  <si>
    <t>SF-00765</t>
  </si>
  <si>
    <t>Peneira fina</t>
  </si>
  <si>
    <t>SF-00766</t>
  </si>
  <si>
    <t>Peneira grossa</t>
  </si>
  <si>
    <t>SF-00767</t>
  </si>
  <si>
    <t>Peneira média</t>
  </si>
  <si>
    <t>SF-00768</t>
  </si>
  <si>
    <t>Picareta</t>
  </si>
  <si>
    <t>Prumo de centro</t>
  </si>
  <si>
    <t>Prumo de parede</t>
  </si>
  <si>
    <t>SF-00771</t>
  </si>
  <si>
    <t>Rebitadeira manual</t>
  </si>
  <si>
    <t>Régua de alumínio para pedreiro com 2 m</t>
  </si>
  <si>
    <t>SF-00773</t>
  </si>
  <si>
    <t>Serrote 20"</t>
  </si>
  <si>
    <t>SF-00774</t>
  </si>
  <si>
    <t>Serrote de costa</t>
  </si>
  <si>
    <t>SF-00775</t>
  </si>
  <si>
    <t>Tesoura</t>
  </si>
  <si>
    <t>SF-00776</t>
  </si>
  <si>
    <t>Tesoura de chapas tipo aviação</t>
  </si>
  <si>
    <t>SF-00777</t>
  </si>
  <si>
    <t>Trena de 5 m</t>
  </si>
  <si>
    <t>SF-00778</t>
  </si>
  <si>
    <t>Desempenadeira 1800 x 200 mm</t>
  </si>
  <si>
    <t>SF-00779</t>
  </si>
  <si>
    <t>Formão de 1/2"</t>
  </si>
  <si>
    <t>SF-00780</t>
  </si>
  <si>
    <t>Formão de 1/4"</t>
  </si>
  <si>
    <t>SF-00781</t>
  </si>
  <si>
    <t>Formão de 3/4"</t>
  </si>
  <si>
    <t>SF-00782</t>
  </si>
  <si>
    <t>Grampeador para Molduras</t>
  </si>
  <si>
    <t>SF-00783</t>
  </si>
  <si>
    <t>Grampeador Uso Leve</t>
  </si>
  <si>
    <t>SF-00784</t>
  </si>
  <si>
    <t>Lixadeira de cinta</t>
  </si>
  <si>
    <t>SF-00785</t>
  </si>
  <si>
    <t>Lixadeira e politriz angular 7’’/9’’</t>
  </si>
  <si>
    <t>SF-00786</t>
  </si>
  <si>
    <t>Lixadeira Excêntrica</t>
  </si>
  <si>
    <t>SF-00787</t>
  </si>
  <si>
    <t>Lixadeira Fita</t>
  </si>
  <si>
    <t>SF-00788</t>
  </si>
  <si>
    <t>Lixadeira orbital</t>
  </si>
  <si>
    <t>SF-00789</t>
  </si>
  <si>
    <t>Pinador e Grampeador Pneumático</t>
  </si>
  <si>
    <t>SF-00790</t>
  </si>
  <si>
    <t>Plaina desempenadeira</t>
  </si>
  <si>
    <t>SF-00791</t>
  </si>
  <si>
    <t>Plaina desengrossadeira</t>
  </si>
  <si>
    <t>SF-00792</t>
  </si>
  <si>
    <t>Plaina elétrica</t>
  </si>
  <si>
    <t>SF-00793</t>
  </si>
  <si>
    <t>Plaina manual No. 5</t>
  </si>
  <si>
    <t>SF-00794</t>
  </si>
  <si>
    <t>Policorte 14’’ 2000 W</t>
  </si>
  <si>
    <t>SF-00795</t>
  </si>
  <si>
    <t>Raspador manual para madeira</t>
  </si>
  <si>
    <t>SF-00796</t>
  </si>
  <si>
    <t>Serra meia esquadria</t>
  </si>
  <si>
    <t>SF-00797</t>
  </si>
  <si>
    <t>Serra Meia Esquadria Radial</t>
  </si>
  <si>
    <t>SF-00798</t>
  </si>
  <si>
    <t>Serra tico-tico com controle de velocidade</t>
  </si>
  <si>
    <t>SF-00799</t>
  </si>
  <si>
    <t>Torno para Madeira com Copiador</t>
  </si>
  <si>
    <t>SF-00800</t>
  </si>
  <si>
    <t>Tupia de Coluna</t>
  </si>
  <si>
    <t>SF-00801</t>
  </si>
  <si>
    <t>Tupia de Laminação</t>
  </si>
  <si>
    <t>SF-00802</t>
  </si>
  <si>
    <t>Tupia Estacionária Refiladora de Borda Pinça</t>
  </si>
  <si>
    <t>SF-00803</t>
  </si>
  <si>
    <t>Calandra de chapas motorizada</t>
  </si>
  <si>
    <t>SF-00804</t>
  </si>
  <si>
    <t>Calandra de tubos e perfis motorizada</t>
  </si>
  <si>
    <t>SF-00805</t>
  </si>
  <si>
    <t>Conjunto de Solda Mig 250 A</t>
  </si>
  <si>
    <t>SF-00806</t>
  </si>
  <si>
    <t>Maçarico para gás GLP</t>
  </si>
  <si>
    <t>SF-00807</t>
  </si>
  <si>
    <t>Máquina de solda inversora AC/DC 200 A 220 V</t>
  </si>
  <si>
    <t>SF-00808</t>
  </si>
  <si>
    <t>Betoneira monofásica 400 L</t>
  </si>
  <si>
    <t>SF-00809</t>
  </si>
  <si>
    <t>Broxa Retangular</t>
  </si>
  <si>
    <t>SF-00810</t>
  </si>
  <si>
    <t>Caixa plástica para massas (masseira) 20 L</t>
  </si>
  <si>
    <t>SF-00811</t>
  </si>
  <si>
    <t>Colher de pedreiro 9”</t>
  </si>
  <si>
    <t>SF-00812</t>
  </si>
  <si>
    <t>Compactador de percussão elétrico monofásico 3 CV</t>
  </si>
  <si>
    <t>SF-00813</t>
  </si>
  <si>
    <t>Desempenadeira de aço dentada</t>
  </si>
  <si>
    <t>Desempenadeira de aço lisa</t>
  </si>
  <si>
    <t>Desempenadeira estriada em PVC 14 x 27 cm</t>
  </si>
  <si>
    <t>SF-00816</t>
  </si>
  <si>
    <t>Desempenadeira lisa em PVC 18 x 30 cm</t>
  </si>
  <si>
    <t>SF-00817</t>
  </si>
  <si>
    <t>Martelete demolidor 1,7 kW (12 kg)</t>
  </si>
  <si>
    <t>SF-00818</t>
  </si>
  <si>
    <t>Martelete demolidor 2 kW (30 kg)</t>
  </si>
  <si>
    <t>SF-00819</t>
  </si>
  <si>
    <t>Rolo lã de carneiro 23 cm com suporte</t>
  </si>
  <si>
    <t>SF-00820</t>
  </si>
  <si>
    <t>Trado perfurador para terra manual 25 cm</t>
  </si>
  <si>
    <t>SF-00821</t>
  </si>
  <si>
    <t>Plataforma elevatória de Trabalho Aéreo (PTA) articulada, com transporte</t>
  </si>
  <si>
    <t>dia</t>
  </si>
  <si>
    <t>SF-00822</t>
  </si>
  <si>
    <t>Relógio de ponto biométrico</t>
  </si>
  <si>
    <t>SF-00823</t>
  </si>
  <si>
    <t>Camisa polo manga curta com logotipo da empresa na frente e indicação da categoria profissional nas costas</t>
  </si>
  <si>
    <t>SF-00824</t>
  </si>
  <si>
    <t>Camisa polo manga longa com logotipo da empresa na frente e indicação da categoria profissional nas costas</t>
  </si>
  <si>
    <t>SF-00825</t>
  </si>
  <si>
    <t>Calça</t>
  </si>
  <si>
    <t>SF-00826</t>
  </si>
  <si>
    <t>Gorros com pala (boné) na mesma cor da camisa</t>
  </si>
  <si>
    <t>SF-00827</t>
  </si>
  <si>
    <t>Calçado isolante elétrico</t>
  </si>
  <si>
    <t>Bota de PVC (galocha cano alto)</t>
  </si>
  <si>
    <t>Capa de chuva</t>
  </si>
  <si>
    <t>SF-00830</t>
  </si>
  <si>
    <t>Capacete de segurança</t>
  </si>
  <si>
    <t>SF-00831</t>
  </si>
  <si>
    <t>Cinto de segurança tipo paraquedista cinco pontos</t>
  </si>
  <si>
    <t>SF-00832</t>
  </si>
  <si>
    <t>Lanterna profissional</t>
  </si>
  <si>
    <t>SF-00833</t>
  </si>
  <si>
    <t>Lanterna para capacete</t>
  </si>
  <si>
    <t>SF-00834</t>
  </si>
  <si>
    <t>Luva de borracha</t>
  </si>
  <si>
    <t>SF-00835</t>
  </si>
  <si>
    <t>Máscara de proteção respiratória com válvula e com película de carbono FFP2</t>
  </si>
  <si>
    <t>SF-00836</t>
  </si>
  <si>
    <t>Óculos de segurança</t>
  </si>
  <si>
    <t>SF-00837</t>
  </si>
  <si>
    <t>Protetor auricular de inserção</t>
  </si>
  <si>
    <t>SF-00838</t>
  </si>
  <si>
    <t>Protetor facial</t>
  </si>
  <si>
    <t>SF-00839</t>
  </si>
  <si>
    <t>Talabarte de posicionamento</t>
  </si>
  <si>
    <t>Talabarte em Y</t>
  </si>
  <si>
    <t>Trava-quedas deslizante para corda</t>
  </si>
  <si>
    <t>SF-00842</t>
  </si>
  <si>
    <t>Trava-quedas deslizante para cabo de aço</t>
  </si>
  <si>
    <t>SF-00843</t>
  </si>
  <si>
    <t>Uniforme Antichamas de Proteção Contra Arcos Elétricos</t>
  </si>
  <si>
    <t>Instalação de vidro (comum, temperado, aramado ou laminado) reaproveitado</t>
  </si>
  <si>
    <t>Vidro temperado incolor com 8mm de espessura</t>
  </si>
  <si>
    <t>Vidro liso comum transparente 5mm</t>
  </si>
  <si>
    <t>Corte / furo em vidro ou espelho reaproveitado</t>
  </si>
  <si>
    <t>Lapidação de vidro / espelho reaproveitado</t>
  </si>
  <si>
    <t>Vidro temperado incolor com 10 mm de espessura</t>
  </si>
  <si>
    <t>Bucha para pivô de dobradiça para vidro temperado</t>
  </si>
  <si>
    <t>Suporte para bandeira de vidro temperado, com ponto de giro para dobradiça</t>
  </si>
  <si>
    <t>Suporte de canto, simples, para vidro temperado</t>
  </si>
  <si>
    <t>Suporte de união, sem batedor, para dois ou três vidros temperados</t>
  </si>
  <si>
    <t>Botão de correção para vidro temperado</t>
  </si>
  <si>
    <t>Fechadura bico-de-papagaio, com furo, para vidro temperado</t>
  </si>
  <si>
    <t>Fechadura bico-de-papagaio, com furo, para janela de vidro temperado</t>
  </si>
  <si>
    <t>Fechadura para porta de abrir de vidro temperado</t>
  </si>
  <si>
    <t>Contra fechadura, para alvenaria, para porta com fechadura 1520/9520</t>
  </si>
  <si>
    <t>Contra fechadura de pressão para porta de vidro temperado</t>
  </si>
  <si>
    <t>Contra fechadura, com furo, para porta com furo</t>
  </si>
  <si>
    <t>Trinco inferior, com miolo, para porta de vidro temperado</t>
  </si>
  <si>
    <t>Mola hidráulica BTS 75R</t>
  </si>
  <si>
    <t>Puxador redondo, padrão em poliéster, para porta de vidro temperado</t>
  </si>
  <si>
    <t>Puxador em aço inox sob medida – Tipo A</t>
  </si>
  <si>
    <t>Dobradiça superior para porta de vidro temperado</t>
  </si>
  <si>
    <t>Perfil em alumínio, tipo U - abas iguais - PU 5/8" x 5/8" – espessura 1,58 mm</t>
  </si>
  <si>
    <t>Trilho superior em alumínio 60 mm x 49,5 mm, para vidro temperado</t>
  </si>
  <si>
    <t>Perfil em alumínio para acabamento de trilho superior</t>
  </si>
  <si>
    <t>Perfil guia inferior de alumínio 39,3 mm x 24 mm para vidro temperado 10 mm</t>
  </si>
  <si>
    <t>Capa do Perfil Guia Inferior “Click”</t>
  </si>
  <si>
    <t>Dobradiça inferior para porta de vidro temperado</t>
  </si>
  <si>
    <t>Escova de vedação para vidro temperado</t>
  </si>
  <si>
    <t>Roldana simples para porta de correr em vidro temperado</t>
  </si>
  <si>
    <t>Roldana dupla para porta de correr em vidro temperado</t>
  </si>
  <si>
    <t>Capuchinho para trinco para vidro temperado</t>
  </si>
  <si>
    <t>Facão simples para lateral e bandeira de vidro temperado</t>
  </si>
  <si>
    <t>Fechadura de pressão para porta de abrir em vidro temperado</t>
  </si>
  <si>
    <t>Suporte de união, com miolo, para vidro temperado</t>
  </si>
  <si>
    <t>Suporte para basculante e pivotante de vidro temperado</t>
  </si>
  <si>
    <t>Trinco central para basculante em vidro temperado</t>
  </si>
  <si>
    <t>Vidro laminado incolor de 8mm de espessura</t>
  </si>
  <si>
    <t>SF-00882</t>
  </si>
  <si>
    <t>Suporte tipo “Spiderglass” para vidro temperado</t>
  </si>
  <si>
    <t>Dobradiça automática vidro/alvenaria para box de vidro temperado</t>
  </si>
  <si>
    <t>Dobradiça horizontal para vidro basculante com trinco</t>
  </si>
  <si>
    <t>Dobradiça horizontal para vidro basculante</t>
  </si>
  <si>
    <t>Fechadura elétrica para porta de vidro temperado</t>
  </si>
  <si>
    <t>Porteiro eletrônico</t>
  </si>
  <si>
    <t>Acionador fixo</t>
  </si>
  <si>
    <t>Mini chapinha para trinco basculante</t>
  </si>
  <si>
    <t>Puxador metálico - diâmetro de 22 mm a 25 mm</t>
  </si>
  <si>
    <t>Trinco sem miolo para vidro temperado</t>
  </si>
  <si>
    <t>Tubo de alumínio quadrado 50 mm x 50 mm</t>
  </si>
  <si>
    <t>Veda fresta adesivo “E” branco</t>
  </si>
  <si>
    <t>Perfil tipo Vedapress (veda poeira) em alumínio, para vidros de 10 mm</t>
  </si>
  <si>
    <t>Regulagem de ferragens</t>
  </si>
  <si>
    <t>Vidro fumê / bronze temperado 10 mm</t>
  </si>
  <si>
    <t>Puxador em aço inox sob medida – Tipo B</t>
  </si>
  <si>
    <t>Armação de aço CA-50 bitolas de 5,0 mm a 8,00 mm</t>
  </si>
  <si>
    <t>Pivô para dobradiça inferior (Montagem com a 1103-TQ)</t>
  </si>
  <si>
    <t>Dobradiça direita inferior excêntrica</t>
  </si>
  <si>
    <t>Dobradiça esquerda inferior excêntrica</t>
  </si>
  <si>
    <t>Dobradiça pivotante inferior com trinco</t>
  </si>
  <si>
    <t>Carrinho para porta de correr 1 roldana e 2 furos</t>
  </si>
  <si>
    <t>Carrinho para porta de correr 2 roldanas e 2 furos</t>
  </si>
  <si>
    <t>Carrinho para porta de correr com roldana côncava</t>
  </si>
  <si>
    <t>Guia de nylon para porta de correr</t>
  </si>
  <si>
    <t>Puxador H tubular em aço inox, comprimento 45 cm, para portas de vidro temperado</t>
  </si>
  <si>
    <t>Transporte manual de vidros reaproveitáveis</t>
  </si>
  <si>
    <t>m2 x km</t>
  </si>
  <si>
    <t>Vidro fantasia 4 mm (canelado, martelado, pontilhado e mini-boreal)</t>
  </si>
  <si>
    <t>Vidro fumê/bronze 5 mm</t>
  </si>
  <si>
    <t>Massa para calafetar vidro em esquadria metálica sem remoção do vidro - Aplicação/Substituição</t>
  </si>
  <si>
    <t>Instalação de espelho reaproveitado</t>
  </si>
  <si>
    <t>Finesson (parafuso de fixação francês)</t>
  </si>
  <si>
    <t>Graute industrializado, 50 MPa ≤ fck ≤ 60 MPa</t>
  </si>
  <si>
    <t>Armação de aço CA-50 bitolas de 10,0 mm a 12,5 mm</t>
  </si>
  <si>
    <t>Armação de aço CA-50 bitolas de 16,0 mm a 25,0 mm</t>
  </si>
  <si>
    <t>Remoção de mola hidráulica de piso</t>
  </si>
  <si>
    <t>Escavação manual de valas</t>
  </si>
  <si>
    <t>Reaterro de vala com compactação mecanizada</t>
  </si>
  <si>
    <t>Aterro manual de vala com compactação mecanizada</t>
  </si>
  <si>
    <t>Tubo de cobre classe "E" 22 mm</t>
  </si>
  <si>
    <t>Tubo de cobre classe "E" 28 mm</t>
  </si>
  <si>
    <t>Tubo de cobre classe "E" 42 mm</t>
  </si>
  <si>
    <t>Bacia conforto (h=44 cm) – Linha Acessibilidade</t>
  </si>
  <si>
    <t>Assento para bacia convencional - Linha Acessibilidade</t>
  </si>
  <si>
    <t xml:space="preserve">Base registro gaveta em latão forjado 1 1/2” </t>
  </si>
  <si>
    <t xml:space="preserve">Condutor 25 mm² </t>
  </si>
  <si>
    <t xml:space="preserve">Condutor 35 mm² </t>
  </si>
  <si>
    <t xml:space="preserve">Condutor 50 mm² </t>
  </si>
  <si>
    <t xml:space="preserve">Condutor 70 mm² </t>
  </si>
  <si>
    <t xml:space="preserve">Condutor 95 mm² </t>
  </si>
  <si>
    <t xml:space="preserve">Condutor 120 mm² </t>
  </si>
  <si>
    <t xml:space="preserve">Condutor 150 mm² </t>
  </si>
  <si>
    <t xml:space="preserve">Condutor 185 mm² </t>
  </si>
  <si>
    <t xml:space="preserve">Condutor 240 mm² </t>
  </si>
  <si>
    <t>Montagem e desmontagem de andaime fachadeiro</t>
  </si>
  <si>
    <t>Montagem e desmontagem de andaime tubular</t>
  </si>
  <si>
    <t>SF-00939</t>
  </si>
  <si>
    <t>Tensor com indicador de tensão para linha de vida</t>
  </si>
  <si>
    <t>Tela de proteção para andaime</t>
  </si>
  <si>
    <t>SF-00941</t>
  </si>
  <si>
    <t>Plataforma elevatória de Trabalho Aéreo (PTA) tipo tesoura, com transporte</t>
  </si>
  <si>
    <t>Remoção de folha de porta de enrolar</t>
  </si>
  <si>
    <t>Base registro gaveta em latão forjado 1”</t>
  </si>
  <si>
    <t>Base registro de pressão em latão forjado 3/4"</t>
  </si>
  <si>
    <t>SF-00945</t>
  </si>
  <si>
    <t>Porta para box de banheiro em laminado estrutural</t>
  </si>
  <si>
    <t>Tampa em ferro fundido T33</t>
  </si>
  <si>
    <t>Arquiteto(a) com experiência em intervenção no patrimônio cultural</t>
  </si>
  <si>
    <t xml:space="preserve"> Locação de andaime suspenso tipo leve (balancim manual), plataforma de 1,50 m x 0,90 m</t>
  </si>
  <si>
    <t>un x mês</t>
  </si>
  <si>
    <t>SF-00949</t>
  </si>
  <si>
    <t>Cadeira suspensa (balancim individual)</t>
  </si>
  <si>
    <t>Limpeza de superfície por hidrojateamento de média pressão</t>
  </si>
  <si>
    <t>Inspeção da integridade e adesão de placas de rocha ornamental por percussão</t>
  </si>
  <si>
    <t>Demolição de proteção mecânica de impermeabilização</t>
  </si>
  <si>
    <t>Impermeabilização flexível com membrana de emulsão asfáltica elastomérica (manta líquida)</t>
  </si>
  <si>
    <t>Camada de proteção mecânica simples de impermeabilização</t>
  </si>
  <si>
    <t>Camada de proteção mecânica estruturada de impermeabilização</t>
  </si>
  <si>
    <t>Remoção de placas  de mármore encaixadas por fixadores metálicos (modelo Ed. Principal)</t>
  </si>
  <si>
    <t>Remoção de placas de rocha ornamental argamassada, para reaproveitamento</t>
  </si>
  <si>
    <t>Identificação e acondicionamento de placas de rocha ornamental</t>
  </si>
  <si>
    <t>Limpeza de placas de rocha ornamental argamassada, para reaproveitamento</t>
  </si>
  <si>
    <t>Remoção e acondicionamento de fixadores metálicos para placas de mármore em fachada (modelo Ed. Principal)</t>
  </si>
  <si>
    <t>Instalação de fixadores metálicos para placas de mármore em fachada reaproveitados (modelo Ed. Principal)</t>
  </si>
  <si>
    <t>Fixadores metálicos para rochas ornamentais (tipo Ed. Principal, peça superior)</t>
  </si>
  <si>
    <t>Fixadores metálicos para rochas ornamentais, sob medida</t>
  </si>
  <si>
    <t>Mármore Branco Especial 20 mm argamassado (Ed. Principal e Anexo 1)</t>
  </si>
  <si>
    <t>Mármore Branco Especial 20 mm com inserts e argamassa (Ed. Principal e Anexo 1)</t>
  </si>
  <si>
    <t>Mármore Branco Especial 30 mm argamassado (Ed. Principal e Anexo 1)</t>
  </si>
  <si>
    <t>Mármore Branco Especial 30 mm com inserts e argamassa (Ed. Principal e Anexo 1)</t>
  </si>
  <si>
    <t>Mármore branco especial, e = 30 mm, instalação em fixadores metálicos existentes (modelo Edifício Principal)</t>
  </si>
  <si>
    <t>Instalação de placas de mármore 30 mm reaproveitadas em fixadores metálicos existentes (modelo Edifício Principal)</t>
  </si>
  <si>
    <t>Instalação de placas de rocha ornamental reaproveitadas, por meio de argamassa</t>
  </si>
  <si>
    <t>Instalação de placas de rocha ornamental reaproveitadas, por meio de argamassa e fixadores metálicos</t>
  </si>
  <si>
    <t>Aplicação de hidrofugante à base de silano e silicone</t>
  </si>
  <si>
    <t>Cantoneira em alumínio abas iguais 1" x 1/8" – Pingadeira “L”</t>
  </si>
  <si>
    <t>Granito Amarelo Maracujá para rodapé</t>
  </si>
  <si>
    <t>Acabamento das extremidades aparentes dos parafusos de fixação (lixamento e rejuntamento)</t>
  </si>
  <si>
    <t>Rejuntamento de placas de rocha ornamental em fachada</t>
  </si>
  <si>
    <t>Selagem de juntas de movimentação não estruturais</t>
  </si>
  <si>
    <t>Adesivo Selante Poliuretano - Aplicação/Substituição</t>
  </si>
  <si>
    <t>SF-00979</t>
  </si>
  <si>
    <t>Esquadria para fachada do Bloco 14</t>
  </si>
  <si>
    <t>Chuveiro elétrico 5.500 W</t>
  </si>
  <si>
    <t>Lastro em concreto magro</t>
  </si>
  <si>
    <t>Pavimentação em concreto armado simples</t>
  </si>
  <si>
    <t>Remoção de reservatório d’água</t>
  </si>
  <si>
    <t>Transporte por caminhão e destinação final de entulho para distâncias até 30 km</t>
  </si>
  <si>
    <t>m3 x km</t>
  </si>
  <si>
    <t>SF-00985</t>
  </si>
  <si>
    <t>Locação de Caminhão Munck</t>
  </si>
  <si>
    <t>Demolição de estrutura metálica</t>
  </si>
  <si>
    <t>Escavação manual com profundidade maior do que 1,30 m</t>
  </si>
  <si>
    <t>Escavação mecânica com profundidade maior do que 1,30 m</t>
  </si>
  <si>
    <t>Grama Batatais em placas de 40 x 40 cm</t>
  </si>
  <si>
    <t>Pintura de meios-fios com tinta látex acrílica</t>
  </si>
  <si>
    <t>Instalação/Substituição de Meios-fios em concreto pré-moldado</t>
  </si>
  <si>
    <t>Tubo PEAD corrugado para drenagem – Diâmetro 100 mm</t>
  </si>
  <si>
    <t>SF-00993</t>
  </si>
  <si>
    <t xml:space="preserve">Carpete aveludado azul royal </t>
  </si>
  <si>
    <t>Fixadores metálicos para rochas ornamentais (Modelo Edifício Principal, peça inferior)</t>
  </si>
  <si>
    <t>SF-00995</t>
  </si>
  <si>
    <t>Montagem e desmontagem de andaime suspenso tipo leve (balancim)</t>
  </si>
  <si>
    <t>SF-00996</t>
  </si>
  <si>
    <t>Deslocamento de andaime suspenso tipo leve (balancim)</t>
  </si>
  <si>
    <t>SF-00997</t>
  </si>
  <si>
    <t>Plataforma elevatória vertical para acessibilidade - Bloco 15 (Espaço do Servidor)</t>
  </si>
  <si>
    <t>SF-00998</t>
  </si>
  <si>
    <t>Linha de vida horizontal em trilho</t>
  </si>
  <si>
    <t>pavimento</t>
  </si>
  <si>
    <t>SF-00999</t>
  </si>
  <si>
    <t>Trava quedas retrátil</t>
  </si>
  <si>
    <t>SF-01000</t>
  </si>
  <si>
    <t>Corda de poliéster 8 mm</t>
  </si>
  <si>
    <t>Locação de Container - Escritório</t>
  </si>
  <si>
    <t>SF-01002</t>
  </si>
  <si>
    <t>Dobradiça Piano</t>
  </si>
  <si>
    <t>SF-01003</t>
  </si>
  <si>
    <t>Compensado Laminado de Canela em uma face - 04 mm</t>
  </si>
  <si>
    <t>SF-01004</t>
  </si>
  <si>
    <t>Compensado Laminado de Imbuia em duas faces - 10 mm</t>
  </si>
  <si>
    <t>SF-01005</t>
  </si>
  <si>
    <t>Compensado Laminado de Freijó em uma face - 04 mm</t>
  </si>
  <si>
    <t>SF-01006</t>
  </si>
  <si>
    <t>Compensado Laminado de Freijó em duas faces - 10 mm</t>
  </si>
  <si>
    <t>SF-01007</t>
  </si>
  <si>
    <t>Painel de MDF Laminado – Ovo - 25 mm</t>
  </si>
  <si>
    <t>SF-01008</t>
  </si>
  <si>
    <t>Rodízio Giratório sem Freio - 2"</t>
  </si>
  <si>
    <t>SF-01009</t>
  </si>
  <si>
    <t>Estrutura metálica em aço – Bloco 19 (Centro de Treinamento)</t>
  </si>
  <si>
    <t>SF-01010</t>
  </si>
  <si>
    <t>Mão francesa metálica</t>
  </si>
  <si>
    <t>Abertura/fechamento de rasgo em concreto</t>
  </si>
  <si>
    <t>Rejunte cimentício flexível - Aplicação/Substituição</t>
  </si>
  <si>
    <t>Impermeabilização de revestimentos em pedra</t>
  </si>
  <si>
    <t>Piso vinílico semiflexível</t>
  </si>
  <si>
    <t>SF-01015</t>
  </si>
  <si>
    <t>Porta metálica de giro com dimensões 0,92 x 2,20 m</t>
  </si>
  <si>
    <t>SF-01016</t>
  </si>
  <si>
    <t>Porta metálica de giro com dimensões 0,92 x 2,35 m</t>
  </si>
  <si>
    <t>SF-01017</t>
  </si>
  <si>
    <t>Esquadria metálica de 4 folhas fixas com dimensões de 5,30 x 1,00 m – Bloco 19 (Centro de Treinamento)</t>
  </si>
  <si>
    <t>SF-01018</t>
  </si>
  <si>
    <t>Esquadria metálica de 3 folhas, sendo 2 folhas fixas e 1 de correr com dimensões de 4,10 x 1,15 m – Bloco 19 (Centro de Treinamento)</t>
  </si>
  <si>
    <t>SF-01019</t>
  </si>
  <si>
    <t>Esquadria metálica de 4 folhas, sendo 2 folhas fixas e 2 folhas de correr, com dimensões total de 5,15 x 1,00 m  – Bloco 19 (Centro de Treinamento)</t>
  </si>
  <si>
    <t>SF-01020</t>
  </si>
  <si>
    <t>Esquadria metálica de 4 folhas, sendo 2 fixas e 2 de correr dimensões de 5,30 x 1,15 m – Bloco 19 (Centro de Treinamento)</t>
  </si>
  <si>
    <t>SF-01021</t>
  </si>
  <si>
    <t>Esquadria metálica de 2 folhas basculante com dimensões de 2,31 x 0,45 m – Bloco 19 (Centro de Treinamento)</t>
  </si>
  <si>
    <t>SF-01022</t>
  </si>
  <si>
    <t>Perfil Veneziana Enrijecido 70 x 19 mm</t>
  </si>
  <si>
    <t>SF-01023</t>
  </si>
  <si>
    <t>Perfil U Enrijecido 150 mm x 40 mm x 15 mm</t>
  </si>
  <si>
    <t>SF-01024</t>
  </si>
  <si>
    <t>Perfil Trilho Peitoril - 150 mm</t>
  </si>
  <si>
    <t>SF-01025</t>
  </si>
  <si>
    <t>Perfil Marco Reto - 150 x 32 mm</t>
  </si>
  <si>
    <t>SF-01026</t>
  </si>
  <si>
    <t>Perfil Cadeirinha Fechada – 60 x 30 mm</t>
  </si>
  <si>
    <t>SF-01027</t>
  </si>
  <si>
    <t>Perfil Cadeirinha Fechada – 50 x 35 mm</t>
  </si>
  <si>
    <t>SF-01028</t>
  </si>
  <si>
    <t>Perfil Cadeirinha Fechada – 30 x 25 mm</t>
  </si>
  <si>
    <t>Locação de Container - Sanitário</t>
  </si>
  <si>
    <t>Locação de Container - Almoxarifado</t>
  </si>
  <si>
    <t>Placa de Obra</t>
  </si>
  <si>
    <t>Supervisor(a) de Obras e Manutenção – Apoio a Projetos de Obras – Arquitetura, civil e hidrossanitária</t>
  </si>
  <si>
    <t>Supervisor de Obras e Manutenção - Apoio a Projetos e Obras - Eletromecânico</t>
  </si>
  <si>
    <t>Supervisor de Obras e Manutenção – Apoio a projetos e obras - Orçamentos</t>
  </si>
  <si>
    <t>Supervisor(a) de Obras e Manutenção – Apoio de Campo – Mecânica e Eletromecânica</t>
  </si>
  <si>
    <t>Supervisor(a) de Obras e Manutenção – Apoio de Campo – Eletrotécnica e Automação</t>
  </si>
  <si>
    <t>Supervisor de Obras e Manutenção – Apoio de campo - Eletrotécnico</t>
  </si>
  <si>
    <t>Supervisor de Obras e Manutenção – Apoio de Campo - Obras Civis</t>
  </si>
  <si>
    <t>Supervisor de Obras e Manutenção – Apoio de Campo - Hidrossanitário</t>
  </si>
  <si>
    <t>Supervisor de Obras e Manutenção – Apoio a Projetos e Obras – Planejamento</t>
  </si>
  <si>
    <t>Supervisor(a) de Obras e Manutenção – Apoio de Campo – Segurança do Trabalho</t>
  </si>
  <si>
    <t>SF-01042</t>
  </si>
  <si>
    <t>Máquina fotográfica digital</t>
  </si>
  <si>
    <t>SF-01043</t>
  </si>
  <si>
    <t>Trena de 100 m</t>
  </si>
  <si>
    <t>SF-01044</t>
  </si>
  <si>
    <t>Paquímetro digital</t>
  </si>
  <si>
    <t>SF-01045</t>
  </si>
  <si>
    <t>Nível laser</t>
  </si>
  <si>
    <t>SF-01046</t>
  </si>
  <si>
    <t>Trena Laser (curto alcance)</t>
  </si>
  <si>
    <t>SF-01047</t>
  </si>
  <si>
    <t>Trena Laser (longo alcance)</t>
  </si>
  <si>
    <t>SF-01048</t>
  </si>
  <si>
    <t>Tripé para trena laser</t>
  </si>
  <si>
    <t>SF-01049</t>
  </si>
  <si>
    <t>Suporte universal para trena laser</t>
  </si>
  <si>
    <t>SF-01050</t>
  </si>
  <si>
    <t>Detector de 4 gases</t>
  </si>
  <si>
    <t>SF-01051</t>
  </si>
  <si>
    <t>Prancheta portátil A3</t>
  </si>
  <si>
    <t>SF-01052</t>
  </si>
  <si>
    <t>Luva isolante</t>
  </si>
  <si>
    <t>Reparo de placas de mármore com adesivo estrutural epóxi branco/transparente</t>
  </si>
  <si>
    <t>cm3</t>
  </si>
  <si>
    <t>Perfil de chapa de aço galvanizado para esquadria (Anexo 1)</t>
  </si>
  <si>
    <t>SF-01055</t>
  </si>
  <si>
    <t>Laudo de estabilidade estrutural - Bloco 15 (Espaço do Servidor)</t>
  </si>
  <si>
    <t>SF-01056</t>
  </si>
  <si>
    <t>Projeto de adaptação/modificação/reforço da estrutura e suas fundações para os novos usos - Bloco 15 (Espaço do Servidor)</t>
  </si>
  <si>
    <t>SF-01057</t>
  </si>
  <si>
    <t>Estrutura metálica em aço para o Bloco 15 (Espaço do Servidor)</t>
  </si>
  <si>
    <t>SF-01058</t>
  </si>
  <si>
    <t>Projeto de distribuição de gás GLP</t>
  </si>
  <si>
    <t>Granito Vermelho Brasília 20 mm para bancadas</t>
  </si>
  <si>
    <t>Porta em alumínio tipo veneziana</t>
  </si>
  <si>
    <t>Janela em alumínio</t>
  </si>
  <si>
    <t>Porta metálica de enrolar</t>
  </si>
  <si>
    <t>Medidor de Gás</t>
  </si>
  <si>
    <t>Registro Esfera para Gás 3/4”</t>
  </si>
  <si>
    <t>Placa de Concreto Pré-Moldado 15 Mpa</t>
  </si>
  <si>
    <t>Eletroduto PEAD 3”</t>
  </si>
  <si>
    <t>SF-01067</t>
  </si>
  <si>
    <t>Caixa de Proteção para Alimentação de Gás</t>
  </si>
  <si>
    <t xml:space="preserve">Eletroduto de aço galvanizado de 3” </t>
  </si>
  <si>
    <t>Grelha e porta-grelha retangular em ferro fundido</t>
  </si>
  <si>
    <t>Granito Vermelho Brasília para soleira e peitoril</t>
  </si>
  <si>
    <t>Luminária LED redonda de embutir</t>
  </si>
  <si>
    <t>Piso tátil de borracha</t>
  </si>
  <si>
    <t>Granito Vermelho Brasília 20 mm para divisória</t>
  </si>
  <si>
    <t>Tampa em ferro fundido 20x20 cm</t>
  </si>
  <si>
    <t>SF-01075</t>
  </si>
  <si>
    <t>Sondagem</t>
  </si>
  <si>
    <t>Cerâmica para revestimento de superfícies internas ou externas – Linha GAIL</t>
  </si>
  <si>
    <t>Aterro de vala com areia média e compactação mecanizada</t>
  </si>
  <si>
    <t>Guarda-corpo panorâmico</t>
  </si>
  <si>
    <t>SF-01079</t>
  </si>
  <si>
    <t>Divisória Naval com painel liso cego e bandeira</t>
  </si>
  <si>
    <t>Perfil “U” em aço 25 mm x 25 mm</t>
  </si>
  <si>
    <t>SF-01081</t>
  </si>
  <si>
    <t>Tubo retangular em aço 100 mm x 50 mm</t>
  </si>
  <si>
    <t>Alimentação para mão-de-obra indireta</t>
  </si>
  <si>
    <t>h</t>
  </si>
  <si>
    <t>Transporte para mão-de-obra indireta</t>
  </si>
  <si>
    <t>SF-01084</t>
  </si>
  <si>
    <t>Transporte de andaime</t>
  </si>
  <si>
    <t>SF-01085</t>
  </si>
  <si>
    <t>Transporte (mobilização ou desmobilização) de Container</t>
  </si>
  <si>
    <t>SF-01086</t>
  </si>
  <si>
    <t>Coifa Convencional Tipo Caixa para Cozinha Industrial - Bloco 15 (Espaço do Servidor)</t>
  </si>
  <si>
    <t>SF-01087</t>
  </si>
  <si>
    <t>Puxador com fecho embutido (punho) para janela metálica</t>
  </si>
  <si>
    <t>Cotovelo de cobre de 1 3/8”</t>
  </si>
  <si>
    <t>Cotovelo de cobre de 1 5/8”</t>
  </si>
  <si>
    <t>Cotovelo de cobre de 7/8”</t>
  </si>
  <si>
    <t>SF-01091</t>
  </si>
  <si>
    <t>Painel metálico para retorno</t>
  </si>
  <si>
    <t>Luva de cobre de 1 3/8”</t>
  </si>
  <si>
    <t>Luva de cobre de 1 5/8”</t>
  </si>
  <si>
    <t>Luva de cobre de 7/8”</t>
  </si>
  <si>
    <t>Ar-condicionado “splitão” 49 kW</t>
  </si>
  <si>
    <t>Ar-condicionado “splitão” 64 kW.</t>
  </si>
  <si>
    <t>Tubo de cobre de 1 3/8”</t>
  </si>
  <si>
    <t>Tubo de cobre de 1 5/8”</t>
  </si>
  <si>
    <t>SF-01099</t>
  </si>
  <si>
    <t>Porta metálica dupla de giro com dimensões 2,00 x 2,12m</t>
  </si>
  <si>
    <t>SF-01100</t>
  </si>
  <si>
    <t>Conjunto de porta metálica de giro com dimensões 0,80 x 2,10m e painel fixo</t>
  </si>
  <si>
    <t>Eletroduto flexível metálico com capa de PVC 1 1/2"</t>
  </si>
  <si>
    <t>Técnico(a) em Edificações - Planejamento de Manutenção</t>
  </si>
  <si>
    <t>SF-01103</t>
  </si>
  <si>
    <t>Locação de Retroescavadeira com Pá Carregadeira sobre Rodas, com operador e transporte</t>
  </si>
  <si>
    <t>Projeto de Impermeabilização</t>
  </si>
  <si>
    <t>Laminado decorativo de alta pressão (LDAP)</t>
  </si>
  <si>
    <t>Granito Preto Absoluto para revestimento de superfícies internas e externas – Linha Administrativa</t>
  </si>
  <si>
    <t>Granito Arabesco para revestimento de superfícies internas e externas – Linha Administrativa</t>
  </si>
  <si>
    <t>Porcelanato Esmaltado para revestimento de superfícies internas e externas – Linha Residencial</t>
  </si>
  <si>
    <t>Granitina para revestimento de pisos</t>
  </si>
  <si>
    <t>Piso vinílico flexível em manta constituído por camadas homogêneas</t>
  </si>
  <si>
    <t>Recuperação da seção de juntas de dilatação ou movimentação estrutural</t>
  </si>
  <si>
    <t>Recuperação / Reparo superficial de piso para posterior aplicação de revestimento ou pintura</t>
  </si>
  <si>
    <t>Lixamento, calafetação e aplicação de sinteco em piso de madeira – Linha Residencial</t>
  </si>
  <si>
    <t>Piso em taco de madeira – Linha Residencial</t>
  </si>
  <si>
    <t>Piso de borracha antiderrapante tipo moeda ou canelado</t>
  </si>
  <si>
    <t>Piso sintético flutuante – Linha Residencial</t>
  </si>
  <si>
    <t>Revestimento acústico perfilado – Linha Administrativa</t>
  </si>
  <si>
    <t>Revestimento acústico plano – Linha Administrativa</t>
  </si>
  <si>
    <t>Forro monolítico de gesso em placas</t>
  </si>
  <si>
    <t>Textura acrílica – Linha Administrativa</t>
  </si>
  <si>
    <t>Pintura com tinta látex acrílica Premium – cores especiais (sistema tintométrico)</t>
  </si>
  <si>
    <t>SF-01122</t>
  </si>
  <si>
    <t>Pintura Eletrostática</t>
  </si>
  <si>
    <t>Pintura com tinta látex acrílica para piso</t>
  </si>
  <si>
    <t>Pintura com tinta epóxi de alto desempenho (pisos)</t>
  </si>
  <si>
    <t>Verniz de poliuretano sobre pintura epóxi de alto desempenho</t>
  </si>
  <si>
    <t>Tratamento antiderrapante em verniz de poliuretano sobre pintura epóxi</t>
  </si>
  <si>
    <t>Pintura para superfícies galvanizadas</t>
  </si>
  <si>
    <t>Selagem de juntas de dilatação ou movimentação estrutural</t>
  </si>
  <si>
    <t>Pavimentação em elementos intertravados de concreto</t>
  </si>
  <si>
    <t>Pavimentação com Asfalto Pré-Misturado a Frio (PMF)</t>
  </si>
  <si>
    <t>Pavimentação asfáltica com CBUQ para aplicação a frio (remendo)</t>
  </si>
  <si>
    <t>Pintura para sinalização e demarcação viária horizontal com tinta acrílica emulsionada em água, com adição de microesferas de vidro</t>
  </si>
  <si>
    <t>Telha trapezoidal em aço galvanizado ou galvalume (e=0,43mm) - altura 40mm</t>
  </si>
  <si>
    <t>Cumeeira em aço galvanizado ou galvalume para telha trapezoidal (e=0,43mm) - altura 40mm</t>
  </si>
  <si>
    <t>Telha trapezoidal em aço galvanizado ou galvalume (e=0,43mm) - altura 25mm</t>
  </si>
  <si>
    <t>Cumeeira em aço galvanizado ou galvalume para telha trapezoidal (e=0,43mm) - altura 25mm</t>
  </si>
  <si>
    <t>Telha de fibrocimento modulada - espessura 8 mm</t>
  </si>
  <si>
    <t>Cumeeira articulada ABA SUPERIOR de fibrocimento para telha modulada - espessura 6 mm</t>
  </si>
  <si>
    <t>Cumeeira articulada ABA INFERIOR de fibrocimento para telha modulada - espessura 6 mm</t>
  </si>
  <si>
    <t>Telha de fibrocimento ondulada - espessura 6 mm</t>
  </si>
  <si>
    <t>Cumeeira UNIVERSAL para telha de fibrocimento ondulada - espessura 6 mm</t>
  </si>
  <si>
    <t>Cumeeira TIPO SHED para telha de fibrocimento ondulada - espessura 6 mm</t>
  </si>
  <si>
    <t>Telha de fibrocimento - Canalete 49 Eternit</t>
  </si>
  <si>
    <t>SF-01144</t>
  </si>
  <si>
    <t>Passarela móvel para telhado (sem degraus)</t>
  </si>
  <si>
    <t>SF-01145</t>
  </si>
  <si>
    <t>Passarela móvel para telhado (com degraus)</t>
  </si>
  <si>
    <t>SF-01146</t>
  </si>
  <si>
    <t>Locação de guincho elétrico de coluna</t>
  </si>
  <si>
    <t>Escada tipo marinheiro COM proteção</t>
  </si>
  <si>
    <t>Escada tipo marinheiro SEM proteção</t>
  </si>
  <si>
    <t>Limpeza e Preparação do Substrato para Impermeabilização</t>
  </si>
  <si>
    <t>Substituição de Coletores de Águas Pluviais</t>
  </si>
  <si>
    <t>Tratamento de Tubulação Passante para Impermeabilização</t>
  </si>
  <si>
    <t>Regularização de substrato para Impermeabilização - 3 cm</t>
  </si>
  <si>
    <t>Regularização de substrato para Impermeabilização - 6 cm</t>
  </si>
  <si>
    <t>Camada Separadora para Impermeabilização</t>
  </si>
  <si>
    <t>Camada de Proteção Térmica para Impermeabilização</t>
  </si>
  <si>
    <t>Camada de Amortecimento para Impermeabilização</t>
  </si>
  <si>
    <t>Camada de Proteção Mecânica em Placas de Impermeabilização</t>
  </si>
  <si>
    <t>Pintura Inibidora de Raízes em Estrutura Impermeabilizada</t>
  </si>
  <si>
    <t>Camada Drenante para Impermeabilização</t>
  </si>
  <si>
    <t>Calha em Chapa de Aço Galvanizado nº 24</t>
  </si>
  <si>
    <t>Rufo em Chapa de Aço Galvanizado nº 24</t>
  </si>
  <si>
    <t>SF-01162</t>
  </si>
  <si>
    <t>Injeção de Resina de Poliuretano em fissuras em Estrutura de Concreto</t>
  </si>
  <si>
    <t>Chapim Pré-Moldado de Concreto Aparente</t>
  </si>
  <si>
    <t>Armação em tela de aço soldado nervurada (malha pop), Ø fio BWG 8 (4,2 mm), malha 15 cm x 15 cm</t>
  </si>
  <si>
    <t>Trama de aço composta por terças para telhados de até 2 águas</t>
  </si>
  <si>
    <t>Revestimento impermeabilizante bloqueador de umidade</t>
  </si>
  <si>
    <t>Pintura com tinta refletiva aluminizada para impermeabilização</t>
  </si>
  <si>
    <t>Camada de enchimento com Concreto leve com poliestireno expandido</t>
  </si>
  <si>
    <t>Colagem da camada de proteção térmica de impermeabilização</t>
  </si>
  <si>
    <t>Impermeabilização flexível com Membrana de Poliuretano</t>
  </si>
  <si>
    <t>Impermeabilização flexível com Manta Asfáltica</t>
  </si>
  <si>
    <t>Impermeabilização flexível com manta asfáltica aluminizada</t>
  </si>
  <si>
    <t>Impermeabilização flexível com manta elastomérica de etileno-propileno-dieno-monômero (EPDM)</t>
  </si>
  <si>
    <t>Impermeabilização flexível com membrana acrílica monocomponente flexível</t>
  </si>
  <si>
    <t>Asfalto elastomérico para colagem de manta asfáltica</t>
  </si>
  <si>
    <t>Impermeabilização flexível com manta dupla (com maçarico)</t>
  </si>
  <si>
    <t>Impermeabilização flexível com manta dupla (com asfalto elastomérico)</t>
  </si>
  <si>
    <t>Fibra de Polipropileno</t>
  </si>
  <si>
    <t>Aditivo Incorporador de Ar</t>
  </si>
  <si>
    <t>Brita Nº 2</t>
  </si>
  <si>
    <t>SF-01181</t>
  </si>
  <si>
    <t>Parafusos para fixação de telhas ou chapas</t>
  </si>
  <si>
    <t>SF-01182</t>
  </si>
  <si>
    <t>Pino para fixação e acessórios de telha de fibrocimento modulada</t>
  </si>
  <si>
    <t>SF-01183</t>
  </si>
  <si>
    <t>Rebite de Repuxo de 3.2 x 8 mm</t>
  </si>
  <si>
    <t>Calha em chapa de zinco # 24 - Modelo 1</t>
  </si>
  <si>
    <t>Calha em chapa de zinco # 24 - Modelo 2</t>
  </si>
  <si>
    <t>SF-01186</t>
  </si>
  <si>
    <t>Chave de fenda de 3/8" x 10"</t>
  </si>
  <si>
    <t>SF-01187</t>
  </si>
  <si>
    <t>Chave de fenda de 5/16" x 8"</t>
  </si>
  <si>
    <t>SF-01188</t>
  </si>
  <si>
    <t>Chave de fenda de 1/8" x 3"</t>
  </si>
  <si>
    <t>SF-01189</t>
  </si>
  <si>
    <t>Chave Philips PH2 3/16" x 4"</t>
  </si>
  <si>
    <t>SF-01190</t>
  </si>
  <si>
    <t>Chave Philips PH2 3/16" x 5"</t>
  </si>
  <si>
    <t>SF-01191</t>
  </si>
  <si>
    <t>Cavadeiras retas (2 peças, de 1,20 m e 1,50 m)</t>
  </si>
  <si>
    <t>SF-01192</t>
  </si>
  <si>
    <t>Chaves allen de 2 a 10mm, tipo curto, sistema métrico</t>
  </si>
  <si>
    <t>SF-01193</t>
  </si>
  <si>
    <t>Jogo de chave allen longo métrico</t>
  </si>
  <si>
    <t>SF-01194</t>
  </si>
  <si>
    <t>Chaves fixas (12 peças, de 6 mm a 32 mm)</t>
  </si>
  <si>
    <t>SF-01195</t>
  </si>
  <si>
    <t>Chaves fixas (8 peças, de 1/4” a 1 1/4”)</t>
  </si>
  <si>
    <t>SF-01196</t>
  </si>
  <si>
    <t>Escovas de aço (3 peças, de 3 a 5 fileiras)</t>
  </si>
  <si>
    <t>SF-01197</t>
  </si>
  <si>
    <t>Marreta de 2 kg</t>
  </si>
  <si>
    <t>SF-01198</t>
  </si>
  <si>
    <t>Marreta de 5 kg</t>
  </si>
  <si>
    <t>SF-01199</t>
  </si>
  <si>
    <t>Marreta de 10 kg</t>
  </si>
  <si>
    <t>SF-01200</t>
  </si>
  <si>
    <t>Pés de cabra (2 peças, 15” x 16mm e 24” x 19mm)</t>
  </si>
  <si>
    <t>Talhadeira</t>
  </si>
  <si>
    <t>SF-01202</t>
  </si>
  <si>
    <t>Serra copo diamantada (conjunto de 1/2" a 1 1/2")</t>
  </si>
  <si>
    <t>SF-01203</t>
  </si>
  <si>
    <t>Cortadora de Piso a Gasolina</t>
  </si>
  <si>
    <t>SF-01204</t>
  </si>
  <si>
    <t>Cortadora de Parede</t>
  </si>
  <si>
    <t>Enxada com cabo (2,5 libras)</t>
  </si>
  <si>
    <t>Escada extensível de alumínio dupla 2x8</t>
  </si>
  <si>
    <t>SF-01207</t>
  </si>
  <si>
    <t>Escada extensível de alumínio dupla 2x12</t>
  </si>
  <si>
    <t>SF-01208</t>
  </si>
  <si>
    <t>Escada tipo tesoura duplo acesso de fibra com 12 degraus</t>
  </si>
  <si>
    <t>SF-01209</t>
  </si>
  <si>
    <t>Exaustor para espaço confinado</t>
  </si>
  <si>
    <t>SF-01210</t>
  </si>
  <si>
    <t>Furadeira/Parafusadeira elétrica</t>
  </si>
  <si>
    <t>SF-01211</t>
  </si>
  <si>
    <t>Furadeira de impacto/parafusadeira à bateria</t>
  </si>
  <si>
    <t>SF-01212</t>
  </si>
  <si>
    <t>Jogo de Bits pontas e soquetes para Furadeira/ Parafusadeira</t>
  </si>
  <si>
    <t>SF-01213</t>
  </si>
  <si>
    <t>Chaves torx (9 peças, de T7 a T40)</t>
  </si>
  <si>
    <t>Mangueira de nível em PVC flexível transparente, Ø 5/16", espessura 1,5 mm, comprimento 20 m</t>
  </si>
  <si>
    <t>SF-01215</t>
  </si>
  <si>
    <t>Martelete demolidor 1 kW (5 Kg)</t>
  </si>
  <si>
    <t>SF-01216</t>
  </si>
  <si>
    <t>Pistola aplicadora de silicone e PU</t>
  </si>
  <si>
    <t>SF-01217</t>
  </si>
  <si>
    <t>Serra mármore</t>
  </si>
  <si>
    <t>SF-01218</t>
  </si>
  <si>
    <t>Serrote para gesso</t>
  </si>
  <si>
    <t>Talha Manual para Elevação de Cargas (2 ton)</t>
  </si>
  <si>
    <t>SF-01220</t>
  </si>
  <si>
    <t>Veículo do tipo utilitário</t>
  </si>
  <si>
    <t>SF-01221</t>
  </si>
  <si>
    <t>Plataforma de trabalho aéreo - em ambiente interno</t>
  </si>
  <si>
    <t>SF-01222</t>
  </si>
  <si>
    <t>Dispositivo Individual Móvel de Proteção Contra Queda</t>
  </si>
  <si>
    <t>SF-01223</t>
  </si>
  <si>
    <t>Sondagem - Perfuração adicional de furo</t>
  </si>
  <si>
    <t>SF-01224</t>
  </si>
  <si>
    <t>Lavadora de alta pressão</t>
  </si>
  <si>
    <t>Manta autocolante aluminizada</t>
  </si>
  <si>
    <t>Primer para aplicação de manta autocolante aluminizada</t>
  </si>
  <si>
    <t>SF-01227</t>
  </si>
  <si>
    <t>Estudo de Viabilidade Técnica, Laudo Técnico, Projeto Executivo, Projeto de Segurança do Trabalho, Planejamento da Obra e Plano de Manutenção – Modernização de Elevadores na SQS 309</t>
  </si>
  <si>
    <t>SF-01228</t>
  </si>
  <si>
    <t>Serviços Preliminares (instalação de canteiro, mobilização de equipamentos e mão de obra e substituição de infraestrutura elétrica nos Blocos C e G) – Modernização de Elevadores na SQS 309</t>
  </si>
  <si>
    <t>SF-01229</t>
  </si>
  <si>
    <t>Substituição de infraestrutura elétrica no Bloco D – Modernização de Elevadores na SQS 309</t>
  </si>
  <si>
    <t>SF-01230</t>
  </si>
  <si>
    <t>Modernização dos elevadores dos Blocos C, D e G da SQS 309</t>
  </si>
  <si>
    <t>SF-01231</t>
  </si>
  <si>
    <t>Serviços de Assistência Técnica – Modernização de Elevadores na SQS 309</t>
  </si>
  <si>
    <t>mês x elevador</t>
  </si>
  <si>
    <t>Carpete aveludado azul royal</t>
  </si>
  <si>
    <t>Demolição de revestimento de piso têxtil (carpete)</t>
  </si>
  <si>
    <t>Cortina de proteção para solda com suporte</t>
  </si>
  <si>
    <t>Bancada em granito cinza andorinha polido - 2,40 m x 0,60 m</t>
  </si>
  <si>
    <t>Bancada em granito cinza andorinha polido - 2,50 m x 0,60 m</t>
  </si>
  <si>
    <t>SF-01237</t>
  </si>
  <si>
    <t>Pedido de autorização ambiental para desativação do posto de combustíveis</t>
  </si>
  <si>
    <t>SF-01238</t>
  </si>
  <si>
    <t>Relatório de Investigação de Passivo Ambiental - RIPA</t>
  </si>
  <si>
    <t>SF-01239</t>
  </si>
  <si>
    <t>Remoção do Sistema de Abastecimento Subterrâneo de Combustíveis - SASC</t>
  </si>
  <si>
    <t>Batedor/limitador inferior para box de correr</t>
  </si>
  <si>
    <t>Batedor/amortecedor lateral para box de correr</t>
  </si>
  <si>
    <t>Batedor/limitador superior para box de correr</t>
  </si>
  <si>
    <t>Perfil cadeirinha em alumínio com encaixe para escova de vedação para vidro temperado 8 mm</t>
  </si>
  <si>
    <t>Perfil em alumínio para acabamento de trilho superior - Vidro temperado 8 mm</t>
  </si>
  <si>
    <t>Capa do Perfil Guia Inferior “Click” - Vidro temperado 8 mm</t>
  </si>
  <si>
    <t>Perfil guia inferior de alumínio para porta de giro em vidro temperado 8 mm</t>
  </si>
  <si>
    <t>Perfil guia inferior de alumínio para porta de correr em vidro temperado 8 mm</t>
  </si>
  <si>
    <t>Trilho superior em alumínio 53,8 mm x 49,6 mm, para vidro temperado</t>
  </si>
  <si>
    <t>Perfil em alumínio, tipo U - 10,5 x 20 mm - para box de vidro temperado 8 mm</t>
  </si>
  <si>
    <t>Perfil em alumínio , tipo U –  14 x 20 mm - para box de vidro temperado 8 mm</t>
  </si>
  <si>
    <t>Bacia convencional – Linha Residencial</t>
  </si>
  <si>
    <t>Bidê 3 furos - Linha Residencial</t>
  </si>
  <si>
    <t>SF-01253</t>
  </si>
  <si>
    <t>Divisória de Vidro temperado para box de CORRER e ferragens – Linha Residencial</t>
  </si>
  <si>
    <t>SF-01254</t>
  </si>
  <si>
    <t>Divisória de Vidro temperado para box com porta de GIRO e ferragens – Linha Residencial</t>
  </si>
  <si>
    <t>Chuveiro de metal com tubo de parede – Linha Residencial</t>
  </si>
  <si>
    <t>Misturador para bidê – Linha Residencial</t>
  </si>
  <si>
    <t>Misturador de mesa para cozinha bica móvel – Linha Residencial</t>
  </si>
  <si>
    <t>Misturador de mesa para lavatório bica alta – Linha Residencial</t>
  </si>
  <si>
    <t>Misturador de parede para cozinha bica móvel – Linha Residencial</t>
  </si>
  <si>
    <t>Dobradiça automática vidro/vidro para box de vidro temperado</t>
  </si>
  <si>
    <t>Luminária tipo arandela – Linha Residencial</t>
  </si>
  <si>
    <t>Tê misturador de transição 1/2” ou 3/4” – Linha Residencial</t>
  </si>
  <si>
    <t>Base para válvula de descarga 1 1/2”</t>
  </si>
  <si>
    <t>Base para válvula de descarga 1 1/4”</t>
  </si>
  <si>
    <t>Anel de Vedação para bacia sanitária</t>
  </si>
  <si>
    <t>Folha de porta em madeira e MDF 2,10 m x 0,60 m</t>
  </si>
  <si>
    <t>Folha de porta em madeira e MDF 2,10 m x 0,70 m</t>
  </si>
  <si>
    <t>Folha de porta em madeira e MDF 2,10 m x 0,80 m</t>
  </si>
  <si>
    <t>Folha de porta em madeira e MDF 2,10 m x 0,90 m</t>
  </si>
  <si>
    <t>Remoção de boiler</t>
  </si>
  <si>
    <t>Remoção de tacos de madeira</t>
  </si>
  <si>
    <t>Cerâmica 30 x 60 cm - Glacier White - Portobello – Linha Residencial</t>
  </si>
  <si>
    <t>Instalação de tacos de madeira reaproveitados</t>
  </si>
  <si>
    <t>SF-01274</t>
  </si>
  <si>
    <t>Cortina de linho sintético / BLECAUTE COM VARÃO – Linha Residencial</t>
  </si>
  <si>
    <t>SF-01275</t>
  </si>
  <si>
    <t>Cortina de linho sintético / BLECAUTE SEM VARÃO – Linha Residencial</t>
  </si>
  <si>
    <t>SF-01276</t>
  </si>
  <si>
    <t>Cortina de linho sintético / FORRO COM VARÃO – Linha Residencial</t>
  </si>
  <si>
    <t>SF-01277</t>
  </si>
  <si>
    <t>Cortina de linho sintético / FORRO SEM VARÃO – Linha Residencial</t>
  </si>
  <si>
    <t>Instalação de cortinas reaproveitadas</t>
  </si>
  <si>
    <t>Tubo CPVC soldável 22 mm – Linha Residencial</t>
  </si>
  <si>
    <t>Tubo CPVC soldável 28 mm – Linha Residencial</t>
  </si>
  <si>
    <t>Instalação de bidê reaproveitado</t>
  </si>
  <si>
    <t>Aquecedor elétrico para pia – Linha Residencial</t>
  </si>
  <si>
    <t>Chuveiro elétrico – Linha Residencial</t>
  </si>
  <si>
    <t>Instalação de boiler reaproveitado</t>
  </si>
  <si>
    <t>Prateleira – Linha Residencial</t>
  </si>
  <si>
    <t>Saboneteira – Linha Residencial</t>
  </si>
  <si>
    <t>Módulo campainha eletrônica – Linha Residencial</t>
  </si>
  <si>
    <t>Módulo pulsador – Linha Residencial</t>
  </si>
  <si>
    <t>Luminária redonda de sobrepor (plafond) – Linha Residencial</t>
  </si>
  <si>
    <t>SF-01290</t>
  </si>
  <si>
    <t>Acabamento Passa-fio 59mm</t>
  </si>
  <si>
    <t>SF-01291</t>
  </si>
  <si>
    <t>Armário em MDF laminado com porta e módulo de gaveta – Linha Residencial</t>
  </si>
  <si>
    <t>SF-01292</t>
  </si>
  <si>
    <t>Difusor em acrílico e aro metálico para luminárias (modelo Edifício Principal - INTERIOR)</t>
  </si>
  <si>
    <t>SF-01293</t>
  </si>
  <si>
    <t>Difusor em acrílico e aro metálico para luminárias (modelo Edifício Principal - EXTERIOR)</t>
  </si>
  <si>
    <t>SF-01294</t>
  </si>
  <si>
    <t>Difusor em acrílico e presilhas metálicas para luminárias (modelo Comissões)</t>
  </si>
  <si>
    <t>Bandeira de porta, em madeira e MDF</t>
  </si>
  <si>
    <t>Bandeira de porta, em madeira pintada</t>
  </si>
  <si>
    <t>SF-01297</t>
  </si>
  <si>
    <t>Levantamentos como construído (“As Built”) e Relatório de Avaliação Técnica – Bloco 01 (PRODASEN)</t>
  </si>
  <si>
    <t>SF-01298</t>
  </si>
  <si>
    <t>Levantamentos como construído (“As Built”) e Relatório de Avaliação Técnica – Áreas Técnicas 10 (CM-3), 13 (CM-2) e Espaços Externos</t>
  </si>
  <si>
    <t>SF-01299</t>
  </si>
  <si>
    <t>Levantamentos como construído (“As Built”) e Relatório de Avaliação Técnica - Anexo II e Túnel do Tempo</t>
  </si>
  <si>
    <t>SF-01300</t>
  </si>
  <si>
    <t>Estudos Preliminares de Prevenção e Combate a Incêndio e Pânico (incluindo Acessibilidade e Segurança de Pessoa com Deficiência) - Bloco 01 (PRODASEN)</t>
  </si>
  <si>
    <t>SF-01301</t>
  </si>
  <si>
    <t>Estudos Preliminares de Prevenção e Combate a Incêndio e Pânico (incluindo Acessibilidade e Segurança de Pessoa com Deficiência) - Áreas Técnicas 10 (CM-3), 13 (CM-2) e Espaços Externos</t>
  </si>
  <si>
    <t>SF-01302</t>
  </si>
  <si>
    <t>Estudos Preliminares de Prevenção e Combate a Incêndio e Pânico (incluindo Acessibilidade e Segurança de Pessoa com Deficiência) - Anexo II e Túnel do Tempo</t>
  </si>
  <si>
    <t>SF-01303</t>
  </si>
  <si>
    <t>Anteprojetos e Orçamentos Preliminares para Prevenção e Combate a Incêndio e Pânico (incluindo Acessibilidade e Segurança de Pessoa com Deficiência) - Bloco 01 (PRODASEN)</t>
  </si>
  <si>
    <t>SF-01304</t>
  </si>
  <si>
    <t>Anteprojetos e Orçamentos Preliminares para Prevenção e Combate a Incêndio e Pânico (incluindo Acessibilidade e Segurança de Pessoa com Deficiência) - Áreas Técnicas 10 (CM-3), 13 (CM-2) e Espaços Externos</t>
  </si>
  <si>
    <t>SF-01305</t>
  </si>
  <si>
    <t>Anteprojetos e Orçamentos Preliminares para Prevenção e Combate a Incêndio e Pânico (incluindo Acessibilidade e Segurança de Pessoa com Deficiência) - Anexo II e Túnel do Tempo</t>
  </si>
  <si>
    <t>SF-01306</t>
  </si>
  <si>
    <t>Projetos Executivos de Prevenção e Combate a Incêndio e Pânico (incluindo Acessibilidade e Segurança de Pessoa com Deficiência) - Bloco 01 (PRODASEN)</t>
  </si>
  <si>
    <t>SF-01307</t>
  </si>
  <si>
    <t>Projetos Executivos de Prevenção e Combate a Incêndio e Pânico (incluindo Acessibilidade e Segurança de Pessoa com Deficiência) - Áreas Técnicas 10 (CM-3), 13 (CM-2) e Espaços Externos</t>
  </si>
  <si>
    <t>SF-01308</t>
  </si>
  <si>
    <t>Projetos Executivos de Prevenção e Combate a Incêndio e Pânico (incluindo Acessibilidade e Segurança de Pessoa com Deficiência) - Anexo II e Túnel do Tempo</t>
  </si>
  <si>
    <t>SF-01309</t>
  </si>
  <si>
    <t>Orçamentos Finais e Cronograma Físico-Financeiro para intervenções de Prevenção e Combate a Incêndio e Pânico (incluindo Acessibilidade e Segurança de Pessoa com Deficiência)</t>
  </si>
  <si>
    <t>Cambota elastomérica de 8”</t>
  </si>
  <si>
    <t>Curva raio curto 45° em aço carbono para solda de topo DN 125 (5" NPS)</t>
  </si>
  <si>
    <t>Curva raio curto 90° em aço carbono para solda de topo DN 125 (5" NPS)</t>
  </si>
  <si>
    <t>Curva raio longo 90° em aço carbono para solda de topo DN 125 (5" NPS)</t>
  </si>
  <si>
    <t>Curva raio longo 90° em aço carbono para solda de topo DN 200 (8" NPS)</t>
  </si>
  <si>
    <t>Eliminador de ar para líquidos DN 20 (3/4" NPS)</t>
  </si>
  <si>
    <t>Flange de pescoço, aço carbono, classe 150, DN 125 (5" NPS)</t>
  </si>
  <si>
    <t>Isolamento elastomérico para tubulações de ferro de 5”</t>
  </si>
  <si>
    <t>Meia luva em aço carbono DN 15 (1/2" NPS)</t>
  </si>
  <si>
    <t>Redução concêntrica em aço carbono para solda de topo DN 200 (8" NPS) × DN 125 (5" NPS)</t>
  </si>
  <si>
    <t>SF-01320</t>
  </si>
  <si>
    <t>Suporte metálico tipo T com alça</t>
  </si>
  <si>
    <t>SF-01321</t>
  </si>
  <si>
    <t>Suporte metálico tipo T</t>
  </si>
  <si>
    <t>SF-01322</t>
  </si>
  <si>
    <t>Suporte metálico tipo trave alta</t>
  </si>
  <si>
    <t>SF-01323</t>
  </si>
  <si>
    <t>Suporte metálico tipo trave baixa</t>
  </si>
  <si>
    <t>SF-01324</t>
  </si>
  <si>
    <t>Suporte metálico tipo trave com suportes desiguais</t>
  </si>
  <si>
    <t>Tê em aço carbono para solda de topo DN 200 (8" NPS)</t>
  </si>
  <si>
    <t>Tubo de aço-carbono preto DN 125 (5" NPS)</t>
  </si>
  <si>
    <t>Tubo de aço-carbono preto DN 200 (8" NPS)</t>
  </si>
  <si>
    <t>Válvula de esfera em bronze 1/2”</t>
  </si>
  <si>
    <t>Cabo de fibra óptica monomodo 12 fibras</t>
  </si>
  <si>
    <t>Cabo de fibra óptica monomodo 144 fibras</t>
  </si>
  <si>
    <t>Eletroduto PEAD 1 1/4”</t>
  </si>
  <si>
    <t>Caixa de Passagem Subterrânea 1600 mm x 2000 mm</t>
  </si>
  <si>
    <t>Projeto Executivo de Rede de Telecomunicações Backbone</t>
  </si>
  <si>
    <t>Eletroduto PEAD 2”</t>
  </si>
  <si>
    <t>SF-01337</t>
  </si>
  <si>
    <t>Furo direcional por método não-destrutivo com fornecimento de duto</t>
  </si>
  <si>
    <t>SF-01338</t>
  </si>
  <si>
    <t>Sondagem por Radar de Penetração de Solo - GPR</t>
  </si>
  <si>
    <t>Tampa em Ferro Fundido - Circular DN-600 mm Classe 400</t>
  </si>
  <si>
    <t>Tubo de sistema PEX multicamada flexível 20 mm para gás</t>
  </si>
  <si>
    <t>Tubo de sistema PEX multicamada flexível 26 mm para gás</t>
  </si>
  <si>
    <t>Regulador de pressão para gás</t>
  </si>
  <si>
    <t>SF-01345</t>
  </si>
  <si>
    <t>Projeto Executivo de Subestação Elétrica em Poste</t>
  </si>
  <si>
    <t>SF-01346</t>
  </si>
  <si>
    <t>Subestação Elétrica 13,8-0,38kV, 300 kVA, em poste</t>
  </si>
  <si>
    <t>Bloco autônomo de emergência 1000 lumens</t>
  </si>
  <si>
    <t xml:space="preserve">Cabo Ethernet blindado </t>
  </si>
  <si>
    <t>Cabo de fibra óptica 12 fibras</t>
  </si>
  <si>
    <t>Cabos de cobre para comunicação CANbus</t>
  </si>
  <si>
    <t>Cabos de cobre para comunicação padrão RS-485</t>
  </si>
  <si>
    <t xml:space="preserve">Condulete de alumínio de 2” </t>
  </si>
  <si>
    <t>Distribuidor Interno Óptico Industrial</t>
  </si>
  <si>
    <t>Eletroduto PEAD 5”</t>
  </si>
  <si>
    <t>SF-01357</t>
  </si>
  <si>
    <t>Grupo motor-gerador 500 kVA</t>
  </si>
  <si>
    <t xml:space="preserve">Interruptor duplo para condulete </t>
  </si>
  <si>
    <t>Leito 400 mm x 100 mm</t>
  </si>
  <si>
    <t>Leito 600 mm x 100 mm</t>
  </si>
  <si>
    <t>Luminária 2 x 28 W hermética de sobrepor</t>
  </si>
  <si>
    <t xml:space="preserve">Luminária LED para poste 60 W </t>
  </si>
  <si>
    <t xml:space="preserve">Luminária LED para poste 120 W </t>
  </si>
  <si>
    <t>SF-01364</t>
  </si>
  <si>
    <t>Painel para serviços auxiliares – PAUX</t>
  </si>
  <si>
    <t>SF-01365</t>
  </si>
  <si>
    <t>Painel para sistema de automação e comunicação – QAUT-GER</t>
  </si>
  <si>
    <t>SF-01366</t>
  </si>
  <si>
    <t>Painel de distribuição em média tensão – PMT-GER</t>
  </si>
  <si>
    <t>SF-01367</t>
  </si>
  <si>
    <t>Painel de paralelismo dos geradores – PBT-GER</t>
  </si>
  <si>
    <t>SF-01368</t>
  </si>
  <si>
    <t>Painel para a galeria técnica – QGAL</t>
  </si>
  <si>
    <t>Poste curvo simples 8 metros</t>
  </si>
  <si>
    <t>Caixa de Passagem Subterrânea 300 mm x 300 mm x 500 mm</t>
  </si>
  <si>
    <t>SF-01371</t>
  </si>
  <si>
    <t>Quadro de transferência automática - QTA</t>
  </si>
  <si>
    <t>SF-01372</t>
  </si>
  <si>
    <t>Quadro de transferência automática para sistemas auxiliares – QTA-GER</t>
  </si>
  <si>
    <t>Caixa de Passagem Subterrânea 600 mm x 600 mm x 800 mm</t>
  </si>
  <si>
    <t>SF-01374</t>
  </si>
  <si>
    <t>Sistema de energia ininterrupta</t>
  </si>
  <si>
    <t>Kit terminal para cabo de potência, 8,7 kV / 15 kV, 95 mm²</t>
  </si>
  <si>
    <t>Kit terminal para cabo de potência, 8,7 kV / 15 kV, 240 mm²</t>
  </si>
  <si>
    <t xml:space="preserve">Tomada para condulete de 20 A </t>
  </si>
  <si>
    <t>SF-01378</t>
  </si>
  <si>
    <t>Transformador a seco 2000 kVA</t>
  </si>
  <si>
    <t>SF-01379</t>
  </si>
  <si>
    <t>Detector de fumaça</t>
  </si>
  <si>
    <t>SF-01380</t>
  </si>
  <si>
    <t>Relatório técnico de qualidade do ar</t>
  </si>
  <si>
    <t>mês</t>
  </si>
  <si>
    <t>Laminado fenólico melamínico texturizado - Preto</t>
  </si>
  <si>
    <t>SF-01382</t>
  </si>
  <si>
    <t>Compensado Laminado de Imbuia em duas faces - 15 mm</t>
  </si>
  <si>
    <t>SF-01383</t>
  </si>
  <si>
    <t>Compensado Laminado de Freijó em duas faces - 15 mm</t>
  </si>
  <si>
    <t>Cabo de cobre nu 50 mm²</t>
  </si>
  <si>
    <t>SF-01385</t>
  </si>
  <si>
    <t>Eletrocentro</t>
  </si>
  <si>
    <t>Haste de aterramento 3/4” x 3 m</t>
  </si>
  <si>
    <t>Leito 800 mm x 100 mm</t>
  </si>
  <si>
    <t>Engenheiro(a) eletricista pleno</t>
  </si>
  <si>
    <t>SF-01389</t>
  </si>
  <si>
    <t>Manutenção on site – Grupo motor-gerador e instalações associadas</t>
  </si>
  <si>
    <t>Mão francesa metálica dupla</t>
  </si>
  <si>
    <t>Óleo diesel</t>
  </si>
  <si>
    <t>SF-01392</t>
  </si>
  <si>
    <t>Painel de baixa tensão para áreas externas – QEXT</t>
  </si>
  <si>
    <t>SF-01393</t>
  </si>
  <si>
    <t>Projeto executivo de engenharia elétrica</t>
  </si>
  <si>
    <t>SF-01394</t>
  </si>
  <si>
    <t>Projeto executivo do eletrocentro</t>
  </si>
  <si>
    <t>SF-01395</t>
  </si>
  <si>
    <t>Remoção de sistema de automação de QTAs</t>
  </si>
  <si>
    <t>SF-01396</t>
  </si>
  <si>
    <t>Remoção dos GMGs antigos e sistemas auxiliares</t>
  </si>
  <si>
    <t>SF-01397</t>
  </si>
  <si>
    <t>Retrofit do sistema de comando/controle do painel de média tensão de distribuição</t>
  </si>
  <si>
    <t>SF-01398</t>
  </si>
  <si>
    <t>Retrofit do controlador da chave de transferência automática da SE-UA</t>
  </si>
  <si>
    <t>SF-01399</t>
  </si>
  <si>
    <t>Substituição dos Quadros de Transferência Automática</t>
  </si>
  <si>
    <t>SF-01400</t>
  </si>
  <si>
    <t>Grupo motor-gerador 115 kVA</t>
  </si>
  <si>
    <t>SF-01401</t>
  </si>
  <si>
    <t>Projeto Executivo de Instalação de Gerador de Emergência</t>
  </si>
  <si>
    <t>SF-01402</t>
  </si>
  <si>
    <t>Manutenção on site – Grupo motor-gerador - Residência Oficial da Presidência do Senado  Federal</t>
  </si>
  <si>
    <t>Supervisor Técnico – Sistema Elétrico</t>
  </si>
  <si>
    <t>Supervisor Técnico – Sistema Elétrico e Segurança do Trabalho</t>
  </si>
  <si>
    <t>Técnico de Segurança do Trabalho</t>
  </si>
  <si>
    <t>Auxiliar de Almoxarifado</t>
  </si>
  <si>
    <t>Auxiliar Administrativo(a)</t>
  </si>
  <si>
    <t>Desenhista Técnico</t>
  </si>
  <si>
    <t>Técnico em Eletrotécnica Encarregado</t>
  </si>
  <si>
    <t>Técnico em Eletrotécnica Planejador de Manutenção</t>
  </si>
  <si>
    <t>Técnico em Eletrotécnica Termografista</t>
  </si>
  <si>
    <t>Técnico em Eletrotécnica</t>
  </si>
  <si>
    <t>Eletricista</t>
  </si>
  <si>
    <t>Auxiliar de Eletricista</t>
  </si>
  <si>
    <t>Técnico em Eletromecânica</t>
  </si>
  <si>
    <t>Técnico em Automação</t>
  </si>
  <si>
    <t>Técnico em Eletrotécnica Plantonista (diurno)</t>
  </si>
  <si>
    <t>Técnico em Eletrotécnica Plantonista (noturno)</t>
  </si>
  <si>
    <t>Eletricista Plantonista (diurno)</t>
  </si>
  <si>
    <t>Eletricista Plantonista (noturno)</t>
  </si>
  <si>
    <t>Eletricista Plantonista – Áreas Restritas (diurno)</t>
  </si>
  <si>
    <t>Eletricista Plantonista – Áreas Restritas (noturno)</t>
  </si>
  <si>
    <t>SF-01423</t>
  </si>
  <si>
    <t>Conjunto parafuso, porca e arruelas M5</t>
  </si>
  <si>
    <t>SF-01424</t>
  </si>
  <si>
    <t>Conjunto parafuso, porca e arruelas M6</t>
  </si>
  <si>
    <t>SF-01425</t>
  </si>
  <si>
    <t>Conjunto parafuso, porca e arruelas M8</t>
  </si>
  <si>
    <t>SF-01426</t>
  </si>
  <si>
    <t>Conjunto parafuso, porca e arruelas M10</t>
  </si>
  <si>
    <t>SF-01427</t>
  </si>
  <si>
    <t>Conjunto parafuso, porca e arruelas M12</t>
  </si>
  <si>
    <t>SF-01428</t>
  </si>
  <si>
    <t>Identificador para botão de emergência</t>
  </si>
  <si>
    <t>SF-01429</t>
  </si>
  <si>
    <t>Prensa cabos</t>
  </si>
  <si>
    <t>SF-01430</t>
  </si>
  <si>
    <t>Bloco de distribuição 2 x 7</t>
  </si>
  <si>
    <t>SF-01431</t>
  </si>
  <si>
    <t>Bloco de distribuição 2 x 15</t>
  </si>
  <si>
    <t>SF-01432</t>
  </si>
  <si>
    <t>Bloco de distribuição 4 x 7</t>
  </si>
  <si>
    <t>SF-01433</t>
  </si>
  <si>
    <t>Bloco de distribuição 4 x 15</t>
  </si>
  <si>
    <t>SF-01434</t>
  </si>
  <si>
    <t>Isolador de baixa tensão para barramentos</t>
  </si>
  <si>
    <t>SF-01435</t>
  </si>
  <si>
    <t>Trilho DIN 35 mm</t>
  </si>
  <si>
    <t>SF-01436</t>
  </si>
  <si>
    <t>Suporte para trilho DIN</t>
  </si>
  <si>
    <t>SF-01437</t>
  </si>
  <si>
    <t>Barramento de cobre</t>
  </si>
  <si>
    <t>SF-01438</t>
  </si>
  <si>
    <t>Desumidificador para painel</t>
  </si>
  <si>
    <t>SF-01439</t>
  </si>
  <si>
    <t>Conjunto ventilador para painel elétrico 150 mm</t>
  </si>
  <si>
    <t>SF-01440</t>
  </si>
  <si>
    <t>Conjunto ventilador para painel elétrico 200 mm</t>
  </si>
  <si>
    <t>SF-01441</t>
  </si>
  <si>
    <t>Conjunto ventilador para painel elétrico 250 mm</t>
  </si>
  <si>
    <t>SF-01442</t>
  </si>
  <si>
    <t>Conjunto ventilador para painel elétrico 325 mm</t>
  </si>
  <si>
    <t>SF-01443</t>
  </si>
  <si>
    <t>Porta documentos</t>
  </si>
  <si>
    <t>SF-01444</t>
  </si>
  <si>
    <t>Tomada auxiliar</t>
  </si>
  <si>
    <t>SF-01445</t>
  </si>
  <si>
    <t>Fixador/clip autoadesivo para abraçadeiras de nylon</t>
  </si>
  <si>
    <t>pct</t>
  </si>
  <si>
    <t>SF-01446</t>
  </si>
  <si>
    <t>Spira-duto 1/8"</t>
  </si>
  <si>
    <t>SF-01447</t>
  </si>
  <si>
    <t>Spira-duto 1/4"</t>
  </si>
  <si>
    <t>SF-01448</t>
  </si>
  <si>
    <t>Spira-duto 1/2"</t>
  </si>
  <si>
    <t>SF-01449</t>
  </si>
  <si>
    <t>Spira-duto 3/4"</t>
  </si>
  <si>
    <t>SF-01450</t>
  </si>
  <si>
    <t>Canaleta de quadro 30 mm x 30 mm</t>
  </si>
  <si>
    <t>SF-01451</t>
  </si>
  <si>
    <t>Canaleta de quadro 30 mm x 50 mm</t>
  </si>
  <si>
    <t>SF-01452</t>
  </si>
  <si>
    <t>Canaleta de quadro 50 mm x 50 mm</t>
  </si>
  <si>
    <t>SF-01453</t>
  </si>
  <si>
    <t>Canaleta de quadro 50 mm x 80 mm</t>
  </si>
  <si>
    <t>SF-01454</t>
  </si>
  <si>
    <t>Canaleta de quadro 80 mm x 50 mm</t>
  </si>
  <si>
    <t>SF-01455</t>
  </si>
  <si>
    <t>Canaleta de quadro 80 mm x 80 mm</t>
  </si>
  <si>
    <t>SF-01456</t>
  </si>
  <si>
    <t>Canaleta de quadro 110 mm x 80 mm</t>
  </si>
  <si>
    <t>SF-01457</t>
  </si>
  <si>
    <t>Borne até 4 mm²</t>
  </si>
  <si>
    <t>SF-01458</t>
  </si>
  <si>
    <t>Borne terra até 4 mm²</t>
  </si>
  <si>
    <t>SF-01459</t>
  </si>
  <si>
    <t>Borne 6 mm²</t>
  </si>
  <si>
    <t>SF-01460</t>
  </si>
  <si>
    <t>Borne terra 6 mm²</t>
  </si>
  <si>
    <t>SF-01461</t>
  </si>
  <si>
    <t>Borne 10 mm²</t>
  </si>
  <si>
    <t>SF-01462</t>
  </si>
  <si>
    <t>Borne terra 10 mm²</t>
  </si>
  <si>
    <t>SF-01463</t>
  </si>
  <si>
    <t>Borne 16 mm²</t>
  </si>
  <si>
    <t>SF-01464</t>
  </si>
  <si>
    <t>Borne terra 16 mm²</t>
  </si>
  <si>
    <t>SF-01465</t>
  </si>
  <si>
    <t>Borne 35 mm²</t>
  </si>
  <si>
    <t>SF-01466</t>
  </si>
  <si>
    <t>Borne terra 35 mm²</t>
  </si>
  <si>
    <t>SF-01467</t>
  </si>
  <si>
    <t>Borne duplo</t>
  </si>
  <si>
    <t>SF-01468</t>
  </si>
  <si>
    <t>Tampa final para borne</t>
  </si>
  <si>
    <t>SF-01469</t>
  </si>
  <si>
    <t>Separador para borne</t>
  </si>
  <si>
    <t>SF-01470</t>
  </si>
  <si>
    <t>Ponte para borne</t>
  </si>
  <si>
    <t>SF-01471</t>
  </si>
  <si>
    <t>Poste para borne</t>
  </si>
  <si>
    <t>SF-01472</t>
  </si>
  <si>
    <t>Borne porta-fusível com LED</t>
  </si>
  <si>
    <t>SF-01473</t>
  </si>
  <si>
    <t>Borne porta-fusível sem LED</t>
  </si>
  <si>
    <t>SF-01474</t>
  </si>
  <si>
    <t>Porta identificador para borne</t>
  </si>
  <si>
    <t>SF-01475</t>
  </si>
  <si>
    <t>Identificador para borne</t>
  </si>
  <si>
    <t>SF-01476</t>
  </si>
  <si>
    <t>Bloco de aferição para TC</t>
  </si>
  <si>
    <t>SF-01477</t>
  </si>
  <si>
    <t>Bloco de aferição para TP e TC</t>
  </si>
  <si>
    <t>SF-01478</t>
  </si>
  <si>
    <t>Barramento monofásico isolado</t>
  </si>
  <si>
    <t>SF-01479</t>
  </si>
  <si>
    <t>Barramento bifásico isolado</t>
  </si>
  <si>
    <t>SF-01480</t>
  </si>
  <si>
    <t>Barramento trifásico isolado</t>
  </si>
  <si>
    <t>SF-01481</t>
  </si>
  <si>
    <t>Protetor para barramento isolado</t>
  </si>
  <si>
    <t>SF-01482</t>
  </si>
  <si>
    <t>Conector para barramento isolado</t>
  </si>
  <si>
    <t>SF-01483</t>
  </si>
  <si>
    <t>Obturador para quadro elétrico</t>
  </si>
  <si>
    <t>SF-01484</t>
  </si>
  <si>
    <t>Barramento de neutro ou terra</t>
  </si>
  <si>
    <t>SF-01485</t>
  </si>
  <si>
    <t>Fecho para quadro</t>
  </si>
  <si>
    <t>SF-01486</t>
  </si>
  <si>
    <t>Placa de montagem 1,5 mm</t>
  </si>
  <si>
    <t>SF-01487</t>
  </si>
  <si>
    <t>Placa de montagem 2 mm</t>
  </si>
  <si>
    <t>Chapa de aço galvanizado</t>
  </si>
  <si>
    <t>SF-01489</t>
  </si>
  <si>
    <t>Policarbonato</t>
  </si>
  <si>
    <t>SF-01490</t>
  </si>
  <si>
    <t>Placa de identificação</t>
  </si>
  <si>
    <t>cm2</t>
  </si>
  <si>
    <t>SF-01491</t>
  </si>
  <si>
    <t xml:space="preserve">Cadeado para disjuntores </t>
  </si>
  <si>
    <t>SF-01492</t>
  </si>
  <si>
    <t xml:space="preserve">Bloqueio para disjuntores </t>
  </si>
  <si>
    <t>SF-01493</t>
  </si>
  <si>
    <t>Ventoinha 120 mm</t>
  </si>
  <si>
    <t>Perfil de aço</t>
  </si>
  <si>
    <t>SF-01495</t>
  </si>
  <si>
    <t>Espuma expansiva corta-fogo</t>
  </si>
  <si>
    <t>SF-01496</t>
  </si>
  <si>
    <t>Cantoneira para suportar elementos de infraestrutura</t>
  </si>
  <si>
    <t>SF-01497</t>
  </si>
  <si>
    <t>Janela de inspeção termográfica 2 polegadas</t>
  </si>
  <si>
    <t>SF-01498</t>
  </si>
  <si>
    <t>Janela de inspeção termográfica 3 polegadas</t>
  </si>
  <si>
    <t>SF-01499</t>
  </si>
  <si>
    <t>Janela de inspeção termográfica 4 polegadas</t>
  </si>
  <si>
    <t>SF-01500</t>
  </si>
  <si>
    <t>Pino-bola para ponto de aterramento temporário</t>
  </si>
  <si>
    <t>SF-01501</t>
  </si>
  <si>
    <t>Luminária para quadros elétricos</t>
  </si>
  <si>
    <t>SF-01502</t>
  </si>
  <si>
    <t>Canaleta em alumínio 73 mm x 25 mm</t>
  </si>
  <si>
    <t>SF-01503</t>
  </si>
  <si>
    <t>Curva para canaleta em alumínio 73 mm x 25 mm</t>
  </si>
  <si>
    <t>SF-01504</t>
  </si>
  <si>
    <t>Porta equipamentos para canaleta de alumínio</t>
  </si>
  <si>
    <t>SF-01505</t>
  </si>
  <si>
    <t>Adaptador de eletroduto para canaleta em alumínio 73 mm x 25 mm</t>
  </si>
  <si>
    <t>SF-01506</t>
  </si>
  <si>
    <t>Tampa terminal para canaleta em alumínio 73 mm x 25 mm</t>
  </si>
  <si>
    <t>SF-01507</t>
  </si>
  <si>
    <t>Derivação tipo X para canaleta em alumínio 73 mm x 25 mm</t>
  </si>
  <si>
    <t>SF-01508</t>
  </si>
  <si>
    <t>Canaleta em alumínio 53 mm x 14 mm</t>
  </si>
  <si>
    <t>SF-01509</t>
  </si>
  <si>
    <t>Curva para canaleta em alumínio 53 mm x 14 mm</t>
  </si>
  <si>
    <t>SF-01510</t>
  </si>
  <si>
    <t>Tampa terminal para canaleta em alumínio 53 mm x 14 mm</t>
  </si>
  <si>
    <t>SF-01511</t>
  </si>
  <si>
    <t>Adaptador de porta equipamentos para canaleta em alumínio 53 mm x 14 mm</t>
  </si>
  <si>
    <t>SF-01512</t>
  </si>
  <si>
    <t>Canaleta em PVC 20 mm x 12 mm</t>
  </si>
  <si>
    <t>SF-01513</t>
  </si>
  <si>
    <t>Acessório para canaleta em PVC 20 mm x 12 mm</t>
  </si>
  <si>
    <t>SF-01514</t>
  </si>
  <si>
    <t>Caixa de sobrepor para canaleta em PVC 20 mm x 12 mm</t>
  </si>
  <si>
    <t>SF-01515</t>
  </si>
  <si>
    <t>Tomada para canaleta em PVC 20 mm x 12 mm</t>
  </si>
  <si>
    <t>SF-01516</t>
  </si>
  <si>
    <t>Interruptor para canaleta em PVC 20 mm x 12 mm</t>
  </si>
  <si>
    <t>SF-01517</t>
  </si>
  <si>
    <t>Pulsador para canaleta em PVC 20 mm x 12 mm</t>
  </si>
  <si>
    <t>SF-01518</t>
  </si>
  <si>
    <t>Módulo cego para canaleta em PVC 20 mm x 12 mm</t>
  </si>
  <si>
    <t>SF-01519</t>
  </si>
  <si>
    <t>Chave seletora de 2 posições</t>
  </si>
  <si>
    <t>SF-01520</t>
  </si>
  <si>
    <t>Chave seletora de 3 posições</t>
  </si>
  <si>
    <t>SF-01521</t>
  </si>
  <si>
    <t>Botão de emergência tipo cogumelo</t>
  </si>
  <si>
    <t>SF-01522</t>
  </si>
  <si>
    <t>Botão tipo pulsador</t>
  </si>
  <si>
    <t>SF-01523</t>
  </si>
  <si>
    <t>Botão tipo pulsador iluminado</t>
  </si>
  <si>
    <t>SF-01524</t>
  </si>
  <si>
    <t>Bloco de contato para chaves e botões</t>
  </si>
  <si>
    <t>SF-01525</t>
  </si>
  <si>
    <t>Chave seletora de 2 posições iluminada</t>
  </si>
  <si>
    <t>SF-01526</t>
  </si>
  <si>
    <t>Chave seletora de 3 posições iluminada</t>
  </si>
  <si>
    <t>SF-01527</t>
  </si>
  <si>
    <t>Botão duplo</t>
  </si>
  <si>
    <t>SF-01528</t>
  </si>
  <si>
    <t>Sinaleiro LED</t>
  </si>
  <si>
    <t>SF-01529</t>
  </si>
  <si>
    <t>Sinalizador sonoro luminoso</t>
  </si>
  <si>
    <t>SF-01530</t>
  </si>
  <si>
    <t>Sinalizador sonoro</t>
  </si>
  <si>
    <t>SF-01531</t>
  </si>
  <si>
    <t>Sirene</t>
  </si>
  <si>
    <t>SF-01532</t>
  </si>
  <si>
    <t>Chave de partida direta</t>
  </si>
  <si>
    <t>SF-01533</t>
  </si>
  <si>
    <t>Distribuidor Interno Ótico Industrial</t>
  </si>
  <si>
    <t>SF-01534</t>
  </si>
  <si>
    <t>Patch Panel Ethernet Industrial</t>
  </si>
  <si>
    <t>SF-01535</t>
  </si>
  <si>
    <t>Conector RJ45 Fêmea Blindado</t>
  </si>
  <si>
    <t>SF-01536</t>
  </si>
  <si>
    <t>Conector RJ45 Macho Blindado</t>
  </si>
  <si>
    <t>SF-01537</t>
  </si>
  <si>
    <t>Cabo Ethernet Blindado</t>
  </si>
  <si>
    <t>SF-01538</t>
  </si>
  <si>
    <t>Switch ethernet industrial</t>
  </si>
  <si>
    <t>SF-01539</t>
  </si>
  <si>
    <t>Gateway Modbus Ethernet / RS485</t>
  </si>
  <si>
    <t>Condulete de alumínio de 3/4”</t>
  </si>
  <si>
    <t>Condulete de alumínio de 1”</t>
  </si>
  <si>
    <t>Condulete de alumínio de 1 1/4”</t>
  </si>
  <si>
    <t xml:space="preserve">Condulete de alumínio de 1 1/2” </t>
  </si>
  <si>
    <t>Condulete de alumínio de 2”</t>
  </si>
  <si>
    <t>SF-01545</t>
  </si>
  <si>
    <t>Condulete de alumínio de 2 1/2”</t>
  </si>
  <si>
    <t>Condulete de alumínio de 3”</t>
  </si>
  <si>
    <t>Condulete de alumínio de 4”</t>
  </si>
  <si>
    <t>SF-01548</t>
  </si>
  <si>
    <t>Tampa para condulete de alumínio de 3/4”</t>
  </si>
  <si>
    <t>SF-01549</t>
  </si>
  <si>
    <t>Tampa para condulete de alumínio de 1”</t>
  </si>
  <si>
    <t>SF-01550</t>
  </si>
  <si>
    <t>Interruptor para condulete</t>
  </si>
  <si>
    <t>SF-01551</t>
  </si>
  <si>
    <t>Interruptor duplo para condulete</t>
  </si>
  <si>
    <t>SF-01552</t>
  </si>
  <si>
    <t>Tomada para condulete de 10 A</t>
  </si>
  <si>
    <t>SF-01553</t>
  </si>
  <si>
    <t>Tomada para condulete de 20 A</t>
  </si>
  <si>
    <t>SF-01554</t>
  </si>
  <si>
    <t>Tomada dupla para condulete</t>
  </si>
  <si>
    <t>SF-01555</t>
  </si>
  <si>
    <t>Tomada e interruptor para condulete</t>
  </si>
  <si>
    <t>SF-01556</t>
  </si>
  <si>
    <t>Kit de vedaçao para condulete de alumínio de 3/4”</t>
  </si>
  <si>
    <t>SF-01557</t>
  </si>
  <si>
    <t>Kit de vedaçao para condulete de alumínio de 1”</t>
  </si>
  <si>
    <t>SF-01558</t>
  </si>
  <si>
    <t>Kit de vedaçao para condulete de alumínio de 1 1/4”</t>
  </si>
  <si>
    <t>SF-01559</t>
  </si>
  <si>
    <t>Kit de vedaçao para condulete de alumínio de 1 1/2”</t>
  </si>
  <si>
    <t>SF-01560</t>
  </si>
  <si>
    <t>Kit de vedaçao para condulete de alumínio de 2”</t>
  </si>
  <si>
    <t>Tampa para condulete de PVC</t>
  </si>
  <si>
    <t>SF-01562</t>
  </si>
  <si>
    <t>Conector para condulete de PVC</t>
  </si>
  <si>
    <t>Terminal de compressão 25 mm²</t>
  </si>
  <si>
    <t>Terminal de compressão 35 mm²</t>
  </si>
  <si>
    <t>Terminal de compressão 50 mm²</t>
  </si>
  <si>
    <t>Terminal de compressão 70 mm²</t>
  </si>
  <si>
    <t>Terminal de compressão 95 mm²</t>
  </si>
  <si>
    <t>Terminal de compressão 120 mm²</t>
  </si>
  <si>
    <t>Terminal de compressão 150 mm²</t>
  </si>
  <si>
    <t>Terminal de compressão 185 mm²</t>
  </si>
  <si>
    <t>Terminal de compressão 240 mm²</t>
  </si>
  <si>
    <t>Terminal de compressão 300 mm²</t>
  </si>
  <si>
    <t>SF-01573</t>
  </si>
  <si>
    <t>Luva de compressão 25 mm²</t>
  </si>
  <si>
    <t>SF-01574</t>
  </si>
  <si>
    <t>Luva de compressão 35 mm²</t>
  </si>
  <si>
    <t>SF-01575</t>
  </si>
  <si>
    <t>Luva de compressão 50 mm²</t>
  </si>
  <si>
    <t>SF-01576</t>
  </si>
  <si>
    <t>Luva de compressão 70 mm²</t>
  </si>
  <si>
    <t>SF-01577</t>
  </si>
  <si>
    <t>Luva de compressão 95 mm²</t>
  </si>
  <si>
    <t>SF-01578</t>
  </si>
  <si>
    <t>Luva de compressão 120 mm²</t>
  </si>
  <si>
    <t>SF-01579</t>
  </si>
  <si>
    <t>Luva de compressão 150 mm²</t>
  </si>
  <si>
    <t>SF-01580</t>
  </si>
  <si>
    <t>Luva de compressão 185 mm²</t>
  </si>
  <si>
    <t>SF-01581</t>
  </si>
  <si>
    <t>Luva de compressão 240 mm²</t>
  </si>
  <si>
    <t>SF-01582</t>
  </si>
  <si>
    <t>Luva de compressão 300 mm²</t>
  </si>
  <si>
    <t>SF-01583</t>
  </si>
  <si>
    <t>Condutor 1,0 mm²</t>
  </si>
  <si>
    <t>SF-01584</t>
  </si>
  <si>
    <t>Condutor 1,5 mm²</t>
  </si>
  <si>
    <t>SF-01585</t>
  </si>
  <si>
    <t>Condutor 2,5 mm²</t>
  </si>
  <si>
    <t>SF-01586</t>
  </si>
  <si>
    <t>Condutor 4 mm²</t>
  </si>
  <si>
    <t>SF-01587</t>
  </si>
  <si>
    <t>Condutor 6 mm²</t>
  </si>
  <si>
    <t>SF-01588</t>
  </si>
  <si>
    <t>Condutor 10 mm²</t>
  </si>
  <si>
    <t>SF-01589</t>
  </si>
  <si>
    <t>Condutor 16 mm²</t>
  </si>
  <si>
    <t>SF-01590</t>
  </si>
  <si>
    <t>Condutor 25 mm²</t>
  </si>
  <si>
    <t>SF-01591</t>
  </si>
  <si>
    <t>Condutor 35 mm²</t>
  </si>
  <si>
    <t>SF-01592</t>
  </si>
  <si>
    <t>Condutor 50 mm²</t>
  </si>
  <si>
    <t>SF-01593</t>
  </si>
  <si>
    <t>Condutor 70 mm²</t>
  </si>
  <si>
    <t>SF-01594</t>
  </si>
  <si>
    <t>Condutor 95 mm²</t>
  </si>
  <si>
    <t>SF-01595</t>
  </si>
  <si>
    <t>Condutor 120 mm²</t>
  </si>
  <si>
    <t>SF-01596</t>
  </si>
  <si>
    <t>Condutor 150 mm²</t>
  </si>
  <si>
    <t>SF-01597</t>
  </si>
  <si>
    <t>Condutor 185 mm²</t>
  </si>
  <si>
    <t>SF-01598</t>
  </si>
  <si>
    <t>Condutor 240 mm²</t>
  </si>
  <si>
    <t>Cobre nu 16 mm²</t>
  </si>
  <si>
    <t>Cobre nu 25 mm²</t>
  </si>
  <si>
    <t>Cobre nu 35 mm²</t>
  </si>
  <si>
    <t>Cobre nu 50 mm²</t>
  </si>
  <si>
    <t>Cobre nu 70 mm²</t>
  </si>
  <si>
    <t>SF-01604</t>
  </si>
  <si>
    <t>Cabo 3 x 1,5 mm²</t>
  </si>
  <si>
    <t>SF-01605</t>
  </si>
  <si>
    <t>Cabo 3 x 2,5 mm²</t>
  </si>
  <si>
    <t>SF-01606</t>
  </si>
  <si>
    <t>Cabo 3 x 4 mm²</t>
  </si>
  <si>
    <t>SF-01607</t>
  </si>
  <si>
    <t xml:space="preserve">Cabo 3 x 6 mm² </t>
  </si>
  <si>
    <t>SF-01608</t>
  </si>
  <si>
    <t>Cabo PP 2 x 1 mm²</t>
  </si>
  <si>
    <t>SF-01609</t>
  </si>
  <si>
    <t>Cabo PP 2 x 1,5 mm²</t>
  </si>
  <si>
    <t>SF-01610</t>
  </si>
  <si>
    <t>Cabo PP 2 x 2,5 mm²</t>
  </si>
  <si>
    <t>SF-01611</t>
  </si>
  <si>
    <t>Cabo PP 3 x 1 mm²</t>
  </si>
  <si>
    <t>SF-01612</t>
  </si>
  <si>
    <t>Cabo PP 3 x 1,5 mm²</t>
  </si>
  <si>
    <t>SF-01613</t>
  </si>
  <si>
    <t>Cabo PP 3 x 2,5 mm²</t>
  </si>
  <si>
    <t>SF-01614</t>
  </si>
  <si>
    <t>Cabo Blindado 2 x 0,75mm²</t>
  </si>
  <si>
    <t>SF-01615</t>
  </si>
  <si>
    <t>Cabo Blindado 2 x 1mm²</t>
  </si>
  <si>
    <t>SF-01616</t>
  </si>
  <si>
    <t>Cabo Blindado 2 x 1,5mm²</t>
  </si>
  <si>
    <t>SF-01617</t>
  </si>
  <si>
    <t>Cabo Blindado 2 x 2,5mm²</t>
  </si>
  <si>
    <t>SF-01618</t>
  </si>
  <si>
    <t>Cabo Blindado 2 x 4mm²</t>
  </si>
  <si>
    <t>SF-01619</t>
  </si>
  <si>
    <t>Cabo Blindado 3 x 0,75mm²</t>
  </si>
  <si>
    <t>SF-01620</t>
  </si>
  <si>
    <t>Cabo Blindado 3 x 1,50mm²</t>
  </si>
  <si>
    <t>SF-01621</t>
  </si>
  <si>
    <t>Cabo Blindado 3 x 2,50mm²</t>
  </si>
  <si>
    <t>SF-01622</t>
  </si>
  <si>
    <t>Cabo 4 x 1 mm²</t>
  </si>
  <si>
    <t>SF-01623</t>
  </si>
  <si>
    <t>Cabo 5 x 1 mm²</t>
  </si>
  <si>
    <t>SF-01624</t>
  </si>
  <si>
    <t>Cabo 7 x 1 mm²</t>
  </si>
  <si>
    <t>SF-01625</t>
  </si>
  <si>
    <t>Mufla de média tensão</t>
  </si>
  <si>
    <t>SF-01626</t>
  </si>
  <si>
    <t>Contator auxiliar AC</t>
  </si>
  <si>
    <t>SF-01627</t>
  </si>
  <si>
    <t>Contator auxiliar DC</t>
  </si>
  <si>
    <t>SF-01628</t>
  </si>
  <si>
    <t>Minicontator 12 A AC</t>
  </si>
  <si>
    <t>SF-01629</t>
  </si>
  <si>
    <t>Minicontator 12 A DC</t>
  </si>
  <si>
    <t>SF-01630</t>
  </si>
  <si>
    <t>Minicontator 16 A AC</t>
  </si>
  <si>
    <t>SF-01631</t>
  </si>
  <si>
    <t>Minicontator 16 A DC</t>
  </si>
  <si>
    <t>SF-01632</t>
  </si>
  <si>
    <t>Contator 18 A</t>
  </si>
  <si>
    <t>SF-01633</t>
  </si>
  <si>
    <t>Contator 25 A</t>
  </si>
  <si>
    <t>SF-01634</t>
  </si>
  <si>
    <t>Contator 32 A</t>
  </si>
  <si>
    <t>SF-01635</t>
  </si>
  <si>
    <t>Contator 40 A</t>
  </si>
  <si>
    <t>SF-01636</t>
  </si>
  <si>
    <t>Contator 50 A</t>
  </si>
  <si>
    <t>SF-01637</t>
  </si>
  <si>
    <t>Contator 65 A</t>
  </si>
  <si>
    <t>SF-01638</t>
  </si>
  <si>
    <t>Contator 80 A</t>
  </si>
  <si>
    <t>SF-01639</t>
  </si>
  <si>
    <t>Contator Especial 18 A</t>
  </si>
  <si>
    <t>SF-01640</t>
  </si>
  <si>
    <t>Contator Especial 25 A</t>
  </si>
  <si>
    <t>SF-01641</t>
  </si>
  <si>
    <t>Contator Especial 30 A</t>
  </si>
  <si>
    <t>SF-01642</t>
  </si>
  <si>
    <t>Contator Especial 38 A</t>
  </si>
  <si>
    <t>SF-01643</t>
  </si>
  <si>
    <t>Contator Especial 50 A</t>
  </si>
  <si>
    <t>SF-01644</t>
  </si>
  <si>
    <t>Contator Especial 65 A</t>
  </si>
  <si>
    <t>SF-01645</t>
  </si>
  <si>
    <t>Contator Especial 150 A</t>
  </si>
  <si>
    <t>SF-01646</t>
  </si>
  <si>
    <t>Contator Especial 250 A</t>
  </si>
  <si>
    <t>SF-01647</t>
  </si>
  <si>
    <t>Bloco de contato auxiliar simples</t>
  </si>
  <si>
    <t>SF-01648</t>
  </si>
  <si>
    <t>Bloco de contato auxiliar duplo</t>
  </si>
  <si>
    <t>SF-01649</t>
  </si>
  <si>
    <t>Bloco de contato auxiliar quádruplo</t>
  </si>
  <si>
    <t>SF-01650</t>
  </si>
  <si>
    <t>Relé de sobrecarga para contator até 25 A</t>
  </si>
  <si>
    <t>SF-01651</t>
  </si>
  <si>
    <t>Relé de sobrecarga para contator até 40 A</t>
  </si>
  <si>
    <t>SF-01652</t>
  </si>
  <si>
    <t>Relé de sobrecarga para contator até 80 A</t>
  </si>
  <si>
    <t>SF-01653</t>
  </si>
  <si>
    <t>Capacitor 2,5 kVAr</t>
  </si>
  <si>
    <t>SF-01654</t>
  </si>
  <si>
    <t>Capacitor 5 kVAr</t>
  </si>
  <si>
    <t>SF-01655</t>
  </si>
  <si>
    <t>Capacitor 10 kVAr</t>
  </si>
  <si>
    <t>SF-01656</t>
  </si>
  <si>
    <t>Capacitor 15 kVAr</t>
  </si>
  <si>
    <t>SF-01657</t>
  </si>
  <si>
    <t>Capacitor 20 kVAr</t>
  </si>
  <si>
    <t>SF-01658</t>
  </si>
  <si>
    <t>Capacitor 25 kVAr</t>
  </si>
  <si>
    <t>SF-01659</t>
  </si>
  <si>
    <t>Capacitor 30 kVAr</t>
  </si>
  <si>
    <t>SF-01660</t>
  </si>
  <si>
    <t>Contator para capacitor 22 A</t>
  </si>
  <si>
    <t>SF-01661</t>
  </si>
  <si>
    <t>Contator para capacitor 30 A</t>
  </si>
  <si>
    <t>SF-01662</t>
  </si>
  <si>
    <t>Contator para capacitor 40 A</t>
  </si>
  <si>
    <t>SF-01663</t>
  </si>
  <si>
    <t>Contator para capacitor 60 A</t>
  </si>
  <si>
    <t>SF-01664</t>
  </si>
  <si>
    <t>Controlador de fator de potência</t>
  </si>
  <si>
    <t>SF-01665</t>
  </si>
  <si>
    <t>Disjuntor monopolar trilho DIN até 4 A</t>
  </si>
  <si>
    <t>SF-01666</t>
  </si>
  <si>
    <t>Disjuntor monopolar trilho DIN até 6 A</t>
  </si>
  <si>
    <t>SF-01667</t>
  </si>
  <si>
    <t>Disjuntor monopolar trilho DIN até 32 A</t>
  </si>
  <si>
    <t>SF-01668</t>
  </si>
  <si>
    <t>Disjuntor monopolar trilho DIN até 63 A</t>
  </si>
  <si>
    <t>SF-01669</t>
  </si>
  <si>
    <t>Disjuntor bipolar trilho DIN até 4 A</t>
  </si>
  <si>
    <t>SF-01670</t>
  </si>
  <si>
    <t>Disjuntor bipolar trilho DIN até 6 A</t>
  </si>
  <si>
    <t>SF-01671</t>
  </si>
  <si>
    <t>Disjuntor bipolar trilho DIN até 32 A</t>
  </si>
  <si>
    <t>SF-01672</t>
  </si>
  <si>
    <t>Disjuntor tripolar trilho DIN até 4 A</t>
  </si>
  <si>
    <t>SF-01673</t>
  </si>
  <si>
    <t>Disjuntor tripolar trilho DIN até 6 A</t>
  </si>
  <si>
    <t>SF-01674</t>
  </si>
  <si>
    <t>Disjuntor tripolar trilho DIN até 50 A</t>
  </si>
  <si>
    <t>SF-01675</t>
  </si>
  <si>
    <t>Disjuntor tripolar trilho DIN até 63 A</t>
  </si>
  <si>
    <t>SF-01676</t>
  </si>
  <si>
    <t>Disjuntor tripolar trilho DIN até 70 A</t>
  </si>
  <si>
    <t>SF-01677</t>
  </si>
  <si>
    <t>Disjuntor tripolar trilho DIN até 100 A</t>
  </si>
  <si>
    <t>SF-01678</t>
  </si>
  <si>
    <t>Disjuntor monopolar trilho DIN até 6 A, 10 kA</t>
  </si>
  <si>
    <t>SF-01679</t>
  </si>
  <si>
    <t>Disjuntor monopolar trilho DIN até 32 A, 10 kA</t>
  </si>
  <si>
    <t>SF-01680</t>
  </si>
  <si>
    <t>Disjuntor monopolar trilho DIN até 63 A, 10 kA</t>
  </si>
  <si>
    <t>SF-01681</t>
  </si>
  <si>
    <t>Disjuntor bipolar trilho DIN até 6 A, 10 kA</t>
  </si>
  <si>
    <t>SF-01682</t>
  </si>
  <si>
    <t>Disjuntor bipolar trilho DIN até 32 A, 10 kA</t>
  </si>
  <si>
    <t>SF-01683</t>
  </si>
  <si>
    <t>Disjuntor tripolar trilho DIN até 6 A, 10kA</t>
  </si>
  <si>
    <t>SF-01684</t>
  </si>
  <si>
    <t>Disjuntor tripolar trilho DIN até 32 A, 10kA</t>
  </si>
  <si>
    <t>SF-01685</t>
  </si>
  <si>
    <t>Disjuntor tripolar trilho DIN até 63 A, 10kA</t>
  </si>
  <si>
    <t>SF-01686</t>
  </si>
  <si>
    <t>Interruptor diferencial residual bipolar de 25 A</t>
  </si>
  <si>
    <t>SF-01687</t>
  </si>
  <si>
    <t>Interruptor diferencial residual bipolar de 40 A</t>
  </si>
  <si>
    <t>SF-01688</t>
  </si>
  <si>
    <t>Interruptor diferencial residual tetrapolar de 25 A</t>
  </si>
  <si>
    <t>SF-01689</t>
  </si>
  <si>
    <t>Interruptor diferencial residual tetrapolar de 40 A</t>
  </si>
  <si>
    <t>SF-01690</t>
  </si>
  <si>
    <t>Interruptor diferencial residual tetrapolar de 63 A</t>
  </si>
  <si>
    <t>SF-01691</t>
  </si>
  <si>
    <t>Disjuntor diferencial residual bipolar</t>
  </si>
  <si>
    <t>SF-01692</t>
  </si>
  <si>
    <t>Disjuntor diferencial residual tetrapolar</t>
  </si>
  <si>
    <t>SF-01693</t>
  </si>
  <si>
    <t>Dispositivo de Proteção Contra Surtos Classe I</t>
  </si>
  <si>
    <t>SF-01694</t>
  </si>
  <si>
    <t>Dispositivo de Proteção Contra Surtos Classe II 20 kA</t>
  </si>
  <si>
    <t>SF-01695</t>
  </si>
  <si>
    <t>Dispositivo de Proteção Contra Surtos Classe II 40 kA</t>
  </si>
  <si>
    <t>SF-01696</t>
  </si>
  <si>
    <t>Dispositivo de Proteção Contra Surtos Classe III</t>
  </si>
  <si>
    <t>SF-01697</t>
  </si>
  <si>
    <t>Disjuntor de caixa moldada de 100 A / 18 kA</t>
  </si>
  <si>
    <t>SF-01698</t>
  </si>
  <si>
    <t>Disjuntor de caixa moldada de 100 A / 36 kA</t>
  </si>
  <si>
    <t>SF-01699</t>
  </si>
  <si>
    <t>Disjuntor de caixa moldada de 100 A / 50 kA</t>
  </si>
  <si>
    <t>SF-01700</t>
  </si>
  <si>
    <t>Disjuntor de caixa moldada de 100 A / 70 kA</t>
  </si>
  <si>
    <t>SF-01701</t>
  </si>
  <si>
    <t>Disjuntor de caixa moldada de 160 A / 18 kA</t>
  </si>
  <si>
    <t>SF-01702</t>
  </si>
  <si>
    <t>Disjuntor de caixa moldada de 160 A / 36 kA</t>
  </si>
  <si>
    <t>SF-01703</t>
  </si>
  <si>
    <t>Disjuntor de caixa moldada de 160 A / 50 kA</t>
  </si>
  <si>
    <t>SF-01704</t>
  </si>
  <si>
    <t>Disjuntor de caixa moldada de 160 A / 70 kA</t>
  </si>
  <si>
    <t>SF-01705</t>
  </si>
  <si>
    <t>Disjuntor de caixa moldada de 250 A / 25 kA</t>
  </si>
  <si>
    <t>SF-01706</t>
  </si>
  <si>
    <t>Disjuntor de caixa moldada de 250 A / 36 kA</t>
  </si>
  <si>
    <t>SF-01707</t>
  </si>
  <si>
    <t>Disjuntor de caixa moldada de 250 A / 50 kA</t>
  </si>
  <si>
    <t>SF-01708</t>
  </si>
  <si>
    <t>Disjuntor de caixa moldada de 250 A / 70 kA</t>
  </si>
  <si>
    <t>SF-01709</t>
  </si>
  <si>
    <t>Disjuntor de caixa moldada de 250 A / 100 kA</t>
  </si>
  <si>
    <t>SF-01710</t>
  </si>
  <si>
    <t>Disjuntor de caixa moldada de 400 A / 36 kA</t>
  </si>
  <si>
    <t>SF-01711</t>
  </si>
  <si>
    <t>Disjuntor de caixa moldada de 400 A / 50 kA</t>
  </si>
  <si>
    <t>SF-01712</t>
  </si>
  <si>
    <t>Disjuntor de caixa moldada de 400 A / 70 kA</t>
  </si>
  <si>
    <t>SF-01713</t>
  </si>
  <si>
    <t>Disjuntor de caixa moldada de 400 A / 100 kA</t>
  </si>
  <si>
    <t>SF-01714</t>
  </si>
  <si>
    <t>Disjuntor de caixa moldada de 630 A / 36 kA</t>
  </si>
  <si>
    <t>SF-01715</t>
  </si>
  <si>
    <t>Disjuntor de caixa moldada de 630 A / 50 kA</t>
  </si>
  <si>
    <t>SF-01716</t>
  </si>
  <si>
    <t>Disjuntor de caixa moldada de 630 A / 70 kA</t>
  </si>
  <si>
    <t>SF-01717</t>
  </si>
  <si>
    <t>Disjuntor de caixa moldada de 630 A / 100 kA</t>
  </si>
  <si>
    <t>SF-01718</t>
  </si>
  <si>
    <t>Disjuntor de caixa moldada de 800 A / 36 kA</t>
  </si>
  <si>
    <t>SF-01719</t>
  </si>
  <si>
    <t>Disjuntor de caixa moldada de 800 A / 50 kA</t>
  </si>
  <si>
    <t>SF-01720</t>
  </si>
  <si>
    <t>Disjuntor de caixa moldada de 800 A / 70 kA</t>
  </si>
  <si>
    <t>SF-01721</t>
  </si>
  <si>
    <t>Disjuntor de caixa moldada de 800 A / 100 kA</t>
  </si>
  <si>
    <t>SF-01722</t>
  </si>
  <si>
    <t>Disjuntor de caixa aberta de 630 A / 50 kA</t>
  </si>
  <si>
    <t>SF-01723</t>
  </si>
  <si>
    <t>Disjuntor de caixa aberta de 800 A / 65 kA</t>
  </si>
  <si>
    <t>SF-01724</t>
  </si>
  <si>
    <t>Disjuntor de caixa aberta de 800 A / 100 kA</t>
  </si>
  <si>
    <t>SF-01725</t>
  </si>
  <si>
    <t>Disjuntor de caixa aberta de 1000 A / 65 kA</t>
  </si>
  <si>
    <t>SF-01726</t>
  </si>
  <si>
    <t>Disjuntor de caixa aberta de 1000 A / 100 kA</t>
  </si>
  <si>
    <t>SF-01727</t>
  </si>
  <si>
    <t>Disjuntor de caixa aberta de 1250 A / 65 kA</t>
  </si>
  <si>
    <t>SF-01728</t>
  </si>
  <si>
    <t>Disjuntor de caixa aberta de 1250 A / 100 kA</t>
  </si>
  <si>
    <t>SF-01729</t>
  </si>
  <si>
    <t>Disjuntor de caixa aberta de 1600 A / 65 kA</t>
  </si>
  <si>
    <t>SF-01730</t>
  </si>
  <si>
    <t>Disjuntor de caixa aberta de 1600 A / 100 kA</t>
  </si>
  <si>
    <t>SF-01731</t>
  </si>
  <si>
    <t>Disjuntor motor até 25 A</t>
  </si>
  <si>
    <t>SF-01732</t>
  </si>
  <si>
    <t>Disjuntor motor até 40 A</t>
  </si>
  <si>
    <t>SF-01733</t>
  </si>
  <si>
    <t xml:space="preserve">Eletrocalha 50 mm x 50 mm </t>
  </si>
  <si>
    <t>SF-01734</t>
  </si>
  <si>
    <t xml:space="preserve">Eletrocalha 100 mm x 50 mm </t>
  </si>
  <si>
    <t>SF-01735</t>
  </si>
  <si>
    <t>Eletrocalha 150 mm x 50 mm</t>
  </si>
  <si>
    <t>SF-01736</t>
  </si>
  <si>
    <t xml:space="preserve">Eletrocalha 200 mm x 50 mm </t>
  </si>
  <si>
    <t>SF-01737</t>
  </si>
  <si>
    <t xml:space="preserve">Eletrocalha 200 mm x 100 mm </t>
  </si>
  <si>
    <t>SF-01738</t>
  </si>
  <si>
    <t xml:space="preserve">Eletrocalha 300 mm x 50 mm </t>
  </si>
  <si>
    <t>SF-01739</t>
  </si>
  <si>
    <t xml:space="preserve">Eletrocalha 300 mm x 100 mm </t>
  </si>
  <si>
    <t>SF-01740</t>
  </si>
  <si>
    <t xml:space="preserve">Eletrocalha 400 mm x 50 mm </t>
  </si>
  <si>
    <t>SF-01741</t>
  </si>
  <si>
    <t>Eletrocalha 400 x 100 mm</t>
  </si>
  <si>
    <t>SF-01742</t>
  </si>
  <si>
    <t>Eletrocalha 500 x 100 mm</t>
  </si>
  <si>
    <t>SF-01743</t>
  </si>
  <si>
    <t>Tampa de eletrocalha 50 mm</t>
  </si>
  <si>
    <t>SF-01744</t>
  </si>
  <si>
    <t>Tampa de eletrocalha 100 mm</t>
  </si>
  <si>
    <t>SF-01745</t>
  </si>
  <si>
    <t>Tampa de eletrocalha 150 mm</t>
  </si>
  <si>
    <t>SF-01746</t>
  </si>
  <si>
    <t>Tampa de eletrocalha 200 mm</t>
  </si>
  <si>
    <t>SF-01747</t>
  </si>
  <si>
    <t>Tampa de eletrocalha 300 mm</t>
  </si>
  <si>
    <t>SF-01748</t>
  </si>
  <si>
    <t>Tampa de eletrocalha 400 mm</t>
  </si>
  <si>
    <t>SF-01749</t>
  </si>
  <si>
    <t>Tampa de eletrocalha 500 mm</t>
  </si>
  <si>
    <t>SF-01750</t>
  </si>
  <si>
    <t>Suporte vertical para eletrocalha de 50 mm</t>
  </si>
  <si>
    <t>SF-01751</t>
  </si>
  <si>
    <t>Suporte vertical para eletrocalha de 100 mm</t>
  </si>
  <si>
    <t>SF-01752</t>
  </si>
  <si>
    <t>Suporte vertical para eletrocalha de 150 mm</t>
  </si>
  <si>
    <t>SF-01753</t>
  </si>
  <si>
    <t>Suporte vertical para eletrocalha de 200 mm</t>
  </si>
  <si>
    <t>SF-01754</t>
  </si>
  <si>
    <t>Suporte vertical para eletrocalha de 300 mm</t>
  </si>
  <si>
    <t>SF-01755</t>
  </si>
  <si>
    <t>Curva horizontal 90 graus para eletrocalha 50 mm x 50 mm</t>
  </si>
  <si>
    <t>SF-01756</t>
  </si>
  <si>
    <t>Curva vertical 90 graus para eletrocalha 50 mm x 50 mm</t>
  </si>
  <si>
    <t>SF-01757</t>
  </si>
  <si>
    <t>Tê horizontal 90 graus para eletrocalha 50 mm x 50 mm</t>
  </si>
  <si>
    <t>SF-01758</t>
  </si>
  <si>
    <t>Suspensão ômega para eletrocalha 50 mm x 50 mm</t>
  </si>
  <si>
    <t>SF-01759</t>
  </si>
  <si>
    <t>Junção integral (emenda) para eletrocalha 50 mm x 50 mm</t>
  </si>
  <si>
    <t>SF-01760</t>
  </si>
  <si>
    <t>Curva horizontal 90 graus para eletrocalha 100 mm x 50 mm</t>
  </si>
  <si>
    <t>SF-01761</t>
  </si>
  <si>
    <t>Curva vertical 90 graus para eletrocalha 100 mm x 50 mm</t>
  </si>
  <si>
    <t>SF-01762</t>
  </si>
  <si>
    <t>Tê horizontal 90 graus para eletrocalha 100 mm x 50 mm</t>
  </si>
  <si>
    <t>SF-01763</t>
  </si>
  <si>
    <t>Suspensão ômega para eletrocalha 100 mm x 50 mm</t>
  </si>
  <si>
    <t>SF-01764</t>
  </si>
  <si>
    <t>Junção integral (emenda) para eletrocalha 100 mm x 50 mm</t>
  </si>
  <si>
    <t>SF-01765</t>
  </si>
  <si>
    <t>Curva horizontal 90 graus para eletrocalha 150 m, x 50 mm</t>
  </si>
  <si>
    <t>SF-01766</t>
  </si>
  <si>
    <t>Curva vertical 90 graus para eletrocalha 150 mm x 50 mm</t>
  </si>
  <si>
    <t>SF-01767</t>
  </si>
  <si>
    <t>Tê horizontal 90 graus para eletrocalha 150 mm x 50 mm</t>
  </si>
  <si>
    <t>SF-01768</t>
  </si>
  <si>
    <t>Suspensão ômega para eletrocalha 150 mm x 50 mm</t>
  </si>
  <si>
    <t>SF-01769</t>
  </si>
  <si>
    <t>Junção integral (emenda) para eletrocalha 150 mm x 50 mm</t>
  </si>
  <si>
    <t>SF-01770</t>
  </si>
  <si>
    <t>Curva horizontal 90 graus para eletrocalha 200 mm x 50 mm</t>
  </si>
  <si>
    <t>SF-01771</t>
  </si>
  <si>
    <t>Curva vertical 90 graus para eletrocalha 200 mm x 50 mm</t>
  </si>
  <si>
    <t>SF-01772</t>
  </si>
  <si>
    <t>Tê horizontal 90 graus para eletrocalha 200 mm x 50 mm</t>
  </si>
  <si>
    <t>SF-01773</t>
  </si>
  <si>
    <t>Suspensão ômega para eletrocalha 200 mm x 50 mm</t>
  </si>
  <si>
    <t>SF-01774</t>
  </si>
  <si>
    <t>Junção integral (emenda) para eletrocalha 200 mm x 50 mm</t>
  </si>
  <si>
    <t>SF-01775</t>
  </si>
  <si>
    <t>Curva horizontal 90 graus para eletrocalha 200 mm x 100 mm</t>
  </si>
  <si>
    <t>SF-01776</t>
  </si>
  <si>
    <t>Curva vertical 90 graus para eletrocalha 200 mm x 100 mm</t>
  </si>
  <si>
    <t>SF-01777</t>
  </si>
  <si>
    <t>Tê horizontal 90 graus para eletrocalha 200 mm x 100 mm</t>
  </si>
  <si>
    <t>SF-01778</t>
  </si>
  <si>
    <t>Suspensão ômega para eletrocalha 200 mm x 100 mm</t>
  </si>
  <si>
    <t>SF-01779</t>
  </si>
  <si>
    <t>Junção integral (emenda) para eletrocalha 200 mm x 100 mm</t>
  </si>
  <si>
    <t>SF-01780</t>
  </si>
  <si>
    <t>Curva horizontal 90 graus para eletrocalha 300 mm x 50 mm</t>
  </si>
  <si>
    <t>SF-01781</t>
  </si>
  <si>
    <t>Curva vertical 90 graus para eletrocalha 300 mm x 50 mm</t>
  </si>
  <si>
    <t>SF-01782</t>
  </si>
  <si>
    <t>Tê horizontal 90 graus para eletrocalha 300 mm x 50 mm</t>
  </si>
  <si>
    <t>SF-01783</t>
  </si>
  <si>
    <t>Suspensão ômega para eletrocalha 300 mm x 50 mm</t>
  </si>
  <si>
    <t>SF-01784</t>
  </si>
  <si>
    <t>Junção integral (emenda) para eletrocalha 300 mm x 50 mm</t>
  </si>
  <si>
    <t>SF-01785</t>
  </si>
  <si>
    <t>Curva horizontal 90 graus para eletrocalha 300 mm x 100 mm</t>
  </si>
  <si>
    <t>SF-01786</t>
  </si>
  <si>
    <t>Curva vertical 90 graus para eletrocalha 300 mm x 100 mm</t>
  </si>
  <si>
    <t>SF-01787</t>
  </si>
  <si>
    <t>Tê horizontal 90 graus para eletrocalha 300 mm x 100 mm</t>
  </si>
  <si>
    <t>SF-01788</t>
  </si>
  <si>
    <t>Suspensão ômega para eletrocalha 300 mm x 100 mm</t>
  </si>
  <si>
    <t>SF-01789</t>
  </si>
  <si>
    <t>Junção integral (emenda) para eletrocalha 300 mm x 100 mm</t>
  </si>
  <si>
    <t>SF-01790</t>
  </si>
  <si>
    <t>Curva horizontal 90 graus para eletrocalha 400 mm x 50 mm</t>
  </si>
  <si>
    <t>SF-01791</t>
  </si>
  <si>
    <t>Curva vertical 90 graus para eletrocalha 400 mm x 50 mm</t>
  </si>
  <si>
    <t>SF-01792</t>
  </si>
  <si>
    <t>Tê horizontal 90 graus para eletrocalha 400 mm x 50 mm</t>
  </si>
  <si>
    <t>SF-01793</t>
  </si>
  <si>
    <t>Suspensão ômega para eletrocalha 400 mm x 50 mm</t>
  </si>
  <si>
    <t>SF-01794</t>
  </si>
  <si>
    <t>Junção integral (emenda) para eletrocalha 400 mm x 50 mm</t>
  </si>
  <si>
    <t>SF-01795</t>
  </si>
  <si>
    <t>Curva horizontal 90 graus para eletrocalha 400 mm x 100 mm</t>
  </si>
  <si>
    <t>SF-01796</t>
  </si>
  <si>
    <t>Curva vertical 90 graus para eletrocalha 400 mm x 100 mm</t>
  </si>
  <si>
    <t>SF-01797</t>
  </si>
  <si>
    <t>Tê horizontal 90 graus para eletrocalha 400 mm x 100 mm</t>
  </si>
  <si>
    <t>SF-01798</t>
  </si>
  <si>
    <t>Suspensão ômega para eletrocalha 400 mm x 100 mm</t>
  </si>
  <si>
    <t>SF-01799</t>
  </si>
  <si>
    <t>Junção integral (emenda) para eletrocalha 400 mm x 100 mm</t>
  </si>
  <si>
    <t>SF-01800</t>
  </si>
  <si>
    <t>Curva horizontal 90 graus para eletrocalha 500 mm x 100 mm</t>
  </si>
  <si>
    <t>SF-01801</t>
  </si>
  <si>
    <t>Curva vertical 90 graus para eletrocalha 500 mm x 100 mm</t>
  </si>
  <si>
    <t>SF-01802</t>
  </si>
  <si>
    <t>Tê horizontal 90 graus para eletrocalha 500 mm x 100 mm</t>
  </si>
  <si>
    <t>SF-01803</t>
  </si>
  <si>
    <t>Suspensão ômega para eletrocalha 500 mm x 100 mm</t>
  </si>
  <si>
    <t>SF-01804</t>
  </si>
  <si>
    <t>Junção integral (emenda) para eletrocalha 500 mm x 100 mm</t>
  </si>
  <si>
    <t>SF-01805</t>
  </si>
  <si>
    <t>Saída de eletroduto para eletrocalha</t>
  </si>
  <si>
    <t>SF-01806</t>
  </si>
  <si>
    <t>Eletroduto de aço galvanizado de 1/2”</t>
  </si>
  <si>
    <t>Eletroduto de aço galvanizado de 3/4”</t>
  </si>
  <si>
    <t>Eletroduto de aço galvanizado de 1”</t>
  </si>
  <si>
    <t>Eletroduto de aço galvanizado de 1 1/4”</t>
  </si>
  <si>
    <t>Eletroduto de aço galvanizado de 1 1/2”</t>
  </si>
  <si>
    <t>Eletroduto de aço galvanizado de 2”</t>
  </si>
  <si>
    <t xml:space="preserve">Eletroduto de aço galvanizado de 2 1/2” </t>
  </si>
  <si>
    <t>Eletroduto de aço galvanizado de 3”</t>
  </si>
  <si>
    <t xml:space="preserve">Eletroduto de aço galvanizado de 4” </t>
  </si>
  <si>
    <t>SF-01815</t>
  </si>
  <si>
    <t>Eletroduto de aço galvanizado a fogo de 3/4”</t>
  </si>
  <si>
    <t>SF-01816</t>
  </si>
  <si>
    <t xml:space="preserve">Eletroduto de aço galvanizado a fogo de 1” </t>
  </si>
  <si>
    <t>SF-01817</t>
  </si>
  <si>
    <t>Eletroduto de aço galvanizado a fogo de 1 1/4”</t>
  </si>
  <si>
    <t>SF-01818</t>
  </si>
  <si>
    <t xml:space="preserve">Eletroduto de aço galvanizado a fogo de 1 1/2” </t>
  </si>
  <si>
    <t>SF-01819</t>
  </si>
  <si>
    <t xml:space="preserve">Eletroduto de aço galvanizado a fogo de 2” </t>
  </si>
  <si>
    <t>SF-01820</t>
  </si>
  <si>
    <t>Eletroduto de aço galvanizado a fogo de 2 1/2”</t>
  </si>
  <si>
    <t>SF-01821</t>
  </si>
  <si>
    <t xml:space="preserve">Eletroduto de aço galvanizado a fogo de 3” </t>
  </si>
  <si>
    <t>SF-01822</t>
  </si>
  <si>
    <t>Eletroduto de aço galvanizado a fogo de 4”</t>
  </si>
  <si>
    <t>SF-01823</t>
  </si>
  <si>
    <t>Conector reto para eletroduto 1/2”</t>
  </si>
  <si>
    <t>Luva para eletroduto 1/2”</t>
  </si>
  <si>
    <t>SF-01825</t>
  </si>
  <si>
    <t>Luva de emenda para eletroduto 1/2”</t>
  </si>
  <si>
    <t>Curva para eletroduto 1/2”</t>
  </si>
  <si>
    <t>Conector reto para eletroduto 3/4”</t>
  </si>
  <si>
    <t>Conector curvo para eletroduto 3/4”</t>
  </si>
  <si>
    <t>Luva para eletroduto 3/4”</t>
  </si>
  <si>
    <t>SF-01830</t>
  </si>
  <si>
    <t>Luva de emenda para eletroduto 3/4”</t>
  </si>
  <si>
    <t>Curva para eletroduto 3/4”</t>
  </si>
  <si>
    <t>Conector reto para eletroduto 1”</t>
  </si>
  <si>
    <t>Conector curvo para eletroduto 1”</t>
  </si>
  <si>
    <t>Luva para eletroduto 1”</t>
  </si>
  <si>
    <t>SF-01835</t>
  </si>
  <si>
    <t>Luva de emenda para eletroduto 1”</t>
  </si>
  <si>
    <t>Curva para eletroduto 1”</t>
  </si>
  <si>
    <t>Conector reto para eletroduto 1 1/4”</t>
  </si>
  <si>
    <t>Conector curvo para eletroduto 1 1/4”</t>
  </si>
  <si>
    <t>Luva para eletroduto 1 1/4”</t>
  </si>
  <si>
    <t>SF-01840</t>
  </si>
  <si>
    <t>Luva de emenda para eletroduto 1 1/4”</t>
  </si>
  <si>
    <t>Curva para eletroduto 1 1/4”</t>
  </si>
  <si>
    <t>Conector reto para eletroduto 1 1/2”</t>
  </si>
  <si>
    <t>Conector curvo para eletroduto 1 1/2”</t>
  </si>
  <si>
    <t>Luva para eletroduto 1 1/2”</t>
  </si>
  <si>
    <t>SF-01845</t>
  </si>
  <si>
    <t>Luva de emenda para eletroduto 1 1/2”</t>
  </si>
  <si>
    <t>Curva para eletroduto 1 1/2”</t>
  </si>
  <si>
    <t>Conector reto para eletroduto 2”</t>
  </si>
  <si>
    <t>Conector curvo para eletroduto 2”</t>
  </si>
  <si>
    <t>Luva para eletroduto 2”</t>
  </si>
  <si>
    <t>SF-01850</t>
  </si>
  <si>
    <t>Luva de emenda para eletroduto 2”</t>
  </si>
  <si>
    <t>Curva para eletroduto 2”</t>
  </si>
  <si>
    <t>SF-01852</t>
  </si>
  <si>
    <t>Conector reto para eletroduto 2 1/2”</t>
  </si>
  <si>
    <t>Conector curvo para eletroduto 2 1/2”</t>
  </si>
  <si>
    <t>Luva para eletroduto 2 1/2”</t>
  </si>
  <si>
    <t>SF-01855</t>
  </si>
  <si>
    <t>Luva de emenda para eletroduto 2 1/2”</t>
  </si>
  <si>
    <t>Curva para eletroduto 2 1/2”</t>
  </si>
  <si>
    <t>Conector reto para eletroduto 3”</t>
  </si>
  <si>
    <t>Conector curvo para eletroduto 3”</t>
  </si>
  <si>
    <t>Luva para eletroduto 3”</t>
  </si>
  <si>
    <t>SF-01860</t>
  </si>
  <si>
    <t>Luva de emenda para eletroduto 3”</t>
  </si>
  <si>
    <t>Curva para eletroduto 3”</t>
  </si>
  <si>
    <t>Conector reto para eletroduto 4”</t>
  </si>
  <si>
    <t>Conector curvo para eletroduto 4”</t>
  </si>
  <si>
    <t>Luva para eletroduto 4”</t>
  </si>
  <si>
    <t>SF-01865</t>
  </si>
  <si>
    <t>Luva de emenda para eletroduto 4”</t>
  </si>
  <si>
    <t>Curva para eletroduto 4”</t>
  </si>
  <si>
    <t>Eletroduto de PVC Corrugado Reforçado 3/4” (DE 25mm)</t>
  </si>
  <si>
    <t>Eletroduto de PVC Corrugado Reforçado 1” (DE 32mm)</t>
  </si>
  <si>
    <t>Eletroduto flexível metálico com capa de PVC 3/4”</t>
  </si>
  <si>
    <t>SF-01870</t>
  </si>
  <si>
    <t>Conector para eletroduto flexível metálico 3/4”</t>
  </si>
  <si>
    <t>Eletroduto flexível metálico com capa de PVC 1”</t>
  </si>
  <si>
    <t>SF-01872</t>
  </si>
  <si>
    <t>Conector para eletroduto flexível metálico 1”</t>
  </si>
  <si>
    <t>Eletroduto flexível metálico com capa de PVC 1 1/4”</t>
  </si>
  <si>
    <t>SF-01874</t>
  </si>
  <si>
    <t>Conector para eletroduto flexível metálico 1 1/4”</t>
  </si>
  <si>
    <t>Eletroduto flexível metálico com capa de PVC 1 1/2”</t>
  </si>
  <si>
    <t>SF-01876</t>
  </si>
  <si>
    <t>Conector para eletroduto flexível metálico 1 1/2”</t>
  </si>
  <si>
    <t>Eletroduto flexível metálico com capa de PVC 2”</t>
  </si>
  <si>
    <t>SF-01878</t>
  </si>
  <si>
    <t>Conector para eletroduto flexível metálico 2”</t>
  </si>
  <si>
    <t>Eletroduto de PEAD de 1 1/4”</t>
  </si>
  <si>
    <t>Terminal para eletroduto de PEAD de 1 1/4”</t>
  </si>
  <si>
    <t>Eletroduto de PEAD de 2”</t>
  </si>
  <si>
    <t>Terminal para eletroduto de PEAD de 2”</t>
  </si>
  <si>
    <t>Eletroduto de PEAD de 3”</t>
  </si>
  <si>
    <t>Terminal para eletroduto de PEAD de 3”</t>
  </si>
  <si>
    <t>Eletroduto de PVC de 3/4”</t>
  </si>
  <si>
    <t>Luva para eletroduto de PVC de 3/4”</t>
  </si>
  <si>
    <t>Curva para eletroduto de PVC de 3/4”</t>
  </si>
  <si>
    <t>Eletroduto de PVC de 1”</t>
  </si>
  <si>
    <t>Luva para eletroduto de PVC de 1”</t>
  </si>
  <si>
    <t>Curva para eletroduto de PVC de 1”</t>
  </si>
  <si>
    <t>Eletroduto de PVC de 1 1/4”</t>
  </si>
  <si>
    <t>Luva para eletroduto de PVC de 1 1/4”</t>
  </si>
  <si>
    <t>Curva para eletroduto de PVC de 1 1/4”</t>
  </si>
  <si>
    <t>Eletroduto de PVC de 1 1/2”</t>
  </si>
  <si>
    <t>Luva para eletroduto de PVC de 1 1/2”</t>
  </si>
  <si>
    <t>Curva para eletroduto de PVC de 1 1/2”</t>
  </si>
  <si>
    <t>Eletroduto de PVC de 2”</t>
  </si>
  <si>
    <t>Luva para eletroduto de PVC de 2”</t>
  </si>
  <si>
    <t>Curva para eletroduto de PVC de 2”</t>
  </si>
  <si>
    <t>Eletroduto de PVC de 3”</t>
  </si>
  <si>
    <t>Luva para eletroduto de PVC de 3”</t>
  </si>
  <si>
    <t>Curva para eletroduto de PVC de 3”</t>
  </si>
  <si>
    <t>SF-01903</t>
  </si>
  <si>
    <t>Fonte industrial 15 W</t>
  </si>
  <si>
    <t>SF-01904</t>
  </si>
  <si>
    <t>Fonte industrial 35 W</t>
  </si>
  <si>
    <t>SF-01905</t>
  </si>
  <si>
    <t>Fonte industrial 60 W</t>
  </si>
  <si>
    <t>SF-01906</t>
  </si>
  <si>
    <t>Fonte industrial 120 W</t>
  </si>
  <si>
    <t>SF-01907</t>
  </si>
  <si>
    <t>Transformador de comando 100 VA</t>
  </si>
  <si>
    <t>SF-01908</t>
  </si>
  <si>
    <t>Transformador de comando 300 VA</t>
  </si>
  <si>
    <t>SF-01909</t>
  </si>
  <si>
    <t>Chave Seccionadora Saca Fusível 100 A</t>
  </si>
  <si>
    <t>SF-01910</t>
  </si>
  <si>
    <t>Chave Seccionadora Saca Fusível 160 A</t>
  </si>
  <si>
    <t>SF-01911</t>
  </si>
  <si>
    <t>Chave Seccionadora Saca Fusível 250 A</t>
  </si>
  <si>
    <t>SF-01912</t>
  </si>
  <si>
    <t>Chave Seccionadora Saca Fusível 400 A</t>
  </si>
  <si>
    <t>SF-01913</t>
  </si>
  <si>
    <t>Porta fusível cartucho</t>
  </si>
  <si>
    <t>SF-01914</t>
  </si>
  <si>
    <t>Fusível cartucho</t>
  </si>
  <si>
    <t>Base fusível NH 00 / NH 000</t>
  </si>
  <si>
    <t>Base fusível NH 1</t>
  </si>
  <si>
    <t>Base fusível NH 2</t>
  </si>
  <si>
    <t>Base fusível NH 3</t>
  </si>
  <si>
    <t>Fusível NH 000</t>
  </si>
  <si>
    <t>SF-01920</t>
  </si>
  <si>
    <t>Fusível NH 00 Ultrarrápido</t>
  </si>
  <si>
    <t>Fusível NH 1</t>
  </si>
  <si>
    <t>SF-01922</t>
  </si>
  <si>
    <t>Fusível NH 1 Ultrarrápido</t>
  </si>
  <si>
    <t>Fusível NH 2</t>
  </si>
  <si>
    <t>SF-01924</t>
  </si>
  <si>
    <t>Fusível NH 2 Ultrarrápido</t>
  </si>
  <si>
    <t>Fusível NH 3</t>
  </si>
  <si>
    <t>SF-01926</t>
  </si>
  <si>
    <t>Fusível NH 3 Ultrarrápido</t>
  </si>
  <si>
    <t>SF-01927</t>
  </si>
  <si>
    <t>Kit base fusível Diazed</t>
  </si>
  <si>
    <t>Fusível Diazed</t>
  </si>
  <si>
    <t>SF-01929</t>
  </si>
  <si>
    <t>Poste balizador para jardim 50cm</t>
  </si>
  <si>
    <t>SF-01930</t>
  </si>
  <si>
    <t>Poste balizador para jardim 80cm</t>
  </si>
  <si>
    <t>SF-01931</t>
  </si>
  <si>
    <t>Luminária LED para poste 20 W</t>
  </si>
  <si>
    <t>SF-01932</t>
  </si>
  <si>
    <t>Luminária LED para poste 30 W</t>
  </si>
  <si>
    <t>SF-01933</t>
  </si>
  <si>
    <t>Luminária LED para poste 60 W</t>
  </si>
  <si>
    <t>SF-01934</t>
  </si>
  <si>
    <t>Luminária LED para poste 90 W</t>
  </si>
  <si>
    <t>SF-01935</t>
  </si>
  <si>
    <t>Luminária LED para poste 120 W</t>
  </si>
  <si>
    <t>SF-01936</t>
  </si>
  <si>
    <t xml:space="preserve">Luminária LED para poste 150 W </t>
  </si>
  <si>
    <t>SF-01937</t>
  </si>
  <si>
    <t>Luminária LED para poste 210 W</t>
  </si>
  <si>
    <t>SF-01938</t>
  </si>
  <si>
    <t>Luminária LED Wall Washer 36 W</t>
  </si>
  <si>
    <t>SF-01939</t>
  </si>
  <si>
    <t>Luminária LED Wall Washer 72 W</t>
  </si>
  <si>
    <t>SF-01940</t>
  </si>
  <si>
    <t>Luminária tipo balizador de solo</t>
  </si>
  <si>
    <t>SF-01941</t>
  </si>
  <si>
    <t>Luminária para poste 70 W</t>
  </si>
  <si>
    <t>SF-01942</t>
  </si>
  <si>
    <t>Luminária para poste 250 W</t>
  </si>
  <si>
    <t>SF-01943</t>
  </si>
  <si>
    <t>Luminária para poste 400 W</t>
  </si>
  <si>
    <t>Poste reto 3 m</t>
  </si>
  <si>
    <t>SF-01945</t>
  </si>
  <si>
    <t>Poste reto 5 m</t>
  </si>
  <si>
    <t>Poste curvo simples 8 m</t>
  </si>
  <si>
    <t>SF-01947</t>
  </si>
  <si>
    <t>Poste curvo simples 12 m</t>
  </si>
  <si>
    <t>Poste curvo duplo 8 m</t>
  </si>
  <si>
    <t xml:space="preserve">Braço para iluminação </t>
  </si>
  <si>
    <t>SF-01950</t>
  </si>
  <si>
    <t xml:space="preserve">Suporte para luminária de poste simples </t>
  </si>
  <si>
    <t>SF-01951</t>
  </si>
  <si>
    <t>Suporte para luminária de poste duplo</t>
  </si>
  <si>
    <t>SF-01952</t>
  </si>
  <si>
    <t>Suporte para luminária de poste quadruplo</t>
  </si>
  <si>
    <t>SF-01953</t>
  </si>
  <si>
    <t>Globo para luminária</t>
  </si>
  <si>
    <t>SF-01954</t>
  </si>
  <si>
    <t>Luminária retangular para poste</t>
  </si>
  <si>
    <t>SF-01955</t>
  </si>
  <si>
    <t>Poste globo duplo</t>
  </si>
  <si>
    <t>SF-01956</t>
  </si>
  <si>
    <t>Bloco autônomo de emergência 500 lumens</t>
  </si>
  <si>
    <t>SF-01957</t>
  </si>
  <si>
    <t xml:space="preserve">Bloco autônomo de emergência 1000 lumens </t>
  </si>
  <si>
    <t>SF-01958</t>
  </si>
  <si>
    <t>Bloco autônomo de emergência 1500 lumens</t>
  </si>
  <si>
    <t>SF-01959</t>
  </si>
  <si>
    <t xml:space="preserve">Bloco autônomo de emergência 2400 lumens </t>
  </si>
  <si>
    <t>SF-01960</t>
  </si>
  <si>
    <t>Fita de LED (baixa densidade de potência)</t>
  </si>
  <si>
    <t>SF-01961</t>
  </si>
  <si>
    <t>Fita de LED (alta densidade de potência)</t>
  </si>
  <si>
    <t>SF-01962</t>
  </si>
  <si>
    <t>Fita de LED (baixa densidade de potência) IP65</t>
  </si>
  <si>
    <t>SF-01963</t>
  </si>
  <si>
    <t>Fita de LED (alta densidade de potência) IP65</t>
  </si>
  <si>
    <t>SF-01964</t>
  </si>
  <si>
    <t>Lâmpada LED Dicróica</t>
  </si>
  <si>
    <t>SF-01965</t>
  </si>
  <si>
    <t>Lâmpada LED PAR 20</t>
  </si>
  <si>
    <t>SF-01966</t>
  </si>
  <si>
    <t>Lâmpada LED PAR 30</t>
  </si>
  <si>
    <t>SF-01967</t>
  </si>
  <si>
    <t>Lâmpada LED PAR 30 Alta Intensidade</t>
  </si>
  <si>
    <t>SF-01968</t>
  </si>
  <si>
    <t>Lâmpada LED PAR 38</t>
  </si>
  <si>
    <t>SF-01969</t>
  </si>
  <si>
    <t>Lâmpada LED PAR 20 IP65</t>
  </si>
  <si>
    <t>SF-01970</t>
  </si>
  <si>
    <t>Lâmpada LED PAR 30 IP65</t>
  </si>
  <si>
    <t>SF-01971</t>
  </si>
  <si>
    <t>Lâmpada LED PAR 38 IP65</t>
  </si>
  <si>
    <t>SF-01972</t>
  </si>
  <si>
    <t>Lâmpada LED Bulbo 6 W</t>
  </si>
  <si>
    <t>SF-01973</t>
  </si>
  <si>
    <t>Lâmpada LED Bulbo 8 W</t>
  </si>
  <si>
    <t>SF-01974</t>
  </si>
  <si>
    <t>Lâmpada LED Bulbo 9,5 W</t>
  </si>
  <si>
    <t>SF-01975</t>
  </si>
  <si>
    <t>Lâmpada LED Bulbo 12 W</t>
  </si>
  <si>
    <t>SF-01976</t>
  </si>
  <si>
    <t>Lâmpada LED 17 W</t>
  </si>
  <si>
    <t>SF-01977</t>
  </si>
  <si>
    <t>Lâmpada LED 30 W</t>
  </si>
  <si>
    <t>SF-01978</t>
  </si>
  <si>
    <t>Lâmpada LED 40 W</t>
  </si>
  <si>
    <t>SF-01979</t>
  </si>
  <si>
    <t>Lâmpada LED 65 W</t>
  </si>
  <si>
    <t>SF-01980</t>
  </si>
  <si>
    <t>Lâmpada LED 80 W</t>
  </si>
  <si>
    <t>SF-01981</t>
  </si>
  <si>
    <t>Lâmpada LED 100 W</t>
  </si>
  <si>
    <t>SF-01982</t>
  </si>
  <si>
    <t>Lâmpada LED 120 W</t>
  </si>
  <si>
    <t>SF-01983</t>
  </si>
  <si>
    <t>Lâmpada LED Tipo Vela</t>
  </si>
  <si>
    <t>SF-01984</t>
  </si>
  <si>
    <t>Lâmpada LED Tipo Bolinha</t>
  </si>
  <si>
    <t>SF-01985</t>
  </si>
  <si>
    <t>Lâmpada LED Tipo R 63</t>
  </si>
  <si>
    <t>SF-01986</t>
  </si>
  <si>
    <t>Tubo LED T5 7,5 W</t>
  </si>
  <si>
    <t>SF-01987</t>
  </si>
  <si>
    <t>Tubo LED T5 15 W</t>
  </si>
  <si>
    <t>SF-01988</t>
  </si>
  <si>
    <t>Tubo LED T5 26 W HO</t>
  </si>
  <si>
    <t>SF-01989</t>
  </si>
  <si>
    <t>Tubo LED T8 9 W</t>
  </si>
  <si>
    <t>SF-01990</t>
  </si>
  <si>
    <t>Tubo LED T8 18 W</t>
  </si>
  <si>
    <t>SF-01991</t>
  </si>
  <si>
    <t>Tubo LED T8 18 W HO</t>
  </si>
  <si>
    <t>SF-01992</t>
  </si>
  <si>
    <t>Lâmpada fluorescente T5 14 W</t>
  </si>
  <si>
    <t>SF-01993</t>
  </si>
  <si>
    <t>Lâmpada fluorescente T5 28 W</t>
  </si>
  <si>
    <t>SF-01994</t>
  </si>
  <si>
    <t>Lâmpada fluorescente T8 16 W</t>
  </si>
  <si>
    <t>SF-01995</t>
  </si>
  <si>
    <t>Lâmpada fluorescente T8 32 W</t>
  </si>
  <si>
    <t>SF-01996</t>
  </si>
  <si>
    <t>Lâmpada PL 9 W</t>
  </si>
  <si>
    <t>SF-01997</t>
  </si>
  <si>
    <t>Lâmpada PL 26 W</t>
  </si>
  <si>
    <t>SF-01998</t>
  </si>
  <si>
    <t>Lâmpada PL 36 W</t>
  </si>
  <si>
    <t>SF-01999</t>
  </si>
  <si>
    <t>Lâmpada Vapor Metálico 70 W</t>
  </si>
  <si>
    <t>SF-02000</t>
  </si>
  <si>
    <t>Lâmpada Vapor Metálico 150 W</t>
  </si>
  <si>
    <t>SF-02001</t>
  </si>
  <si>
    <t>Lâmpada Vapor Metálico 250 W</t>
  </si>
  <si>
    <t>SF-02002</t>
  </si>
  <si>
    <t>Lâmpada Vapor Metálico 400 W</t>
  </si>
  <si>
    <t>SF-02003</t>
  </si>
  <si>
    <t>Lâmpada Vapor Metálico 2000 W</t>
  </si>
  <si>
    <t>SF-02004</t>
  </si>
  <si>
    <t>Lâmpada Halógena 300 W</t>
  </si>
  <si>
    <t>SF-02005</t>
  </si>
  <si>
    <t xml:space="preserve">Luminária Plafon LED Slim 15 W </t>
  </si>
  <si>
    <t>SF-02006</t>
  </si>
  <si>
    <t xml:space="preserve">Luminária Plafon LED Slim 24 W </t>
  </si>
  <si>
    <t>SF-02007</t>
  </si>
  <si>
    <t>Luminária LED Downlight 14 W</t>
  </si>
  <si>
    <t>SF-02008</t>
  </si>
  <si>
    <t>Luminária LED Downlight 25 W</t>
  </si>
  <si>
    <t>SF-02009</t>
  </si>
  <si>
    <t>Luminária LED Downlight 35 W</t>
  </si>
  <si>
    <t>SF-02010</t>
  </si>
  <si>
    <t>Luminária Hermética 2 x 14 W</t>
  </si>
  <si>
    <t>SF-02011</t>
  </si>
  <si>
    <t>Luminária Hermética 28 W</t>
  </si>
  <si>
    <t>SF-02012</t>
  </si>
  <si>
    <t>Luminária Hermética 2 x 28 W</t>
  </si>
  <si>
    <t>SF-02013</t>
  </si>
  <si>
    <t xml:space="preserve">Luminária LED Highbay 60 W </t>
  </si>
  <si>
    <t>SF-02014</t>
  </si>
  <si>
    <t xml:space="preserve">Luminária LED Highbay 80 W </t>
  </si>
  <si>
    <t>SF-02015</t>
  </si>
  <si>
    <t>Luminária LED Highbay 120 W</t>
  </si>
  <si>
    <t>SF-02016</t>
  </si>
  <si>
    <t>Luminária LED Highbay 150 W</t>
  </si>
  <si>
    <t>SF-02017</t>
  </si>
  <si>
    <t xml:space="preserve">Luminária LED Highbay 200 W </t>
  </si>
  <si>
    <t>SF-02018</t>
  </si>
  <si>
    <t>Luminária LED Linear 8 W</t>
  </si>
  <si>
    <t>SF-02019</t>
  </si>
  <si>
    <t>Luminária LED Linear 14 W</t>
  </si>
  <si>
    <t>SF-02020</t>
  </si>
  <si>
    <t>Luminária LED Linear 20 W</t>
  </si>
  <si>
    <t>SF-02021</t>
  </si>
  <si>
    <t>Luminária LED Linear tipo calha 16 W</t>
  </si>
  <si>
    <t>SF-02022</t>
  </si>
  <si>
    <t>Luminária LED Linear tipo calha 32 W</t>
  </si>
  <si>
    <t>SF-02023</t>
  </si>
  <si>
    <t>Luminária spot de sobrepor</t>
  </si>
  <si>
    <t>SF-02024</t>
  </si>
  <si>
    <t>Luminária spot de embutir</t>
  </si>
  <si>
    <t>SF-02025</t>
  </si>
  <si>
    <t>Luminária arandela</t>
  </si>
  <si>
    <t>SF-02026</t>
  </si>
  <si>
    <t>Luminária plafon 30 cm</t>
  </si>
  <si>
    <t>SF-02027</t>
  </si>
  <si>
    <t>Luminária plafon 40 cm</t>
  </si>
  <si>
    <t>SF-02028</t>
  </si>
  <si>
    <t>Luminária plafon LED redondo 10 W</t>
  </si>
  <si>
    <t>SF-02029</t>
  </si>
  <si>
    <t>Luminária plafon LED redondo 16 W</t>
  </si>
  <si>
    <t>SF-02030</t>
  </si>
  <si>
    <t>Luminária plafon LED redondo 20 W</t>
  </si>
  <si>
    <t>SF-02031</t>
  </si>
  <si>
    <t>Luminária T5 2 x 14 W de embutir</t>
  </si>
  <si>
    <t>SF-02032</t>
  </si>
  <si>
    <t>Luminária T5 2 x 14 W de sobrepor</t>
  </si>
  <si>
    <t>SF-02033</t>
  </si>
  <si>
    <t>Luminária T5 2 x 28 W de embutir</t>
  </si>
  <si>
    <t>SF-02034</t>
  </si>
  <si>
    <t>Luminária T5 2 x 28 W de sobrepor</t>
  </si>
  <si>
    <t>SF-02035</t>
  </si>
  <si>
    <t>Luminária tartaruga</t>
  </si>
  <si>
    <t>SF-02036</t>
  </si>
  <si>
    <t>Projetor LED para o Plenário Senado Federal</t>
  </si>
  <si>
    <t>SF-02037</t>
  </si>
  <si>
    <t>Receptáculo E27</t>
  </si>
  <si>
    <t>SF-02038</t>
  </si>
  <si>
    <t>Driver para LED 30 W</t>
  </si>
  <si>
    <t>SF-02039</t>
  </si>
  <si>
    <t>Driver para LED 60 W</t>
  </si>
  <si>
    <t>SF-02040</t>
  </si>
  <si>
    <t>Driver para LED 30 W IP65</t>
  </si>
  <si>
    <t>SF-02041</t>
  </si>
  <si>
    <t>Driver para LED 60 W IP65</t>
  </si>
  <si>
    <t>SF-02042</t>
  </si>
  <si>
    <t>Driver para LED 320 W</t>
  </si>
  <si>
    <t>SF-02043</t>
  </si>
  <si>
    <t>Driver para LED corrente constante 350 mA</t>
  </si>
  <si>
    <t>SF-02044</t>
  </si>
  <si>
    <t>Driver para LED corrente constante 700 mA</t>
  </si>
  <si>
    <t>SF-02045</t>
  </si>
  <si>
    <t>Reator para 1 lâmpada fluorescente T5</t>
  </si>
  <si>
    <t>SF-02046</t>
  </si>
  <si>
    <t>Reator para 2 lâmpadas fluorescentes T5</t>
  </si>
  <si>
    <t>SF-02047</t>
  </si>
  <si>
    <t>Reator para 1 lâmpada fluorescente T8 16 W</t>
  </si>
  <si>
    <t>SF-02048</t>
  </si>
  <si>
    <t>Reator para 2 lâmpadas fluorescentes T8 16 W</t>
  </si>
  <si>
    <t>SF-02049</t>
  </si>
  <si>
    <t>Reator para 1 lâmpada fluorescente T8 32 W</t>
  </si>
  <si>
    <t>SF-02050</t>
  </si>
  <si>
    <t>Reator para 2 lâmpadas fluorescentes T8 32 W</t>
  </si>
  <si>
    <t>SF-02051</t>
  </si>
  <si>
    <t>Reator para lâmpadas de descarga 70 W</t>
  </si>
  <si>
    <t>SF-02052</t>
  </si>
  <si>
    <t>Reator para lâmpadas de descarga 150 W</t>
  </si>
  <si>
    <t>SF-02053</t>
  </si>
  <si>
    <t>Reator para lâmpadas de descarga 250 W</t>
  </si>
  <si>
    <t>SF-02054</t>
  </si>
  <si>
    <t>Reator para lâmpadas de descarga 400 W</t>
  </si>
  <si>
    <t>SF-02055</t>
  </si>
  <si>
    <t>Reator para lâmpadas de descarga 2000 W</t>
  </si>
  <si>
    <t>SF-02056</t>
  </si>
  <si>
    <t>Reator para lâmpada PL até 42 W</t>
  </si>
  <si>
    <t>SF-02057</t>
  </si>
  <si>
    <t>Refletor LED 10 W IP65</t>
  </si>
  <si>
    <t>SF-02058</t>
  </si>
  <si>
    <t>Refletor LED 30 W IP65</t>
  </si>
  <si>
    <t>SF-02059</t>
  </si>
  <si>
    <t>Refletor LED 50 W IP65</t>
  </si>
  <si>
    <t>SF-02060</t>
  </si>
  <si>
    <t xml:space="preserve">Refletor LED 100 W IP65 </t>
  </si>
  <si>
    <t>SF-02061</t>
  </si>
  <si>
    <t>Refletor LED 150 W IP65</t>
  </si>
  <si>
    <t>SF-02062</t>
  </si>
  <si>
    <t>Refletor LED 200 W IP65</t>
  </si>
  <si>
    <t>SF-02063</t>
  </si>
  <si>
    <t>Refletor LED 20 W IP65 com sensor</t>
  </si>
  <si>
    <t>SF-02064</t>
  </si>
  <si>
    <t>Trilho eletrificado para iluminação</t>
  </si>
  <si>
    <t>SF-02065</t>
  </si>
  <si>
    <t>Ponteira para trilho eletrificado para iluminação</t>
  </si>
  <si>
    <t>SF-02066</t>
  </si>
  <si>
    <t>Fixador de teto para trilho eletrificado para iluminação</t>
  </si>
  <si>
    <t>SF-02067</t>
  </si>
  <si>
    <t>Conexão reta para trilho eletrificado para iluminação</t>
  </si>
  <si>
    <t>SF-02068</t>
  </si>
  <si>
    <t>Conexão 90 graus para trilho eletrificado para iluminação</t>
  </si>
  <si>
    <t>SF-02069</t>
  </si>
  <si>
    <t>Conexão T para trilho eletrificado para iluminação</t>
  </si>
  <si>
    <t>SF-02070</t>
  </si>
  <si>
    <t>Conexão cruz para trilho eletrificado para iluminação</t>
  </si>
  <si>
    <t>SF-02071</t>
  </si>
  <si>
    <t>Plug para trilho eletrificado para iluminação</t>
  </si>
  <si>
    <t>SF-02072</t>
  </si>
  <si>
    <t>Spot para trilho eletrificado para iluminação</t>
  </si>
  <si>
    <t>SF-02073</t>
  </si>
  <si>
    <t>Mão francesa simples</t>
  </si>
  <si>
    <t>SF-02074</t>
  </si>
  <si>
    <t>Mão francesa dupla</t>
  </si>
  <si>
    <t>SF-02075</t>
  </si>
  <si>
    <t>Mão francesa reforçada</t>
  </si>
  <si>
    <t>Chumbador 1/4”</t>
  </si>
  <si>
    <t>SF-02077</t>
  </si>
  <si>
    <t>Chumbador 5/16”</t>
  </si>
  <si>
    <t>SF-02078</t>
  </si>
  <si>
    <t>Chumbador 3/8”</t>
  </si>
  <si>
    <t>SF-02079</t>
  </si>
  <si>
    <t>Barra roscada 1/4”</t>
  </si>
  <si>
    <t>SF-02080</t>
  </si>
  <si>
    <t>Barra roscada 5/16”</t>
  </si>
  <si>
    <t>SF-02081</t>
  </si>
  <si>
    <t>Barra roscada 3/8”</t>
  </si>
  <si>
    <t xml:space="preserve">Caixa 4" x 2" de embutir para alvenaria </t>
  </si>
  <si>
    <t xml:space="preserve">Caixa 4" x 4" de embutir para alvenaria </t>
  </si>
  <si>
    <t>SF-02084</t>
  </si>
  <si>
    <t xml:space="preserve">Caixa 4" x 2" para drywall </t>
  </si>
  <si>
    <t>SF-02085</t>
  </si>
  <si>
    <t xml:space="preserve">Caixa 4" x 4" para drywall </t>
  </si>
  <si>
    <t>SF-02086</t>
  </si>
  <si>
    <t xml:space="preserve">Caixa de passagem em alumínio 100 mm x 100 mm x 50 mm </t>
  </si>
  <si>
    <t>SF-02087</t>
  </si>
  <si>
    <t>Caixa de passagem em alumínio 150 mm x 150 mm x 100 mm</t>
  </si>
  <si>
    <t>SF-02088</t>
  </si>
  <si>
    <t xml:space="preserve">Caixa de passagem em alumínio 200 mm x 200 mm x 100 mm </t>
  </si>
  <si>
    <t>SF-02089</t>
  </si>
  <si>
    <t>Caixa de passagem em alumínio 300 mm x 300 mm x 120 mm</t>
  </si>
  <si>
    <t>SF-02090</t>
  </si>
  <si>
    <t>Caixa de passagem em alumínio 400 mm x 400 mm x 200 mm</t>
  </si>
  <si>
    <t>Caixa de passagem em aço 400 mm x 400 mm x 150 mm</t>
  </si>
  <si>
    <t>SF-02092</t>
  </si>
  <si>
    <t xml:space="preserve">Caixa de passagem em PVC 150 mm x 150 mm x 75 mm </t>
  </si>
  <si>
    <t>SF-02093</t>
  </si>
  <si>
    <t>Caixa de passagem em PVC 200 mm x 200 mm x 85 mm</t>
  </si>
  <si>
    <t>Abraçadeira tipo D para eletroduto</t>
  </si>
  <si>
    <t>Abraçadeira tipo D (copo) copo para dutos/tubulações até 3”</t>
  </si>
  <si>
    <t>SF-02096</t>
  </si>
  <si>
    <t>Caixa para piso elevado</t>
  </si>
  <si>
    <t>SF-02097</t>
  </si>
  <si>
    <t>Passa cabo para piso elevado</t>
  </si>
  <si>
    <t>SF-02098</t>
  </si>
  <si>
    <t xml:space="preserve">Tampa cega metálica para caixas de piso 4" x 2" </t>
  </si>
  <si>
    <t>Tampa cega metálica para caixas de piso 4" x 4"</t>
  </si>
  <si>
    <t>SF-02100</t>
  </si>
  <si>
    <t xml:space="preserve">Tampa unha simples metálica para caixas de piso 4" x 2" </t>
  </si>
  <si>
    <t>SF-02101</t>
  </si>
  <si>
    <t xml:space="preserve">Tampa unha simples metálica para caixas de piso 4" x 4" </t>
  </si>
  <si>
    <t>SF-02102</t>
  </si>
  <si>
    <t xml:space="preserve">Tampa unha dupla metálica para caixas de piso 4" x 4" </t>
  </si>
  <si>
    <t>SF-02103</t>
  </si>
  <si>
    <t xml:space="preserve">Caixa de piso 4" x 2" </t>
  </si>
  <si>
    <t>SF-02104</t>
  </si>
  <si>
    <t xml:space="preserve">Caixa de piso 4" x 4" </t>
  </si>
  <si>
    <t>SF-02105</t>
  </si>
  <si>
    <t>Abraçadeira de nylon 13 mm</t>
  </si>
  <si>
    <t>SF-02106</t>
  </si>
  <si>
    <t>Abraçadeira de nylon 9 mm</t>
  </si>
  <si>
    <t>SF-02107</t>
  </si>
  <si>
    <t>Abraçadeira de nylon 7,5 mm</t>
  </si>
  <si>
    <t>SF-02108</t>
  </si>
  <si>
    <t>Abraçadeira de nylon 5 mm</t>
  </si>
  <si>
    <t>SF-02109</t>
  </si>
  <si>
    <t>Caixa ARStop</t>
  </si>
  <si>
    <t>SF-02110</t>
  </si>
  <si>
    <t>Conector de emenda rápida 2 vias</t>
  </si>
  <si>
    <t>SF-02111</t>
  </si>
  <si>
    <t>Conector de emenda rápida 3 vias</t>
  </si>
  <si>
    <t>SF-02112</t>
  </si>
  <si>
    <t>Conector de emenda rápida 5 vias</t>
  </si>
  <si>
    <t>SF-02113</t>
  </si>
  <si>
    <t>Tomada para perfilado e eletrocalha</t>
  </si>
  <si>
    <t>SF-02114</t>
  </si>
  <si>
    <t>Espelho 4" x 2"</t>
  </si>
  <si>
    <t>SF-02115</t>
  </si>
  <si>
    <t>Espelho 4" x 4"</t>
  </si>
  <si>
    <t>SF-02116</t>
  </si>
  <si>
    <t>Suporte para espelho 4" x 2"</t>
  </si>
  <si>
    <t>SF-02117</t>
  </si>
  <si>
    <t>Suporte para espelho 4" x 4"</t>
  </si>
  <si>
    <t>SF-02118</t>
  </si>
  <si>
    <t>SF-02119</t>
  </si>
  <si>
    <t>SF-02120</t>
  </si>
  <si>
    <t>Módulo tomada 10 A</t>
  </si>
  <si>
    <t>SF-02121</t>
  </si>
  <si>
    <t>Módulo tomada 20 A</t>
  </si>
  <si>
    <t>SF-02122</t>
  </si>
  <si>
    <t>Módulo interruptor simples</t>
  </si>
  <si>
    <t>SF-02123</t>
  </si>
  <si>
    <t>Módulo interruptor paralelo</t>
  </si>
  <si>
    <t>SF-02124</t>
  </si>
  <si>
    <t>Módulo interruptor intermediário</t>
  </si>
  <si>
    <t>SF-02125</t>
  </si>
  <si>
    <t>Módulo carregador USB</t>
  </si>
  <si>
    <t>SF-02126</t>
  </si>
  <si>
    <t>Módulo para conector RJ45</t>
  </si>
  <si>
    <t>SF-02127</t>
  </si>
  <si>
    <t>Módulo pulsador</t>
  </si>
  <si>
    <t>SF-02128</t>
  </si>
  <si>
    <t>SF-02129</t>
  </si>
  <si>
    <t>Módulo cabo coaxial</t>
  </si>
  <si>
    <t>SF-02130</t>
  </si>
  <si>
    <t>Módulo tomada 10 A para piso</t>
  </si>
  <si>
    <t>SF-02131</t>
  </si>
  <si>
    <t>Módulo tomada 20 A para piso</t>
  </si>
  <si>
    <t>SF-02132</t>
  </si>
  <si>
    <t>Módulo tomada de telefone para piso</t>
  </si>
  <si>
    <t>SF-02133</t>
  </si>
  <si>
    <t xml:space="preserve">Tomada 10 A para móveis </t>
  </si>
  <si>
    <t>SF-02134</t>
  </si>
  <si>
    <t>Tomada 20 A para móveis</t>
  </si>
  <si>
    <t>SF-02135</t>
  </si>
  <si>
    <t>Módulo tomada 10 A de encaixe</t>
  </si>
  <si>
    <t>SF-02136</t>
  </si>
  <si>
    <t>Módulo tomada 20 A de encaixe</t>
  </si>
  <si>
    <t>SF-02137</t>
  </si>
  <si>
    <t>Módulo campainha</t>
  </si>
  <si>
    <t>SF-02138</t>
  </si>
  <si>
    <t>Módulo dimmer</t>
  </si>
  <si>
    <t>SF-02139</t>
  </si>
  <si>
    <t xml:space="preserve">Leito 400 mm x 100 mm </t>
  </si>
  <si>
    <t>SF-02140</t>
  </si>
  <si>
    <t xml:space="preserve">Leito 600 mm x 100 mm </t>
  </si>
  <si>
    <t>SF-02141</t>
  </si>
  <si>
    <t xml:space="preserve">Leito 800 mm x 100 mm </t>
  </si>
  <si>
    <t>SF-02142</t>
  </si>
  <si>
    <t>Curva horizontal 90 graus para leito 400 mm x 100 mm</t>
  </si>
  <si>
    <t>SF-02143</t>
  </si>
  <si>
    <t>Curva vertical 90 graus para leito 400 mm x 100 mm</t>
  </si>
  <si>
    <t>SF-02144</t>
  </si>
  <si>
    <t>Tê horizontal 90 graus para leito 400 mm x 100 mm</t>
  </si>
  <si>
    <t>SF-02145</t>
  </si>
  <si>
    <t>Curva horizontal 90 graus para leito 600 mm x 100 mm</t>
  </si>
  <si>
    <t>SF-02146</t>
  </si>
  <si>
    <t>Curva vertical 90 graus para leito 600 mm x 100 mm</t>
  </si>
  <si>
    <t>SF-02147</t>
  </si>
  <si>
    <t>Tê horizontal 90 graus para leito 600 mm x 100 mm</t>
  </si>
  <si>
    <t>SF-02148</t>
  </si>
  <si>
    <t>Curva horizontal 90 graus para leito 800 mm x 100 mm</t>
  </si>
  <si>
    <t>SF-02149</t>
  </si>
  <si>
    <t>Curva vertical 90 graus para leito 800 mm x 100 mm</t>
  </si>
  <si>
    <t>SF-02150</t>
  </si>
  <si>
    <t>Tê horizontal 90 graus para leito 800 mm x 100 mm</t>
  </si>
  <si>
    <t>SF-02151</t>
  </si>
  <si>
    <t>Nobreak de 1 kVA</t>
  </si>
  <si>
    <t>SF-02152</t>
  </si>
  <si>
    <t>Nobreak de 2 kVA</t>
  </si>
  <si>
    <t>SF-02153</t>
  </si>
  <si>
    <t xml:space="preserve">Nobreak de 3 kVA </t>
  </si>
  <si>
    <t>SF-02154</t>
  </si>
  <si>
    <t>Bateria 7 Ah</t>
  </si>
  <si>
    <t>SF-02155</t>
  </si>
  <si>
    <t>Bateria 9 Ah</t>
  </si>
  <si>
    <t>SF-02156</t>
  </si>
  <si>
    <t>Bateria 12 Ah</t>
  </si>
  <si>
    <t>SF-02157</t>
  </si>
  <si>
    <t>Bateria 28 Ah</t>
  </si>
  <si>
    <t>SF-02158</t>
  </si>
  <si>
    <t>Bateria 40 Ah</t>
  </si>
  <si>
    <t>SF-02159</t>
  </si>
  <si>
    <t>Bateria 120 Ah</t>
  </si>
  <si>
    <t>SF-02160</t>
  </si>
  <si>
    <t>Perfilado 38x38 mm</t>
  </si>
  <si>
    <t>SF-02161</t>
  </si>
  <si>
    <t>Gancho curto para perfilado</t>
  </si>
  <si>
    <t>SF-02162</t>
  </si>
  <si>
    <t>Gancho longo para perfilado</t>
  </si>
  <si>
    <t>SF-02163</t>
  </si>
  <si>
    <t>Cantoneira ZZ para perfilado</t>
  </si>
  <si>
    <t>SF-02164</t>
  </si>
  <si>
    <t>Gancho curto de luminária para perfilado</t>
  </si>
  <si>
    <t>SF-02165</t>
  </si>
  <si>
    <t>Gancho longo de luminária para perfilado</t>
  </si>
  <si>
    <t>SF-02166</t>
  </si>
  <si>
    <t>Junta interna tipo I para perfilado</t>
  </si>
  <si>
    <t>SF-02167</t>
  </si>
  <si>
    <t>Junta interna tipo L para perfilado</t>
  </si>
  <si>
    <t>SF-02168</t>
  </si>
  <si>
    <t>Junta interna tipo T para perfilado</t>
  </si>
  <si>
    <t>SF-02169</t>
  </si>
  <si>
    <t>Junta interna tipo X para perfilado</t>
  </si>
  <si>
    <t>SF-02170</t>
  </si>
  <si>
    <t>Curva para perfilado</t>
  </si>
  <si>
    <t>SF-02171</t>
  </si>
  <si>
    <t>Sapata para perfilado</t>
  </si>
  <si>
    <t>SF-02172</t>
  </si>
  <si>
    <t>Saída de eletroduto para perfilado</t>
  </si>
  <si>
    <t>SF-02173</t>
  </si>
  <si>
    <t>Módulo acionador para fechaduras</t>
  </si>
  <si>
    <t>SF-02174</t>
  </si>
  <si>
    <t>Conjunto motor de portão industrial 2500 kg</t>
  </si>
  <si>
    <t>SF-02175</t>
  </si>
  <si>
    <t>Conjunto motor de portão industrial 2200 kg</t>
  </si>
  <si>
    <t>SF-02176</t>
  </si>
  <si>
    <t>Conjunto motor de portão pivotante</t>
  </si>
  <si>
    <t>SF-02177</t>
  </si>
  <si>
    <t>Fotocélula para portão</t>
  </si>
  <si>
    <t>SF-02178</t>
  </si>
  <si>
    <t>Central de controle para portão</t>
  </si>
  <si>
    <t>SF-02179</t>
  </si>
  <si>
    <t>Controle remoto para portão</t>
  </si>
  <si>
    <t>SF-02180</t>
  </si>
  <si>
    <t>Módulo botoeira para portão</t>
  </si>
  <si>
    <t>SF-02181</t>
  </si>
  <si>
    <t>Módulo relé para portão</t>
  </si>
  <si>
    <t>SF-02182</t>
  </si>
  <si>
    <t>Sinaleira para portão</t>
  </si>
  <si>
    <t>SF-02183</t>
  </si>
  <si>
    <t>Cremalheira para portão</t>
  </si>
  <si>
    <t>SF-02184</t>
  </si>
  <si>
    <t>Engrenagem para portão</t>
  </si>
  <si>
    <t>SF-02185</t>
  </si>
  <si>
    <t>Sensor de fim de curso para portão</t>
  </si>
  <si>
    <t>SF-02186</t>
  </si>
  <si>
    <t>Encoder para portão</t>
  </si>
  <si>
    <t>SF-02187</t>
  </si>
  <si>
    <t>Estator para motor de portão</t>
  </si>
  <si>
    <t>SF-02188</t>
  </si>
  <si>
    <t>Induzido para motor de portão</t>
  </si>
  <si>
    <t>SF-02189</t>
  </si>
  <si>
    <t>Campainha eletrônica</t>
  </si>
  <si>
    <t>SF-02190</t>
  </si>
  <si>
    <t>Relé acionado por controle remoto sem fio</t>
  </si>
  <si>
    <t>SF-02191</t>
  </si>
  <si>
    <t>Campainha sem fio</t>
  </si>
  <si>
    <t>SF-02192</t>
  </si>
  <si>
    <t>Botoeira para portões</t>
  </si>
  <si>
    <t>SF-02193</t>
  </si>
  <si>
    <t>Quadro de comando plástico 300 mm x 200 mm x 130 mm tampa opaca</t>
  </si>
  <si>
    <t>SF-02194</t>
  </si>
  <si>
    <t>Quadro de comando plástico 300 mm x 200 mm x 130 mm tampa transparente</t>
  </si>
  <si>
    <t>SF-02195</t>
  </si>
  <si>
    <t>Quadro de comando plástico 300 mm x 300 mm x 150 mm tampa opaca</t>
  </si>
  <si>
    <t>SF-02196</t>
  </si>
  <si>
    <t>Quadro de comando plástico 300 mm x 300 mm x 150 mm tampa transparente</t>
  </si>
  <si>
    <t>SF-02197</t>
  </si>
  <si>
    <t>Quadro de comando plástico 450 mm x 300 mm x 200 mm tampa opaca</t>
  </si>
  <si>
    <t>SF-02198</t>
  </si>
  <si>
    <t>Quadro de comando plástico 450 mm x 300 mm x 200 mm tampa transparente</t>
  </si>
  <si>
    <t>SF-02199</t>
  </si>
  <si>
    <t>Caixa para montagem 210 mm x 185 mm x 160 mm</t>
  </si>
  <si>
    <t>SF-02200</t>
  </si>
  <si>
    <t>Quadro 200 mm x 200 mm x 120 mm</t>
  </si>
  <si>
    <t>SF-02201</t>
  </si>
  <si>
    <t>Quadro 400 mm x 300 mm x 200 mm</t>
  </si>
  <si>
    <t>SF-02202</t>
  </si>
  <si>
    <t>Quadro 400 mm x 400 mm x 250 mm</t>
  </si>
  <si>
    <t>SF-02203</t>
  </si>
  <si>
    <t>Quadro 600 mm x 400 mm x 250 mm</t>
  </si>
  <si>
    <t>SF-02204</t>
  </si>
  <si>
    <t>Quadro 600 mm x 600 mm x 250 mm</t>
  </si>
  <si>
    <t>SF-02205</t>
  </si>
  <si>
    <t>Quadro 800 mm x 600 mm x 250 mm</t>
  </si>
  <si>
    <t>SF-02206</t>
  </si>
  <si>
    <t>Quadro 1000 mm x 600 mm x 300 mm</t>
  </si>
  <si>
    <t>SF-02207</t>
  </si>
  <si>
    <t>Quadro 1200 mm x 800 mm x 300 mm</t>
  </si>
  <si>
    <t>SF-02208</t>
  </si>
  <si>
    <t>Quadro autoportante 1800 mm x 600 mm x 600 mm</t>
  </si>
  <si>
    <t>SF-02209</t>
  </si>
  <si>
    <t>Quadro autoportante 1800 mm x 800 mm x 600 mm</t>
  </si>
  <si>
    <t>SF-02210</t>
  </si>
  <si>
    <t>Quadro autoportante 2000 mm x 600 mm x 600 mm</t>
  </si>
  <si>
    <t>SF-02211</t>
  </si>
  <si>
    <t>Quadro autoportante 2000 mm x 800 mm x 800 mm</t>
  </si>
  <si>
    <t>Quadro termoplástico para 12 disjuntores</t>
  </si>
  <si>
    <t>Quadro termoplástico para 24 disjuntores</t>
  </si>
  <si>
    <t>Quadro termoplástico para 36 disjuntores</t>
  </si>
  <si>
    <t>SF-02215</t>
  </si>
  <si>
    <t>Caixa de passagem 80 mm x 80 mm x 45 mm</t>
  </si>
  <si>
    <t>SF-02216</t>
  </si>
  <si>
    <t>Caixa de passagem 100 mm x 100 mm x 55 mm</t>
  </si>
  <si>
    <t>SF-02217</t>
  </si>
  <si>
    <t>Caixa de passagem 150 mm x 110 mm x 70 mm</t>
  </si>
  <si>
    <t>SF-02218</t>
  </si>
  <si>
    <t>Caixa de passagem 170 mm x 145 mm x 90 mm</t>
  </si>
  <si>
    <t>SF-02219</t>
  </si>
  <si>
    <t>Relé de interface</t>
  </si>
  <si>
    <t>SF-02220</t>
  </si>
  <si>
    <t>Relé programador horário</t>
  </si>
  <si>
    <t>SF-02221</t>
  </si>
  <si>
    <t>Relé de impulso</t>
  </si>
  <si>
    <t>SF-02222</t>
  </si>
  <si>
    <t>Relé monitor de tensão trifásico</t>
  </si>
  <si>
    <t>SF-02223</t>
  </si>
  <si>
    <t>Relé monitor de tensão monofásico</t>
  </si>
  <si>
    <t>SF-02224</t>
  </si>
  <si>
    <t>Relé monitor de corrente monofásico</t>
  </si>
  <si>
    <t>SF-02225</t>
  </si>
  <si>
    <t>Relé temporizador</t>
  </si>
  <si>
    <t>SF-02226</t>
  </si>
  <si>
    <t>Relé de nível</t>
  </si>
  <si>
    <t>SF-02227</t>
  </si>
  <si>
    <t>CLP Siemens LOGO</t>
  </si>
  <si>
    <t>SF-02228</t>
  </si>
  <si>
    <t>Módulo de expansão de 8 portas digitais para Siemens LOGO</t>
  </si>
  <si>
    <t>SF-02229</t>
  </si>
  <si>
    <t>Módulo de expansão de 16 portas digitais para Siemens LOGO</t>
  </si>
  <si>
    <t>SF-02230</t>
  </si>
  <si>
    <t>Módulo de expansão de entrada analógica para Siemens LOGO</t>
  </si>
  <si>
    <t>SF-02231</t>
  </si>
  <si>
    <t>Módulo de expansão de entrada de temperatura para Siemens LOGO</t>
  </si>
  <si>
    <t>SF-02232</t>
  </si>
  <si>
    <t>Módulo de expansão de saída analógica para Siemens LOGO</t>
  </si>
  <si>
    <t>SF-02233</t>
  </si>
  <si>
    <t>IHM para Siemens LOGO</t>
  </si>
  <si>
    <t>SF-02234</t>
  </si>
  <si>
    <t>Controlador de temperatura</t>
  </si>
  <si>
    <t>SF-02235</t>
  </si>
  <si>
    <t>Conversor de sinal analógico</t>
  </si>
  <si>
    <t>SF-02236</t>
  </si>
  <si>
    <t>Transmissor de temperatura</t>
  </si>
  <si>
    <t>SF-02237</t>
  </si>
  <si>
    <t>Termostato para painel</t>
  </si>
  <si>
    <t>SF-02238</t>
  </si>
  <si>
    <t>Multimedidor de grandezas elétricas</t>
  </si>
  <si>
    <t>SF-02239</t>
  </si>
  <si>
    <t>Multimedidor avançado de grandezas elétricas</t>
  </si>
  <si>
    <t>SF-02240</t>
  </si>
  <si>
    <t>Medidor de energia monofásico</t>
  </si>
  <si>
    <t>SF-02241</t>
  </si>
  <si>
    <t>Medidor de energia trifásico</t>
  </si>
  <si>
    <t>SF-02242</t>
  </si>
  <si>
    <t>Tapete isolante classe 0</t>
  </si>
  <si>
    <t>SF-02243</t>
  </si>
  <si>
    <t>Tapete isolante classe 2</t>
  </si>
  <si>
    <t>SF-02244</t>
  </si>
  <si>
    <t>Estrado isolante classe 2</t>
  </si>
  <si>
    <t>SF-02245</t>
  </si>
  <si>
    <t>Bastão de resgate</t>
  </si>
  <si>
    <t>SF-02246</t>
  </si>
  <si>
    <t>Transformador de potencial para medição de baixa tensão</t>
  </si>
  <si>
    <t>SF-02247</t>
  </si>
  <si>
    <t>Chave de fim de curso</t>
  </si>
  <si>
    <t>SF-02248</t>
  </si>
  <si>
    <t>Pressostato diferencial para ar</t>
  </si>
  <si>
    <t>SF-02249</t>
  </si>
  <si>
    <t>Sonda de temperatura PT100</t>
  </si>
  <si>
    <t>Sensor de presença externo</t>
  </si>
  <si>
    <t>SF-02251</t>
  </si>
  <si>
    <t>Relé fotoelétrico</t>
  </si>
  <si>
    <t>SF-02252</t>
  </si>
  <si>
    <t>Base para relé fotoelétrico</t>
  </si>
  <si>
    <t>SF-02253</t>
  </si>
  <si>
    <t>Eletrodo para relé de nível</t>
  </si>
  <si>
    <t>SF-02254</t>
  </si>
  <si>
    <t>Transformador de corrente termoplástico até 400 A</t>
  </si>
  <si>
    <t>SF-02255</t>
  </si>
  <si>
    <t>Transformador de corrente epóxi até 400 A</t>
  </si>
  <si>
    <t>SF-02256</t>
  </si>
  <si>
    <t>Transformador de corrente epóxi até 800 A</t>
  </si>
  <si>
    <t>SF-02257</t>
  </si>
  <si>
    <t>Transformador de corrente epóxi até 2000 A</t>
  </si>
  <si>
    <t>SF-02258</t>
  </si>
  <si>
    <t>Transmissor de nível hidrostático</t>
  </si>
  <si>
    <t>SF-02259</t>
  </si>
  <si>
    <t>Transmissor de pressão</t>
  </si>
  <si>
    <t>SF-02260</t>
  </si>
  <si>
    <t xml:space="preserve">Transmissor de nível ultrassônico </t>
  </si>
  <si>
    <t>SF-02261</t>
  </si>
  <si>
    <t>Soft-starter 10 A</t>
  </si>
  <si>
    <t>SF-02262</t>
  </si>
  <si>
    <t>Soft-starter 17 A</t>
  </si>
  <si>
    <t>SF-02263</t>
  </si>
  <si>
    <t>Soft-starter 24 A</t>
  </si>
  <si>
    <t>SF-02264</t>
  </si>
  <si>
    <t>Soft-starter 30 A</t>
  </si>
  <si>
    <t>SF-02265</t>
  </si>
  <si>
    <t>Soft-starter 44 A</t>
  </si>
  <si>
    <t>SF-02266</t>
  </si>
  <si>
    <t>Soft-starter 60 A</t>
  </si>
  <si>
    <t>SF-02267</t>
  </si>
  <si>
    <t>Soft-starter 85 A</t>
  </si>
  <si>
    <t>SF-02268</t>
  </si>
  <si>
    <t>Soft-starter 142 A</t>
  </si>
  <si>
    <t>SF-02269</t>
  </si>
  <si>
    <t>Interface homem-máquina para soft-starter</t>
  </si>
  <si>
    <t>SF-02270</t>
  </si>
  <si>
    <t>Inversor 10 A</t>
  </si>
  <si>
    <t>SF-02271</t>
  </si>
  <si>
    <t>Inversor 16 A</t>
  </si>
  <si>
    <t>SF-02272</t>
  </si>
  <si>
    <t>Inversor 24 A</t>
  </si>
  <si>
    <t>SF-02273</t>
  </si>
  <si>
    <t>Inversor 31 A</t>
  </si>
  <si>
    <t>SF-02274</t>
  </si>
  <si>
    <t>Inversor 39 A</t>
  </si>
  <si>
    <t>SF-02275</t>
  </si>
  <si>
    <t>Inversor 49 A</t>
  </si>
  <si>
    <t>SF-02276</t>
  </si>
  <si>
    <t>Inversor ABB ACS350</t>
  </si>
  <si>
    <t>SF-02277</t>
  </si>
  <si>
    <t>Inversor ABB ACS550</t>
  </si>
  <si>
    <t>SF-02278</t>
  </si>
  <si>
    <t>Inversor ABB ACS800</t>
  </si>
  <si>
    <t>SF-02279</t>
  </si>
  <si>
    <t>Barra chata de alumínio</t>
  </si>
  <si>
    <t>SF-02280</t>
  </si>
  <si>
    <t>Haste de aterramento 5/8" x 2,4 m</t>
  </si>
  <si>
    <t>SF-02281</t>
  </si>
  <si>
    <t>Haste de aterramento 5/8" x 3 m</t>
  </si>
  <si>
    <t>SF-02282</t>
  </si>
  <si>
    <t>Haste de aterramento 3/4" x 2,4 m</t>
  </si>
  <si>
    <t>SF-02283</t>
  </si>
  <si>
    <t>Haste de aterramento 3/4" x 3 m</t>
  </si>
  <si>
    <t>SF-02284</t>
  </si>
  <si>
    <t>Conector cabo/haste de aterramento</t>
  </si>
  <si>
    <t xml:space="preserve">Caixa de inspeção de aterramento 300 mm </t>
  </si>
  <si>
    <t>SF-02286</t>
  </si>
  <si>
    <t>Caixa de inspeção de aterramento 600 mm</t>
  </si>
  <si>
    <t>SF-02287</t>
  </si>
  <si>
    <t>Tampa simples para caixa de inspeção de aterramento</t>
  </si>
  <si>
    <t>SF-02288</t>
  </si>
  <si>
    <t>Tampa reforçada para caixa de inspeção de aterramento</t>
  </si>
  <si>
    <t>SF-02289</t>
  </si>
  <si>
    <t>Fita de sinalização para instalações subterrâneas</t>
  </si>
  <si>
    <t>Captor tipo Franklin</t>
  </si>
  <si>
    <t>Minicaptor 300 mm</t>
  </si>
  <si>
    <t xml:space="preserve">Minicaptor 600 mm </t>
  </si>
  <si>
    <t>SF-02293</t>
  </si>
  <si>
    <t>Mastro 2 m</t>
  </si>
  <si>
    <t>Mastro 3 m</t>
  </si>
  <si>
    <t>SF-02295</t>
  </si>
  <si>
    <t>Mastro 4 m</t>
  </si>
  <si>
    <t>SF-02296</t>
  </si>
  <si>
    <t>Mastro 6 m</t>
  </si>
  <si>
    <t>SF-02297</t>
  </si>
  <si>
    <t>Base para mastro</t>
  </si>
  <si>
    <t>SF-02298</t>
  </si>
  <si>
    <t>Estaiamento para mastro 1,5 m</t>
  </si>
  <si>
    <t>SF-02299</t>
  </si>
  <si>
    <t>Estaiamento para mastro 2 m</t>
  </si>
  <si>
    <t>SF-02300</t>
  </si>
  <si>
    <t>Estaiamento para mastro 3 m</t>
  </si>
  <si>
    <t>SF-02301</t>
  </si>
  <si>
    <t>Abraçadeira para aterramento de mastro</t>
  </si>
  <si>
    <t>SF-02302</t>
  </si>
  <si>
    <t>Sinalizador de topo com fotocélula</t>
  </si>
  <si>
    <t>SF-02303</t>
  </si>
  <si>
    <t>Mastro para sinalizador de topo</t>
  </si>
  <si>
    <t>SF-02304</t>
  </si>
  <si>
    <t>Suporte para sinalizador de topo em mastro</t>
  </si>
  <si>
    <t>SF-02305</t>
  </si>
  <si>
    <t>Grampo tipo X para alumínio</t>
  </si>
  <si>
    <t>SF-02306</t>
  </si>
  <si>
    <t>Grampo tipo X para cobre</t>
  </si>
  <si>
    <t>SF-02307</t>
  </si>
  <si>
    <t>Fixador para SPDA</t>
  </si>
  <si>
    <t>SF-02308</t>
  </si>
  <si>
    <t>SF-02309</t>
  </si>
  <si>
    <t>Adesivo estrutural</t>
  </si>
  <si>
    <t>SF-02311</t>
  </si>
  <si>
    <t>Conector de emenda e medição para SPDA</t>
  </si>
  <si>
    <t>SF-02312</t>
  </si>
  <si>
    <t>Conector para SPDA</t>
  </si>
  <si>
    <t>SF-02313</t>
  </si>
  <si>
    <t>Isolador curto para SPDA</t>
  </si>
  <si>
    <t>Isolador simples para SPDA</t>
  </si>
  <si>
    <t>SF-02315</t>
  </si>
  <si>
    <t>Isolador duplo para mastro para SPDA</t>
  </si>
  <si>
    <t>SF-02316</t>
  </si>
  <si>
    <t>Isolador reforçado para SPDA</t>
  </si>
  <si>
    <t>SF-02317</t>
  </si>
  <si>
    <t>SF-02318</t>
  </si>
  <si>
    <t>Isolador para telha para SPDA</t>
  </si>
  <si>
    <t>SF-02319</t>
  </si>
  <si>
    <t>Isolador duplo para mastro reforçado para SPDA</t>
  </si>
  <si>
    <t>SF-02320</t>
  </si>
  <si>
    <t>Cabo de aço galvanizado a fogo</t>
  </si>
  <si>
    <t>SF-02321</t>
  </si>
  <si>
    <t>Esticador de cabo de aço galvanizado a fogo</t>
  </si>
  <si>
    <t>SF-02322</t>
  </si>
  <si>
    <t>Clip para cabo de aço galvanizado a fogo</t>
  </si>
  <si>
    <t>SF-02323</t>
  </si>
  <si>
    <t>Sapatilha para cabo de aço galvanizado a fogo</t>
  </si>
  <si>
    <t>SF-02324</t>
  </si>
  <si>
    <t>Tampão em FFN, classe B125, forma retangular, modelo R1, abertura articulada, com caixilho, 40 cm x 60 cm</t>
  </si>
  <si>
    <t>SF-02325</t>
  </si>
  <si>
    <t>Tampão em FFN, classe B125, forma retangular, modelo R2, abertura articulada, com caixilho, 110 cm x 55 cm</t>
  </si>
  <si>
    <t>SF-02326</t>
  </si>
  <si>
    <t>Tampão em FFN, classe B125, forma circular, abertura articulada, com caixilho, DN 400</t>
  </si>
  <si>
    <t>SF-02327</t>
  </si>
  <si>
    <t>Tampão em FFN, classe D400, forma circular, abertura articulada, com caixilho, DN 400</t>
  </si>
  <si>
    <t>Tampão em FFN, classe D400, forma circular, abertura articulada, com caixilho, DN 600</t>
  </si>
  <si>
    <t>Tampão em FFN, classe B125, forma retangular, modelo T33, abertura articulada, com caixilho, 550 mm x 470 mm</t>
  </si>
  <si>
    <t>Tampão em FFN, classe A15, forma retangular, modelo T33, abertura simples, com caixilho, 550 mm x 470 mm</t>
  </si>
  <si>
    <t>SF-02331</t>
  </si>
  <si>
    <t>Filtro de linha 3 tomadas</t>
  </si>
  <si>
    <t>SF-02332</t>
  </si>
  <si>
    <t>Filtro de linha 4 tomadas</t>
  </si>
  <si>
    <t>SF-02333</t>
  </si>
  <si>
    <t>Filtro de linha 5 tomadas</t>
  </si>
  <si>
    <t>SF-02334</t>
  </si>
  <si>
    <t>Filtro de linha para rack 19 polegadas</t>
  </si>
  <si>
    <t>SF-02335</t>
  </si>
  <si>
    <t>Tomada industrial monofásica 16 A</t>
  </si>
  <si>
    <t>SF-02336</t>
  </si>
  <si>
    <t>Plugue industrial monofásico 16 A</t>
  </si>
  <si>
    <t>SF-02337</t>
  </si>
  <si>
    <t>Acoplamento industrial monofásico 16 A</t>
  </si>
  <si>
    <t>SF-02338</t>
  </si>
  <si>
    <t>Tomada industrial trifásica 16 A</t>
  </si>
  <si>
    <t>SF-02339</t>
  </si>
  <si>
    <t>Plugue industrial trifásico 16 A</t>
  </si>
  <si>
    <t>SF-02340</t>
  </si>
  <si>
    <t>Acoplamento industrial trifásico 16 A</t>
  </si>
  <si>
    <t>SF-02341</t>
  </si>
  <si>
    <t>Tomada industrial monofásica 32 A</t>
  </si>
  <si>
    <t>SF-02342</t>
  </si>
  <si>
    <t>Plugue industrial monofásico 32 A</t>
  </si>
  <si>
    <t>SF-02343</t>
  </si>
  <si>
    <t>Acoplamento industrial monofásico 32 A</t>
  </si>
  <si>
    <t>SF-02344</t>
  </si>
  <si>
    <t>Tomada industrial trifásica 32 A</t>
  </si>
  <si>
    <t>SF-02345</t>
  </si>
  <si>
    <t>Plugue industrial trifásico 32 A</t>
  </si>
  <si>
    <t>SF-02346</t>
  </si>
  <si>
    <t>Acoplamento industrial trifásico 32 A</t>
  </si>
  <si>
    <t>SF-02347</t>
  </si>
  <si>
    <t>Tomada industrial monofásica 63 A</t>
  </si>
  <si>
    <t>SF-02348</t>
  </si>
  <si>
    <t>Plugue industrial monofásico 63 A</t>
  </si>
  <si>
    <t>SF-02349</t>
  </si>
  <si>
    <t>Acoplamento industrial monofásico 63 A</t>
  </si>
  <si>
    <t>SF-02350</t>
  </si>
  <si>
    <t>Tomada industrial trifásica 63 A</t>
  </si>
  <si>
    <t>SF-02351</t>
  </si>
  <si>
    <t>Plugue industrial trifásico 63 A</t>
  </si>
  <si>
    <t>SF-02352</t>
  </si>
  <si>
    <t>Acoplamento industrial trifásico 63 A</t>
  </si>
  <si>
    <t>SF-02353</t>
  </si>
  <si>
    <t>Tomada para embutir em painel elétrico</t>
  </si>
  <si>
    <t>SF-02354</t>
  </si>
  <si>
    <t>Plugue macho 10 A</t>
  </si>
  <si>
    <t>SF-02355</t>
  </si>
  <si>
    <t>Plugue macho 20 A</t>
  </si>
  <si>
    <t>SF-02356</t>
  </si>
  <si>
    <t>Plugue macho 10 A 90 graus</t>
  </si>
  <si>
    <t>SF-02357</t>
  </si>
  <si>
    <t>Plugue macho 20 A 90 graus</t>
  </si>
  <si>
    <t>SF-02358</t>
  </si>
  <si>
    <t>Prolongador 10 A</t>
  </si>
  <si>
    <t>SF-02359</t>
  </si>
  <si>
    <t>Prolongador 20 A</t>
  </si>
  <si>
    <t>SF-02360</t>
  </si>
  <si>
    <t>Adaptador de plugue para tomadas</t>
  </si>
  <si>
    <t>SF-02361</t>
  </si>
  <si>
    <t>Cordão prolongador 0,8 m</t>
  </si>
  <si>
    <t>SF-02362</t>
  </si>
  <si>
    <t>Cordão prolongador 1,5 m</t>
  </si>
  <si>
    <t>Placa de sinalização em PVC 2 mm</t>
  </si>
  <si>
    <t>SF-02364</t>
  </si>
  <si>
    <t>Claviculário 20 chaves</t>
  </si>
  <si>
    <t>SF-02365</t>
  </si>
  <si>
    <t>Autotransformador 300 VA</t>
  </si>
  <si>
    <t>SF-02366</t>
  </si>
  <si>
    <t>Autotransformador 500 VA</t>
  </si>
  <si>
    <t>SF-02367</t>
  </si>
  <si>
    <t>Autotransformador 1000 VA</t>
  </si>
  <si>
    <t>SF-02368</t>
  </si>
  <si>
    <t>Análise físico-química de óleo isolante</t>
  </si>
  <si>
    <t>SF-02369</t>
  </si>
  <si>
    <t>Análise de gases dissolvidos em óleo isolante</t>
  </si>
  <si>
    <t>SF-02370</t>
  </si>
  <si>
    <t>Análise de teor de PCB em óleo isolante</t>
  </si>
  <si>
    <t>SF-02371</t>
  </si>
  <si>
    <t>Descarte de lâmpadas</t>
  </si>
  <si>
    <t>SF-02372</t>
  </si>
  <si>
    <t>Descarte de reatores e demais resíduos eletroeletrônicos</t>
  </si>
  <si>
    <t>SF-02373</t>
  </si>
  <si>
    <t>Aluguel de caminhão munck</t>
  </si>
  <si>
    <t>SF-02374</t>
  </si>
  <si>
    <t>Aluguel de plataforma aérea</t>
  </si>
  <si>
    <t>SF-02375</t>
  </si>
  <si>
    <t>Aluguel de empilhadeira</t>
  </si>
  <si>
    <t>SF-02376</t>
  </si>
  <si>
    <t>Aluguel de banco de cargas 400 kW</t>
  </si>
  <si>
    <t>SF-02377</t>
  </si>
  <si>
    <t>Aluguel de grupo motor-gerador de 200 kVA</t>
  </si>
  <si>
    <t>SF-02378</t>
  </si>
  <si>
    <t>Hora de funcionamento grupo motor-gerador de 200 kVA</t>
  </si>
  <si>
    <t>Solda exotérmica</t>
  </si>
  <si>
    <t>SF-02380</t>
  </si>
  <si>
    <t>Chave de abertura de painéis</t>
  </si>
  <si>
    <t>SF-02381</t>
  </si>
  <si>
    <t>Caixa de ferramentas 40 cm</t>
  </si>
  <si>
    <t>SF-02382</t>
  </si>
  <si>
    <t>Caixa de ferramentas 50 cm</t>
  </si>
  <si>
    <t>SF-02383</t>
  </si>
  <si>
    <t>Carrinho de ferramentas</t>
  </si>
  <si>
    <t>SF-02384</t>
  </si>
  <si>
    <t>Transpalete manual</t>
  </si>
  <si>
    <t>SF-02385</t>
  </si>
  <si>
    <t>Carrinho plataforma</t>
  </si>
  <si>
    <t>SF-02386</t>
  </si>
  <si>
    <t>Mesa hidráulica pantográfica</t>
  </si>
  <si>
    <t>SF-02387</t>
  </si>
  <si>
    <t>Lanterna</t>
  </si>
  <si>
    <t>SF-02388</t>
  </si>
  <si>
    <t>Cavalete de sinalização de manutenção</t>
  </si>
  <si>
    <t>Cone de sinalização</t>
  </si>
  <si>
    <t>SF-02390</t>
  </si>
  <si>
    <t>Detector de tensão sem contato de baixa tensão</t>
  </si>
  <si>
    <t>SF-02391</t>
  </si>
  <si>
    <t>Detector de tensão sem contato de média tensão</t>
  </si>
  <si>
    <t>SF-02392</t>
  </si>
  <si>
    <t>Conjunto de aterramento temporário para baixa tensão</t>
  </si>
  <si>
    <t>SF-02393</t>
  </si>
  <si>
    <t>Conjunto de aterramento temporário para média tensão</t>
  </si>
  <si>
    <t>SF-02394</t>
  </si>
  <si>
    <t>Grampo de aterramento concha-bola</t>
  </si>
  <si>
    <t>SF-02395</t>
  </si>
  <si>
    <t>Lençol isolante classe 4</t>
  </si>
  <si>
    <t>SF-02396</t>
  </si>
  <si>
    <t xml:space="preserve">Bastão de resgate </t>
  </si>
  <si>
    <t>SF-02397</t>
  </si>
  <si>
    <t>Vara de manobra</t>
  </si>
  <si>
    <t>SF-02398</t>
  </si>
  <si>
    <t>Cadeado para disjuntores</t>
  </si>
  <si>
    <t>SF-02399</t>
  </si>
  <si>
    <t>Bloqueio para disjuntores</t>
  </si>
  <si>
    <t>SF-02400</t>
  </si>
  <si>
    <t>Etiqueta de bloqueio</t>
  </si>
  <si>
    <t>SF-02401</t>
  </si>
  <si>
    <t>Inflador de luvas</t>
  </si>
  <si>
    <t>SF-02402</t>
  </si>
  <si>
    <t>Protetor de cabos</t>
  </si>
  <si>
    <t>SF-02403</t>
  </si>
  <si>
    <t>Escada duplo acesso 4 degraus</t>
  </si>
  <si>
    <t>SF-02404</t>
  </si>
  <si>
    <t>Escada extensível 19 degraus</t>
  </si>
  <si>
    <t>SF-02405</t>
  </si>
  <si>
    <t>Andaime tubular 1 m por 1 m e 6 m de altura</t>
  </si>
  <si>
    <t>SF-02406</t>
  </si>
  <si>
    <t>Andaime tubular 1,5 m por 1 m e 6 m de altura</t>
  </si>
  <si>
    <t>SF-02407</t>
  </si>
  <si>
    <t>Plataforma de trabalho aéreo</t>
  </si>
  <si>
    <t>SF-02408</t>
  </si>
  <si>
    <t>Talabarte simples</t>
  </si>
  <si>
    <t>SF-02409</t>
  </si>
  <si>
    <t>Tripé para trabalho em altura e espaço confinado</t>
  </si>
  <si>
    <t>SF-02410</t>
  </si>
  <si>
    <t>Trava-quedas retrátil e guincho (3way) para tripé de trabalho em altura e espaço confinado</t>
  </si>
  <si>
    <t>SF-02411</t>
  </si>
  <si>
    <t>Corda semi-estática 11 mm</t>
  </si>
  <si>
    <t>SF-02412</t>
  </si>
  <si>
    <t>Mosquetão</t>
  </si>
  <si>
    <t>SF-02413</t>
  </si>
  <si>
    <t>Cinta de ancoragem com anéis</t>
  </si>
  <si>
    <t>SF-02414</t>
  </si>
  <si>
    <t>Trapézio para espaço confinado</t>
  </si>
  <si>
    <t>SF-02415</t>
  </si>
  <si>
    <t>Polia simples para corda</t>
  </si>
  <si>
    <t>SF-02416</t>
  </si>
  <si>
    <t>Alicate crimpador hidráulico</t>
  </si>
  <si>
    <t>SF-02417</t>
  </si>
  <si>
    <t>Crimpador/cortador de cabos a bateria</t>
  </si>
  <si>
    <t>SF-02418</t>
  </si>
  <si>
    <t>Ferramenta multifuncional para barramentos de cobre</t>
  </si>
  <si>
    <t>SF-02419</t>
  </si>
  <si>
    <t>Estampo furador hidráulico</t>
  </si>
  <si>
    <t>SF-02420</t>
  </si>
  <si>
    <t>Esmerilhadeira Angular de 5” com controle de velocidade</t>
  </si>
  <si>
    <t>SF-02421</t>
  </si>
  <si>
    <t>Furadeira de impacto 800 W</t>
  </si>
  <si>
    <t>SF-02422</t>
  </si>
  <si>
    <t>Furadeira de impacto sem fio</t>
  </si>
  <si>
    <t>SF-02423</t>
  </si>
  <si>
    <t>Furadeira/parafusadeira sem fio</t>
  </si>
  <si>
    <t>SF-02424</t>
  </si>
  <si>
    <t>Chave de impacto sem fio</t>
  </si>
  <si>
    <t>SF-02425</t>
  </si>
  <si>
    <t>Soprador de ar sem fio</t>
  </si>
  <si>
    <t>SF-02426</t>
  </si>
  <si>
    <t>Soprador/aspirador de pó</t>
  </si>
  <si>
    <t>SF-02427</t>
  </si>
  <si>
    <t>Soprador térmico</t>
  </si>
  <si>
    <t>SF-02428</t>
  </si>
  <si>
    <t>Rotulador</t>
  </si>
  <si>
    <t>SF-02429</t>
  </si>
  <si>
    <t xml:space="preserve">Cortadora de parede </t>
  </si>
  <si>
    <t>SF-02430</t>
  </si>
  <si>
    <t xml:space="preserve">Serra mármore </t>
  </si>
  <si>
    <t>SF-02431</t>
  </si>
  <si>
    <t>Grupo motor-gerador 3 kVA</t>
  </si>
  <si>
    <t>SF-02432</t>
  </si>
  <si>
    <t>Grupo motor-gerador 6 kVA</t>
  </si>
  <si>
    <t>SF-02433</t>
  </si>
  <si>
    <t>Ferro de solda 25 W</t>
  </si>
  <si>
    <t>SF-02434</t>
  </si>
  <si>
    <t>Ferro de solda 50 W</t>
  </si>
  <si>
    <t>SF-02435</t>
  </si>
  <si>
    <t>Hipot 30 kV</t>
  </si>
  <si>
    <t>SF-02436</t>
  </si>
  <si>
    <t>Serra rápida portátil</t>
  </si>
  <si>
    <t>SF-02437</t>
  </si>
  <si>
    <t>Policorte</t>
  </si>
  <si>
    <t>SF-02438</t>
  </si>
  <si>
    <t>Nível laser de linhas</t>
  </si>
  <si>
    <t>SF-02439</t>
  </si>
  <si>
    <t>Refletor a bateria</t>
  </si>
  <si>
    <t>SF-02440</t>
  </si>
  <si>
    <t>Microretífica</t>
  </si>
  <si>
    <t>SF-02441</t>
  </si>
  <si>
    <t>Motoesmeril 6 polegadas</t>
  </si>
  <si>
    <t>SF-02442</t>
  </si>
  <si>
    <t>Martelo perfurador rompedor 800 W</t>
  </si>
  <si>
    <t>SF-02443</t>
  </si>
  <si>
    <t>Furadeira de impacto 750 W</t>
  </si>
  <si>
    <t>SF-02444</t>
  </si>
  <si>
    <t>Serra tico-tico</t>
  </si>
  <si>
    <t>SF-02445</t>
  </si>
  <si>
    <t>Serra copo diamantada 25 mm</t>
  </si>
  <si>
    <t>SF-02446</t>
  </si>
  <si>
    <t>Serra copo diamantada 30 mm</t>
  </si>
  <si>
    <t>SF-02447</t>
  </si>
  <si>
    <t>Serra copo diamantada 35 mm</t>
  </si>
  <si>
    <t>SF-02448</t>
  </si>
  <si>
    <t>Serra copo diamantada 45 mm</t>
  </si>
  <si>
    <t>SF-02449</t>
  </si>
  <si>
    <t>Serra copo diamantada 50 mm</t>
  </si>
  <si>
    <t>SF-02450</t>
  </si>
  <si>
    <t>Serra copo diamantada 65 mm</t>
  </si>
  <si>
    <t>SF-02451</t>
  </si>
  <si>
    <t>Alicate de corte isolado 160 mm</t>
  </si>
  <si>
    <t>SF-02452</t>
  </si>
  <si>
    <t>Alicate de corte frontal isolado 160 mm</t>
  </si>
  <si>
    <t>SF-02453</t>
  </si>
  <si>
    <t>Alicate universal isolado 200 mm</t>
  </si>
  <si>
    <t>SF-02454</t>
  </si>
  <si>
    <t>Alicate bico reto isolado 160 mm</t>
  </si>
  <si>
    <t>SF-02455</t>
  </si>
  <si>
    <t>Alicate bico curvo isolado 160 mm</t>
  </si>
  <si>
    <t>SF-02456</t>
  </si>
  <si>
    <t>Alicate desencapador isolado 160 mm</t>
  </si>
  <si>
    <t>SF-02457</t>
  </si>
  <si>
    <t>Jogo de soquetes 1/2 isolado</t>
  </si>
  <si>
    <t>SF-02458</t>
  </si>
  <si>
    <t>Chave estrela 8 mm isolada</t>
  </si>
  <si>
    <t>SF-02459</t>
  </si>
  <si>
    <t>Chave fixa 9 mm isolada</t>
  </si>
  <si>
    <t>SF-02460</t>
  </si>
  <si>
    <t>Chave estrela 9 mm isolada</t>
  </si>
  <si>
    <t>SF-02461</t>
  </si>
  <si>
    <t>Chave fixa 10 mm isolada</t>
  </si>
  <si>
    <t>SF-02462</t>
  </si>
  <si>
    <t>Chave estrela 10 mm isolada</t>
  </si>
  <si>
    <t>SF-02463</t>
  </si>
  <si>
    <t>Chave fixa 11 mm isolada</t>
  </si>
  <si>
    <t>SF-02464</t>
  </si>
  <si>
    <t>Chave estrela 11 mm isolada</t>
  </si>
  <si>
    <t>SF-02465</t>
  </si>
  <si>
    <t>Chave fixa 12 mm isolada</t>
  </si>
  <si>
    <t>SF-02466</t>
  </si>
  <si>
    <t>Chave estrela 12 mm isolada</t>
  </si>
  <si>
    <t>SF-02467</t>
  </si>
  <si>
    <t>Chave fixa 13 mm isolada</t>
  </si>
  <si>
    <t>SF-02468</t>
  </si>
  <si>
    <t>Chave estrela 13 mm isolada</t>
  </si>
  <si>
    <t>SF-02469</t>
  </si>
  <si>
    <t>Chave fixa 14 mm isolada</t>
  </si>
  <si>
    <t>SF-02470</t>
  </si>
  <si>
    <t>Chave estrela 14 mm isolada</t>
  </si>
  <si>
    <t>SF-02471</t>
  </si>
  <si>
    <t>Chave fixa 15 mm isolada</t>
  </si>
  <si>
    <t>SF-02472</t>
  </si>
  <si>
    <t>Chave estrela 15 mm isolada</t>
  </si>
  <si>
    <t>SF-02473</t>
  </si>
  <si>
    <t>Chave fixa 17 mm isolada</t>
  </si>
  <si>
    <t>SF-02474</t>
  </si>
  <si>
    <t>Chave estrela 17 mm isolada</t>
  </si>
  <si>
    <t>SF-02475</t>
  </si>
  <si>
    <t>Chave fixa 19 mm isolada</t>
  </si>
  <si>
    <t>SF-02476</t>
  </si>
  <si>
    <t>Chave estrela 19 mm isolada</t>
  </si>
  <si>
    <t>SF-02477</t>
  </si>
  <si>
    <t>Chave fixa 22 mm isolada</t>
  </si>
  <si>
    <t>SF-02478</t>
  </si>
  <si>
    <t>Chave estrela 22 mm isolada</t>
  </si>
  <si>
    <t>SF-02479</t>
  </si>
  <si>
    <t>Chave Phillips isolada PH0</t>
  </si>
  <si>
    <t>SF-02480</t>
  </si>
  <si>
    <t>Chave Phillips isolada PH1</t>
  </si>
  <si>
    <t>SF-02481</t>
  </si>
  <si>
    <t>Chave Phillips isolada PH2</t>
  </si>
  <si>
    <t>SF-02482</t>
  </si>
  <si>
    <t>Chave Phillips isolada PH3</t>
  </si>
  <si>
    <t>SF-02483</t>
  </si>
  <si>
    <t>Chave Phillips isolada PH4</t>
  </si>
  <si>
    <t>SF-02484</t>
  </si>
  <si>
    <t>Chave de fenda isolada 2,5 mm</t>
  </si>
  <si>
    <t>SF-02485</t>
  </si>
  <si>
    <t>Chave de fenda isolada 3 mm</t>
  </si>
  <si>
    <t>SF-02486</t>
  </si>
  <si>
    <t>Chave de fenda isolada 4 mm</t>
  </si>
  <si>
    <t>SF-02487</t>
  </si>
  <si>
    <t>Chave de fenda isolada 5,5 mm</t>
  </si>
  <si>
    <t>SF-02488</t>
  </si>
  <si>
    <t>Chave de fenda isolada 6,5 mm</t>
  </si>
  <si>
    <t>SF-02489</t>
  </si>
  <si>
    <t>Chave de fenda isolada 8 mm</t>
  </si>
  <si>
    <t>SF-02490</t>
  </si>
  <si>
    <t>Faca desencapadora de fios isolada</t>
  </si>
  <si>
    <t>SF-02491</t>
  </si>
  <si>
    <t>Chave Pozidriv isolada PZ0</t>
  </si>
  <si>
    <t>SF-02492</t>
  </si>
  <si>
    <t>Chave Pozidriv isolada PZ1</t>
  </si>
  <si>
    <t>SF-02493</t>
  </si>
  <si>
    <t>Chave Pozidriv isolada PZ2</t>
  </si>
  <si>
    <t>SF-02494</t>
  </si>
  <si>
    <t>Chave Pozidriv isolada PZ3</t>
  </si>
  <si>
    <t>SF-02495</t>
  </si>
  <si>
    <t>Saca fusível</t>
  </si>
  <si>
    <t>SF-02496</t>
  </si>
  <si>
    <t>Alicate crimpador com catraca para terminal tubular até 6 mm²</t>
  </si>
  <si>
    <t>SF-02497</t>
  </si>
  <si>
    <t>Alicate crimpador com catraca para terminal pré-isolado até 6 mm²</t>
  </si>
  <si>
    <t>SF-02498</t>
  </si>
  <si>
    <t>Alicate crimpador manual para terminal pré-isolado até 16 mm²</t>
  </si>
  <si>
    <t>Alicate crimpador com catraca para terminal RJ45</t>
  </si>
  <si>
    <t>SF-02500</t>
  </si>
  <si>
    <t>Alicate punch down para terminal RJ45</t>
  </si>
  <si>
    <t>SF-02501</t>
  </si>
  <si>
    <t>Alicate desencapador automático</t>
  </si>
  <si>
    <t>SF-02502</t>
  </si>
  <si>
    <t>Alicate corta cabos com catraca</t>
  </si>
  <si>
    <t>SF-02503</t>
  </si>
  <si>
    <t>Jogo de chave allen em polegadas</t>
  </si>
  <si>
    <t>SF-02504</t>
  </si>
  <si>
    <t>Jogo de soquete allen 1/2 métrico</t>
  </si>
  <si>
    <t>SF-02505</t>
  </si>
  <si>
    <t>Jogo de soquete 1/2 torx</t>
  </si>
  <si>
    <t>SF-02506</t>
  </si>
  <si>
    <t>Jogo de chaves combinadas com catraca métrico</t>
  </si>
  <si>
    <t>SF-02507</t>
  </si>
  <si>
    <t>Jogo de chaves combinadas com catraca em polegadas</t>
  </si>
  <si>
    <t>SF-02508</t>
  </si>
  <si>
    <t>Jogo de chaves combinadas métrico</t>
  </si>
  <si>
    <t>SF-02509</t>
  </si>
  <si>
    <t>Jogo de chaves combinadas em polegadas</t>
  </si>
  <si>
    <t>SF-02510</t>
  </si>
  <si>
    <t>Jogo de soquetes sextavado longos 1/2 métrico</t>
  </si>
  <si>
    <t>SF-02511</t>
  </si>
  <si>
    <t>Jogo de soquetes sextavado 1/2 métrico</t>
  </si>
  <si>
    <t>SF-02512</t>
  </si>
  <si>
    <t>Jogo de soquetes 1/2 em polegadas</t>
  </si>
  <si>
    <t>SF-02513</t>
  </si>
  <si>
    <t>Jogo de soquetes 3/8</t>
  </si>
  <si>
    <t>SF-02514</t>
  </si>
  <si>
    <t>Jogo de soquetes 1/4 métrico 25 soquetes</t>
  </si>
  <si>
    <t>SF-02515</t>
  </si>
  <si>
    <t>Jogo de adaptador de soquetes</t>
  </si>
  <si>
    <t>SF-02516</t>
  </si>
  <si>
    <t>Jogo de bits</t>
  </si>
  <si>
    <t>SF-02517</t>
  </si>
  <si>
    <t>Chaves biela de 8 a 19mm</t>
  </si>
  <si>
    <t>SF-02518</t>
  </si>
  <si>
    <t>Arco de serra de extra-alta tensão</t>
  </si>
  <si>
    <t>SF-02519</t>
  </si>
  <si>
    <t>Jogo de soquetes sextavado de impacto 1/2 métrico</t>
  </si>
  <si>
    <t>SF-02520</t>
  </si>
  <si>
    <t>Chave de borne 3 mm</t>
  </si>
  <si>
    <t>SF-02521</t>
  </si>
  <si>
    <t>Chave de borne 4 mm</t>
  </si>
  <si>
    <t>SF-02522</t>
  </si>
  <si>
    <t>Jogo de chaves de precisão</t>
  </si>
  <si>
    <t>SF-02523</t>
  </si>
  <si>
    <t>Jogo de chaves de precisão longas</t>
  </si>
  <si>
    <t>SF-02524</t>
  </si>
  <si>
    <t>Passa fio com alma de aço 20 m</t>
  </si>
  <si>
    <t>SF-02525</t>
  </si>
  <si>
    <t>Passa fio helicoidal 20 m</t>
  </si>
  <si>
    <t>SF-02526</t>
  </si>
  <si>
    <t>Passa fio 50 m com carretel</t>
  </si>
  <si>
    <t>SF-02527</t>
  </si>
  <si>
    <t>Jogo de alicates para anéis</t>
  </si>
  <si>
    <t>SF-02528</t>
  </si>
  <si>
    <t>Tarraxas e catraca manual para tubo metálico de 1/2” a 2”</t>
  </si>
  <si>
    <t>SF-02529</t>
  </si>
  <si>
    <t>Alicate de corte diagonal para microeletrônica</t>
  </si>
  <si>
    <t>SF-02530</t>
  </si>
  <si>
    <t>Alicate de pressão</t>
  </si>
  <si>
    <t>SF-02531</t>
  </si>
  <si>
    <t>Punção de centro</t>
  </si>
  <si>
    <t>SF-02532</t>
  </si>
  <si>
    <t>Rebitadeira de rosca</t>
  </si>
  <si>
    <t>SF-02533</t>
  </si>
  <si>
    <t>Serrote para gesso 150 mm</t>
  </si>
  <si>
    <t>SF-02534</t>
  </si>
  <si>
    <t>Martelo de borracha</t>
  </si>
  <si>
    <t>SF-02535</t>
  </si>
  <si>
    <t>Martelo tipo pena</t>
  </si>
  <si>
    <t>SF-02536</t>
  </si>
  <si>
    <t>Martelo com borda em plástico</t>
  </si>
  <si>
    <t>SF-02537</t>
  </si>
  <si>
    <t>Marreta oitavada 1000 g</t>
  </si>
  <si>
    <t>SF-02538</t>
  </si>
  <si>
    <t>Torno morsa de bancada fixo nº 8</t>
  </si>
  <si>
    <t>SF-02539</t>
  </si>
  <si>
    <t>Riscador de metal duro</t>
  </si>
  <si>
    <t>SF-02540</t>
  </si>
  <si>
    <t>Jogo de macho e cossinete</t>
  </si>
  <si>
    <t>SF-02541</t>
  </si>
  <si>
    <t>Alicate amperímetro 400 A</t>
  </si>
  <si>
    <t>SF-02542</t>
  </si>
  <si>
    <t>Alicate amperímetro 1000 A</t>
  </si>
  <si>
    <t>SF-02543</t>
  </si>
  <si>
    <t>Termômetro infravermelho</t>
  </si>
  <si>
    <t>SF-02544</t>
  </si>
  <si>
    <t>Trena a laser 40 m</t>
  </si>
  <si>
    <t>SF-02545</t>
  </si>
  <si>
    <t>Trena de 8 m</t>
  </si>
  <si>
    <t>SF-02546</t>
  </si>
  <si>
    <t>Trena de 50 m</t>
  </si>
  <si>
    <t>SF-02547</t>
  </si>
  <si>
    <t>Torquímetro de estalo 100 Nm</t>
  </si>
  <si>
    <t>SF-02548</t>
  </si>
  <si>
    <t>Torquímetro de estalo 50 Nm</t>
  </si>
  <si>
    <t>SF-02549</t>
  </si>
  <si>
    <t>Torquímetro de estalo 25 Nm</t>
  </si>
  <si>
    <t>SF-02550</t>
  </si>
  <si>
    <t>Torquímetro axial 6 Nm</t>
  </si>
  <si>
    <t>SF-02551</t>
  </si>
  <si>
    <t>Analisador de qualidade de energia trifásico</t>
  </si>
  <si>
    <t>SF-02552</t>
  </si>
  <si>
    <t>Fasímetro</t>
  </si>
  <si>
    <t>SF-02553</t>
  </si>
  <si>
    <t>Megôhmetro 10 kV</t>
  </si>
  <si>
    <t>SF-02554</t>
  </si>
  <si>
    <t>Megôhmetro 1 kV</t>
  </si>
  <si>
    <t>SF-02555</t>
  </si>
  <si>
    <t>Microhmímetro 200 A</t>
  </si>
  <si>
    <t>SF-02556</t>
  </si>
  <si>
    <t>Terrômetro</t>
  </si>
  <si>
    <t>SF-02557</t>
  </si>
  <si>
    <t>Termovisor de alta resolução</t>
  </si>
  <si>
    <t>SF-02558</t>
  </si>
  <si>
    <t>Termovisor</t>
  </si>
  <si>
    <t>SF-02559</t>
  </si>
  <si>
    <t>Termo-higrômetro</t>
  </si>
  <si>
    <t>SF-02560</t>
  </si>
  <si>
    <t>Multímetro</t>
  </si>
  <si>
    <t>SF-02561</t>
  </si>
  <si>
    <t>Medidor LCR</t>
  </si>
  <si>
    <t>SF-02562</t>
  </si>
  <si>
    <t>Paquímetro digital 150 mm</t>
  </si>
  <si>
    <t>SF-02563</t>
  </si>
  <si>
    <t>Luxímetro</t>
  </si>
  <si>
    <t>SF-02564</t>
  </si>
  <si>
    <t>Testador de cabo de rede</t>
  </si>
  <si>
    <t>SF-02565</t>
  </si>
  <si>
    <t>Escala métrica 300 mm</t>
  </si>
  <si>
    <t>SF-02566</t>
  </si>
  <si>
    <t>Escala métrica 600 mm</t>
  </si>
  <si>
    <t>SF-02567</t>
  </si>
  <si>
    <t>Escala métrica 1500 mm</t>
  </si>
  <si>
    <t>SF-02568</t>
  </si>
  <si>
    <t>Esquadro combinado</t>
  </si>
  <si>
    <t>SF-02569</t>
  </si>
  <si>
    <t>Programadora de portões</t>
  </si>
  <si>
    <t>SF-02570</t>
  </si>
  <si>
    <t>Veículo do tipo automóvel de passageiros</t>
  </si>
  <si>
    <t>SF-02571</t>
  </si>
  <si>
    <t>Camiseta de manga curta com identificação da empresa</t>
  </si>
  <si>
    <t>SF-02572</t>
  </si>
  <si>
    <t>Luva isolante classe 0</t>
  </si>
  <si>
    <t>SF-02573</t>
  </si>
  <si>
    <t>Luva isolante classe 2</t>
  </si>
  <si>
    <t>SF-02574</t>
  </si>
  <si>
    <t>Luva de cobertura para luva isolante</t>
  </si>
  <si>
    <t>SF-02575</t>
  </si>
  <si>
    <t>Bolsa para luvas isolantes</t>
  </si>
  <si>
    <t>SF-02576</t>
  </si>
  <si>
    <t>Vestimenta antichama classe 2</t>
  </si>
  <si>
    <t>SF-02577</t>
  </si>
  <si>
    <t>Vestimenta antichama classe 4</t>
  </si>
  <si>
    <t>SF-02578</t>
  </si>
  <si>
    <t>Capuz antichama classe 4</t>
  </si>
  <si>
    <t>SF-02579</t>
  </si>
  <si>
    <t>Balaclava antichama classe 2</t>
  </si>
  <si>
    <t>SF-02580</t>
  </si>
  <si>
    <t>Protetor auricular tipo abafador dielétrico</t>
  </si>
  <si>
    <t>SF-02581</t>
  </si>
  <si>
    <t>Respirador PFF-2</t>
  </si>
  <si>
    <t>SF-02582</t>
  </si>
  <si>
    <t>Luva nitrílica</t>
  </si>
  <si>
    <t>cx</t>
  </si>
  <si>
    <t>SF-02583</t>
  </si>
  <si>
    <t>Luva de nylon com banho em PU</t>
  </si>
  <si>
    <t>SF-02584</t>
  </si>
  <si>
    <t>Luva de vaqueta</t>
  </si>
  <si>
    <t>SF-02585</t>
  </si>
  <si>
    <t>Capacete de segurança para trabalho em altura</t>
  </si>
  <si>
    <t>SF-02586</t>
  </si>
  <si>
    <t>Luva para proteção química</t>
  </si>
  <si>
    <t>SF-02587</t>
  </si>
  <si>
    <t>Luva pigmentada</t>
  </si>
  <si>
    <t>Protetor solar</t>
  </si>
  <si>
    <t>SF-02589</t>
  </si>
  <si>
    <t>Sabonete desengraxante</t>
  </si>
  <si>
    <t>Carpete em placa para o Bloco 02 (Interlegis)</t>
  </si>
  <si>
    <t>Carpete em rolo para o Bloco 02 (Interlegis)</t>
  </si>
  <si>
    <t>Corte em chapas metálicas</t>
  </si>
  <si>
    <t>Remoção de revestimento em chapa de alumínio ACM para aproveitamento</t>
  </si>
  <si>
    <t>Instalação de revestimento em chapa de alumínio ACM reaproveitado</t>
  </si>
  <si>
    <t>Graute industrializado, fck ≥ 100 MPa</t>
  </si>
  <si>
    <t>Armação de aço CA-25 bitola de 16 mm</t>
  </si>
  <si>
    <t>Concreto virado em betoneira, fck = 20 MPa</t>
  </si>
  <si>
    <t>Furo em concreto de até 40 mm de diâmetro</t>
  </si>
  <si>
    <t>Adesivo Estrutural Epóxi Bicomponente</t>
  </si>
  <si>
    <t>Estaca escavada manualmente de diâmetro 30 cm</t>
  </si>
  <si>
    <t>Arrasamento mecânico de estacas de concreto armado com diâmetros de até 40 cm</t>
  </si>
  <si>
    <t xml:space="preserve">Quadro 400 mm x 300 mm x 200 mm </t>
  </si>
  <si>
    <t>Concreto usinado, fck = 25 MPa</t>
  </si>
  <si>
    <t>Estaca escavada mecanicamente - 40 cm de diâmetro</t>
  </si>
  <si>
    <t>SF-02605</t>
  </si>
  <si>
    <t>Manutenção periódica - Subestação dos blocos 11-18 (Eletrocentro)</t>
  </si>
  <si>
    <t>Armação de aço CA-60 bitolas de 5,0 mm a 8,00 mm</t>
  </si>
  <si>
    <t>Pavimentação em concreto simples</t>
  </si>
  <si>
    <t>Tubo PVC esgoto ou águas pluviais predial DN 150 mm</t>
  </si>
  <si>
    <t>Alvenaria estrutural</t>
  </si>
  <si>
    <t>Boca de lobo simples em blocos de concreto, h=1,0 m</t>
  </si>
  <si>
    <t>Canaleta de concreto armado 30 cm x 30 cm com tampa</t>
  </si>
  <si>
    <t>Remoção de árvore, inclusive raiz</t>
  </si>
  <si>
    <t>Demolição de telhas</t>
  </si>
  <si>
    <t>Locação de obra</t>
  </si>
  <si>
    <t>Paraciclo metálico para bicicletas</t>
  </si>
  <si>
    <t>SF-02616</t>
  </si>
  <si>
    <t>Projeto Executivo de Instalação de Central de Geração de Energia – Obras civis - AT 31 e AT 32</t>
  </si>
  <si>
    <t>Poste reto 5 metros</t>
  </si>
  <si>
    <t>Suporte para luminária de poste simples</t>
  </si>
  <si>
    <t>SF-02619</t>
  </si>
  <si>
    <t>Manutenção periódica – Sala de Nobreaks do Anexo 2</t>
  </si>
  <si>
    <t>SF-02620</t>
  </si>
  <si>
    <t>Manutenção periódica – Sala de Nobreaks do Bloco 01 - Prodasen (Sala Y)</t>
  </si>
  <si>
    <t>SF-02621</t>
  </si>
  <si>
    <t>Manutenção periódica – Sistema Predial do Bloco 01 (Prodasen)</t>
  </si>
  <si>
    <t>SF-02622</t>
  </si>
  <si>
    <t>Manutenção periódica – Sistema Predial do Bloco 02 (Interlegis)</t>
  </si>
  <si>
    <t>SF-02623</t>
  </si>
  <si>
    <t>Manutenção corretiva – Subestação dos Blocos 11-18 (Eletrocentro)</t>
  </si>
  <si>
    <t>SF-02624</t>
  </si>
  <si>
    <t>Manutenção corretiva – Sala de Nobreaks do Anexo 2</t>
  </si>
  <si>
    <t>SF-02625</t>
  </si>
  <si>
    <t>Manutenção corretiva – Sala de Nobreaks do Bloco 01 - Prodasen (Sala Y)</t>
  </si>
  <si>
    <t>SF-02626</t>
  </si>
  <si>
    <t>Manutenção corretiva – Sistema Predial do Bloco 01 (Prodasen)</t>
  </si>
  <si>
    <t>SF-02627</t>
  </si>
  <si>
    <t>Manutenção corretiva – Sistema Predial do Bloco 02 (Interlegis)</t>
  </si>
  <si>
    <t>SF-02628</t>
  </si>
  <si>
    <t>Recondicionamento e teste hidrostático de cilindro de 49 lbs de HFC-227ea (sala de nobreaks do Anexo 2)</t>
  </si>
  <si>
    <t>SF-02629</t>
  </si>
  <si>
    <t>Recondicionamento e teste hidrostático de cilindro de 218 lbs de HFC-227ea (sala de nobreaks do Bloco 01 (Prodasen) – sala Y)</t>
  </si>
  <si>
    <t>SF-02630</t>
  </si>
  <si>
    <t>Recondicionamento e teste hidrostático de cilindro de 82,5 kg de HFC-227ea (subestação dos blocos 11-18 - Eletrocentro)</t>
  </si>
  <si>
    <t>SF-02631</t>
  </si>
  <si>
    <t>Teste de estanqueidade de sala (door fan test)</t>
  </si>
  <si>
    <t>SF-02632</t>
  </si>
  <si>
    <t>Teste hidrostático em mangueira de acoplamento de cilindro de HFC-227ea</t>
  </si>
  <si>
    <t>SF-02633</t>
  </si>
  <si>
    <t>Agente limpo HFC-227ea (FM-200)</t>
  </si>
  <si>
    <t>SF-02634</t>
  </si>
  <si>
    <t>Mangueira de acoplamento para cilindro de 49 lbs de HFC-227ea (sala de nobreaks do Anexo 2)</t>
  </si>
  <si>
    <t>SF-02635</t>
  </si>
  <si>
    <t>Mangueira de acoplamento para cilindro de 218 lbs de HFC-227ea (sala de nobreaks do Bloco 01 (Prodasen) – sala Y)</t>
  </si>
  <si>
    <t>SF-02636</t>
  </si>
  <si>
    <t>Solenoide de disparo para cilindro de HFC-227ea Siex</t>
  </si>
  <si>
    <t>SF-02637</t>
  </si>
  <si>
    <t>Solenoide de disparo para cilindro de HFC-227ea Kidde</t>
  </si>
  <si>
    <t>SF-02638</t>
  </si>
  <si>
    <t>Pressostato para cilindro de HFC-227ea Kidde</t>
  </si>
  <si>
    <t>SF-02639</t>
  </si>
  <si>
    <t>Comutador a pressão para sistemas de HFC-227ea</t>
  </si>
  <si>
    <t>SF-02640</t>
  </si>
  <si>
    <t>Bateria 12 V / 7 Ah para central de incêndio</t>
  </si>
  <si>
    <t>SF-02641</t>
  </si>
  <si>
    <t>Bateria 12 V / 18 Ah para central de incêndio</t>
  </si>
  <si>
    <t>SF-02642</t>
  </si>
  <si>
    <t>Filtro para detector precoce Vesda by Xtrails VLF-250</t>
  </si>
  <si>
    <t>SF-02643</t>
  </si>
  <si>
    <t>Filtro para detector precoce Kidde AirSense Stratos Micra 10</t>
  </si>
  <si>
    <t>SF-02644</t>
  </si>
  <si>
    <t>Chave de bloqueio/aborto para agente limpo</t>
  </si>
  <si>
    <t>SF-02645</t>
  </si>
  <si>
    <t>Cabo blindado para sistema de alarme de incêndio 2 x 1,5 mm2</t>
  </si>
  <si>
    <t>SF-02646</t>
  </si>
  <si>
    <t xml:space="preserve">Detector de fumaça para central Notifier NFS-320 </t>
  </si>
  <si>
    <t>SF-02647</t>
  </si>
  <si>
    <t>Base para detector para central Notifier NFS-320</t>
  </si>
  <si>
    <t>SF-02648</t>
  </si>
  <si>
    <t>Avisador sonoro/visual para central Notifier NFS-320</t>
  </si>
  <si>
    <t>SF-02649</t>
  </si>
  <si>
    <t>Avisador sonoro/visual para central Notifier NFS-320 – uso externo</t>
  </si>
  <si>
    <t>SF-02650</t>
  </si>
  <si>
    <t>Chave de disparo manual para central Notifier NFS-320</t>
  </si>
  <si>
    <t>SF-02651</t>
  </si>
  <si>
    <t>Módulo monitor para central Notifier NFS-320</t>
  </si>
  <si>
    <t>SF-02652</t>
  </si>
  <si>
    <t>Módulo de saída a relé para central Notifier NFS-320</t>
  </si>
  <si>
    <t>SF-02653</t>
  </si>
  <si>
    <t>Módulo de controle de extinção para central Notifier NFS-320</t>
  </si>
  <si>
    <t>SF-02654</t>
  </si>
  <si>
    <t>Placa principal para central Notifier NFS-320</t>
  </si>
  <si>
    <t>SF-02655</t>
  </si>
  <si>
    <t>Detector de fumaça para central Kidde Aegis</t>
  </si>
  <si>
    <t>SF-02656</t>
  </si>
  <si>
    <t>Detector termovelocimétrico para central Kidde Aegis</t>
  </si>
  <si>
    <t>SF-02657</t>
  </si>
  <si>
    <t>Base para detector para central Kidde Aegis</t>
  </si>
  <si>
    <t>SF-02658</t>
  </si>
  <si>
    <t>Avisador sonoro/visual para central Kidde Aegis</t>
  </si>
  <si>
    <t>SF-02659</t>
  </si>
  <si>
    <t>Chave de disparo manual para central Kidde Aegis</t>
  </si>
  <si>
    <t>SF-02660</t>
  </si>
  <si>
    <t>Placa principal para central Kidde Aegis</t>
  </si>
  <si>
    <t>SF-02661</t>
  </si>
  <si>
    <t>Detector de fumaça para central EST QuickStart</t>
  </si>
  <si>
    <t>SF-02662</t>
  </si>
  <si>
    <t>Detector termovelocimétrico para central EST QuickStart</t>
  </si>
  <si>
    <t>SF-02663</t>
  </si>
  <si>
    <t>Base para detector para central EST QuickStart</t>
  </si>
  <si>
    <t>SF-02664</t>
  </si>
  <si>
    <t>Avisador sonoro/visual para central EST QuickStart</t>
  </si>
  <si>
    <t>SF-02665</t>
  </si>
  <si>
    <t>Chave de disparo manual para central EST QuickStart</t>
  </si>
  <si>
    <t>SF-02666</t>
  </si>
  <si>
    <t>Módulo isolador para central EST QuickStart</t>
  </si>
  <si>
    <t>SF-02667</t>
  </si>
  <si>
    <t>Central de reposição para EST QuickStart</t>
  </si>
  <si>
    <t>SF-02668</t>
  </si>
  <si>
    <t>Detector de fumaça para central Simplex 4020</t>
  </si>
  <si>
    <t>SF-02669</t>
  </si>
  <si>
    <t>Base para detector para central Simplex 4020</t>
  </si>
  <si>
    <t>SF-02670</t>
  </si>
  <si>
    <t>Avisador sonoro/visual para central Simplex 4020</t>
  </si>
  <si>
    <t>SF-02671</t>
  </si>
  <si>
    <t>Chave de disparo manual para central Simplex 4020</t>
  </si>
  <si>
    <t>SF-02672</t>
  </si>
  <si>
    <t>Módulo isolador para central Simplex 4020</t>
  </si>
  <si>
    <t>SF-02673</t>
  </si>
  <si>
    <t>Placa principal para central Simplex 4020</t>
  </si>
  <si>
    <t>SF-02674</t>
  </si>
  <si>
    <t>Placa escrava para central Simplex 4020</t>
  </si>
  <si>
    <t>SF-02675</t>
  </si>
  <si>
    <t>Placa de interface de energia para central Simplex 4020</t>
  </si>
  <si>
    <t>SF-02676</t>
  </si>
  <si>
    <t>Fonte para central Simplex 4020</t>
  </si>
  <si>
    <t>SF-02677</t>
  </si>
  <si>
    <t>Central de reposição para Simplex 4020</t>
  </si>
  <si>
    <t>Tubo de aço-carbono galvanizado 2 1/2”</t>
  </si>
  <si>
    <t>Remoção de caixa de hidrante e acessórios para aproveitamento</t>
  </si>
  <si>
    <t>Instalação de caixa de hidrante e acessórios reaproveitados</t>
  </si>
  <si>
    <t>Remoção de mesa de granito e acessórios para aproveitamento</t>
  </si>
  <si>
    <t>Instalação de mesa de granito e acessórios reaproveitados</t>
  </si>
  <si>
    <t>SF-02683</t>
  </si>
  <si>
    <t>Guarda corpo metálico com esquadria para vidro</t>
  </si>
  <si>
    <t>SF-02684</t>
  </si>
  <si>
    <t>Guarda corpo e corrimão metálicos com esquadria para vidro</t>
  </si>
  <si>
    <t>SF-02685</t>
  </si>
  <si>
    <t>Manutenção on site - Plataforma elevatória vertical para acessibilidade - Bloco 15 (Espaço do Servidor)</t>
  </si>
  <si>
    <t>SF-02686</t>
  </si>
  <si>
    <t>Estudos Preliminares – Usina Fotovoltaica</t>
  </si>
  <si>
    <t>SF-02687</t>
  </si>
  <si>
    <t>Anteprojetos – Usina Fotovoltaica</t>
  </si>
  <si>
    <t>SF-02688</t>
  </si>
  <si>
    <t>Cronograma Físico-Financeiro, Caderno de Encargos e Orçamentos – Usina Fotovoltaica</t>
  </si>
  <si>
    <t>Demolição de revestimento de piso vinílico</t>
  </si>
  <si>
    <t>Remoção de telhas de fibrocimento, metálica ou cerâmica</t>
  </si>
  <si>
    <t>Instalação de forro metálico reaproveitado</t>
  </si>
  <si>
    <t>Condulete de alumínio de 1 1/2”</t>
  </si>
  <si>
    <t>SF-02693</t>
  </si>
  <si>
    <t>Projeto executivo de engenharia elétrica - Sistema de geração de energia elétrica – Bloco 01 (Prodasen)</t>
  </si>
  <si>
    <t>SF-02694</t>
  </si>
  <si>
    <t>Grupo motor-gerador 230 kVA</t>
  </si>
  <si>
    <t>SF-02695</t>
  </si>
  <si>
    <t>Unidade de Supervisão, Controle e Automação dos Geradores – Bloco 01 (Prodasen)</t>
  </si>
  <si>
    <t>SF-02696</t>
  </si>
  <si>
    <t>Manutenção on site – Grupo motor-gerador e instalações associadas do ramal X – Bloco 01 (Prodasen)</t>
  </si>
  <si>
    <t>SF-02697</t>
  </si>
  <si>
    <t>Projeto executivo – Reforma das fachadas Sudoeste dos Blocos “C G” e Noroeste do Bloco “D” - SQS 309</t>
  </si>
  <si>
    <t>SF-02698</t>
  </si>
  <si>
    <t>Demolição e descarte de esquadrias em aço e vidros - SQS 309 (Blocos C, D e G)</t>
  </si>
  <si>
    <t>SF-02699</t>
  </si>
  <si>
    <t>Esquadrias em alumínio - SQS 309 (Blocos C, D e G)</t>
  </si>
  <si>
    <t>SF-02700</t>
  </si>
  <si>
    <t>Gaiola para revestimento de condensadoras - SQS 309 (Blocos C, D e G)</t>
  </si>
  <si>
    <t>Remoção de pavimento em elementos intertravados de concreto</t>
  </si>
  <si>
    <t>Instalação de pavimentação em elementos intertravados de concreto reaproveitados</t>
  </si>
  <si>
    <t>Disjuntor tripolar trilho DIN até 40 A</t>
  </si>
  <si>
    <t>Poste reto 4 m</t>
  </si>
  <si>
    <t>SF-02706</t>
  </si>
  <si>
    <t>Projeto executivo de engenharia elétrica – Closets de rede de dados</t>
  </si>
  <si>
    <t>SF-02707</t>
  </si>
  <si>
    <t>Barramento de equipotencialização local</t>
  </si>
  <si>
    <t>SF-02708</t>
  </si>
  <si>
    <t>Nobreak de 3 kVA</t>
  </si>
  <si>
    <t>Quadro elétrico TTA - 6 disjuntores terminais</t>
  </si>
  <si>
    <t>Quadro elétrico TTA - 11 disjuntores terminais</t>
  </si>
  <si>
    <t>SF-02711</t>
  </si>
  <si>
    <t>Abraçadeira metálica reforçada para mangote até 4”</t>
  </si>
  <si>
    <t>SF-02712</t>
  </si>
  <si>
    <t>Acabamento para válvula de descarga de 1 1/2” e 1 1/4”</t>
  </si>
  <si>
    <t>SF-02713</t>
  </si>
  <si>
    <t>Acabamento para válvula de descarga de 1 1/2 ” e 1 1/4” com duplo acionamento</t>
  </si>
  <si>
    <t>SF-02714</t>
  </si>
  <si>
    <t>Acabamento para válvula de descarga de 1 1/2 ” e 1 1/4” - Linha Acessibilidade</t>
  </si>
  <si>
    <t>SF-02715</t>
  </si>
  <si>
    <t xml:space="preserve">Acabamento para registro GD </t>
  </si>
  <si>
    <t>SF-02716</t>
  </si>
  <si>
    <t xml:space="preserve">Acabamento para registro PQ </t>
  </si>
  <si>
    <t>Anel de borracha para vedação na interligação de tubos de esgoto</t>
  </si>
  <si>
    <t>SF-02718</t>
  </si>
  <si>
    <t>Antiespuma para ralo ou caixa sifonada – DN 150mm</t>
  </si>
  <si>
    <t xml:space="preserve">Anel de Vedação para bacia sanitária </t>
  </si>
  <si>
    <t>Rejunte cimentício flexível</t>
  </si>
  <si>
    <t>SF-02721</t>
  </si>
  <si>
    <t>Rejunte resinado acrílico</t>
  </si>
  <si>
    <t>SF-02722</t>
  </si>
  <si>
    <t xml:space="preserve">Aquecedor elétrico para pia – Linha Residencial </t>
  </si>
  <si>
    <t>SF-02723</t>
  </si>
  <si>
    <t>Arejador de torneira articulado com adaptador completo</t>
  </si>
  <si>
    <t xml:space="preserve">Assento para bacia convencional </t>
  </si>
  <si>
    <t>SF-02725</t>
  </si>
  <si>
    <t xml:space="preserve">Assento para bacia convencional - Linha Acessibilidade </t>
  </si>
  <si>
    <t>SF-02726</t>
  </si>
  <si>
    <t>Bacia convencional para caixa de descarga acoplada</t>
  </si>
  <si>
    <t>SF-02727</t>
  </si>
  <si>
    <t>Bacia Convencional - Linha Administrativa</t>
  </si>
  <si>
    <t>SF-02728</t>
  </si>
  <si>
    <t>Bacia conforto (h = 44 cm) – Linha Acessibilidade</t>
  </si>
  <si>
    <t>SF-02729</t>
  </si>
  <si>
    <t>Barra de apoio 40 cm - Linha Acessibilidade</t>
  </si>
  <si>
    <t>Barra de apoio 70 cm - Linha Acessibilidade</t>
  </si>
  <si>
    <t>Barra de apoio 80 cm - Linha Acessibilidade</t>
  </si>
  <si>
    <t>SF-02732</t>
  </si>
  <si>
    <t>Barra de apoio lateral fixa 30 cm - Linha Acessibilidade</t>
  </si>
  <si>
    <t>SF-02733</t>
  </si>
  <si>
    <t>Chave de nível tipo boia eletromecânica</t>
  </si>
  <si>
    <t>SF-02734</t>
  </si>
  <si>
    <t xml:space="preserve">Chave de nível tipo boia pera </t>
  </si>
  <si>
    <t>Bolsa de ligação Branca para Vaso Sanitário</t>
  </si>
  <si>
    <t>SF-02736</t>
  </si>
  <si>
    <t>Bolsa de vedação Preta para Vaso Sanitário</t>
  </si>
  <si>
    <t>Botão de Acionamento para Mictório</t>
  </si>
  <si>
    <t>SF-02738</t>
  </si>
  <si>
    <t>Botão de Acionamento Superior para Caixa Acoplada</t>
  </si>
  <si>
    <t>Braço de metal para Chuveiro</t>
  </si>
  <si>
    <t>SF-02740</t>
  </si>
  <si>
    <t xml:space="preserve">Cabide </t>
  </si>
  <si>
    <t>SF-02741</t>
  </si>
  <si>
    <t>Caixa acoplada universal</t>
  </si>
  <si>
    <t>Caixa de descarga alta/elevada</t>
  </si>
  <si>
    <t>Caixa de gordura 18 litros com cesta</t>
  </si>
  <si>
    <t>SF-02744</t>
  </si>
  <si>
    <t>Prolongador de PVC para caixa de gordura - DN 300 mm</t>
  </si>
  <si>
    <t>Caixa de hidrante de parede com vidro - 70x50 cm</t>
  </si>
  <si>
    <t>SF-02746</t>
  </si>
  <si>
    <t>Caixa de inspeção e interligação em PVC</t>
  </si>
  <si>
    <t xml:space="preserve">Caixa sifonada de PVC DN 150 mm </t>
  </si>
  <si>
    <t xml:space="preserve">Caixa sifonada de PVC DN 250 mm </t>
  </si>
  <si>
    <t>SF-02749</t>
  </si>
  <si>
    <t>Carrapeta (vedador) de borracha para torneira</t>
  </si>
  <si>
    <t>SF-02750</t>
  </si>
  <si>
    <t>Vedante de borracha nitrílica para Carrapetas</t>
  </si>
  <si>
    <t>SF-02751</t>
  </si>
  <si>
    <t>Válvula de escoamento para pia de cozinha - 4 1/2” com cesta em inox</t>
  </si>
  <si>
    <t xml:space="preserve">Chuveiro Elétrico 5.500 W </t>
  </si>
  <si>
    <t>SF-02753</t>
  </si>
  <si>
    <t>Chuveiro Elétrico - Linha Residencial</t>
  </si>
  <si>
    <t>SF-02754</t>
  </si>
  <si>
    <t xml:space="preserve">Chuveiro de metal com tubo de parede – Linha Residencial </t>
  </si>
  <si>
    <t>SF-02755</t>
  </si>
  <si>
    <t>Sede para válvula de descarga de baixa pressão - 1 1/2” ou 1 1/4”</t>
  </si>
  <si>
    <t>SF-02756</t>
  </si>
  <si>
    <t>Contra sede para válvula de descarga 1 1/2” ou 1 1/4”</t>
  </si>
  <si>
    <t>SF-02757</t>
  </si>
  <si>
    <t>Êmbolo para válvula de descarga 1 1/2” ou 1 1/4”</t>
  </si>
  <si>
    <t>SF-02758</t>
  </si>
  <si>
    <t>Corrente plástica para calhas</t>
  </si>
  <si>
    <t>SF-02759</t>
  </si>
  <si>
    <t xml:space="preserve">Cuba oval de embutir </t>
  </si>
  <si>
    <t xml:space="preserve">Cuba retangular em aço inox </t>
  </si>
  <si>
    <t>SF-02761</t>
  </si>
  <si>
    <t xml:space="preserve">Cuba semiencaixe quadrada com mesa </t>
  </si>
  <si>
    <t>SF-02762</t>
  </si>
  <si>
    <t xml:space="preserve">Ducha higiênica </t>
  </si>
  <si>
    <t>SF-02763</t>
  </si>
  <si>
    <t>Ligação flexível aço inox 1/2” x 40 cm</t>
  </si>
  <si>
    <t>SF-02764</t>
  </si>
  <si>
    <t>Ligação flexível em PVC - 40 cm</t>
  </si>
  <si>
    <t>SF-02765</t>
  </si>
  <si>
    <t>Espude de Ligação para Bacia Sanitária</t>
  </si>
  <si>
    <t>SF-02766</t>
  </si>
  <si>
    <t>Gatilho para Ducha Higiênica</t>
  </si>
  <si>
    <t>SF-02767</t>
  </si>
  <si>
    <t>Gongo Hidráulico para Sprinklers Automáticos</t>
  </si>
  <si>
    <t>SF-02768</t>
  </si>
  <si>
    <t>Grelha redonda para ralo - 10 cm</t>
  </si>
  <si>
    <t>SF-02769</t>
  </si>
  <si>
    <t>Grelha redonda para ralo - 15 cm</t>
  </si>
  <si>
    <t>SF-02770</t>
  </si>
  <si>
    <t>Grelha quadrada para ralo 15 cm x15 cm</t>
  </si>
  <si>
    <t>SF-02771</t>
  </si>
  <si>
    <t>Grelha quadrada para ralo 10 cm x10 cm</t>
  </si>
  <si>
    <t>SF-02772</t>
  </si>
  <si>
    <t>Kit de acionamento para torneiras e válvulas de mictório ativadas por pressão manual</t>
  </si>
  <si>
    <t>SF-02773</t>
  </si>
  <si>
    <t xml:space="preserve">Lavatório suspenso com Coluna – Linha Acessibilidade </t>
  </si>
  <si>
    <t>SF-02774</t>
  </si>
  <si>
    <t>Lavatório suspenso - Linha Acessibilidade</t>
  </si>
  <si>
    <t>SF-02775</t>
  </si>
  <si>
    <t>Mangueira Flexível para Ducha Higiênica 120 cm</t>
  </si>
  <si>
    <t>SF-02776</t>
  </si>
  <si>
    <t>Manômetro DN100 (4”) até 150 psi - COM glicerina</t>
  </si>
  <si>
    <t>SF-02777</t>
  </si>
  <si>
    <t>Manômetro DN63 (2 1/2”) até 150 psi - COM glicerina</t>
  </si>
  <si>
    <t>Manômetro DN63 (2 1/2”) até 150 psi - Seco</t>
  </si>
  <si>
    <t>SF-02779</t>
  </si>
  <si>
    <t>Kit completo para caixa acoplada - Acionamento superior ou lateral</t>
  </si>
  <si>
    <t>SF-02780</t>
  </si>
  <si>
    <t>Mecanismo acionador para caixa acoplada superior ou lateral</t>
  </si>
  <si>
    <t>SF-02781</t>
  </si>
  <si>
    <t>Mecanismo torre de entrada universal para caixa acoplada - Acionamento superior ou lateral</t>
  </si>
  <si>
    <t>SF-02782</t>
  </si>
  <si>
    <t>Mecanismo torre de saída universal para caixa acoplada - Acionamento superior ou lateral</t>
  </si>
  <si>
    <t>SF-02783</t>
  </si>
  <si>
    <t>Mictório - Linha Administrativa</t>
  </si>
  <si>
    <t>Tê misturador de transição 1/2” ou 3/4” em CPVC – Linha Residencial</t>
  </si>
  <si>
    <t>SF-02785</t>
  </si>
  <si>
    <t xml:space="preserve">Misturador para bidê – Linha Residencial </t>
  </si>
  <si>
    <t>SF-02786</t>
  </si>
  <si>
    <t xml:space="preserve">Misturador de mesa para cozinha bica móvel – Linha Residencial </t>
  </si>
  <si>
    <t>SF-02787</t>
  </si>
  <si>
    <t xml:space="preserve">Misturador de parede para cozinha bica móvel – Linha Residencial </t>
  </si>
  <si>
    <t>SF-02788</t>
  </si>
  <si>
    <t xml:space="preserve">Misturador de mesa para lavatório bica alta – Linha Residencial </t>
  </si>
  <si>
    <t>SF-02789</t>
  </si>
  <si>
    <t xml:space="preserve">Papeleira </t>
  </si>
  <si>
    <t>SF-02790</t>
  </si>
  <si>
    <t>Kit de fixação de bacias e bidês com parafuso cromado</t>
  </si>
  <si>
    <t>SF-02791</t>
  </si>
  <si>
    <t>Placa de comando para torneiras com funcionamento por sensor</t>
  </si>
  <si>
    <t>SF-02792</t>
  </si>
  <si>
    <t>Rolete em plástico para porta papel higiênico</t>
  </si>
  <si>
    <t>SF-02793</t>
  </si>
  <si>
    <t>Porta papel higiênico (papeleira) de embutir</t>
  </si>
  <si>
    <t>SF-02794</t>
  </si>
  <si>
    <t xml:space="preserve">Porta toalha argola </t>
  </si>
  <si>
    <t>SF-02795</t>
  </si>
  <si>
    <t xml:space="preserve">Porta toalha barra </t>
  </si>
  <si>
    <t>SF-02796</t>
  </si>
  <si>
    <t xml:space="preserve">Prateleira – Linha Residencial </t>
  </si>
  <si>
    <t>SF-02797</t>
  </si>
  <si>
    <t>Pressostato para pressão de 80 até 120 PSI (aprox. 5 a 8 bar)</t>
  </si>
  <si>
    <t>SF-02798</t>
  </si>
  <si>
    <t>Pressostato para pressão até 60 psi (4 bar)</t>
  </si>
  <si>
    <t>SF-02799</t>
  </si>
  <si>
    <t>Prolongador longo de bronze rosca x rosca - 1/2”</t>
  </si>
  <si>
    <t>SF-02800</t>
  </si>
  <si>
    <t>Ralo Linear com Grelha Inox 70 cm</t>
  </si>
  <si>
    <t>Ralo semi esférico, tipo Abacaxi - 4”</t>
  </si>
  <si>
    <t>SF-02802</t>
  </si>
  <si>
    <t>Base registro gaveta em latão forjado 1 1/2”</t>
  </si>
  <si>
    <t>SF-02803</t>
  </si>
  <si>
    <t xml:space="preserve">Base registro gaveta em latão forjado 1 1/4” </t>
  </si>
  <si>
    <t>SF-02804</t>
  </si>
  <si>
    <t xml:space="preserve">Base registro gaveta em latão forjado 1” </t>
  </si>
  <si>
    <t>SF-02805</t>
  </si>
  <si>
    <t>Base registro gaveta em latão forjado 1/2”</t>
  </si>
  <si>
    <t>SF-02806</t>
  </si>
  <si>
    <t>Base registro gaveta em latão forjado 3/4”</t>
  </si>
  <si>
    <t>Válvula de esfera bruta em bronze 1/2"</t>
  </si>
  <si>
    <t>Válvula de esfera bruta em bronze 3/4"</t>
  </si>
  <si>
    <t>Válvula de esfera bruta em bronze 1 1/2"</t>
  </si>
  <si>
    <t>Válvula de esfera bruta em bronze 2"</t>
  </si>
  <si>
    <t>Válvula de esfera em latão para gás, passagem plena, rosca BSP macho x fêmea, acion. borboleta, 1/2"</t>
  </si>
  <si>
    <t>Registro de Gaveta Bruto em latão forjado 1 1/2”</t>
  </si>
  <si>
    <t>Registro de Gaveta Bruto em latão forjado 1 1/4”</t>
  </si>
  <si>
    <t>Registro de Gaveta Bruto em latão forjado 1”</t>
  </si>
  <si>
    <t>Registro de Gaveta Bruto em latão forjado 1/2”</t>
  </si>
  <si>
    <t>Registro de Gaveta Bruto em latão forjado 2 1/2”</t>
  </si>
  <si>
    <t>Registro de Gaveta Bruto em latão forjado 2”</t>
  </si>
  <si>
    <t>Registro de Gaveta Bruto em latão forjado 3”</t>
  </si>
  <si>
    <t>Registro de Gaveta Bruto em latão forjado 3/4”</t>
  </si>
  <si>
    <t>Registro de Gaveta Bruto em latão forjado 4”</t>
  </si>
  <si>
    <t>SF-02821</t>
  </si>
  <si>
    <t>Base registro de pressão em latão forjado 1/2"</t>
  </si>
  <si>
    <t>SF-02822</t>
  </si>
  <si>
    <t xml:space="preserve">Base registro de pressão em latão forjado 3/4" </t>
  </si>
  <si>
    <t>Registro de pressão bruto em latão forjado 1/2"</t>
  </si>
  <si>
    <t>Registro de pressão bruto em latão forjado 3/4"</t>
  </si>
  <si>
    <t>Registro de esfera PVC roscável, com corpo dividido, com volante, 1/2"</t>
  </si>
  <si>
    <t>Registro de esfera PVC roscável, com corpo dividido, com volante, 1 1/2"</t>
  </si>
  <si>
    <t>Registro de esfera PVC soldável, com corpo dividido, com volante, 60mm</t>
  </si>
  <si>
    <t>Registro ou Válvula globo angular em latão, com volante, saída 45°, 200 psi,  2 1/2"</t>
  </si>
  <si>
    <t>SF-02829</t>
  </si>
  <si>
    <t>Registro Regulador de Vazão Metálico 1/2”</t>
  </si>
  <si>
    <t>SF-02830</t>
  </si>
  <si>
    <t>Registro Regulador de Vazão Para Chuveiro 1/2”</t>
  </si>
  <si>
    <t>SF-02831</t>
  </si>
  <si>
    <t>Reparo completo para válvula descarga – 1 1/2” e 1 1/4”</t>
  </si>
  <si>
    <t>SF-02832</t>
  </si>
  <si>
    <t>Reparo completo para válvula descarga – 1 1/2 ” e 1 1/4” (duplo acionamento)</t>
  </si>
  <si>
    <t>SF-02833</t>
  </si>
  <si>
    <t>Mecanismo de Vedação Substituível (MVS) - Reparo para TORNEIRA ou MISTURADOR</t>
  </si>
  <si>
    <t>SF-02834</t>
  </si>
  <si>
    <t>Mecanismo de Vedação Substituível (MVS) - Reparo para REGISTRO DE PRESSÃO</t>
  </si>
  <si>
    <t>SF-02835</t>
  </si>
  <si>
    <t>Mecanismo de Vedação Cerâmica (MVC) - Reparo 1/4 de volta para TORNEIRA e MISTURADOR</t>
  </si>
  <si>
    <t>SF-02836</t>
  </si>
  <si>
    <t>Mecanismo de Vedação Cerâmica (MVC) - Reparo 1/4 de volta para REGISTRO DE PRESSÃO</t>
  </si>
  <si>
    <t>SF-02837</t>
  </si>
  <si>
    <t xml:space="preserve">Saboneteira – Linha Residencial </t>
  </si>
  <si>
    <t>SF-02838</t>
  </si>
  <si>
    <t xml:space="preserve">Sifão articulado para cozinha </t>
  </si>
  <si>
    <t>SF-02839</t>
  </si>
  <si>
    <t>Sifão para lavatório 1 1/2”</t>
  </si>
  <si>
    <t>SF-02840</t>
  </si>
  <si>
    <t>Sifão para mictório com adaptador para 2”</t>
  </si>
  <si>
    <t>SF-02841</t>
  </si>
  <si>
    <t>Sifão sanfonado universal - PVC cromado</t>
  </si>
  <si>
    <t>SF-02842</t>
  </si>
  <si>
    <t>Arejador Articulado</t>
  </si>
  <si>
    <t>SF-02843</t>
  </si>
  <si>
    <t>Tampa cega para caixa de gordura - 25 cm de diâmetro</t>
  </si>
  <si>
    <t>SF-02844</t>
  </si>
  <si>
    <t>Tanque hidropneumático com bolsa de separação – 75 Litros</t>
  </si>
  <si>
    <t>SF-02845</t>
  </si>
  <si>
    <t>Tanque de Pressão Vertical - 24 litros</t>
  </si>
  <si>
    <t>SF-02846</t>
  </si>
  <si>
    <t xml:space="preserve">Tanque 38 litros </t>
  </si>
  <si>
    <t>SF-02847</t>
  </si>
  <si>
    <t>Tecla para válvula de descarga</t>
  </si>
  <si>
    <t>Terminal de Ventilação PVC - 100 mm</t>
  </si>
  <si>
    <t>Terminal de Ventilação PVC - 50 mm</t>
  </si>
  <si>
    <t>Terminal de Ventilação PVC - 75 mm</t>
  </si>
  <si>
    <t>SF-02851</t>
  </si>
  <si>
    <t>Termostato de vareta - regulagem de 30 a 80°C</t>
  </si>
  <si>
    <t>Torneira de Bóia Com Balão Plástico 1 1/2”</t>
  </si>
  <si>
    <t>Torneira de Bóia Com Balão Plástico 1 1/4”</t>
  </si>
  <si>
    <t>Torneira de Bóia Com Balão Plástico 1”</t>
  </si>
  <si>
    <t>Torneira de Bóia Com Balão Plástico 2”</t>
  </si>
  <si>
    <t>Torneira de Bóia Com Balão Plástico 3/4”</t>
  </si>
  <si>
    <t>SF-02857</t>
  </si>
  <si>
    <t xml:space="preserve">Torneira de parede para tanque </t>
  </si>
  <si>
    <t>SF-02858</t>
  </si>
  <si>
    <t xml:space="preserve">Torneira de parede para cozinha </t>
  </si>
  <si>
    <t>SF-02859</t>
  </si>
  <si>
    <t xml:space="preserve">Torneira de mesa para cozinha bica móvel – Linha Administrativa </t>
  </si>
  <si>
    <t>SF-02860</t>
  </si>
  <si>
    <t xml:space="preserve">Torneira de mesa para lavatório bica alta </t>
  </si>
  <si>
    <t>SF-02861</t>
  </si>
  <si>
    <t xml:space="preserve">Torneira de mesa para lavatório com fechamento automático – Linha Administrativa </t>
  </si>
  <si>
    <t>SF-02862</t>
  </si>
  <si>
    <t xml:space="preserve">Torneira de mesa para lavatório – Linha Acessibilidade </t>
  </si>
  <si>
    <t>Tubo de cobre classe “E”, para instalação hidráulica, 22 mm</t>
  </si>
  <si>
    <t>Tubo de cobre classe “E”, para instalação hidráulica, 28 mm</t>
  </si>
  <si>
    <t>Tubo de cobre classe “E”, para instalação hidráulica, 42 mm</t>
  </si>
  <si>
    <t xml:space="preserve">Tubo de cobre classe “E”, para instalação hidráulica, 35 mm </t>
  </si>
  <si>
    <t>Tubo de cobre classe “E”, para instalação hidráulica, 54 mm</t>
  </si>
  <si>
    <t>Tubo de cobre classe “E”, para instalação hidráulica, 66 mm</t>
  </si>
  <si>
    <t>Tubo de cobre classe “E”, para instalação hidráulica, 79 mm</t>
  </si>
  <si>
    <t>Tubo de cobre classe “E”, para instalação hidráulica, 104 mm</t>
  </si>
  <si>
    <t xml:space="preserve">Tubo CPVC soldável 22 mm – Linha Residencial </t>
  </si>
  <si>
    <t>Tubo CPVC soldável 28 mm  – Linha Residencial</t>
  </si>
  <si>
    <t>Tubo de aço-carbono galvanizado 1 1/4” – Água Potável e Combate a Incêndio</t>
  </si>
  <si>
    <t>Tubo de aço-carbono galvanizado 1/2” – Água Potável e Combate a Incêndio</t>
  </si>
  <si>
    <t xml:space="preserve">Tubo de aço-carbono galvanizado 3/4” – Água Potável e Combate a Incêndio </t>
  </si>
  <si>
    <t>Tubo de aço-carbono galvanizado 1” – Água Potável e Combate a Incêndio</t>
  </si>
  <si>
    <t>Tubo de aço-carbono galvanizado 2” – Água Potável e Combate a Incêndio</t>
  </si>
  <si>
    <t xml:space="preserve">Tubo de aço-carbono galvanizado 2 1/2” – Água Potável e Combate a Incêndio </t>
  </si>
  <si>
    <t>Tubo de aço-carbono galvanizado 3” – Água Potável e Combate a Incêndio</t>
  </si>
  <si>
    <t>Niple de aço-carbono galvanizado 2”</t>
  </si>
  <si>
    <t>Niple de aço-carbono galvanizado 2 1/2”</t>
  </si>
  <si>
    <t>Niple de aço-carbono galvanizado 3”</t>
  </si>
  <si>
    <t>SF-02883</t>
  </si>
  <si>
    <t xml:space="preserve">Tubo de Ligação para Bacia Sanitária </t>
  </si>
  <si>
    <t>SF-02884</t>
  </si>
  <si>
    <t>Tubo de Ligação para Válvula de Descarga</t>
  </si>
  <si>
    <t>Tubo PVC esgoto DN 300 mm - Ocre</t>
  </si>
  <si>
    <t>Tubo PVC esgoto ou águas pluviais predial DN 100 mm</t>
  </si>
  <si>
    <t xml:space="preserve">Tubo PVC esgoto ou águas pluviais predial DN 150 mm </t>
  </si>
  <si>
    <t>Tubo PVC esgoto ou águas pluviais predial DN 40 mm</t>
  </si>
  <si>
    <t>Tubo PVC esgoto ou águas pluviais predial DN 50 mm</t>
  </si>
  <si>
    <t>Tubo PVC esgoto ou águas pluviais predial DN 75 mm</t>
  </si>
  <si>
    <t>Tubo PVC roscável para água fria 1 1/2”</t>
  </si>
  <si>
    <t>Tubo PVC roscável para água fria 1”</t>
  </si>
  <si>
    <t>Tubo PVC roscável para água fria 2 1/2”</t>
  </si>
  <si>
    <t>Tubo PVC roscável para água fria 2”</t>
  </si>
  <si>
    <t>Tubo PVC roscável para água fria 3”</t>
  </si>
  <si>
    <t>Tubo PVC roscável para água fria 3/4”</t>
  </si>
  <si>
    <t>Tubo PVC roscável para água fria 4”</t>
  </si>
  <si>
    <t>SF-02898</t>
  </si>
  <si>
    <t>Tubo PVC roscável para água fria 6”</t>
  </si>
  <si>
    <t>Tubo PVC soldável água fria DN 20 mm</t>
  </si>
  <si>
    <t xml:space="preserve">Tubo PVC soldável água fria DN 25 mm </t>
  </si>
  <si>
    <t xml:space="preserve">Tubo PVC soldável água fria DN 32 mm </t>
  </si>
  <si>
    <t xml:space="preserve">Tubo PVC soldável água fria DN 40 mm </t>
  </si>
  <si>
    <t xml:space="preserve">Tubo PVC soldável água fria DN 50 mm </t>
  </si>
  <si>
    <t>Tubo PVC soldável água fria DN 60 mm</t>
  </si>
  <si>
    <t xml:space="preserve">Tubo PVC soldável água fria DN 75 mm </t>
  </si>
  <si>
    <t>Tubo PVC soldável água fria DN 85 mm</t>
  </si>
  <si>
    <t xml:space="preserve">Tubo PVC soldável água fria DN 110 mm </t>
  </si>
  <si>
    <t>SF-02908</t>
  </si>
  <si>
    <t>Diafragma de borracha cilíndrico para válvula de descarga – Sistema a Vácuo</t>
  </si>
  <si>
    <t>SF-02909</t>
  </si>
  <si>
    <t>Válvula de descarga DN25 – Sistema a Vácuo</t>
  </si>
  <si>
    <t>SF-02910</t>
  </si>
  <si>
    <t>Módulo ativador (mecanismo de controle) – Sistema a vácuo</t>
  </si>
  <si>
    <t>SF-02911</t>
  </si>
  <si>
    <t>Filtro de ar - Sistema a vácuo</t>
  </si>
  <si>
    <t>SF-02912</t>
  </si>
  <si>
    <t>Ensaio de estanqueidade em rede de gás GLP</t>
  </si>
  <si>
    <t>SF-02913</t>
  </si>
  <si>
    <t>Bota de segurança em couro, com biqueira em PP e solado em PU</t>
  </si>
  <si>
    <t>SF-02914</t>
  </si>
  <si>
    <t>Sensor de Nível – Sistema a vácuo</t>
  </si>
  <si>
    <t>SF-02915</t>
  </si>
  <si>
    <t>Válvula de água – Sistema a vácuo</t>
  </si>
  <si>
    <t>SF-02916</t>
  </si>
  <si>
    <t xml:space="preserve">Base para válvula de descarga 1 1/2” </t>
  </si>
  <si>
    <t>SF-02917</t>
  </si>
  <si>
    <t xml:space="preserve">Base para válvula de descarga 1 1/4” </t>
  </si>
  <si>
    <t>Válvula de escoamento para lavatório e bidê</t>
  </si>
  <si>
    <t>Válvula de escoamento para pia de cozinha 3 1/2”</t>
  </si>
  <si>
    <t>SF-02920</t>
  </si>
  <si>
    <t xml:space="preserve">Válvula descarga para mictório – Linha Administrativa </t>
  </si>
  <si>
    <t>Válvula de pé com crivos em bronze 1”</t>
  </si>
  <si>
    <t>Válvula de pé com crivos em bronze 2"</t>
  </si>
  <si>
    <t>SF-02923</t>
  </si>
  <si>
    <t>Válvula de pé tipo cebola flangeada em ferro fundido 6”</t>
  </si>
  <si>
    <t>Válvula de retenção horizontal em bronze  PN-25, 400 psi, 3/4”</t>
  </si>
  <si>
    <t>Válvula de retenção horizontal em bronze  PN-25, 400 psi, 2”</t>
  </si>
  <si>
    <t>Válvula de retenção vertical em bronze  PN-16, 200 psi, 3”</t>
  </si>
  <si>
    <t>Válvula de retenção vertical em bronze  PN-16, 200 psi, 4”</t>
  </si>
  <si>
    <t>Válvula de retenção vertical em bronze  PN-16, 200 psi, 2”</t>
  </si>
  <si>
    <t>Válvula de retenção vertical em bronze  PN-16, 200 psi, 2 1/2”</t>
  </si>
  <si>
    <t>SF-02930</t>
  </si>
  <si>
    <t>Válvula redutora de pressão com pistão - 2 1/2"</t>
  </si>
  <si>
    <t xml:space="preserve">Válvula de escoamento para tanque </t>
  </si>
  <si>
    <t xml:space="preserve">Sifão para tanque </t>
  </si>
  <si>
    <t>Tampão em FFN, classe B125, forma quadrada, abertura articulada, com caixilho, 200 mm x 200 mm</t>
  </si>
  <si>
    <t>SF-02934</t>
  </si>
  <si>
    <t>Acoplamento Circular PVC 88mm para tubo condutor para calha</t>
  </si>
  <si>
    <t>Adaptador soldável com Flange e Anel 85 mm x 3”</t>
  </si>
  <si>
    <t>SF-02936</t>
  </si>
  <si>
    <t>Adaptador em 90º para filtro, Rosca Macho 1/2", Espigão 1/4"</t>
  </si>
  <si>
    <t>SF-02937</t>
  </si>
  <si>
    <t>Adaptador para filtro com Saída Lateral de 90º, Rosca Macho 1/2", Rosca Fêmea 3/4", Saída Lateral 1/2"</t>
  </si>
  <si>
    <t>SF-02938</t>
  </si>
  <si>
    <t>Adaptador de saída para vaso sanitário 100 mm</t>
  </si>
  <si>
    <t>SF-02939</t>
  </si>
  <si>
    <t>Adaptador Jr em PVC com anel 100 mm</t>
  </si>
  <si>
    <t>Adaptador PVC água fria 60 mm x 2”</t>
  </si>
  <si>
    <t>Manilha para Poço – 1,10 m x 0,50 m x 0,05 m</t>
  </si>
  <si>
    <t>SF-02942</t>
  </si>
  <si>
    <t>Adaptador em 90º para filtro, Rosca Macho 3/8", Espigão 1/4" ou 1/8"</t>
  </si>
  <si>
    <t>Aquecedor elétrico horizontal – 200 L – Linha Residencial</t>
  </si>
  <si>
    <t>SF-02944</t>
  </si>
  <si>
    <t>Válvula Alívio/Segurança 4 Bar- 1/2” para Aquecedor (Boiler)</t>
  </si>
  <si>
    <t>SF-02945</t>
  </si>
  <si>
    <t>Bomba para Hidromassagem Syllent Mb63 1/3 cv Monofásica 220 V</t>
  </si>
  <si>
    <t>SF-02946</t>
  </si>
  <si>
    <t>Motobomba Centrífuga Submersível 1 cv – trifásica - Ø máx. sólidos ≥ 20 mm</t>
  </si>
  <si>
    <t>SF-02947</t>
  </si>
  <si>
    <t>Motobomba Centrífuga Submersível 2 cv - trifásica - Ø máx. sólidos ≥ 20mm</t>
  </si>
  <si>
    <t>SF-02948</t>
  </si>
  <si>
    <t>Motobomba Centrífuga Submersível 3 cv - trifásica - Ø máx. sólidos ≥ 20 mm</t>
  </si>
  <si>
    <t>SF-02949</t>
  </si>
  <si>
    <t>Motobomba Centrífuga Submersível 4 cv - trifásica - Ø máx. sólidos ≥ 20 mm</t>
  </si>
  <si>
    <t>SF-02950</t>
  </si>
  <si>
    <t xml:space="preserve">Motobomba Centrífuga Submersível 5 cv – trifásica - Ø máx. sólidos ≥ 60 mm </t>
  </si>
  <si>
    <t>SF-02951</t>
  </si>
  <si>
    <t>Motobomba Centrífuga Submersível 7,5 cv - trifásica - Ø máx. sólidos ≥ 70 mm</t>
  </si>
  <si>
    <t>SF-02952</t>
  </si>
  <si>
    <t>Motobomba Centrífuga Submersível 10 cv – trifásica - Ø máx. sólidos ≥ 70 mm</t>
  </si>
  <si>
    <t>SF-02953</t>
  </si>
  <si>
    <t>Motobomba Centrífuga Submersível 15 cv – trifásica - Ø máx. sólidos ≥ 65 mm</t>
  </si>
  <si>
    <t>SF-02954</t>
  </si>
  <si>
    <t>Motobomba centrífuga de superfície monoestágio 1,5 cv - monofásica</t>
  </si>
  <si>
    <t>SF-02955</t>
  </si>
  <si>
    <t>Motobomba centrífuga de superfície monoestágio 2 cv - monofásica</t>
  </si>
  <si>
    <t>SF-02956</t>
  </si>
  <si>
    <t>Motobomba centrífuga de superfície monoestágio 2 cv - trifásica - Combate a Incêndio</t>
  </si>
  <si>
    <t>SF-02957</t>
  </si>
  <si>
    <t>Motobomba centrífuga de superfície monoestágio 3 cv - trifásica</t>
  </si>
  <si>
    <t>SF-02958</t>
  </si>
  <si>
    <t>Motobomba centrífuga de superfície monoestágio 5 cv - trifásica</t>
  </si>
  <si>
    <t>SF-02959</t>
  </si>
  <si>
    <t>Motobomba centrífuga de superfície monoestágio 5 cv - trifásica – Combate a Incêndio</t>
  </si>
  <si>
    <t>SF-02960</t>
  </si>
  <si>
    <t>Motobomba centrífuga de superfície monoestágio 7,5 cv - trifásica</t>
  </si>
  <si>
    <t>SF-02961</t>
  </si>
  <si>
    <t xml:space="preserve">Motobomba centrífuga de superfície monoestágio 7,5 cv - trifásica – Combate a Incêndio </t>
  </si>
  <si>
    <t>SF-02962</t>
  </si>
  <si>
    <t>Motobomba centrífuga de superfície monoestágio 10 cv - trifásica</t>
  </si>
  <si>
    <t>SF-02963</t>
  </si>
  <si>
    <t xml:space="preserve">Motobomba centrífuga de superfície monoestágio 15 cv - trifásica – Combate a Incêndio </t>
  </si>
  <si>
    <t>SF-02964</t>
  </si>
  <si>
    <t>Bomba Centrífuga Mancalizada, 01 estágio, Potência 20cv (motor não incluído)</t>
  </si>
  <si>
    <t>SF-02965</t>
  </si>
  <si>
    <t>Bomba Centrífuga Mancalizada, 02 estágios, Potência 20cv (motor não incluído)</t>
  </si>
  <si>
    <t>SF-02966</t>
  </si>
  <si>
    <t>Motor Elétrico 12,5cv - 02 ou 04 polos - trifásico - para acoplamento em bomba centrífuga</t>
  </si>
  <si>
    <t>SF-02967</t>
  </si>
  <si>
    <t>Motor Elétrico 20cv - 02 ou 04 polos - trifásico - para acoplamento em bomba centrífuga</t>
  </si>
  <si>
    <t>SF-02968</t>
  </si>
  <si>
    <t>Motor Elétrico 25cv - 02 ou 04 polos – trifásico - para acoplamento em bomba centrífuga</t>
  </si>
  <si>
    <t>SF-02969</t>
  </si>
  <si>
    <t>Desentupidora Elétrica 1/2 cv</t>
  </si>
  <si>
    <t>Bucha de Redução em CPVC 28 x 22 mm</t>
  </si>
  <si>
    <t>SF-02971</t>
  </si>
  <si>
    <t>Adaptador para filtro com Saída Lateral de 90º, Rosca Macho 1/2", Rosca Fêmea 1/2", Saída Lateral 1/4" ou padrão filtro</t>
  </si>
  <si>
    <t>SF-02972</t>
  </si>
  <si>
    <t>Tê 90° para filtro, rosca fêmea 1/4”, 3/8" ou 1/2"</t>
  </si>
  <si>
    <t>Plug galvanizado 4”</t>
  </si>
  <si>
    <t>Caixa d’água 1000 Litros</t>
  </si>
  <si>
    <t>Canopla para sprinkler de 1/2”, em latão cromado, diâmetro externo de 6,5 cm</t>
  </si>
  <si>
    <t>Sprinkler Pendente 1/2” Cromado 68°C, Fator K80 (5,6)</t>
  </si>
  <si>
    <t>Cap PVC Soldável 60 mm</t>
  </si>
  <si>
    <t>SF-02978</t>
  </si>
  <si>
    <t>Capa prensável para mangueira 3/4”</t>
  </si>
  <si>
    <t>Tê 90° em cobre, sem anel de solda, bolsa x bolsa x bolsa, 22 mm</t>
  </si>
  <si>
    <t>Conector em bronze/latão, sem anel de solda, bolsa/ponta x rosca macho/fêmea, 22 mm x 1/2"</t>
  </si>
  <si>
    <t>SF-02981</t>
  </si>
  <si>
    <t>Conector em bronze/latão, sem anel de solda, bolsa/ponta x rosca macho/fêmea, 22 mm x 3/4"</t>
  </si>
  <si>
    <t>SF-02982</t>
  </si>
  <si>
    <t>Conector em bronze/latão, sem anel de solda, bolsa/ponta x rosca macho/fêmea, 28 mm x 1"</t>
  </si>
  <si>
    <t>SF-02983</t>
  </si>
  <si>
    <t>União em cobre, sem anel de solda, bolsa x bolsa, 22 mm</t>
  </si>
  <si>
    <t>SF-02984</t>
  </si>
  <si>
    <t>União em cobre, sem anel de solda, bolsa x bolsa, 28 mm</t>
  </si>
  <si>
    <t>Curva Ferro Galvanizado 90° Fêmea 2”</t>
  </si>
  <si>
    <t>Curva 45° Longa PVC esgoto ou águas pluviais predial DN 100 mm</t>
  </si>
  <si>
    <t>Curva 90° de aço-carbono galvanizado 3”</t>
  </si>
  <si>
    <t>Curva 90° PVC esgoto DN 100 mm Série R</t>
  </si>
  <si>
    <t>Fita perfurada em aço-carbono - 17 mm x 0,40 mm - rolo 30 m</t>
  </si>
  <si>
    <t>Flange PVC soldável água fria DN 60 mm</t>
  </si>
  <si>
    <t>Flange PVC soldável água fria DN 25 mm</t>
  </si>
  <si>
    <t>SF-02992</t>
  </si>
  <si>
    <t>Flange roscável de aço-carbono galvanizado 6”</t>
  </si>
  <si>
    <t>SF-02993</t>
  </si>
  <si>
    <t>Joelho 45° em aço-carbono galvanizado 1 1/2” – Água Potável e Combate a Incêndio</t>
  </si>
  <si>
    <t>SF-02994</t>
  </si>
  <si>
    <t>Joelho 45° em aço-carbono galvanizado 2” – Água Potável e Combate a Incêndio</t>
  </si>
  <si>
    <t>SF-02995</t>
  </si>
  <si>
    <t>Joelho 45° em aço-carbono galvanizado 3” – Água Potável e Combate a Incêndio</t>
  </si>
  <si>
    <t>Joelho 45° CPVC 28mm – Linha Residencial</t>
  </si>
  <si>
    <t>Joelho 45° PVC soldável água fria DN 60mm</t>
  </si>
  <si>
    <t>Joelho 45° CPVC 22mm – Linha Residencial</t>
  </si>
  <si>
    <t>Joelho 45° PVC esgoto ou águas pluviais predial DN 50 mm</t>
  </si>
  <si>
    <t>SF-03000</t>
  </si>
  <si>
    <t>Joelho 90° em aço-carbono galvanizado 1 1/2” – Água Potável e Combate a Incêndio</t>
  </si>
  <si>
    <t>SF-03001</t>
  </si>
  <si>
    <t>Joelho 90° em aço-carbono galvanizado 1/2” – Água Potável e Combate a Incêndio</t>
  </si>
  <si>
    <t>SF-03002</t>
  </si>
  <si>
    <t>Joelho 90° em aço-carbono galvanizado 2” – Água Potável e Combate a Incêndio</t>
  </si>
  <si>
    <t>SF-03003</t>
  </si>
  <si>
    <t>Joelho 90° em aço-carbono galvanizado 2 1/2” - Água Potável e Combate a Incêndio</t>
  </si>
  <si>
    <t>SF-03004</t>
  </si>
  <si>
    <t>Joelho 90° em Cobre classe “E” 22mm</t>
  </si>
  <si>
    <t>SF-03005</t>
  </si>
  <si>
    <t>Cotovelo 90° em bronze/latão, sem anel de solda, bolsa x rosca, 22 mm x 1/2"</t>
  </si>
  <si>
    <t>Joelho 90° CPVC 22 mm – Linha Residencial</t>
  </si>
  <si>
    <t>Joelho 90° CPVC 28 mm – Linha Residencial</t>
  </si>
  <si>
    <t>Joelho 90° PVC soldável água fria DN 60 mm</t>
  </si>
  <si>
    <t>Tê 90° PVC soldável água fria DN 60 mm</t>
  </si>
  <si>
    <t>SF-03010</t>
  </si>
  <si>
    <t>Tê de redução PVC soldável água fria 60 x 50 mm</t>
  </si>
  <si>
    <t>SF-03011</t>
  </si>
  <si>
    <t>Cotovelo 90° em bronze/latão, sem anel de solda, bolsa x rosca, 22 mm x 3/4"</t>
  </si>
  <si>
    <t>SF-03012</t>
  </si>
  <si>
    <t>Papelão Hidráulico 1/16” para junta</t>
  </si>
  <si>
    <t>Tubo PEAD corrugado para drenagem – Diâmetro 110 mm</t>
  </si>
  <si>
    <t>Tubo Condutor em PVC para Calha 88 mm</t>
  </si>
  <si>
    <t>Luva de Correr PVC esgoto ou águas pluviais predial DN 100 mm</t>
  </si>
  <si>
    <t>SF-03016</t>
  </si>
  <si>
    <t>Luva de transição CPVC 1” x 28 mm – Linha Residencial</t>
  </si>
  <si>
    <t>Luva de transição CPVC 1/2” x 22 mm  – Linha Residencial</t>
  </si>
  <si>
    <t>SF-03018</t>
  </si>
  <si>
    <t>Luva de transição CPVC 3/4” x 22 mm – Linha Residencial</t>
  </si>
  <si>
    <t>Luva em aço-carbono galvanizado 2 1/2” - Água Potável e Combate a Incêndio</t>
  </si>
  <si>
    <t>Luva em aço-carbono galvanizado 2” - Água Potável e Combate a Incêndio</t>
  </si>
  <si>
    <t>Luva em aço-carbono galvanizado 3” - Água Potável e Combate a Incêndio</t>
  </si>
  <si>
    <t>Tê 45° (Junção) em aço-carbono galvanizado 2 1/2” – Água Potável e Combate a Incêndio</t>
  </si>
  <si>
    <t>Tê 45° (Junção) em aço-carbono galvanizado 2” – Água Potável e Combate a Incêndio</t>
  </si>
  <si>
    <t>Tê 45° (Junção) em aço-carbono galvanizado 3” – Água Potável e Combate a Incêndio</t>
  </si>
  <si>
    <t>Tê 45° (Junção) PVC esgoto ou águas pluviais predial DN 75 mm</t>
  </si>
  <si>
    <t>União CPVC 22 mm – Linha Residencial</t>
  </si>
  <si>
    <t>União CPVC 28 mm– Linha Residencial</t>
  </si>
  <si>
    <t>União com assento cônico aço-carbono galvanizado 1 1/2” – Água Potável e Combate a Incêndio</t>
  </si>
  <si>
    <t>União com assento cônico aço-carbono galvanizado 1 1/4” – Água Potável e Combate a Incêndio</t>
  </si>
  <si>
    <t>União com assento cônico aço-carbono galvanizado 2” – Água Potável e Combate a Incêndio</t>
  </si>
  <si>
    <t>União com assento cônico aço-carbono galvanizado 3” – Água Potável e Combate a Incêndio</t>
  </si>
  <si>
    <t>União com assento cônico aço-carbono galvanizado 4” – Água Potável e Combate a Incêndio</t>
  </si>
  <si>
    <t>União com assento cônico aço-carbono galvanizado 1” – Água Potável e Combate a Incêndio</t>
  </si>
  <si>
    <t>União com assento cônico aço-carbono galvanizado 2 1/2” – Água Potável e Combate a Incêndio</t>
  </si>
  <si>
    <t>Tê 90° em aço-carbono galvanizado 1 1/2” – Água Potável e Combate a Incêndio</t>
  </si>
  <si>
    <t>Tê 90° em aço-carbono galvanizado 1/2” – Água Potável e Combate a Incêndio</t>
  </si>
  <si>
    <t>Tê 90° em aço-carbono galvanizado 2 1/2” – Água Potável e Combate a Incêndio</t>
  </si>
  <si>
    <t>Tê 90° em aço-carbono galvanizado 2” – Água Potável e Combate a Incêndio</t>
  </si>
  <si>
    <t>Tê de redução em aço-carbono galvanizado 2” x 1 1/2” – Água Potável e Combate a Incêndio</t>
  </si>
  <si>
    <t>Tê 90° CPVC 22 mm – Linha Residencial</t>
  </si>
  <si>
    <t>Tê 90° CPVC 28 mm – Linha Residencial</t>
  </si>
  <si>
    <t>Luva CPVC 22 mm – Linha Residencial</t>
  </si>
  <si>
    <t>Luva CPVC 28 mm– Linha Residencial</t>
  </si>
  <si>
    <t>Luva PVC roscável para água fria 1 1/2”</t>
  </si>
  <si>
    <t>Luva PVC roscável para água fria 2”</t>
  </si>
  <si>
    <t>Luva de PVC soldável água fria DN 60 mm</t>
  </si>
  <si>
    <t>União PVC soldável 60 mm</t>
  </si>
  <si>
    <t>União PVC soldável 85 mm</t>
  </si>
  <si>
    <t>SF-03049</t>
  </si>
  <si>
    <t>Mangueira de sucção (mangote) em PVC - diâmetro interno de 3”</t>
  </si>
  <si>
    <t>SF-03050</t>
  </si>
  <si>
    <t>Mangueira de sucção (mangote) em PVC - diâmetro interno de 4”</t>
  </si>
  <si>
    <t>SF-03051</t>
  </si>
  <si>
    <t>Mangueira em PVC flexível transparente - DN 5/16”</t>
  </si>
  <si>
    <t>SF-03052</t>
  </si>
  <si>
    <t>Mangueira Fina Natural 4,35 x 6,35 mm (1/4”)</t>
  </si>
  <si>
    <t>SF-03053</t>
  </si>
  <si>
    <t>Aspersor de Irrigação 3/4” - giratório tipo canhão</t>
  </si>
  <si>
    <t>SF-03054</t>
  </si>
  <si>
    <t>Aeronave remotamente pilotada - drone - peso inferior a 250g</t>
  </si>
  <si>
    <t>SF-03055</t>
  </si>
  <si>
    <t>Medidor de umidade em superfícies por meio de imagem termográfica infravermelha para detecção de infiltrações</t>
  </si>
  <si>
    <t>SF-03056</t>
  </si>
  <si>
    <t>Compressor de ar – 140 psi</t>
  </si>
  <si>
    <t>SF-03057</t>
  </si>
  <si>
    <t>Alicate bomba d’água 10” - mordentes RETOS e dentados</t>
  </si>
  <si>
    <t>SF-03058</t>
  </si>
  <si>
    <t>Alicate bomba d’água 10” - mordentes CURVOS e dentados</t>
  </si>
  <si>
    <t>SF-03059</t>
  </si>
  <si>
    <t>Chave de grifo 8”</t>
  </si>
  <si>
    <t>SF-03060</t>
  </si>
  <si>
    <t>Chave de grifo 10”</t>
  </si>
  <si>
    <t>SF-03061</t>
  </si>
  <si>
    <t>Chave de grifo 12”</t>
  </si>
  <si>
    <t>SF-03062</t>
  </si>
  <si>
    <t>Chave de grifo 14”</t>
  </si>
  <si>
    <t>SF-03063</t>
  </si>
  <si>
    <t>Chave de grifo 18”</t>
  </si>
  <si>
    <t>SF-03064</t>
  </si>
  <si>
    <t>Chave de grifo 24”</t>
  </si>
  <si>
    <t>SF-03065</t>
  </si>
  <si>
    <t>Chave de grifo 36”</t>
  </si>
  <si>
    <t>SF-03066</t>
  </si>
  <si>
    <t>Chave de grifo 48”</t>
  </si>
  <si>
    <t>SF-03067</t>
  </si>
  <si>
    <t>Chaves fixas de 2 bocas (16 peças, de 6 a 50mm)</t>
  </si>
  <si>
    <t>SF-03068</t>
  </si>
  <si>
    <t>Jogo de chave cachimbo de nº 6 a 32 mm</t>
  </si>
  <si>
    <t>SF-03069</t>
  </si>
  <si>
    <t>Desentupidora manual 12 m</t>
  </si>
  <si>
    <t>SF-03070</t>
  </si>
  <si>
    <t>Desentupidora manual 4 m</t>
  </si>
  <si>
    <t>SF-03071</t>
  </si>
  <si>
    <t>Torno morsa de bancada fixo nº 4</t>
  </si>
  <si>
    <t>SF-03072</t>
  </si>
  <si>
    <t>Bomba manual para graxa 500g</t>
  </si>
  <si>
    <t>SF-03073</t>
  </si>
  <si>
    <t>Bomba manual para graxa 5 a 7kg</t>
  </si>
  <si>
    <t>SF-03074</t>
  </si>
  <si>
    <t>Bomba manual para Teste Hidrostático, pressão máx.≥100bar, reservatório ≥ 10L</t>
  </si>
  <si>
    <t>SF-03075</t>
  </si>
  <si>
    <t>Rádio comunicador bidirecional - alcance até 25 km</t>
  </si>
  <si>
    <t>SF-03076</t>
  </si>
  <si>
    <t>Descensor evacuador automático</t>
  </si>
  <si>
    <t>SF-03077</t>
  </si>
  <si>
    <t>Locação de caminhão tanque à vácuo (≥ 10.000 litros) para limpeza de Caixa Coletora de Esgoto</t>
  </si>
  <si>
    <t>SF-03078</t>
  </si>
  <si>
    <t>Locação de caminhão tanque à vácuo (≥ 10.000 litros) para limpeza de Caixa de Gordura</t>
  </si>
  <si>
    <t>SF-03079</t>
  </si>
  <si>
    <t>Locação de Banheiro Químico Standard</t>
  </si>
  <si>
    <t>SF-03080</t>
  </si>
  <si>
    <t>Serviço de vídeo inspeção robotizada para ramais hidrossanitários (&lt;1000m/dia)</t>
  </si>
  <si>
    <t>SF-03081</t>
  </si>
  <si>
    <t>Serviço de desentupimento/desobstrução de tubulação</t>
  </si>
  <si>
    <t>SF-03082</t>
  </si>
  <si>
    <t>Ensaio de Potabilidade</t>
  </si>
  <si>
    <t>SF-03083</t>
  </si>
  <si>
    <t>Ensaio de Caracterização de Efluente</t>
  </si>
  <si>
    <t>Supervisor(a) Técnico(a) - Sistema Hidrossanitário</t>
  </si>
  <si>
    <t>Supervisor(a) Técnico(a) - Segurança do Trabalho</t>
  </si>
  <si>
    <t>Encarregado(a) de Manutenção Hidrossanitária</t>
  </si>
  <si>
    <t>Bombeiro(a) Hidráulico(a) Planejador(a) de Manutenção</t>
  </si>
  <si>
    <t>Instalador(a) Hidráulico(a)</t>
  </si>
  <si>
    <t>Instalador(a) Hidráulico(a) Plantonista (diurno)</t>
  </si>
  <si>
    <t>Bombeiro(a) Hidráulico(a) Plantonista (noturno)</t>
  </si>
  <si>
    <t>Ajudante de Manutenção Hidrossanitária</t>
  </si>
  <si>
    <t>Ajudante de Manutenção Hidrossanitária Plantonista (diurno)</t>
  </si>
  <si>
    <t>Ajudante de Bombeiro(a) Hidráulico(a) Plantonista (noturno)</t>
  </si>
  <si>
    <t>SF-03094</t>
  </si>
  <si>
    <t>Fotômetro para cloro livre e total</t>
  </si>
  <si>
    <t>Mangueira de incêndio tipo 2 - engate 2 1/2” - lance 15 m</t>
  </si>
  <si>
    <t>Manômetro DN100 (4”) até 150psi - para aferição (NBR 14105-1 classe A1)</t>
  </si>
  <si>
    <t>SF-03097</t>
  </si>
  <si>
    <t>Medidor de Vibração portátil</t>
  </si>
  <si>
    <t>SF-03098</t>
  </si>
  <si>
    <t>Tarraxas e catraca manual para tubo de PVC de 1/2” a 1”</t>
  </si>
  <si>
    <t>SF-03099</t>
  </si>
  <si>
    <t>Tarraxa manual para tubo PVC de 1 1/2”</t>
  </si>
  <si>
    <t>SF-03100</t>
  </si>
  <si>
    <t>Tarraxa manual para tubo PVC de 1 1/4”</t>
  </si>
  <si>
    <t>SF-03101</t>
  </si>
  <si>
    <t>Tarraxa manual para tubo PVC de 2”</t>
  </si>
  <si>
    <t>SF-03102</t>
  </si>
  <si>
    <t>Tarraxa manual para tubo PVC de 2 1/2”</t>
  </si>
  <si>
    <t>SF-03103</t>
  </si>
  <si>
    <t>Tarraxa manual para tubo PVC de 3”</t>
  </si>
  <si>
    <t>SF-03104</t>
  </si>
  <si>
    <t>Tarraxa manual para tubo PVC de 4”</t>
  </si>
  <si>
    <t>SF-03105</t>
  </si>
  <si>
    <t>Jogo de Cossinete BSPT 12 a 34 para máquina rosqueadeira</t>
  </si>
  <si>
    <t>SF-03106</t>
  </si>
  <si>
    <t>Jogo de Cossinete NPT 212 A 4 para máquina rosqueadeira</t>
  </si>
  <si>
    <t>SF-03107</t>
  </si>
  <si>
    <t>Jogo de Cossinete BSPT 1” a 2” para máquina rosqueadeira</t>
  </si>
  <si>
    <t>SF-03108</t>
  </si>
  <si>
    <t>Selo mecânico tipo 21 - Ø 1 1/4” para bombas centrífugas</t>
  </si>
  <si>
    <t>SF-03109</t>
  </si>
  <si>
    <t>Selo mecânico tipo 21 - Ø 3/4” para bombas centrífugas</t>
  </si>
  <si>
    <t>SF-03110</t>
  </si>
  <si>
    <t>Selo mecânico tipo 21 - Ø 5/8” para bombas centrífugas</t>
  </si>
  <si>
    <t>Bucha de redução em ferro galvanizado 3” X 2 1/2”</t>
  </si>
  <si>
    <t>Tubo de aço-carbono galvanizado 1 1/2” – Água Potável e Combate a Incêndio</t>
  </si>
  <si>
    <t>SF-03113</t>
  </si>
  <si>
    <t>Tubo de ligação para mictório</t>
  </si>
  <si>
    <t>SF-03114</t>
  </si>
  <si>
    <t>Reagente líquido para fotômetro</t>
  </si>
  <si>
    <t>SF-03115</t>
  </si>
  <si>
    <t>Bota de segurança em couro, com biqueira em composite e solado em PU</t>
  </si>
  <si>
    <t>SF-03116</t>
  </si>
  <si>
    <t>Avental de raspa de couro para soldador - tipo barbeiro</t>
  </si>
  <si>
    <t>SF-03117</t>
  </si>
  <si>
    <t>Capacete de segurança - Aba Total</t>
  </si>
  <si>
    <t>SF-03118</t>
  </si>
  <si>
    <t>Colete Refletivo</t>
  </si>
  <si>
    <t>SF-03119</t>
  </si>
  <si>
    <t>Crachá de identificação</t>
  </si>
  <si>
    <t>SF-03120</t>
  </si>
  <si>
    <t>Creme protetor para as mãos</t>
  </si>
  <si>
    <t>SF-03121</t>
  </si>
  <si>
    <t>Fita Zebrada</t>
  </si>
  <si>
    <t>SF-03122</t>
  </si>
  <si>
    <t>Luva de PVC forrada - 36cm</t>
  </si>
  <si>
    <t>SF-03123</t>
  </si>
  <si>
    <t>Máscara para solda em polipropileno - visor fixo com lente</t>
  </si>
  <si>
    <t>SF-03124</t>
  </si>
  <si>
    <t>Vestimenta tipo macacão para saneamento com botas e luvas</t>
  </si>
  <si>
    <t>SF-03125</t>
  </si>
  <si>
    <t>Bomba Centrífuga Mancalizada, 02 estágios, Potência 25 CV (motor não incluído)</t>
  </si>
  <si>
    <t>Grelha para retorno quadrada 225 mm x 225 mm</t>
  </si>
  <si>
    <t>Ar-condicionado fancolete hidrônico dutado 0,58 TR (7000 BTU/h)</t>
  </si>
  <si>
    <t>SF-03129</t>
  </si>
  <si>
    <t>Projeto executivo de engenharia elétrica - Sistema de geração de energia elétrica – Bloco 02 (Interlegis)</t>
  </si>
  <si>
    <t>SF-03130</t>
  </si>
  <si>
    <t>Grupo motor-gerador 140 kVA</t>
  </si>
  <si>
    <t>Instalação de quadros elétricos ou de telecomunicações</t>
  </si>
  <si>
    <t>Condulete de alumínio de 3"</t>
  </si>
  <si>
    <t>SF-03133</t>
  </si>
  <si>
    <t>Manutenção on site – Grupo motor-gerador e instalações associadas - Bloco 02 do Senado Federal (Interlegis)</t>
  </si>
  <si>
    <t>SF-03134</t>
  </si>
  <si>
    <t>Sistema modular para proteção de máquinas e equipamentos</t>
  </si>
  <si>
    <t>SF-03135</t>
  </si>
  <si>
    <t>Painel de automação para sistema de revezamento entre equipamentos de climatização split</t>
  </si>
  <si>
    <t>SF-03136</t>
  </si>
  <si>
    <t>Manutenção periódica – Sistema de geração de energia de emergência do Senado</t>
  </si>
  <si>
    <t>SF-03137</t>
  </si>
  <si>
    <t>Manutenção periódica – Sistema de geração de energia de emergência do Bloco 01 (Prodasen) – Ramal X</t>
  </si>
  <si>
    <t>SF-03138</t>
  </si>
  <si>
    <t>Manutenção periódica – Sistema de geração de energia de emergência do Bloco 01 (Prodasen) – Ramal Y</t>
  </si>
  <si>
    <t>SF-03139</t>
  </si>
  <si>
    <t>Manutenção periódica – Sistema de geração de energia de emergência do Bloco 02 (Interlegis)</t>
  </si>
  <si>
    <t>SF-03140</t>
  </si>
  <si>
    <t>Tratamento contínuo da água do sistema de arrefecimento externo do Sistema de geração de energia de emergência do Senado</t>
  </si>
  <si>
    <t>SF-03141</t>
  </si>
  <si>
    <t>Manutenção corretiva – Sistema de geração de energia de emergência do Senado</t>
  </si>
  <si>
    <t>SF-03142</t>
  </si>
  <si>
    <t>Manutenção corretiva – Sistema de geração de energia de emergência do Bloco 01 (Prodasen) – Ramal X</t>
  </si>
  <si>
    <t>SF-03143</t>
  </si>
  <si>
    <t>Manutenção corretiva – Sistema de geração de energia de emergência do Bloco 01 (Prodasen) – Ramal Y</t>
  </si>
  <si>
    <t>SF-03144</t>
  </si>
  <si>
    <t>Manutenção corretiva – Sistema de geração de energia de emergência do Bloco 02 (Interlegis)</t>
  </si>
  <si>
    <t>SF-03145</t>
  </si>
  <si>
    <t>Análise físico-química e espectrométrica de óleo lubrificante de grupo motor-gerador</t>
  </si>
  <si>
    <t>SF-03146</t>
  </si>
  <si>
    <t>Revisão em bancada de bicos injetores de motor MTU 16V4000</t>
  </si>
  <si>
    <t>SF-03147</t>
  </si>
  <si>
    <t>Revisão em bancada de bicos injetores de motor Cummins NTA 855 G</t>
  </si>
  <si>
    <t>SF-03148</t>
  </si>
  <si>
    <t>Revisão em bancada de bicos injetores de motor Cummins NTA 855 G5</t>
  </si>
  <si>
    <t>SF-03149</t>
  </si>
  <si>
    <t>Revisão em bancada de bicos injetores de motor Mercedes-Benz OM 447 LA</t>
  </si>
  <si>
    <t>SF-03150</t>
  </si>
  <si>
    <t>Revisão em bancada de bomba injetora de motor Cummins NTA 855 G</t>
  </si>
  <si>
    <t>SF-03151</t>
  </si>
  <si>
    <t>Revisão em bancada de bomba injetora de motor Cummins NTA 855 G5</t>
  </si>
  <si>
    <t>SF-03152</t>
  </si>
  <si>
    <t>Revisão em bancada de bomba injetora de motor Mercedes-Benz OM 447 LA</t>
  </si>
  <si>
    <t>SF-03153</t>
  </si>
  <si>
    <t>Revisão em bancada de motor de partida de motor Cummins NTA 855 G</t>
  </si>
  <si>
    <t>SF-03154</t>
  </si>
  <si>
    <t>Revisão em bancada de motor de partida de motor Cummins NTA 855 G5</t>
  </si>
  <si>
    <t>SF-03155</t>
  </si>
  <si>
    <t>Revisão em bancada de motor de partida de motor Mercedes-Benz OM 447 LA</t>
  </si>
  <si>
    <t>SF-03156</t>
  </si>
  <si>
    <t>Filtro de óleo para motor MTU 16V4000</t>
  </si>
  <si>
    <t>SF-03157</t>
  </si>
  <si>
    <t>Filtro de combustível para motor MTU 16V4000</t>
  </si>
  <si>
    <t>SF-03158</t>
  </si>
  <si>
    <t>Filtro de ar para motor MTU 16V4000</t>
  </si>
  <si>
    <t>Fluido de arrefecimento diluído para motor MTU 16V4000</t>
  </si>
  <si>
    <t>SF-03160</t>
  </si>
  <si>
    <t>Filtro de óleo para motor Cummins NTA 855 G</t>
  </si>
  <si>
    <t>SF-03161</t>
  </si>
  <si>
    <t>Filtro de óleo para motor Cummins NTA 855 G5</t>
  </si>
  <si>
    <t>SF-03162</t>
  </si>
  <si>
    <t>Filtro de combustível para motor Cummins NTA 855</t>
  </si>
  <si>
    <t>SF-03163</t>
  </si>
  <si>
    <t>Filtro de ar para motor Cummins NTA 855 G</t>
  </si>
  <si>
    <t>SF-03164</t>
  </si>
  <si>
    <t>Filtro de ar para motor Cummins NTA 855 G5</t>
  </si>
  <si>
    <t>SF-03165</t>
  </si>
  <si>
    <t>Filtro de fluido de arrefecimento para motor Cummins NTA 855 G</t>
  </si>
  <si>
    <t>SF-03166</t>
  </si>
  <si>
    <t>Filtro de fluido de arrefecimento para motor Cummins NTA 855 G5</t>
  </si>
  <si>
    <t>Fluido de arrefecimento diluído para motor Cummins NTA 855</t>
  </si>
  <si>
    <t>SF-03168</t>
  </si>
  <si>
    <t>Correia do alternador do motor Cummins NTA 855 G</t>
  </si>
  <si>
    <t>SF-03169</t>
  </si>
  <si>
    <t>Correia do alternador do motor Cummins NTA 855 G5</t>
  </si>
  <si>
    <t>SF-03170</t>
  </si>
  <si>
    <t>Correia da bomba d’água do motor Cummins NTA 855 G</t>
  </si>
  <si>
    <t>SF-03171</t>
  </si>
  <si>
    <t>Correia da bomba d’água do motor Cummins NTA 855 G5</t>
  </si>
  <si>
    <t>SF-03172</t>
  </si>
  <si>
    <t>Correia do ventilador do motor Cummins NTA 855 G</t>
  </si>
  <si>
    <t>SF-03173</t>
  </si>
  <si>
    <t>Correia do ventilador do motor Cummins NTA 855 G5</t>
  </si>
  <si>
    <t>SF-03174</t>
  </si>
  <si>
    <t>Bico injetor para motor Cummins NTA 855</t>
  </si>
  <si>
    <t>SF-03175</t>
  </si>
  <si>
    <t>Solenoide de corte de combustível para motor Cummins NTA 855</t>
  </si>
  <si>
    <t>SF-03176</t>
  </si>
  <si>
    <t>Bomba de fluido de arrefecimento para motor Cummins NTA 855</t>
  </si>
  <si>
    <t>SF-03177</t>
  </si>
  <si>
    <t>Filtro de óleo para motor Mercedes-Benz OM 447 LA</t>
  </si>
  <si>
    <t>SF-03178</t>
  </si>
  <si>
    <t>Filtro de combustível para motor Mercedes-Benz OM 447 LA</t>
  </si>
  <si>
    <t>SF-03179</t>
  </si>
  <si>
    <t>Filtro de ar para motor Mercedes-Benz OM 447 LA</t>
  </si>
  <si>
    <t>Fluido de arrefecimento diluído para motor Mercedes-Benz OM 447 LA</t>
  </si>
  <si>
    <t>SF-03181</t>
  </si>
  <si>
    <t>Correia do alternador/bomba d’água do motor Mercedes-Benz OM 447 LA</t>
  </si>
  <si>
    <t>SF-03182</t>
  </si>
  <si>
    <t>Correia do ventilador do motor Mercedes-Benz OM 447 LA</t>
  </si>
  <si>
    <t>SF-03183</t>
  </si>
  <si>
    <t>Bico injetor para motor Mercedes-Benz OM 447 LA</t>
  </si>
  <si>
    <t>SF-03184</t>
  </si>
  <si>
    <t>Solenoide de corte de combustível para motor Mercedes-Benz OM 447 LA</t>
  </si>
  <si>
    <t>SF-03185</t>
  </si>
  <si>
    <t>Bomba de fluido de arrefecimento para motor Mercedes-Benz OM 447 LA</t>
  </si>
  <si>
    <t>SF-03186</t>
  </si>
  <si>
    <t>Elemento filtrante (papelão linter) para filtro prensa de óleo diesel</t>
  </si>
  <si>
    <t>SF-03187</t>
  </si>
  <si>
    <t>Correia industrial B-174</t>
  </si>
  <si>
    <t>SF-03188</t>
  </si>
  <si>
    <t>Estabilizador de óleo diesel</t>
  </si>
  <si>
    <t>SF-03189</t>
  </si>
  <si>
    <t>Bateria 12 V / 150 Ah para grupo motor-gerador</t>
  </si>
  <si>
    <t>SF-03190</t>
  </si>
  <si>
    <t>Óleo lubrificante 15W-40 API CI-4</t>
  </si>
  <si>
    <t>SF-03191</t>
  </si>
  <si>
    <t>Sensor de rotação</t>
  </si>
  <si>
    <t>SF-03192</t>
  </si>
  <si>
    <t>Sensor de temperatura PT-100</t>
  </si>
  <si>
    <t>SF-03193</t>
  </si>
  <si>
    <t>Sensor de temperatura resistivo</t>
  </si>
  <si>
    <t>SF-03194</t>
  </si>
  <si>
    <t>Sensor de pressão</t>
  </si>
  <si>
    <t>SF-03195</t>
  </si>
  <si>
    <t>Interruptor de pressão de óleo</t>
  </si>
  <si>
    <t>SF-03196</t>
  </si>
  <si>
    <t>Sensor de nível de fluido de arrefecimento</t>
  </si>
  <si>
    <t>SF-03197</t>
  </si>
  <si>
    <t>Conjunto de pré-aquecimento 1500 W</t>
  </si>
  <si>
    <t>SF-03198</t>
  </si>
  <si>
    <t>Carregador de baterias 24 V para grupo motor-gerador</t>
  </si>
  <si>
    <t>SF-03199</t>
  </si>
  <si>
    <t>Mangueira SAE 100 R6 3/8”</t>
  </si>
  <si>
    <t>SF-03200</t>
  </si>
  <si>
    <t>Mangueira SAE 100 R6 1/2”</t>
  </si>
  <si>
    <t>SF-03201</t>
  </si>
  <si>
    <t>Mangueira SAE 100 R6 5/8”</t>
  </si>
  <si>
    <t>SF-03202</t>
  </si>
  <si>
    <t>Mangueira SAE 100 R6 3/4”</t>
  </si>
  <si>
    <t>Cotovelo BSP 1 1/2” para filtro de óleo diesel</t>
  </si>
  <si>
    <t>Válvula Gaveta Fecho Rápido 1 1/2” para filtro de óleo diesel</t>
  </si>
  <si>
    <t>SF-03205</t>
  </si>
  <si>
    <t>Chave boia para filtro de óleo diesel</t>
  </si>
  <si>
    <t>União BSP 1 1/2” para filtro de óleo diesel</t>
  </si>
  <si>
    <t>Tubo de aço-carbono 1 1/2” - Filtro de óleo diesel</t>
  </si>
  <si>
    <t>Chave de nível tipo boia pera</t>
  </si>
  <si>
    <t>Projeto executivo de engenharia elétrica – Sistema de bombas do Bloco 01</t>
  </si>
  <si>
    <t>Bloco vazado de concreto simples com 02 furos (19x19x39 - Classe A)</t>
  </si>
  <si>
    <t>Bloco vazado de concreto simples tipo canaleta (19x19x39 - Classe A)</t>
  </si>
  <si>
    <t>SF-03216</t>
  </si>
  <si>
    <t>Bloco vazado de concreto simples tipo compensador A (19x19x9 - Classe A)</t>
  </si>
  <si>
    <t>Bloco vazado de concreto simples tipo compensador A (19x19x9 - Classe C)</t>
  </si>
  <si>
    <t>SF-03218</t>
  </si>
  <si>
    <t>Coroa diamantada completa - comprimento &gt; 40 cm, Ø furo = 75 mm</t>
  </si>
  <si>
    <t>SF-03219</t>
  </si>
  <si>
    <t>Coroa diamantada completa - comprimento &gt; 40 cm, Ø furo = 50 mm</t>
  </si>
  <si>
    <t xml:space="preserve">Graute industrializado, 50 MPa ≤ fck ≤ 60 MPa </t>
  </si>
  <si>
    <t>25 kg</t>
  </si>
  <si>
    <t>Tela de arame galvanizado soldado, malha 1”, fio BWG 18 (tela para reboco)</t>
  </si>
  <si>
    <t>Vergalhão Ca-60 Diâmetro 4,2 mm</t>
  </si>
  <si>
    <t>Vermiculita Expandida</t>
  </si>
  <si>
    <t>100 L</t>
  </si>
  <si>
    <t>SF-03224</t>
  </si>
  <si>
    <t>Conector Macho 20 mm x 1/2” para tubo PEX para gás GLP</t>
  </si>
  <si>
    <t>Conector Macho 26 mm x 3/4” para tubo PEX para gás GLP</t>
  </si>
  <si>
    <t>Cotovelo Macho 20 mm x 1/2” para tubo PEX para gás GLP</t>
  </si>
  <si>
    <t>SF-03227</t>
  </si>
  <si>
    <t xml:space="preserve">Kit de ferramentas para tubo PEX multicamadas para gás </t>
  </si>
  <si>
    <t>SF-03228</t>
  </si>
  <si>
    <t xml:space="preserve">Mármore Branco Especial para piso e parede </t>
  </si>
  <si>
    <t>Redução 26 mm x 20 mm para tubo PEX para gás GLP</t>
  </si>
  <si>
    <t>Tê Fêmea 26 mm x 3/4” para tubo PEX para gás GLP</t>
  </si>
  <si>
    <t xml:space="preserve">Tubo de sistema PEX multicamada flexível 20 mm para gás </t>
  </si>
  <si>
    <t xml:space="preserve">Tubo de sistema PEX multicamada flexível 26 mm para gás </t>
  </si>
  <si>
    <t>SF-03233</t>
  </si>
  <si>
    <t>Tubo quadrado em metalon - 50 mm x 50 mm - chapa 16</t>
  </si>
  <si>
    <t>SF-03234</t>
  </si>
  <si>
    <t>Tela de fios de aço galvanizado, malha 14, fio 31 (tela mosquiteiro)</t>
  </si>
  <si>
    <t>Pastilha de porcelana (2 cm x 2 cm)</t>
  </si>
  <si>
    <t>SF-03236</t>
  </si>
  <si>
    <t>Projeto Executivo para Central Fotovoltaica de Minigeração de Energia Elétrica - Bloco 14</t>
  </si>
  <si>
    <t>SF-03237</t>
  </si>
  <si>
    <t>Central de Minigeração de Energia Elétrica Fotovoltaica Bloco 14</t>
  </si>
  <si>
    <t>Eletroduto PEAD de 4”</t>
  </si>
  <si>
    <t>SF-03239</t>
  </si>
  <si>
    <t>Assistência Técnica e Manutenção de Central de Minigeração de Energia Elétrica Fotovoltaica Distribuída - Bloco 14</t>
  </si>
  <si>
    <t>SF-03240</t>
  </si>
  <si>
    <t>Laudo de estabilidade estrutural - Bloco 14</t>
  </si>
  <si>
    <t>SF-03241</t>
  </si>
  <si>
    <t>Projeto de adaptação/modificação/reforço da estrutura e suas fundações para os novos usos - Bloco 14</t>
  </si>
  <si>
    <t>Poste de Concreto Circular L = 12 m</t>
  </si>
  <si>
    <t>Poste de Concreto Circular L = 9 m</t>
  </si>
  <si>
    <t>Suporte para luminária de poste triplo</t>
  </si>
  <si>
    <t>Remoção de poste de iluminação</t>
  </si>
  <si>
    <t>Remoção de braço de iluminação</t>
  </si>
  <si>
    <t>Cabo 3 x 10 mm²</t>
  </si>
  <si>
    <t>Quadro elétrico TTA - 11 disjuntores terminais para uso externo</t>
  </si>
  <si>
    <t>Luminária LED para poste 230 W</t>
  </si>
  <si>
    <t>Eletroduto PEAD 1 1/2”(40 mm)</t>
  </si>
  <si>
    <t>Cabo 3 x 6 mm²</t>
  </si>
  <si>
    <t>Eletroduto de aço galvanizado a fogo de 1”</t>
  </si>
  <si>
    <t>Eletroduto de aço galvanizado a fogo de 1 1/2”</t>
  </si>
  <si>
    <t>Eletroduto de aço galvanizado a fogo de 2”</t>
  </si>
  <si>
    <t>Eletroduto de aço galvanizado a fogo de 3”</t>
  </si>
  <si>
    <t>Projeto Executivo de Iluminação viária</t>
  </si>
  <si>
    <t>Luminária LED para poste 150 W</t>
  </si>
  <si>
    <t>Suporte para luminária de poste quádruplo</t>
  </si>
  <si>
    <t>Braço para iluminação</t>
  </si>
  <si>
    <t>Quadro elétrico TTA - 18 disjuntores terminais</t>
  </si>
  <si>
    <t>Condulete de alumínio de 3/4’’</t>
  </si>
  <si>
    <t>Curva 90° PVC soldável 25 mm</t>
  </si>
  <si>
    <t>Cerâmica para revestimento de PAREDES de superfícies internas</t>
  </si>
  <si>
    <t>Cerâmica para revestimento de PISOS de superfícies internas</t>
  </si>
  <si>
    <t>Cerâmica de linha industrial para revestimento de PISOS E PAREDES de superfícies internas e externas</t>
  </si>
  <si>
    <t>SF-03267</t>
  </si>
  <si>
    <t>Cortina de Linho Sintético – Linha Residencial</t>
  </si>
  <si>
    <t>SF-03268</t>
  </si>
  <si>
    <t>Forro de Cortina em Microfibra  – Linha Residencial</t>
  </si>
  <si>
    <t>SF-03269</t>
  </si>
  <si>
    <t>Trilho Duplo em Alumínio para Cortinas – Linha Residencial</t>
  </si>
  <si>
    <t>SF-03270</t>
  </si>
  <si>
    <t>Trilho Triplo em Alumínio para Cortinas – Linha Residencial</t>
  </si>
  <si>
    <t>SF-03271</t>
  </si>
  <si>
    <t>Trilho Simples em Alumínio para Cortinas – Linha Residencial</t>
  </si>
  <si>
    <t>SF-03272</t>
  </si>
  <si>
    <t>Varão Duplo Cromado para Cortinas – Linha Residencial</t>
  </si>
  <si>
    <t>SF-03273</t>
  </si>
  <si>
    <t>Cortina tipo Blecaute – Linha Residencial</t>
  </si>
  <si>
    <t>Lixamento, desbaste ou lapidação mecânica de superfície de alta resistência</t>
  </si>
  <si>
    <t>Projeto Executivo para a Climatização da Sala de Leitura e Hall de Entrada da COBIB</t>
  </si>
  <si>
    <t>Grelha de Captação de Ar Externo com Damper e Filtro</t>
  </si>
  <si>
    <t>Grelha de retorno com aletas horizontais 1225x525 mm</t>
  </si>
  <si>
    <t>Grelha retangular 325x125 mm</t>
  </si>
  <si>
    <t>Ar-condicionado Fan-Coil 5,0 TR com Acessórios</t>
  </si>
  <si>
    <t>Ar-condicionado Fan-Coil 3,5 TR com Acessórios</t>
  </si>
  <si>
    <t>SF-03282</t>
  </si>
  <si>
    <t>Sistema de Dutos Helicoidais Ovalizados</t>
  </si>
  <si>
    <t>SF-03283</t>
  </si>
  <si>
    <t>Bota de segurança em couro</t>
  </si>
  <si>
    <t>SF-03284</t>
  </si>
  <si>
    <t>Cinto de Segurança Tipo Paraquedista e Talabarte em Y</t>
  </si>
  <si>
    <t>SF-03285</t>
  </si>
  <si>
    <t>Locação de Sistema de Geração Distribuída Solar Fotovoltaica</t>
  </si>
  <si>
    <t>SF-03286</t>
  </si>
  <si>
    <t>Especificações Técnicas de Usina Minigeradora Solar Fotovoltaica</t>
  </si>
  <si>
    <t>SF-03287</t>
  </si>
  <si>
    <t>Projetos Executivos de Usina Minegeradora Fotovoltaica</t>
  </si>
  <si>
    <t>SF-03288</t>
  </si>
  <si>
    <t>Sondagem e Modelagem Geoelétrica (Medição de Resistividade e Estratificação do solo)</t>
  </si>
  <si>
    <t>Curva de transposição PVC soldável 25 mm</t>
  </si>
  <si>
    <t>Joelho 90° PVC soldável 25 mm</t>
  </si>
  <si>
    <t>Joelho 45° PVC soldável 25 mm</t>
  </si>
  <si>
    <t>Joelho 90° PVC soldável com rosca 25 mm x 1/2” ou 3/4”</t>
  </si>
  <si>
    <t>Joelho 90° PVC soldável com bucha de latão 25 mm x 1/2”</t>
  </si>
  <si>
    <t>Joelho 90° PVC soldável com bucha de latão 25 mm x 3/4”</t>
  </si>
  <si>
    <t>Tê PVC soldável 25 mm</t>
  </si>
  <si>
    <t>Tê PVC soldável com rosca na bolsa central 25 mm x 3/4”</t>
  </si>
  <si>
    <t>Tê PVC soldável com rosca na bolsa central 25 mm x 1/2”</t>
  </si>
  <si>
    <t>Cap PVC soldável 25 mm</t>
  </si>
  <si>
    <t>Luva PVC soldável com rosca 25 mm x 1/2” ou 3/4”</t>
  </si>
  <si>
    <t>Luva PVC soldável com bucha de latão 25 mm x 1/2”</t>
  </si>
  <si>
    <t>Luva PVC soldável com bucha de latão 25 mm x 3/4”</t>
  </si>
  <si>
    <t>Luva de correr PVC soldável 25 mm</t>
  </si>
  <si>
    <t>Luva simples PVC soldável 25 mm</t>
  </si>
  <si>
    <t>União PVC soldável 25 mm</t>
  </si>
  <si>
    <t>Adaptador PVC soldável, curto com bolsa e rosca para Registro 25 mm x 3/4”</t>
  </si>
  <si>
    <t>Adaptador flange PVC soldável 25 mm x 3/4”</t>
  </si>
  <si>
    <t>Joelho 90° PVC soldável 32 mm</t>
  </si>
  <si>
    <t>Joelho 45° PVC soldável 32 mm</t>
  </si>
  <si>
    <t>Cap PVC soldável 32 mm</t>
  </si>
  <si>
    <t>Curva 90° PVC soldável 32 mm</t>
  </si>
  <si>
    <t>Tê PVC soldável 32 mm</t>
  </si>
  <si>
    <t>Luva simples PVC soldável 32 mm</t>
  </si>
  <si>
    <t>Luva de correr PVC soldável 32 mm</t>
  </si>
  <si>
    <t>União PVC soldável 32 mm</t>
  </si>
  <si>
    <t>Bucha de redução longa PVC soldável de 32 mm x 20 mm</t>
  </si>
  <si>
    <t>Bucha de redução curta PVC soldável de 32 mm x 25 mm</t>
  </si>
  <si>
    <t>Adaptador PVC soldável, curto com bolsa e rosca para Registro 32 mm x 1”</t>
  </si>
  <si>
    <t>Adaptador flange PVC soldável 32 mm x 1”</t>
  </si>
  <si>
    <t>Joelho 90° PVC soldável 40 mm</t>
  </si>
  <si>
    <t>Cap PVC soldável 40 mm</t>
  </si>
  <si>
    <t>Curva 90° PVC soldável 40 mm</t>
  </si>
  <si>
    <t>Joelho 45° PVC soldável 40 mm</t>
  </si>
  <si>
    <t>Tê PVC soldável 40 mm</t>
  </si>
  <si>
    <t>Luva simples PVC soldável 40 mm</t>
  </si>
  <si>
    <t>Luva de correr PVC soldável 40 mm</t>
  </si>
  <si>
    <t>União PVC soldável 40 mm</t>
  </si>
  <si>
    <t>Bucha de redução curta PVC soldável de 40 mm x 32 mm</t>
  </si>
  <si>
    <t>Adaptador PVC soldável, curto com bolsa e rosca para Registro 40 mm x 1 1/4”</t>
  </si>
  <si>
    <t>Adaptador flange PVC soldável 40 mm x 1 1/4”</t>
  </si>
  <si>
    <t>Joelho 90° PVC soldável 50 mm</t>
  </si>
  <si>
    <t>Cap PVC soldável 50 mm</t>
  </si>
  <si>
    <t>Curva 90° PVC soldável 50 mm</t>
  </si>
  <si>
    <t>Joelho 45° PVC soldável 50 mm</t>
  </si>
  <si>
    <t>Tê PVC soldável 50 mm</t>
  </si>
  <si>
    <t>Luva simples PVC soldável 50 mm</t>
  </si>
  <si>
    <t>Luva de correr PVC soldável 50 mm</t>
  </si>
  <si>
    <t>União PVC soldável 50 mm</t>
  </si>
  <si>
    <t>Bucha de redução curta PVC soldável de 50 mm x 40 mm</t>
  </si>
  <si>
    <t>Adaptador PVC soldável, curto com bolsa e rosca para Registro 50 mm x 1 1/2”</t>
  </si>
  <si>
    <t>Adaptador flange PVC soldável 50 mm x 1 1/2”</t>
  </si>
  <si>
    <t>Curva 90° PVC soldável 60 mm</t>
  </si>
  <si>
    <t>Luva de correr PVC soldável 60 mm</t>
  </si>
  <si>
    <t>Bucha de redução curta PVC soldável de 60 mm x 50 mm</t>
  </si>
  <si>
    <t>Adaptador flange PVC soldável 60 mm x 2”</t>
  </si>
  <si>
    <t>Joelho 90° PVC soldável 75 mm</t>
  </si>
  <si>
    <t>Cap PVC soldável 75 mm</t>
  </si>
  <si>
    <t>Joelho 45° PVC soldável 75 mm</t>
  </si>
  <si>
    <t>Curva 90° PVC soldável 75 mm</t>
  </si>
  <si>
    <t>Tê PVC soldável 75 mm</t>
  </si>
  <si>
    <t>Luva simples PVC soldável 75 mm</t>
  </si>
  <si>
    <t>Luva de correr PVC soldável 75 mm</t>
  </si>
  <si>
    <t>União PVC soldável 75 mm</t>
  </si>
  <si>
    <t>Bucha de redução curta PVC soldável de 75 mm x 60 mm</t>
  </si>
  <si>
    <t>Adaptador PVC soldável, curto com bolsa e rosca para Registro 75 mm x 2 1/2”</t>
  </si>
  <si>
    <t>Adaptador Flange Caixa Dágua Soldável 75 mm x 2 1/2”</t>
  </si>
  <si>
    <t>Joelho 90° PVC soldável 85 mm</t>
  </si>
  <si>
    <t>Cap PVC soldável 85 mm</t>
  </si>
  <si>
    <t>Joelho 45° PVC soldável 85 mm</t>
  </si>
  <si>
    <t>Curva 90° PVC soldável 85 mm</t>
  </si>
  <si>
    <t>Tê PVC soldável 85 mm</t>
  </si>
  <si>
    <t>Luva simples PVC soldável 85 mm</t>
  </si>
  <si>
    <t>Luva de correr PVC soldável 85 mm</t>
  </si>
  <si>
    <t>Bucha de redução curta PVC soldável de 85 mm x 75 mm</t>
  </si>
  <si>
    <t>Adaptador PVC soldável, curto com bolsa e rosca para Registro 85 mm x 3”</t>
  </si>
  <si>
    <t>Joelho 90° PVC soldável 110 mm</t>
  </si>
  <si>
    <t>Joelho 45° PVC soldável 110 mm</t>
  </si>
  <si>
    <t>Cap PVC soldável 110 mm</t>
  </si>
  <si>
    <t>Curva 90° PVC soldável 110 mm</t>
  </si>
  <si>
    <t>Luva simples PVC soldável 110 mm</t>
  </si>
  <si>
    <t>Luva de correr PVC soldável 110 mm</t>
  </si>
  <si>
    <t>União PVC soldável 110 mm</t>
  </si>
  <si>
    <t>Adaptador PVC soldável, curto com bolsa e rosca para Registro 110 mm x 4”</t>
  </si>
  <si>
    <t>Adaptador flange PVC soldável 110 mm x 4”</t>
  </si>
  <si>
    <t>Luva simples PVC esgoto ou águas pluviais 40 mm</t>
  </si>
  <si>
    <t>Junção PVC esgoto ou águas pluviais 40 mm</t>
  </si>
  <si>
    <t>Tê PVC esgoto ou águas pluviais 40 mm</t>
  </si>
  <si>
    <t>Cap PVC esgoto ou águas pluviais 40 mm</t>
  </si>
  <si>
    <t>Joelho 90° com anel PVC esgoto ou águas pluviais 40 mm</t>
  </si>
  <si>
    <t>Joelho 90° PVC esgoto ou águas pluviais 40 mm</t>
  </si>
  <si>
    <t>Joelho 45° PVC esgoto ou águas pluviais 40 mm</t>
  </si>
  <si>
    <t>Curva longa 90° PVC esgoto ou águas pluviais 40 mm</t>
  </si>
  <si>
    <t>Luva simples PVC esgoto ou águas pluviais 50 mm</t>
  </si>
  <si>
    <t>Luva de correr PVC esgoto ou águas pluviais 50 mm</t>
  </si>
  <si>
    <t>Junção PVC esgoto ou águas pluviais 50 mm</t>
  </si>
  <si>
    <t>Tê PVC esgoto ou águas pluviais 50 mm</t>
  </si>
  <si>
    <t>Joelho 90° com anel PVC esgoto ou águas pluviais 50 mm</t>
  </si>
  <si>
    <t>Joelho 90° PVC esgoto ou águas pluviais 50 mm</t>
  </si>
  <si>
    <t>Cap PVC esgoto ou águas pluviais 50 mm</t>
  </si>
  <si>
    <t>Bucha de redução PVC esgoto ou águas pluviais 50 mm x 40 mm</t>
  </si>
  <si>
    <t>Curva longa 90° PVC esgoto ou águas pluviais 50 mm</t>
  </si>
  <si>
    <t>Luva simples PVC esgoto ou águas pluviais 70 mm</t>
  </si>
  <si>
    <t>Joelho 90° PVC esgoto ou águas pluviais 75 mm</t>
  </si>
  <si>
    <t>Curva longa 90° PVC esgoto ou águas pluviais 75 mm</t>
  </si>
  <si>
    <t>Joelho 45° PVC esgoto ou águas pluviais 75 mm</t>
  </si>
  <si>
    <t>Luva de correr PVC esgoto ou águas pluviais 75 mm</t>
  </si>
  <si>
    <t>Tê PVC esgoto ou águas pluviais 75 mm</t>
  </si>
  <si>
    <t>Cap PVC esgoto ou águas pluviais 75 mm</t>
  </si>
  <si>
    <t>Redução Excêntrica PVC esgoto ou águas pluviais 75 mm x 50 mm</t>
  </si>
  <si>
    <t>Luva simples PVC esgoto ou águas pluviais 100 mm</t>
  </si>
  <si>
    <t>Joelho 90° PVC esgoto ou águas pluviais 100 mm</t>
  </si>
  <si>
    <t>Curva longa 90° PVC esgoto ou águas pluviais 100 mm</t>
  </si>
  <si>
    <t>Joelho 45° PVC esgoto ou águas pluviais 100 mm</t>
  </si>
  <si>
    <t>Junção dupla PVC esgoto ou águas pluviais 100 mm</t>
  </si>
  <si>
    <t>Junção Simples 100 mm x 100 mm</t>
  </si>
  <si>
    <t>Cap PVC esgoto ou águas pluviais 100 mm</t>
  </si>
  <si>
    <t>Tê PVC esgoto ou águas pluviais 100 mm</t>
  </si>
  <si>
    <t>Tê inspeção PVC esgoto ou águas pluviais 100 mm</t>
  </si>
  <si>
    <t>Joelho com visita PVC esgoto ou águas pluviais 100 mm x 75 mm</t>
  </si>
  <si>
    <t>Redução PVC esgoto ou águas pluviais 100 mm x 75 mm</t>
  </si>
  <si>
    <t>Luva simples PVC esgoto ou águas pluviais 150 mm</t>
  </si>
  <si>
    <t>Luva de correr PVC esgoto ou águas pluviais 150 mm</t>
  </si>
  <si>
    <t>Junção PVC esgoto ou águas pluviais 150 mm</t>
  </si>
  <si>
    <t>Tê PVC esgoto ou águas pluviais 150 mm</t>
  </si>
  <si>
    <t>Joelho 90° PVC esgoto ou águas pluviais 150 mm</t>
  </si>
  <si>
    <t>Joelho 45° PVC esgoto ou águas pluviais 150 mm</t>
  </si>
  <si>
    <t>Curva longa 90° PVC esgoto ou águas pluviais 150 mm</t>
  </si>
  <si>
    <t>Cap PVC esgoto ou águas pluviais 150 mm</t>
  </si>
  <si>
    <t>Redução PVC esgoto ou águas pluviais 150 mm x 100 mm</t>
  </si>
  <si>
    <t>SF-03420</t>
  </si>
  <si>
    <t>Joelho 45° cobre 35 mm</t>
  </si>
  <si>
    <t>Joelho 90° cobre 35 mm</t>
  </si>
  <si>
    <t>Luva em cobre, sem anel de solda, bolsa x bolsa, 35 mm</t>
  </si>
  <si>
    <t>Tê 90° em cobre, sem anel de solda, bolsa x bolsa x bolsa, 35 mm</t>
  </si>
  <si>
    <t>SF-03424</t>
  </si>
  <si>
    <t>União em cobre, sem anel de solda, bolsa x bolsa, 35 mm</t>
  </si>
  <si>
    <t>SF-03425</t>
  </si>
  <si>
    <t>Luva de redução em cobre, sem anel de solda, bolsa x bolsa, 35 mm x 22 mm</t>
  </si>
  <si>
    <t>SF-03426</t>
  </si>
  <si>
    <t>Tampão (cap) em cobre, sem anel de solda, 35 mm</t>
  </si>
  <si>
    <t>SF-03427</t>
  </si>
  <si>
    <t>Joelho 45° cobre 42 mm</t>
  </si>
  <si>
    <t>Joelho 90° cobre 42 mm</t>
  </si>
  <si>
    <t>Luva em cobre, sem anel de solda, bolsa x bolsa, 42 mm</t>
  </si>
  <si>
    <t>Tê 90° em cobre, sem anel de solda, bolsa x bolsa x bolsa, 42 mm</t>
  </si>
  <si>
    <t>SF-03431</t>
  </si>
  <si>
    <t>União em cobre, sem anel de solda, bolsa x bolsa, 42 mm</t>
  </si>
  <si>
    <t>Bucha de redução em cobre, sem anel de solda, ponta x bolsa, 42 mm x 35 mm</t>
  </si>
  <si>
    <t>SF-03433</t>
  </si>
  <si>
    <t>Tampão (cap) em cobre, sem anel de solda, 42 mm</t>
  </si>
  <si>
    <t>Joelho 90° cobre 54 mm</t>
  </si>
  <si>
    <t>SF-03435</t>
  </si>
  <si>
    <t>Joelho 45° cobre 54 mm</t>
  </si>
  <si>
    <t>Luva em cobre, sem anel de solda, bolsa x bolsa, 54 mm</t>
  </si>
  <si>
    <t>Tê 90° em cobre, sem anel de solda, bolsa x bolsa x bolsa, 54 mm</t>
  </si>
  <si>
    <t>União em cobre, sem anel de solda, bolsa x bolsa, 54 mm</t>
  </si>
  <si>
    <t>Bucha de redução em cobre, sem anel de solda, ponta x bolsa, 54 mm x 42 mm</t>
  </si>
  <si>
    <t>Tampão (cap) em cobre, sem anel de solda, 54 mm</t>
  </si>
  <si>
    <t>Joelho 90° cobre 66 mm</t>
  </si>
  <si>
    <t>SF-03442</t>
  </si>
  <si>
    <t>Joelho 45° cobre 66 mm</t>
  </si>
  <si>
    <t>Luva em cobre, sem anel de solda, bolsa x bolsa, 66 mm</t>
  </si>
  <si>
    <t>Tê 90° em cobre, sem anel de solda, bolsa x bolsa x bolsa, 66 mm</t>
  </si>
  <si>
    <t>SF-03445</t>
  </si>
  <si>
    <t>União em cobre, sem anel de solda, bolsa x bolsa, 66 mm</t>
  </si>
  <si>
    <t>Bucha de redução em cobre, sem anel de solda, ponta x bolsa, 66 mm x 54 mm</t>
  </si>
  <si>
    <t>SF-03447</t>
  </si>
  <si>
    <t>Tampão (cap) em cobre, sem anel de solda, 66 mm</t>
  </si>
  <si>
    <t>Joelho 90° cobre 79 mm</t>
  </si>
  <si>
    <t>SF-03449</t>
  </si>
  <si>
    <t>Curva 45° em cobre, sem anel de solda, bolsa x bolsa, 79 mm</t>
  </si>
  <si>
    <t>Luva em cobre, sem anel de solda, bolsa x bolsa, 79 mm</t>
  </si>
  <si>
    <t>Tê 90° em cobre, sem anel de solda, bolsa x bolsa x bolsa, 79 mm</t>
  </si>
  <si>
    <t>SF-03452</t>
  </si>
  <si>
    <t>União em cobre, sem anel de solda, bolsa x bolsa, 79 mm</t>
  </si>
  <si>
    <t>SF-03453</t>
  </si>
  <si>
    <t>Bucha de redução em cobre, sem anel de solda, ponta x bolsa, 79 mm x 66 mm</t>
  </si>
  <si>
    <t>SF-03454</t>
  </si>
  <si>
    <t>Tampão (cap) em cobre, sem anel de solda, 79 mm</t>
  </si>
  <si>
    <t>Torneira metal de jardim com bico 1/2”</t>
  </si>
  <si>
    <t>Niple de aço-carbono galvanizado 1/2”</t>
  </si>
  <si>
    <t>Niple de aço-carbono galvanizado 3/4”</t>
  </si>
  <si>
    <t>Bucha de redução em ferro galvanizado 3/4” x 1/2”</t>
  </si>
  <si>
    <t>Bucha de redução PVC roscável 3/4” x 1/2”</t>
  </si>
  <si>
    <t>Luva de correr PVC roscável 3/4”</t>
  </si>
  <si>
    <t>Luva de correr PVC roscável 1 1/2”</t>
  </si>
  <si>
    <t>SF-03462</t>
  </si>
  <si>
    <t>Luva de correr PVC roscável 2”</t>
  </si>
  <si>
    <t>Luva de correr CPVC 22 mm – Linha Residencial</t>
  </si>
  <si>
    <t>Luva de correr CPVC 28 mm – Linha Residencial</t>
  </si>
  <si>
    <t>Plug PVC roscável 3/4”</t>
  </si>
  <si>
    <t>Plug PVC roscável 1/2”</t>
  </si>
  <si>
    <t>SF-03467</t>
  </si>
  <si>
    <t>Prolongador para registro de pressão ou gaveta - comprimento 10, 20 ou 40 mm</t>
  </si>
  <si>
    <t>SF-03468</t>
  </si>
  <si>
    <t>Resistência Elétrica tubular de imersão para boiler, 220 V, 3000 W, rosca 1 1/2”</t>
  </si>
  <si>
    <t>SF-03469</t>
  </si>
  <si>
    <t>Resistência Elétrica tubular de imersão para boiler, 220 V, 3000 W, rosca 1 1/4”</t>
  </si>
  <si>
    <t>SF-03470</t>
  </si>
  <si>
    <t xml:space="preserve">Caixa de Gordura 4 litros </t>
  </si>
  <si>
    <t>Supervisor(a) Técnico(a) - Sistemas Construtivos</t>
  </si>
  <si>
    <t>SF-03473</t>
  </si>
  <si>
    <t>Motobomba de circulação de água 45 W 220V</t>
  </si>
  <si>
    <t>Vidro temperado incolor com 6 mm de espessura</t>
  </si>
  <si>
    <t>Vidro temperado incolor com 6 mm de espessura, tipo JUMBO</t>
  </si>
  <si>
    <t>SF-03476</t>
  </si>
  <si>
    <t>Bobina de Papelão Ondulado</t>
  </si>
  <si>
    <t>Remoção de revestimento sintético fixado por encaixe</t>
  </si>
  <si>
    <t>Tapume em telha metálica</t>
  </si>
  <si>
    <t>SF-03479</t>
  </si>
  <si>
    <t>Bloco vazado de concreto simples com 02 furos (11,5 cm x 19 cm x 39 cm - Classe C)</t>
  </si>
  <si>
    <t>Solo para aterro (com transporte)</t>
  </si>
  <si>
    <t>SF-03481</t>
  </si>
  <si>
    <t>Perfuratriz diamantada com coluna</t>
  </si>
  <si>
    <t>Rejunte resinado acrílico - Aplicação/Substituição</t>
  </si>
  <si>
    <t>Remoção de splitão/fan-coil</t>
  </si>
  <si>
    <t>Forro em réguas de alumínio</t>
  </si>
  <si>
    <t>Projeto executivo de engenharia elétrica – Climatização do Bloco 17 por split</t>
  </si>
  <si>
    <t>Quadro elétrico TTA - Sistema de climatização do Bloco 17 por split</t>
  </si>
  <si>
    <t>Técnico de Segurança do Trabalho - Trabalho em Altura e Espaços Confinados</t>
  </si>
  <si>
    <t>SF-03489</t>
  </si>
  <si>
    <t>Pá de bico com cabo de 71 cm</t>
  </si>
  <si>
    <t>Instalação de telha de fibrocimento, metálica ou cerâmica reaproveitada</t>
  </si>
  <si>
    <t>Vergalhão Ca-50 Diâmetro 16,0 mm</t>
  </si>
  <si>
    <t>Grelha em FFN, classe C250, forma retangular, modelo linear quadriculada, abertura simples, com caixilho, 300 mm × 1000 mm</t>
  </si>
  <si>
    <t>SF-03493</t>
  </si>
  <si>
    <t>Grelha em ferro nodular, classe D400 - 335 mm × 685 mm x 100mm</t>
  </si>
  <si>
    <t>Claraboia tipo bolha em acrílico</t>
  </si>
  <si>
    <t>Mosaico de Pedra portuguesa (petit pavé)</t>
  </si>
  <si>
    <t>Instalação de mosaico de pedra portuguesa (petit pavé) reaproveitada</t>
  </si>
  <si>
    <t>SF-03497</t>
  </si>
  <si>
    <t>Locação de Escavadeira (peso operacional ≥ 21 t) com operador e transporte</t>
  </si>
  <si>
    <t>SF-03498</t>
  </si>
  <si>
    <t>Locação de Minicarregadeira (peso operacional ≥ 2,8 t) com operador e transporte</t>
  </si>
  <si>
    <t>SF-03499</t>
  </si>
  <si>
    <t>Locação de Minicarregadeira (peso operacional ≥ 2,8 t) com rompedor hidráulico, operador e transporte</t>
  </si>
  <si>
    <t>SF-03500</t>
  </si>
  <si>
    <t>Locação de Rolo compactador tipo pé de carneiro 11t, com operador e transporte</t>
  </si>
  <si>
    <t>Tela de poliéster estruturante para reforço de impermeabilização</t>
  </si>
  <si>
    <t>Cantoneira laminada em alumínio abas iguais 3/4” x 1/16”</t>
  </si>
  <si>
    <t>Conector CPVC 22mm x 3/4” – Linha Residencial</t>
  </si>
  <si>
    <t>Forro metálico suspenso tipo colmeia (módulo 625 mm x 625 mm, com estrutura)</t>
  </si>
  <si>
    <t>SF-03505</t>
  </si>
  <si>
    <t>Acesso por corda (rapel) para trabalho em altura</t>
  </si>
  <si>
    <t>Escoramento de vala, tipo descontínuo (profundidade ≤ 3 m, largura &lt; 2,5 m)</t>
  </si>
  <si>
    <t>Luminária 2 x 28 W de embutir</t>
  </si>
  <si>
    <t>Luminária 2 x 28 W de sobrepor</t>
  </si>
  <si>
    <t>Técnico(a) em Edificações - Planejamento de Manutenção (plantonista diurno)</t>
  </si>
  <si>
    <t>Placa cimentícia lisa de 1,20 x 2,40m (e=10mm), sem estrutura</t>
  </si>
  <si>
    <t>SF-03511</t>
  </si>
  <si>
    <t>Pedestal flangeado para motobomba submersível com bocal de recalque de 4"</t>
  </si>
  <si>
    <t>SF-03512</t>
  </si>
  <si>
    <t>Curva flangeada para motobomba submersível com bocal de recalque de 3"</t>
  </si>
  <si>
    <t>Caixa d’água com tampa vedada 310 litros</t>
  </si>
  <si>
    <t>SF-03514</t>
  </si>
  <si>
    <t>Eletrocentro - CCPU</t>
  </si>
  <si>
    <t>SF-03515</t>
  </si>
  <si>
    <t>Projeto executivo do eletrocentro - CCPU</t>
  </si>
  <si>
    <t>SF-03516</t>
  </si>
  <si>
    <t>Projeto Executivo para Central Fotovoltaica de Minigeração de Energia Elétrica - CCPU</t>
  </si>
  <si>
    <t>SF-03517</t>
  </si>
  <si>
    <t>Central de Minigeração de Energia Elétrica Fotovoltaica - CCPU</t>
  </si>
  <si>
    <t>SF-03518</t>
  </si>
  <si>
    <t>Transformador a seco 2000 kVA – 13,8 / 0,38 kV</t>
  </si>
  <si>
    <t>SF-03519</t>
  </si>
  <si>
    <t>Manutenção on site – Grupo motor-gerador e instalações associadas - CCPU</t>
  </si>
  <si>
    <t>SF-03520</t>
  </si>
  <si>
    <t>Projeto executivo de engenharia elétrica para o CCPU</t>
  </si>
  <si>
    <t>Técnico(a) em Edificações - Planejamento de Manutenção (plantonista noturno)</t>
  </si>
  <si>
    <t>SF-03522</t>
  </si>
  <si>
    <t>Painel para sistema de automação e comunicação – CCPU</t>
  </si>
  <si>
    <t>SF-03523</t>
  </si>
  <si>
    <t>Painel de distribuição em média tensão – PMT-CCPU</t>
  </si>
  <si>
    <t>SF-03524</t>
  </si>
  <si>
    <t>Painel geral de baixa tensão – PGBT-CCPU</t>
  </si>
  <si>
    <t>SF-03525</t>
  </si>
  <si>
    <t>ESTUDO PRELIMINAR – Reforma e modernização dos estúdios, cabines de gravação, central técnica e sala de manutenção da Rádio Senado</t>
  </si>
  <si>
    <t>SF-03526</t>
  </si>
  <si>
    <t>ANTEPROJETO – Reforma e modernização dos estúdios, cabines de gravação, central técnica e sala de manutenção da Rádio Senado.</t>
  </si>
  <si>
    <t>SF-03527</t>
  </si>
  <si>
    <t>Orçamentos Finais e Cronograma Físico-Financeiro para intervenções nos estúdios da Rádio Senado</t>
  </si>
  <si>
    <t>SF-03528</t>
  </si>
  <si>
    <t>Painel elétrico de iluminação e serviços externos - CCPU</t>
  </si>
  <si>
    <t>SF-03529</t>
  </si>
  <si>
    <t>Painel elétrico de força e iluminação - CCPU</t>
  </si>
  <si>
    <t>SF-03530</t>
  </si>
  <si>
    <t>Painel elétrico de distribuição parcial - CCPU</t>
  </si>
  <si>
    <t>Caixa para Medição de SPDA</t>
  </si>
  <si>
    <t>Engenheiro(a) / Arquiteto(a) pleno</t>
  </si>
  <si>
    <t>SF-03533</t>
  </si>
  <si>
    <t>Plataforma elevatória vertical para acessibilidade - CCPU</t>
  </si>
  <si>
    <t>SF-03534</t>
  </si>
  <si>
    <t>Manutenção on site - Plataforma elevatória vertical para acessibilidade - CCPU</t>
  </si>
  <si>
    <t>SF-03535</t>
  </si>
  <si>
    <t>Assistência Técnica e Manutenção de Central de Minigeração de Energia Elétrica Fotovoltaica Distribuída - CCPU</t>
  </si>
  <si>
    <t>Bloco autônomo de emergência 2400 lumens</t>
  </si>
  <si>
    <t>Luminária LED Highbay 200 W</t>
  </si>
  <si>
    <t>Impermeabilização rígida (semiflexível) com cimento modificado com polímero</t>
  </si>
  <si>
    <t>SF-03539</t>
  </si>
  <si>
    <t>Bota de segurança em couro para servidores SINFRA - eletricidade</t>
  </si>
  <si>
    <t>Detector de fumaça para central Notifier NFS-320</t>
  </si>
  <si>
    <t>Cabo blindado para sistema de alarme de incêndio 2 x 1,5 mm²</t>
  </si>
  <si>
    <t>Central de alarme contra incêndio inteligente</t>
  </si>
  <si>
    <t>Cabo de cobre nu 35 mm²</t>
  </si>
  <si>
    <t>Caixa de inspeção de aterramento 300 mm</t>
  </si>
  <si>
    <t>Minicaptor 600 mm</t>
  </si>
  <si>
    <t>Caixa de gordura 4 litros</t>
  </si>
  <si>
    <t>SF-03547</t>
  </si>
  <si>
    <t>Banco de aço</t>
  </si>
  <si>
    <t>Guarda corpo metálico com corrimão</t>
  </si>
  <si>
    <t>Tampa cega para caixa de gordura 25 cm de diâmetro</t>
  </si>
  <si>
    <t>Conector CPVC 28 mm x 1” – Linha Residencial</t>
  </si>
  <si>
    <t>Luva em cobre, sem anel de solda, bolsa x bolsa, 22 mm</t>
  </si>
  <si>
    <t>Luminária Plafon LED Slim 15 W</t>
  </si>
  <si>
    <t>Luminária Plafon LED Slim 24 W</t>
  </si>
  <si>
    <t>Tampa unha simples metálica para caixas de piso 4" x 2"</t>
  </si>
  <si>
    <t>Tampa unha simples metálica para caixas de piso 4" x 4"</t>
  </si>
  <si>
    <t>Tampa unha dupla metálica para caixas de piso 4" x 4"</t>
  </si>
  <si>
    <t>Tomada 10 A para móveis</t>
  </si>
  <si>
    <t>Caixa de piso 4" x 2"</t>
  </si>
  <si>
    <t>Caixa de piso 4" x 4"</t>
  </si>
  <si>
    <t>Cabo de manobra de 2,5 metros, Categoria 6 (patch cord)</t>
  </si>
  <si>
    <t>Rack padrão 19 polegadas, aberto, 40U</t>
  </si>
  <si>
    <t>Cordão Óptico Duplex Multimodo LC/LC</t>
  </si>
  <si>
    <t>DIO – Distribuidor Interno Óptico pré-terminado – 1U</t>
  </si>
  <si>
    <t>Módulo MPO/MPT para DIO</t>
  </si>
  <si>
    <t>SF-03566</t>
  </si>
  <si>
    <t>Sistema de Climatização de Precisão para Reserva Técnica com Acessórios - CCPU</t>
  </si>
  <si>
    <t>SF-03567</t>
  </si>
  <si>
    <t>Projeto Executivo para revitalização do CCPU - Estrutural</t>
  </si>
  <si>
    <t>SF-03568</t>
  </si>
  <si>
    <t>Projeto Executivo para revitalização do CCPU - Fundações</t>
  </si>
  <si>
    <t>SF-03569</t>
  </si>
  <si>
    <t>Projeto Executivo para revitalização do CCPU - Hidrossanitário</t>
  </si>
  <si>
    <t>SF-03570</t>
  </si>
  <si>
    <t>Projeto Executivo para revitalização do CCPU - Pavimentação</t>
  </si>
  <si>
    <t>SF-03571</t>
  </si>
  <si>
    <t>Projeto Executivo para revitalização do CCPU - Drenagem</t>
  </si>
  <si>
    <t>SF-03572</t>
  </si>
  <si>
    <t>Projeto Executivo para revitalização do CCPU - Incêndio</t>
  </si>
  <si>
    <t>SF-03573</t>
  </si>
  <si>
    <t>Projeto Executivo para revitalização do CCPU - Impermeabilização</t>
  </si>
  <si>
    <t>SF-03574</t>
  </si>
  <si>
    <t>Laudo de estabilidade estrutural - Centro Cultural dos Poderes da União (CCPU)</t>
  </si>
  <si>
    <t>Alambrado em perfis metálicos retangulares de 2,03 x 2,50 m (AxL)</t>
  </si>
  <si>
    <t>Telha termoacústica em aço galvanizado com espessura isolante mínima de 30mm de poliisocianurato (PIR)</t>
  </si>
  <si>
    <t>Bacia convencional para caixa de descarga acoplada – Linha Administrativa</t>
  </si>
  <si>
    <t>Chuveiro de Emergência e Lava Olhos em inox com pedal</t>
  </si>
  <si>
    <t>Tubo de aço-carbono galvanizado 2 1/2” – Água Potável e Combate a Incêndio</t>
  </si>
  <si>
    <t>Tubo de aço-carbono galvanizado 4” – Água Potável e Combate a Incêndio</t>
  </si>
  <si>
    <t>Extintor de pó químico ABC, capacidade 8 kg</t>
  </si>
  <si>
    <t>Sprinkler Pendente Cromado 3/4", 68 °C, Fator K115 (8,0)</t>
  </si>
  <si>
    <t>Tubo de aço-carbono galvanizado 3/4” – Água Potável e Combate a Incêndio</t>
  </si>
  <si>
    <t>SF-03584</t>
  </si>
  <si>
    <t>Central de Água Gelada - CCPU</t>
  </si>
  <si>
    <t>SF-03585</t>
  </si>
  <si>
    <t>Sistema de Climatização por fancoil para o Salão de Exposições - CCPU</t>
  </si>
  <si>
    <t>Supervisor(a) Técnico(a) – Ar-Condicionado</t>
  </si>
  <si>
    <t>Supervisor(a) Técnico(a) – Comando e Automação</t>
  </si>
  <si>
    <t>Encarregado(a) de Manutenção de Sistemas de Ar-condicionado</t>
  </si>
  <si>
    <t>Técnico(a) Eletromecânico(a)/Ar-Condicionado</t>
  </si>
  <si>
    <t>Técnico(a) em Comando Elétrico/Automação</t>
  </si>
  <si>
    <t>Eletromecânico(a) de Ar-Condicionado</t>
  </si>
  <si>
    <t>Auxiliar de Manutenção</t>
  </si>
  <si>
    <t xml:space="preserve">Auxiliar Administrativo(a) </t>
  </si>
  <si>
    <t xml:space="preserve">Auxiliar de Almoxarifado </t>
  </si>
  <si>
    <t>Duteiro(a)</t>
  </si>
  <si>
    <t>Eletromecânico(a) de Ar-Condicionado Plantonista - Plantão Diurno</t>
  </si>
  <si>
    <t>Eletromecânico(a) de Ar-Condicionado Plantonista - Plantão Noturno</t>
  </si>
  <si>
    <t>Auxiliar de Manutenção Plantonista - Plantão Diurno</t>
  </si>
  <si>
    <t>Auxiliar de Manutenção Plantonista - Plantão Noturno</t>
  </si>
  <si>
    <t>SF-03600</t>
  </si>
  <si>
    <t>Serviços de tratamento químico e análise dos condensados e das águas dos sistemas de climatização</t>
  </si>
  <si>
    <t>SF-03601</t>
  </si>
  <si>
    <t>Rebobinamento de motor mono/trifásico até 5 kW (inclusive)</t>
  </si>
  <si>
    <t>SF-03602</t>
  </si>
  <si>
    <t>Rebobinamento de motor trifásico de 5 kW (exclusive) até 10 kW (inclusive)</t>
  </si>
  <si>
    <t>SF-03603</t>
  </si>
  <si>
    <t>Rebobinamento de motor trifásico de 14,9 kW</t>
  </si>
  <si>
    <t>SF-03604</t>
  </si>
  <si>
    <t>Rebobinamento de motor trifásico de 22 kW</t>
  </si>
  <si>
    <t>SF-03605</t>
  </si>
  <si>
    <t>Rebobinamento de motor trifásico de 30 kW</t>
  </si>
  <si>
    <t>SF-03606</t>
  </si>
  <si>
    <t>Rebobinamento de motor trifásico de 45 kW</t>
  </si>
  <si>
    <t>SF-03607</t>
  </si>
  <si>
    <t>Rebobinamento de motor trifásico de 75 kW</t>
  </si>
  <si>
    <t>SF-03608</t>
  </si>
  <si>
    <t>Rebobinamento de motor trifásico de 150 kW</t>
  </si>
  <si>
    <t>SF-03609</t>
  </si>
  <si>
    <t>Revisão completa (overhaul) de bomba hidráulica referente a conjunto motobomba com potência até 10 kW (inclusive)</t>
  </si>
  <si>
    <t>SF-03610</t>
  </si>
  <si>
    <t>Revisão completa (overhaul) de bomba hidráulica referente a conjunto motobomba com potência de 14,9 kW</t>
  </si>
  <si>
    <t>SF-03611</t>
  </si>
  <si>
    <t>Revisão completa (overhaul) de bomba hidráulica referente a conjunto motobomba com potência de 22 kW</t>
  </si>
  <si>
    <t>SF-03612</t>
  </si>
  <si>
    <t>Revisão completa (overhaul) de bomba hidráulica referente a conjunto motobomba com potência de 30 kW</t>
  </si>
  <si>
    <t>SF-03613</t>
  </si>
  <si>
    <t>Revisão completa (overhaul) de bomba hidráulica referente a conjunto motobomba com potência de 45 kW</t>
  </si>
  <si>
    <t>SF-03614</t>
  </si>
  <si>
    <t>Revisão completa (overhaul) de bomba hidráulica referente a conjunto motobomba com potência de 75 kW</t>
  </si>
  <si>
    <t>SF-03615</t>
  </si>
  <si>
    <t>Revisão completa (overhaul) de bomba hidráulica referente a conjunto motobomba com potência de 150 kW</t>
  </si>
  <si>
    <t>SF-03616</t>
  </si>
  <si>
    <t>Remanufatura completa de Compressor Parafuso Semi-Hermético modelo Carlyle 06 NA2250W7NC-A00 ou equivalente, R-134A</t>
  </si>
  <si>
    <t>SF-03617</t>
  </si>
  <si>
    <t>Remanufatura completa de Compressor Parafuso Semi-Hermético modelo Carlyle 06 NA2209W7NC-A00 ou equivalente, R-134A</t>
  </si>
  <si>
    <t>SF-03618</t>
  </si>
  <si>
    <t>Remanufatura completa de Compressor Parafuso Hermético 50 TRs modelo Trane CHHN050DKA0N057A ou equivalente, R-22</t>
  </si>
  <si>
    <t>SF-03619</t>
  </si>
  <si>
    <t>Remanufatura completa de Compressor Alternativo modelo York ZB4K1 B46 ou equivalente, R-22</t>
  </si>
  <si>
    <t>SF-03620</t>
  </si>
  <si>
    <t>Contratação anual de laudos técnicos dos fabricantes, seus representantes autorizados ou empresa especializada versando sobre o estado de operação e manutenção de todos os chillers centrífugos e a ar do Complexo Arquitetônico do Senado Federal</t>
  </si>
  <si>
    <t>SF-03621</t>
  </si>
  <si>
    <t>Contratação anual de laudos técnicos de laboratórios qualificados versando sobre a qualidade dos óleos dos compressores de todos os chillers centrífugos e a ar do Complexo Arquitetônico do Senado Federal</t>
  </si>
  <si>
    <t>Projeto ou acompanhamento realizado por engenheiro de segurança do trabalho com carga horária de vinte horas</t>
  </si>
  <si>
    <t>SF-03623</t>
  </si>
  <si>
    <t>Ar-condicionado do tipo split cassete inverter com capacidade nominal mínima de 45.000 BTU/h</t>
  </si>
  <si>
    <t>SF-03624</t>
  </si>
  <si>
    <t>Alicate de prensar e matrizes 16/20/26/32 mm para tubo PEX multicamada para gás</t>
  </si>
  <si>
    <t>SF-03625</t>
  </si>
  <si>
    <t>Compressor Hermético Rotativo próprio para R-22 de Capacidade de até 12.000 BTU/h (inclusive)</t>
  </si>
  <si>
    <t>SF-03626</t>
  </si>
  <si>
    <t>Compressor Hermético Rotativo próprio para R-22 de Capacidade de 12.000 BTU/h (exclusive) até 18.000 BTU/h (inclusive)</t>
  </si>
  <si>
    <t>SF-03627</t>
  </si>
  <si>
    <t>Compressor Hermético Rotativo próprio para R-22 de Capacidade de 18.000 BTU/h (exclusive) até 24.000 BTU/h (inclusive)</t>
  </si>
  <si>
    <t>SF-03628</t>
  </si>
  <si>
    <t>Compressor Hermético Rotativo próprio para R-22 de Capacidade de 24.000 BTU/h (exclusive) até 36.000 BTU/h (inclusive)</t>
  </si>
  <si>
    <t>SF-03629</t>
  </si>
  <si>
    <t>Compressor Hermético Rotativo próprio para R-22 de Capacidade de 36.000 BTU/h (exclusive) até 48.000 BTU/h (inclusive)</t>
  </si>
  <si>
    <t>SF-03630</t>
  </si>
  <si>
    <t>Compressor Hermético Rotativo próprio para R-22 de Capacidade de 48.000 BTU/h (exclusive) até 60.000 BTU/h (inclusive)</t>
  </si>
  <si>
    <t>SF-03631</t>
  </si>
  <si>
    <t>Compressor Hermético Rotativo próprio para R-410A de Capacidade de até 12.000 BTU/h (inclusive)</t>
  </si>
  <si>
    <t>SF-03632</t>
  </si>
  <si>
    <t>Compressor Hermético Rotativo próprio para R-410A de Capacidade de 12.000 BTU/h (exclusive) até 18.000 BTU/h (inclusive)</t>
  </si>
  <si>
    <t>SF-03633</t>
  </si>
  <si>
    <t>Compressor Hermético Rotativo próprio para R-410A de Capacidade de 18.000 BTU/h (exclusive) até 24.000 BTU/h (inclusive)</t>
  </si>
  <si>
    <t>SF-03634</t>
  </si>
  <si>
    <t>Compressor Hermético Rotativo próprio para R-410A de Capacidade de 24.000 BTU/h (exclusive) até 36.000 BTU/h (inclusive)</t>
  </si>
  <si>
    <t>SF-03635</t>
  </si>
  <si>
    <t>Compressor Hermético Rotativo próprio para R-410A de Capacidade de 36.000 BTU/h (exclusive) até 48.000 BTU/h (inclusive)</t>
  </si>
  <si>
    <t>SF-03636</t>
  </si>
  <si>
    <t>Compressor Hermético Rotativo próprio para R-410A de Capacidade de 48.000 BTU/h (exclusive) até 60.000 BTU/h (inclusive)</t>
  </si>
  <si>
    <t>SF-03637</t>
  </si>
  <si>
    <t>Compressor Swing próprio para R-410A de Capacidade de 30.000 BTU/h (inclusive) até 31.000 BTU/h (inclusive), modelo Swing DC DAIKIN</t>
  </si>
  <si>
    <t>SF-03638</t>
  </si>
  <si>
    <t>Compressor Hermético Rotativo próprio para R-32 de Capacidade de até 12.000 BTU/h (inclusive)</t>
  </si>
  <si>
    <t>SF-03639</t>
  </si>
  <si>
    <t>Compressor Hermético Rotativo próprio para R-32 de Capacidade de 12.000 BTU/h (exclusive) até 18.000 BTU/h (inclusive)</t>
  </si>
  <si>
    <t>SF-03640</t>
  </si>
  <si>
    <t>Compressor Hermético Rotativo próprio para R-32 de Capacidade de 18.000 BTU/h (exclusive) até 24.000 BTU/h (inclusive)</t>
  </si>
  <si>
    <t>SF-03641</t>
  </si>
  <si>
    <t>Compressor Hermético Rotativo próprio para R-32 de Capacidade de 24.000 BTU/h (exclusive) até 36.000 BTU/h (inclusive)</t>
  </si>
  <si>
    <t>SF-03642</t>
  </si>
  <si>
    <t>Compressor Hermético Rotativo próprio para R-32 de Capacidade de 36.000 BTU/h (exclusive) até 48.000 BTU/h (inclusive)</t>
  </si>
  <si>
    <t>SF-03643</t>
  </si>
  <si>
    <t>Compressor Hermético Rotativo próprio para R-32 de Capacidade de 48.000 BTU/h (exclusive) até 60.000 BTU/h (inclusive)</t>
  </si>
  <si>
    <t>SF-03644</t>
  </si>
  <si>
    <t>Compressor EcoSwing próprio para R-32 de Capacidade 12.000 BTU/h, modelo EcoSwing DC DAIKIN</t>
  </si>
  <si>
    <t>SF-03645</t>
  </si>
  <si>
    <t>Compressor EcoSwing próprio para R-32 de Capacidade 18.000 BTU/h, modelo EcoSwing DC DAIKIN</t>
  </si>
  <si>
    <t>SF-03646</t>
  </si>
  <si>
    <t>Compressor EcoSwing próprio para R-32 de Capacidade 24.000 BTU/h, modelo EcoSwing DC DAIKIN</t>
  </si>
  <si>
    <t>SF-03647</t>
  </si>
  <si>
    <t>Compressor Scroll próprio para R-22/R-407C de Capacidade de até 3 TR (inclusive)</t>
  </si>
  <si>
    <t>SF-03648</t>
  </si>
  <si>
    <t>Compressor Scroll próprio para R-22/R-407C de Capacidade de 3 TR (exclusive) até 5 TR (inclusive)</t>
  </si>
  <si>
    <t>SF-03649</t>
  </si>
  <si>
    <t>Compressor Scroll próprio para R-22/R-407C de Capacidade de 5 TR (exclusive) até 7,5 TR (inclusive)</t>
  </si>
  <si>
    <t>SF-03650</t>
  </si>
  <si>
    <t>Compressor Scroll próprio para R-22/R-407C de Capacidade de 7,5 TR (exclusive) até 10 TR (inclusive)</t>
  </si>
  <si>
    <t>SF-03651</t>
  </si>
  <si>
    <t>Compressor Scroll próprio para R-22/R-407C de Capacidade de 10 TR (exclusive) até 12,5 TR (inclusive)</t>
  </si>
  <si>
    <t>SF-03652</t>
  </si>
  <si>
    <t>Compressor Scroll próprio para R-22/R-407C de Capacidade de 12,5 TR (exclusive) até 15 TR (inclusive)</t>
  </si>
  <si>
    <t>SF-03653</t>
  </si>
  <si>
    <t>Compressor Scroll próprio para R-22/R-407C de Capacidade de 15 TR (exclusive) até 20 TR (inclusive)</t>
  </si>
  <si>
    <t>SF-03654</t>
  </si>
  <si>
    <t>Compressor Scroll próprio para R-22 de Capacidade 10 TR, modelo Trane CSHA 100X, 3F/380V/60Hz, para chiller Trane CGAD040-HT</t>
  </si>
  <si>
    <t>SF-03655</t>
  </si>
  <si>
    <t>Compressor Scroll próprio para R-22 de Capacidade 15 TR, modelo Trane CSHA 150X, 3F/380V/60Hz, para chiller Trane CGAD060-HT(4T)</t>
  </si>
  <si>
    <t>SF-03656</t>
  </si>
  <si>
    <t>Compressor Scroll próprio para R-22 de Capacidade 15,4 TR, modelo Danfoss Scroll Performer SM185S9C, 3F/380V/60Hz, para chiller Carrier 30GSP080386S</t>
  </si>
  <si>
    <t>SF-03657</t>
  </si>
  <si>
    <t>Compressor Scroll próprio para R-407C de Capacidade 3 TR, modelo Copeland ZR36K3-TFD-522 ou equivalente</t>
  </si>
  <si>
    <t>SF-03658</t>
  </si>
  <si>
    <t>Compressor Scroll próprio para R-407C de Capacidade 20 TR, modelo Danfoss SY240A9CB ou Copeland ZR250KC-TE7-522 ou equivalente</t>
  </si>
  <si>
    <t>SF-03659</t>
  </si>
  <si>
    <t>Compressor Scroll próprio para R-410A de Capacidade 4,5 TR para VRF Trane 4TVH0096BK0</t>
  </si>
  <si>
    <t>SF-03660</t>
  </si>
  <si>
    <t>Compressor Scroll próprio para R-410A de Capacidade 6,9 TR, modelo HLJ083T9LC,  para split Trane Oasis TDXU 15</t>
  </si>
  <si>
    <t>SF-03661</t>
  </si>
  <si>
    <t>Compressor Scroll próprio para R-410A de Capacidade 8,8 TR, modelo DCJ106T9LC, para split Trane Oasis TDXU 10</t>
  </si>
  <si>
    <t>SF-03662</t>
  </si>
  <si>
    <t>Compressor Scroll próprio para R-410A de Capacidade de até 3 TR (inclusive)</t>
  </si>
  <si>
    <t>SF-03663</t>
  </si>
  <si>
    <t>Compressor Scroll próprio para R-410A de Capacidade de 3 TR (exclusive) até 5 TR (inclusive)</t>
  </si>
  <si>
    <t>SF-03664</t>
  </si>
  <si>
    <t>Compressor Scroll próprio para R-410A de Capacidade 52.900 BTU/h, modelo Mitsubishi ANB33FDMMT ou equivalente</t>
  </si>
  <si>
    <t>SF-03665</t>
  </si>
  <si>
    <t>Compressor Alternativo próprio para R-22 modelo York ZB4K1 B46 ou equivalente, para chiller York YEAZ33BP3-46PA</t>
  </si>
  <si>
    <t>SF-03666</t>
  </si>
  <si>
    <t>Compressor Alternativo próprio para R-22 de Capacidade 120.000 BTU/h, trifásico, modelo Trane CRHL 100KA ou equivalente</t>
  </si>
  <si>
    <t>SF-03667</t>
  </si>
  <si>
    <t>Compressor Parafuso Semi-Hermético próprio para R-134A modelo Carlyle 06 NA2250W7NC-A00 ou equivalente, para chiller Carrier 30GXE227.386S</t>
  </si>
  <si>
    <t>SF-03668</t>
  </si>
  <si>
    <t>Compressor Parafuso Semi-Hermético próprio para R-134A modelo Carlyle 06 NA2209W7NC-A00 ou equivalente, para chiller Carrier 30GXE227.386S</t>
  </si>
  <si>
    <t>SF-03669</t>
  </si>
  <si>
    <t>Compressor Parafuso Semi-Hermético próprio para R-22 de Capacidade 50 TR, modelo Trane CHHN050DKA0N057A ou equivalente, para chiller Trane RTAA100DYB1AA0002</t>
  </si>
  <si>
    <t>SF-03670</t>
  </si>
  <si>
    <t>Exaustor axial com vazão máxima de 340 m3/h</t>
  </si>
  <si>
    <t>SF-03671</t>
  </si>
  <si>
    <t>Exaustor axial em linha com vazão máxima de 520 m3/h</t>
  </si>
  <si>
    <t>SF-03672</t>
  </si>
  <si>
    <t>Exaustor centrífugo em linha com vazão máxima de 865 m3/h</t>
  </si>
  <si>
    <t>SF-03673</t>
  </si>
  <si>
    <t>Exaustor centrífugo em linha com vazão máxima de 1350 m3/h</t>
  </si>
  <si>
    <t>SF-03674</t>
  </si>
  <si>
    <t>Exaustor axial trifásico com vazão máxima 7.800 m3/h</t>
  </si>
  <si>
    <t>SF-03675</t>
  </si>
  <si>
    <t>Ventilador axial 400 mm, 4 polos, monofásico, com grade</t>
  </si>
  <si>
    <t>SF-03676</t>
  </si>
  <si>
    <t>Difusor de ar quadrado 248x248 mm</t>
  </si>
  <si>
    <t>SF-03677</t>
  </si>
  <si>
    <t>Difusor de ar quadrado 304x304 mm</t>
  </si>
  <si>
    <t>SF-03678</t>
  </si>
  <si>
    <t>Difusor de ar quadrado 360x360 mm</t>
  </si>
  <si>
    <t>SF-03679</t>
  </si>
  <si>
    <t>Difusor de ar quadrado com caixa pleno AK6 304x304 mm</t>
  </si>
  <si>
    <t>SF-03680</t>
  </si>
  <si>
    <t>Difusor de ar quadrado com caixa pleno AK6 360x360 mm</t>
  </si>
  <si>
    <t>SF-03681</t>
  </si>
  <si>
    <t>Difusor de ar retangular para insuflamento em uma direção 371x208 mm</t>
  </si>
  <si>
    <t>SF-03682</t>
  </si>
  <si>
    <t>Difusor de ar retangular para insuflamento em duas direções 371x208 mm</t>
  </si>
  <si>
    <t>SF-03683</t>
  </si>
  <si>
    <t>Difusor de ar retangular para insuflamento em três direções 371x208 mm</t>
  </si>
  <si>
    <t>SF-03684</t>
  </si>
  <si>
    <t>Difusor de ar quadrado para insuflamento em duas direções perpendiculares 376x376 mm</t>
  </si>
  <si>
    <t>SF-03685</t>
  </si>
  <si>
    <t>Difusor de ar retangular para insuflamento em três direções 264x432 mm</t>
  </si>
  <si>
    <t>SF-03686</t>
  </si>
  <si>
    <t>Difusor de ar retangular para insuflamento em três direções 320x562 mm</t>
  </si>
  <si>
    <t>SF-03687</t>
  </si>
  <si>
    <t>Grelha para retorno quadrada 225x225 mm</t>
  </si>
  <si>
    <t>SF-03688</t>
  </si>
  <si>
    <t>Grelha para retorno retangular 425x225 mm</t>
  </si>
  <si>
    <t>SF-03689</t>
  </si>
  <si>
    <t>Grelha para retorno retangular 525x325 mm</t>
  </si>
  <si>
    <t>SF-03690</t>
  </si>
  <si>
    <t>Grelha para retorno retangular 325x125 mm</t>
  </si>
  <si>
    <t>SF-03691</t>
  </si>
  <si>
    <t>Grelha para retorno para portas, divisórias e paredes 525x325 mm</t>
  </si>
  <si>
    <t>SF-03692</t>
  </si>
  <si>
    <t>Grelha para retorno para portas, divisórias e paredes 1225x525 mm</t>
  </si>
  <si>
    <t>SF-03693</t>
  </si>
  <si>
    <t>Placa eletrônica Trane Starter Module 6400-1122-04 X13650741-12</t>
  </si>
  <si>
    <t>SF-03694</t>
  </si>
  <si>
    <t>Placa eletrônica Trane UCP3 Dual Binary Input 6400-1104-03 X13650728-05</t>
  </si>
  <si>
    <t>SF-03695</t>
  </si>
  <si>
    <t>Placa eletrônica Trane UCP3 Quad Relay Output 6400-1126-03 X13650806-04</t>
  </si>
  <si>
    <t>SF-03696</t>
  </si>
  <si>
    <t>Placa eletrônica Trane UCP3 Triple Winding Temp Input X13650921-03</t>
  </si>
  <si>
    <t>SF-03697</t>
  </si>
  <si>
    <t>Módulo Trane de Interface TCI-4 - COMM4 Trane MOD01394</t>
  </si>
  <si>
    <t>SF-03698</t>
  </si>
  <si>
    <t>Módulo Trane COMM 4 Interface X13650844-04</t>
  </si>
  <si>
    <t>SF-03699</t>
  </si>
  <si>
    <t>Módulo supervisório e de interface IHM Trane Dynaview, Part nº MOD02092</t>
  </si>
  <si>
    <t>SF-03700</t>
  </si>
  <si>
    <t>Tela touch screen Trane 4,756" para MOD02092, Part nº SRN01001</t>
  </si>
  <si>
    <t>SF-03701</t>
  </si>
  <si>
    <t>Placa eletrônica de suprimento de força para placas Trane UCP3, X13650737-07</t>
  </si>
  <si>
    <t>SF-03702</t>
  </si>
  <si>
    <t>Placa eletrônica de suprimento de força para TRANE CVGF1000, Part nº PWR00155</t>
  </si>
  <si>
    <t>SF-03703</t>
  </si>
  <si>
    <t>Módulo Trane Main Card para chillers Trane modelo CGAD040-4T série BR1198C0007 e Trane modelo CGAD060-4T série BR0999C0001</t>
  </si>
  <si>
    <t>SF-03704</t>
  </si>
  <si>
    <t>Módulo Trane Auxiliary Card para chillers Trane modelo CGAD040-4T série BR1198C0007 e Trane modelo CGAD060-4T série BR0999C0001</t>
  </si>
  <si>
    <t>SF-03705</t>
  </si>
  <si>
    <t>Reparo da porta e acessórios do elevador da fabricante Atlas na Ala Nilo Coelho - Anexo 02</t>
  </si>
  <si>
    <t>SF-03706</t>
  </si>
  <si>
    <t>Blecaute sem varão (Modelo Salão Nobre)</t>
  </si>
  <si>
    <t>SF-03707</t>
  </si>
  <si>
    <t>Placa eletrônica de suprimento de força para placas eletrônicas Trane para chillers Trane modelo CGAD040-4T série BR1198C0007 e Trane modelo CGAD060-4T série BR0999C0001</t>
  </si>
  <si>
    <t>SF-03708</t>
  </si>
  <si>
    <t>Módulo Trane CPM – Unit Regulation modelo MOD01424 para chiller Trane RTAA</t>
  </si>
  <si>
    <t>SF-03709</t>
  </si>
  <si>
    <t>Módulo Trane MSCP – Compressor Regulation modelo MOD01425 para chiller Trane RTAA</t>
  </si>
  <si>
    <t>SF-03710</t>
  </si>
  <si>
    <t>Módulo Trane EXV – Eletronic Expansion Valve Regulation modelo MOD01562 para chiller Trane RTAA</t>
  </si>
  <si>
    <t>SF-03711</t>
  </si>
  <si>
    <t>Módulo Trane CSR – External Communication Link and Chiller Water Reset modelo MOD01422 para chiller Trane RTAA</t>
  </si>
  <si>
    <t>SF-03712</t>
  </si>
  <si>
    <t>Placa eletrônica de suprimento de força para placas eletrônicas Trane para chiller Trane RTAA</t>
  </si>
  <si>
    <t>SF-03713</t>
  </si>
  <si>
    <t>Módulo Trane de Interface Adaptive Control MOD00942</t>
  </si>
  <si>
    <t>SF-03714</t>
  </si>
  <si>
    <t>Módulo supervisório e de Interface IHM – Carrier Pro-dialog Plus com Placa Carrier Sinoptico A2</t>
  </si>
  <si>
    <t>SF-03715</t>
  </si>
  <si>
    <t>Placa Carrier PD4</t>
  </si>
  <si>
    <t>SF-03716</t>
  </si>
  <si>
    <t>Placa Carrier EXV</t>
  </si>
  <si>
    <t>SF-03717</t>
  </si>
  <si>
    <t>Placa de Supervisão e Comunicação Carrier CLOCK/CCN</t>
  </si>
  <si>
    <t>SF-03718</t>
  </si>
  <si>
    <t>Placa Carrier 4xDO do ventilador</t>
  </si>
  <si>
    <t>SF-03719</t>
  </si>
  <si>
    <t>Placa Eletrônica de Supervisão Carrier NRCP/NRCP2</t>
  </si>
  <si>
    <t>SF-03720</t>
  </si>
  <si>
    <t>Placa Carrier SCPM de proteção do compressor</t>
  </si>
  <si>
    <t>Tubo de aço-carbono galvanizado 6” – Água Potável e Combate a Incêndio</t>
  </si>
  <si>
    <t>SF-03722</t>
  </si>
  <si>
    <t>Placa eletrônica de suprimento de força para placas eletrônicas Carrier do chiller 30GX</t>
  </si>
  <si>
    <t>SF-03723</t>
  </si>
  <si>
    <t>Placa eletrônica de suprimento de força para placas eletrônicas Carrier do chiller 30GS</t>
  </si>
  <si>
    <t>SF-03724</t>
  </si>
  <si>
    <t>Placa Eletrônica York Microprocessor Board do chiller York YEAZ</t>
  </si>
  <si>
    <t>SF-03725</t>
  </si>
  <si>
    <t>Placa Eletrônica York Relay Output Board do chiller York YEAZ</t>
  </si>
  <si>
    <t>SF-03726</t>
  </si>
  <si>
    <t>Placa eletrônica York Power Supply Board do chiller York YEAZ</t>
  </si>
  <si>
    <t>SF-03727</t>
  </si>
  <si>
    <t>Chave de fluxo “flow switch” para rede de água gelada ou condensada</t>
  </si>
  <si>
    <t>SF-03728</t>
  </si>
  <si>
    <t>Sensor de temperatura 3000Ω (termistor) para água, Part nº York 025 29964 000 ou 025 52739 000</t>
  </si>
  <si>
    <t>SF-03729</t>
  </si>
  <si>
    <t>Sensor de temperatura para água modelo Carrier HH79NZ047</t>
  </si>
  <si>
    <t>SF-03730</t>
  </si>
  <si>
    <t>Sensor de temperatura para módulo Trane Dynaview, Part nº SEN02133</t>
  </si>
  <si>
    <t>SF-03731</t>
  </si>
  <si>
    <t>Sensor de água gelada modelo Trane X1354070103 para chiller centrífugo</t>
  </si>
  <si>
    <t>SF-03732</t>
  </si>
  <si>
    <t>Sensor de água gelada para chiller modelo Trane X13540555002 (SEN0006E)</t>
  </si>
  <si>
    <t>SF-03733</t>
  </si>
  <si>
    <t>Sensor de temperatura (termistor) modelo Trane SEN00306 para chiller Trane RTAA</t>
  </si>
  <si>
    <t>SF-03734</t>
  </si>
  <si>
    <t>Sensor de temperatura de condensação modelo Trane SEN00296 para chiller Trane RTAA</t>
  </si>
  <si>
    <t>SF-03735</t>
  </si>
  <si>
    <t>Sensor de temperatura de evaporação modelo Trane SEN00951 para chiller Trane RTAA</t>
  </si>
  <si>
    <t>SF-03736</t>
  </si>
  <si>
    <t>Sensor termistor para água para chiller</t>
  </si>
  <si>
    <t>SF-03737</t>
  </si>
  <si>
    <t>Sensor de temperatura de óleo modelo Trane SEN00204 para chiller Trane RTAA</t>
  </si>
  <si>
    <t>SF-03738</t>
  </si>
  <si>
    <t>Sensor transdutor de pressão, lado baixa pressão, modelo Carrier OP--12DA-040, para chiller Carrier</t>
  </si>
  <si>
    <t>SF-03739</t>
  </si>
  <si>
    <t>Sensor transdutor de pressão, lado alta pressão, modelo Carrier OP--12DA-039, para chiller Carrier</t>
  </si>
  <si>
    <t>SF-03740</t>
  </si>
  <si>
    <t>Transdutor de alta pressão modelo Trane SWT02242 (X1321021001)</t>
  </si>
  <si>
    <t>SF-03741</t>
  </si>
  <si>
    <t>Transdutor de pressão eletrônico de alta</t>
  </si>
  <si>
    <t>SF-03742</t>
  </si>
  <si>
    <t>Transdutor de pressão eletrônico de baixa</t>
  </si>
  <si>
    <t>SF-03743</t>
  </si>
  <si>
    <t>Pressostato cartucho/rabicho de alta</t>
  </si>
  <si>
    <t>SF-03744</t>
  </si>
  <si>
    <t>Pressostato cartucho/rabicho de baixa</t>
  </si>
  <si>
    <t>SF-03745</t>
  </si>
  <si>
    <t>Pressostato de baixa pressão modelo Trane SWT02565 para chiller Trane RTAA</t>
  </si>
  <si>
    <t>SF-03746</t>
  </si>
  <si>
    <t>Chave de nível de óleo modelo Carrier HR-12BA-011-ee</t>
  </si>
  <si>
    <t>SF-03747</t>
  </si>
  <si>
    <t>Filtro de óleo Modelo Trane FLR01917 para chiller centrífugo Trane CVGF1000</t>
  </si>
  <si>
    <t>SF-03748</t>
  </si>
  <si>
    <t>Elemento filtrante de óleo Modelo Trane FLR08720 para chiller centrífugo Trane CVGF1000</t>
  </si>
  <si>
    <t>SF-03749</t>
  </si>
  <si>
    <t>Filtro de óleo para chiller a ar Carrier 30GXE227.386S com capacidade de 213,3 TR</t>
  </si>
  <si>
    <t>SF-03750</t>
  </si>
  <si>
    <t>Elemento filtrante de óleo Modelo Carrier 06NA660028 para chiller a ar Carrier 30GXE227.386S com capacidade de 213,3 TR</t>
  </si>
  <si>
    <t>SF-03751</t>
  </si>
  <si>
    <t>Filtro de óleo Modelo Trane FLR01353 para chiller a ar Trane RTAA100DYB1AA0002 com capacidade de 100 TR</t>
  </si>
  <si>
    <t>SF-03752</t>
  </si>
  <si>
    <t>Filtro de óleo para chiller a ar Carrier 30GSP080386S com capacidade de 80 TR</t>
  </si>
  <si>
    <t>SF-03753</t>
  </si>
  <si>
    <t>Filtro de óleo para chiller a ar Trane CGAD060-HT(4T) com capacidade de 60 TR</t>
  </si>
  <si>
    <t>SF-03754</t>
  </si>
  <si>
    <t>Filtro de óleo para chiller a ar York YEAZ33BP3-46PA com capacidade de 50 TR</t>
  </si>
  <si>
    <t>SF-03755</t>
  </si>
  <si>
    <t>Filtro de óleo para chiller a ar Trane CGAD040-HT com capacidade de 40 TR</t>
  </si>
  <si>
    <t>SF-03756</t>
  </si>
  <si>
    <t>Filtro secador para linhas de refrigerante de chiller</t>
  </si>
  <si>
    <t>SF-03757</t>
  </si>
  <si>
    <t>Núcleo para filtro secador para linhas de refrigerante de chiller com sistema HCFC</t>
  </si>
  <si>
    <t>SF-03758</t>
  </si>
  <si>
    <t>Núcleo para filtro secador para linhas de refrigerante de chiller com sistema HFC</t>
  </si>
  <si>
    <t>SF-03759</t>
  </si>
  <si>
    <t>Separador de óleo para chiller a ar Trane RTAA100DYB1AA0002 com capacidade de 100 TR</t>
  </si>
  <si>
    <t>SF-03760</t>
  </si>
  <si>
    <t>Válvula de Expansão EXV modelo Trane VAL08030 para chiller Trane RTAA</t>
  </si>
  <si>
    <t>SF-03761</t>
  </si>
  <si>
    <t>Válvula de Expansão EXV para chiller a ar Carrier 30GXE227.386S com capacidade de 213,3 TR</t>
  </si>
  <si>
    <t>SF-03762</t>
  </si>
  <si>
    <t>Bobina de solenoide 10 W, 60 Hz, tensão de alimentação 24 V / 110 V / 220 V</t>
  </si>
  <si>
    <t>SF-03763</t>
  </si>
  <si>
    <t>Bobina de solenoide modelo Trane COL04723 ou equivalente para chiller Trane RTAA</t>
  </si>
  <si>
    <t>SF-03764</t>
  </si>
  <si>
    <t>Válvula solenoide modelo Trane VAL02843 ou equivalente para chiller Trane RTAA</t>
  </si>
  <si>
    <t>SF-03765</t>
  </si>
  <si>
    <t>Manômetro conexão 1/2" NPT ou 1/2" BSP, diâmetro 100 mm, classe B de exatidão ou superior</t>
  </si>
  <si>
    <t>SF-03766</t>
  </si>
  <si>
    <t>Manovacuômetro conexão 1/2" NPT ou 1/2" BSP, diâmetro 100 mm, classe B de exatidão ou superior</t>
  </si>
  <si>
    <t>SF-03767</t>
  </si>
  <si>
    <t>Termômetro Capela conexão 1/2" NPT ou 1/2" BSP, Escala 0 a 50°C, Líquido Vermelho, Haste Reta 50 mm</t>
  </si>
  <si>
    <t>SF-03768</t>
  </si>
  <si>
    <t>Resistência de aquecimento de Carter modelo Trane ELM01936 para chiller centrífugo Trane modelo CVGF1000DL0C64115101B2B1C2C49010400E3NN0B00T0 série G08C00202</t>
  </si>
  <si>
    <t>SF-03769</t>
  </si>
  <si>
    <t>Junta de expansão de borracha  EPDM, diâmetro nominal de 1 1/2"</t>
  </si>
  <si>
    <t>SF-03770</t>
  </si>
  <si>
    <t>Junta de expansão de borracha  EPDM, diâmetro nominal de 2"</t>
  </si>
  <si>
    <t>SF-03771</t>
  </si>
  <si>
    <t>Junta de expansão de borracha  EPDM, diâmetro nominal de 2 1/2"</t>
  </si>
  <si>
    <t>SF-03772</t>
  </si>
  <si>
    <t>Junta de expansão de borracha  EPDM, diâmetro nominal de 3"</t>
  </si>
  <si>
    <t>SF-03773</t>
  </si>
  <si>
    <t>Junta de expansão de borracha  EPDM, diâmetro nominal de 4"</t>
  </si>
  <si>
    <t>SF-03774</t>
  </si>
  <si>
    <t>Junta de expansão de borracha  EPDM, diâmetro nominal de 5"</t>
  </si>
  <si>
    <t>SF-03775</t>
  </si>
  <si>
    <t>Junta de expansão de borracha  EPDM, diâmetro nominal de 6"</t>
  </si>
  <si>
    <t>SF-03776</t>
  </si>
  <si>
    <t>Junta de expansão de borracha  EPDM, diâmetro nominal de 8"</t>
  </si>
  <si>
    <t>SF-03777</t>
  </si>
  <si>
    <t>Junta de expansão de borracha  EPDM, diâmetro nominal de 10"</t>
  </si>
  <si>
    <t>SF-03778</t>
  </si>
  <si>
    <t>Junta de expansão de borracha  EPDM, diâmetro nominal de 12"</t>
  </si>
  <si>
    <t>SF-03779</t>
  </si>
  <si>
    <t>Atuador de Damper para controle do tipo proporcional com 10 Nm de força</t>
  </si>
  <si>
    <t>SF-03780</t>
  </si>
  <si>
    <t>Atuador de Damper convencional (Non Fail-Safe) para controle do tipo ON/OFF e Floating com 20Nm de força</t>
  </si>
  <si>
    <t>SF-03781</t>
  </si>
  <si>
    <t>Soft starter Cutler-Hammer S811V72N3S ou equivalente, para chiller centrífugo Trane modelo CVGF1000DL0C64115101B2B1C2C49010400E3NN0B00T0 série G08C00202</t>
  </si>
  <si>
    <t>SF-03782</t>
  </si>
  <si>
    <t>Conjunto de tampas (2) para condensadora de chiller centrífugo Trane modelo CVGF1000DL0C64115101B2B1C2C49010400E3NN0B00T0 série G08C00202</t>
  </si>
  <si>
    <t>SF-03783</t>
  </si>
  <si>
    <t>Hélice para chiller a ar</t>
  </si>
  <si>
    <t>SF-03784</t>
  </si>
  <si>
    <t>Motobomba centrífuga monoestágio de eixo horizontal em sistema monobloco 12,5 CV, trifásica, motor 4 polos</t>
  </si>
  <si>
    <t>SF-03785</t>
  </si>
  <si>
    <t>Motobomba centrífuga monoestágio de eixo horizontal em sistema monobloco 5 CV, trifásica, motor 4 polos</t>
  </si>
  <si>
    <t>SF-03786</t>
  </si>
  <si>
    <t>Motobomba centrífuga monoestágio de eixo horizontal 12,5 CV, trifásica, motor 4 polos</t>
  </si>
  <si>
    <t>SF-03787</t>
  </si>
  <si>
    <t>Motobomba centrífuga monoestágio de eixo horizontal 40 CV, trifásica, motor 4 polos</t>
  </si>
  <si>
    <t>SF-03788</t>
  </si>
  <si>
    <t>Motobomba centrífuga monoestágio de eixo horizontal 60 CV, trifásica, motor 4 polos</t>
  </si>
  <si>
    <t>SF-03789</t>
  </si>
  <si>
    <t>Motobomba centrífuga monoestágio de eixo horizontal 100 CV, trifásica, motor 4 polos</t>
  </si>
  <si>
    <t>SF-03790</t>
  </si>
  <si>
    <t>Motobomba centrífuga monoestágio de eixo horizontal 200 CV, trifásica, motor 4 polos</t>
  </si>
  <si>
    <t>SF-03791</t>
  </si>
  <si>
    <t>Motobomba centrífuga monoestágio de eixo horizontal 60 CV, trifásica, motor 6 polos</t>
  </si>
  <si>
    <t>SF-03792</t>
  </si>
  <si>
    <t>Motobomba centrífuga monoestágio de eixo horizontal 7,5 CV, trifásica, motor 4 polos</t>
  </si>
  <si>
    <t>SF-03793</t>
  </si>
  <si>
    <t>Motobomba centrífuga monoestágio de eixo horizontal 5 CV, trifásica, motor 4 polos</t>
  </si>
  <si>
    <t>SF-03794</t>
  </si>
  <si>
    <t>Ar-condicionado do tipo janela com capacidade nominal mínima de 10.000 BTU/h</t>
  </si>
  <si>
    <t>SF-03795</t>
  </si>
  <si>
    <t>Ar-condicionado do tipo janela com capacidade nominal mínima de 18.000 BTU/h</t>
  </si>
  <si>
    <t>SF-03796</t>
  </si>
  <si>
    <t>Ar-condicionado do tipo janela com capacidade nominal mínima de 27.000 BTU/h</t>
  </si>
  <si>
    <t>SF-03797</t>
  </si>
  <si>
    <t>Ar-condicionado do tipo split hi-wall inverter com capacidade nominal mínima de 12.000 BTU/h</t>
  </si>
  <si>
    <t>SF-03798</t>
  </si>
  <si>
    <t>Ar-condicionado do tipo split hi-wall inverter com capacidade nominal mínima de 18.000 BTU/h</t>
  </si>
  <si>
    <t>SF-03799</t>
  </si>
  <si>
    <t>Ar-condicionado do tipo split hi-wall inverter com capacidade nominal mínima de 22.000 BTU/h</t>
  </si>
  <si>
    <t>SF-03800</t>
  </si>
  <si>
    <t>Ar-condicionado do tipo split dutado com capacidade nominal mínima de 24.000 BTU/h</t>
  </si>
  <si>
    <t>SF-03801</t>
  </si>
  <si>
    <t>Ar-condicionado do tipo split dutado com capacidade nominal mínima de 58.000 BTU/h</t>
  </si>
  <si>
    <t>SF-03802</t>
  </si>
  <si>
    <t>Ar-condicionado do tipo split dutado inverter com capacidade nominal mínima de 30.000 BTU/h</t>
  </si>
  <si>
    <t>SF-03803</t>
  </si>
  <si>
    <t>Ar-condicionado do tipo split piso-teto inverter com capacidade nominal mínima de 30.000BTU/h</t>
  </si>
  <si>
    <t>SF-03804</t>
  </si>
  <si>
    <t>Ar-condicionado do tipo split piso-teto inverter com capacidade nominal entre 35.000BTU/h (inclusive) e 46.000BTU/h (inclusive)</t>
  </si>
  <si>
    <t>SF-03805</t>
  </si>
  <si>
    <t>Ar-condicionado do tipo split piso-teto inverter com capacidade nominal mínima de 54.000BTU/h</t>
  </si>
  <si>
    <t>SF-03806</t>
  </si>
  <si>
    <t>Ar-condicionado do tipo fancolete hidrônico hi-wall com capacidade nominal mínima de 1,3 TR</t>
  </si>
  <si>
    <t>SF-03807</t>
  </si>
  <si>
    <t>Ar-condicionado do tipo fancolete hidrônico dutado com capacidade nominal mínima de 0,58 TR</t>
  </si>
  <si>
    <t>SF-03808</t>
  </si>
  <si>
    <t>Ar-condicionado do tipo fancolete hidrônico dutado com capacidade nominal mínima de 1,2 TR</t>
  </si>
  <si>
    <t>SF-03809</t>
  </si>
  <si>
    <t>Ar-condicionado do tipo fancolete hidrônico dutado com capacidade nominal mínima de 1,5 TR</t>
  </si>
  <si>
    <t>SF-03810</t>
  </si>
  <si>
    <t>Ar-condicionado do tipo fancolete hidrônico dutado com capacidade nominal mínima de 2,3 TR</t>
  </si>
  <si>
    <t>SF-03811</t>
  </si>
  <si>
    <t>Ar-condicionado do tipo fancolete hidrônico dutado com capacidade nominal mínima de 2,5 TR</t>
  </si>
  <si>
    <t>SF-03812</t>
  </si>
  <si>
    <t>Ar-condicionado do tipo fancolete hidrônico dutado com capacidade nominal mínima de 4,5 TR</t>
  </si>
  <si>
    <t>SF-03813</t>
  </si>
  <si>
    <t>Ar-condicionado do tipo fancolete hidrônico cassete com capacidade nominal mínima de 2,6 TR</t>
  </si>
  <si>
    <t>SF-03814</t>
  </si>
  <si>
    <t>Ar-condicionado do tipo fancolete hidrônico piso-teto com capacidade nominal entre 12.000BTU/h (inclusive) e 20.000BTU/h (inclusive)</t>
  </si>
  <si>
    <t>SF-03815</t>
  </si>
  <si>
    <t>Ar-condicionado do tipo fancolete hidrônico piso-teto com capacidade nominal entre 24.000BTU/h (inclusive) e 30.000BTU/h (inclusive)</t>
  </si>
  <si>
    <t>SF-03816</t>
  </si>
  <si>
    <t>Ar-condicionado do tipo fancolete hidrônico piso-teto com capacidade nominal entre 36.000BTU/h (inclusive) e 44.000BTU/h (inclusive)</t>
  </si>
  <si>
    <t>SF-03817</t>
  </si>
  <si>
    <t>Ar-condicionado do tipo fancolete hidrônico piso-teto com capacidade nominal entre 48.000BTU/h (inclusive) e 55.000BTU/h (inclusive)</t>
  </si>
  <si>
    <t>SF-03818</t>
  </si>
  <si>
    <t>Ar-condicionado do tipo self-contained wall-mounted modelo Carrier 50BWF36</t>
  </si>
  <si>
    <t>SF-03819</t>
  </si>
  <si>
    <t>Controle remoto para fancolete/split, com ou sem fio</t>
  </si>
  <si>
    <t>SF-03820</t>
  </si>
  <si>
    <t>Motor elétrico com eixo duplo, potência de 1/40 a 1/2 CV</t>
  </si>
  <si>
    <t>SF-03821</t>
  </si>
  <si>
    <t>Motor elétrico com eixo simples, potência de 1/40 a 1/2 CV</t>
  </si>
  <si>
    <t>SF-03822</t>
  </si>
  <si>
    <t>Placa eletrônica de controle de equipamento split monofásico</t>
  </si>
  <si>
    <t>SF-03823</t>
  </si>
  <si>
    <t>Placa eletrônica de controle de equipamento fancolete monofásico</t>
  </si>
  <si>
    <t>SF-03824</t>
  </si>
  <si>
    <t>Placa eletrônica de controle de equipamento split trifásico</t>
  </si>
  <si>
    <t>SF-03825</t>
  </si>
  <si>
    <t>Placa eletrônica de controle de equipamento split monofásico com compressor inverter</t>
  </si>
  <si>
    <t>SF-03826</t>
  </si>
  <si>
    <t xml:space="preserve">Bomba para condensado de ar-condicionado para instalação oculta </t>
  </si>
  <si>
    <t>SF-03827</t>
  </si>
  <si>
    <t>Bomba de condensado para aparelho tipo cassete</t>
  </si>
  <si>
    <t>SF-03828</t>
  </si>
  <si>
    <t>Filtro secador para aparelhos de capacidade de refrigeração de 2,5 TR (inclusive) até 5 TR (inclusive)</t>
  </si>
  <si>
    <t>SF-03829</t>
  </si>
  <si>
    <t>Filtro secador para aparelhos de capacidade de refrigeração de 5 TR (exclusive) até 7,5 TR (inclusive)</t>
  </si>
  <si>
    <t>SF-03830</t>
  </si>
  <si>
    <t>Filtro secador para aparelhos de capacidade de refrigeração de 7,5 TR (exclusive) até 10 TR (inclusive)</t>
  </si>
  <si>
    <t>SF-03831</t>
  </si>
  <si>
    <t>Filtro secador para aparelhos de capacidade de refrigeração de 10 TR (exclusive) até 12,5 TR (inclusive)</t>
  </si>
  <si>
    <t>SF-03832</t>
  </si>
  <si>
    <t>Filtro secador para aparelhos de capacidade de refrigeração de 12,5 TR (exclusive) até 15 TR (inclusive)</t>
  </si>
  <si>
    <t>SF-03833</t>
  </si>
  <si>
    <t>Filtro secador para aparelhos de capacidade de refrigeração de 15 TR (exclusive) até 17,5 TR (inclusive)</t>
  </si>
  <si>
    <t>SF-03834</t>
  </si>
  <si>
    <t>Filtro secador para aparelhos de capacidade de refrigeração de 17,5 TR (exclusive) até 20 TR (inclusive)</t>
  </si>
  <si>
    <t>SF-03835</t>
  </si>
  <si>
    <t>Filtro secador para aparelhos de capacidade de refrigeração de 20 TR (exclusive) até 25 TR (inclusive)</t>
  </si>
  <si>
    <t>SF-03836</t>
  </si>
  <si>
    <t>Filtro secador para aparelhos de capacidade de refrigeração de 25 TR (exclusive) até 30 TR (inclusive)</t>
  </si>
  <si>
    <t>SF-03837</t>
  </si>
  <si>
    <t xml:space="preserve">Suporte para unidade evaporadora de aparelho split ou fancolete </t>
  </si>
  <si>
    <t>SF-03838</t>
  </si>
  <si>
    <t xml:space="preserve">Suporte para unidade condensadora de aparelho split </t>
  </si>
  <si>
    <t>SF-03839</t>
  </si>
  <si>
    <t>Amortecedor de borracha (coxim) aparafusável para unidade condensadora de aparelho split</t>
  </si>
  <si>
    <t>SF-03840</t>
  </si>
  <si>
    <t>Amortecedor de borracha (coxim) aparafusável para fan-coil ou self-contained, com carga máxima suportada por amortecedor de 150 kg</t>
  </si>
  <si>
    <t>SF-03841</t>
  </si>
  <si>
    <t>Amortecedor de borracha (coxim) aparafusável para fan-coil ou self-contained, com carga máxima suportada por amortecedor de 240 kg</t>
  </si>
  <si>
    <t>SF-03842</t>
  </si>
  <si>
    <t>Placa de PVC de espessura 10mm, dimensões: 0,6 x 1,2 m, cor branca</t>
  </si>
  <si>
    <t>SF-03843</t>
  </si>
  <si>
    <t xml:space="preserve">Fita PVC 100 mm para acabamento em refrigeração </t>
  </si>
  <si>
    <t>SF-03844</t>
  </si>
  <si>
    <t xml:space="preserve">Fita aluminizada para refrigeração 48 mm </t>
  </si>
  <si>
    <t>SF-03845</t>
  </si>
  <si>
    <t>Mangueira emborrachada 3/4" para uso para condução de água gelada sob pressão (SAE 100 R1)</t>
  </si>
  <si>
    <t>SF-03846</t>
  </si>
  <si>
    <t>Válvula de controle 3 vias, controle on/off, 3/4",  acompanhada de atuador desacoplável compatível</t>
  </si>
  <si>
    <t>SF-03847</t>
  </si>
  <si>
    <t>Válvula de controle 3 vias, controle proporcional, 1",  acompanhada de atuador desacoplável compatível</t>
  </si>
  <si>
    <t>SF-03848</t>
  </si>
  <si>
    <t>Válvula de controle 3 vias, controle proporcional, 1 1/4",  acompanhada de atuador desacoplável compatível</t>
  </si>
  <si>
    <t>SF-03849</t>
  </si>
  <si>
    <t>Válvula de controle 3 vias, controle proporcional, 1 1/2",  acompanhada de atuador desacoplável compatível</t>
  </si>
  <si>
    <t>SF-03850</t>
  </si>
  <si>
    <t>Válvula de controle 3 vias, controle proporcional, 2",  acompanhada de atuador desacoplável compatível</t>
  </si>
  <si>
    <t>SF-03851</t>
  </si>
  <si>
    <t>Válvula de balanceamento e controle (PIBCV) 2 vias, controle on-off, 3/4"</t>
  </si>
  <si>
    <t>SF-03852</t>
  </si>
  <si>
    <t>Válvula de balanceamento e controle (PIBCV) 2 vias, controle on-off, 1"</t>
  </si>
  <si>
    <t>SF-03853</t>
  </si>
  <si>
    <t>Atuador para controle on/off para válvulas de diâmetro nominal de 1/2" a 1"</t>
  </si>
  <si>
    <t>SF-03854</t>
  </si>
  <si>
    <t>Válvula de balanceamento e controle (PIBCV) 2 vias, controle proporcional, 1/2"</t>
  </si>
  <si>
    <t>SF-03855</t>
  </si>
  <si>
    <t>Válvula de balanceamento e controle (PIBCV) 2 vias, controle proporcional, 3/4"</t>
  </si>
  <si>
    <t>SF-03856</t>
  </si>
  <si>
    <t>Válvula de balanceamento e controle (PIBCV) 2 vias, controle proporcional, 1"</t>
  </si>
  <si>
    <t>SF-03857</t>
  </si>
  <si>
    <t>Válvula de balanceamento e controle (PIBCV) 2 vias, controle proporcional, 1 1/4"</t>
  </si>
  <si>
    <t>SF-03858</t>
  </si>
  <si>
    <t>Atuador para controle proporcional para válvulas de diâmetro nominal de 1/2" a 1 1/4"</t>
  </si>
  <si>
    <t>SF-03859</t>
  </si>
  <si>
    <t>Válvula de balanceamento e controle (PIBCV) 2 vias, controle proporcional, 1 1/2"</t>
  </si>
  <si>
    <t>SF-03860</t>
  </si>
  <si>
    <t>Válvula de balanceamento e controle (PIBCV) 2 vias, controle proporcional, 2"</t>
  </si>
  <si>
    <t>SF-03861</t>
  </si>
  <si>
    <t>Atuador para controle proporcional para válvulas de diâmetro nominal de 1 1/2" a 2"</t>
  </si>
  <si>
    <t>Válvula de esfera em bronze ou latão niquelado, PN 25, diâmetro nominal 1/2"</t>
  </si>
  <si>
    <t>Válvula de esfera em bronze ou latão niquelado, PN 25, diâmetro nominal 3/4"</t>
  </si>
  <si>
    <t>Válvula de esfera em bronze ou latão niquelado, PN 25, diâmetro nominal 1"</t>
  </si>
  <si>
    <t>Válvula de esfera em bronze ou latão niquelado, PN 25, diâmetro nominal 1 1/4"</t>
  </si>
  <si>
    <t>Válvula de esfera em bronze ou latão niquelado, PN 25, diâmetro nominal 1 1/2"</t>
  </si>
  <si>
    <t>SF-03867</t>
  </si>
  <si>
    <t>Filtro em Y, fabricado em liga de cobre, filtro em aço inoxidável, PN20, diâmetro nominal 3/4”</t>
  </si>
  <si>
    <t>SF-03868</t>
  </si>
  <si>
    <t>Filtro em Y, fabricado em liga de cobre, filtro em aço inoxidável, PN20, diâmetro nominal 1”</t>
  </si>
  <si>
    <t>SF-03869</t>
  </si>
  <si>
    <t>Filtro em Y, fabricado em liga de cobre, filtro em aço inoxidável, PN20, diâmetro nominal 1 1/4”</t>
  </si>
  <si>
    <t>SF-03870</t>
  </si>
  <si>
    <t>Filtro em Y, fabricado em liga de cobre, filtro em aço inoxidável, PN20, diâmetro nominal 1 1/2”</t>
  </si>
  <si>
    <t>SF-03871</t>
  </si>
  <si>
    <t>Filtro em Y, classe de pressão 150 lbs, diâmetro nominal 2"</t>
  </si>
  <si>
    <t>SF-03872</t>
  </si>
  <si>
    <t>Filtro em Y, classe de pressão 150 lbs, diâmetro nominal 2 1/2"</t>
  </si>
  <si>
    <t>SF-03873</t>
  </si>
  <si>
    <t>Filtro em Y, classe de pressão 150 lbs, diâmetro nominal 3"</t>
  </si>
  <si>
    <t>SF-03874</t>
  </si>
  <si>
    <t>Filtro em Y, classe de pressão 150 lbs, diâmetro nominal 4"</t>
  </si>
  <si>
    <t>SF-03875</t>
  </si>
  <si>
    <t>Filtro em Y, classe de pressão 150 lbs, diâmetro nominal 5"</t>
  </si>
  <si>
    <t>SF-03876</t>
  </si>
  <si>
    <t>Filtro em Y, classe de pressão 150 lbs, diâmetro nominal 6"</t>
  </si>
  <si>
    <t>SF-03877</t>
  </si>
  <si>
    <t>Filtro em Y, classe de pressão 150 lbs, diâmetro nominal 8"</t>
  </si>
  <si>
    <t>SF-03878</t>
  </si>
  <si>
    <t>Filtro em Y, classe de pressão 150 lbs, diâmetro nominal 10"</t>
  </si>
  <si>
    <t>SF-03879</t>
  </si>
  <si>
    <t>Filtro em Y, classe de pressão 150 lbs, diâmetro nominal 12"</t>
  </si>
  <si>
    <t>SF-03880</t>
  </si>
  <si>
    <t>Eliminador de ar para líquidos, bitola da conexão roscada 3/4"</t>
  </si>
  <si>
    <t>SF-03881</t>
  </si>
  <si>
    <t>Acoplamento de garras tipo “E”, tamanho 82</t>
  </si>
  <si>
    <t>SF-03882</t>
  </si>
  <si>
    <t>Acoplamento de garras tipo “E”, tamanho 97</t>
  </si>
  <si>
    <t>SF-03883</t>
  </si>
  <si>
    <t>Acoplamento de garras tipo “E”, tamanho 112</t>
  </si>
  <si>
    <t>SF-03884</t>
  </si>
  <si>
    <t>Acoplamento de garras tipo “E”, tamanho 128</t>
  </si>
  <si>
    <t>SF-03885</t>
  </si>
  <si>
    <t>Acoplamento de garras tipo “E”, tamanho 148</t>
  </si>
  <si>
    <t>SF-03886</t>
  </si>
  <si>
    <t>Acoplamento de garras tipo “E”, tamanho 194</t>
  </si>
  <si>
    <t>SF-03887</t>
  </si>
  <si>
    <t>Acoplamento tipo FRC, tamanho 110, com furo piloto ou bucha cônica</t>
  </si>
  <si>
    <t>SF-03888</t>
  </si>
  <si>
    <t>Contator tripolar com capacidade de corrente de até 96 A</t>
  </si>
  <si>
    <t>SF-03889</t>
  </si>
  <si>
    <t>Contato auxiliar para contator tripolar</t>
  </si>
  <si>
    <t>SF-03890</t>
  </si>
  <si>
    <t>Contator tripolar com capacidade de corrente de até 150 A</t>
  </si>
  <si>
    <t>SF-03891</t>
  </si>
  <si>
    <t>Alicate alargador de tubo PEX multicamada para gás 16 à 32 mm</t>
  </si>
  <si>
    <t>SF-03892</t>
  </si>
  <si>
    <t>Contator tripolar com capacidade de corrente de 250 A até 305 A</t>
  </si>
  <si>
    <t>SF-03893</t>
  </si>
  <si>
    <t>Alinhador de tubo PEX multicamada para gás 16 à 32 mm</t>
  </si>
  <si>
    <t>SF-03894</t>
  </si>
  <si>
    <t>Relé eletromecânico de sobrecarga para correntes de até 97 A</t>
  </si>
  <si>
    <t>SF-03895</t>
  </si>
  <si>
    <t>Relé eletromecânico de sobrecarga para correntes de até 150 A</t>
  </si>
  <si>
    <t>SF-03896</t>
  </si>
  <si>
    <t>Condutor flexível tetrapolar 0,6/1 kV 4 x 2,5 mm²</t>
  </si>
  <si>
    <t>SF-03897</t>
  </si>
  <si>
    <t>Condutor flexível tetrapolar 0,6/1 kV 4 x 1,5 mm²</t>
  </si>
  <si>
    <t>SF-03898</t>
  </si>
  <si>
    <t>Sensor de temperatura para duto (haste) NTC10K2 ou NTC10K3</t>
  </si>
  <si>
    <t>SF-03899</t>
  </si>
  <si>
    <t>Sensor de temperatura para duto (haste) PT100, 2 ou 3 fios</t>
  </si>
  <si>
    <t>SF-03900</t>
  </si>
  <si>
    <t>Sensor de CO2 para duto (haste), 0-10 V ou 4-20 mA, faixa de medição 0 a 2000 ppm, precisão ± 50 ppm + 3% do valor de medição</t>
  </si>
  <si>
    <t>SF-03901</t>
  </si>
  <si>
    <t>Termostato para controle de temperatura ambiente, para comando de unidades fancoil com válvula de água gelada e ventilador de 3 velocidades</t>
  </si>
  <si>
    <t>SF-03902</t>
  </si>
  <si>
    <t>Termostato para controle proporcional de válvula de controle de fancoil</t>
  </si>
  <si>
    <t>SF-03903</t>
  </si>
  <si>
    <t>Transformador de comando 50 VA</t>
  </si>
  <si>
    <t>SF-03904</t>
  </si>
  <si>
    <t>Pressostato diferencial para ar, ajuste de diferencial de pressão 50–500 Pa</t>
  </si>
  <si>
    <t>SF-03905</t>
  </si>
  <si>
    <t>Controladora Carrier CC6400</t>
  </si>
  <si>
    <t>SF-03906</t>
  </si>
  <si>
    <t>Controladora Carrier CC6400 I/O</t>
  </si>
  <si>
    <t>SF-03907</t>
  </si>
  <si>
    <t>Controladora Carrier CC1600</t>
  </si>
  <si>
    <t>SF-03909</t>
  </si>
  <si>
    <t>Gerenciadora de Rede Trane Tracer Summit BMTX-BCU</t>
  </si>
  <si>
    <t>SF-03910</t>
  </si>
  <si>
    <t>Controladora Trane Tracer MP580/581</t>
  </si>
  <si>
    <t>SF-03911</t>
  </si>
  <si>
    <t>Módulo de expansão Trane Tracer EX2</t>
  </si>
  <si>
    <t>SF-03912</t>
  </si>
  <si>
    <t>Termostato de sala (Wired Zone Sensor) modelo Trane SEN01447</t>
  </si>
  <si>
    <t>SF-03913</t>
  </si>
  <si>
    <t>Unidade de volume de ar variável (VAV) 6" modelo VariTrane VCCF06000H0DD11A00000L3000000000S00</t>
  </si>
  <si>
    <t>SF-03914</t>
  </si>
  <si>
    <t>Tubo sanfonizado em liga de cobre Tomback com pontas lisas de cobre, diâmetro nominal 1/4"</t>
  </si>
  <si>
    <t>SF-03915</t>
  </si>
  <si>
    <t>Tubo sanfonizado em liga de cobre Tomback com pontas lisas de cobre, diâmetro nominal 3/8"</t>
  </si>
  <si>
    <t>SF-03916</t>
  </si>
  <si>
    <t>Tubo sanfonizado em liga de cobre Tomback com pontas lisas de cobre, diâmetro nominal 1/2"</t>
  </si>
  <si>
    <t>SF-03917</t>
  </si>
  <si>
    <t>Tubo sanfonizado em liga de cobre Tomback com pontas lisas de cobre, diâmetro nominal 3/4"</t>
  </si>
  <si>
    <t>SF-03918</t>
  </si>
  <si>
    <t>Tubo sanfonizado em liga de cobre Tomback com pontas lisas de cobre, diâmetro nominal 1"</t>
  </si>
  <si>
    <t>SF-03919</t>
  </si>
  <si>
    <t>Tubo sanfonizado em liga de cobre Tomback com pontas lisas de cobre, diâmetro nominal 1 1/4"</t>
  </si>
  <si>
    <t>SF-03920</t>
  </si>
  <si>
    <t>Tubo sanfonizado em liga de cobre Tomback com pontas lisas de cobre, diâmetro nominal 1 1/2"</t>
  </si>
  <si>
    <t>SF-03921</t>
  </si>
  <si>
    <t>Tubo sanfonizado em liga de cobre Tomback com pontas lisas de cobre, diâmetro nominal 2"</t>
  </si>
  <si>
    <t>Tubo de aço-carbono galvanizado de 1/2", ABNT NBR 5590 grau B, Sch 40</t>
  </si>
  <si>
    <t>Cotovelo de 90 graus de ferro fundido galvanizado de 1/2"</t>
  </si>
  <si>
    <t>União de ferro fundido galvanizado de 1/2"</t>
  </si>
  <si>
    <t>Niple de ferro fundido galvanizado de 1/2"</t>
  </si>
  <si>
    <t>Luva de ferro fundido galvanizado de 1/2"</t>
  </si>
  <si>
    <t>Cap ou tampão de ferro fundido galvanizado de 1/2"</t>
  </si>
  <si>
    <t>Te de ferro fundido galvanizado de 1/2"</t>
  </si>
  <si>
    <t>Plug ou bujão de ferro fundido galvanizado de 1/2"</t>
  </si>
  <si>
    <t>SF-03930</t>
  </si>
  <si>
    <t>Meia luva de aço carbono de 1/2"</t>
  </si>
  <si>
    <t>Tubo de aço-carbono galvanizado de 3/4", ABNT NBR 5590 grau B, Sch 40</t>
  </si>
  <si>
    <t>Cotovelo de 90 graus de ferro fundido galvanizado de 3/4"</t>
  </si>
  <si>
    <t>União de ferro fundido galvanizado de 3/4"</t>
  </si>
  <si>
    <t>Niple de ferro fundido galvanizado de 3/4"</t>
  </si>
  <si>
    <t>Luva de ferro fundido galvanizado de 3/4"</t>
  </si>
  <si>
    <t>Cap ou tampão de ferro fundido galvanizado de 3/4"</t>
  </si>
  <si>
    <t>Te de ferro fundido galvanizado de 3/4"</t>
  </si>
  <si>
    <t>Plug ou bujão de ferro fundido galvanizado de 3/4"</t>
  </si>
  <si>
    <t>SF-03939</t>
  </si>
  <si>
    <t>Meia luva de aço carbono de 3/4"</t>
  </si>
  <si>
    <t>Bucha de redução de ferro fundido galvanizado de 3/4" X 1/2"</t>
  </si>
  <si>
    <t>Luva de redução de ferro fundido galvanizado de 3/4" X 1/2"</t>
  </si>
  <si>
    <t>Niple de redução de ferro fundido galvanizado de 3/4" X 1/2"</t>
  </si>
  <si>
    <t>Tubo de aço-carbono galvanizado de 1", ABNT NBR 5590 grau B, Sch 40</t>
  </si>
  <si>
    <t>Cotovelo de 90 graus de ferro fundido galvanizado de 1"</t>
  </si>
  <si>
    <t>União de ferro fundido galvanizado de 1"</t>
  </si>
  <si>
    <t>Niple de ferro fundido galvanizado de 1"</t>
  </si>
  <si>
    <t>Luva de ferro fundido galvanizado de 1"</t>
  </si>
  <si>
    <t>Cap ou tampão de ferro fundido galvanizado de 1"</t>
  </si>
  <si>
    <t>Te de ferro fundido galvanizado de 1"</t>
  </si>
  <si>
    <t>Plug ou bujão de ferro fundido galvanizado de 1"</t>
  </si>
  <si>
    <t>SF-03951</t>
  </si>
  <si>
    <t>Meia luva de aço carbono de 1"</t>
  </si>
  <si>
    <t>Bucha de redução de ferro fundido galvanizado de 1" X 3/4"</t>
  </si>
  <si>
    <t>Luva de redução de ferro fundido galvanizado de 1" X 3/4"</t>
  </si>
  <si>
    <t>Niple de redução de ferro fundido galvanizado de 1" X 3/4"</t>
  </si>
  <si>
    <t>Tubo de aço-carbono galvanizado de 1 1/4", ABNT NBR 5590 grau B, Sch 40</t>
  </si>
  <si>
    <t>Cotovelo de 90 graus de ferro fundido galvanizado de 1 1/4"</t>
  </si>
  <si>
    <t>União de ferro fundido galvanizado de 1 1/4"</t>
  </si>
  <si>
    <t>Niple de ferro fundido galvanizado de 1 1/4"</t>
  </si>
  <si>
    <t>Luva de ferro fundido galvanizado de 1 1/4"</t>
  </si>
  <si>
    <t>Cap ou tampão de ferro fundido galvanizado de 1 1/4"</t>
  </si>
  <si>
    <t>Te de ferro fundido galvanizado de 1 1/4"</t>
  </si>
  <si>
    <t>Plug ou bujão de ferro fundido galvanizado de 1 1/4"</t>
  </si>
  <si>
    <t>SF-03963</t>
  </si>
  <si>
    <t>Meia luva de aço carbono de 1 1/4"</t>
  </si>
  <si>
    <t>Bucha de redução de ferro fundido galvanizado de 1 1/4" X 3/4"</t>
  </si>
  <si>
    <t>Luva de redução de ferro fundido galvanizado de 1 1/4" X 3/4"</t>
  </si>
  <si>
    <t>Niple de redução de ferro fundido galvanizado de 1 1/4" X 3/4"</t>
  </si>
  <si>
    <t>Bucha de redução de ferro fundido galvanizado de 1 1/4" X 1"</t>
  </si>
  <si>
    <t>Luva de redução de ferro fundido galvanizado de 1 1/4" X 1"</t>
  </si>
  <si>
    <t>Niple de redução de ferro fundido galvanizado de 1 1/4" X 1"</t>
  </si>
  <si>
    <t>Tubo de aço-carbono galvanizado de 1 1/2", ABNT NBR 5590 grau B, Sch 40</t>
  </si>
  <si>
    <t>Cotovelo de 90 graus de ferro fundido galvanizado de 1 1/2"</t>
  </si>
  <si>
    <t>União de ferro fundido galvanizado de 1 1/2"</t>
  </si>
  <si>
    <t>Niple de ferro fundido galvanizado de 1 1/2"</t>
  </si>
  <si>
    <t>Luva de ferro fundido galvanizado de 1 1/2"</t>
  </si>
  <si>
    <t>Cap ou tampão de ferro fundido galvanizado de 1 1/2"</t>
  </si>
  <si>
    <t>Te de ferro fundido galvanizado de 1 1/2"</t>
  </si>
  <si>
    <t>Plug ou bujão de ferro fundido galvanizado de 1 1/2"</t>
  </si>
  <si>
    <t>SF-03978</t>
  </si>
  <si>
    <t>Meia luva de aço carbono de 1 1/2"</t>
  </si>
  <si>
    <t>Bucha de redução de ferro fundido galvanizado de 1 1/2" X 1"</t>
  </si>
  <si>
    <t>Luva de redução de ferro fundido galvanizado de 1 1/2" X 1"</t>
  </si>
  <si>
    <t>Niple de redução de ferro fundido galvanizado de 1 1/2" X 1"</t>
  </si>
  <si>
    <t>Tubo de aço-carbono galvanizado de 2", ABNT NBR 5590 grau B, Sch 40</t>
  </si>
  <si>
    <t>Cotovelo de 90 graus de ferro fundido galvanizado de 2"</t>
  </si>
  <si>
    <t>União de ferro fundido galvanizado de 2"</t>
  </si>
  <si>
    <t>Niple de ferro fundido galvanizado de 2"</t>
  </si>
  <si>
    <t>Luva de ferro fundido galvanizado de 2"</t>
  </si>
  <si>
    <t>Cap ou tampão de ferro fundido galvanizado de 2"</t>
  </si>
  <si>
    <t>Te de ferro fundido galvanizado de 2"</t>
  </si>
  <si>
    <t>Plug ou bujão de ferro fundido galvanizado de 2"</t>
  </si>
  <si>
    <t>Tubo de aço-carbono galvanizado de 2 1/2", ABNT NBR 5590 grau B, Sch 40</t>
  </si>
  <si>
    <t>Cotovelo de 90 graus de ferro fundido galvanizado de 2 1/2"</t>
  </si>
  <si>
    <t>União de ferro fundido galvanizado de 2 1/2"</t>
  </si>
  <si>
    <t>Niple de ferro fundido galvanizado de 2 1/2"</t>
  </si>
  <si>
    <t>Luva de ferro fundido galvanizado de 2 1/2"</t>
  </si>
  <si>
    <t>Cap ou tampão de ferro fundido galvanizado de 2 1/2"</t>
  </si>
  <si>
    <t>Te de ferro fundido galvanizado de 2 1/2"</t>
  </si>
  <si>
    <t>Plug ou bujão de ferro fundido galvanizado de 2 1/2"</t>
  </si>
  <si>
    <t>Tubo de aço-carbono preto sem costura de 3", NBR 5590 grau B, Sch 40</t>
  </si>
  <si>
    <t>SF-03999</t>
  </si>
  <si>
    <t>Curva raio curto 90° em aço carbono para solda de topo de 3"</t>
  </si>
  <si>
    <t>SF-04000</t>
  </si>
  <si>
    <t>Curva raio longo 90° em aço carbono para solda de topo de 3"</t>
  </si>
  <si>
    <t>SF-04001</t>
  </si>
  <si>
    <t>Curva raio longo 45° em aço carbono para solda de topo de 3"</t>
  </si>
  <si>
    <t>SF-04002</t>
  </si>
  <si>
    <t>Cap ou tampão em aço carbono para solda de topo de 3"</t>
  </si>
  <si>
    <t>SF-04003</t>
  </si>
  <si>
    <t>Te em aço carbono para solda de topo de 3"</t>
  </si>
  <si>
    <t>SF-04004</t>
  </si>
  <si>
    <t>Tubo de aço-carbono preto sem costura de 3 1/2", NBR 5590 grau B, Sch 40</t>
  </si>
  <si>
    <t>SF-04005</t>
  </si>
  <si>
    <t>Curva raio curto 90° em aço carbono para solda de topo de 3 1/2"</t>
  </si>
  <si>
    <t>SF-04006</t>
  </si>
  <si>
    <t>Curva raio longo 90° em aço carbono para solda de topo de 3 1/2"</t>
  </si>
  <si>
    <t>SF-04007</t>
  </si>
  <si>
    <t>Curva raio longo 45° em aço carbono para solda de topo de 3 1/2"</t>
  </si>
  <si>
    <t>SF-04008</t>
  </si>
  <si>
    <t>Cap ou tampão em aço carbono para solda de topo de 3 1/2"</t>
  </si>
  <si>
    <t>SF-04009</t>
  </si>
  <si>
    <t>Te em aço carbono para solda de topo de 3 1/2"</t>
  </si>
  <si>
    <t>Tubo de aço-carbono preto sem costura de 4", NBR 5590 grau B, Sch 40</t>
  </si>
  <si>
    <t>SF-04011</t>
  </si>
  <si>
    <t>Curva raio curto 90° em aço carbono para solda de topo de 4"</t>
  </si>
  <si>
    <t>SF-04012</t>
  </si>
  <si>
    <t>Curva raio longo 90° em aço carbono para solda de topo de 4"</t>
  </si>
  <si>
    <t>SF-04013</t>
  </si>
  <si>
    <t>Curva raio longo 45° em aço carbono para solda de topo de 4"</t>
  </si>
  <si>
    <t>SF-04014</t>
  </si>
  <si>
    <t>Cap ou tampão em aço carbono para solda de topo de 4"</t>
  </si>
  <si>
    <t>SF-04015</t>
  </si>
  <si>
    <t>Te em aço carbono para solda de topo de 4"</t>
  </si>
  <si>
    <t>Tubo de aço-carbono preto sem costura de 5", NBR 5590 grau B, Sch 40</t>
  </si>
  <si>
    <t>SF-04017</t>
  </si>
  <si>
    <t>Curva raio curto 90° em aço carbono para solda de topo de 5"</t>
  </si>
  <si>
    <t>SF-04018</t>
  </si>
  <si>
    <t>Curva raio longo 90° em aço carbono para solda de topo de 5"</t>
  </si>
  <si>
    <t>SF-04019</t>
  </si>
  <si>
    <t>Curva raio longo 45° em aço carbono para solda de topo de 5"</t>
  </si>
  <si>
    <t>SF-04020</t>
  </si>
  <si>
    <t>Cap ou tampão em aço carbono para solda de topo de 5"</t>
  </si>
  <si>
    <t>SF-04021</t>
  </si>
  <si>
    <t>Te em aço carbono para solda de topo de 5"</t>
  </si>
  <si>
    <t>SF-04022</t>
  </si>
  <si>
    <t>Flange de pescoço, classe 150, de 5"</t>
  </si>
  <si>
    <t>Tubo de aço-carbono preto sem costura de 6", NBR 5590 grau B, Sch 40</t>
  </si>
  <si>
    <t>SF-04024</t>
  </si>
  <si>
    <t>Curva raio curto 90° em aço carbono para solda de topo de 6"</t>
  </si>
  <si>
    <t>SF-04025</t>
  </si>
  <si>
    <t>Curva raio longo 90° em aço carbono para solda de topo de 6"</t>
  </si>
  <si>
    <t>SF-04026</t>
  </si>
  <si>
    <t>Curva raio longo 45° em aço carbono para solda de topo de 6"</t>
  </si>
  <si>
    <t>SF-04027</t>
  </si>
  <si>
    <t>Cap ou tampão em aço carbono para solda de topo de 6"</t>
  </si>
  <si>
    <t>SF-04028</t>
  </si>
  <si>
    <t>Te em aço carbono para solda de topo de 6"</t>
  </si>
  <si>
    <t>Tubo de aço-carbono preto sem costura de 8", NBR 5590 grau B, Sch 40</t>
  </si>
  <si>
    <t>SF-04030</t>
  </si>
  <si>
    <t>Curva raio curto 90° em aço carbono para solda de topo de 8"</t>
  </si>
  <si>
    <t>SF-04031</t>
  </si>
  <si>
    <t>Curva raio longo 90° em aço carbono para solda de topo de 8"</t>
  </si>
  <si>
    <t>SF-04032</t>
  </si>
  <si>
    <t>Curva raio longo 45° em aço carbono para solda de topo de 8"</t>
  </si>
  <si>
    <t>SF-04033</t>
  </si>
  <si>
    <t>Cap ou tampão em aço carbono para solda de topo de 8"</t>
  </si>
  <si>
    <t>SF-04034</t>
  </si>
  <si>
    <t>Te em aço carbono para solda de topo de 8"</t>
  </si>
  <si>
    <t>SF-04035</t>
  </si>
  <si>
    <t>Redução concêntrica para solda de topo de 8" x 5"</t>
  </si>
  <si>
    <t>Tubo de PVC soldável para dreno de 25 mm</t>
  </si>
  <si>
    <t>Joelho de PVC soldável para dreno de 25 mm</t>
  </si>
  <si>
    <t>Luva de PVC soldável para dreno de 25 mm</t>
  </si>
  <si>
    <t>Te de PVC soldável para dreno de 25 mm</t>
  </si>
  <si>
    <t>Tubo de PVC soldável para dreno de 32 mm</t>
  </si>
  <si>
    <t>Joelho de PVC soldável para dreno de 32 mm</t>
  </si>
  <si>
    <t>Luva de PVC soldável para dreno de 32 mm</t>
  </si>
  <si>
    <t>Te de PVC soldável para dreno de 32 mm</t>
  </si>
  <si>
    <t>Bucha de redução de PVC soldável para dreno de 32 mm X 25 mm</t>
  </si>
  <si>
    <t>Tubo de cobre flexível sem costura de 1/4"</t>
  </si>
  <si>
    <t>SF-04046</t>
  </si>
  <si>
    <t>Cotovelo de cobre de 1/4"</t>
  </si>
  <si>
    <t>SF-04047</t>
  </si>
  <si>
    <t>Luva de cobre de 1/4"</t>
  </si>
  <si>
    <t>Tubo de cobre flexível sem costura de 3/8"</t>
  </si>
  <si>
    <t>SF-04049</t>
  </si>
  <si>
    <t>Cotovelo de cobre de 3/8"</t>
  </si>
  <si>
    <t>SF-04050</t>
  </si>
  <si>
    <t>Luva de cobre de 3/8"</t>
  </si>
  <si>
    <t>Tubo de cobre flexível sem costura de 1/2"</t>
  </si>
  <si>
    <t>Cotovelo de cobre de 1/2"</t>
  </si>
  <si>
    <t>Luva de cobre de 1/2"</t>
  </si>
  <si>
    <t>Tubo de cobre flexível sem costura de 5/8"</t>
  </si>
  <si>
    <t>SF-04055</t>
  </si>
  <si>
    <t>Cotovelo de cobre de 5/8"</t>
  </si>
  <si>
    <t>SF-04056</t>
  </si>
  <si>
    <t>Luva de cobre de 5/8"</t>
  </si>
  <si>
    <t>Tubo de cobre flexível sem costura de 3/4"</t>
  </si>
  <si>
    <t>Cotovelo de cobre de 3/4"</t>
  </si>
  <si>
    <t>Luva de cobre de 3/4"</t>
  </si>
  <si>
    <t>SF-04060</t>
  </si>
  <si>
    <t>Tubo de cobre rígido sem costura de 7/8"</t>
  </si>
  <si>
    <t>SF-04061</t>
  </si>
  <si>
    <t>Cotovelo de cobre de 7/8"</t>
  </si>
  <si>
    <t>SF-04062</t>
  </si>
  <si>
    <t>Luva de cobre de 7/8"</t>
  </si>
  <si>
    <t>SF-04063</t>
  </si>
  <si>
    <t>Te de cobre de 7/8"</t>
  </si>
  <si>
    <t>Tubo de cobre rígido sem costura de 1"</t>
  </si>
  <si>
    <t>Cotovelo de cobre de 1"</t>
  </si>
  <si>
    <t>Luva de cobre de 1"</t>
  </si>
  <si>
    <t>SF-04067</t>
  </si>
  <si>
    <t>Tubo de cobre rígido sem costura de 1 1/8"</t>
  </si>
  <si>
    <t>SF-04068</t>
  </si>
  <si>
    <t>Cotovelo de cobre de 1 1/8"</t>
  </si>
  <si>
    <t>SF-04069</t>
  </si>
  <si>
    <t>Luva de cobre de 1 1/8"</t>
  </si>
  <si>
    <t>SF-04070</t>
  </si>
  <si>
    <t>Tubo de cobre rígido sem costura de 1 3/8"</t>
  </si>
  <si>
    <t>Cotovelo de cobre de 1 3/8"</t>
  </si>
  <si>
    <t>Luva de cobre de 1 3/8"</t>
  </si>
  <si>
    <t>SF-04073</t>
  </si>
  <si>
    <t>Tubo de cobre rígido sem costura de 1 5/8"</t>
  </si>
  <si>
    <t>Cotovelo de cobre de 1 5/8"</t>
  </si>
  <si>
    <t>Luva de cobre de 1 5/8"</t>
  </si>
  <si>
    <t>SF-04076</t>
  </si>
  <si>
    <t>Isolamento elastomérico em formato de tubo ou coquilha de espessura M, próprio para tubulação de cobre de diâmetro nominal 1/4"</t>
  </si>
  <si>
    <t>SF-04077</t>
  </si>
  <si>
    <t>Isolamento elastomérico em formato de tubo ou coquilha de espessura M, próprio para tubulação de cobre de diâmetro nominal 3/8"</t>
  </si>
  <si>
    <t>SF-04078</t>
  </si>
  <si>
    <t>Isolamento elastomérico em formato de tubo ou coquilha de espessura M, próprio para tubulação de cobre de diâmetro nominal 1/2"</t>
  </si>
  <si>
    <t>SF-04079</t>
  </si>
  <si>
    <t>Isolamento elastomérico em formato de tubo ou coquilha de espessura M, próprio para tubulação de cobre de diâmetro nominal 5/8"</t>
  </si>
  <si>
    <t>SF-04080</t>
  </si>
  <si>
    <t>Isolamento elastomérico em formato de tubo ou coquilha de espessura M, próprio para tubulação de cobre de diâmetro nominal 3/4"</t>
  </si>
  <si>
    <t>SF-04081</t>
  </si>
  <si>
    <t>Isolamento elastomérico em formato de tubo ou coquilha de espessura M, próprio para tubulação de cobre de diâmetro nominal 7/8" e para tubulação de ferro de diâmetro nominal 1/2"</t>
  </si>
  <si>
    <t>SF-04082</t>
  </si>
  <si>
    <t>Isolamento elastomérico em formato de tubo ou coquilha de espessura M, próprio para tubulação de cobre de diâmetro nominal 1"</t>
  </si>
  <si>
    <t>SF-04083</t>
  </si>
  <si>
    <t>Isolamento elastomérico em formato de tubo ou coquilha de espessura M, próprio para tubulação de cobre de diâmetro nominal 1 1/8" e para tubulação de ferro de diâmetro nominal 3/4"</t>
  </si>
  <si>
    <t>SF-04084</t>
  </si>
  <si>
    <t>Isolamento elastomérico em formato de tubo ou coquilha de espessura M, próprio para tubulação de cobre de diâmetro nominal 1 3/8" e para tubulação de ferro de diâmetro nominal 1"</t>
  </si>
  <si>
    <t>SF-04085</t>
  </si>
  <si>
    <t>Isolamento elastomérico em formato de tubo ou coquilha de espessura M, próprio para tubulação de cobre de diâmetro nominal 1 5/8" e para tubulação de ferro de diâmetro nominal 1 1/4"</t>
  </si>
  <si>
    <t>SF-04086</t>
  </si>
  <si>
    <t>Isolamento elastomérico em formato de tubo ou coquilha de espessura M, próprio para tubulação de ferro de diâmetro nominal 1 1/2"</t>
  </si>
  <si>
    <t>SF-04087</t>
  </si>
  <si>
    <t>Isolamento elastomérico em formato de tubo ou coquilha de espessura M, próprio para tubulação de ferro de diâmetro nominal 2"</t>
  </si>
  <si>
    <t>SF-04088</t>
  </si>
  <si>
    <t>Isolamento elastomérico em formato de tubo ou coquilha de espessura M, próprio para tubulação de ferro de diâmetro nominal 2 1/2"</t>
  </si>
  <si>
    <t>SF-04089</t>
  </si>
  <si>
    <t>Isolamento elastomérico em formato de tubo ou coquilha de espessura M, próprio para tubulação de ferro de diâmetro nominal 3"</t>
  </si>
  <si>
    <t>SF-04090</t>
  </si>
  <si>
    <t>Isolamento elastomérico em formato de tubo ou coquilha de espessura M, próprio para tubulação de ferro de diâmetro nominal 3 1/2"</t>
  </si>
  <si>
    <t>SF-04091</t>
  </si>
  <si>
    <t>Isolamento elastomérico em formato de tubo ou coquilha de espessura M, próprio para tubulação de ferro de diâmetro nominal 4"</t>
  </si>
  <si>
    <t>SF-04092</t>
  </si>
  <si>
    <t>Isolamento elastomérico em formato de tubo ou coquilha de espessura M, próprio para tubulação de ferro de diâmetro nominal 5"</t>
  </si>
  <si>
    <t>SF-04093</t>
  </si>
  <si>
    <t>Isolamento elastomérico em formato de tubo ou coquilha de espessura M, próprio para tubulação de ferro de diâmetro nominal 6"</t>
  </si>
  <si>
    <t>SF-04094</t>
  </si>
  <si>
    <t>Isolamento elastomérico em formato de prancha de espessura M</t>
  </si>
  <si>
    <t>SF-04095</t>
  </si>
  <si>
    <t>Isolamento elastomérico em formato de prancha autoadesiva de espessura M</t>
  </si>
  <si>
    <t>SF-04096</t>
  </si>
  <si>
    <t xml:space="preserve">Proteção mecânica em alumínio </t>
  </si>
  <si>
    <t>Chapa de aço galvanizada</t>
  </si>
  <si>
    <t>SF-04098</t>
  </si>
  <si>
    <t xml:space="preserve">Duto flexível 6” </t>
  </si>
  <si>
    <t>SF-04099</t>
  </si>
  <si>
    <t xml:space="preserve">Duto flexível 8” </t>
  </si>
  <si>
    <t>SF-04100</t>
  </si>
  <si>
    <t>Gás refrigerante R-410A, apenas para instalações de equipamentos unitários novos</t>
  </si>
  <si>
    <t>SF-04101</t>
  </si>
  <si>
    <t>Gás refrigerante R-32, apenas para instalações de equipamentos unitários novos</t>
  </si>
  <si>
    <t>SF-04102</t>
  </si>
  <si>
    <t>Óleo polyolester para chiller a ar Carrier 30GXE227.386S com capacidade de 213,3 TR</t>
  </si>
  <si>
    <t>SF-04103</t>
  </si>
  <si>
    <t>Óleo para chiller centrífugo Trane CVGF1000</t>
  </si>
  <si>
    <t>SF-04104</t>
  </si>
  <si>
    <t>Óleo para chiller a ar Trane RTAA100DYB1AA0002 com capacidade de 100 TR</t>
  </si>
  <si>
    <t>SF-04105</t>
  </si>
  <si>
    <t>Óleo para chiller a ar Carrier 30GSP080386S com capacidade de 80 TR</t>
  </si>
  <si>
    <t>SF-04106</t>
  </si>
  <si>
    <t>Óleo para chillers a ar Trane CGAD060-HT(4T) com capacidade de 60 TR e Trane CGAD040-HT com capacidade de 40 TR</t>
  </si>
  <si>
    <t>SF-04107</t>
  </si>
  <si>
    <t>Óleo para chiller a ar York YEAZ33BP3-46PA com capacidade de 50 TR</t>
  </si>
  <si>
    <t>SF-04108</t>
  </si>
  <si>
    <t>Alicate de pressão de 11"</t>
  </si>
  <si>
    <t>SF-04109</t>
  </si>
  <si>
    <t>Alicate rebitador</t>
  </si>
  <si>
    <t>SF-04110</t>
  </si>
  <si>
    <t>Almotolia 250 ml</t>
  </si>
  <si>
    <t>SF-04111</t>
  </si>
  <si>
    <t>Arco de serra de alta tensão</t>
  </si>
  <si>
    <t>SF-04112</t>
  </si>
  <si>
    <t>Aspirador compacto para sólidos e líquidos</t>
  </si>
  <si>
    <t>SF-04113</t>
  </si>
  <si>
    <t xml:space="preserve">Aspirador industrial para sólidos e líquidos </t>
  </si>
  <si>
    <t>SF-04114</t>
  </si>
  <si>
    <t>Balde plástico de 10 L com alça de ferro</t>
  </si>
  <si>
    <t>SF-04115</t>
  </si>
  <si>
    <t>Bomba manual para graxa 400 cm3</t>
  </si>
  <si>
    <t>SF-04116</t>
  </si>
  <si>
    <t>Caixa de ferramentas pequena</t>
  </si>
  <si>
    <t>SF-04117</t>
  </si>
  <si>
    <t>Carrinho com fundo fechado para transporte de cargas</t>
  </si>
  <si>
    <t>SF-04118</t>
  </si>
  <si>
    <t>Carrinho de mão vertical</t>
  </si>
  <si>
    <t>SF-04119</t>
  </si>
  <si>
    <t>Carro/bancada para ferramentas</t>
  </si>
  <si>
    <t>SF-04120</t>
  </si>
  <si>
    <t>Chaves canhão, kit milímetros (12 peças)</t>
  </si>
  <si>
    <t>SF-04121</t>
  </si>
  <si>
    <t>Chaves canhão, kit polegadas (10 peças)</t>
  </si>
  <si>
    <t>SF-04122</t>
  </si>
  <si>
    <t>Chaves estrela, kit com 12 chaves</t>
  </si>
  <si>
    <t>SF-04123</t>
  </si>
  <si>
    <t>Chave inglesa com comprimento de 8"</t>
  </si>
  <si>
    <t>SF-04124</t>
  </si>
  <si>
    <t>Chave inglesa com comprimento de 10"</t>
  </si>
  <si>
    <t>SF-04125</t>
  </si>
  <si>
    <t>Chave inglesa com comprimento de 12"</t>
  </si>
  <si>
    <t>SF-04126</t>
  </si>
  <si>
    <t>Chave inglesa com comprimento de 15"</t>
  </si>
  <si>
    <t>SF-04127</t>
  </si>
  <si>
    <t>Chave inglesa com comprimento de 18"</t>
  </si>
  <si>
    <t>SF-04128</t>
  </si>
  <si>
    <t>Chaves fixas, kit com 12 chaves</t>
  </si>
  <si>
    <t>SF-04129</t>
  </si>
  <si>
    <t>Compressor de ar direto para pintura (tufão)</t>
  </si>
  <si>
    <t>SF-04130</t>
  </si>
  <si>
    <t>Esmerilhadeira angular de 230 mm</t>
  </si>
  <si>
    <t>SF-04131</t>
  </si>
  <si>
    <t>Furadeira de bancada de 16 mm</t>
  </si>
  <si>
    <t>SF-04132</t>
  </si>
  <si>
    <t>Jogo de chaves biela em polegadas</t>
  </si>
  <si>
    <t>SF-04133</t>
  </si>
  <si>
    <t>Jogo de soquetes sextavado de impacto 1/2" em polegadas</t>
  </si>
  <si>
    <t>SF-04134</t>
  </si>
  <si>
    <t xml:space="preserve">Lanterna para capacete </t>
  </si>
  <si>
    <t>SF-04135</t>
  </si>
  <si>
    <t>Calibrador para tubo PEX multicamada para gás 16/20/26/32 mm</t>
  </si>
  <si>
    <t>SF-04136</t>
  </si>
  <si>
    <t>Lavadora de alta pressão com água quente 380 V</t>
  </si>
  <si>
    <t>SF-04137</t>
  </si>
  <si>
    <t>Lima chata bastarda 10" com cabo</t>
  </si>
  <si>
    <t>SF-04138</t>
  </si>
  <si>
    <t>Lima chata murça 10" com cabo</t>
  </si>
  <si>
    <t>SF-04139</t>
  </si>
  <si>
    <t>Lima redonda bastarda 10" com cabo</t>
  </si>
  <si>
    <t>SF-04140</t>
  </si>
  <si>
    <t>Lima redonda murça 10" com cabo</t>
  </si>
  <si>
    <t>SF-04141</t>
  </si>
  <si>
    <t>Pendente de led</t>
  </si>
  <si>
    <t>SF-04142</t>
  </si>
  <si>
    <t>Maçarico portátil com acendimento automático</t>
  </si>
  <si>
    <t>SF-04143</t>
  </si>
  <si>
    <t>Martelo chapeador pena reta</t>
  </si>
  <si>
    <t>SF-04144</t>
  </si>
  <si>
    <t>Medidor de nível de pressão sonora (decibelímetro) portátil</t>
  </si>
  <si>
    <t>SF-04145</t>
  </si>
  <si>
    <t>Prensa hidráulica 30 toneladas</t>
  </si>
  <si>
    <t>SF-04146</t>
  </si>
  <si>
    <t>Relógio comparador capacidade 5 mm</t>
  </si>
  <si>
    <t>SF-04147</t>
  </si>
  <si>
    <t>Rosqueadeira manual</t>
  </si>
  <si>
    <t>SF-04148</t>
  </si>
  <si>
    <t>Conjunto com 5 sacadores de polias</t>
  </si>
  <si>
    <t>SF-04149</t>
  </si>
  <si>
    <t>Conjunto com 9 serras copo</t>
  </si>
  <si>
    <t>SF-04150</t>
  </si>
  <si>
    <t>Tesoura de chapas tipo aviação corte direito e reto</t>
  </si>
  <si>
    <t>SF-04151</t>
  </si>
  <si>
    <t>Tesoura de chapas tipo aviação corte esquerdo e reto</t>
  </si>
  <si>
    <t>SF-04152</t>
  </si>
  <si>
    <t>Tesoura de chapas tipo aviação corte reto e curvas de grande raio</t>
  </si>
  <si>
    <t>SF-04153</t>
  </si>
  <si>
    <t>Tesoura faca elétrica para metal</t>
  </si>
  <si>
    <t>SF-04154</t>
  </si>
  <si>
    <t>Tesoura para chapa tipo Brasil 12"</t>
  </si>
  <si>
    <t>SF-04155</t>
  </si>
  <si>
    <t>Alargador de tubos manual articulado</t>
  </si>
  <si>
    <t>SF-04156</t>
  </si>
  <si>
    <t>Alicate cortador de tubo capilar</t>
  </si>
  <si>
    <t>SF-04157</t>
  </si>
  <si>
    <t>Alicate lacrador de tubos 7"</t>
  </si>
  <si>
    <t>SF-04158</t>
  </si>
  <si>
    <t>Balança eletrônica para refrigerante</t>
  </si>
  <si>
    <t>SF-04159</t>
  </si>
  <si>
    <t>Bomba de óleo para sistemas de refrigeração</t>
  </si>
  <si>
    <t>SF-04160</t>
  </si>
  <si>
    <t>Bomba de vácuo 12 cfm</t>
  </si>
  <si>
    <t>SF-04161</t>
  </si>
  <si>
    <t>Chave catraca quadrada 4 bitolas para refrigeração</t>
  </si>
  <si>
    <t>SF-04162</t>
  </si>
  <si>
    <t>Chave para válvula Schrader</t>
  </si>
  <si>
    <t>SF-04163</t>
  </si>
  <si>
    <t>Cilindro de nitrogênio 20 L</t>
  </si>
  <si>
    <t>SF-04164</t>
  </si>
  <si>
    <t>Cilindro de nitrogênio 50 L</t>
  </si>
  <si>
    <t>SF-04165</t>
  </si>
  <si>
    <t>Conjunto para solda e corte acetileno/oxigênio PPU</t>
  </si>
  <si>
    <t>SF-04166</t>
  </si>
  <si>
    <t>Detector eletrônico de vazamento para refrigerantes</t>
  </si>
  <si>
    <t>SF-04167</t>
  </si>
  <si>
    <t>Flangeador excêntrico</t>
  </si>
  <si>
    <t>SF-04168</t>
  </si>
  <si>
    <t>Mangueira para vácuo 3/8"</t>
  </si>
  <si>
    <t>SF-04169</t>
  </si>
  <si>
    <t>Manifold analógico para R-22</t>
  </si>
  <si>
    <t>SF-04170</t>
  </si>
  <si>
    <t>Manifold analógico para R-410A/R-32</t>
  </si>
  <si>
    <t>SF-04171</t>
  </si>
  <si>
    <t>Manifold digital</t>
  </si>
  <si>
    <t>SF-04172</t>
  </si>
  <si>
    <t>Conjunto com 4 molas curvadoras de tubos</t>
  </si>
  <si>
    <t>SF-04173</t>
  </si>
  <si>
    <t>Regulador de pressão para cilindro de gases não corrosivos</t>
  </si>
  <si>
    <t>SF-04174</t>
  </si>
  <si>
    <t>Tanque para recolhimento de refrigerante</t>
  </si>
  <si>
    <t>SF-04175</t>
  </si>
  <si>
    <t>Termo-anemômetro para duto</t>
  </si>
  <si>
    <t>SF-04176</t>
  </si>
  <si>
    <t>Termômetro portátil com 5 sensores</t>
  </si>
  <si>
    <t>SF-04177</t>
  </si>
  <si>
    <t>Unidade transferidora e recuperadora de gás refrigerante</t>
  </si>
  <si>
    <t>SF-04178</t>
  </si>
  <si>
    <t>Vacuômetro digital</t>
  </si>
  <si>
    <t>SF-04179</t>
  </si>
  <si>
    <t>Alicate de bico longo redondo isolado</t>
  </si>
  <si>
    <t>SF-04180</t>
  </si>
  <si>
    <t>Estação de solda digital</t>
  </si>
  <si>
    <t>SF-04181</t>
  </si>
  <si>
    <t>Cordão prolongador (extensão) 5 m</t>
  </si>
  <si>
    <t>SF-04182</t>
  </si>
  <si>
    <t>Ferro de soldar tipo machadinha</t>
  </si>
  <si>
    <t>SF-04183</t>
  </si>
  <si>
    <t>Sugador de solda</t>
  </si>
  <si>
    <t>SF-04184</t>
  </si>
  <si>
    <t>Escada extensível 29 degraus</t>
  </si>
  <si>
    <t>SF-04185</t>
  </si>
  <si>
    <t>Escada duplo acesso 8 degraus</t>
  </si>
  <si>
    <t>SF-04186</t>
  </si>
  <si>
    <t>Escada tesoura e extensível isolada</t>
  </si>
  <si>
    <t>SF-04187</t>
  </si>
  <si>
    <t>Escada plataforma de trabalho isolada</t>
  </si>
  <si>
    <t>SF-04188</t>
  </si>
  <si>
    <t xml:space="preserve">Passarela móvel para telhado (sem degraus) </t>
  </si>
  <si>
    <t>SF-04189</t>
  </si>
  <si>
    <t xml:space="preserve">Passarela móvel para telhado (com degraus) </t>
  </si>
  <si>
    <t>SF-04190</t>
  </si>
  <si>
    <t xml:space="preserve">Trole para linha de vida horizontal </t>
  </si>
  <si>
    <t>SF-04191</t>
  </si>
  <si>
    <t xml:space="preserve">Trole para travaqueda retrátil </t>
  </si>
  <si>
    <t>SF-04192</t>
  </si>
  <si>
    <t>Cadeado para disjuntores NR-10</t>
  </si>
  <si>
    <t>SF-04193</t>
  </si>
  <si>
    <t>Bloqueio para disjuntores, para instalação de cadeado</t>
  </si>
  <si>
    <t>SF-04194</t>
  </si>
  <si>
    <t>Avental impermeável</t>
  </si>
  <si>
    <t>SF-04195</t>
  </si>
  <si>
    <t>Luva de trabalho</t>
  </si>
  <si>
    <t>SF-04196</t>
  </si>
  <si>
    <t>Luva de proteção para soldadores</t>
  </si>
  <si>
    <t>SF-04197</t>
  </si>
  <si>
    <t>Luva de raspa de couro ou raspa</t>
  </si>
  <si>
    <t>SF-04198</t>
  </si>
  <si>
    <t>Luva de látex cano longo</t>
  </si>
  <si>
    <t>SF-04199</t>
  </si>
  <si>
    <t>Manga de proteção em couro</t>
  </si>
  <si>
    <t>SF-04200</t>
  </si>
  <si>
    <t>Manga de proteção UV</t>
  </si>
  <si>
    <t>SF-04201</t>
  </si>
  <si>
    <t>Máscara contra gases</t>
  </si>
  <si>
    <t>SF-04202</t>
  </si>
  <si>
    <t>Compressor Scroll Inverter próprio para R-410A de Capacidade 3,6 TR para VRF Trane 4TVH0096BK0</t>
  </si>
  <si>
    <t>SF-04203</t>
  </si>
  <si>
    <t>Ar-condicionado do tipo self-contained wall-mounted modelo Carrier 50BWF60</t>
  </si>
  <si>
    <t>SF-04204</t>
  </si>
  <si>
    <t>Conector em bronze/latão, sem anel de solda, bolsa/ponta x rosca macho/fêmea, 42 mm x 1 1/2”</t>
  </si>
  <si>
    <t>SF-04205</t>
  </si>
  <si>
    <t>Porta dupla isolante acústica em madeira</t>
  </si>
  <si>
    <t>SF-04206</t>
  </si>
  <si>
    <t>Visor com vidro para portas em madeira/MDF/similares</t>
  </si>
  <si>
    <t>SF-04207</t>
  </si>
  <si>
    <t>Porta vai e vem de 2,10 m x 0,70 m</t>
  </si>
  <si>
    <t>SF-04208</t>
  </si>
  <si>
    <t>Porta automática dupla de alumínio com vidro, com 2 folhas de 100 cm, h = 280 cm</t>
  </si>
  <si>
    <t>SF-04209</t>
  </si>
  <si>
    <t>Porta automática de alumínio com vidro, com 2 portas duplas + 4 paineis fixos de 133 cm, h = 280 cm</t>
  </si>
  <si>
    <t>SF-04210</t>
  </si>
  <si>
    <t>Porta automática de alumínio com vidro, com 2 portas de 100 cm + 2 paineis fixos de 70 cm, h = 266 cm</t>
  </si>
  <si>
    <t>Motobomba centrífuga de superfície monoestágio 7,5 cv - trifásica – Combate a Incêndio</t>
  </si>
  <si>
    <t>Motobomba centrífuga de superfície monoestágio 15 cv - trifásica – Combate a Incêndio</t>
  </si>
  <si>
    <t>Motobomba Centrífuga Submersível 5 cv – trifásica - Ø máx. sólidos ≥ 60 mm</t>
  </si>
  <si>
    <t>SF-04214</t>
  </si>
  <si>
    <t>Painel elétrico de distribuição parcial – Painel 4 – Anexo 2</t>
  </si>
  <si>
    <t>Bucha de redução em ferro galvanizado 4” X 3”</t>
  </si>
  <si>
    <t>SF-04218</t>
  </si>
  <si>
    <t>Painel Geral de Média Tensão - Usina geradora</t>
  </si>
  <si>
    <t>Difusor de ar retangular para insuflamento em uma direção 425 mm x 125 mm</t>
  </si>
  <si>
    <t>Tubo de aço-carbono galvanizado 1/4”</t>
  </si>
  <si>
    <t>Tubo de aço-carbono galvanizado 1/2”</t>
  </si>
  <si>
    <t>Tubo de aço-carbono galvanizado 2”</t>
  </si>
  <si>
    <t>Tubo de aço-carbono galvanizado 3”</t>
  </si>
  <si>
    <t>Grelha de concreto pré-moldada para drenagem - 20 MPa</t>
  </si>
  <si>
    <t>Isolamento elastomérico para tubulações de cobre 3” / tubulações de ferro de 2 1/2"</t>
  </si>
  <si>
    <t>Isolamento elastomérico para tubulações de cobre 3 1/2” / tubulações de ferro de 3”</t>
  </si>
  <si>
    <t>Válvula de balanceamento e controle independente da pressão (PIBCV) 2 vias 1/4”</t>
  </si>
  <si>
    <t>Válvula de balanceamento e controle independente da pressão (PIBCV) 2 vias 1/2”</t>
  </si>
  <si>
    <t>Válvula de balanceamento e controle independente da pressão (PIBCV) 2 vias 2 1/2”</t>
  </si>
  <si>
    <t>Filtro em Y 1/4”</t>
  </si>
  <si>
    <t>Filtro em Y 1/2”</t>
  </si>
  <si>
    <t>Filtro em Y 2 1/2”</t>
  </si>
  <si>
    <t>Válvula de esfera em bronze 1/4”</t>
  </si>
  <si>
    <t>Projeto Executivo de Engenharia Civil - Sistema de Bombas do Bloco 01</t>
  </si>
  <si>
    <t>Válvula de esfera em bronze 2”</t>
  </si>
  <si>
    <t>Válvula de esfera em bronze 2 1/2”</t>
  </si>
  <si>
    <t>Válvula de esfera em bronze 3”</t>
  </si>
  <si>
    <t>Niple de redução de aço-carbono galvanizado 1 1/2” x 2”</t>
  </si>
  <si>
    <t>Niple de redução de aço-carbono galvanizado 2” x 2 1/2”</t>
  </si>
  <si>
    <t>SF-04240</t>
  </si>
  <si>
    <t>Projeto Executivo de Climatização e Exaustão para o CCPU</t>
  </si>
  <si>
    <t>SF-04241</t>
  </si>
  <si>
    <t>Coifa Lavadora para o CCPU</t>
  </si>
  <si>
    <t>SF-04242</t>
  </si>
  <si>
    <t>Painel acústico de madeira modulado - CCPU</t>
  </si>
  <si>
    <t>SF-04243</t>
  </si>
  <si>
    <t>Guarda corpo metálico com esquadria para vidro - CCPU</t>
  </si>
  <si>
    <t>SF-04244</t>
  </si>
  <si>
    <t>Guarda corpo e corrimão metálicos com esquadria para vidro - CCPU</t>
  </si>
  <si>
    <t>SF-04245</t>
  </si>
  <si>
    <t>Vidro laminado incolor de 20 mm de espessura - CCPU</t>
  </si>
  <si>
    <t>Cobertura em estrutura metálica e policarbonato - CCPU</t>
  </si>
  <si>
    <t>Cobertura em estrutura metálica e telhamento - CCPU</t>
  </si>
  <si>
    <t>Mármore Rosa para piso e parede - CCPU</t>
  </si>
  <si>
    <t>Estrutura metálica em aço – CCPU</t>
  </si>
  <si>
    <t>Hidrante de sobrepor com acessórios</t>
  </si>
  <si>
    <t>Hidrante de recalque com acessórios</t>
  </si>
  <si>
    <t>Porta corta-fogo dupla (total 180 cm x 260 cm) com acessórios - CCPU</t>
  </si>
  <si>
    <t>Porta de vidro de correr com caixilho em aço ou alumínio e acessórios - CCPU</t>
  </si>
  <si>
    <t>Painel de vidro temperado fixado em perfil metálico e acessórios - CCPU</t>
  </si>
  <si>
    <t>Porta de correr de vidro temperado e acessórios - CCPU</t>
  </si>
  <si>
    <t>Porta de abrir de vidro temperado com barras antipanico e acessórios - CCPU</t>
  </si>
  <si>
    <t>Janela de correr de vidro temperado e acessórios - CCPU</t>
  </si>
  <si>
    <t>SF-04258</t>
  </si>
  <si>
    <t>Banco de aço com encosto - CCPU</t>
  </si>
  <si>
    <t>SF-04259</t>
  </si>
  <si>
    <t>Banco de aço sem encosto - CCPU</t>
  </si>
  <si>
    <t>Lixeira metálica dupla, capacidade de 60 L - CCPU</t>
  </si>
  <si>
    <t>Tubo PVC soldável água fria DN 75 mm</t>
  </si>
  <si>
    <t>Tubo PVC soldável água fria DN 110 mm</t>
  </si>
  <si>
    <t>Registro de Gaveta Bruto em latão forjado 4"</t>
  </si>
  <si>
    <t>Registro de Gaveta Bruto em latão forjado 2 1/2"</t>
  </si>
  <si>
    <t>Reparo estrutural em perfis de aço - CCPU</t>
  </si>
  <si>
    <t>SF-04266</t>
  </si>
  <si>
    <t>Coifas Lavadoras para Cozinhas Profissionais – Bloco 15</t>
  </si>
  <si>
    <t>SF-04269</t>
  </si>
  <si>
    <t>Tesoura corta tubo PEX multicamada para gás 16/20/26/32 mm</t>
  </si>
  <si>
    <t>Adaptador PVC soldável Longo com Flanges Livres para Caixa d’Água 75 mm x 2 1/2”</t>
  </si>
  <si>
    <t>SF-04271</t>
  </si>
  <si>
    <t>Adaptador em PVC para Caixa d’Água com Registro 25 mm</t>
  </si>
  <si>
    <t>SF-04272</t>
  </si>
  <si>
    <t>Adaptador em PVC para Caixa d’Água com Registro 50 mm</t>
  </si>
  <si>
    <t>Adaptador PVC soldável com Anel para Caixa d’Água 50 mm</t>
  </si>
  <si>
    <t>Adaptador PVC roscável com Anel para Caixa d’Água 3/4”</t>
  </si>
  <si>
    <t>Adaptador PVC roscável com Anel para Caixa d’Água 1 1/2”</t>
  </si>
  <si>
    <t>Adaptador PVC soldável, curto com bolsa e rosca para Registro 20 mm x 1/2”</t>
  </si>
  <si>
    <t>Adaptador PVC soldável, curto com bolsa e rosca para Registro 40 mm x 1 1/2”</t>
  </si>
  <si>
    <t>Bucha de redução longa PVC soldável de 40 mm x 25 mm</t>
  </si>
  <si>
    <t>Bucha de redução longa PVC soldável de 60 mm x 25 mm</t>
  </si>
  <si>
    <t>Bucha de redução longa PVC soldável de 75 mm x 50 mm</t>
  </si>
  <si>
    <t>Curva 45° PVC soldável 110 mm</t>
  </si>
  <si>
    <t>Curva 45° PVC soldável 75 mm</t>
  </si>
  <si>
    <t>Curva 45° PVC soldável 60 mm</t>
  </si>
  <si>
    <t>Curva 45° PVC soldável 40 mm</t>
  </si>
  <si>
    <t>Curva 45° PVC soldável 50 mm</t>
  </si>
  <si>
    <t>Curva 45° PVC soldável 32 mm</t>
  </si>
  <si>
    <t>Curva 45° PVC soldável 25 mm</t>
  </si>
  <si>
    <t>Joelho 90° PVC soldável com bucha de latão 20 mm x 1/2”</t>
  </si>
  <si>
    <t>Luva simples PVC soldável 20 mm</t>
  </si>
  <si>
    <t>Tê PVC soldável 20 mm</t>
  </si>
  <si>
    <t>Joelho 90° PVC soldável com rosca 20 mm x 1/2”</t>
  </si>
  <si>
    <t>Joelho 90° PVC soldável com rosca 32 mm x 3/4”</t>
  </si>
  <si>
    <t>Luva PVC soldável com bucha de latão 20 mm x 1/2”</t>
  </si>
  <si>
    <t>Luva de Redução PVC soldável 32 mm x 25 mm</t>
  </si>
  <si>
    <t>Luva de Redução PVC soldável 50 x 25 mm</t>
  </si>
  <si>
    <t>Luva de Redução PVC soldável 60 x 50 mm</t>
  </si>
  <si>
    <t>Tê de redução PVC soldável água fria 25 mm x 20 mm</t>
  </si>
  <si>
    <t>Tê de redução PVC soldável água fria 32 mm x 25 mm</t>
  </si>
  <si>
    <t>Tê de redução PVC soldável água fria 50 mm x 32 mm</t>
  </si>
  <si>
    <t>Tê de redução PVC soldável água fria 110 mm x 60 mm</t>
  </si>
  <si>
    <t>Tê de redução PVC soldável água fria 110 mm x 75 mm</t>
  </si>
  <si>
    <t>Tê PVC soldável com rosca na bolsa central 20 mm x 1/2”</t>
  </si>
  <si>
    <t>Tê PVC soldável com rosca na bolsa central 32 mm x 3/4”</t>
  </si>
  <si>
    <t>União PVC soldável 20 mm</t>
  </si>
  <si>
    <t>Joelho 45° PVC roscável 3/4”</t>
  </si>
  <si>
    <t>Joelho 45° PVC roscável 1 1/2”</t>
  </si>
  <si>
    <t>Joelho 45° PVC roscável 2”</t>
  </si>
  <si>
    <t>Tubo PVC roscável para água fria 1/2”</t>
  </si>
  <si>
    <t>Joelho 90° PVC roscável 3/4”</t>
  </si>
  <si>
    <t>Joelho 90° PVC roscável 1 1/2”</t>
  </si>
  <si>
    <t>Joelho 90° PVC roscável 2”</t>
  </si>
  <si>
    <t>Joelho 90° PVC roscável 2 1/2”</t>
  </si>
  <si>
    <t>Joelho 90° PVC roscável 3”</t>
  </si>
  <si>
    <t>Joelho 90° PVC roscável 4”</t>
  </si>
  <si>
    <t>Joelho 90° PVC roscável com Bucha de Latão 1/2”</t>
  </si>
  <si>
    <t>Joelho 90° PVC roscável com Bucha de Latão 3/4” x 1/2”</t>
  </si>
  <si>
    <t>Joelho de Redução 90° PVC roscável  3/4” x 1/2”</t>
  </si>
  <si>
    <t>Luva de correr PVC roscável 1/2”</t>
  </si>
  <si>
    <t>Luva de correr PVC roscável 1”</t>
  </si>
  <si>
    <t>Luva de correr PVC roscável 1 1/4”</t>
  </si>
  <si>
    <t>Luva de Redução PVC roscável  3/4” x 1/2”</t>
  </si>
  <si>
    <t>Luva PVC roscável para água fria 1/2”</t>
  </si>
  <si>
    <t>Luva PVC roscável para água fria 3/4”</t>
  </si>
  <si>
    <t>Niple PVC roscável 1/2”</t>
  </si>
  <si>
    <t>Niple PVC roscável 3/4”</t>
  </si>
  <si>
    <t>Niple PVC roscável 1”</t>
  </si>
  <si>
    <t>Niple PVC roscável 1 1/4”</t>
  </si>
  <si>
    <t>Niple PVC roscável 1 1/2”</t>
  </si>
  <si>
    <t>Niple PVC roscável 2”</t>
  </si>
  <si>
    <t>Niple PVC roscável 2 1/2”</t>
  </si>
  <si>
    <t>Plug PVC roscável 1”</t>
  </si>
  <si>
    <t>Plug PVC roscável 1 1/4”</t>
  </si>
  <si>
    <t>Tê de Redução PVC roscável 3/4” x 1/2”</t>
  </si>
  <si>
    <t>Tê de Redução PVC roscável 1 1/2” x 3/4”</t>
  </si>
  <si>
    <t>Tê de Redução PVC roscável 1” x 3/4”</t>
  </si>
  <si>
    <t>Tubo CPVC 54 mm</t>
  </si>
  <si>
    <t>Tubo CPVC 73 mm</t>
  </si>
  <si>
    <t>Conector CPVC 42 mm x 1 1/2”</t>
  </si>
  <si>
    <t>Conector CPVC 54 mm x 2”</t>
  </si>
  <si>
    <t>Conector CPVC 89 mm x 3”</t>
  </si>
  <si>
    <t>Curva 90° CPVC 22 mm</t>
  </si>
  <si>
    <t>Curva 90° CPVC 28 mm</t>
  </si>
  <si>
    <t>Joelho 90° de Transição CPVC 22 mm x 1/2”</t>
  </si>
  <si>
    <t>Joelho 90° de Transição CPVC 22 mm x 3/4”</t>
  </si>
  <si>
    <t>Bucha de Redução em CPVC 54 x 35 mm</t>
  </si>
  <si>
    <t>Tampão (Cap) CPVC 22 mm</t>
  </si>
  <si>
    <t>Tampão (Cap) CPVC 28 mm</t>
  </si>
  <si>
    <t>Tampão (Cap) CPVC 54 mm</t>
  </si>
  <si>
    <t>Curva de Transposição CPVC 22 mm</t>
  </si>
  <si>
    <t>Joelho 45° CPVC 54 mm</t>
  </si>
  <si>
    <t>Joelho 90° CPVC 54 mm</t>
  </si>
  <si>
    <t>Luva CPVC 54 mm</t>
  </si>
  <si>
    <t>Luva de transição CPVC 2” x 54 mm</t>
  </si>
  <si>
    <t>SF-04361</t>
  </si>
  <si>
    <t>Tê de Transição CPVC 22 mm x 1/2”</t>
  </si>
  <si>
    <t>SF-04362</t>
  </si>
  <si>
    <t>Tê de Transição CPVC 22 mm x 3/4”</t>
  </si>
  <si>
    <t>União CPVC 54 mm</t>
  </si>
  <si>
    <t>União CPVC 73 mm</t>
  </si>
  <si>
    <t>SF-04365</t>
  </si>
  <si>
    <t>União CPVC 22 mm x 3/4”</t>
  </si>
  <si>
    <t>Joelho 45° PVC esgoto ou águas pluviais 200 mm</t>
  </si>
  <si>
    <t>Junção Invertida PVC esgoto ou águas pluviais 75 x 50 mm</t>
  </si>
  <si>
    <t>Junção Invertida PVC esgoto ou águas pluviais 75 x 75 mm</t>
  </si>
  <si>
    <t>Curva 45° Longa PVC esgoto ou águas pluviais 150 mm</t>
  </si>
  <si>
    <t>Junção Simples PVC esgoto ou águas pluviais 100 mm x 75 mm</t>
  </si>
  <si>
    <t>Junção Simples PVC esgoto ou águas pluviais 100 mm x 50 mm</t>
  </si>
  <si>
    <t>Curva 90° curta PVC esgoto ou águas pluviais predial DN 40 mm</t>
  </si>
  <si>
    <t>Curva 90° curta PVC esgoto ou águas pluviais predial DN 50 mm</t>
  </si>
  <si>
    <t>Curva 90° curta PVC esgoto ou águas pluviais predial DN 75 mm</t>
  </si>
  <si>
    <t>Curva 90° curta PVC esgoto ou águas pluviais predial DN 100 mm</t>
  </si>
  <si>
    <t>Redução Excêntrica PVC esgoto ou águas pluviais 100 x 50 mm</t>
  </si>
  <si>
    <t>SF-04381</t>
  </si>
  <si>
    <t>Redução Excêntrica PVC esgoto ou águas pluviais 200 x 150 mm</t>
  </si>
  <si>
    <t>SF-04382</t>
  </si>
  <si>
    <t>Válvula de Retenção PVC esgoto ou águas pluviais 100 mm</t>
  </si>
  <si>
    <t>SF-04384</t>
  </si>
  <si>
    <t>Adaptador em polipropileno com esfera de borracha para ponto de esgoto de máquina de lavar</t>
  </si>
  <si>
    <t>Válvula de pé com crivos em bronze 1 1/2”</t>
  </si>
  <si>
    <t>Válvula de pé com crivos em bronze 1 1/4”</t>
  </si>
  <si>
    <t>Válvula de pé com crivos em bronze 2 1/2”</t>
  </si>
  <si>
    <t>Válvula de pé com crivos em bronze 3/4”</t>
  </si>
  <si>
    <t>Válvula de pé com crivos em bronze 3”</t>
  </si>
  <si>
    <t>Válvula de retenção horizontal em bronze  PN-25, 400 psi, 1 1/2”</t>
  </si>
  <si>
    <t>Válvula de retenção horizontal em bronze  PN-25, 400 psi, 1 1/4”</t>
  </si>
  <si>
    <t>Válvula de retenção horizontal em bronze  PN-25, 400 psi, 1/2”</t>
  </si>
  <si>
    <t>Válvula de retenção horizontal em bronze  PN-25, 400 psi, 1”</t>
  </si>
  <si>
    <t>Válvula de retenção horizontal em bronze  PN-25, 400 psi, 2 1/2”</t>
  </si>
  <si>
    <t>Válvula de retenção horizontal em bronze  PN-25, 400 psi, 3”</t>
  </si>
  <si>
    <t>Válvula de retenção horizontal em bronze  PN-25, 400 psi, 4”</t>
  </si>
  <si>
    <t>Válvula de retenção vertical em bronze  PN-16, 200 psi, 1 1/2”</t>
  </si>
  <si>
    <t>Válvula de retenção vertical em bronze  PN-16, 200 psi, 1 1/4”</t>
  </si>
  <si>
    <t>Válvula de retenção vertical em bronze  PN-16, 200 psi, 1/2”</t>
  </si>
  <si>
    <t>Válvula de retenção vertical em bronze  PN-16, 200 psi, 1”</t>
  </si>
  <si>
    <t>Válvula de retenção vertical em bronze  PN-16, 200 psi, 3/4”</t>
  </si>
  <si>
    <t>SF-04402</t>
  </si>
  <si>
    <t>Válvula de esfera em latão para gás, passagem plena, rosca BSP macho x fêmea, acion. borboleta, 3/4”</t>
  </si>
  <si>
    <t>SF-04403</t>
  </si>
  <si>
    <t>Válvula de esfera em latão para gás, passagem plena, rosca BSP fêmea x fêmea, acion. borboleta, 1/2”</t>
  </si>
  <si>
    <t>SF-04404</t>
  </si>
  <si>
    <t>Válvula de esfera em latão para gás, passagem plena, rosca BSP fêmea x fêmea, acion. borboleta, 3/4”</t>
  </si>
  <si>
    <t>SF-04405</t>
  </si>
  <si>
    <t>Válvula de esfera em latão para gás, passagem plena, rosca NPT fêmea x fêmea, acion. borboleta, 1/2”</t>
  </si>
  <si>
    <t>SF-04406</t>
  </si>
  <si>
    <t>Válvula de esfera em latão para gás, passagem plena, rosca NPT fêmea x fêmea, acion. borboleta, 3/4”</t>
  </si>
  <si>
    <t>SF-04407</t>
  </si>
  <si>
    <t>Válvula de esfera em latão para gás, passagem plena, rosca BSP fêmea x fêmea, acion. alavanca, 1/2”</t>
  </si>
  <si>
    <t>SF-04408</t>
  </si>
  <si>
    <t>Válvula de esfera em latão para gás, passagem plena, rosca BSP fêmea x fêmea, acion. alavanca, 3/4”</t>
  </si>
  <si>
    <t>SF-04409</t>
  </si>
  <si>
    <t>Válvula de esfera em latão para gás, passagem plena, rosca NPT fêmea x fêmea, acion. alavanca, 1/2”</t>
  </si>
  <si>
    <t>SF-04410</t>
  </si>
  <si>
    <t>Válvula de esfera em latão para gás, passagem plena, rosca NPT fêmea x fêmea, acion. alavanca, 3/4”</t>
  </si>
  <si>
    <t>SF-04411</t>
  </si>
  <si>
    <t>Válvula de esfera em latão para gás, passagem plena, rosca BSP macho x fêmea, acion. alavanca, 1/2”</t>
  </si>
  <si>
    <t>SF-04412</t>
  </si>
  <si>
    <t>Válvula de esfera em latão para gás, passagem plena, rosca BSP macho x fêmea, acion. alavanca, 3/4”</t>
  </si>
  <si>
    <t>Registro de Pressão PVC roscável 1/2”</t>
  </si>
  <si>
    <t>Registro de Pressão PVC roscável 3/4”</t>
  </si>
  <si>
    <t>Registro de Pressão PVC soldável 20 mm</t>
  </si>
  <si>
    <t>Registro de Pressão PVC soldável 25 mm</t>
  </si>
  <si>
    <t>Registro de esfera PVC roscável, com corpo dividido, com volante, 3/4”</t>
  </si>
  <si>
    <t>Registro de esfera PVC roscável, com corpo dividido, com volante, 1”</t>
  </si>
  <si>
    <t>Registro de esfera PVC roscável, com corpo dividido, com volante, 1 1/4”</t>
  </si>
  <si>
    <t>Registro de esfera PVC roscável, com corpo dividido, com volante, 2”</t>
  </si>
  <si>
    <t>Registro de esfera PVC soldável, com corpo dividido, com volante, 20 mm</t>
  </si>
  <si>
    <t>Registro de esfera PVC soldável, com corpo dividido, com volante, 25 mm</t>
  </si>
  <si>
    <t>Registro de esfera PVC soldável, com corpo dividido, com volante, 32 mm</t>
  </si>
  <si>
    <t>Registro de esfera PVC soldável, com corpo dividido, com volante, 40 mm</t>
  </si>
  <si>
    <t>Registro de esfera PVC soldável, com corpo dividido, com volante, 50 mm</t>
  </si>
  <si>
    <t>SF-04426</t>
  </si>
  <si>
    <t>Registro de esfera PVC soldável, compacto, com volante, 20 mm</t>
  </si>
  <si>
    <t>SF-04427</t>
  </si>
  <si>
    <t>Registro de esfera PVC soldável, compacto, com volante, 25 mm</t>
  </si>
  <si>
    <t>SF-04428</t>
  </si>
  <si>
    <t>Registro de esfera PVC soldável, compacto, com volante, 32 mm</t>
  </si>
  <si>
    <t>SF-04429</t>
  </si>
  <si>
    <t>Registro de esfera PVC soldável, compacto, com volante, 40 mm</t>
  </si>
  <si>
    <t>SF-04430</t>
  </si>
  <si>
    <t>Registro de esfera PVC soldável, compacto, com volante, 50 mm</t>
  </si>
  <si>
    <t>SF-04431</t>
  </si>
  <si>
    <t>Registro de esfera PVC soldável, compacto, com volante, 60 mm</t>
  </si>
  <si>
    <t>Registro de esfera PVC, com rosca externa, com cabeça quadrada, 1/2”</t>
  </si>
  <si>
    <t>Registro de esfera PVC, com rosca externa, com cabeça quadrada, 3/4”</t>
  </si>
  <si>
    <t>SF-04435</t>
  </si>
  <si>
    <t>Válvula de retenção em PVC soldável 32 mm</t>
  </si>
  <si>
    <t>SF-04436</t>
  </si>
  <si>
    <t>Válvula de retenção em PVC soldável 40 mm</t>
  </si>
  <si>
    <t>SF-04437</t>
  </si>
  <si>
    <t>Válvula de retenção em PVC soldável 50 mm</t>
  </si>
  <si>
    <t>SF-04438</t>
  </si>
  <si>
    <t>Válvula de retenção em PVC soldável 60 mm</t>
  </si>
  <si>
    <t>SF-04439</t>
  </si>
  <si>
    <t>Válvula de retenção em PVC roscável 3/4”</t>
  </si>
  <si>
    <t>SF-04440</t>
  </si>
  <si>
    <t>Válvula de retenção em PVC roscável 1”</t>
  </si>
  <si>
    <t>SF-04441</t>
  </si>
  <si>
    <t>Válvula de retenção em PVC roscável 1 1/4”</t>
  </si>
  <si>
    <t>SF-04442</t>
  </si>
  <si>
    <t>Válvula de retenção em PVC roscável 1 1/2”</t>
  </si>
  <si>
    <t>SF-04443</t>
  </si>
  <si>
    <t>Válvula de retenção em PVC roscável 2”</t>
  </si>
  <si>
    <t>SF-04444</t>
  </si>
  <si>
    <t>União em cobre, rosca fêmea x rosca fêmea, 1/2”</t>
  </si>
  <si>
    <t>SF-04445</t>
  </si>
  <si>
    <t>União em cobre, rosca fêmea x rosca fêmea, 3/4”</t>
  </si>
  <si>
    <t>SF-04446</t>
  </si>
  <si>
    <t>União em cobre, rosca fêmea x rosca fêmea, 1”</t>
  </si>
  <si>
    <t>SF-04447</t>
  </si>
  <si>
    <t>Bucha de redução em latão, rosca BSP x rosca NPT, 1/2” x 3/8”</t>
  </si>
  <si>
    <t>SF-04448</t>
  </si>
  <si>
    <t>Bucha de redução em latão, rosca NPT x rosca NPT, 1/2” x 3/8”</t>
  </si>
  <si>
    <t>SF-04449</t>
  </si>
  <si>
    <t>Bucha de redução em cobre, rosca fêmea x rosca macho, 3/4” x 1/2”</t>
  </si>
  <si>
    <t>SF-04450</t>
  </si>
  <si>
    <t>Bucha de redução em cobre, rosca fêmea x rosca macho, 1” x 3/4”</t>
  </si>
  <si>
    <t>SF-04451</t>
  </si>
  <si>
    <t>Bucha de redução em cobre, rosca fêmea x rosca macho, 1 1/4” x 3/4”</t>
  </si>
  <si>
    <t>SF-04452</t>
  </si>
  <si>
    <t>Bucha de redução em cobre, rosca fêmea x rosca macho, 1 1/2” x 3/4”</t>
  </si>
  <si>
    <t>Niple de redução em cobre, rosca macho x rosca macho, 3/4” x 1/2”</t>
  </si>
  <si>
    <t>SF-04460</t>
  </si>
  <si>
    <t>Niple de redução em cobre, rosca macho x rosca macho, 1” x 3/4”</t>
  </si>
  <si>
    <t>SF-04461</t>
  </si>
  <si>
    <t>Niple de redução em cobre, rosca macho x rosca macho, 1 1/4” x 1”</t>
  </si>
  <si>
    <t>SF-04464</t>
  </si>
  <si>
    <t>Joelho em latão, rosca BSP, 1/2”</t>
  </si>
  <si>
    <t>SF-04465</t>
  </si>
  <si>
    <t>Luva em latão, rosca BSP, 1/2”</t>
  </si>
  <si>
    <t>SF-04466</t>
  </si>
  <si>
    <t>Tê em latão, rosca BSP, 1/2”</t>
  </si>
  <si>
    <t>Tubo de cobre classe “A”, para gás, 1/2” (15 mm)</t>
  </si>
  <si>
    <t>Tubo de cobre classe “A”, para gás, 3/4” (22 mm)</t>
  </si>
  <si>
    <t>SF-04469</t>
  </si>
  <si>
    <t>União em cobre, sem anel de solda, bolsa x rosca fêmea, 22 mm x 3/4”</t>
  </si>
  <si>
    <t>Motobombas Hidráulicas para Esgoto - Bloco 01</t>
  </si>
  <si>
    <t>Cotovelo 90° em cobre, sem anel de solda, bolsa x bolsa/ponta, 28 mm</t>
  </si>
  <si>
    <t>SF-04472</t>
  </si>
  <si>
    <t>Cotovelo 90° em bronze/latão, sem anel de solda, bolsa x rosca, 22 mm x 1”</t>
  </si>
  <si>
    <t>SF-04473</t>
  </si>
  <si>
    <t>Cotovelo 90° em bronze/latão, sem anel de solda, bolsa x rosca, 28 mm x 1”</t>
  </si>
  <si>
    <t>SF-04474</t>
  </si>
  <si>
    <t>Cotovelo 90° em bronze/latão, sem anel de solda, bolsa x rosca, 35 mm x 1 1/4”</t>
  </si>
  <si>
    <t>Curva 45° em cobre, sem anel de solda, bolsa x bolsa, 22 mm</t>
  </si>
  <si>
    <t>Curva 45° em cobre, sem anel de solda, bolsa x bolsa, 28 mm</t>
  </si>
  <si>
    <t>Curva de Transposição em bronze/latão, sem anel de solda, bolsa x bolsa, 22 mm</t>
  </si>
  <si>
    <t>Curva de Transposição em bronze/latão, sem anel de solda, bolsa x bolsa, 28 mm</t>
  </si>
  <si>
    <t>Luva em cobre, sem anel de solda, bolsa x bolsa, 28 mm</t>
  </si>
  <si>
    <t>Luva passante em cobre, sem anel de solda, bolsa 22 mm</t>
  </si>
  <si>
    <t>Luva passante em cobre, sem anel de solda, bolsa 28 mm</t>
  </si>
  <si>
    <t>Luva passante em cobre, sem anel de solda, bolsa 35 mm</t>
  </si>
  <si>
    <t>Luva passante em cobre, sem anel de solda, bolsa 42 mm</t>
  </si>
  <si>
    <t>Luva passante em cobre, sem anel de solda, bolsa 54 mm</t>
  </si>
  <si>
    <t>Luva passante em cobre, sem anel de solda, bolsa 66 mm</t>
  </si>
  <si>
    <t>SF-04486</t>
  </si>
  <si>
    <t>Luva de redução em cobre, sem anel de solda, bolsa x bolsa, 28 mm x 22 mm</t>
  </si>
  <si>
    <t>Bucha de redução em cobre, sem anel de solda, ponta x bolsa, 28 mm x 22 mm</t>
  </si>
  <si>
    <t>Bucha de redução em cobre, sem anel de solda, ponta x bolsa, 35 mm x 28 mm</t>
  </si>
  <si>
    <t>Tê 90° em cobre, sem anel de solda, bolsa x bolsa x bolsa, 28 mm</t>
  </si>
  <si>
    <t>SF-04490</t>
  </si>
  <si>
    <t>Tê 90° em cobre, sem anel de solda, bolsa x rosca x bolsa, 22 mm x 1/2”</t>
  </si>
  <si>
    <t>SF-04491</t>
  </si>
  <si>
    <t>Tê 90° em cobre, sem anel de solda, bolsa x rosca x bolsa, 22 mm x 3/4”</t>
  </si>
  <si>
    <t>SF-04492</t>
  </si>
  <si>
    <t>Tê 90° em cobre, sem anel de solda, bolsa x rosca x bolsa, 28 mm x 1”</t>
  </si>
  <si>
    <t>SF-04503</t>
  </si>
  <si>
    <t>Tê de redução em cobre, sem anel de solda, bolsa x bolsa x bolsa, 66 mm x 22 mm</t>
  </si>
  <si>
    <t>SF-04504</t>
  </si>
  <si>
    <t>Tê de redução em cobre, sem anel de solda, bolsa x bolsa x bolsa, 66 mm x 28 mm</t>
  </si>
  <si>
    <t>SF-04505</t>
  </si>
  <si>
    <t>Tê de redução em cobre, sem anel de solda, bolsa x bolsa x bolsa, 66 mm x 35 mm</t>
  </si>
  <si>
    <t>SF-04506</t>
  </si>
  <si>
    <t>Tê de redução em cobre, sem anel de solda, bolsa x bolsa x bolsa, 66 mm x 42 mm</t>
  </si>
  <si>
    <t>SF-04507</t>
  </si>
  <si>
    <t>Tê de redução em cobre, sem anel de solda, bolsa x bolsa x bolsa, 66 mm x 54 mm</t>
  </si>
  <si>
    <t>SF-04508</t>
  </si>
  <si>
    <t>Tê de redução em cobre, sem anel de solda, bolsa x bolsa x bolsa, 79 mm x 22 mm</t>
  </si>
  <si>
    <t>SF-04509</t>
  </si>
  <si>
    <t>Tê de redução em cobre, sem anel de solda, bolsa x bolsa x bolsa, 79 mm x 28 mm</t>
  </si>
  <si>
    <t>SF-04510</t>
  </si>
  <si>
    <t>Tê de redução em cobre, sem anel de solda, bolsa x bolsa x bolsa, 79 mm x 35 mm</t>
  </si>
  <si>
    <t>SF-04511</t>
  </si>
  <si>
    <t>Tê de redução em cobre, sem anel de solda, bolsa x bolsa x bolsa, 79 mm x 66 mm</t>
  </si>
  <si>
    <t>Tê dupla curva (misturador) em bronze/latão, sem anel de solda, rosca fêmea x bolsa x rosca fêmea, 1/2” x 15 mm x 1/2”</t>
  </si>
  <si>
    <t>Tê dupla curva (misturador) em bronze/latão, sem anel de solda, rosca fêmea x bolsa x rosca fêmea, 3/4” x 22 mm x 3/4”</t>
  </si>
  <si>
    <t>SF-04514</t>
  </si>
  <si>
    <t>Junção em cobre, sem anel de solda, bolsa x bolsa x bolsa, 35 mm</t>
  </si>
  <si>
    <t>SF-04515</t>
  </si>
  <si>
    <t>Junção em cobre, sem anel de solda, bolsa x bolsa x bolsa, 54 mm</t>
  </si>
  <si>
    <t>Junta de expansão em cobre, ponta x ponta, 22 mm</t>
  </si>
  <si>
    <t>Junta de expansão em cobre, ponta x ponta, 28 mm</t>
  </si>
  <si>
    <t>Junta de expansão em cobre, ponta x ponta, 35 mm</t>
  </si>
  <si>
    <t>Junta de expansão em cobre, ponta x ponta, 42 mm</t>
  </si>
  <si>
    <t>Junta de expansão em cobre, ponta x ponta, 54 mm</t>
  </si>
  <si>
    <t>Junta de expansão em cobre, ponta x ponta, 66 mm</t>
  </si>
  <si>
    <t>Conector para tubo PEX multicamada para gás, bolsa crimpagem x rosca fêmea FIXA, 16 mm x 1/2”</t>
  </si>
  <si>
    <t>Conector para tubo PEX multicamada para gás, bolsa crimpagem x rosca fêmea FIXA, 20 mm x 3/4”</t>
  </si>
  <si>
    <t>Conector para tubo PEX multicamada para gás, bolsa crimpagem x rosca fêmea FIXA, 20 mm x 1/2”</t>
  </si>
  <si>
    <t>Conector para tubo PEX multicamada para gás, bolsa crimpagem x rosca fêmea FIXA, 26 mm x 3/4”</t>
  </si>
  <si>
    <t>Conector para tubo PEX multicamada para gás, bolsa crimpagem x rosca fêmea MÓVEL, 16 mm x 1/2”</t>
  </si>
  <si>
    <t>SF-04529</t>
  </si>
  <si>
    <t>Conector para tubo PEX multicamada para gás, bolsa crimpagem x rosca fêmea MÓVEL, 20 mm x 1/2”</t>
  </si>
  <si>
    <t>SF-04530</t>
  </si>
  <si>
    <t>Conector para tubo PEX multicamada para gás, bolsa crimpagem x rosca fêmea MÓVEL, 20 mm x 3/4”</t>
  </si>
  <si>
    <t>SF-04531</t>
  </si>
  <si>
    <t>Conector para tubo PEX multicamada para gás, bolsa crimpagem x rosca fêmea MÓVEL, 16 mm x 3/4”</t>
  </si>
  <si>
    <t>Conector para tubo PEX multicamada para gás, bolsa crimpagem x rosca fêmea MÓVEL, 26 mm x 3/4”</t>
  </si>
  <si>
    <t>Conector para tubo PEX multicamada para gás, bolsa crimpagem x rosca macho, 16 mm x 1/2”</t>
  </si>
  <si>
    <t>Conector para tubo PEX multicamada para gás, bolsa crimpagem x rosca macho, 20 mm x 3/4”</t>
  </si>
  <si>
    <t>Cotovelo para tubo PEX multicamada para gás, bolsa crimpagem x rosca fêmea, 16 mm x 1/2”</t>
  </si>
  <si>
    <t>Cotovelo para tubo PEX multicamada para gás, bolsa crimpagem x rosca fêmea, 20 mm x 3/4”</t>
  </si>
  <si>
    <t>Cotovelo para tubo PEX multicamada para gás, bolsa crimpagem x rosca fêmea, 20 mm x 1/2”</t>
  </si>
  <si>
    <t>Cotovelo para tubo PEX multicamada para gás, bolsa crimpagem x rosca fêmea, 26 mm x 3/4”</t>
  </si>
  <si>
    <t>Cotovelo para tubo PEX multicamada para gás, bolsa crimpagem x rosca fêmea COM FLANGE, 16 mm x 1/2”</t>
  </si>
  <si>
    <t>Cotovelo para tubo PEX multicamada para gás, bolsa crimpagem x rosca fêmea COM FLANGE, 20 mm x 1/2”</t>
  </si>
  <si>
    <t>SF-04541</t>
  </si>
  <si>
    <t>Cotovelo para tubo PEX multicamada para gás, bolsa crimpagem x rosca fêmea COM FLANGE, 20 mm x 3/4”</t>
  </si>
  <si>
    <t>Cotovelo para tubo PEX multicamada para gás, bolsa crimpagem x rosca macho, 16 mm x 1/2”</t>
  </si>
  <si>
    <t>SF-04543</t>
  </si>
  <si>
    <t>Cotovelo para tubo PEX multicamada para gás, bolsa crimpagem x rosca macho, 20 mm x 3/4”</t>
  </si>
  <si>
    <t>Cotovelo para tubo PEX multicamada para gás, bolsa crimpagem x rosca macho, 26 mm x 3/4”</t>
  </si>
  <si>
    <t>Cotovelo para tubo PEX multicamada para gás, bolsa crimpagem x bolsa crimpagem, 16 mm</t>
  </si>
  <si>
    <t>Cotovelo para tubo PEX multicamada para gás, bolsa crimpagem x bolsa crimpagem, 20 mm</t>
  </si>
  <si>
    <t>Cotovelo para tubo PEX multicamada para gás, bolsa crimpagem x bolsa crimpagem, 26 mm</t>
  </si>
  <si>
    <t>SF-04548</t>
  </si>
  <si>
    <t>Tê para tubo PEX multicamada para gás, bolsa crimpagem x bolsa crimpagem x bolsa crimpagem, 16 mm</t>
  </si>
  <si>
    <t>Tê para tubo PEX multicamada para gás, bolsa crimpagem x bolsa crimpagem x bolsa crimpagem, 20 mm</t>
  </si>
  <si>
    <t>Tê para tubo PEX multicamada para gás, bolsa crimpagem x bolsa crimpagem x bolsa crimpagem, 26 mm</t>
  </si>
  <si>
    <t>SF-04551</t>
  </si>
  <si>
    <t>Tê para tubo PEX multicamada para gás, bolsa crimpagem x rosca fêmea x bolsa crimpagem, 20 mm x 3/4” x 20 mm</t>
  </si>
  <si>
    <t>SF-04552</t>
  </si>
  <si>
    <t>Tê para tubo PEX multicamada para gás, bolsa crimpagem x rosca macho x bolsa crimpagem, 16 mm x 1/2” x 16 mm</t>
  </si>
  <si>
    <t>SF-04553</t>
  </si>
  <si>
    <t>Tê para tubo PEX multicamada para gás, bolsa crimpagem x rosca macho x bolsa crimpagem, 20 mm x 1/2” x 20 mm</t>
  </si>
  <si>
    <t>SF-04556</t>
  </si>
  <si>
    <t>Tê de redução para tubo PEX multicamada para gás, bolsa crimpagem x bolsa crimpagem x bolsa crimpagem, 26 mm x 20 mm e variantes</t>
  </si>
  <si>
    <t>SF-04557</t>
  </si>
  <si>
    <t>Tê para tubo PEX multicamada para gás, bolsa crimpagem x rosca fêmea x bolsa crimpagem, 20 mm x 1/2” x 20 mm</t>
  </si>
  <si>
    <t>SF-04558</t>
  </si>
  <si>
    <t>Tê para tubo PEX multicamada para gás, bolsa crimpagem x rosca macho x bolsa crimpagem, 26 mm x 3/4” x 26 mm</t>
  </si>
  <si>
    <t>Tê para tubo PEX multicamada para gás, bolsa crimpagem x rosca fêmea x bolsa crimpagem, 16 mm x 1/2” x 16 mm</t>
  </si>
  <si>
    <t>SF-04560</t>
  </si>
  <si>
    <t>Tê para tubo PEX multicamada para gás, bolsa crimpagem x rosca macho x bolsa crimpagem, 20 mm x 3/4” x 20 mm</t>
  </si>
  <si>
    <t>SF-04561</t>
  </si>
  <si>
    <t>União para tubo PEX multicamada para gás, bolsa crimpagem x bolsa crimpagem, 20 mm</t>
  </si>
  <si>
    <t>SF-04562</t>
  </si>
  <si>
    <t>União para tubo PEX multicamada para gás, bolsa crimpagem x bolsa crimpagem, 16 mm</t>
  </si>
  <si>
    <t>SF-04563</t>
  </si>
  <si>
    <t>União para tubo PEX multicamada para gás, bolsa crimpagem x bolsa crimpagem, 26 mm</t>
  </si>
  <si>
    <t>Tubo de sistema PEX multicamada flexível 16 mm para gás</t>
  </si>
  <si>
    <t>SF-04565</t>
  </si>
  <si>
    <t>Luva de redução para tubo PEX multicamada para gás, bolsa crimpagem x bolsa crimpagem, 20 mm x 16 mm</t>
  </si>
  <si>
    <t>SF-04566</t>
  </si>
  <si>
    <t>Painel Geral de Entrada – Medição 1 (PGE-M1)</t>
  </si>
  <si>
    <t>SF-04567</t>
  </si>
  <si>
    <t>Painel Geral de Entrada – Medição 2 (PGE-M2)</t>
  </si>
  <si>
    <t>SF-04568</t>
  </si>
  <si>
    <t>Sistema de energia ininterrupta 24 Vcc</t>
  </si>
  <si>
    <t>SF-04569</t>
  </si>
  <si>
    <t>Painel Geral de Emergência (PGEm)</t>
  </si>
  <si>
    <t>Instalação de painel elétrico autoportante reaproveitado</t>
  </si>
  <si>
    <t>Quadro Geral de Emergência (QGE)</t>
  </si>
  <si>
    <t>Quadro de Distribuição de Emergência (QDE)</t>
  </si>
  <si>
    <t>Eletroduto de aço galvanizado de 4”</t>
  </si>
  <si>
    <t>Condulete de alumínio de 4"</t>
  </si>
  <si>
    <t>Eletroduto de aço galvanizado de 2 1/2”</t>
  </si>
  <si>
    <t>Condulete de alumínio de 2 1/2"</t>
  </si>
  <si>
    <t>Luminária hermética tubo LED 2 x 15 W</t>
  </si>
  <si>
    <t>Projeto executivo de engenharia elétrica – Sistema Elétrico do Anexo II</t>
  </si>
  <si>
    <t>Remoção de painel elétrico autoportante</t>
  </si>
  <si>
    <t>SF-04580</t>
  </si>
  <si>
    <t>Escoramento metálico (altura entre 3,2 e 6 m)</t>
  </si>
  <si>
    <t>Estaca raiz – 31 cm de diâmetro</t>
  </si>
  <si>
    <t>Preparação de superfícies de concreto</t>
  </si>
  <si>
    <t>Luminária LED Highbay 60 W</t>
  </si>
  <si>
    <t>Luminária LED Highbay 80 W</t>
  </si>
  <si>
    <t>Válvula de esfera bruta em bronze 1"</t>
  </si>
  <si>
    <t>Válvula de esfera bruta em bronze 1 1/4"</t>
  </si>
  <si>
    <t>Tubo de cobre classe “A”, para gás, 1” (28mm)</t>
  </si>
  <si>
    <t>Mangueira de jardim em PVC flexível, Ø 1/2", espessura ≥ 2mm, comprimento 50m</t>
  </si>
  <si>
    <t>Motobombas Hidráulicas para águas pluviais - Bloco 01</t>
  </si>
  <si>
    <t>Caixa de Passagem Subterrânea 1000 mm x 1000 mm x 600 mm</t>
  </si>
  <si>
    <t>SF-04591</t>
  </si>
  <si>
    <t>Instalação de espelho antigo reaproveitado (Painel do Salão Azul)</t>
  </si>
  <si>
    <t>SF-04592</t>
  </si>
  <si>
    <t>Reespelhamento de espelho antigo (Painel do Salão Azul)</t>
  </si>
  <si>
    <t>SF-04593</t>
  </si>
  <si>
    <t>Remoção de espelho (Painel do Salão Azul)</t>
  </si>
  <si>
    <t>Grelha em ferro nodular, classe C250 - 800 mm x 1000 mm x 50 mm, com requadro</t>
  </si>
  <si>
    <t>Estrutura metálica em aço para a Subestação do Anexo II</t>
  </si>
  <si>
    <t>Piso vinílico flexível heterogêneo (LVT) autoportante, em placas de 50 cm x 50 cm</t>
  </si>
  <si>
    <t>Supervisor de Obras e Manutenção – Apoio de Campo - Bombas Hidráulicas</t>
  </si>
  <si>
    <t>Trilho eletrificado para iluminação - Túnel do Tempo</t>
  </si>
  <si>
    <t>Spot para trilho eletrificado para iluminação - Túnel do Tempo</t>
  </si>
  <si>
    <t>SF-04600</t>
  </si>
  <si>
    <t>Camisa social manga longa</t>
  </si>
  <si>
    <t>pç</t>
  </si>
  <si>
    <t>SF-04601</t>
  </si>
  <si>
    <t>Cinto porta ferramentas, com alça de perna (cartucheira)</t>
  </si>
  <si>
    <t>SF-04602</t>
  </si>
  <si>
    <t>Laudo de estabilidade estrutural - Bloco 02 (Interlegis)</t>
  </si>
  <si>
    <t>SF-04603</t>
  </si>
  <si>
    <t>Projeto de adaptação/modificação/reforço da estrutura e suas fundações para os novos usos – Bloco 02 (Interlegis)</t>
  </si>
  <si>
    <t>Projeto Executivo de Entrada e Medição de Energia Elétrica para prédio de múltiplas unidades consumidoras - SQS 309</t>
  </si>
  <si>
    <t>SF-04605</t>
  </si>
  <si>
    <t>Centro de Medição de Energia Elétrica composto por 18 Caixas de Medição Polifásicas em Policarbonato - SQS 309</t>
  </si>
  <si>
    <t>Quadro termoplástico de sobrepor para 12 disjuntores - SQS 309</t>
  </si>
  <si>
    <t>SF-04607</t>
  </si>
  <si>
    <t>Painel elétrico de distribuição parcial - SQS 309</t>
  </si>
  <si>
    <t>Condutor flexível 0,6/1 kV 5 x 1,5 mm²</t>
  </si>
  <si>
    <t>Auxiliar Administrativo(a) - Apoio a atividades-meio</t>
  </si>
  <si>
    <t>Técnico em Eletromecânica Plantonista (noturno)</t>
  </si>
  <si>
    <t>Cotovelo 90° em cobre, sem anel de solda, bolsa x bolsa/ponta, 79mm</t>
  </si>
  <si>
    <t>Cotovelo 90° em cobre, sem anel de solda, bolsa x bolsa/ponta, 22mm</t>
  </si>
  <si>
    <t>Cotovelo 90° em cobre, sem anel de solda, bolsa x bolsa/ponta, 35mm</t>
  </si>
  <si>
    <t>Cotovelo 90° em cobre, sem anel de solda, bolsa x bolsa/ponta, 42mm</t>
  </si>
  <si>
    <t>Cotovelo 90° em cobre, sem anel de solda, bolsa x bolsa/ponta, 54mm</t>
  </si>
  <si>
    <t>Cotovelo 90° em cobre, sem anel de solda, bolsa x bolsa/ponta, 66mm</t>
  </si>
  <si>
    <t>Curva 45° em cobre, sem anel de solda, bolsa x bolsa, 35mm</t>
  </si>
  <si>
    <t>Curva 45° em cobre, sem anel de solda, bolsa x bolsa, 42mm</t>
  </si>
  <si>
    <t>Curva 45° em cobre, sem anel de solda, bolsa x bolsa, 54mm</t>
  </si>
  <si>
    <t>Curva 45° em cobre, sem anel de solda, bolsa x bolsa, 66mm</t>
  </si>
  <si>
    <t>SF-04621</t>
  </si>
  <si>
    <t>Kit de ferramentas para tubo PEX multicamadas para gás</t>
  </si>
  <si>
    <t>SF-04622</t>
  </si>
  <si>
    <t>Tinta acrílica em aerossol (spray)</t>
  </si>
  <si>
    <t>SF-04623</t>
  </si>
  <si>
    <t>Adaptador articulado em polipropileno com esfera de borracha para ponto de esgoto de máquina de lavar</t>
  </si>
  <si>
    <t>SF-04624</t>
  </si>
  <si>
    <t>Calafetação de vidros com silicone estrutural</t>
  </si>
  <si>
    <t>Cambota elastomérica de DN 100 (4” NPS)</t>
  </si>
  <si>
    <t>Cambota elastomérica de DN 150 (6” NPS)</t>
  </si>
  <si>
    <t>Curva raio curto 90° em aço carbono para solda de topo DN 150 (6” NPS).</t>
  </si>
  <si>
    <t>Curva raio longo 45° em aço carbono para solda de topo DN 100 (4” NPS)</t>
  </si>
  <si>
    <t>Curva raio longo 90° em aço carbono para solda de topo DN 150 (6” NPS)</t>
  </si>
  <si>
    <t>Argamassa estrutural</t>
  </si>
  <si>
    <t>Isolamento elastomérico para tubulações de cobre 2 3/8" / tubulações de ferro de 2”</t>
  </si>
  <si>
    <t>Isolamento elastomérico para tubulações de ferro de 4”</t>
  </si>
  <si>
    <t>Isolamento elastomérico para tubulações de ferro de 6”</t>
  </si>
  <si>
    <t>Suporte fixado no piso para tubulação DN 150 (6" NPS)</t>
  </si>
  <si>
    <t>Suporte fixado no teto para tubulação DN 100 (4" NPS)</t>
  </si>
  <si>
    <t>Motobomba Centrífuga Submersível 3 cv - trifásica - Ø máx. sólidos ≥ 50mm</t>
  </si>
  <si>
    <t>Tubo de cobre classe “E”, para instalação hidráulica, 35 mm</t>
  </si>
  <si>
    <t>Base registro gaveta em latão forjado 1 1/4”</t>
  </si>
  <si>
    <t>Tubo de aço-carbono preto DN 65 (2 1/2" NPS)</t>
  </si>
  <si>
    <t>Tubo de aço-carbono preto DN 50 (2" NPS)</t>
  </si>
  <si>
    <t>Tubo de aço-carbono preto DN 100 (4" NPS)</t>
  </si>
  <si>
    <t>Tubo de aço-carbono preto DN 150 (6" NPS)</t>
  </si>
  <si>
    <t>Válvula gaveta com flange DN 65 (2 1/2" NPS)</t>
  </si>
  <si>
    <t>Válvula gaveta com flange DN 50 (2" NPS).</t>
  </si>
  <si>
    <t>Válvula gaveta com flange DN 100 (4" NPS)</t>
  </si>
  <si>
    <t>Válvula gaveta com flange DN 150 (6" NPS)</t>
  </si>
  <si>
    <t>Remoção de baguetes metálicos para reaproveitamento</t>
  </si>
  <si>
    <t>Instalação de baguetes metálicos reaproveitados</t>
  </si>
  <si>
    <t>SF-04661</t>
  </si>
  <si>
    <t>Sistema de exaustão e coifas lavadoras para Cozinhas Profissionais – Bloco 15</t>
  </si>
  <si>
    <t>Estrutura metálica em aço para NOVO GALPÃO PARA LEILÃO – COTRAN (SPATR)</t>
  </si>
  <si>
    <t>Caixa coletora com grelha para captação de esgoto 30x30cm</t>
  </si>
  <si>
    <t>Projeto executivo de engenharia elétrica para o Galpão da SPATR</t>
  </si>
  <si>
    <t>SF-04665</t>
  </si>
  <si>
    <t>Projeto Executivo para Central Fotovoltaica de Minigeração de Energia Elétrica - Galpão de depósito de bens para leilão (SPATR)</t>
  </si>
  <si>
    <t>SF-04666</t>
  </si>
  <si>
    <t>Central de Minigeração de Energia Elétrica Fotovoltaica - Galpão de depósito de bens para leilão (SPATR)</t>
  </si>
  <si>
    <t>Mancal superior e lateral para porta de vidro temperado</t>
  </si>
  <si>
    <t>Barras antipânico para porta dupla de vidro temperado</t>
  </si>
  <si>
    <t>Portão metálico de correr de 2,20m x 2,50m</t>
  </si>
  <si>
    <t>Supervisor(a) Técnico(a) - Sistema de bombeamento hidráulico</t>
  </si>
  <si>
    <t>SF-04672</t>
  </si>
  <si>
    <t>Rosqueadeira elétrica para tubos metálicos de 1/2" a 4"</t>
  </si>
  <si>
    <t>SF-04673</t>
  </si>
  <si>
    <t>Resistência elétrica para chuveiro</t>
  </si>
  <si>
    <t>SF-04674</t>
  </si>
  <si>
    <t>Pressurizador para acoplamento em chuveiro elétrico, tensão 220v, pressão máxima de 25kPa</t>
  </si>
  <si>
    <t>Técnico em Eletromecânica Plantonista (diurno)</t>
  </si>
  <si>
    <t>SF-04676</t>
  </si>
  <si>
    <t>Alinhamento a laser de eixo de bomba mancalizada e motor</t>
  </si>
  <si>
    <t>SF-04677</t>
  </si>
  <si>
    <t>Martelete perfurador (2 Kg)</t>
  </si>
  <si>
    <t>Supervisor(a) Técnico(a) - Apoio a Fiscalização e Segurança do Trabalho</t>
  </si>
  <si>
    <t>Supervisor(a) de Obras e Manutenção – Apoio de Campo – Edificações</t>
  </si>
  <si>
    <t>Luminária T8 2 x 32 W de sobrepor</t>
  </si>
  <si>
    <t>SF-04681</t>
  </si>
  <si>
    <t>Instalação de perfil metálico base de painel de vidro temperado reaproveitado - Biblioteca</t>
  </si>
  <si>
    <t>SF-04682</t>
  </si>
  <si>
    <t>Operador automático para porta de abrir de vidro temperado</t>
  </si>
  <si>
    <t>SF-04683</t>
  </si>
  <si>
    <t>Luva de transição CPVC 3/4” x 28 mm</t>
  </si>
  <si>
    <t>Conector CPVC 22 mm x 1/2”</t>
  </si>
  <si>
    <t>Bucha de redução em ferro galvanizado 1" x 3/4”</t>
  </si>
  <si>
    <t>Luminária T8 2 x 32 W de embutir</t>
  </si>
  <si>
    <t>Luminária T8 2 x 16 W de sobrepor</t>
  </si>
  <si>
    <t>Luminária T8 2 x 16 W de embutir</t>
  </si>
  <si>
    <t>SF-04689</t>
  </si>
  <si>
    <t xml:space="preserve">Luminária T8 2 x 32 W de sobrepor </t>
  </si>
  <si>
    <t>SF-04690</t>
  </si>
  <si>
    <t xml:space="preserve">Luminária T8 2 x 32 W de embutir </t>
  </si>
  <si>
    <t>SF-04691</t>
  </si>
  <si>
    <t xml:space="preserve">Luminária T8 2 x 16 W de sobrepor </t>
  </si>
  <si>
    <t>SF-04692</t>
  </si>
  <si>
    <t xml:space="preserve">Luminária T8 2 x 16 W de embutir </t>
  </si>
  <si>
    <t>SF-04693</t>
  </si>
  <si>
    <t>Quadro de transferência automática para sistemas auxiliares – QTA-309</t>
  </si>
  <si>
    <t>SF-04694</t>
  </si>
  <si>
    <t>Grupo motor-gerador 212 kVA – SQS 309</t>
  </si>
  <si>
    <t>SF-04695</t>
  </si>
  <si>
    <t>Projeto Executivo de Instalação de Gerador de Emergência na SQS 309</t>
  </si>
  <si>
    <t>SF-04696</t>
  </si>
  <si>
    <t>Manutenção on site – Grupo motor-gerador – SQS 309</t>
  </si>
  <si>
    <t>SF-04697</t>
  </si>
  <si>
    <t>Quadro elétrico TTA – Quadro geral de serviços – SQS 309</t>
  </si>
  <si>
    <t>SF-04698</t>
  </si>
  <si>
    <t>Quadro elétrico TTA – Quadro de medição de serviços – SQS 309</t>
  </si>
  <si>
    <t>SF-04699</t>
  </si>
  <si>
    <t>Quadro elétrico TTA – Quadro geral de entrada – SQS 309</t>
  </si>
  <si>
    <t>Tê de redução em aço-carbono galvanizado 3” x 2 1/2” – Água Potável e Combate a Incêndio</t>
  </si>
  <si>
    <t>Tê de redução em aço-carbono galvanizado 1 1/4”x 3/4” – Água Potável e Combate a Incêndio</t>
  </si>
  <si>
    <t>SF-04702</t>
  </si>
  <si>
    <t>Persiana vertical em tecido sintético COM blecaute de 90mm, cor branca ou bege - Bloco 12</t>
  </si>
  <si>
    <t>Tampão retangular em FFN, modelo R2, classe B125, abertura articulada, 110 cm x 55 cm</t>
  </si>
  <si>
    <t>SF-04704</t>
  </si>
  <si>
    <t>Estudo de Viabilidade Técnica Estrutural, Projeto Executivo, Projeto de Segurança do Trabalho, Planejamento da Obra e Plano de Manutenção – Substituição da Plataforma Elevatória do Bloco 14 por um Elevador sem Casa de Máquinas</t>
  </si>
  <si>
    <t>SF-04705</t>
  </si>
  <si>
    <t>Estudo de Viabilidade Técnica Estrutural, Laudo Técnico, Projeto Executivo, Projeto de Segurança do Trabalho, Planejamento da Obra e Plano de Manutenção – Substituição do Elevador Hidráulico do INTERLEGIS por um Elevador sem Casa de Máquinas</t>
  </si>
  <si>
    <t>SF-04706</t>
  </si>
  <si>
    <t>Estudo de Viabilidade Técnica Estrutural, Laudo Técnico, Projeto Executivo, Projeto de Segurança do Trabalho, Planejamento da Obra e Plano de Manutenção – Substituição do Elevador do PRODASEN por um Elevador sem Casa de Máquinas</t>
  </si>
  <si>
    <t>SF-04707</t>
  </si>
  <si>
    <t>Estudo de Viabilidade Técnica Estrutural, Laudo Técnico, Projeto Executivo, Projeto de Segurança do Trabalho, Planejamento da Obra e Plano de Manutenção – Modernização de Elevador Social da Chapelaria</t>
  </si>
  <si>
    <t>SF-04708</t>
  </si>
  <si>
    <t>Estudo de Viabilidade Técnica Estrutural, Laudo Técnico, Projeto Executivo, Projeto de Segurança do Trabalho, Planejamento da Obra e Plano de Manutenção – Modernização do Elevador do Bloco 13</t>
  </si>
  <si>
    <t>SF-04709</t>
  </si>
  <si>
    <t>Estudo de Viabilidade Técnica Estrutural, Laudo Técnico, Projeto Executivo, Projeto de Segurança do Trabalho, Planejamento da Obra e Plano de Manutenção – Modernização de Elevadores de Acessibilidade Sem Casa de Máquinas no Bloco C - Anexo II</t>
  </si>
  <si>
    <t>SF-04710</t>
  </si>
  <si>
    <t>Substituição  da Plataforma Elevatória do Bloco 14 por um Elevador sem Casa de Máquinas</t>
  </si>
  <si>
    <t>SF-04711</t>
  </si>
  <si>
    <t>Substituição do elevador do INTERLEGIS por um Elevador sem Casa de Máquinas</t>
  </si>
  <si>
    <t>SF-04712</t>
  </si>
  <si>
    <t>Substituição do elevador do PRODASEN por um Elevador sem Casa de Máquinas</t>
  </si>
  <si>
    <t>SF-04713</t>
  </si>
  <si>
    <t>Modernização do Elevador Social da Chapelaria</t>
  </si>
  <si>
    <t>SF-04714</t>
  </si>
  <si>
    <t>Modernização do Elevador do Bloco 13</t>
  </si>
  <si>
    <t>SF-04715</t>
  </si>
  <si>
    <t>Modernização dos Elevadores de Acessibilidade sem Casa de Máquinas nas Alas Alexandre Costa e Nilo Coelho do Bloco C - Anexo II</t>
  </si>
  <si>
    <t>Projeto Executivo para Galpão da SPATR - Estrutural</t>
  </si>
  <si>
    <t>Projeto Executivo para Galpão da SPATR - Fundações</t>
  </si>
  <si>
    <t>Projeto Executivo para Galpão da SPATR - Hidrossanitário e Águas Pluviais</t>
  </si>
  <si>
    <t>Gradil metálico com portão de correr e/ou de abrir</t>
  </si>
  <si>
    <t>Alambrado em tela de arame galvanizado</t>
  </si>
  <si>
    <t>Pintura para sinalização e demarcação viária horizontal com plástico a frio tipo III, aplicação manual por arraste, espessura aprox. 1 mm</t>
  </si>
  <si>
    <t>SF-04725</t>
  </si>
  <si>
    <t>Medidor de umidade em superfícies por meio de eletrodos para detecção de infiltrações</t>
  </si>
  <si>
    <t>Pintura para sinalização e demarcação viária horizontal com plástico a frio tipo IV, aplicação manual por extrusão, espessura de 1,5 mm a 3,0 mm</t>
  </si>
  <si>
    <t>SF-04727</t>
  </si>
  <si>
    <t>Tampa retangular em FF, carga 1 t, abertura articulada, 300 mm x 400 mm</t>
  </si>
  <si>
    <t>SF-04728</t>
  </si>
  <si>
    <t>Tampa retangular em FF, modelo T13, carga 1 t, com travas (segurança registro), 280 mm x 380 mm</t>
  </si>
  <si>
    <t>SF-04729</t>
  </si>
  <si>
    <t>Cap PVC roscável 3/4"</t>
  </si>
  <si>
    <t>Cap PVC roscável 1"</t>
  </si>
  <si>
    <t>Grelha em FFN, classe B125, forma retangular, modelo linear quadriculada, abertura simples, com caixilho, 200 mm x 1000 mm</t>
  </si>
  <si>
    <t>Grelha em FFN, classe B125, forma retangular, modelo linear quadriculada, abertura simples, com caixilho, 300 mm x 1000 mm</t>
  </si>
  <si>
    <t>SF-04733</t>
  </si>
  <si>
    <t>Grelha em FFN, classe C250, forma retangular, modelo linear quadriculada, abertura simples, com caixilho, 200 mm x 1000 mm</t>
  </si>
  <si>
    <t>SF-04734</t>
  </si>
  <si>
    <t>Grelha em FFN, classe B125, forma retangular, modelo linear quadriculada, abertura simples, com caixilho, 400 mm x 1000 mm</t>
  </si>
  <si>
    <t>Grelha em FFN, classe B125, forma retangular, modelo linear estriada, abertura simples, com caixilho, 150 mm x 1000 mm</t>
  </si>
  <si>
    <t>SF-04736</t>
  </si>
  <si>
    <t>Grelha em FFN, classe B125, forma retangular, modelo linear estriada, abertura simples, com caixilho, 200 mm x 1000 mm</t>
  </si>
  <si>
    <t>SF-04737</t>
  </si>
  <si>
    <t>Grelha em FFN, classe B125, forma retangular, modelo linear estriada, abertura simples, com caixilho, 300 mm x 1000 mm</t>
  </si>
  <si>
    <t>SF-04738</t>
  </si>
  <si>
    <t>Grelha em FFN, classe B125, forma retangular, modelo linear estriada, abertura simples, com caixilho, 400 mm x 1000 mm</t>
  </si>
  <si>
    <t>SF-04739</t>
  </si>
  <si>
    <t>Grelha em FFN, classe B125, forma retangular, modelo linear estriada, abertura simples, com caixilho, 600 mm x 1000 mm</t>
  </si>
  <si>
    <t>SF-04740</t>
  </si>
  <si>
    <t>Grelha em FFN, classe B125, forma retangular, modelo boca de lobo, abertura simples ou articulada, com caixilho, 300 mm x 900 mm</t>
  </si>
  <si>
    <t>SF-04741</t>
  </si>
  <si>
    <t>Grelha em FFN, classe C250, forma retangular, modelo boca de lobo, abertura simples ou articulada, com caixilho, 300 mm x 900 mm</t>
  </si>
  <si>
    <t>Estrutura metálica em aço ASTM A572</t>
  </si>
  <si>
    <t>SF-04743</t>
  </si>
  <si>
    <t>Registro de esfera PVC roscável, com corpo dividido, com volante, 3”</t>
  </si>
  <si>
    <t>Motobomba Trash (para água suja) auto escorvante, motor gasolina de 6,5 HP</t>
  </si>
  <si>
    <t>Cadeado simples em latão maciço, 35 mm, haste cementada (não longa), em aço temperado com diâmetro de aprox. 6,0 mm</t>
  </si>
  <si>
    <t>Bucha de Redução de Ferro Galvanizado, com rosca, de 1 1/2” x 1 1/4”</t>
  </si>
  <si>
    <t>Bucha de redução em ferro galvanizado 2 1/2" x 1 1/2"</t>
  </si>
  <si>
    <t>Bucha de redução em ferro galvanizado 2 1/2" x 1 1/4"</t>
  </si>
  <si>
    <t>Bucha de redução em ferro galvanizado 2" x 1 1/4"</t>
  </si>
  <si>
    <t>SF-04753</t>
  </si>
  <si>
    <t>Painel acústico de madeira - Auditório Interlegis</t>
  </si>
  <si>
    <t>SF-04754</t>
  </si>
  <si>
    <t>Cortina tipo blecaute - Auditório Interlegis</t>
  </si>
  <si>
    <t>Inspeção da integridade em estrutura portante de concreto por percussão</t>
  </si>
  <si>
    <t>Poltronas de auditório P.M.R./P.O.</t>
  </si>
  <si>
    <t>Sinalização visual para degraus</t>
  </si>
  <si>
    <t>Projeto executivo de revestimento – plataforma de cobertura do Edifício Principal</t>
  </si>
  <si>
    <t>SF-04759</t>
  </si>
  <si>
    <t>Tratamento de grades do poço de ventilação e adaptações</t>
  </si>
  <si>
    <t>Demolição da camada de regularização de impermeabilização</t>
  </si>
  <si>
    <t>SF-04761</t>
  </si>
  <si>
    <t>Laudo de estabilidade estrutural - Anexo 2 Bloco A</t>
  </si>
  <si>
    <t>SF-04762</t>
  </si>
  <si>
    <t>Reparos estruturais na estrutura portante do Edifício Principal</t>
  </si>
  <si>
    <t>Reforço estrutural em manta de fibra de carbono</t>
  </si>
  <si>
    <t>SF-04764</t>
  </si>
  <si>
    <t>Levantamento como construído – Plataforma de cobertura do Ed. Principal</t>
  </si>
  <si>
    <t>Quadro elétrico TTA para uso ao tempo com 10 (dez) disjuntores trifásicos terminais</t>
  </si>
  <si>
    <t>Quadro elétrico TTA para uso ao tempo com 20 (vinte) disjuntores trifásicos terminais</t>
  </si>
  <si>
    <t>Projeto de engenharia elétrica - infraestrutura para carregadores de veículos elétricos no CASF</t>
  </si>
  <si>
    <t>Locação de cobertura impermeável (tenda) com blecaute, estruturada em metalon</t>
  </si>
  <si>
    <t>Bloco vazado de concreto simples com 02 furos (19x19x39 cm - Classe C)</t>
  </si>
  <si>
    <t>Tachão viário bidirecional em plástico injetado, com elemento refletivo prismático</t>
  </si>
  <si>
    <t>Tachão viário monodirecional em plástico injetado, com elemento refletivo prismático</t>
  </si>
  <si>
    <t>Tachinha viária bidirecional em resina sintética, com 1 pino de fixação, lente tipo III</t>
  </si>
  <si>
    <t>Tachinha viária monodirecional em resina sintética, com 1 pino de fixação, lente tipo III</t>
  </si>
  <si>
    <t>Corte em forro de gesso ou drywall</t>
  </si>
  <si>
    <t>Carpete Marrom Camelo / Ocre para o Auditório Petrônio Portela</t>
  </si>
  <si>
    <t>Demolição de cerca metálica e alambrados</t>
  </si>
  <si>
    <t>SF-04777</t>
  </si>
  <si>
    <t>Remoção de Antena de Transmissão</t>
  </si>
  <si>
    <t>SF-04778</t>
  </si>
  <si>
    <t>Restauração de janela curva de madeira da cabine do Auditório Petrônio Portela</t>
  </si>
  <si>
    <t>SF-04779</t>
  </si>
  <si>
    <t>Instalação de Antena de Transmissão Reaproveitada</t>
  </si>
  <si>
    <t>Remoção de cadeiras fixas ou poltronas</t>
  </si>
  <si>
    <t>SF-04781</t>
  </si>
  <si>
    <t>Realocação de painel artístico madeira laqueada - Athos Bulcão</t>
  </si>
  <si>
    <t>Piso metálico para áreas externas</t>
  </si>
  <si>
    <t>Forro de gesso reforçado</t>
  </si>
  <si>
    <t>SF-04785</t>
  </si>
  <si>
    <t>Tratamento de grades do poço de ventilação e adaptações - preparação para zincagem</t>
  </si>
  <si>
    <t>SF-04786</t>
  </si>
  <si>
    <t>Tratamento de grades do poço de ventilação e adaptações - zincagem</t>
  </si>
  <si>
    <t>SF-04787</t>
  </si>
  <si>
    <t>Plano de trabalho para projeto de restauração de fachada-cortina</t>
  </si>
  <si>
    <t>SF-04788</t>
  </si>
  <si>
    <t>Levantamento planialtimétrico com objetivo de restauração de esquadrias</t>
  </si>
  <si>
    <t>SF-04789</t>
  </si>
  <si>
    <t>Levantamento como construído (as-built) de fachada-cortina</t>
  </si>
  <si>
    <t>SF-04790</t>
  </si>
  <si>
    <t>Mapeamento de danos de fachada-cortina</t>
  </si>
  <si>
    <t>SF-04791</t>
  </si>
  <si>
    <t>Análise operacional de sistema de cortina de vidro</t>
  </si>
  <si>
    <t>SF-04792</t>
  </si>
  <si>
    <t>Análise operacional do sistema de brise-soleil</t>
  </si>
  <si>
    <t>SF-04793</t>
  </si>
  <si>
    <t>Relatório-diagnóstico e cenários de intervenção em fachada-cortina</t>
  </si>
  <si>
    <t>SF-04794</t>
  </si>
  <si>
    <t>Análise estrutural do sistema de fachada-cortina e brise-soleil do Anexo 1</t>
  </si>
  <si>
    <t>SF-04795</t>
  </si>
  <si>
    <t>Ensaios Estruturais e verificações dos Sistemas de Fachada-cortina e Brise-Soleil do Anexo 1</t>
  </si>
  <si>
    <t>SF-04796</t>
  </si>
  <si>
    <t>Projeto básico de recuperação estrutural e restauração de fachada-cortina</t>
  </si>
  <si>
    <t>SF-04797</t>
  </si>
  <si>
    <t>Projeto de adaptação/modificação/reforço da estrutura e suas fundações para os novos usos – Anexo 2 Bloco A</t>
  </si>
  <si>
    <t>Porta corta-fogo dupla (total 160 cm x 210 cm) com acessórios</t>
  </si>
  <si>
    <t>Técnico(a) de Edificações – Manutenção Hidrossanitária</t>
  </si>
  <si>
    <t>Telha trapezoidal em aço galvanizado ou galvalume (e=0,65 mm) - altura 40 mm</t>
  </si>
  <si>
    <t>Cumeeira em aço galvanizado ou galvalume para telha trapezoidal (e=0,65 mm) - altura 40 mm</t>
  </si>
  <si>
    <t>Telha trapezoidal em aço galvanizado ou galvalume (e=0,65 mm) - altura 25 mm</t>
  </si>
  <si>
    <t>Cumeeira em aço galvanizado ou galvalume para telha trapezoidal (e=0,65 mm) - altura 25 mm</t>
  </si>
  <si>
    <t>SF-04804</t>
  </si>
  <si>
    <t>Alicate bomba d’água 16” - mordentes curvos e dentados</t>
  </si>
  <si>
    <t>SF-04805</t>
  </si>
  <si>
    <t>Chave de corrente 18"</t>
  </si>
  <si>
    <t>SF-04806</t>
  </si>
  <si>
    <t>Chave de corrente 24"</t>
  </si>
  <si>
    <t>SF-04807</t>
  </si>
  <si>
    <t>Chaves para válvula de descarga</t>
  </si>
  <si>
    <t>SF-04808</t>
  </si>
  <si>
    <t>Alinhador a laser para bomba de mancal</t>
  </si>
  <si>
    <t>SF-04809</t>
  </si>
  <si>
    <t>Boroscópio (câmera de inspeção) industrial</t>
  </si>
  <si>
    <t>SF-04810</t>
  </si>
  <si>
    <t>Desentupidora por hidrojateamento</t>
  </si>
  <si>
    <t>SF-04811</t>
  </si>
  <si>
    <t>Detector de materiais (scanner de parede)</t>
  </si>
  <si>
    <t>SF-04812</t>
  </si>
  <si>
    <t>Calços em aço para alinhamento de bomba de mancal</t>
  </si>
  <si>
    <t>Varredura</t>
  </si>
  <si>
    <t>Imprimação</t>
  </si>
  <si>
    <t>Pavimentação com Concreto Asfáltico Usinado a Quente (CAUQ)</t>
  </si>
  <si>
    <t>t</t>
  </si>
  <si>
    <t>Corrimão duplo em aço inox - fixação no piso</t>
  </si>
  <si>
    <t>Placa braille para corrimão</t>
  </si>
  <si>
    <t>Placa de estacionamento exclusivo - idoso ou cadeirante</t>
  </si>
  <si>
    <t>Limitador de vagas de estacionamento</t>
  </si>
  <si>
    <t>Mapa tátil</t>
  </si>
  <si>
    <t>Placas de sinalização de emergência</t>
  </si>
  <si>
    <t>Piso tátil em inox – fixação com parafuso</t>
  </si>
  <si>
    <t>Porta corta-fogo 1,00 m x 2,10 m</t>
  </si>
  <si>
    <t>Barra antipânico</t>
  </si>
  <si>
    <t>SF-04825</t>
  </si>
  <si>
    <t>Escopo (instrumento óptico) para Boroscópio</t>
  </si>
  <si>
    <t>Corrimão duplo em aço inox - fixação na parede</t>
  </si>
  <si>
    <t>Piso de madeira</t>
  </si>
  <si>
    <t>Condutor 4 mm² - 0,6/1,0 kV</t>
  </si>
  <si>
    <t>Piso tátil alerta em concreto</t>
  </si>
  <si>
    <t>Fresagem descontínua</t>
  </si>
  <si>
    <t>Fechadura interna maçaneta tubular para porta em divisória</t>
  </si>
  <si>
    <t>Instalação de fechadura/puxador de porta reaproveitados em divisórias</t>
  </si>
  <si>
    <t>Dobradiça para porta de divisória</t>
  </si>
  <si>
    <t>Luminária arandela (tartaruga) em alumínio</t>
  </si>
  <si>
    <t>Projeto Executivo de Iluminação</t>
  </si>
  <si>
    <t>Mesa de Iluminação DMX 384 canais</t>
  </si>
  <si>
    <t>Rack de iluminação dimmer DMX</t>
  </si>
  <si>
    <t>Luminária LED spot dimerizável</t>
  </si>
  <si>
    <t>Refletor Led COB 200W</t>
  </si>
  <si>
    <t xml:space="preserve">Refletor Elipsoidal LED </t>
  </si>
  <si>
    <t>Cabo DMX</t>
  </si>
  <si>
    <t>Placas de concreto (fachada do Anexo 2)</t>
  </si>
  <si>
    <t>SF-04843</t>
  </si>
  <si>
    <t>Escadas metálicas de emergência para o auditório Petrônio Portela</t>
  </si>
  <si>
    <t>SF-04844</t>
  </si>
  <si>
    <t>Relatório diagnóstico-propositivo para restauração e conservação de painéis em placas de concreto do artista Paulo Werneck</t>
  </si>
  <si>
    <t>Barra chata de alumínio 7/8" x 1/8"</t>
  </si>
  <si>
    <t>Condulete de PVC rígido de 1.1/4”</t>
  </si>
  <si>
    <t>Suporte-guia simples com roldana em poliprolineno, H=200 mm</t>
  </si>
  <si>
    <t>SF-04853</t>
  </si>
  <si>
    <t>Estrutura metálica - cobertura extra Bloco 9</t>
  </si>
  <si>
    <t>SF-04854</t>
  </si>
  <si>
    <t xml:space="preserve">Carpete Marrom Camelo / Ocre para o Auditório Petrônio Portela </t>
  </si>
  <si>
    <t>SF-04855</t>
  </si>
  <si>
    <t xml:space="preserve">Carpete Verde Escuro / Musgo para o Auditório Petrônio Portela </t>
  </si>
  <si>
    <t>Carpete Verde Escuro / Musgo para o Auditório Petrônio Portela</t>
  </si>
  <si>
    <t>SF-04857</t>
  </si>
  <si>
    <t>Bateria VRLA 12V / 120 Ah para nobreak Schneider Electric Galaxy 5500 60kVA</t>
  </si>
  <si>
    <t>SF-04858</t>
  </si>
  <si>
    <t>Substituição de banco de 32 baterias para nobreak Schneider Electric Galaxy 5500 60kVA</t>
  </si>
  <si>
    <t>SF-04859</t>
  </si>
  <si>
    <t>Instalação de tela retrátil nas bancadas das comissões - Adequações de marcenaria</t>
  </si>
  <si>
    <t>SF-04860</t>
  </si>
  <si>
    <t>Projeto executivo de adaptação/modificação/reforço da estrutura da cobertura para os novos usos Bloco 4, 5, 8 e 9 (SEGRAF)</t>
  </si>
  <si>
    <t>SF-04861</t>
  </si>
  <si>
    <t>Reforço estrutural para treliça espacial Bloco 4, 5, 8 e 9 (SEGRAF)</t>
  </si>
  <si>
    <t>SF-04862</t>
  </si>
  <si>
    <t>Mapa tátil Anexo 2</t>
  </si>
  <si>
    <t>SF-04863</t>
  </si>
  <si>
    <t>Piso tátil em inox – alerta - fixação com parafuso</t>
  </si>
  <si>
    <t>SF-04864</t>
  </si>
  <si>
    <t>Piso tátil em inox – alerta - fixação com cola</t>
  </si>
  <si>
    <t>SF-04865</t>
  </si>
  <si>
    <t>Piso tátil em inox – alerta - fixação com grampo</t>
  </si>
  <si>
    <t>SF-04866</t>
  </si>
  <si>
    <t>Piso tátil em inox – direcional - fixação com parafuso</t>
  </si>
  <si>
    <t>SF-04867</t>
  </si>
  <si>
    <t>Piso tátil em inox – direcional - fixação com cola</t>
  </si>
  <si>
    <t>SF-04868</t>
  </si>
  <si>
    <t>Análise estrutural do sistema de fachada-cortina do Edíficio Principal</t>
  </si>
  <si>
    <t>SF-04869</t>
  </si>
  <si>
    <t>Análise operacional de sistema de fachada-cortina</t>
  </si>
  <si>
    <t>SF-04870</t>
  </si>
  <si>
    <t xml:space="preserve">Relatório-diagnóstico e cenários de intervenção em fachada-cortina </t>
  </si>
  <si>
    <t>SF-04871</t>
  </si>
  <si>
    <t>Ensaios Estruturais e verificações do Sistema de Fachada-cortina do Edifício Principal</t>
  </si>
  <si>
    <t>SF-04872</t>
  </si>
  <si>
    <t xml:space="preserve">Levantamento como construído (as-built) de fachada-cortina </t>
  </si>
  <si>
    <t>SF-04873</t>
  </si>
  <si>
    <t>Levantamento planialtimétrico com objetivo de restauração de esquadrias.</t>
  </si>
  <si>
    <t>SF-04874</t>
  </si>
  <si>
    <t xml:space="preserve">Mapeamento de danos de fachada-cortina </t>
  </si>
  <si>
    <t>SF-04875</t>
  </si>
  <si>
    <t xml:space="preserve">Projeto básico de recuperação estrutural e restauração de fachada-cortina </t>
  </si>
  <si>
    <t>SF-04876</t>
  </si>
  <si>
    <t>Detector precoce de fumaça por aspiração</t>
  </si>
  <si>
    <t xml:space="preserve"> </t>
  </si>
  <si>
    <t>CUSTO DIRETO</t>
  </si>
  <si>
    <t>BENEFÍCIOS E DESPESAS INDIRETAS - BDI</t>
  </si>
  <si>
    <t>BDI Edificações</t>
  </si>
  <si>
    <t>BDI mero fornecimento</t>
  </si>
  <si>
    <t>Componentes do BDI</t>
  </si>
  <si>
    <t>Cálculo sem CPRB</t>
  </si>
  <si>
    <t>não-desonerado</t>
  </si>
  <si>
    <t>% considerado</t>
  </si>
  <si>
    <t>AC</t>
  </si>
  <si>
    <t>S+G</t>
  </si>
  <si>
    <t>R</t>
  </si>
  <si>
    <t>DF</t>
  </si>
  <si>
    <t>PIS</t>
  </si>
  <si>
    <t>COFINS</t>
  </si>
  <si>
    <t>CPRB</t>
  </si>
  <si>
    <t>ISS</t>
  </si>
  <si>
    <r>
      <t xml:space="preserve">Fontes: </t>
    </r>
    <r>
      <rPr>
        <sz val="12"/>
        <rFont val="Arial"/>
        <family val="2"/>
      </rPr>
      <t>Acórdãos 2.369/2011-TCU-Plenário e 2.622/2013-TCU-Plenário.</t>
    </r>
  </si>
  <si>
    <t>ENGENHEIRO CIVIL DE OBRA PLENO COM ENCARGOS COMPLEMENTARES</t>
  </si>
  <si>
    <t>PONTALETE *7,5 X 7,5* CM EM PINUS, MISTA OU EQUIVALENTE DA REGIAO - BRUTA</t>
  </si>
  <si>
    <t>CARPINTEIRO DE FORMAS COM ENCARGOS COMPLEMENTARES</t>
  </si>
  <si>
    <t>SERVENTE COM ENCARGOS COMPLEMENTARES</t>
  </si>
  <si>
    <t>TELA PLASTICA LARANJA, TIPO TAPUME PARA SINALIZACAO, MALHA RETANGULAR, ROLO 1.20 X 50 M (L X C)</t>
  </si>
  <si>
    <t>CORDA DE POLIAMIDA 12 MM TIPO BOMBEIRO, PARA TRABALHO EM ALTURA</t>
  </si>
  <si>
    <t>100M</t>
  </si>
  <si>
    <t>PREGO DE ACO POLIDO COM CABECA 18 X 27 (2 1/2 X 10)</t>
  </si>
  <si>
    <t>LOCACAO DE ANDAIME METALICO TUBULAR DE ENCAIXE, TIPO DE TORRE, CADA PAINEL COM LARGURA DE 1 ATE 1,5 M E ALTURA DE *1,00* M, INCLUINDO DIAGONAL, BARRAS DE LIGACAO, SAPATAS OU RODIZIOS E DEMAIS ITENS NECESSARIOS A MONTAGEM (NAO INCLUI INSTALACAO)</t>
  </si>
  <si>
    <t>MXMES</t>
  </si>
  <si>
    <t>Projetos de recuperação das esquadrias do EDPR</t>
  </si>
  <si>
    <t>TRANSPORTE COM CAMINHÃO BASCULANTE DE 6 M³, EM VIA URBANA PAVIMENTADA, DMT ATÉ 30 KM (UNIDADE: M3XKM). AF_07/2020</t>
  </si>
  <si>
    <t>CORTE E DOBRA DE AÇO CA-60, DIÂMETRO DE 4,2 MM. AF_06/2022</t>
  </si>
  <si>
    <t>CARGA, MANOBRA E DESCARGA DE SOLOS E MATERIAIS GRANULARES EM CAMINHÃO BASCULANTE 6 M³ - CARGA COM PÁ CARREGADEIRA (CAÇAMBA DE 1,7 A 2,8 M³ / 128 HP) E DESCARGA LIVRE (UNIDADE: M3). AF_07/2020</t>
  </si>
  <si>
    <t>ARGAMASSA TRAÇO 1:4 (EM VOLUME DE CIMENTO E AREIA MÉDIA ÚMIDA) PARA CONTRAPISO, PREPARO MECÂNICO COM BETONEIRA 400 L. AF_08/2019</t>
  </si>
  <si>
    <t>FABRICAÇÃO DE FÔRMA PARA PILARES E ESTRUTURAS SIMILARES, EM MADEIRA SERRADA, E=25 MM. AF_09/2020</t>
  </si>
  <si>
    <t>ARGAMASSA TRAÇO 1:3 (EM VOLUME DE CIMENTO E AREIA GROSSA ÚMIDA) PARA CHAPISCO CONVENCIONAL, PREPARO MECÂNICO COM BETONEIRA 400 L. AF_08/2019</t>
  </si>
  <si>
    <t>ARGAMASSA TRAÇO 1:2:8 (EM VOLUME DE CIMENTO, CAL E AREIA MÉDIA ÚMIDA) PARA EMBOÇO/MASSA ÚNICA/ASSENTAMENTO DE ALVENARIA DE VEDAÇÃO, PREPARO MECÂNICO COM BETONEIRA 400 L. AF_08/2019</t>
  </si>
  <si>
    <t>ARMAÇÃO DE LAJE DE ESTRUTURA CONVENCIONAL DE CONCRETO ARMADO UTILIZANDO AÇO CA-60 DE 4,2 MM - MONTAGEM. AF_06/2022</t>
  </si>
  <si>
    <t>CONCRETO FCK = 30MPA, TRAÇO 1:2,1:2,5 (EM MASSA SECA DE CIMENTO/ AREIA MÉDIA/ BRITA 1) - PREPARO MECÂNICO COM BETONEIRA 600 L. AF_05/2021</t>
  </si>
  <si>
    <t>CONCRETO FCK = 25MPA, TRAÇO 1:2,3:2,7 (EM MASSA SECA DE CIMENTO/ AREIA MÉDIA/ BRITA 1) - PREPARO MECÂNICO COM BETONEIRA 600 L. AF_05/2021</t>
  </si>
  <si>
    <t>GRAUTE FGK=20 MPA; TRAÇO 1:0,04:1,8:2,1 (EM MASSA SECA DE CIMENTO/ CAL/ AREIA GROSSA/ BRITA 0) - PREPARO MECÂNICO COM BETONEIRA 400 L. AF_09/2021</t>
  </si>
  <si>
    <t>CORTE E DOBRA DE AÇO CA-25, DIÂMETRO DE 16,0 MM. AF_06/2022</t>
  </si>
  <si>
    <t>CORTE E DOBRA DE AÇO CA-60, DIÂMETRO DE 5,0 MM. AF_06/2022</t>
  </si>
  <si>
    <t>CORTE E DOBRA DE AÇO CA-50, DIÂMETRO DE 16,0 MM. AF_06/2022</t>
  </si>
  <si>
    <t>JATEAMENTO ABRASIVO COM GRANALHA DE AÇO EM PERFIL METÁLICO EM FÁBRICA. AF_01/2020</t>
  </si>
  <si>
    <t>PINTURA COM TINTA ALQUÍDICA DE FUNDO (TIPO ZARCÃO) PULVERIZADA SOBRE PERFIL METÁLICO EXECUTADO EM FÁBRICA (POR DEMÃO). AF_01/2020_PE</t>
  </si>
  <si>
    <t>ARMAÇÃO DE LAJE DE ESTRUTURA CONVENCIONAL DE CONCRETO ARMADO UTILIZANDO AÇO CA-60 DE 5,0 MM - MONTAGEM. AF_06/2022</t>
  </si>
  <si>
    <t>FABRICAÇÃO DE FÔRMA PARA PILARES E ESTRUTURAS SIMILARES, EM CHAPA DE MADEIRA COMPENSADA RESINADA, E = 17 MM. AF_09/2020</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</si>
  <si>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</si>
  <si>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</si>
  <si>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ACO CA-60, 4,2 MM, OU 5,0 MM, OU 6,0 MM, OU 7,0 MM, VERGALHAO</t>
  </si>
  <si>
    <t>AJUDANTE DE ARMADOR COM ENCARGOS COMPLEMENTARES</t>
  </si>
  <si>
    <t>ARMADOR COM ENCARGOS COMPLEMENTARES</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</si>
  <si>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</si>
  <si>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</si>
  <si>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AREIA MEDIA - POSTO JAZIDA/FORNECEDOR (RETIRADO NA JAZIDA, SEM TRANSPORTE)</t>
  </si>
  <si>
    <t>CIMENTO PORTLAND COMPOSTO CP II-32</t>
  </si>
  <si>
    <t>OPERADOR DE BETONEIRA ESTACIONÁRIA/MISTURADOR COM ENCARGOS COMPLEMENTARES</t>
  </si>
  <si>
    <t>BETONEIRA CAPACIDADE NOMINAL DE 400 L, CAPACIDADE DE MISTURA 280 L, MOTOR ELÉTRICO TRIFÁSICO POTÊNCIA DE 2 CV, SEM CARREGADOR - CHP DIURNO. AF_05/2023</t>
  </si>
  <si>
    <t>BETONEIRA CAPACIDADE NOMINAL DE 400 L, CAPACIDADE DE MISTURA 280 L, MOTOR ELÉTRICO TRIFÁSICO POTÊNCIA DE 2 CV, SEM CARREGADOR - CHI DIURNO. AF_05/2023</t>
  </si>
  <si>
    <t>SARRAFO *2,5 X 7,5* CM EM PINUS, MISTA OU EQUIVALENTE DA REGIAO - BRUTA</t>
  </si>
  <si>
    <t>PREGO DE ACO POLIDO COM CABECA 17 X 21 (2 X 11)</t>
  </si>
  <si>
    <t>TABUA *2,5 X 30 CM EM PINUS, MISTA OU EQUIVALENTE DA REGIAO - BRUTA</t>
  </si>
  <si>
    <t>AJUDANTE DE CARPINTEIRO COM ENCARGOS COMPLEMENTARES</t>
  </si>
  <si>
    <t>SERRA CIRCULAR DE BANCADA COM MOTOR ELÉTRICO POTÊNCIA DE 5HP, COM COIFA PARA DISCO 10" - CHP DIURNO. AF_08/2015</t>
  </si>
  <si>
    <t>SERRA CIRCULAR DE BANCADA COM MOTOR ELÉTRICO POTÊNCIA DE 5HP, COM COIFA PARA DISCO 10" - CHI DIURNO. AF_08/2015</t>
  </si>
  <si>
    <t>AREIA GROSSA - POSTO JAZIDA/FORNECEDOR (RETIRADO NA JAZIDA, SEM TRANSPORTE)</t>
  </si>
  <si>
    <t>CAL HIDRATADA CH-I PARA ARGAMASSAS</t>
  </si>
  <si>
    <t>ESPACADOR / DISTANCIADOR CIRCULAR COM ENTRADA LATERAL, EM PLASTICO, PARA VERGALHAO *4,2 A 12,5* MM, COBRIMENTO 20 MM</t>
  </si>
  <si>
    <t>ARAME RECOZIDO 16 BWG, D = 1,65 MM (0,016 KG/M) OU 18 BWG, D = 1,25 MM (0,01 KG/M)</t>
  </si>
  <si>
    <t>PEDRA BRITADA N. 1 (9,5 A 19 MM) POSTO PEDREIRA/FORNECEDOR, SEM FRETE</t>
  </si>
  <si>
    <t>BETONEIRA CAPACIDADE NOMINAL DE 600 L, CAPACIDADE DE MISTURA 360 L, MOTOR ELÉTRICO TRIFÁSICO POTÊNCIA DE 4 CV, SEM CARREGADOR - CHP DIURNO. AF_05/2023</t>
  </si>
  <si>
    <t>BETONEIRA CAPACIDADE NOMINAL DE 600 L, CAPACIDADE DE MISTURA 360 L, MOTOR ELÉTRICO TRIFÁSICO POTÊNCIA DE 4 CV, SEM CARREGADOR - CHI DIURNO. AF_05/2023</t>
  </si>
  <si>
    <t>PEDRA BRITADA N. 0, OU PEDRISCO (4,8 A 9,5 MM) POSTO PEDREIRA/FORNECEDOR, SEM FRETE</t>
  </si>
  <si>
    <t>ACO CA-25, 10,0 MM, OU 12,5 MM, OU 16,0 MM, OU 20,0 MM, OU 25,0 MM, VERGALHAO</t>
  </si>
  <si>
    <t>ACO CA-50, 12,5 MM OU 16,0 MM, VERGALHAO</t>
  </si>
  <si>
    <t>GRANALHA DE ACO, ANGULAR (GRIT), PARA JATEAMENTO, PENEIRA 1,41 A 1,19 MM (SAE G16)</t>
  </si>
  <si>
    <t>OPERADOR JATO DE AREIA OU JATISTA COM ENCARGOS COMPLEMENTARES</t>
  </si>
  <si>
    <t>MÁQUINA JATO DE PRESSAO PORTÁTIL, CAMARA DE 1 SAIDA, CAPACIDADE 280 L, DIAMETRO 670 MM, BICO DE JATO CURTO VENTURI DE 5/16", MANGUEIRA DE 1" COM COMPRESSOR DE AR REBOCÁVEL 189 PCM E MOTOR DIESEL 63 CV - CHP DIURNO. AF_05/2023</t>
  </si>
  <si>
    <t>MÁQUINA JATO DE PRESSAO PORTÁTIL, CAMARA DE 1 SAIDA, CAPACIDADE 280 L, DIAMETRO 670 MM, BICO DE JATO CURTO VENTURI DE 5/16", MANGUEIRA DE 1" COM COMPRESSOR DE AR REBOCÁVEL 189 PCM E MOTOR DIESEL 63 CV - CHI DIURNO. AF_05/2023</t>
  </si>
  <si>
    <t>DILUENTE AGUARRAS</t>
  </si>
  <si>
    <t>FUNDO ANTICORROSIVO PARA METAIS FERROSOS (ZARCAO)</t>
  </si>
  <si>
    <t>PINTOR COM ENCARGOS COMPLEMENTARES</t>
  </si>
  <si>
    <t>CHAPA/PAINEL DE MADEIRA COMPENSADA RESINADA (MADEIRITE RESINADO ROSA) PARA FORMA DE CONCRETO, DE 2200 X 1100 MM, E = 17 MM</t>
  </si>
  <si>
    <t>M3XKM</t>
  </si>
  <si>
    <t>CHI</t>
  </si>
  <si>
    <t>SC25KG</t>
  </si>
  <si>
    <t>ARGAMASSA TRAÇO 1:3 (EM VOLUME DE CIMENTO E AREIA MÉDIA ÚMIDA), PREPARO MANUAL. AF_08/2019</t>
  </si>
  <si>
    <t>FIXAÇÃO DE DUTOS FLEXÍVEIS CIRCULARES, DIÂMETRO 109 MM OU 4", COM ABRAÇADEIRA METÁLICA FLEXÍVEL FIXADA DIRETAMENTE NA LAJE, SOMENTE MÃO DE OBRA. AF_09/2023</t>
  </si>
  <si>
    <t>FIXAÇÃO DE TUBOS HORIZONTAIS DE PVC ÁGUA, PVC ESGOTO, PVC ÁGUA PLUVIAL, CPVC, PPR, COBRE OU AÇO, DIÂMETROS MENORES OU IGUAIS A 40 MM, COM ABRAÇADEIRA METÁLICA RÍGIDA TIPO U PERFIL 1 1/4", FIXADA EM PERFILADO EM LAJE. AF_09/2023_PS</t>
  </si>
  <si>
    <t>FABRICAÇÃO DE FÔRMA PARA VIGAS, EM CHAPA DE MADEIRA COMPENSADA RESINADA, E = 17 MM. AF_09/2020</t>
  </si>
  <si>
    <t>FABRICAÇÃO DE ESCORAS DE VIGA DO TIPO GARFO, EM MADEIRA. AF_09/2020</t>
  </si>
  <si>
    <t>CONTRAPISO EM ARGAMASSA TRAÇO 1:4 (CIMENTO E AREIA), PREPARO MECÂNICO COM BETONEIRA 400 L, APLICADO EM ÁREAS SECAS SOBRE LAJE, ADERIDO, ACABAMENTO NÃO REFORÇADO, ESPESSURA 3CM. AF_07/2021</t>
  </si>
  <si>
    <t>ARGAMASSA TRAÇO 1:3 (EM VOLUME DE CIMENTO E AREIA GROSSA ÚMIDA) PARA CHAPISCO CONVENCIONAL, PREPARO MANUAL. AF_08/2019</t>
  </si>
  <si>
    <t>ARGAMASSA INDUSTRIALIZADA PARA CHAPISCO COLANTE, PREPARO COM MISTURADOR DE EIXO HORIZONTAL DE 300 KG. AF_08/2019</t>
  </si>
  <si>
    <t>ARGAMASSA TRAÇO 1:4 (EM VOLUME DE CIMENTO E AREIA MÉDIA ÚMIDA) PARA CONTRAPISO, PREPARO MANUAL. AF_08/2019</t>
  </si>
  <si>
    <t>ARGAMASSA TRAÇO 1:4 (EM VOLUME DE CIMENTO E AREIA MÉDIA ÚMIDA), PREPARO MANUAL. AF_08/2019</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</si>
  <si>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</si>
  <si>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</si>
  <si>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ARGAMASSA TRAÇO 1:2:9 (EM VOLUME DE CIMENTO, CAL E AREIA MÉDIA ÚMIDA) PARA EMBOÇO/MASSA ÚNICA/ASSENTAMENTO DE ALVENARIA DE VEDAÇÃO, PREPARO MECÂNICO COM BETONEIRA 600 L. AF_08/2019</t>
  </si>
  <si>
    <t>CORTE E DOBRA DE AÇO CA-50, DIÂMETRO DE 8,0 MM. AF_06/2022</t>
  </si>
  <si>
    <t>CORTE E DOBRA DE AÇO CA-50, DIÂMETRO DE 12,5 MM. AF_06/2022</t>
  </si>
  <si>
    <t>TRANSPORTE HORIZONTAL MANUAL, DE TUBO DE AÇO CARBONO LEVE OU MÉDIO, PRETO OU GALVANIZADO, COM DIÂMETRO MAIOR QUE 32 MM E MENOR OU IGUAL A 65 MM (UNIDADE: MXKM). AF_07/2019</t>
  </si>
  <si>
    <t>LANÇAMENTO COM USO DE BALDES, ADENSAMENTO E ACABAMENTO DE CONCRETO EM ESTRUTURAS. AF_02/2022</t>
  </si>
  <si>
    <t>TRANSPORTE COM CAMINHÃO BASCULANTE DE 6 M³, EM VIA URBANA PAVIMENTADA, DMT ATÉ 30 KM (UNIDADE: TXKM). AF_07/2020</t>
  </si>
  <si>
    <t>CONCRETO FCK = 20MPA, TRAÇO 1:2,7:3 (EM MASSA SECA DE CIMENTO/ AREIA MÉDIA/ BRITA 1) - PREPARO MECÂNICO COM BETONEIRA 600 L. AF_05/2021</t>
  </si>
  <si>
    <t>CONCRETO MAGRO PARA LASTRO, TRAÇO 1:4,5:4,5 (EM MASSA SECA DE CIMENTO/ AREIA MÉDIA/ BRITA 1) - PREPARO MECÂNICO COM BETONEIRA 400 L. AF_05/2021</t>
  </si>
  <si>
    <t>GRAUTE FGK=25 MPA; TRAÇO 1:0,02:1,3:1,6 (EM MASSA SECA DE CIMENTO/ CAL/ AREIA GROSSA/ BRITA 0) - PREPARO MECÂNICO COM BETONEIRA 400 L. AF_09/2021</t>
  </si>
  <si>
    <t>ARGAMASSA TRAÇO 1:3 (EM VOLUME DE CIMENTO E AREIA MÉDIA ÚMIDA) PARA CONTRAPISO, PREPARO MANUAL. AF_08/2019</t>
  </si>
  <si>
    <t>BATENTE PARA PORTA DE MADEIRA, PADRÃO MÉDIO - FORNECIMENTO E MONTAGEM. AF_12/2019</t>
  </si>
  <si>
    <t>ARGAMASSA TRAÇO 1:0,5:4,5 (EM VOLUME DE CIMENTO, CAL E AREIA MÉDIA ÚMIDA) PARA ASSENTAMENTO DE ALVENARIA, PREPARO MANUAL. AF_08/2019</t>
  </si>
  <si>
    <t>CONCRETO FCK = 15MPA, TRAÇO 1:3,4:3,5 (EM MASSA SECA DE CIMENTO/ AREIA MÉDIA/ BRITA 1) - PREPARO MECÂNICO COM BETONEIRA 600 L. AF_05/2021</t>
  </si>
  <si>
    <t>CONCRETO MAGRO PARA LASTRO, TRAÇO 1:4,5:4,5 (EM MASSA SECA DE CIMENTO/ AREIA MÉDIA/ BRITA 1) - PREPARO MECÂNICO COM BETONEIRA 600 L. AF_05/2021</t>
  </si>
  <si>
    <t>ARGAMASSA TRAÇO 1:4 (EM VOLUME DE CIMENTO E AREIA GROSSA ÚMIDA) PARA CHAPISCO CONVENCIONAL, PREPARO MECÂNICO COM BETONEIRA 400 L. AF_08/2019</t>
  </si>
  <si>
    <t>CARGA, MANOBRA E DESCARGA DE SOLOS E MATERIAIS GRANULARES EM CAMINHÃO BASCULANTE 6 M³ - CARGA COM PÁ CARREGADEIRA (CAÇAMBA DE 1,7 A 2,8 M³ / 128 HP) E DESCARGA LIVRE (UNIDADE: T). AF_07/2020</t>
  </si>
  <si>
    <t>MONTAGEM E DESMONTAGEM DE FÔRMA DE PILARES RETANGULARES E ESTRUTURAS SIMILARES, PÉ-DIREITO SIMPLES, EM MADEIRA SERRADA, 2 UTILIZAÇÕES. AF_09/2020</t>
  </si>
  <si>
    <t>CHAPISCO APLICADO EM ALVENARIAS E ESTRUTURAS DE CONCRETO INTERNAS, COM COLHER DE PEDREIRO. ARGAMASSA TRAÇO 1:3 COM PREPARO EM BETONEIRA 400L. AF_10/2022</t>
  </si>
  <si>
    <t>EMBOÇO, EM ARGAMASSA TRAÇO 1:2:8, PREPARO MECÂNICO, APLICADO MANUALMENTE EM PAREDES INTERNAS, PARA AMBIENTES COM ÁREA MENOR QUE 5M², E = 10MM, COM TALISCAS. AF_03/2024</t>
  </si>
  <si>
    <t>ALVENARIA DE VEDAÇÃO DE BLOCOS CERÂMICOS FURADOS NA VERTICAL DE 9X19X39 CM (ESPESSURA 9 CM) E ARGAMASSA DE ASSENTAMENTO COM PREPARO EM BETONEIRA. AF_12/2021</t>
  </si>
  <si>
    <t>ARGAMASSA TRAÇO 1:3 (EM VOLUME DE CIMENTO E AREIA MÉDIA ÚMIDA) PARA CONTRAPISO, PREPARO MECÂNICO COM BETONEIRA 400 L. AF_08/2019</t>
  </si>
  <si>
    <t>ARGAMASSA TRAÇO 1:1:6 (EM VOLUME DE CIMENTO, CAL E AREIA MÉDIA ÚMIDA) PARA EMBOÇO/MASSA ÚNICA/ASSENTAMENTO DE ALVENARIA DE VEDAÇÃO, PREPARO MANUAL. AF_08/2019</t>
  </si>
  <si>
    <t>ARGAMASSA TRAÇO 1:3 (EM VOLUME DE CIMENTO E AREIA MÉDIA ÚMIDA), PREPARO MECÂNICO COM BETONEIRA 400 L. AF_08/2019</t>
  </si>
  <si>
    <t>PEÇA RETANGULAR PRÉ-MOLDADA, VOLUME DE CONCRETO DE 30 A 100 LITROS, TAXA DE AÇO APROXIMADA DE 30KG/M³. AF_03/2024</t>
  </si>
  <si>
    <t>PREPARO DE FUNDO DE VALA COM LARGURA MENOR QUE 1,5 M, COM CAMADA DE BRITA, LANÇAMENTO MECANIZADO. AF_08/2020</t>
  </si>
  <si>
    <t>PEÇA RETANGULAR PRÉ-MOLDADA, VOLUME DE CONCRETO DE 10 A 30 LITROS, TAXA DE AÇO APROXIMADA DE 30KG/M³. AF_03/2024</t>
  </si>
  <si>
    <t>PREPARO DE FUNDO DE VALA COM LARGURA MENOR QUE 1,5 M, COM CAMADA DE BRITA, LANÇAMENTO MANUAL. AF_08/2020</t>
  </si>
  <si>
    <t>CONCRETO MAGRO PARA LASTRO, TRAÇO 1:4,5:4,5 (EM MASSA SECA DE CIMENTO/ AREIA MÉDIA/ BRITA 1) - PREPARO MANUAL. AF_05/2021</t>
  </si>
  <si>
    <t>MARCAÇÃO DE PONTOS EM GABARITO OU CAVALETE. AF_03/2024</t>
  </si>
  <si>
    <t>GRAUTEAMENTO VERTICAL EM ALVENARIA ESTRUTURAL. AF_09/2021</t>
  </si>
  <si>
    <t>GRAUTEAMENTO DE CINTA SUPERIOR OU DE VERGA EM ALVENARIA ESTRUTURAL. AF_09/2021</t>
  </si>
  <si>
    <t>ARMAÇÃO VERTICAL DE ALVENARIA ESTRUTURAL; DIÂMETRO DE 10,0 MM. AF_09/2021</t>
  </si>
  <si>
    <t>ARMAÇÃO DE CINTA DE ALVENARIA ESTRUTURAL; DIÂMETRO DE 10,0 MM. AF_09/2021</t>
  </si>
  <si>
    <t>PREPARO DE FUNDO DE VALA COM LARGURA MAIOR OU IGUAL A 1,5 M E MENOR QUE 2,5 M (ACERTO DO SOLO NATURAL). AF_08/2020</t>
  </si>
  <si>
    <t>ARGAMASSA TRAÇO 1:1:6 (EM VOLUME DE CIMENTO, CAL E AREIA MÉDIA ÚMIDA) PARA EMBOÇO/MASSA ÚNICA/ASSENTAMENTO DE ALVENARIA DE VEDAÇÃO, PREPARO MECÂNICO COM BETONEIRA 400 L. AF_08/2019</t>
  </si>
  <si>
    <t>MONTAGEM DE ARMADURA DE ESTACAS, DIÂMETRO = 16,0 MM. AF_09/2021_PS</t>
  </si>
  <si>
    <t>TRANSPORTE COM CAMINHÃO BASCULANTE DE 6 M³, EM VIA URBANA EM REVESTIMENTO PRIMÁRIO (UNIDADE: M3XKM). AF_07/2020</t>
  </si>
  <si>
    <t>ARGAMASSA TRAÇO 1:2:9 (EM VOLUME DE CIMENTO, CAL E AREIA MÉDIA ÚMIDA) PARA EMBOÇO/MASSA ÚNICA/ASSENTAMENTO DE ALVENARIA DE VEDAÇÃO, PREPARO MECÂNICO COM BETONEIRA 400 L. AF_08/2019</t>
  </si>
  <si>
    <t>CARGA, MANOBRA E DESCARGA DE TUBOS METÁLICOS, DN MENOR OU IGUAL A 150 MM, EM CAMINHÃO CARROCERIA COM GUINDAUTO (MUNCK) 11,7 TM.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</si>
  <si>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</si>
  <si>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</si>
  <si>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CARGA, MANOBRA E DESCARGA DE TUBOS METÁLICOS, DN 200 MM, EM CAMINHÃO CARROCERIA COM GUINDAUTO (MUNCK) 11,7 TM. AF_07/2020</t>
  </si>
  <si>
    <t>ARGAMASSA TRAÇO 1:3 (EM VOLUME DE CIMENTO E AREIA MÉDIA ÚMIDA) COM ADIÇÃO DE IMPERMEABILIZANTE, PREPARO MECÂNICO COM BETONEIRA 400 L. AF_08/2019</t>
  </si>
  <si>
    <t>PREPARO DE FUNDO DE VALA COM LARGURA MENOR QUE 1,5 M (ACERTO DO SOLO NATURAL). AF_08/2020</t>
  </si>
  <si>
    <t>ARMAÇÃO PARA EXECUÇÃO DE RADIER, PISO DE CONCRETO OU LAJE SOBRE SOLO, COM USO DE TELA Q-92. AF_09/2021</t>
  </si>
  <si>
    <t>CONCRETO FCK = 20MPA, TRAÇO 1:2,7:3 (EM MASSA SECA DE CIMENTO/ AREIA MÉDIA/ BRITA 1) - PREPARO MECÂNICO COM BETONEIRA 400 L. AF_05/2021</t>
  </si>
  <si>
    <t>FABRICAÇÃO, MONTAGEM E DESMONTAGEM DE FÔRMA PARA VIGA BALDRAME, EM MADEIRA SERRADA, E=25 MM, 2 UTILIZAÇÕES. AF_01/2024</t>
  </si>
  <si>
    <t>LASTRO COM MATERIAL GRANULAR (PEDRA BRITADA N.1 E PEDRA BRITADA N.2), APLICADO EM PISOS OU LAJES SOBRE SOLO, ESPESSURA DE *10 CM*. AF_01/2024</t>
  </si>
  <si>
    <t>PREPARO DE FUNDO DE VALA COM LARGURA MENOR QUE 1,5 M, COM CAMADA DE AREIA, LANÇAMENTO MANUAL. AF_08/2020</t>
  </si>
  <si>
    <t>CONCRETO FCK = 15MPA, TRAÇO 1:3,4:3,4 (EM MASSA SECA DE CIMENTO/ AREIA MÉDIA/ SEIXO ROLADO) - PREPARO MANUAL. AF_05/2021</t>
  </si>
  <si>
    <t>PINTURA COM TINTA ALQUÍDICA DE ACABAMENTO (ESMALTE SINTÉTICO ACETINADO) PULVERIZADA SOBRE PERFIL METÁLICO EXECUTADO EM FÁBRICA (POR DEMÃO). AF_01/2020_PE</t>
  </si>
  <si>
    <t>TELHAMENTO COM TELHA ONDULADA DE FIBROCIMENTO E = 6 MM, COM RECOBRIMENTO LATERAL DE 1/4 DE ONDA PARA TELHADO COM INCLINAÇÃO MAIOR QUE 10°, COM ATÉ 2 ÁGUAS, INCLUSO IÇAMENTO. AF_07/2019</t>
  </si>
  <si>
    <t>CALHA EM CHAPA DE AÇO GALVANIZADO NÚMERO 24, DESENVOLVIMENTO DE 100 CM, INCLUSO TRANSPORTE VERTICAL. AF_07/2019</t>
  </si>
  <si>
    <t>SOLDA DE TOPO EM CHAPA/PERFIL/TUBO DE AÇO CHANFRADO, ESPESSURA=1/4''. AF_06/2018</t>
  </si>
  <si>
    <t>LIXAMENTO MANUAL EM SUPERFÍCIES METÁLICAS EM OBRA. AF_01/2020</t>
  </si>
  <si>
    <t>PEÇA RETANGULAR PRÉ-MOLDADA, VOLUME DE CONCRETO ACIMA DE 100 LITROS, TAXA DE AÇO APROXIMADA DE 30KG/M³. AF_03/2024</t>
  </si>
  <si>
    <t>CORTE E DOBRA DE AÇO CA-25, DIÂMETRO DE 8,0 MM. AF_06/2022</t>
  </si>
  <si>
    <t>CORTE E DOBRA DE AÇO CA-25, DIÂMETRO DE 12,5 MM. AF_06/2022</t>
  </si>
  <si>
    <t>MONTAGEM E DESMONTAGEM DE FÔRMA DE PILARES RETANGULARES E ESTRUTURAS SIMILARES, PÉ-DIREITO DUPLO, EM CHAPA DE MADEIRA COMPENSADA RESINADA, 2 UTILIZAÇÕES. AF_09/2020</t>
  </si>
  <si>
    <t>AJUDANTE ESPECIALIZADO COM ENCARGOS COMPLEMENTARES</t>
  </si>
  <si>
    <t>MECÂNICO DE REFRIGERAÇÃO COM ENCARGOS COMPLEMENTARES</t>
  </si>
  <si>
    <t>ABRACADEIRA EM ACO PARA AMARRACAO DE ELETRODUTOS, TIPO D, COM 1/2" E PARAFUSO DE FIXACAO</t>
  </si>
  <si>
    <t>AUXILIAR DE ENCANADOR OU BOMBEIRO HIDRÁULICO COM ENCARGOS COMPLEMENTARES</t>
  </si>
  <si>
    <t>ENCANADOR OU BOMBEIRO HIDRÁULICO COM ENCARGOS COMPLEMENTARES</t>
  </si>
  <si>
    <t>CHAPA/PAINEL DE MADEIRA COMPENSADA PLASTIFICADA (MADEIRITE PLASTIFICADO) PARA FORMA DE CONCRETO, DE 2200 X 1100 MM, E = *17* MM</t>
  </si>
  <si>
    <t>ADITIVO ADESIVO LIQUIDO PARA ARGAMASSAS DE REVESTIMENTOS CIMENTICIOS</t>
  </si>
  <si>
    <t>PEDREIRO COM ENCARGOS COMPLEMENTARES</t>
  </si>
  <si>
    <t>ARGAMASSA INDUSTRIALIZADA PARA CHAPISCO COLANTE</t>
  </si>
  <si>
    <t>MISTURADOR DE ARGAMASSA, EIXO HORIZONTAL, CAPACIDADE DE MISTURA 300 KG, MOTOR ELÉTRICO POTÊNCIA 5 CV - CHP DIURNO. AF_05/2023</t>
  </si>
  <si>
    <t>MISTURADOR DE ARGAMASSA, EIXO HORIZONTAL, CAPACIDADE DE MISTURA 300 KG, MOTOR ELÉTRICO POTÊNCIA 5 CV - CHI DIURNO. AF_05/2023</t>
  </si>
  <si>
    <t>LUVA PARA ELETRODUTO, EM ACO GALVANIZADO ELETROLITICO, COM ROSCA, DIAMETRO DE 20 MM (3/4")</t>
  </si>
  <si>
    <t>AUXILIAR DE ELETRICISTA COM ENCARGOS COMPLEMENTARES</t>
  </si>
  <si>
    <t>ELETRICISTA COM ENCARGOS COMPLEMENTARES</t>
  </si>
  <si>
    <t>LUVA PARA ELETRODUTO, EM ACO GALVANIZADO ELETROLITICO, COM ROSCA, DIAMETRO DE 25 MM (1")</t>
  </si>
  <si>
    <t>LUVA PARA ELETRODUTO, EM ACO GALVANIZADO ELETROLITICO, COM ROSCA, DIAMETRO DE 32 MM (1 1/4")</t>
  </si>
  <si>
    <t>LUVA PARA ELETRODUTO, EM ACO GALVANIZADO ELETROLITICO, COM ROSCA, DIAMETRO DE 40 MM (1 1/2")</t>
  </si>
  <si>
    <t>ABRACADEIRA EM ACO PARA AMARRACAO DE ELETRODUTOS, TIPO D, COM 1 1/2" E PARAFUSO DE FIXACAO</t>
  </si>
  <si>
    <t>ACO CA-50, 8,0 MM, VERGALHAO</t>
  </si>
  <si>
    <t>VIBRADOR DE IMERSÃO, DIÂMETRO DE PONTEIRA 45MM, MOTOR ELÉTRICO TRIFÁSICO POTÊNCIA DE 2 CV - CHP DIURNO. AF_06/2015</t>
  </si>
  <si>
    <t>VIBRADOR DE IMERSÃO, DIÂMETRO DE PONTEIRA 45MM, MOTOR ELÉTRICO TRIFÁSICO POTÊNCIA DE 2 CV - CHI DIURNO. AF_06/2015</t>
  </si>
  <si>
    <t>BATENTE / PORTAL / ADUELA / MARCO EM MADEIRA MACICA COM REBAIXO, E = *3* CM, L = *14* CM, PARA PORTAS DE GIRO DE *60 CM A 120* CM X *210* CM, CEDRINHO / ANGELIM COMERCIAL / TAURI / CURUPIXA / PEROBA / CUMARU OU EQUIVALENTE DA REGIAO (NAO INCLUI ALIZARES)</t>
  </si>
  <si>
    <t>PREGO DE ACO POLIDO COM CABECA 12 X 12</t>
  </si>
  <si>
    <t>PREGO DE ACO POLIDO COM CABECA 18 X 30 (2 3/4 X 10)</t>
  </si>
  <si>
    <t>CARPINTEIRO DE ESQUADRIAS COM ENCARGOS COMPLEMENTARES</t>
  </si>
  <si>
    <t>DESMOLDANTE PROTETOR PARA FORMAS DE MADEIRA, DE BASE OLEOSA EMULSIONADA EM AGUA</t>
  </si>
  <si>
    <t>PREGO DE ACO POLIDO COM CABECA DUPLA 17 X 27 (2 1/2 X 11)</t>
  </si>
  <si>
    <t>TELA DE ACO SOLDADA GALVANIZADA/ZINCADA PARA ALVENARIA, FIO D = *1,20 A 1,70* MM, MALHA 15 X 15 MM, (C X L) *50 X 7,5* CM</t>
  </si>
  <si>
    <t>PINO DE ACO COM FURO, HASTE = 27 MM (ACAO DIRETA)</t>
  </si>
  <si>
    <t>BLOCO CERAMICO / TIJOLO VAZADO PARA ALVENARIA DE VEDACAO, FUROS NA VERTICAL DE 9 X 19 X 39 CM (L X A X C)</t>
  </si>
  <si>
    <t>PREGO DE ACO POLIDO COM CABECA 15 X 15 (1 1/4 X 13)</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</si>
  <si>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</si>
  <si>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</si>
  <si>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COMPACTADOR DE SOLOS DE PERCUSSÃO (SOQUETE) COM MOTOR A GASOLINA 4 TEMPOS, POTÊNCIA 4 CV - CHP DIURNO. AF_08/2015</t>
  </si>
  <si>
    <t>COMPACTADOR DE SOLOS DE PERCUSSÃO (SOQUETE) COM MOTOR A GASOLINA 4 TEMPOS, POTÊNCIA 4 CV - CHI DIURNO. AF_08/2015</t>
  </si>
  <si>
    <t>ACO CA-50, 10,0 MM, VERGALHAO</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</si>
  <si>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</si>
  <si>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</si>
  <si>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ADITIVO IMPERMEABILIZANTE DE PEGA NORMAL PARA ARGAMASSAS E CONCRETOS SEM ARMACAO, LIQUIDO E ISENTO DE CLORETOS</t>
  </si>
  <si>
    <t>TELA DE ACO SOLDADA NERVURADA, CA-60, Q-92, (1,48 KG/M2), DIAMETRO DO FIO = 4,2 MM, LARGURA = 2,45 X 60 M DE COMPRIMENTO, ESPACAMENTO DA MALHA = 15 X 15 CM</t>
  </si>
  <si>
    <t>TRELICA NERVURADA (ESPACADOR), ALTURA = 120,0 MM, DIAMETRO DOS BANZOS INFERIORES E SUPERIOR = 6,0 MM, DIAMETRO DA DIAGONAL = 4,2 MM</t>
  </si>
  <si>
    <t>PREGO DE ACO POLIDO COM CABECA 17 X 24 (2 1/4 X 11)</t>
  </si>
  <si>
    <t>PEDRA BRITADA N. 2 (19 A 38 MM) POSTO PEDREIRA/FORNECEDOR, SEM FRETE</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</si>
  <si>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</si>
  <si>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</si>
  <si>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SEIXO ROLADO PARA APLICACAO EM CONCRETO (POSTO PEDREIRA/FORNECEDOR, SEM FRETE)</t>
  </si>
  <si>
    <t>TINTA ESMALTE SINTETICO PREMIUM ACETINADO</t>
  </si>
  <si>
    <t>CONJUNTO ARRUELAS DE VEDACAO 5/16" PARA TELHA FIBROCIMENTO (UMA ARRUELA METALICA E UMA ARRUELA PVC - CONICAS)</t>
  </si>
  <si>
    <t>PARAFUSO ZINCADO ROSCA SOBERBA, CABECA SEXTAVADA, 5/16" X 250 MM, PARA FIXACAO DE TELHA EM MADEIRA</t>
  </si>
  <si>
    <t>TELHA DE FIBROCIMENTO ONDULADA E = 6 MM, DE 2,44 X 1,10 M (SEM AMIANTO)</t>
  </si>
  <si>
    <t>TELHADISTA COM ENCARGOS COMPLEMENTARES</t>
  </si>
  <si>
    <t>GUINCHO ELÉTRICO DE COLUNA, CAPACIDADE 400 KG, COM MOTO FREIO, MOTOR TRIFÁSICO DE 1,25 CV - CHP DIURNO. AF_03/2016</t>
  </si>
  <si>
    <t>GUINCHO ELÉTRICO DE COLUNA, CAPACIDADE 400 KG, COM MOTO FREIO, MOTOR TRIFÁSICO DE 1,25 CV - CHI DIURNO. AF_03/2016</t>
  </si>
  <si>
    <t>SELANTE ELASTICO MONOCOMPONENTE A BASE DE POLIURETANO (PU) PARA JUNTAS DIVERSAS</t>
  </si>
  <si>
    <t>REBITE DE REPUXO EM ALUMINIO VAZADO, DIAMETRO 3,2 X 8 MM DE COMPRIMENTO (1KG = 1025 UNIDADES)</t>
  </si>
  <si>
    <t>SOLDA EM BARRA DE ESTANHO-CHUMBO 50/50</t>
  </si>
  <si>
    <t>CALHA QUADRADA DE CHAPA DE ACO GALVANIZADA NUM 24, CORTE 100 CM</t>
  </si>
  <si>
    <t>ELETRODO REVESTIDO AWS - E-6010, DIAMETRO IGUAL A 4,00 MM</t>
  </si>
  <si>
    <t>SOLDADOR COM ENCARGOS COMPLEMENTARES</t>
  </si>
  <si>
    <t>LIXA EM FOLHA PARA FERRO, NUMERO 150</t>
  </si>
  <si>
    <t>POLIESTIRENO EXPANDIDO/EPS (ISOPOR), TIPO 2F, BLOCO</t>
  </si>
  <si>
    <t>ACO CA-25, 6,3 MM OU 8,0 MM, VERGALHAO</t>
  </si>
  <si>
    <t>LOCACAO DE BARRA DE ANCORAGEM DE 0,80 A 1,20 M DE EXTENSAO, COM ROSCA DE 5/8", INCLUINDO PORCA E FLANGE</t>
  </si>
  <si>
    <t>LOCACAO DE VIGA SANDUICHE METALICA VAZADA PARA TRAVAMENTO DE PILARES, ALTURA DE *8* CM, LARGURA DE *6* CM E EXTENSAO DE 2 M</t>
  </si>
  <si>
    <t>LOCACAO DE APRUMADOR METALICO DE PILAR, COM ALTURA E ANGULO REGULAVEIS, EXTENSAO DE *1,50* A *2,80* M</t>
  </si>
  <si>
    <t>MXKM</t>
  </si>
  <si>
    <t>TXKM</t>
  </si>
  <si>
    <t>JG</t>
  </si>
  <si>
    <t>CENTO</t>
  </si>
  <si>
    <t>CJ</t>
  </si>
  <si>
    <t>310ML</t>
  </si>
  <si>
    <t>MES</t>
  </si>
  <si>
    <t>UNXMES</t>
  </si>
  <si>
    <t>ENGENHEIRO CIVIL DE OBRA JUNIOR COM ENCARGOS COMPLEMENTARES</t>
  </si>
  <si>
    <t>MESTRE DE OBRAS COM ENCARGOS COMPLEMENTARES</t>
  </si>
  <si>
    <t>MONTADOR DE ESTRUTURAS METÁLICAS COM ENCARGOS COMPLEMENTARES</t>
  </si>
  <si>
    <t>AZULEJISTA OU LADRILHEIRO COM ENCARGOS COMPLEMENTARES</t>
  </si>
  <si>
    <t>MARTELO DEMOLIDOR ELÉTRICO, COM POTÊNCIA DE 2.000 W, 1.000 IMPACTOS POR MINUTO, PESO DE 30 KG - CHI DIURNO. AF_01/2021</t>
  </si>
  <si>
    <t>MARTELO DEMOLIDOR ELÉTRICO, COM POTÊNCIA DE 2.000 W, 1.000 IMPACTOS POR MINUTO, PESO DE 30 KG - CHP DIURNO. AF_01/2021</t>
  </si>
  <si>
    <t>AJUDANTE DE OPERAÇÃO EM GERAL COM ENCARGOS COMPLEMENTARES</t>
  </si>
  <si>
    <t>MARMORISTA/GRANITEIRO COM ENCARGOS COMPLEMENTARES</t>
  </si>
  <si>
    <t>VIDRACEIRO COM ENCARGOS COMPLEMENTARES</t>
  </si>
  <si>
    <t>MONTADOR ELETROMECÂNICO COM ENCARGOS COMPLEMENTARES</t>
  </si>
  <si>
    <t>LOCACAO DE ANDAIME METALICO TIPO FACHADEIRO, PECAS COM APROXIMADAMENTE 1,20 M DE LARGURA E 2,0 M DE ALTURA, INCLUINDO DIAGONAIS EM X, BARRAS DE LIGACAO, SAPATAS E DEMAIS ITENS NECESSARIOS A MONTAGEM (NAO INCLUI INSTALACAO)</t>
  </si>
  <si>
    <t>SARRAFO NAO APARELHADO *2,5 X 10* CM, EM MACARANDUBA/MASSARANDUBA, ANGELIM OU EQUIVALENTE DA REGIAO - BRUTA</t>
  </si>
  <si>
    <t>TABUA NAO APARELHADA *2,5 X 30* CM, EM MACARANDUBA/MASSARANDUBA, ANGELIM OU EQUIVALENTE DA REGIAO - BRUTA</t>
  </si>
  <si>
    <t>AJUDANTE DE PINTOR COM ENCARGOS COMPLEMENTARES</t>
  </si>
  <si>
    <t>CAL HIDRATADA PARA PINTURA</t>
  </si>
  <si>
    <t>LOCACAO DE ESCORA METALICA TELESCOPICA, COM ALTURA REGULAVEL DE *1,80* A *3,20* M, COM CAPACIDADE DE CARGA DE NO MINIMO 1000 KGF (10 KN), INCLUSO TRIPE E FORCADO</t>
  </si>
  <si>
    <t>TALHA MANUAL DE CORRENTE, CAPACIDADE DE 2 TON. COM ELEVAÇÃO DE 3 M - CHP DIURNO. AF_07/2016</t>
  </si>
  <si>
    <t>PERFIL "I" OU "W" EM ACO LAMINADO, QUAISQUER DIMENSOES</t>
  </si>
  <si>
    <t>OXIGENIO - RECARGA DE GAS PARA CILINDRO (NAO INCLUI TROCA/MANUTENCAO DO CILINDRO)</t>
  </si>
  <si>
    <t>ACETILENO - RECARGA DE GAS PARA CILINDRO (NAO INCLUI TROCA/MANUTENCAO DO CILINDRO)</t>
  </si>
  <si>
    <t>AJUDANTE DE ESTRUTURA METÁLICA COM ENCARGOS COMPLEMENTARES</t>
  </si>
  <si>
    <t>ENCARREGADO GERAL COM ENCARGOS COMPLEMENTARES</t>
  </si>
  <si>
    <t>CHAPA DE ACO GROSSA, ASTM A36, E = 1/2" (12,70 MM) 99,59 KG/M2</t>
  </si>
  <si>
    <t>ELETRODO REVESTIDO AWS - E7018, DIAMETRO IGUAL A 4,00 MM</t>
  </si>
  <si>
    <t>CANTONEIRA (ABAS IGUAIS) EM ACO CARBONO, 50,8 MM X 9,53 MM (L X E), 6,99 KG/M</t>
  </si>
  <si>
    <t>TABUA NAO APARELHADA *2,5 X 20* CM, EM MACARANDUBA/MASSARANDUBA, ANGELIM OU EQUIVALENTE DA REGIAO - BRUTA</t>
  </si>
  <si>
    <t>ARGAMASSA POLIMERICA IMPERMEABILIZANTE SEMIFLEXIVEL, BICOMPONENTE, A BASE DE CIMENTO E ADITIVOS</t>
  </si>
  <si>
    <t>IMPERMEABILIZADOR COM ENCARGOS COMPLEMENTARES</t>
  </si>
  <si>
    <t>BLOCO CERAMICO / TIJOLO VAZADO PARA ALVENARIA DE VEDACAO, 8 FUROS NA HORIZONTAL DE 9 X 19 X 19 CM (L X A X C)</t>
  </si>
  <si>
    <t>PINO DE ACO COM ARRUELA CONICA, DIAMETRO ARRUELA = *23* MM E COMP HASTE = *27* MM (ACAO INDIRETA)</t>
  </si>
  <si>
    <t>PLACA / CHAPA DE GESSO ACARTONADO, STANDARD (ST), COR BRANCA, E = 12,5 MM, 1200 X 2400 MM (L X C)</t>
  </si>
  <si>
    <t>PERFIL GUIA, FORMATO U, EM ACO ZINCADO, PARA ESTRUTURA PAREDE DRYWALL, E = 0,5 MM, 70 X 3000 MM (L X C)</t>
  </si>
  <si>
    <t>PERFIL MONTANTE, FORMATO C, EM ACO ZINCADO, PARA ESTRUTURA PAREDE DRYWALL, E = 0,5 MM, 70 X 3000 MM (L X C)</t>
  </si>
  <si>
    <t>FITA DE PAPEL MICROPERFURADO, 50 X 150 MM, PARA TRATAMENTO DE JUNTAS DE CHAPA DE GESSO PARA DRYWALL</t>
  </si>
  <si>
    <t>FITA DE PAPEL REFORCADA COM LAMINA DE METAL PARA REFORCO DE CANTOS DE CHAPA DE GESSO PARA DRYWALL</t>
  </si>
  <si>
    <t>MASSA DE REJUNTE EM PO PARA DRYWALL, A BASE DE GESSO, SECAGEM RAPIDA, PARA TRATAMENTO DE JUNTAS DE CHAPA DE GESSO (NECESSITA ADICAO DE AGUA)</t>
  </si>
  <si>
    <t>PARAFUSO DRY WALL, EM ACO FOSFATIZADO, CABECA TROMBETA E PONTA AGULHA (TA), COMPRIMENTO 25 MM</t>
  </si>
  <si>
    <t>PARAFUSO DRY WALL, EM ACO ZINCADO, CABECA LENTILHA E PONTA BROCA (LB), LARGURA 4,2 MM, COMPRIMENTO 13 MM</t>
  </si>
  <si>
    <t>TIJOLO CERAMICO MACICO COMUM DE *5 X 10 X 20* CM (L X A X C)</t>
  </si>
  <si>
    <t>GESSEIRO COM ENCARGOS COMPLEMENTARES</t>
  </si>
  <si>
    <t>ARGAMASSA INDUSTRIALIZADA MULTIUSO, PARA REVESTIMENTO INTERNO E EXTERNO E ASSENTAMENTO DE BLOCOS DIVERSOS</t>
  </si>
  <si>
    <t>RESINA ACRILICA PREMIUM BASE AGUA - COR BRANCA</t>
  </si>
  <si>
    <t>LIXA EM FOLHA PARA PAREDE OU MADEIRA, NUMERO 120, COR VERMELHA</t>
  </si>
  <si>
    <t>MASSA ACRILICA PARA SUPERFICIES INTERNAS E EXTERNAS</t>
  </si>
  <si>
    <t>MASSA CORRIDA PARA SUPERFICIES DE AMBIENTES INTERNOS</t>
  </si>
  <si>
    <t>TINTA LATEX ACRILICA PREMIUM, COR BRANCO FOSCO</t>
  </si>
  <si>
    <t>REVESTIMENTO EM CERAMICA ESMALTADA, FORMATO MAIOR A 2025 CM2</t>
  </si>
  <si>
    <t>ARGAMASSA COLANTE AC II</t>
  </si>
  <si>
    <t>REJUNTE CIMENTICIO, QUALQUER COR</t>
  </si>
  <si>
    <t>ARGAMASSA COLANTE TIPO AC III</t>
  </si>
  <si>
    <t>COLA BRANCA BASE PVA</t>
  </si>
  <si>
    <t>RODAPE DE MADEIRA MACICA CUMARU/IPE CHAMPANHE OU EQUIVALENTE DA REGIAO, *1,5 X 7 CM</t>
  </si>
  <si>
    <t>MASSA PLASTICA PARA MARMORE/GRANITO</t>
  </si>
  <si>
    <t>BUCHA DE NYLON SEM ABA S10, COM PARAFUSO DE 6,10 X 65 MM EM ACO ZINCADO COM ROSCA SOBERBA, CABECA CHATA E FENDA PHILLIPS</t>
  </si>
  <si>
    <t>REJUNTE EPOXI, QUALQUER COR</t>
  </si>
  <si>
    <t>SUPORTE MAO-FRANCESA EM ACO, ABAS IGUAIS 40 CM, CAPACIDADE MINIMA 70 KG, BRANCO</t>
  </si>
  <si>
    <t>ADESIVO ESTRUTURAL A BASE DE RESINA EPOXI, BICOMPONENTE, PASTOSO (TIXOTROPICO)</t>
  </si>
  <si>
    <t>ARGAMASSA COLANTE TIPO AC III E</t>
  </si>
  <si>
    <t>PERFIL TIPO CANTONEIRA EM L, EM ACO GALVANIZADO, BRANCO, PARA FORRO REMOVIVEL, *23* X 3000 MM (L X C)</t>
  </si>
  <si>
    <t>FORRO DE PVC, FRISADO, BRANCO, REGUA DE 10 CM, ESPESSURA APROXIMADA DE 8 MM E COMPRIMENTO 6 M (SEM COLOCACAO)</t>
  </si>
  <si>
    <t>PERFIL CANALETA, FORMATO C, EM ACO ZINCADO, PARA ESTRUTURA FORRO DRYWALL, E = 0,5 MM, *46 X 18* (L X H), COMPRIMENTO 3 M</t>
  </si>
  <si>
    <t>PENDURAL OU PRESILHA REGULADORA, EM ACO GALVANIZADO, COM CORPO, MOLA E REBITE, PARA PERFIL TIPO CANALETA DE ESTRUTURA EM FORROS DRYWALL</t>
  </si>
  <si>
    <t>PARAFUSO ZINCADO, AUTOBROCANTE, FLANGEADO, 4,2 MM X 19 MM</t>
  </si>
  <si>
    <t>PARAFUSO, AUTOATARRAXANTE, CABECA CHATA, FENDA SIMPLES, EM ACO ZINCADO, 1/4" (6,35 MM) X 25 MM</t>
  </si>
  <si>
    <t>ARAME GALVANIZADO 6 BWG, D = 5,16 MM (0,157 KG/M), OU 8 BWG, D = 4,19 MM (0,101 KG/M), OU 10 BWG, D = 3,40 MM (0,0713 KG/M)</t>
  </si>
  <si>
    <t>FORRO DE FIBRA MINERAL EM PLACAS DE 625 X 625 MM, E = 15 MM, BORDA RETA, COM PINTURA ANTIMOFO, APOIADO EM PERFIL DE ACO GALVANIZADO COM 24 MM DE BASE - INSTALADO</t>
  </si>
  <si>
    <t>PLACA DE FIBRA MINERAL PARA FORRO, DE 625 X 625 MM, E = 15 MM, BORDA RETA, COM PINTURA ANTIMOFO (NAO INCLUI PERFIS)</t>
  </si>
  <si>
    <t>PERFIL TABICA FECHADA, LISA, FORMATO Z, EM ACO GALVANIZADO NATURAL, LARGURA TOTAL NA HORIZONTAL *40* MM, PARA ESTRUTURA FORRO DRYWALL</t>
  </si>
  <si>
    <t>ADESIVO ACRILICO DE BASE AQUOSA / COLA DE CONTATO</t>
  </si>
  <si>
    <t>MASSA PARA VIDRO</t>
  </si>
  <si>
    <t>SILICONE ACETICO USO GERAL INCOLOR 280 G</t>
  </si>
  <si>
    <t>VIDRO LISO INCOLOR 4MM - SEM COLOCACAO</t>
  </si>
  <si>
    <t>PREGO DE ACO POLIDO SEM CABECA 15 X 15 (1 1/4 X 13)</t>
  </si>
  <si>
    <t>VIDRO LISO INCOLOR 6 MM - SEM COLOCACAO</t>
  </si>
  <si>
    <t>ANEL DE VEDACAO, PVC FLEXIVEL, 100 MM, PARA SAIDA DE BACIA / VASO SANITARIO</t>
  </si>
  <si>
    <t>TUBO PVC, SERIE R, DN 100 MM, PARA ESGOTO OU AGUAS PLUVIAIS PREDIAL (NBR 5688)</t>
  </si>
  <si>
    <t>LIXA D'AGUA EM FOLHA, COR PRETA, GRAO 100</t>
  </si>
  <si>
    <t>TUBO PVC, SERIE R, DN 40 MM, PARA ESGOTO OU AGUAS PLUVIAIS PREDIAL (NBR 5688)</t>
  </si>
  <si>
    <t>TUBO PVC, SERIE R, DN 50 MM, PARA ESGOTO OU AGUAS PLUVIAIS PREDIAL (NBR 5688)</t>
  </si>
  <si>
    <t>TUBO PVC, SERIE R, DN 75 MM, PARA ESGOTO OU AGUAS PLUVIAIS PREDIAL (NBR 5688)</t>
  </si>
  <si>
    <t>TUBO PVC, SOLDAVEL, DE 25 MM, AGUA FRIA (NBR-5648)</t>
  </si>
  <si>
    <t>TUBO PVC, SOLDAVEL, DE 32 MM, AGUA FRIA (NBR-5648)</t>
  </si>
  <si>
    <t>TUBO PVC, SOLDAVEL, DE 40 MM, AGUA FRIA (NBR-5648)</t>
  </si>
  <si>
    <t>TUBO PVC, SOLDAVEL, DE 50 MM, AGUA FRIA (NBR-5648)</t>
  </si>
  <si>
    <t>FITA VEDA ROSCA, EM PTFE, ROLO DE 18 MM X 50 M (L X C)</t>
  </si>
  <si>
    <t>ADESIVO PLASTICO PARA PVC, FRASCO COM *850* GR</t>
  </si>
  <si>
    <t>CAIXA SIFONADA, PVC, 150 X *185* X 75 MM, COM GRELHA QUADRADA, BRANCA</t>
  </si>
  <si>
    <t>SOLUCAO PREPARADORA / LIMPADORA PARA PVC, FRASCO COM 1000 CM3</t>
  </si>
  <si>
    <t>CAIXA SIFONADA PVC, 250 X 230 X 75 MM, COM TAMPA CEGA QUADRADA, BRANCA</t>
  </si>
  <si>
    <t>RALO SECO CONICO, PVC, 100 X 40 MM, COM GRELHA REDONDA BRANCA</t>
  </si>
  <si>
    <t>BACIA SANITARIA (VASO) CONVENCIONAL, DE LOUCA BRANCA, SIFAO APARENTE, SAIDA VERTICAL (SEM ASSENTO)</t>
  </si>
  <si>
    <t>PARAFUSO NIQUELADO COM ACABAMENTO CROMADO PARA FIXAR PECA SANITARIA, INCLUI PORCA CEGA, ARRUELA E BUCHA DE NYLON TAMANHO S-10</t>
  </si>
  <si>
    <t>PARAFUSO NIQUELADO 3 1/2" COM ACABAMENTO CROMADO PARA FIXAR PECA SANITARIA, INCLUI PORCA CEGA, ARRUELA E BUCHA DE NYLON TAMANHO S-8</t>
  </si>
  <si>
    <t>FITA VEDA ROSCA, EM PTFE, ROLO DE 18 MM X 10 M (L X C)</t>
  </si>
  <si>
    <t>LAVATORIO DE LOUCA BRANCA, SUSPENSO (SEM COLUNA), DIMENSOES *40 X 30* CM</t>
  </si>
  <si>
    <t>MICTORIO INDIVIDUAL, SIFONADO, DE LOUCA BRANCA, SEM COMPLEMENTOS</t>
  </si>
  <si>
    <t>ENGATE / RABICHO FLEXIVEL INOX 1/2" X 40 CM</t>
  </si>
  <si>
    <t>SIFAO EM METAL CROMADO PARA PIA OU LAVATORIO, 1 X 1.1/2"</t>
  </si>
  <si>
    <t>SIFAO EM METAL CROMADO PARA TANQUE, 1.1/4 X 1.1/2"</t>
  </si>
  <si>
    <t>TORNEIRA METALICA CROMADA DE MESA, PARA LAVATORIO, TEMPORIZADA PRESSAO FECHAMENTO AUTOMATICO, BICA BAIXA</t>
  </si>
  <si>
    <t>TORNEIRA METALICA CROMADA PARA JARDIM / TANQUE, COM BICO PLASTICO, CANO LONGO, DE PAREDE, PADRAO POPULAR / USO GERAL, 1/2" OU 3/4"</t>
  </si>
  <si>
    <t>VALVULA EM METAL CROMADO PARA LAVATORIO, 1" SEM LADRAO</t>
  </si>
  <si>
    <t>VALVULA DE ESCOAMENTO PARA TANQUE, EM METAL CROMADO, 1.1/2", SEM LADRAO, COM TAMPAO PLASTICO</t>
  </si>
  <si>
    <t>VALVULA DE DESCARGA EM METAL CROMADO PARA MICTORIO COM ACIONAMENTO POR PRESSAO E FECHAMENTO AUTOMATICO</t>
  </si>
  <si>
    <t>BUCHA DE NYLON, DIAMETRO DO FURO 8 MM, COMPRIMENTO 40 MM, COM PARAFUSO DE ROSCA SOBERBA, CABECA CHATA, FENDA SIMPLES, 4,8 X 50 MM</t>
  </si>
  <si>
    <t>CAIXA DE PASSAGEM, EM PVC, DE 4" X 2", PARA ELETRODUTO FLEXIVEL CORRUGADO</t>
  </si>
  <si>
    <t>CAIXA DE PASSAGEM, EM PVC, DE 4" X 4", PARA ELETRODUTO FLEXIVEL CORRUGADO</t>
  </si>
  <si>
    <t>CAIXA DE PASSAGEM ELETRICA DE PAREDE, DE EMBUTIR, EM PVC, COM TAMPA APARAFUSADA, DIMENSOES 150 X 150 X *75* MM</t>
  </si>
  <si>
    <t>BUCHA DE NYLON SEM ABA S6, COM PARAFUSO DE 4,20 X 40 MM EM ACO ZINCADO COM ROSCA SOBERBA, CABECA CHATA E FENDA PHILLIPS</t>
  </si>
  <si>
    <t>CONDULETE DE ALUMINIO TIPO X, PARA ELETRODUTO ROSCAVEL DE 1", COM TAMPA CEGA</t>
  </si>
  <si>
    <t>PORCA ZINCADA, SEXTAVADA, DIAMETRO 1/4"</t>
  </si>
  <si>
    <t>ELETRODUTO PVC FLEXIVEL CORRUGADO, REFORCADO, COR LARANJA, DE 32 MM, PARA LAJES E PISOS</t>
  </si>
  <si>
    <t>ELETRODUTO PVC FLEXIVEL CORRUGADO, REFORCADO, COR LARANJA, DE 25 MM, PARA LAJES E PISOS</t>
  </si>
  <si>
    <t>ELETRODUTO FLEXIVEL, EM FITA DE ACO GALVANIZADO, REVESTIDO COM PVC PRETO, DIAMETRO EXTERNO DE 32 MM, DN = 1", TIPO SEALTUBO</t>
  </si>
  <si>
    <t>ELETRODUTO FLEXIVEL, EM FITA DE ACO GALVANIZADO, REVESTIDO COM PVC PRETO, DIAMETRO EXTERNO DE 25 MM, DN = 3/4", TIPO SEALTUBO</t>
  </si>
  <si>
    <t>ESPELHO / PLACA DE 3 POSTOS 4" X 2", PARA INSTALACAO DE TOMADAS E INTERRUPTORES</t>
  </si>
  <si>
    <t>SUPORTE DE FIXACAO PARA ESPELHO / PLACA 4" X 2", PARA 3 MODULOS, PARA INSTALACAO DE TOMADAS E INTERRUPTORES (SOMENTE SUPORTE)</t>
  </si>
  <si>
    <t>ESPELHO / PLACA DE 6 POSTOS 4" X 4", PARA INSTALACAO DE TOMADAS E INTERRUPTORES</t>
  </si>
  <si>
    <t>SUPORTE DE FIXACAO PARA ESPELHO / PLACA 4" X 4", PARA 6 MODULOS, PARA INSTALACAO DE TOMADAS E INTERRUPTORES (SOMENTE SUPORTE)</t>
  </si>
  <si>
    <t>INTERRUPTOR PARALELO 10A, 250V (APENAS MODULO)</t>
  </si>
  <si>
    <t>INTERRUPTOR SIMPLES 10A, 250V (APENAS MODULO)</t>
  </si>
  <si>
    <t>TOMADA 2P+T 10A, 250V (APENAS MODULO)</t>
  </si>
  <si>
    <t>TOMADA 2P+T 20A, 250V (APENAS MODULO)</t>
  </si>
  <si>
    <t>FITA ISOLANTE ADESIVA ANTICHAMA, USO ATE 750 V, EM ROLO DE 19 MM X 5 M</t>
  </si>
  <si>
    <t>TERMINAL A COMPRESSAO EM COBRE ESTANHADO PARA CABO 2,5 MM2, 1 FURO E 1 COMPRESSAO, PARA PARAFUSO DE FIXACAO M5</t>
  </si>
  <si>
    <t>BUCHA DE NYLON SEM ABA S10</t>
  </si>
  <si>
    <t>PARAFUSO DE ACO ZINCADO, SEXTAVADO, COM ROSCA INTEIRA, DIAMETRO 5/16", COMPRIMENTO 3/4", COM PORCA E ARRUELA LISA LEVE</t>
  </si>
  <si>
    <t>PARAFUSO DE ACO ZINCADO, SEXTAVADO, COM ROSCA SOBERBA, DIAMETRO 3/8", COMPRIMENTO 80 MM</t>
  </si>
  <si>
    <t>ARRUELA EM ACO GALVANIZADO, DIAMETRO EXTERNO = 35MM, ESPESSURA = 3MM, DIAMETRO DO FURO= 18MM</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</si>
  <si>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</si>
  <si>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</si>
  <si>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CHUMBADOR DE ACO ZINCADO, DIAMETRO 1/4" COM PARAFUSO 1/4" X 40 MM</t>
  </si>
  <si>
    <t>CHAPA DE ACO GALVANIZADA BITOLA GSG 22, E = 0,80 MM (6,40 KG/M2)</t>
  </si>
  <si>
    <t>MARCENEIRO COM ENCARGOS COMPLEMENTARES</t>
  </si>
  <si>
    <t>VALVULA DE ESFERA BRUTA EM BRONZE, BITOLA 1 1/2"</t>
  </si>
  <si>
    <t>VALVULA DE ESFERA BRUTA EM BRONZE, BITOLA 1 1/4"</t>
  </si>
  <si>
    <t>VALVULA DE ESFERA BRUTA EM BRONZE, BITOLA 1"</t>
  </si>
  <si>
    <t>VALVULA DE ESFERA BRUTA EM BRONZE, BITOLA 3/4"</t>
  </si>
  <si>
    <t>TUBO ACO CARBONO SEM COSTURA 1 1/2", E= *3,68 MM, SCHEDULE 40, 4,05 KG/M</t>
  </si>
  <si>
    <t>TUBO ACO CARBONO SEM COSTURA 1 1/4", E= *3,56 MM, SCHEDULE 40, *3,38* KG/M</t>
  </si>
  <si>
    <t>TUBO ACO CARBONO SEM COSTURA 1", E= *3,38 MM, SCHEDULE 40, *2,50* KG/M</t>
  </si>
  <si>
    <t>TUBO ACO CARBONO SEM COSTURA 3/4", E= *2,87 MM, SCHEDULE 40, *1,69 KG/M</t>
  </si>
  <si>
    <t>TUBO DE COBRE FLEXIVEL, D = 1/2", E = 0,79 MM, PARA AR-CONDICIONADO/ INSTALACOES GAS RESIDENCIAIS E COMERCIAIS</t>
  </si>
  <si>
    <t>TUBO DE COBRE FLEXIVEL, D = 1/4", E = 0,79 MM, PARA AR-CONDICIONADO/ INSTALACOES GAS RESIDENCIAIS E COMERCIAIS</t>
  </si>
  <si>
    <t>TUBO DE COBRE FLEXIVEL, D = 3/4", E = 0,79 MM, PARA AR-CONDICIONADO/ INSTALACOES GAS RESIDENCIAIS E COMERCIAIS</t>
  </si>
  <si>
    <t>TUBO DE COBRE FLEXIVEL, D = 3/8", E = 0,79 MM, PARA AR-CONDICIONADO/ INSTALACOES GAS RESIDENCIAIS E COMERCIAIS</t>
  </si>
  <si>
    <t>TUBO DE COBRE FLEXIVEL, D = 5/8", E = 0,79 MM, PARA AR-CONDICIONADO/ INSTALACOES GAS RESIDENCIAIS E COMERCIAIS</t>
  </si>
  <si>
    <t>CHAPA DE MDF BRANCO LISO 2 FACES, E = 25 MM, DE *2,75 X 1,85* M</t>
  </si>
  <si>
    <t>COMPENSADO NAVAL - CHAPA/PAINEL EM MADEIRA COMPENSADA PRENSADA, DE 2200 X 1600 MM, E = 20 MM</t>
  </si>
  <si>
    <t>CHAPA DE MDF BRANCO LISO 1 FACE, E = 18 MM, DE *2,75 X 1,85* M</t>
  </si>
  <si>
    <t>BATENTE / PORTAL / ADUELA / MARCO EM MADEIRA MACICA COM REBAIXO, E = *3* CM, L = *14* CM, PARA PORTAS DE GIRO DE *60 CM A 120* CM X *210* CM, PINUS / EUCALIPTO / VIROLA OU EQUIVALENTE DA REGIAO (NAO INCLUI ALIZARES)</t>
  </si>
  <si>
    <t>GUARNICAO / ALIZAR / VISTA LISA EM MADEIRA MACICA, PARA PORTA, E = *1* CM, L = *5* CM, CEDRINHO / ANGELIM COMERCIAL / TAURI/ CURUPIXA / PEROBA / CUMARU OU EQUIVALENTE DA REGIAO</t>
  </si>
  <si>
    <t>PORTA DE MADEIRA, FOLHA MEDIA (NBR 15930) DE 600 X 2100 MM, DE 35 MM A 40 MM DE ESPESSURA, NUCLEO SEMI-SOLIDO (SARRAFEADO), CAPA LISA EM HDF, ACABAMENTO LAMINADO NATURAL PARA VERNIZ</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</si>
  <si>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</si>
  <si>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</si>
  <si>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</si>
  <si>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LAMINADO NATURAL PARA VERNIZ</t>
  </si>
  <si>
    <t>PARAFUSO ROSCA SOBERBA ZINCADO CABECA CHATA FENDA SIMPLES 3,5 X 25 MM (1")</t>
  </si>
  <si>
    <t>DOBRADICA EM LATAO, 3" X 2 1/2", E= 1,9 A 2 MM, COM ANEL, CROMADO, TAMPA BOLA, COM PARAFUSOS</t>
  </si>
  <si>
    <t>CABO TELEFONICO CCI 50, 2 PARES, USO INTERNO, SEM BLINDAGEM</t>
  </si>
  <si>
    <t>TOMADA RJ45, 8 FIOS, CAT 5E (APENAS MODULO)</t>
  </si>
  <si>
    <t>DOBRADICA EM ACO/FERRO, 3 1/2" X 3", E= 1,9 A 2 MM, COM ANEL, CROMADO OU ZINCADO, TAMPA BOLA, COM PARAFUSOS</t>
  </si>
  <si>
    <t>FECHADURA ESPELHO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</si>
  <si>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40 MM, INCLUINDO CHAVE TIPO CILINDRO</t>
  </si>
  <si>
    <t>FECHADURA ESPELHO PARA PORTA DE BANHEIRO, EM ACO INOX (MAQUINA, TESTA E CONTRA-TESTA) E EM ZAMAC (MACANETA, LINGUETA E TRINCOS) COM ACABAMENTO CROMADO, MAQUINA DE 40 MM, INCLUINDO CHAVE TIPO TRANQUETA</t>
  </si>
  <si>
    <t>TARJETA LIVRE / OCUPADO PARA PORTA DE BANHEIRO, CORPO EM ZAMAC E ESPELHO EM LATAO</t>
  </si>
  <si>
    <t>FECHADURA DE SOBREPOR PARA GAVETAS E ARMARIOS, EM ACO INOX COM ACABAMENTO CROMADO, COM CILINDRO DE APROX 20 MM</t>
  </si>
  <si>
    <t>FECHADURA DE EMBUTIR PARA GAVETA E MOVEIS DE MADEIRA, EM ACO INOX COM ACABAMENTO CROMADO, COM ABAS LATERAIS, CILINDRO COM 22 MM DE DIAMETRO, INCLUINDO CHAVE COM PERFIL METALICO E CAPA ESCAMOTEAVEL</t>
  </si>
  <si>
    <t>PUXADOR TIPO ALCA, EM ZAMAC CROMADO, COM ROSETAS, COMPRIMENTO DE APROX *100* MM, PARA PORTAS E JANELAS DE MADEIRA, INCLUINDO PARAFUSOS</t>
  </si>
  <si>
    <t>ESPUMA EXPANSIVA DE POLIURETANO, APLICACAO MANUAL - 500 ML</t>
  </si>
  <si>
    <t>CHAPA DE LAMINADO MELAMINICO, TEXTURIZADO, DE 1,25 X 3,08 METROS, ESPESSURA = 0,8 MILIMETROS</t>
  </si>
  <si>
    <t>SARRAFO *2,5 X 10* CM EM PINUS, MISTA OU EQUIVALENTE DA REGIAO - BRUTA</t>
  </si>
  <si>
    <t>CAIBRO 5 X 5 CM EM PINUS, MISTA OU EQUIVALENTE DA REGIAO - BRUTA</t>
  </si>
  <si>
    <t>CHAPA DE MDF BRANCO LISO 1 FACE, E = 6 MM, DE *2,75 X 1,85* M</t>
  </si>
  <si>
    <t>CHAPA DE MDF BRANCO LISO 2 FACES, E = 15 MM, DE *2,75 X 1,85* M</t>
  </si>
  <si>
    <t>CHAPA DE MDF BRANCO LISO 2 FACES, E = 18 MM, DE *2,75 X 1,85* M</t>
  </si>
  <si>
    <t>CANTONEIRA ACO ABAS IGUAIS (QUALQUER BITOLA), ESPESSURA ENTRE 1/8" E 1/4"</t>
  </si>
  <si>
    <t>CHAPA DE ACO GALVANIZADA BITOLA GSG 16, E = 1,55 MM (12,40 KG/M2)</t>
  </si>
  <si>
    <t>BARRA DE ACO CHATA, RETANGULAR (QUALQUER BITOLA)</t>
  </si>
  <si>
    <t>TELA EM METAL PARA ESTUQUE (DEPLOYE)</t>
  </si>
  <si>
    <t>ARAME GALVANIZADO 16 BWG, D = 1,65MM (0,0166 KG/M)</t>
  </si>
  <si>
    <t>TELA DE ARAME GALVANIZADA QUADRANGULAR / LOSANGULAR, FIO 2,77 MM (12 BWG), MALHA 5 X 5 CM, H = 2 M</t>
  </si>
  <si>
    <t>ARGAMASSA PRONTA PARA CONTRAPISO</t>
  </si>
  <si>
    <t>GESSO EM PO PARA REVESTIMENTOS/MOLDURAS/SANCAS E USO GERAL</t>
  </si>
  <si>
    <t>BLOCO DE VEDACAO DE CONCRETO, 9 X 19 X 39 CM (CLASSE C - NBR 6136)</t>
  </si>
  <si>
    <t>ACO CA-50, 6,3 MM, VERGALHAO</t>
  </si>
  <si>
    <t>ADESIVO ESTRUTURAL A BASE DE RESINA EPOXI, BICOMPONENTE, FLUIDO</t>
  </si>
  <si>
    <t>LONA PLASTICA EXTRA FORTE PRETA, E = 200 MICRA</t>
  </si>
  <si>
    <t>LONA PLASTICA PESADA PRETA, E = 150 MICRA</t>
  </si>
  <si>
    <t>ALMOXARIFE COM ENCARGOS COMPLEMENTARES</t>
  </si>
  <si>
    <t>AUXILIAR DE SERRALHEIRO COM ENCARGOS COMPLEMENTARES</t>
  </si>
  <si>
    <t>SERRALHEIRO COM ENCARGOS COMPLEMENTARES</t>
  </si>
  <si>
    <t>ALICATE DE CORTE DIAGONAL 6" COM ISOLAMENTO</t>
  </si>
  <si>
    <t>CARRINHO DE MAO, EM ACO, COM CAPACIDADE DE *45 A 65* L / *100* KG, PNEU COM CAMARA</t>
  </si>
  <si>
    <t>ENXADA ESTREITA, EM ACO, *25 X 23* CM, COM CABO DE MADEIRA DE *150* CM</t>
  </si>
  <si>
    <t>ESPATULA EM ACO INOX COM CABO DE MADEIRA E LARGURA DE *8* CM</t>
  </si>
  <si>
    <t>ESQUADRO DE ACO 12" (300 MM), CABO DE ALUMINIO</t>
  </si>
  <si>
    <t>PRUMO DE CENTRO EM ACO *400* G, COM CORDAO EM NYLON E CALCO GUIA EM ACO OU MADEIRA</t>
  </si>
  <si>
    <t>PRUMO DE PAREDE EM ACO 700 A 750 G, COM CORDAO EM NYLON E TACO</t>
  </si>
  <si>
    <t>REGUA DE ALUMINIO PARA PEDREIRO 2 M X *25,5* MM</t>
  </si>
  <si>
    <t>DESEMPENADEIRA DE ACO LISA 12 X *25* CM COM CABO FECHADO DE MADEIRA</t>
  </si>
  <si>
    <t>DESEMPENADEIRA PLASTICA LISA *14 X 27* CM</t>
  </si>
  <si>
    <t>BOTA DE PVC PRETA, CANO MEDIO, SEM FORRO</t>
  </si>
  <si>
    <t>CAPA PARA CHUVA EM PVC COM FORRO DE POLIESTER, COM CAPUZ (AMARELA OU AZUL)</t>
  </si>
  <si>
    <t>TALABARTE DE SEGURANCA, 2 MOSQUETOES TRAVA DUPLA *53* MM DE ABERTURA, COM ABSORVEDOR DE ENERGIA</t>
  </si>
  <si>
    <t>TRAVA-QUEDAS EM ACO PARA CORDA DE 12 MM, EXTENSOR DE 25 X 300 MM, COM MOSQUETAO TIPO GANCHO TRAVA DUPLA</t>
  </si>
  <si>
    <t>VIDRO TEMPERADO INCOLOR E = 8 MM, SEM COLOCACAO</t>
  </si>
  <si>
    <t>PERFIL DE ALUMINIO ANODIZADO</t>
  </si>
  <si>
    <t>VIDRO LISO INCOLOR 5MM - SEM COLOCACAO</t>
  </si>
  <si>
    <t>VIDRO TEMPERADO INCOLOR E = 10 MM, SEM COLOCACAO</t>
  </si>
  <si>
    <t>PERFIL DE BORRACHA EPDM MACICO *12 X 15* MM PARA ESQUADRIAS</t>
  </si>
  <si>
    <t>VIDRO COMUM LAMINADO LISO INCOLOR DUPLO, ESPESSURA TOTAL 8 MM (CADA CAMADA DE 4 MM) - COLOCADO</t>
  </si>
  <si>
    <t>VIDRO MARTELADO OU CANELADO, 4 MM - SEM COLOCACAO</t>
  </si>
  <si>
    <t>VIDRO LISO FUME, E = 5 MM - SEM COLOCACAO</t>
  </si>
  <si>
    <t>PARAFUSO FRANCES M16 EM ACO GALVANIZADO, COMPRIMENTO = 45 MM, DIAMETRO = 16 MM, CABECA ABAULADA</t>
  </si>
  <si>
    <t>GRAUTE CIMENTICIO PARA USO GERAL</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</si>
  <si>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</si>
  <si>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</si>
  <si>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ARGILA, ARGILA VERMELHA OU ARGILA ARENOSA (RETIRADA NA JAZIDA, SEM TRANSPORTE)</t>
  </si>
  <si>
    <t>TUBO DE COBRE CLASSE "E", DN = 22 MM, PARA INSTALACAO HIDRAULICA PREDIAL</t>
  </si>
  <si>
    <t>TUBO DE COBRE CLASSE "E", DN = 28 MM, PARA INSTALACAO HIDRAULICA PREDIAL</t>
  </si>
  <si>
    <t>TUBO DE COBRE CLASSE "E", DN = 42 MM, PARA INSTALACAO HIDRAULICA PREDIAL</t>
  </si>
  <si>
    <t>BACIA SANITARIA (VASO) CONVENCIONAL PARA PCD, SEM FURO FRONTAL, DE LOUCA BRANCA (SEM ASSENTO)</t>
  </si>
  <si>
    <t>ABRACADEIRA DE NYLON PARA AMARRACAO DE CABOS, COMPRIMENTO DE 200 X *4,6* MM</t>
  </si>
  <si>
    <t>TELA FACHADEIRA EM POLIETILENO, ROLO DE 3 X 100 M (L X C), COR BRANCA, SEM LOGOMARCA - PARA PROTECAO DE OBRAS</t>
  </si>
  <si>
    <t>TAMPAO FOFO ARTICULADO P/ REGISTRO, COM BASE / REQUADRO, CLASSE A15 CARGA MAXIMA 1,5 T, *400 X 400* MM (COM INSCRICAO EM RELEVO DO TIPO DE REDE)</t>
  </si>
  <si>
    <t>ARQUITETO DE OBRA PLENO COM ENCARGOS COMPLEMENTARES</t>
  </si>
  <si>
    <t>LOCACAO DE ANDAIME SUSPENSO OU BALANCIM MANUAL, CAPACIDADE DE CARGA TOTAL DE APROXIMADAMENTE 250 KG/M2, PLATAFORMA DE 1,50 M X 0,80 M (C X L), CABO DE 45 M</t>
  </si>
  <si>
    <t>LAVADORA DE ALTA PRESSAO (LAVA-JATO) PARA AGUA FRIA, PRESSAO DE OPERACAO ENTRE 1400 E 1900 LIB/POL2, VAZAO MAXIMA ENTRE 400 E 700 L/H - CHP DIURNO. AF_05/2023</t>
  </si>
  <si>
    <t>MANTA LIQUIDA DE BASE ASFALTICA MODIFICADA COM A ADICAO DE ELASTOMEROS DILUIDOS EM SOLVENTE ORGANICO, APLICACAO A FRIO (MEMBRANA DE EMULSAO ASFALTICA PARA IMPERMEABILIZACAO FLEXIVEL)</t>
  </si>
  <si>
    <t>VEU DE POLIESTER PARA IMPERMEABILIZACAO</t>
  </si>
  <si>
    <t>CAMADA SEPARADORA DE FILME DE POLIETILENO 20 A 25 MICRA</t>
  </si>
  <si>
    <t>TELA DE ARAME GALVANIZADA, HEXAGONAL, FIO 0,56 MM (24 BWG), MALHA 1/2", H = 1 M</t>
  </si>
  <si>
    <t>PAPEL KRAFT BETUMADO</t>
  </si>
  <si>
    <t>PARAFUSO DE ACO ZINCADO, TIPO CHUMBADOR PARABOLT, DIAMETRO 3/8", COMPRIMENTO 75 MM</t>
  </si>
  <si>
    <t>PRIMER DE POLIURETANO</t>
  </si>
  <si>
    <t>TARUGO DELIMITADOR DE PROFUNDIDADE EM ESPUMA DE POLIETILENO DE BAIXA DENSIDADE 10 MM, CINZA</t>
  </si>
  <si>
    <t>CHUVEIRO COMUM EM PLASTICO BRANCO, COM CANO, 3 TEMPERATURAS, 5500 W (110/220 V)</t>
  </si>
  <si>
    <t>CONCRETO USINADO BOMBEAVEL, CLASSE DE RESISTENCIA C20, COM BRITA 0 E 1, SLUMP = 100 +/- 20 MM, EXCLUI SERVICO DE BOMBEAMENTO (NBR 8953)</t>
  </si>
  <si>
    <t>ENDURECEDOR MINERAL DE BASE CIMENTICIA PARA PISO DE CONCRETO</t>
  </si>
  <si>
    <t>DESEMPENADEIRA DE CONCRETO, PESO DE 78 KG, 4 PÁS, MOTOR A GASOLINA, POTÊNCIA 5,5 HP - CHP DIURNO. AF_05/2023</t>
  </si>
  <si>
    <t>TELA DE ACO SOLDADA NERVURADA, CA-60, Q-196, (3,11 KG/M2), DIAMETRO DO FIO = 5,0 MM, LARGURA = 2,45 M, ESPACAMENTO DA MALHA = 10 X 10 CM</t>
  </si>
  <si>
    <t>APARELHO PARA CORTE E SOLDA OXI-ACETILENO SOBRE RODAS, INCLUSIVE CILINDROS E MAÇARICOS - CHP DIURNO. AF_05/2023</t>
  </si>
  <si>
    <t>GRAMA BATATAIS EM PLACAS, SEM PLANTIO</t>
  </si>
  <si>
    <t>JARDINEIRO COM ENCARGOS COMPLEMENTARES</t>
  </si>
  <si>
    <t>CALCARIO DOLOMITICO A (POSTO PEDREIRA/FORNECEDOR, SEM FRETE)</t>
  </si>
  <si>
    <t>TERRA VEGETAL (GRANEL)</t>
  </si>
  <si>
    <t>FERTILIZANTE NPK - 10:10:10</t>
  </si>
  <si>
    <t>FERTILIZANTE ORGANICO COMPOSTO, CLASSE A</t>
  </si>
  <si>
    <t>TINTA ACRILICA PREMIUM PARA PISO</t>
  </si>
  <si>
    <t>MEIO-FIO OU GUIA DE CONCRETO, PRE-MOLDADO, COMP 1 M, *30 X 12/15* CM (H X L1/L2)</t>
  </si>
  <si>
    <t>TUBO DRENO, CORRUGADO, ESPIRALADO, FLEXIVEL, PERFURADO, EM POLIETILENO DE ALTA DENSIDADE (PEAD), DN 100 MM, (4") PARA DRENAGEM - EM ROLO (NORMA DNIT 093/2006 - E.M)</t>
  </si>
  <si>
    <t>GEOTEXTIL NAO TECIDO AGULHADO DE FILAMENTOS CONTINUOS 100% POLIESTER, RESITENCIA A TRACAO = 31 KN/M</t>
  </si>
  <si>
    <t>LOCACAO DE CONTAINER 2,30 X 6,00 M, ALT. 2,50 M, COM 1 SANITARIO, PARA ESCRITORIO, COMPLETO, SEM DIVISORIAS INTERNAS (NAO INCLUI MOBILIZACAO/DESMOBILIZACAO)</t>
  </si>
  <si>
    <t>PLACA VINILICA SEMIFLEXIVEL PARA REVESTIMENTO DE PISOS E PAREDES, E = 2 MM (SEM COLOCACAO)</t>
  </si>
  <si>
    <t>LOCACAO DE CONTAINER 2,30 X 6,00 M, ALT. 2,50 M, PARA SANITARIO, COM 4 BACIAS, 8 CHUVEIROS,1 LAVATORIO E 1 MICTORIO (NAO INCLUI MOBILIZACAO/DESMOBILIZACAO)</t>
  </si>
  <si>
    <t>LOCACAO DE CONTAINER 2,30 X 6,00 M, ALT. 2,50 M, PARA ESCRITORIO, SEM DIVISORIAS INTERNAS E SEM SANITARIO (NAO INCLUI MOBILIZACAO/DESMOBILIZACAO)</t>
  </si>
  <si>
    <t>PLACA DE OBRA (PARA CONSTRUCAO CIVIL) EM CHAPA GALVANIZADA *N. 22*, ADESIVADA, DE *2,4 X 1,2* M (SEM POSTES PARA FIXACAO)</t>
  </si>
  <si>
    <t>TECNICO DE EDIFICACOES COM ENCARGOS COMPLEMENTARES</t>
  </si>
  <si>
    <t>TÉCNICO EM SEGURANÇA DO TRABALHO COM ENCARGOS COMPLEMENTARES</t>
  </si>
  <si>
    <t>GUARNICAO / MOLDURA / ARREMATE DE ACABAMENTO PARA ESQUADRIA, EM ALUMINIO PERFIL 25, ACABAMENTO ANODIZADO BRANCO OU BRILHANTE, PARA 1 FACE</t>
  </si>
  <si>
    <t>PORTA DE ABRIR, TIPO VENEZIANA, EM ALUMINIO, ACABAMENTO ANODIZADO NATURAL, 90 CM X 210 CM (LARGURA X ALTURA), SEM GUARNICAO/ALIZAR/VISTA</t>
  </si>
  <si>
    <t>PARAFUSO DE ACO ZINCADO COM ROSCA SOBERBA, CABECA CHATA E FENDA SIMPLES, DIAMETRO 4,2 MM, COMPRIMENTO * 32 * MM</t>
  </si>
  <si>
    <t>JANELA MAXIM-AR, EM ALUMINIO PERFIL 25, 60 X 80 CM (A X L), ACABAMENTO BRANCO OU BRILHANTE, BATENTE DE 4 A 5 CM, COM VIDRO 4 MM, SEM GUARNICAO/ALIZAR</t>
  </si>
  <si>
    <t>PORTA DE ENROLAR MANUAL COMPLETA, ARTICULADA RAIADA LARGA, EM ACO GALVANIZADO NATURAL, CHAPA NUMERO 24 (SEM INSTALACAO)</t>
  </si>
  <si>
    <t>COTOVELO 90 GRAUS DE FERRO GALVANIZADO, COM ROSCA BSP, DE 1"</t>
  </si>
  <si>
    <t>NIPLE DE FERRO GALVANIZADO, COM ROSCA BSP, DE 1"</t>
  </si>
  <si>
    <t>PLUG OU BUJAO DE FERRO GALVANIZADO, DE 1/2"</t>
  </si>
  <si>
    <t>TE DE REDUCAO DE FERRO GALVANIZADO, COM ROSCA BSP, DE 1" X 1/2"</t>
  </si>
  <si>
    <t>UNIAO DE FERRO GALVANIZADO, COM ROSCA BSP, COM ASSENTO PLANO, DE 1"</t>
  </si>
  <si>
    <t>VALVULA DE ESFERA BRUTA EM BRONZE, BITOLA 1/2"</t>
  </si>
  <si>
    <t>TUBO ACO GALVANIZADO COM COSTURA, CLASSE MEDIA, DN 1", E = 3,38 MM, PESO 2,50 KG/M (NBR 5580)</t>
  </si>
  <si>
    <t>ELETRODUTO/DUTO PEAD FLEXIVEL PAREDE SIMPLES, CORRUGACAO HELICOIDAL, COR PRETA, SEM ROSCA, DE 3", CRC 680 N, PARA CABEAMENTO SUBTERRANEO (NBR 15715)</t>
  </si>
  <si>
    <t>PISO TATIL DE ALERTA OU DIRECIONAL, DE BORRACHA, COLORIDO, 25 X 25 CM, E = 12 MM, PARA ARGAMASSA</t>
  </si>
  <si>
    <t>TAMPAO FOFO ARTICULADO P/ REGISTRO, COM BASE / REQUADRO, CLASSE A15 CARGA MAX 1,5 T, *200 X 200* MM (COM INSCRICAO EM RELEVO DO TIPO DE REDE)</t>
  </si>
  <si>
    <t>AREIA PARA ATERRO - POSTO JAZIDA/FORNECEDOR (RETIRADO NA JAZIDA, SEM TRANSPORTE)</t>
  </si>
  <si>
    <t>CHAPA DE ACO GROSSA, ASTM A36, E = 3/8" (9,53 MM) 74,69 KG/M2</t>
  </si>
  <si>
    <t>ELETRODO REVESTIDO AWS - E6013, DIAMETRO IGUAL A 2,50 MM</t>
  </si>
  <si>
    <t>ALIMENTACAO - HORISTA (COLETADO CAIXA - ENCARGOS COMPLEMENTARES)</t>
  </si>
  <si>
    <t>TRANSPORTE - HORISTA (COLETADO CAIXA - ENCARGOS COMPLEMENTARES)</t>
  </si>
  <si>
    <t>COTOVELO DE COBRE 90 GRAUS SEM ANEL DE SOLDA, BOLSA X BOLSA, 35 MM</t>
  </si>
  <si>
    <t>SOLDA ESTANHO/COBRE PARA CONEXOES DE COBRE, FIO 2,5 MM, CARRETEL 500 GR (SEM CHUMBO)</t>
  </si>
  <si>
    <t>PASTA PARA SOLDA DE TUBOS E CONEXOES DE COBRE (EMBALAGEM COM 250 G)</t>
  </si>
  <si>
    <t>COTOVELO DE COBRE 90 GRAUS SEM ANEL DE SOLDA, BOLSA X BOLSA, 42 MM</t>
  </si>
  <si>
    <t>COTOVELO DE COBRE 90 GRAUS SEM ANEL DE SOLDA, BOLSA X BOLSA, 22 MM</t>
  </si>
  <si>
    <t>LUVA DE COBRE SEM ANEL DE SOLDA, BOLSA X BOLSA, 35 MM</t>
  </si>
  <si>
    <t>LUVA DE COBRE SEM ANEL DE SOLDA, BOLSA X BOLSA, 42 MM</t>
  </si>
  <si>
    <t>LUVA DE COBRE SEM ANEL DE SOLDA, BOLSA X BOLSA, 22 MM</t>
  </si>
  <si>
    <t>TUBO DE COBRE CLASSE "A", DN = 1 1/4" (35 MM), PARA INSTALACOES DE MEDIA PRESSAO PARA GASES COMBUSTIVEIS E MEDICINAIS</t>
  </si>
  <si>
    <t>TUBO DE COBRE CLASSE "A", DN = 1 1/2" (42 MM), PARA INSTALACOES DE MEDIA PRESSAO PARA GASES COMBUSTIVEIS E MEDICINAIS</t>
  </si>
  <si>
    <t>ELETRODUTO FLEXIVEL, EM FITA DE ACO GALVANIZADO, REVESTIDO COM PVC PRETO, DIAMETRO EXTERNO DE 50 MM, DN = 1 1/2", TIPO SEALTUBO</t>
  </si>
  <si>
    <t>COLA A BASE DE RESINA SINTETICA PARA CHAPA DE LAMINADO MELAMINICO E OUTROS</t>
  </si>
  <si>
    <t>PISO EM PORCELANATO, RETIFICADO, LISO, MONOCOLOR, ACETINADO OU POLIDO, FORMATO MAIOR QUE 2500 ATE 6400 CM2</t>
  </si>
  <si>
    <t>PISO EM GRANILITE, MARMORITE OU GRANITINA, AGREGADO COR PRETO, CINZA, PALHA OU BRANCO, E= *8* MM (INCLUSO EXECUCAO)</t>
  </si>
  <si>
    <t>SELANTE MONOCOMPONENTE A BASE DE SILICONE DE BAIXO MODULO, PARA JUNTAS DE PAVIMENTACAO</t>
  </si>
  <si>
    <t>TACO DE MADEIRA PARA PISO, IPE (CERNE) OU EQUIVALENTE DA REGIAO, 7 X 42 CM, E = 2 CM</t>
  </si>
  <si>
    <t>PISO DE BORRACHA PASTILHADO EM PLACAS 50 X 50 CM, E = *3,5* MM, PARA COLA, PRETO</t>
  </si>
  <si>
    <t>ARAME GALVANIZADO 18 BWG, D = 1,24MM (0,009 KG/M)</t>
  </si>
  <si>
    <t>PLACA DE GESSO PARA FORRO, *60 X 60* CM, ESPESSURA DE 12 MM (SEM COLOCACAO)</t>
  </si>
  <si>
    <t>SISAL EM FIBRA / ESTOPA SISAL PARA GESSO</t>
  </si>
  <si>
    <t>MASSA PREMIUM PARA TEXTURA LISA DE BASE ACRILICA, USO INTERNO E EXTERNO</t>
  </si>
  <si>
    <t>SELADOR ACRILICO OPACO PREMIUM INTERIOR/EXTERIOR</t>
  </si>
  <si>
    <t>FITA CREPE ROLO DE *25* MM X 50 M</t>
  </si>
  <si>
    <t>DILUENTE EPOXI</t>
  </si>
  <si>
    <t>TINTA EPOXI BASE AGUA PREMIUM, BRANCA</t>
  </si>
  <si>
    <t>PRIMER EPOXI / EPOXIDICO</t>
  </si>
  <si>
    <t>SELANTE A BASE DE ALCATRAO E POLIURETANO PARA JUNTAS HORIZONTAIS</t>
  </si>
  <si>
    <t>PO DE PEDRA (POSTO PEDREIRA/FORNECEDOR, SEM FRETE)</t>
  </si>
  <si>
    <t>BLOQUETE/PISO DE CONCRETO - MODELO PISOGRAMA/CONCREGRAMA 2 FUROS, DIMENSOES APROX. DE *35 X 15* CM E ESPESSURA DE 7 CM (+/- 1 CM), COR NATURAL</t>
  </si>
  <si>
    <t>CALCETEIRO COM ENCARGOS COMPLEMENTARES</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</si>
  <si>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</si>
  <si>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</si>
  <si>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ROLO COMPACTADOR DE PNEUS, ESTÁTICO, PRESSÃO VARIÁVEL, POTÊNCIA 110 HP, PESO SEM/COM LASTRO 10,8/27 T, LARGURA DE ROLAGEM 2,30 M - CHI DIURNO. AF_06/2017</t>
  </si>
  <si>
    <t>ROLO COMPACTADOR DE PNEUS, ESTÁTICO, PRESSÃO VARIÁVEL, POTÊNCIA 110 HP, PESO SEM/COM LASTRO 10,8/27 T, LARGURA DE ROLAGEM 2,30 M - CHP DIURNO. AF_06/2017</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</si>
  <si>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</si>
  <si>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</si>
  <si>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TRATOR DE PNEUS, POTÊNCIA 85 CV, TRAÇÃO 4X4, PESO COM LASTRO DE 4.675 KG - CHI DIURNO. AF_06/2014</t>
  </si>
  <si>
    <t>TRATOR DE PNEUS, POTÊNCIA 85 CV, TRAÇÃO 4X4, PESO COM LASTRO DE 4.675 KG - CHP DIURNO. AF_06/2014</t>
  </si>
  <si>
    <t>VASSOURA MECÂNICA REBOCÁVEL COM ESCOVA CILÍNDRICA, LARGURA ÚTIL DE VARRIMENTO DE 2,44 M - CHI DIURNO. AF_06/2014</t>
  </si>
  <si>
    <t>VASSOURA MECÂNICA REBOCÁVEL COM ESCOVA CILÍNDRICA, LARGURA ÚTIL DE VARRIMENTO DE 2,44 M - CHP DIURNO. AF_06/2014</t>
  </si>
  <si>
    <t>VIBROACABADORA DE ASFALTO SOBRE ESTEIRAS, LARGURA DE PAVIMENTAÇÃO 1,90 M A 5,30 M, POTÊNCIA 105 HP CAPACIDADE 450 T/H - CHP DIURNO. AF_11/2014</t>
  </si>
  <si>
    <t>CAMINHÃO BASCULANTE 10 M3, TRUCADO, POTÊNCIA 230 CV, INCLUSIVE CAÇAMBA METÁLICA, COM DISTRIBUIDOR DE AGREGADOS ACOPLADO - CHP DIURNO. AF_02/2017</t>
  </si>
  <si>
    <t>GRUPO GERADOR ESTACIONÁRIO, POTÊNCIA 150 KVA, MOTOR A DIESEL- CHP DIURNO. AF_03/2016</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</si>
  <si>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</si>
  <si>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</si>
  <si>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USINA DE ASFALTO À FRIO, CAPACIDADE DE 40 A 60 TON/HORA, ELÉTRICA POTÊNCIA 30 CV - CHP DIURNO. AF_05/2023</t>
  </si>
  <si>
    <t>TANQUE DE ASFALTO ESTACIONÁRIO COM SERPENTINA, CAPACIDADE 30.000 L - CHP DIURNO. AF_05/2023</t>
  </si>
  <si>
    <t>MICROESFERAS DE VIDRO PARA SINALIZACAO HORIZONTAL VIARIA, TIPO I-B (PREMIX) - NBR 16184</t>
  </si>
  <si>
    <t>MICROESFERAS DE VIDRO PARA SINALIZACAO HORIZONTAL VIARIA, TIPO II-A (DROP-ON) - NBR 16184</t>
  </si>
  <si>
    <t>TINTA ACRILICA A BASE DE SOLVENTE, PARA SINALIZACAO HORIZONTAL VIARIA (NBR 11862)</t>
  </si>
  <si>
    <t>TELHA TRAPEZOIDAL EM ACO ZINCADO, SEM PINTURA, ALTURA DE APROXIMADAMENTE 40 MM, ESPESSURA DE 0,50 MM E LARGURA UTIL DE 980 MM</t>
  </si>
  <si>
    <t>HASTE RETA PARA GANCHO DE FERRO GALVANIZADO, COM ROSCA 1/4" X 30 CM PARA FIXACAO DE TELHA METALICA, INCLUI PORCA E ARRUELAS DE VEDACAO</t>
  </si>
  <si>
    <t>CUMEEIRA UNIVERSAL PARA TELHA ONDULADA DE FIBROCIMENTO, E = 6 MM, ABA 210 MM, COMPRIMENTO 1100 MM (SEM AMIANTO)</t>
  </si>
  <si>
    <t>CUMEEIRA SHED PARA TELHA ONDULADA DE FIBROCIMENTO, E = 6 MM, ABA 280 MM, COMPRIMENTO 1100 MM (SEM AMIANTO)</t>
  </si>
  <si>
    <t>ANEL BORRACHA, DN 100 MM, PARA TUBO SERIE REFORCADA ESGOTO PREDIAL</t>
  </si>
  <si>
    <t>ANEL BORRACHA, DN 150 MM, PARA TUBO SERIE REFORCADA ESGOTO PREDIAL</t>
  </si>
  <si>
    <t>REDUCAO EXCENTRICA PVC, SERIE R, DN 150 X 100 MM, PARA ESGOTO PREDIAL</t>
  </si>
  <si>
    <t>PASTA LUBRIFICANTE PARA TUBOS E CONEXOES COM JUNTA ELASTICA, EMBALAGEM DE *400* GR (USO EM PVC, ACO, POLIETILENO E OUTROS)</t>
  </si>
  <si>
    <t>TUBO PVC, SERIE R, DN 150 MM, PARA ESGOTO OU AGUAS PLUVIAIS PREDIAL (NBR 5688)</t>
  </si>
  <si>
    <t>RALO FOFO SEMIESFERICO, 150 MM, PARA LAJES/ CALHAS</t>
  </si>
  <si>
    <t>GEOTEXTIL NAO TECIDO AGULHADO DE FILAMENTOS CONTINUOS 100% POLIESTER, RESITENCIA A TRACAO = 10 KN/M</t>
  </si>
  <si>
    <t>POLIESTIRENO EXPANDIDO/EPS (ISOPOR), TIPO 2F, PLACA, ISOLAMENTO TERMOACUSTICO, E = 20 MM, 1000 X 500 MM</t>
  </si>
  <si>
    <t>RUFO INTERNO/EXTERNO DE CHAPA DE ACO GALVANIZADA NUM 24, CORTE 25 CM</t>
  </si>
  <si>
    <t>ACO CA-50, 10,0 MM, OU 12,5 MM, OU 16,0 MM, OU 20,0 MM, DOBRADO E CORTADO</t>
  </si>
  <si>
    <t>PARAFUSO, COMUM, ASTM A307, SEXTAVADO, DIAMETRO 1/2" (12,7 MM), COMPRIMENTO 1" (25,4 MM)</t>
  </si>
  <si>
    <t>PERFIL "U" ENRIJECIDO, EM CHAPA DOBRADA DE ACO LAMINADO, E = 3,75 MM, H = 200 MM, L = 75 MM (9,94 KG/M)</t>
  </si>
  <si>
    <t>POLIESTIRENO EXPANDIDO/EPS (ISOPOR), PEROLAS, PARA CONCRETO LEVE</t>
  </si>
  <si>
    <t>PRIMER PARA MANTA ASFALTICA A BASE DE ASFALTO MODIFICADO DILUIDO EM SOLVENTE, APLICACAO A FRIO</t>
  </si>
  <si>
    <t>MEMBRANA IMPERMEABILIZANTE A BASE DE POLIURETANO</t>
  </si>
  <si>
    <t>MANTA ASFALTICA ELASTOMERICA EM POLIESTER 4 MM, TIPO III, CLASSE B, ACABAMENTO PP (NBR 9952)</t>
  </si>
  <si>
    <t>GAS DE COZINHA - GLP</t>
  </si>
  <si>
    <t>MEMBRANA IMPERMEABILIZANTE ACRILICA MONOCOMPONENTE</t>
  </si>
  <si>
    <t>MANTA ASFALTICA ELASTOMERICA EM POLIESTER 3 MM, TIPO III, CLASSE B, ACABAMENTO PP (NBR 9952)</t>
  </si>
  <si>
    <t>ADITIVO LIQUIDO INCORPORADOR DE AR PARA CONCRETO E ARGAMASSA, LIQUIDO E ISENTO DE CLORETOS</t>
  </si>
  <si>
    <t>CALHA QUADRADA DE CHAPA DE ACO GALVANIZADA NUM 24, CORTE 50 CM</t>
  </si>
  <si>
    <t>TALHADEIRA COM PUNHO DE PROTECAO *20 X 250* MM</t>
  </si>
  <si>
    <t>ESCADA DUPLA DE ABRIR EM ALUMINIO, COM SAPATAS DE BORRACHA, *2,30* X *0,57* M (ALTURA UTIL X LARGURA MINIMA), MODELO PINTOR, 8 DEGRAUS, CAPACIDADE *100* KG</t>
  </si>
  <si>
    <t>MANGUEIRA CRISTAL, LISA, PVC TRANSPARENTE, 5/16" X 1 MM</t>
  </si>
  <si>
    <t>TALHA MANUAL DE CORRENTE, CAPACIDADE DE 2 T COM ELEVACAO DE 3 M</t>
  </si>
  <si>
    <t>MANTA ASFALTICA ELASTOMERICA EM POLIESTER ALUMINIZADA 3 MM, TIPO III, CLASSE B (NBR 9952)</t>
  </si>
  <si>
    <t>GRANITO PARA BANCADA, POLIDO, TIPO ANDORINHA/ QUARTZ/ CASTELO/ CORUMBA OU OUTROS EQUIVALENTES DA REGIAO, E= *2,5* CM</t>
  </si>
  <si>
    <t>ADESIVO PARA TUBOS CPVC, *75* G</t>
  </si>
  <si>
    <t>TE MISTURADOR DE TRANSICAO, CPVC, COM ROSCA, 22 MM X 3/4", PARA AGUA QUENTE</t>
  </si>
  <si>
    <t>PORTA DE MADEIRA, FOLHA MEDIA (NBR 15930) DE 600 X 2100 MM, DE 35 MM A 40 MM DE ESPESSURA, NUCLEO SEMI-SOLIDO (SARRAFEADO), CAPA FRISADA EM HDF, ACABAMENTO MELAMINICO EM PADRAO MADEIRA</t>
  </si>
  <si>
    <t>PORTA DE ABRIR / GIRO, DE MADEIRA FOLHA MEDIA (NBR 15930) DE 700 X 2100 MM, DE 35 MM A 40 MM DE ESPESSURA, NUCLEO SEMI-SOLIDO (SARRAFEADO), CAPA FRISADA EM HDF, ACABAMENTO MELAMINICO EM PADRAO MADEIRA</t>
  </si>
  <si>
    <t>PORTA DE ABRIR / GIRO, DE MADEIRA FOLHA MEDIA (NBR 15930) DE 800 X 2100 MM, DE 35 MM A 40 MM DE ESPESSURA, NUCLEO SEMI-SOLIDO (SARRAFEADO), CAPA FRISADA EM HDF, ACABAMENTO MELAMINICO EM PADRAO MADEIRA</t>
  </si>
  <si>
    <t>TUBO CPVC, SOLDAVEL, 22 MM, AGUA QUENTE PREDIAL (NBR 15884)</t>
  </si>
  <si>
    <t>TUBO CPVC, SOLDAVEL, 28 MM, AGUA QUENTE PREDIAL (NBR 15884)</t>
  </si>
  <si>
    <t>PULSADOR CAMPAINHA 10A, 250V (APENAS MODULO)</t>
  </si>
  <si>
    <t>LUMINARIA LED PLAFON REDONDO DE SOBREPOR BIVOLT 12/13 W, D = *17* CM</t>
  </si>
  <si>
    <t>LAMPADA LED 10 W BIVOLT BRANCA, FORMATO TRADICIONAL (BASE E27)</t>
  </si>
  <si>
    <t>SOQUETE DE BAQUELITE BASE E27, PARA LAMPADAS</t>
  </si>
  <si>
    <t>CANTONEIRA EM ALUMINIO, ABAS IGUAIS, LARGURA DE 25,40 MM (1"), ESPESSURA DE 4,76 MM (3/16") E PESO LINEAR DE APROXIMADAMENTE 0,593 KG/M</t>
  </si>
  <si>
    <t>ESCAVADEIRA HIDRÁULICA SOBRE ESTEIRAS, CAÇAMBA 0,80 M3, PESO OPERACIONAL 17 T, POTENCIA BRUTA 111 HP - CHP DIURNO. AF_06/2014</t>
  </si>
  <si>
    <t>ESCAVADEIRA HIDRÁULICA SOBRE ESTEIRAS, CAÇAMBA 0,80 M3, PESO OPERACIONAL 17 T, POTENCIA BRUTA 111 HP - CHI DIURNO. AF_06/2014</t>
  </si>
  <si>
    <t>ASSENTADOR DE TUBOS COM ENCARGOS COMPLEMENTARES</t>
  </si>
  <si>
    <t>TUBO ACO CARBONO SEM COSTURA 5", E= *6,55 MM, SCHEDULE 40, *21,75* KG/M</t>
  </si>
  <si>
    <t>TUBO ACO CARBONO SEM COSTURA 8", E= *8,18 MM, SCHEDULE 40, *42,55 KG/M</t>
  </si>
  <si>
    <t>ELETRODUTO/DUTO PEAD FLEXIVEL PAREDE SIMPLES, CORRUGACAO HELICOIDAL, COR PRETA, SEM ROSCA, DE 1 1/4", CRC 680 N, PARA CABEAMENTO SUBTERRANEO (NBR 15715)</t>
  </si>
  <si>
    <t>DESENHISTA PROJETISTA COM ENCARGOS COMPLEMENTARES</t>
  </si>
  <si>
    <t>TOPOGRAFO COM ENCARGOS COMPLEMENTARES</t>
  </si>
  <si>
    <t>AUXILIAR DE TOPÓGRAFO COM ENCARGOS COMPLEMENTARES</t>
  </si>
  <si>
    <t>ELETRODUTO/DUTO PEAD FLEXIVEL PAREDE SIMPLES, CORRUGACAO HELICOIDAL, COR PRETA, SEM ROSCA, DE 2", CRC 680 N, PARA CABEAMENTO SUBTERRANEO (NBR 15715)</t>
  </si>
  <si>
    <t>TAMPAO FOFO ARTICULADO, COM BASE / REQUADRO, CLASSE D400 CARGA MAX 40 T, REDONDO, TAMPA 600 MM (COM INSCRICAO EM RELEVO DO TIPO DE REDE)</t>
  </si>
  <si>
    <t>TUBO MULTICAMADA PEX GAS, DN *20* MM</t>
  </si>
  <si>
    <t>TUBO MULTICAMADA PEX GAS, DN *26* MM</t>
  </si>
  <si>
    <t>REGISTRO OU REGULADOR DE GAS COZINHA, VAZAO DE 2 KG/H, 2,8 KPA</t>
  </si>
  <si>
    <t>CONDULETE DE ALUMINIO TIPO T, PARA ELETRODUTO ROSCAVEL DE 2", COM TAMPA CEGA</t>
  </si>
  <si>
    <t>LUMINARIA DE LED PARA ILUMINACAO PUBLICA, DE 51 W ATE 67 W, INVOLUCRO EM ALUMINIO OU ACO INOX</t>
  </si>
  <si>
    <t>LUMINARIA DE LED PARA ILUMINACAO PUBLICA, DE 98 W ATE 137 W, INVOLUCRO EM ALUMINIO OU ACO INOX</t>
  </si>
  <si>
    <t>POSTE CONICO CONTINUO EM ACO GALVANIZADO, CURVO, BRACO SIMPLES, ENGASTADO, H = 9 M, DIAMETRO INFERIOR = *135* MM</t>
  </si>
  <si>
    <t>CABO DE COBRE NU 50 MM2 MEIO-DURO</t>
  </si>
  <si>
    <t>AUXILIAR DE ESCRITORIO COM ENCARGOS COMPLEMENTARES</t>
  </si>
  <si>
    <t>ELETROTÉCNICO COM ENCARGOS COMPLEMENTARES</t>
  </si>
  <si>
    <t>CONDULETE DE ALUMINIO TIPO E, PARA ELETRODUTO ROSCAVEL DE 3/4", COM TAMPA CEGA</t>
  </si>
  <si>
    <t>CONDULETE DE ALUMINIO TIPO E, PARA ELETRODUTO ROSCAVEL DE 1", COM TAMPA CEGA</t>
  </si>
  <si>
    <t>CONDULETE DE ALUMINIO TIPO E, PARA ELETRODUTO ROSCAVEL DE 1 1/4", COM TAMPA CEGA</t>
  </si>
  <si>
    <t>CONDULETE DE ALUMINIO TIPO E, PARA ELETRODUTO ROSCAVEL DE 1 1/2", COM TAMPA CEGA</t>
  </si>
  <si>
    <t>CONDULETE DE ALUMINIO TIPO E, PARA ELETRODUTO ROSCAVEL DE 2", COM TAMPA CEGA</t>
  </si>
  <si>
    <t>CONDULETE DE ALUMINIO TIPO E, PARA ELETRODUTO ROSCAVEL DE 3", COM TAMPA CEGA</t>
  </si>
  <si>
    <t>CONDULETE DE ALUMINIO TIPO C, PARA ELETRODUTO ROSCAVEL DE 4", COM TAMPA CEGA</t>
  </si>
  <si>
    <t>TAMPA PARA CONDULETE, EM PVC, PARA 1 MODULO RJ</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</si>
  <si>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</si>
  <si>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</si>
  <si>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50 MM2, 1 FURO E 1 COMPRESSAO, PARA PARAFUSO DE FIXACAO M8</t>
  </si>
  <si>
    <t>TERMINAL A COMPRESSAO EM COBRE ESTANHADO PARA CABO 70 MM2, 1 FURO E 1 COMPRESSAO, PARA PARAFUSO DE FIXACAO M10</t>
  </si>
  <si>
    <t>TERMINAL A COMPRESSAO EM COBRE ESTANHADO PARA CABO 95 MM2, 1 FURO E 1 COMPRESSAO, PARA PARAFUSO DE FIXACAO M12</t>
  </si>
  <si>
    <t>TERMINAL A COMPRESSAO EM COBRE ESTANHADO PARA CABO 120 MM2, 1 FURO E 1 COMPRESSAO, PARA PARAFUSO DE FIXACAO M12</t>
  </si>
  <si>
    <t>TERMINAL METALICO A PRESSAO PARA 1 CABO DE 150 MM2, COM 1 FURO DE FIXACAO</t>
  </si>
  <si>
    <t>TERMINAL METALICO A PRESSAO PARA 1 CABO DE 185 MM2, COM 1 FURO DE FIXACAO</t>
  </si>
  <si>
    <t>TERMINAL METALICO A PRESSAO PARA 1 CABO DE 240 MM2, COM 1 FURO DE FIXACAO</t>
  </si>
  <si>
    <t>TERMINAL METALICO A PRESSAO PARA 1 CABO DE 300 MM2, COM 1 FURO DE FIXACAO</t>
  </si>
  <si>
    <t>CABO DE COBRE NU 16 MM2 MEIO-DURO</t>
  </si>
  <si>
    <t>CABO DE COBRE NU 25 MM2 MEIO-DURO</t>
  </si>
  <si>
    <t>CABO DE COBRE NU 35 MM2 MEIO-DURO</t>
  </si>
  <si>
    <t>CABO DE COBRE NU 70 MM2 MEIO-DURO</t>
  </si>
  <si>
    <t>ELETRODUTO EM ACO GALVANIZADO ELETROLITICO, LEVE, DIAMETRO 3/4", PAREDE DE 0,90 MM</t>
  </si>
  <si>
    <t>LUVA PARA ELETRODUTO, EM ACO GALVANIZADO ELETROLITICO, COM ROSCA, DIAMETRO DE 15 MM (1/2")</t>
  </si>
  <si>
    <t>CURVA 90 GRAUS PARA ELETRODUTO, EM ACO GALVANIZADO ELETROLITICO, COM ROSCA, DIAMETRO DE 15 MM (1/2"), ESPESSURA DE 1,50 MM</t>
  </si>
  <si>
    <t>CONECTOR RETO DE ALUMINIO PARA ELETRODUTO DE 3/4", PARA ADAPTAR ENTRADA DE ELETRODUTO METALICO FLEXIVEL EM QUADROS</t>
  </si>
  <si>
    <t>CONECTOR CURVO 90 GRAUS DE ALUMINIO, BITOLA 3/4", PARA ADAPTAR ENTRADA DE ELETRODUTO METALICO FLEXIVEL EM QUADROS</t>
  </si>
  <si>
    <t>CURVA 90 GRAUS PARA ELETRODUTO, EM ACO GALVANIZADO ELETROLITICO, COM ROSCA, DIAMETRO DE 20 MM (3/4"), ESPESSURA DE 1,50 MM</t>
  </si>
  <si>
    <t>CONECTOR RETO DE ALUMINIO PARA ELETRODUTO DE 1", PARA ADAPTAR ENTRADA DE ELETRODUTO METALICO FLEXIVEL EM QUADROS</t>
  </si>
  <si>
    <t>CONECTOR CURVO 90 GRAUS DE ALUMINIO, BITOLA 1", PARA ADAPTAR ENTRADA DE ELETRODUTO METALICO FLEXIVEL EM QUADROS</t>
  </si>
  <si>
    <t>CURVA 90 GRAUS PARA ELETRODUTO, EM ACO GALVANIZADO ELETROLITICO, COM ROSCA, DIAMETRO DE 25 MM (1"), ESPESSURA DE 1,50 MM</t>
  </si>
  <si>
    <t>CONECTOR RETO DE ALUMINIO PARA ELETRODUTO DE 1 1/4", PARA ADAPTAR ENTRADA DE ELETRODUTO METALICO FLEXIVEL EM QUADROS</t>
  </si>
  <si>
    <t>CONECTOR CURVO 90 GRAUS DE ALUMINIO, BITOLA 1 1/4", PARA ADAPTAR ENTRADA DE ELETRODUTO METALICO FLEXIVEL EM QUADROS</t>
  </si>
  <si>
    <t>CURVA 90 GRAUS PARA ELETRODUTO, EM ACO GALVANIZADO ELETROLITICO, COM ROSCA, DIAMETRO DE 32 MM (1 1/4"), ESPESSURA DE 1,50 MM</t>
  </si>
  <si>
    <t>CONECTOR RETO DE ALUMINIO PARA ELETRODUTO DE 1 1/2", PARA ADAPTAR ENTRADA DE ELETRODUTO METALICO FLEXIVEL EM QUADROS</t>
  </si>
  <si>
    <t>CONECTOR CURVO 90 GRAUS DE ALUMINIO, BITOLA 1 1/2", PARA ADAPTAR ENTRADA DE ELETRODUTO METALICO FLEXIVEL EM QUADROS</t>
  </si>
  <si>
    <t>CURVA 90 GRAUS PARA ELETRODUTO, EM ACO GALVANIZADO ELETROLITICO, COM ROSCA, DIAMETRO DE 40 MM (1 1/2"), ESPESSURA DE 1,50 MM</t>
  </si>
  <si>
    <t>CONECTOR RETO DE ALUMINIO PARA ELETRODUTO DE 2", PARA ADAPTAR ENTRADA DE ELETRODUTO METALICO FLEXIVEL EM QUADROS</t>
  </si>
  <si>
    <t>CONECTOR CURVO 90 GRAUS DE ALUMINIO, BITOLA 2", PARA ADAPTAR ENTRADA DE ELETRODUTO METALICO FLEXIVEL EM QUADROS</t>
  </si>
  <si>
    <t>LUVA PARA ELETRODUTO, EM ACO GALVANIZADO ELETROLITICO, COM ROSCA,DIAMETRO DE 50 MM (2")</t>
  </si>
  <si>
    <t>CURVA 90 GRAUS PARA ELETRODUTO, EM ACO GALVANIZADO ELETROLITICO, COM ROSCA, DIAMETRO DE 50 MM (2")</t>
  </si>
  <si>
    <t>CONECTOR CURVO 90 GRAUS DE ALUMINIO, BITOLA 2 1/2", PARA ADAPTAR ENTRADA DE ELETRODUTO METALICO FLEXIVEL EM QUADROS</t>
  </si>
  <si>
    <t>LUVA PARA ELETRODUTO, EM ACO GALVANIZADO ELETROLITICO, COM ROSCA, DIAMETRO DE 65 MM (2 1/2")</t>
  </si>
  <si>
    <t>CURVA 90 GRAUS PARA ELETRODUTO, EM ACO GALVANIZADO ELETROLITICO, COM ROSCA, DIAMETRO DE 65 MM (2 1/2")</t>
  </si>
  <si>
    <t>CONECTOR RETO DE ALUMINIO PARA ELETRODUTO DE 3", PARA ADAPTAR ENTRADA DE ELETRODUTO METALICO FLEXIVEL EM QUADROS</t>
  </si>
  <si>
    <t>CONECTOR CURVO 90 GRAUS DE ALUMINIO, BITOLA 3", PARA ADAPTAR ENTRADA DE ELETRODUTO METALICO FLEXIVEL EM QUADROS</t>
  </si>
  <si>
    <t>LUVA PARA ELETRODUTO, EM ACO GALVANIZADO ELETROLITICO, COM ROSCA, DIAMETRO DE 80 MM (3")</t>
  </si>
  <si>
    <t>CURVA 90 GRAUS PARA ELETRODUTO, EM ACO GALVANIZADO ELETROLITICO, COM ROSCA, DIAMETRO DE 80 MM (3")</t>
  </si>
  <si>
    <t>CONECTOR RETO DE ALUMINIO PARA ELETRODUTO DE 4", PARA ADAPTAR ENTRADA DE ELETRODUTO METALICO FLEXIVEL EM QUADROS</t>
  </si>
  <si>
    <t>CONECTOR CURVO 90 GRAUS DE ALUMINIO, BITOLA 4", PARA ADAPTAR ENTRADA DE ELETRODUTO METALICO FLEXIVEL EM QUADROS</t>
  </si>
  <si>
    <t>LUVA PARA ELETRODUTO, EM ACO GALVANIZADO ELETROLITICO, COM ROSCA, DIAMETRO DE 100 MM (4")</t>
  </si>
  <si>
    <t>CURVA 90 GRAUS PARA ELETRODUTO, EM ACO GALVANIZADO ELETROLITICO, COM ROSCA, DIAMETRO DE 100 MM (4")</t>
  </si>
  <si>
    <t>ELETRODUTO FLEXIVEL, EM FITA DE ACO GALVANIZADO, REVESTIDO COM PVC PRETO, DIAMETRO EXTERNO DE 40 MM, DN = 1 1/4", TIPO SEALTUBO</t>
  </si>
  <si>
    <t>ELETRODUTO FLEXIVEL, EM FITA DE ACO GALVANIZADO, REVESTIDO COM PVC PRETO, DIAMETRO EXTERNO DE 60 MM, DN = 2", TIPO SEALTUBO</t>
  </si>
  <si>
    <t>TAMPAO / TERMINAL / PLUG, D = 1 1/4", PARA DUTO CORRUGADO PEAD (CABEAMENTO SUBTERRANEO)</t>
  </si>
  <si>
    <t>TAMPAO / TERMINAL / PLUG, D = 2", PARA DUTO CORRUGADO PEAD (CABEAMENTO SUBTERRANEO)</t>
  </si>
  <si>
    <t>TAMPAO / TERMINAL / PLUG, D = 3", PARA DUTO CORRUGADO PEAD (CABEAMENTO SUBTERRANEO)</t>
  </si>
  <si>
    <t>ELETRODUTO DE PVC RIGIDO ROSCAVEL DE 3/4", SEM LUVA</t>
  </si>
  <si>
    <t>LUVA EM PVC RIGIDO ROSCAVEL, DE 3/4", PARA ELETRODUTO</t>
  </si>
  <si>
    <t>CURVA 90 GRAUS, CURTA, DE PVC RIGIDO ROSCAVEL, DE 3/4", PARA ELETRODUTO</t>
  </si>
  <si>
    <t>ELETRODUTO DE PVC RIGIDO ROSCAVEL DE 1", SEM LUVA</t>
  </si>
  <si>
    <t>LUVA EM PVC RIGIDO ROSCAVEL, DE 1", PARA ELETRODUTO</t>
  </si>
  <si>
    <t>CURVA 90 GRAUS, CURTA, DE PVC RIGIDO ROSCAVEL, DE 1", PARA ELETRODUTO</t>
  </si>
  <si>
    <t>ELETRODUTO DE PVC RIGIDO ROSCAVEL DE 1 1/4", SEM LUVA</t>
  </si>
  <si>
    <t>LUVA EM PVC RIGIDO ROSCAVEL, DE 1 1/4", PARA ELETRODUTO</t>
  </si>
  <si>
    <t>CURVA 90 GRAUS, LONGA, DE PVC RIGIDO ROSCAVEL, DE 1 1/4", PARA ELETRODUTO</t>
  </si>
  <si>
    <t>ELETRODUTO DE PVC RIGIDO ROSCAVEL DE 1 1/2", SEM LUVA</t>
  </si>
  <si>
    <t>LUVA EM PVC RIGIDO ROSCAVEL, DE 1 1/2", PARA ELETRODUTO</t>
  </si>
  <si>
    <t>CURVA 90 GRAUS, LONGA, DE PVC RIGIDO ROSCAVEL, DE 1 1/2", PARA ELETRODUTO</t>
  </si>
  <si>
    <t>ELETRODUTO DE PVC RIGIDO ROSCAVEL DE 2", SEM LUVA</t>
  </si>
  <si>
    <t>LUVA EM PVC RIGIDO ROSCAVEL, DE 2", PARA ELETRODUTO</t>
  </si>
  <si>
    <t>CURVA 90 GRAUS, LONGA, DE PVC RIGIDO ROSCAVEL, DE 2", PARA ELETRODUTO</t>
  </si>
  <si>
    <t>ELETRODUTO DE PVC RIGIDO ROSCAVEL DE 3", SEM LUVA</t>
  </si>
  <si>
    <t>LUVA EM PVC RIGIDO ROSCAVEL, DE 3", PARA ELETRODUTO</t>
  </si>
  <si>
    <t>CURVA 90 GRAUS, LONGA, DE PVC RIGIDO ROSCAVEL, DE 3", PARA ELETRODUTO</t>
  </si>
  <si>
    <t>FUSIVEL DIAZED 35 A TAMANHO DIII, CAPACIDADE DE INTERRUPCAO DE 50 KA EM VCA E 8 KA EM VCC, TENSAO NOMINAL DE 500 V</t>
  </si>
  <si>
    <t>POSTE CONICO CONTINUO EM ACO GALVANIZADO, RETO, FLANGEADO, H = 3 M, DIAMETRO INFERIOR = *95* MM</t>
  </si>
  <si>
    <t>POSTE CONICO CONTINUO EM ACO GALVANIZADO, CURVO, BRACO SIMPLES, FLANGEADO, H = 9 M, DIAMETRO INFERIOR = *135* MM</t>
  </si>
  <si>
    <t>POSTE CONICO CONTINUO EM ACO GALVANIZADO, CURVO, BRACO DUPLO, FLANGEADO, H = 9 M, DIAMETRO INFERIOR = *135* MM</t>
  </si>
  <si>
    <t>BRACO P/ LUMINARIA PUBLICA 1 X 1,50M ROMAGNOLE OU EQUIV</t>
  </si>
  <si>
    <t>ABRACADEIRA EM ACO PARA AMARRACAO DE ELETRODUTOS, TIPO D, COM 3" E PARAFUSO DE FIXACAO</t>
  </si>
  <si>
    <t>PLACA/TAMPA CEGA EM LATAO ESCOVADO PARA CONDULETE EM LIGA DE ALUMINIO 4 X 4"</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</si>
  <si>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</si>
  <si>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</si>
  <si>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</si>
  <si>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SENSOR DE PRESENCA BIVOLT COM FOTOCELULA PARA QUALQUER TIPO DE LAMPADA, POTENCIA MAXIMA *1000* W, USO EXTERNO</t>
  </si>
  <si>
    <t>CAIXA DE INSPECAO PARA ATERRAMENTO E PARA RAIOS, EM POLIPROPILENO, DIAMETRO = 300 MM X ALTURA = 400 MM (INCLUIDA TAMPA SEM ESCOTILHA)</t>
  </si>
  <si>
    <t>PARA-RAIOS TIPO FRANKLIN 350 MM, EM LATAO CROMADO, DUAS DESCIDAS, PARA PROTECAO DE EDIFICACOES CONTRA DESCARGAS ATMOSFERICAS</t>
  </si>
  <si>
    <t>MINICAPTOR, EM ACO GALVANIZADO A FOGO, FIXACAO HORIZONTAL DE 1 FUROS, SEM BANDEIRA, H=300 MM X DN=10 MM</t>
  </si>
  <si>
    <t>MINICAPTOR, EM ACO GALVANIZADO A FOGO, FIXACAO HORIZONTAL DE 2 FUROS, SEM BANDEIRA, H=600 MM X DN=10 MM</t>
  </si>
  <si>
    <t>MASTRO SIMPLES GALVANIZADO DIAMETRO NOMINAL 2"</t>
  </si>
  <si>
    <t>SUPORTE ISOLADOR SIMPLES DIAMETRO NOMINAL 5/16", COM ROSCA SOBERBA E BUCHA</t>
  </si>
  <si>
    <t>TAMPAO FOFO ARTICULADO, COM BASE / REQUADRO, CLASSE B125 CARGA MAX 12,5 T, REDONDO, TAMPA 600 MM (COM INSCRICAO EM RELEVO DO TIPO DE REDE)</t>
  </si>
  <si>
    <t>TAMPAO FOFO SIMPLES COM BASE / REQUADRO, CLASSE A15 CARGA MAX. 1,5 T, 400 X 600 MM (COM INSCRICAO EM RELEVO DO TIPO DE REDE)</t>
  </si>
  <si>
    <t>PLACA DE SINALIZACAO DE SEGURANCA CONTRA INCENDIO, FOTOLUMINESCENTE, RETANGULAR, *13 X 26* CM, EM PVC *2* MM ANTI-CHAMAS (SIMBOLOS, CORES E PICTOGRAMAS CONFORME NBR 16820)</t>
  </si>
  <si>
    <t>CONE DE SINALIZACAO EM PVC RIGIDO COM FAIXA REFLETIVA, H = 70 / 76 CM</t>
  </si>
  <si>
    <t>ALICATE DE CRIMPAR RJ11, RJ12 E RJ45, COM CATRACA</t>
  </si>
  <si>
    <t>PROTETOR SOLAR FPS 30, EMBALAGEM 2 LITROS</t>
  </si>
  <si>
    <t>CONCRETO USINADO BOMBEAVEL, CLASSE DE RESISTENCIA C25, BRITA 0 E 1, SLUMP = 100 +/- 20 MM, COM BOMBEAMENTO (DISPONIBILIZACAO DE BOMBA), SEM O LANCAMENTO (NBR 8953)</t>
  </si>
  <si>
    <t>CONCRETO USINADO BOMBEAVEL, CLASSE DE RESISTENCIA C25, COM BRITA 0 E 1, SLUMP = 130 +/- 20 MM, EXCLUI SERVICO DE BOMBEAMENTO (NBR 8953)</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</si>
  <si>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</si>
  <si>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</si>
  <si>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BLOCO DE CONCRETO ESTRUTURAL 14 X 19 X 39 CM, FBK 4,5 MPA (NBR 6136)</t>
  </si>
  <si>
    <t>MEIO BLOCO DE CONCRETO ESTRUTURAL 14 X 19 X 19 CM, FBK 4,5 MPA (NBR 6136)</t>
  </si>
  <si>
    <t>BLOCO DE CONCRETO ESTRUTURAL 14 X 19 X 34 CM, FBK 4,5 MPA (NBR 6136)</t>
  </si>
  <si>
    <t>CANALETA DE CONCRETO ESTRUTURAL 14 X 19 X 39 CM, FBK 4,5 MPA (NBR 6136)</t>
  </si>
  <si>
    <t>CANALETA DE CONCRETO 19 X 19 X 19 CM (CLASSE C - NBR 6136)</t>
  </si>
  <si>
    <t>PREGO DE ACO POLIDO COM CABECA 17 X 27 (2 1/2 X 11)</t>
  </si>
  <si>
    <t>BLOCO DE CONCRETO ESTRUTURAL 19 X 19 X 39 CM, FBK 4,5 MPA (NBR 6136)</t>
  </si>
  <si>
    <t>MEIO-FIO OU GUIA DE CONCRETO PRE-MOLDADO, TIPO CHAPEU PARA BOCA DE LOBO, DIMENSOES *1,20* X 0,15 X 0,30 M</t>
  </si>
  <si>
    <t>SARRAFO NAO APARELHADO *2,5 X 7* CM, EM MACARANDUBA/MASSARANDUBA, ANGELIM, PEROBA-ROSA OU EQUIVALENTE DA REGIAO - BRUTA</t>
  </si>
  <si>
    <t>CAIBRO NAO APARELHADO *6 X 6* CM, EM MACARANDUBA/MASSARANDUBA, ANGELIM OU EQUIVALENTE DA REGIAO - BRUTA</t>
  </si>
  <si>
    <t>TABUA *2,5 X 23* CM EM PINUS, MISTA OU EQUIVALENTE DA REGIAO - BRUTA</t>
  </si>
  <si>
    <t>TUBO ACO CARBONO SEM COSTURA 2", E= *3,91* MM, SCHEDULE 40, *5,43* KG/M</t>
  </si>
  <si>
    <t>TUBO ACO CARBONO SEM COSTURA 2 1/2", E = 5,16 MM, SCHEDULE 40 (8,62 KG/M)</t>
  </si>
  <si>
    <t>CONDULETE DE ALUMINIO TIPO LR, PARA ELETRODUTO ROSCAVEL DE 1 1/2", COM TAMPA CEGA</t>
  </si>
  <si>
    <t>TERMINAL A COMPRESSAO EM COBRE ESTANHADO PARA CABO 10 MM2, 1 FURO E 1 COMPRESSAO, PARA PARAFUSO DE FIXACAO M6</t>
  </si>
  <si>
    <t>DISJUNTOR TERMOMAGNETICO PARA TRILHO DIN (IEC), TRIPOLAR, 10 - 50 A</t>
  </si>
  <si>
    <t>CHUMBADOR DE ACO ZINCADO, DIAMETRO 5/8", COMPRIMENTO 6", COM PORCA</t>
  </si>
  <si>
    <t>ANEL BORRACHA PARA TUBO ESGOTO PREDIAL, DN 100 MM (NBR 5688)</t>
  </si>
  <si>
    <t>ASSENTO SANITARIO DE PLASTICO, TIPO CONVENCIONAL</t>
  </si>
  <si>
    <t>BARRA DE APOIO RETA, EM ACO INOX POLIDO, COMPRIMENTO 70CM, DIAMETRO MINIMO 3 CM</t>
  </si>
  <si>
    <t>BARRA DE APOIO RETA, EM ACO INOX POLIDO, COMPRIMENTO 80CM, DIAMETRO MINIMO 3 CM</t>
  </si>
  <si>
    <t>BOLSA DE LIGACAO EM PVC FLEXIVEL PARA VASO SANITARIO 40 MM (1 1/2")</t>
  </si>
  <si>
    <t>BRACO / CANO PARA CHUVEIRO ELETRICO, EM ALUMINIO, 30 CM X 1/2"</t>
  </si>
  <si>
    <t>CAIXA DE DESCARGA PLASTICA PARA BACIA / VASO SANITARIO, EXTERNA, CAPACIDADE 9 LITROS, PUXADOR FIO DE NYLON, NAO INCLUSO CANO, BOLSA, ENGATE</t>
  </si>
  <si>
    <t>CAIXA DE GORDURA EM PVC, DIAMETRO MINIMO 300 MM, DIAMETRO DE SAIDA 100 MM, CAPACIDADE APROXIMADA 18 LITROS, COM TAMPA E CESTO</t>
  </si>
  <si>
    <t>CAIXA DE INCENDIO/ABRIGO PARA MANGUEIRA, DE EMBUTIR/INTERNA, COM 90 X 60 X 17 CM, EM CHAPA DE ACO, PORTA COM VENTILACAO, VISOR COM A INSCRICAO "INCENDIO", SUPORTE/CESTA INTERNA PARA A MANGUEIRA, PINTURA ELETROSTATICA VERMELHA</t>
  </si>
  <si>
    <t>CAIXA SIFONADA, PVC, 150 X 150 X 50 MM, COM GRELHA REDONDA, BRANCA</t>
  </si>
  <si>
    <t>CUBA ACO INOX (AISI 304) DE EMBUTIR COM VALVULA 3 1/2", DE *40 X 34 X 12* CM</t>
  </si>
  <si>
    <t>MANOMETRO COM CAIXA EM ACO PINTADO, ESCALA *10* KGF/CM2 (*10* BAR), DIAMETRO NOMINAL DE *63* MM, CONEXAO DE 1/4"</t>
  </si>
  <si>
    <t>MISTURADOR METALICO, BASE PARA CHUVEIRO/BANHEIRA, 1/2" OU 3/4", SOLDAVEL OU ROSCAVEL (NAO INCLUI ACABAMENTOS)</t>
  </si>
  <si>
    <t>RALO FOFO SEMIESFERICO, 100 MM, PARA LAJES/ CALHAS</t>
  </si>
  <si>
    <t>VALVULA DE ESFERA BRUTA EM BRONZE, BITOLA 2"</t>
  </si>
  <si>
    <t>REGISTRO GAVETA BRUTO EM LATAO FORJADO, BITOLA 1 1/2"</t>
  </si>
  <si>
    <t>REGISTRO GAVETA BRUTO EM LATAO FORJADO, BITOLA 1 1/4"</t>
  </si>
  <si>
    <t>REGISTRO GAVETA BRUTO EM LATAO FORJADO, BITOLA 1"</t>
  </si>
  <si>
    <t>REGISTRO GAVETA BRUTO EM LATAO FORJADO, BITOLA 1/2"</t>
  </si>
  <si>
    <t>REGISTRO GAVETA BRUTO EM LATAO FORJADO, BITOLA 2 1/2"</t>
  </si>
  <si>
    <t>REGISTRO GAVETA BRUTO EM LATAO FORJADO, BITOLA 2"</t>
  </si>
  <si>
    <t>REGISTRO GAVETA BRUTO EM LATAO FORJADO, BITOLA 3"</t>
  </si>
  <si>
    <t>REGISTRO GAVETA BRUTO EM LATAO FORJADO, BITOLA 3/4"</t>
  </si>
  <si>
    <t>REGISTRO GAVETA BRUTO EM LATAO FORJADO, BITOLA 4"</t>
  </si>
  <si>
    <t>REGISTRO PRESSAO BRUTO EM LATAO FORJADO, BITOLA 1/2"</t>
  </si>
  <si>
    <t>REGISTRO PRESSAO BRUTO EM LATAO FORJADO, BITOLA 3/4"</t>
  </si>
  <si>
    <t>REGISTRO DE ESFERA, PVC, COM VOLANTE, VS, ROSCAVEL, DN 1/2", COM CORPO DIVIDIDO</t>
  </si>
  <si>
    <t>REGISTRO DE ESFERA, PVC, COM VOLANTE, VS, ROSCAVEL, DN 1 1/2", COM CORPO DIVIDIDO</t>
  </si>
  <si>
    <t>REGISTRO DE ESFERA, PVC, COM VOLANTE, VS, SOLDAVEL, DN 60 MM, COM CORPO DIVIDIDO</t>
  </si>
  <si>
    <t>REGISTRO OU VALVULA GLOBO ANGULAR EM LATAO, PARA HIDRANTES EM INSTALACAO PREDIAL DE INCENDIO, 45 GRAUS, DIAMETRO DE 2 1/2", COM VOLANTE, CLASSE DE PRESSAO DE ATE 200 PSI</t>
  </si>
  <si>
    <t>TERMINAL DE VENTILACAO, 100 MM, SERIE NORMAL, ESGOTO PREDIAL</t>
  </si>
  <si>
    <t>TERMINAL DE VENTILACAO, 50 MM, SERIE NORMAL, ESGOTO PREDIAL</t>
  </si>
  <si>
    <t>TERMINAL DE VENTILACAO, 75 MM, SERIE NORMAL, ESGOTO PREDIAL</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</si>
  <si>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</si>
  <si>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</si>
  <si>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</si>
  <si>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</si>
  <si>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CONVENCIONAL PARA CAIXA D'AGUA, AGUA FRIA, 3/4", COM HASTE E TORNEIRA METALICOS E BALAO PLASTICO</t>
  </si>
  <si>
    <t>TUBO DE COBRE CLASSE "E", DN = 35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</si>
  <si>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</si>
  <si>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</si>
  <si>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</si>
  <si>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"E", DN = 104 MM, PARA INSTALACAO HIDRAULICA PREDIAL</t>
  </si>
  <si>
    <t>TUBO ACO GALVANIZADO COM COSTURA, CLASSE LEVE, DN 32 MM (1 1/4"), E = 2,65 MM, *2,71* KG/M (NBR 5580)</t>
  </si>
  <si>
    <t>TUBO ACO GALVANIZADO COM COSTURA, CLASSE LEVE, DN 15 MM (1/2"), E = 2,25 MM, *1,2* KG/M (NBR 5580)</t>
  </si>
  <si>
    <t>TUBO ACO GALVANIZADO COM COSTURA, CLASSE LEVE, DN 20 MM (3/4"), E = 2,25 MM, *1,3* KG/M (NBR 5580)</t>
  </si>
  <si>
    <t>TUBO ACO GALVANIZADO COM COSTURA, CLASSE LEVE, DN 25 MM (1"), E = 2,65 MM, *2,11* KG/M (NBR 5580)</t>
  </si>
  <si>
    <t>TUBO ACO GALVANIZADO COM COSTURA, CLASSE LEVE, DN 50 MM (2"), E = 3,00 MM, *4,40* KG/M (NBR 5580)</t>
  </si>
  <si>
    <t>TUBO ACO GALVANIZADO COM COSTURA, CLASSE LEVE, DN 65 MM (2 1/2"), E = 3,35 MM, * 6,23* KG/M (NBR 5580)</t>
  </si>
  <si>
    <t>TUBO ACO GALVANIZADO COM COSTURA, CLASSE LEVE, DN 80 MM (3"), E = 3,35 MM, *7,32* KG/M (NBR 5580)</t>
  </si>
  <si>
    <t>NIPLE DE FERRO GALVANIZADO, COM ROSCA BSP, DE 2"</t>
  </si>
  <si>
    <t>NIPLE DE FERRO GALVANIZADO, COM ROSCA BSP, DE 2 1/2"</t>
  </si>
  <si>
    <t>NIPLE DE FERRO GALVANIZADO, COM ROSCA BSP, DE 3"</t>
  </si>
  <si>
    <t>TUBO COLETOR DE ESGOTO PVC, JEI, DN 300 MM (NBR 7362)</t>
  </si>
  <si>
    <t>TUBO PVC SERIE NORMAL, DN 100 MM, PARA ESGOTO PREDIAL (NBR 5688)</t>
  </si>
  <si>
    <t>TUBO PVC SERIE NORMAL, DN 150 MM, PARA ESGOTO PREDIAL (NBR 5688)</t>
  </si>
  <si>
    <t>TUBO PVC SERIE NORMAL, DN 40 MM, PARA ESGOTO PREDIAL (NBR 5688)</t>
  </si>
  <si>
    <t>TUBO PVC SERIE NORMAL, DN 50 MM, PARA ESGOTO PREDIAL (NBR 5688)</t>
  </si>
  <si>
    <t>TUBO PVC SERIE NORMAL, DN 75 MM, PARA ESGOTO PREDIAL (NBR 5688)</t>
  </si>
  <si>
    <t>TUBO PVC, ROSCAVEL, 1 1/2", AGUA FRIA PREDIAL</t>
  </si>
  <si>
    <t>TUBO PVC, ROSCAVEL, 1", AGUA FRIA PREDIAL</t>
  </si>
  <si>
    <t>TUBO PVC, ROSCAVEL, 2 1/2", AGUA FRIA PREDIAL</t>
  </si>
  <si>
    <t>TUBO PVC, ROSCAVEL, 2", PARA AGUA FRIA PREDIAL</t>
  </si>
  <si>
    <t>TUBO PVC ROSCAVEL, 3/4", AGUA FRIA PREDIAL</t>
  </si>
  <si>
    <t>TUBO PVC, SOLDAVEL, DE 20 MM, AGUA FRIA (NBR-5648)</t>
  </si>
  <si>
    <t>TUBO PVC, SOLDAVEL, DE 60 MM, AGUA FRIA (NBR-5648)</t>
  </si>
  <si>
    <t>TUBO PVC, SOLDAVEL, DE 75 MM, AGUA FRIA (NBR-5648)</t>
  </si>
  <si>
    <t>TUBO PVC, SOLDAVEL, DE 85 MM, AGUA FRIA (NBR-5648)</t>
  </si>
  <si>
    <t>TUBO PVC, SOLDAVEL, DE 110 MM, AGUA FRIA (NBR-5648)</t>
  </si>
  <si>
    <t>VALVULA EM METAL CROMADO PARA PIA AMERICANA 3.1/2 X 1.1/2"</t>
  </si>
  <si>
    <t>VALVULA DE RETENCAO DE BRONZE, PE COM CRIVOS, EXTREMIDADE COM ROSCA, DE 1", PARA FUNDO DE POCO</t>
  </si>
  <si>
    <t>VALVULA DE RETENCAO DE BRONZE, PE COM CRIVOS, EXTREMIDADE COM ROSCA, DE 2", PARA FUNDO DE POCO</t>
  </si>
  <si>
    <t>VALVULA DE RETENCAO HORIZONTAL, DE BRONZE (PN-25), 3/4", 400 PSI, TAMPA DE PORCA DE UNIAO, EXTREMIDADES COM ROSCA</t>
  </si>
  <si>
    <t>VALVULA DE RETENCAO HORIZONTAL, DE BRONZE (PN-25), 2", 400 PSI, TAMPA DE PORCA DE UNIAO, EXTREMIDADES COM ROSCA</t>
  </si>
  <si>
    <t>VALVULA DE RETENCAO VERTICAL, DE BRONZE (PN-16), 3", 200 PSI, EXTREMIDADES COM ROSCA</t>
  </si>
  <si>
    <t>VALVULA DE RETENCAO VERTICAL, DE BRONZE (PN-16), 4", 200 PSI, EXTREMIDADES COM ROSCA</t>
  </si>
  <si>
    <t>VALVULA DE RETENCAO VERTICAL, DE BRONZE (PN-16), 2", 200 PSI, EXTREMIDADES COM ROSCA</t>
  </si>
  <si>
    <t>VALVULA DE RETENCAO VERTICAL, DE BRONZE (PN-16), 2 1/2", 200 PSI, EXTREMIDADES COM ROSCA</t>
  </si>
  <si>
    <t>ADAPTADOR PVC, SOLDAVEL, COM FLANGES LIVRES, 85 MM X 3", PARA CAIXA D'AGUA</t>
  </si>
  <si>
    <t>ADAPTADOR PVC SOLDAVEL CURTO COM BOLSA E ROSCA, 60 MM X 2", PARA AGUA FRIA</t>
  </si>
  <si>
    <t>ANEL EM CONCRETO ARMADO, LISO, PARA POCOS DE VISITAS, POCOS DE INSPECAO, FOSSAS SEPTICAS E SUMIDOUROS, COM FUNDO, DIAMETRO INTERNO DE 1,00 M E ALTURA DE 0,50 M</t>
  </si>
  <si>
    <t>AQUECEDOR DE AGUA ELETRICO HORIZONTAL, RESERVATORIO DE 200 L CILINDRICO EM COBRE, REFORCADO COM ACO CARBONO, MONOFASICO, TENSAO NOMINAL 220 V</t>
  </si>
  <si>
    <t>BUCHA DE REDUCAO, CPVC, SOLDAVEL, 28 X 22 MM, PARA AGUA QUENTE</t>
  </si>
  <si>
    <t>PLUG OU BUJAO DE FERRO GALVANIZADO, DE 4"</t>
  </si>
  <si>
    <t>CAIXA D'AGUA / RESERVATORIO EM POLIETILENO, 1000 LITROS, COM TAMPA</t>
  </si>
  <si>
    <t>CANOPLA ACABAMENTO CROMADO PARA INSTALACAO DE SPRINKLER, SOB FORRO, 15 MM</t>
  </si>
  <si>
    <t>SPRINKLER TIPO PENDENTE, BULBO VERMELHO DE RESPOSTA RAPIDA, 68 GRAUS CELSIUS, ACABAMENTO CROMADO, D = 15 MM (1/2")</t>
  </si>
  <si>
    <t>CAP PVC, SOLDAVEL, 60 MM, PARA AGUA FRIA PREDIAL</t>
  </si>
  <si>
    <t>TE DE COBRE SEM ANEL DE SOLDA, BOLSA X BOLSA X BOLSA, 22 MM</t>
  </si>
  <si>
    <t>CONECTOR BRONZE/LATAO SEM ANEL DE SOLDA, BOLSA X ROSCA F, 22 MM X 3/4"</t>
  </si>
  <si>
    <t>CURVA 90 GRAUS DE FERRO GALVANIZADO, COM ROSCA BSP FEMEA, DE 2"</t>
  </si>
  <si>
    <t>CURVA 90 GRAUS DE FERRO GALVANIZADO, COM ROSCA BSP FEMEA, DE 3"</t>
  </si>
  <si>
    <t>CURVA DE PVC, 90 GRAUS, SERIE R, DN 100 MM, PARA ESGOTO PREDIAL</t>
  </si>
  <si>
    <t>FITA METALICA PERFURADA, L = 17 MM, ROLO DE 30 M, CARGA RECOMENDADA = *19* KGF</t>
  </si>
  <si>
    <t>ADAPTADOR PVC, SOLDAVEL, COM FLANGES E ANEL DE VEDACAO, 60 MM X 2", PARA CAIXA D'AGUA</t>
  </si>
  <si>
    <t>ADAPTADOR PVC SOLDAVEL, COM FLANGE E ANEL DE VEDACAO, 25 MM X 3/4", PARA CAIXA D'AGUA</t>
  </si>
  <si>
    <t>JOELHO CPVC, SOLDAVEL, 45 GRAUS, 28 MM, PARA AGUA QUENTE</t>
  </si>
  <si>
    <t>JOELHO, PVC SOLDAVEL, 45 GRAUS, 60 MM, COR MARROM, PARA AGUA FRIA PREDIAL</t>
  </si>
  <si>
    <t>JOELHO CPVC, SOLDAVEL, 45 GRAUS, 22 MM, PARA AGUA QUENTE</t>
  </si>
  <si>
    <t>JOELHO PVC, SOLDAVEL, PB, 45 GRAUS, DN 50 MM, PARA ESGOTO PREDIAL</t>
  </si>
  <si>
    <t>JOELHO CPVC, SOLDAVEL, 90 GRAUS, 22 MM, PARA AGUA QUENTE</t>
  </si>
  <si>
    <t>JOELHO CPVC, SOLDAVEL, 90 GRAUS, 28 MM, PARA AGUA QUENTE</t>
  </si>
  <si>
    <t>JOELHO PVC, SOLDAVEL, 90 GRAUS, 60 MM, COR MARROM, PARA AGUA FRIA PREDIAL</t>
  </si>
  <si>
    <t>TE SOLDAVEL, PVC, 90 GRAUS, 60 MM, PARA AGUA FRIA PREDIAL (NBR 5648)</t>
  </si>
  <si>
    <t>CONDUTOR PLUVIAL, PVC, CIRCULAR, DIAMETRO ENTRE 80 E 100 MM, PARA DRENAGEM PLUVIAL PREDIAL</t>
  </si>
  <si>
    <t>LUVA DE CORRER, PVC SERIE R, 100 MM, PARA ESGOTO PREDIAL</t>
  </si>
  <si>
    <t>LUVA DE TRANSICAO, CPVC, 22 MM X 1/2", PARA AGUA QUENTE</t>
  </si>
  <si>
    <t>TE 45 GRAUS DE FERRO GALVANIZADO, COM ROSCA BSP, DE 2 1/2"</t>
  </si>
  <si>
    <t>TE 45 GRAUS DE FERRO GALVANIZADO, COM ROSCA BSP, DE 2"</t>
  </si>
  <si>
    <t>TE 45 GRAUS DE FERRO GALVANIZADO, COM ROSCA BSP, DE 3"</t>
  </si>
  <si>
    <t>JUNCAO SIMPLES, PVC SERIE R, DN 75 X 75 MM, PARA ESGOTO PREDIAL</t>
  </si>
  <si>
    <t>UNIAO, CPVC, SOLDAVEL, 22 MM, PARA AGUA QUENTE PREDIAL</t>
  </si>
  <si>
    <t>UNIAO, CPVC, SOLDAVEL, 28 MM, PARA AGUA QUENTE PREDIAL</t>
  </si>
  <si>
    <t>UNIAO DE FERRO GALVANIZADO, COM ROSCA BSP, COM ASSENTO PLANO, DE 1 1/2"</t>
  </si>
  <si>
    <t>UNIAO DE FERRO GALVANIZADO, COM ASSENTO CONICO DE BRONZE, DE 1 1/4"</t>
  </si>
  <si>
    <t>UNIAO DE FERRO GALVANIZADO, COM ROSCA BSP, COM ASSENTO PLANO, DE 2"</t>
  </si>
  <si>
    <t>UNIAO DE FERRO GALVANIZADO, COM ROSCA BSP, COM ASSENTO PLANO, DE 3"</t>
  </si>
  <si>
    <t>UNIAO DE FERRO GALVANIZADO, COM ROSCA BSP, COM ASSENTO PLANO, DE 4"</t>
  </si>
  <si>
    <t>UNIAO DE FERRO GALVANIZADO, COM ROSCA BSP, COM ASSENTO PLANO, DE 2 1/2"</t>
  </si>
  <si>
    <t>TE DE FERRO GALVANIZADO, DE 1 1/2"</t>
  </si>
  <si>
    <t>TE DE FERRO GALVANIZADO, DE 1/2"</t>
  </si>
  <si>
    <t>TE DE FERRO GALVANIZADO, DE 2 1/2"</t>
  </si>
  <si>
    <t>TE DE FERRO GALVANIZADO, DE 2"</t>
  </si>
  <si>
    <t>TE DE REDUCAO DE FERRO GALVANIZADO, COM ROSCA BSP, DE 2" X 1 1/2"</t>
  </si>
  <si>
    <t>TE CPVC, SOLDAVEL, 90 GRAUS, 22 MM, PARA AGUA QUENTE PREDIAL</t>
  </si>
  <si>
    <t>TE CPVC, SOLDAVEL, 90 GRAUS, 28 MM, PARA AGUA QUENTE PREDIAL</t>
  </si>
  <si>
    <t>LUVA CPVC, SOLDAVEL, 22 MM, PARA AGUA QUENTE PREDIAL</t>
  </si>
  <si>
    <t>LUVA CPVC, SOLDAVEL, 28 MM, PARA AGUA QUENTE PREDIAL</t>
  </si>
  <si>
    <t>LUVA PVC, ROSCAVEL, 1 1/2", AGUA FRIA PREDIAL</t>
  </si>
  <si>
    <t>LUVA PVC SOLDAVEL, 60 MM, PARA AGUA FRIA PREDIAL</t>
  </si>
  <si>
    <t>UNIAO PVC, SOLDAVEL, 60 MM, PARA AGUA FRIA PREDIAL</t>
  </si>
  <si>
    <t>UNIAO PVC, SOLDAVEL, 85 MM, PARA AGUA FRIA PREDIAL</t>
  </si>
  <si>
    <t>INSTALADOR DE TUBULACOES - TUBOS/EQUIPAMENTOS (HORISTA)</t>
  </si>
  <si>
    <t>MANGUEIRA DE INCENDIO, TIPO 2, DE 2 1/2", COMPRIMENTO = 15 M, TECIDO EM FIO DE POLIESTER E TUBO INTERNO EM BORRACHA SINTETICA, COM UNIOES ENGATE RAPIDO</t>
  </si>
  <si>
    <t>MANOMETRO COM CAIXA EM ACO PINTADO, ESCALA *10* KGF/CM2 (*10* BAR), DIAMETRO NOMINAL DE 100 MM, CONEXAO DE 1/2"</t>
  </si>
  <si>
    <t>BUCHA DE REDUCAO DE FERRO GALVANIZADO, COM ROSCA BSP, DE 3" X 2 1/2"</t>
  </si>
  <si>
    <t>TUBO ACO GALVANIZADO COM COSTURA, CLASSE LEVE, DN 40 MM (1 1/2"), E = 3,00 MM, *3,48* KG/M (NBR 5580)</t>
  </si>
  <si>
    <t>COTOVELO 90 GRAUS DE FERRO GALVANIZADO, COM ROSCA BSP MACHO/FEMEA, DE 1 1/2"</t>
  </si>
  <si>
    <t>BLOCO DE CONCRETO ESTRUTURAL 19 X 19 X 39 CM, FBK 8 MPA (NBR 6136)</t>
  </si>
  <si>
    <t>MEIO BLOCO DE VEDACAO DE CONCRETO 9 X 19 X 19 CM (CLASSE C - NBR 6136)</t>
  </si>
  <si>
    <t>TELA DE ACO SOLDADA GALVANIZADA/ZINCADA PARA ALVENARIA, FIO D = *1,24 MM, MALHA 25 X 25 MM</t>
  </si>
  <si>
    <t>PASTILHA CERAMICA/PORCELANA, REVEST INT/EXT E PISCINA, CORES BRANCA OU FRIAS, SOLIDAS, SEM MESCLAGEM/MISTURA, ACABAMENTO LISO *2,5 X 2,5* CM</t>
  </si>
  <si>
    <t>ELETRODUTO/DUTO PEAD FLEXIVEL PAREDE SIMPLES, CORRUGACAO HELICOIDAL, COR PRETA, SEM ROSCA, DE 4", CRC 680 N, PARA CABEAMENTO SUBTERRANEO (NBR 15715)</t>
  </si>
  <si>
    <t>POSTE DE CONCRETO ARMADO DE SECAO CIRCULAR, EXTENSAO DE 11,00 M, RESISTENCIA DE 200 A 300 DAN, TIPO C-14</t>
  </si>
  <si>
    <t>POSTE DE CONCRETO ARMADO DE SECAO CIRCULAR, EXTENSAO DE 9,00 M, RESISTENCIA DE 200 A 300 DAN, TIPO C-14</t>
  </si>
  <si>
    <t>LUMINARIA DE LED PARA ILUMINACAO PUBLICA, DE 181 W ATE 239 W, INVOLUCRO EM ALUMINIO OU ACO INOX</t>
  </si>
  <si>
    <t>ELETRODUTO/DUTO PEAD FLEXIVEL PAREDE SIMPLES, CORRUGACAO HELICOIDAL, COR PRETA, SEM ROSCA, DE 1 1/2", CRC 680 N, PARA CABEAMENTO SUBTERRANEO (NBR 15715)</t>
  </si>
  <si>
    <t>LUMINARIA DE LED PARA ILUMINACAO PUBLICA, DE 138 W ATE 180 W, INVOLUCRO EM ALUMINIO OU ACO INOX</t>
  </si>
  <si>
    <t>CONDULETE DE ALUMINIO TIPO X, PARA ELETRODUTO ROSCAVEL DE 3/4", COM TAMPA CEGA</t>
  </si>
  <si>
    <t>CURVA DE PVC 90 GRAUS, SOLDAVEL, 25 MM, COR MARROM, PARA AGUA FRIA PREDIAL</t>
  </si>
  <si>
    <t>DISCO DE LIXA PARA METAL, DIAMETRO = 180 MM, GRAO 120</t>
  </si>
  <si>
    <t>CURVA DE TRANSPOSICAO, PVC, SOLDAVEL, 25 MM, COR MARROM, PARA AGUA FRIA PREDIAL</t>
  </si>
  <si>
    <t>JOELHO PVC, SOLDAVEL, 90 GRAUS, 25 MM, COR MARROM, PARA AGUA FRIA PREDIAL</t>
  </si>
  <si>
    <t>JOELHO, PVC SOLDAVEL, 45 GRAUS, 25 MM, COR MARROM, PARA AGUA FRIA PREDIAL</t>
  </si>
  <si>
    <t>JOELHO PVC, SOLDAVEL COM ROSCA, 90 GRAUS, 25 MM X 3/4", COR MARROM, PARA AGUA FRIA PREDIAL</t>
  </si>
  <si>
    <t>JOELHO PVC, SOLDAVEL, COM BUCHA DE LATAO, 90 GRAUS, 25 MM X 1/2", PARA AGUA FRIA PREDIAL</t>
  </si>
  <si>
    <t>JOELHO PVC, SOLDAVEL, COM BUCHA DE LATAO, 90 GRAUS, 25 MM X 3/4", PARA AGUA FRIA PREDIAL</t>
  </si>
  <si>
    <t>TE SOLDAVEL, PVC, 90 GRAUS, 25 MM, PARA AGUA FRIA PREDIAL (NBR 5648)</t>
  </si>
  <si>
    <t>TE PVC, SOLDAVEL, COM ROSCA NA BOLSA CENTRAL, 90 GRAUS, 25 MM X 3/4", PARA AGUA FRIA PREDIAL</t>
  </si>
  <si>
    <t>TE PVC, SOLDAVEL, COM ROSCA NA BOLSA CENTRAL, 90 GRAUS, 25 MM X 1/2", PARA AGUA FRIA PREDIAL</t>
  </si>
  <si>
    <t>CAP PVC, SOLDAVEL, 25 MM, PARA AGUA FRIA PREDIAL</t>
  </si>
  <si>
    <t>LUVA SOLDAVEL COM ROSCA, PVC, 25 MM X 1/2", PARA AGUA FRIA PREDIAL</t>
  </si>
  <si>
    <t>LUVA SOLDAVEL COM BUCHA DE LATAO, PVC, 25 MM X 1/2"</t>
  </si>
  <si>
    <t>LUVA SOLDAVEL COM BUCHA DE LATAO, PVC, 25 MM X 3/4"</t>
  </si>
  <si>
    <t>LUVA DE CORRER PARA TUBO SOLDAVEL, PVC, 25 MM, PARA AGUA FRIA PREDIAL</t>
  </si>
  <si>
    <t>LUVA PVC SOLDAVEL, 25 MM, PARA AGUA FRIA PREDIAL</t>
  </si>
  <si>
    <t>UNIAO PVC, SOLDAVEL, 25 MM, PARA AGUA FRIA PREDIAL</t>
  </si>
  <si>
    <t>ADAPTADOR PVC SOLDAVEL CURTO COM BOLSA E ROSCA, 25 MM X 3/4", PARA AGUA FRIA</t>
  </si>
  <si>
    <t>JOELHO PVC, SOLDAVEL, 90 GRAUS, 32 MM, COR MARROM, PARA AGUA FRIA PREDIAL</t>
  </si>
  <si>
    <t>JOELHO, PVC SOLDAVEL, 45 GRAUS, 32 MM, COR MARROM, PARA AGUA FRIA PREDIAL</t>
  </si>
  <si>
    <t>CAP PVC, SOLDAVEL, 32 MM, PARA AGUA FRIA PREDIAL</t>
  </si>
  <si>
    <t>CURVA DE PVC 90 GRAUS, SOLDAVEL, 32 MM, COR MARROM, PARA AGUA FRIA PREDIAL</t>
  </si>
  <si>
    <t>TE SOLDAVEL, PVC, 90 GRAUS, 32 MM, PARA AGUA FRIA PREDIAL (NBR 5648)</t>
  </si>
  <si>
    <t>LUVA PVC SOLDAVEL, 32 MM, PARA AGUA FRIA PREDIAL</t>
  </si>
  <si>
    <t>LUVA DE CORRER PARA TUBO SOLDAVEL, PVC, 32 MM, PARA AGUA FRIA PREDIAL</t>
  </si>
  <si>
    <t>UNIAO PVC, SOLDAVEL, 32 MM, PARA AGUA FRIA PREDIAL</t>
  </si>
  <si>
    <t>BUCHA DE REDUCAO DE PVC, SOLDAVEL, LONGA, COM 32 X 20 MM, PARA AGUA FRIA PREDIAL</t>
  </si>
  <si>
    <t>BUCHA DE REDUCAO DE PVC, SOLDAVEL, CURTA, COM 32 X 25 MM, PARA AGUA FRIA PREDIAL</t>
  </si>
  <si>
    <t>ADAPTADOR PVC SOLDAVEL CURTO COM BOLSA E ROSCA, 32 MM X 1", PARA AGUA FRIA</t>
  </si>
  <si>
    <t>ADAPTADOR PVC SOLDAVEL, COM FLANGE E ANEL DE VEDACAO, 32 MM X 1", PARA CAIXA D'AGUA</t>
  </si>
  <si>
    <t>JOELHO PVC, SOLDAVEL, 90 GRAUS, 40 MM, COR MARROM, PARA AGUA FRIA PREDIAL</t>
  </si>
  <si>
    <t>CAP PVC, SOLDAVEL, 40 MM, PARA AGUA FRIA PREDIAL</t>
  </si>
  <si>
    <t>CURVA DE PVC 90 GRAUS, SOLDAVEL, 40 MM, COR MARROM, PARA AGUA FRIA PREDIAL</t>
  </si>
  <si>
    <t>JOELHO, PVC SOLDAVEL, 45 GRAUS, 40 MM, COR MARROM, PARA AGUA FRIA PREDIAL</t>
  </si>
  <si>
    <t>TE SOLDAVEL, PVC, 90 GRAUS, 40 MM, PARA AGUA FRIA PREDIAL (NBR 5648)</t>
  </si>
  <si>
    <t>LUVA PVC SOLDAVEL, 40 MM, PARA AGUA FRIA PREDIAL</t>
  </si>
  <si>
    <t>LUVA DE CORRER PARA TUBO SOLDAVEL, PVC, 40 MM, PARA AGUA FRIA PREDIAL</t>
  </si>
  <si>
    <t>UNIAO PVC, SOLDAVEL, 40 MM, PARA AGUA FRIA PREDIAL</t>
  </si>
  <si>
    <t>BUCHA DE REDUCAO DE PVC, SOLDAVEL, CURTA, COM 40 X 32 MM, PARA AGUA FRIA PREDIAL</t>
  </si>
  <si>
    <t>ADAPTADOR PVC SOLDAVEL CURTO COM BOLSA E ROSCA, 40 MM X 1 1/4", PARA AGUA FRIA</t>
  </si>
  <si>
    <t>ADAPTADOR PVC SOLDAVEL, COM FLANGE E ANEL DE VEDACAO, 40 MM X 1 1/4", PARA CAIXA D'AGUA</t>
  </si>
  <si>
    <t>JOELHO PVC, SOLDAVEL, 90 GRAUS, 50 MM, COR MARROM, PARA AGUA FRIA PREDIAL</t>
  </si>
  <si>
    <t>CAP PVC, SOLDAVEL, 50 MM, PARA AGUA FRIA PREDIAL</t>
  </si>
  <si>
    <t>CURVA DE PVC 90 GRAUS, SOLDAVEL, 50 MM, COR MARROM, PARA AGUA FRIA PREDIAL</t>
  </si>
  <si>
    <t>JOELHO, PVC SOLDAVEL, 45 GRAUS, 50 MM, COR MARROM, PARA AGUA FRIA PREDIAL</t>
  </si>
  <si>
    <t>TE SOLDAVEL, PVC, 90 GRAUS,50 MM, PARA AGUA FRIA PREDIAL (NBR 5648)</t>
  </si>
  <si>
    <t>LUVA PVC SOLDAVEL, 50 MM, PARA AGUA FRIA PREDIAL</t>
  </si>
  <si>
    <t>LUVA DE CORRER PARA TUBO SOLDAVEL, PVC, 50 MM, PARA AGUA FRIA PREDIAL</t>
  </si>
  <si>
    <t>UNIAO PVC, SOLDAVEL, 50 MM, PARA AGUA FRIA PREDIAL</t>
  </si>
  <si>
    <t>BUCHA DE REDUCAO DE PVC, SOLDAVEL, CURTA, COM 50 X 40 MM, PARA AGUA FRIA PREDIAL</t>
  </si>
  <si>
    <t>ADAPTADOR PVC SOLDAVEL CURTO COM BOLSA E ROSCA, 50 MM X1 1/2", PARA AGUA FRIA</t>
  </si>
  <si>
    <t>ADAPTADOR PVC SOLDAVEL, COM FLANGE E ANEL DE VEDACAO, 50 MM X 1 1/2", PARA CAIXA D'AGUA</t>
  </si>
  <si>
    <t>CURVA DE PVC 90 GRAUS, SOLDAVEL, 60 MM, COR MARROM, PARA AGUA FRIA PREDIAL</t>
  </si>
  <si>
    <t>LUVA DE CORRER PARA TUBO SOLDAVEL, PVC, 60 MM, PARA AGUA FRIA PREDIAL</t>
  </si>
  <si>
    <t>BUCHA DE REDUCAO DE PVC, SOLDAVEL, CURTA, COM 60 X 50 MM, PARA AGUA FRIA PREDIAL</t>
  </si>
  <si>
    <t>JOELHO, PVC SOLDAVEL, 90 GRAUS, 75 MM, COR MARROM, PARA AGUA FRIA PREDIAL</t>
  </si>
  <si>
    <t>CAP PVC, SOLDAVEL, 75 MM, PARA AGUA FRIA PREDIAL</t>
  </si>
  <si>
    <t>JOELHO, PVC SOLDAVEL, 45 GRAUS, 75 MM, COR MARROM, PARA AGUA FRIA PREDIAL</t>
  </si>
  <si>
    <t>CURVA DE PVC 90 GRAUS, SOLDAVEL, 75 MM, COR MARROM, PARA AGUA FRIA PREDIAL</t>
  </si>
  <si>
    <t>TE SOLDAVEL, PVC, 90 GRAUS, 75 MM, PARA AGUA FRIA PREDIAL (NBR 5648)</t>
  </si>
  <si>
    <t>LUVA PVC SOLDAVEL, 75 MM, PARA AGUA FRIA PREDIAL</t>
  </si>
  <si>
    <t>LUVA DE CORRER PVC PBA, JE, DN 75 / DE 85 MM, PARA REDE DE AGUA</t>
  </si>
  <si>
    <t>UNIAO PVC, SOLDAVEL, 75 MM, PARA AGUA FRIA PREDIAL</t>
  </si>
  <si>
    <t>ADAPTADOR PVC SOLDAVEL CURTO COM BOLSA E ROSCA, 75 MM X 2 1/2", PARA AGUA FRIA</t>
  </si>
  <si>
    <t>ADAPTADOR PVC, SOLDAVEL, COM FLANGES LIVRES, 75 MM X 2 1/2", PARA CAIXA D'AGUA</t>
  </si>
  <si>
    <t>JOELHO PVC, SOLDAVEL, 90 GRAUS, 85 MM, COR MARROM, PARA AGUA FRIA PREDIAL</t>
  </si>
  <si>
    <t>CAP, PVC PBA, JE, DN 75 / DE 85 MM, PARA REDE DE AGUA (NBR 10351)</t>
  </si>
  <si>
    <t>JOELHO, PVC SOLDAVEL, 45 GRAUS, 85 MM, COR MARROM, PARA AGUA FRIA PREDIAL</t>
  </si>
  <si>
    <t>CURVA DE PVC 90 GRAUS, SOLDAVEL, 85 MM, COR MARROM, PARA AGUA FRIA PREDIAL</t>
  </si>
  <si>
    <t>TE SOLDAVEL, PVC, 90 GRAUS, 85 MM, PARA AGUA FRIA PREDIAL (NBR 5648)</t>
  </si>
  <si>
    <t>LUVA PVC SOLDAVEL, 85 MM, PARA AGUA FRIA PREDIAL</t>
  </si>
  <si>
    <t>ADAPTADOR PVC SOLDAVEL CURTO COM BOLSA E ROSCA, 85 MM X 3", PARA AGUA FRIA</t>
  </si>
  <si>
    <t>JOELHO PVC, SOLDAVEL, 90 GRAUS, 110 MM, COR MARROM, PARA AGUA FRIA PREDIAL</t>
  </si>
  <si>
    <t>CAP, PVC PBA, JE, DN 100 / DE 110 MM, PARA REDE DE AGUA (NBR 10351)</t>
  </si>
  <si>
    <t>CURVA PVC PBA, JE, PB, 90 GRAUS, DN 100 / DE 110 MM, PARA REDE DE AGUA</t>
  </si>
  <si>
    <t>LUVA PVC SOLDAVEL, 110 MM, PARA AGUA FRIA PREDIAL</t>
  </si>
  <si>
    <t>LUVA DE CORRER PVC PBA, JE, DN 100 / DE 110 MM, PARA REDE DE AGUA</t>
  </si>
  <si>
    <t>UNIAO PVC, SOLDAVEL, 110 MM, PARA AGUA FRIA PREDIAL</t>
  </si>
  <si>
    <t>ADAPTADOR PVC SOLDAVEL CURTO COM BOLSA E ROSCA, 110 MM X 4", PARA AGUA FRIA</t>
  </si>
  <si>
    <t>ADAPTADOR PVC, SOLDAVEL, COM FLANGES LIVRES, 110 MM X 4", PARA CAIXA D'AGUA</t>
  </si>
  <si>
    <t>JUNCAO SIMPLES, PVC, 45 GRAUS, DN 40 X 40 MM, SERIE NORMAL PARA ESGOTO PREDIAL</t>
  </si>
  <si>
    <t>TE PVC SOLDAVEL, BBB, 90 GRAUS, DN 40 MM, PARA ESGOTO SECUNDARIO PREDIAL</t>
  </si>
  <si>
    <t>JOELHO PVC, COM BOLSA E ANEL, 90 GRAUS, DN 40 X *38* MM, SERIE NORMAL, PARA ESGOTO PREDIAL</t>
  </si>
  <si>
    <t>JOELHO PVC, SOLDAVEL, PB, 90 GRAUS, DN 40 MM, PARA ESGOTO PREDIAL</t>
  </si>
  <si>
    <t>JOELHO PVC, SOLDAVEL, PB, 45 GRAUS, DN 40 MM, PARA ESGOTO PREDIAL</t>
  </si>
  <si>
    <t>CURVA PVC LONGA 90 GRAUS, DN 40 MM, PARA ESGOTO PREDIAL</t>
  </si>
  <si>
    <t>LUVA SIMPLES, PVC, SOLDAVEL, DN 50 MM, SERIE NORMAL, PARA ESGOTO PREDIAL</t>
  </si>
  <si>
    <t>LUVA DE CORRER, PVC, DN 50 MM, PARA ESGOTO PREDIAL</t>
  </si>
  <si>
    <t>JUNCAO SIMPLES, PVC, 45 GRAUS, DN 50 X 50 MM, SERIE NORMAL PARA ESGOTO PREDIAL</t>
  </si>
  <si>
    <t>TE SANITARIO, PVC, DN 50 X 50 MM, SERIE NORMAL, PARA ESGOTO PREDIAL</t>
  </si>
  <si>
    <t>JOELHO PVC, SOLDAVEL, PB, 90 GRAUS, DN 50 MM, PARA ESGOTO PREDIAL</t>
  </si>
  <si>
    <t>CAP PVC, SOLDAVEL, DN 50 MM, SERIE NORMAL, PARA ESGOTO PREDIAL</t>
  </si>
  <si>
    <t>BUCHA DE REDUCAO, PVC, LONGA, SERIE R, DN 50 X 40 MM, PARA ESGOTO PREDIAL</t>
  </si>
  <si>
    <t>CURVA PVC LONGA 90 GRAUS, DN 50 MM, PARA ESGOTO PREDIAL</t>
  </si>
  <si>
    <t>LUVA SIMPLES, PVC, SOLDAVEL, DN 75 MM, SERIE NORMAL, PARA ESGOTO PREDIAL</t>
  </si>
  <si>
    <t>JOELHO PVC, SOLDAVEL, PB, 90 GRAUS, DN 75 MM, PARA ESGOTO PREDIAL</t>
  </si>
  <si>
    <t>CURVA PVC LONGA 90 GRAUS, DN 75 MM, PARA ESGOTO PREDIAL</t>
  </si>
  <si>
    <t>JOELHO PVC, SOLDAVEL, PB, 45 GRAUS, DN 75 MM, PARA ESGOTO PREDIAL</t>
  </si>
  <si>
    <t>LUVA DE CORRER, PVC, DN 75 MM, PARA ESGOTO PREDIAL</t>
  </si>
  <si>
    <t>TE, PVC, SERIE R, 75 X 75 MM, PARA ESGOTO PREDIAL</t>
  </si>
  <si>
    <t>CAP PVC, SERIE R, DN 75 MM, PARA ESGOTO PREDIAL</t>
  </si>
  <si>
    <t>REDUCAO EXCENTRICA PVC, DN 75 X 50 MM, PARA ESGOTO PREDIAL</t>
  </si>
  <si>
    <t>LUVA SIMPLES, PVC, SOLDAVEL, DN 100 MM, SERIE NORMAL, PARA ESGOTO PREDIAL</t>
  </si>
  <si>
    <t>JOELHO PVC, SOLDAVEL, PB, 90 GRAUS, DN 100 MM, PARA ESGOTO PREDIAL</t>
  </si>
  <si>
    <t>CURVA PVC LONGA 90 GRAUS, DN 100 MM, PARA ESGOTO PREDIAL</t>
  </si>
  <si>
    <t>JOELHO PVC, SOLDAVEL, PB, 45 GRAUS, DN 100 MM, PARA ESGOTO PREDIAL</t>
  </si>
  <si>
    <t>JUNCAO DUPLA, PVC SOLDAVEL, DN 100 X 100 X 100 MM, SERIE NORMAL PARA ESGOTO PREDIAL</t>
  </si>
  <si>
    <t>JUNCAO SIMPLES, PVC, 45 GRAUS, DN 100 X 100 MM, SERIE NORMAL PARA ESGOTO PREDIAL</t>
  </si>
  <si>
    <t>CAP PVC, SERIE R, DN 100 MM, PARA ESGOTO PREDIAL</t>
  </si>
  <si>
    <t>TE, PVC, SERIE R, 100 X 100 MM, PARA ESGOTO PREDIAL</t>
  </si>
  <si>
    <t>TE DE INSPECAO, PVC, 100 X 75 MM, SERIE NORMAL PARA ESGOTO PREDIAL</t>
  </si>
  <si>
    <t>JOELHO PVC COM VISITA, 90 GRAUS, DN 100 X 50 MM, SERIE NORMAL, PARA ESGOTO PREDIAL</t>
  </si>
  <si>
    <t>REDUCAO EXCENTRICA PVC, DN 100 X 75 MM, PARA ESGOTO PREDIAL</t>
  </si>
  <si>
    <t>LUVA SIMPLES, PVC, SOLDAVEL, DN 150 MM, SERIE NORMAL, PARA ESGOTO PREDIAL</t>
  </si>
  <si>
    <t>LUVA DE CORRER, PVC SERIE R, 150 MM, PARA ESGOTO PREDIAL</t>
  </si>
  <si>
    <t>JUNCAO SIMPLES, PVC SERIE R, DN 150 X 150 MM, PARA ESGOTO PREDIAL</t>
  </si>
  <si>
    <t>TE, PVC, SERIE R, 150 X 150 MM, PARA ESGOTO PREDIAL</t>
  </si>
  <si>
    <t>JOELHO PVC, SOLDAVEL, PB, 90 GRAUS, DN 150 MM, PARA ESGOTO PREDIAL</t>
  </si>
  <si>
    <t>JOELHO PVC, SOLDAVEL, PB, 45 GRAUS, DN 150 MM, PARA ESGOTO PREDIAL</t>
  </si>
  <si>
    <t>CURVA LONGA PVC, PB, JE, 90 GRAUS, DN 150 MM, PARA REDE COLETORA ESGOTO</t>
  </si>
  <si>
    <t>CAP PVC, SERIE R, DN 150 MM, PARA ESGOTO PREDIAL</t>
  </si>
  <si>
    <t>TE DE COBRE SEM ANEL DE SOLDA, BOLSA X BOLSA X BOLSA, 35 MM</t>
  </si>
  <si>
    <t>TE DE COBRE SEM ANEL DE SOLDA, BOLSA X BOLSA X BOLSA, 42 MM</t>
  </si>
  <si>
    <t>BUCHA DE REDUCAO DE COBRE SEM ANEL DE SOLDA, PONTA X BOLSA, 42 X 35 MM</t>
  </si>
  <si>
    <t>COTOVELO DE COBRE 90 GRAUS SEM ANEL DE SOLDA, BOLSA X BOLSA, 54 MM</t>
  </si>
  <si>
    <t>LUVA DE COBRE SEM ANEL DE SOLDA, BOLSA X BOLSA, 54 MM</t>
  </si>
  <si>
    <t>TE DE COBRE SEM ANEL DE SOLDA, BOLSA X BOLSA X BOLSA, 54 MM</t>
  </si>
  <si>
    <t>BUCHA DE REDUCAO DE COBRE SEM ANEL DE SOLDA, PONTA X BOLSA, 54 X 42 MM</t>
  </si>
  <si>
    <t>COTOVELO DE COBRE 90 GRAUS SEM ANEL DE SOLDA, BOLSA X BOLSA, 66 MM</t>
  </si>
  <si>
    <t>LUVA DE COBRE SEM ANEL DE SOLDA, BOLSA X BOLSA, 66 MM</t>
  </si>
  <si>
    <t>TE DE COBRE SEM ANEL DE SOLDA, BOLSA X BOLSA X BOLSA, 66 MM</t>
  </si>
  <si>
    <t>BUCHA DE REDUCAO DE COBRE SEM ANEL DE SOLDA, PONTA X BOLSA, 66 X 54 MM</t>
  </si>
  <si>
    <t>COTOVELO DE COBRE 90 GRAUS SEM ANEL DE SOLDA, BOLSA X BOLSA, 79 MM</t>
  </si>
  <si>
    <t>LUVA DE COBRE SEM ANEL DE SOLDA, BOLSA X BOLSA, 79 MM</t>
  </si>
  <si>
    <t>TE DE COBRE SEM ANEL DE SOLDA, BOLSA X BOLSA X BOLSA, 79 MM</t>
  </si>
  <si>
    <t>NIPLE SEXTAVADO EM ACO CARBONO, COM ROSCA BSP, PRESSAO 3.000 LBS, DN 1/2"</t>
  </si>
  <si>
    <t>NIPLE SEXTAVADO EM ACO CARBONO, COM ROSCA BSP, PRESSAO 3.000 LBS, DN 3/4"</t>
  </si>
  <si>
    <t>BUCHA DE REDUCAO DE FERRO GALVANIZADO, COM ROSCA BSP, DE 3/4" X 1/2"</t>
  </si>
  <si>
    <t>BUCHA DE REDUCAO PVC ROSCAVEL 3/4" X 1/2"</t>
  </si>
  <si>
    <t>LUVA DE CORRER PARA TUBO ROSCAVEL, PVC, 3/4", PARA AGUA FRIA PREDIAL</t>
  </si>
  <si>
    <t>LUVA DE CORRER PARA TUBO ROSCAVEL, PVC, 1 1/2", PARA AGUA FRIA PREDIAL</t>
  </si>
  <si>
    <t>LUVA DE CORRER, CPVC, SOLDAVEL, 22 MM, PARA AGUA QUENTE PREDIAL</t>
  </si>
  <si>
    <t>LUVA DE CORRER, CPVC, SOLDAVEL, 28 MM, PARA AGUA QUENTE PREDIAL</t>
  </si>
  <si>
    <t>VIDRO TEMPERADO INCOLOR E = 6 MM, SEM COLOCACAO</t>
  </si>
  <si>
    <t>TABUA *2,5 X 15 CM EM PINUS, MISTA OU EQUIVALENTE DA REGIAO - BRUTA</t>
  </si>
  <si>
    <t>ARGILA OU BARRO PARA ATERRO/REATERRO (COM TRANSPORTE ATE 10 KM)</t>
  </si>
  <si>
    <t>MECÃNICO DE EQUIPAMENTOS PESADOS COM ENCARGOS COMPLEMENTARES</t>
  </si>
  <si>
    <t>DOMOS / CLARABOIA INDIVIDUAL, EM ACRILICO BRANCO/LEITOSO, *95 X 95* CM, INCLUI ACESSORIOS DE FIXACAO, SEM INSTALACAO</t>
  </si>
  <si>
    <t>AREIA FINA - POSTO JAZIDA/FORNECEDOR (RETIRADO NA JAZIDA, SEM TRANSPORTE)</t>
  </si>
  <si>
    <t>PEDRA PORTUGUESA OU PETIT PAVE, BRANCA OU PRETA</t>
  </si>
  <si>
    <t>MONTADOR (TUBO AÇO/EQUIPAMENTOS) COM ENCARGOS COMPLEMENTARES</t>
  </si>
  <si>
    <t>VIGA NAO APARELHADA *6 X 16* CM, EM MACARANDUBA/MASSARANDUBA, ANGELIM OU EQUIVALENTE DA REGIAO - BRUTA</t>
  </si>
  <si>
    <t>MOURAO ROLICO DE MADEIRA TRATADA, D = 8 A 11 CM, H = 2,20 M, EM EUCALIPTO OU EQUIVALENTE DA REGIAO (PARA CERCA)</t>
  </si>
  <si>
    <t>PLACA CIMENTICIA LISA E = 10 MM, DE 1,20 X *2,50* M (SEM AMIANTO)</t>
  </si>
  <si>
    <t>SUPORTE PARA CALHA DE 150 MM EM ACO GALVANIZADO</t>
  </si>
  <si>
    <t>CONECTOR, CPVC, SOLDAVEL, 28 MM X 1", PARA AGUA QUENTE</t>
  </si>
  <si>
    <t>RACK DE PISO PARA SERVIDOR, ABERTO, EM COLUNA, 44U X *570* MM</t>
  </si>
  <si>
    <t>BACIA SANITARIA (VASO) COM CAIXA ACOPLADA, SIFAO APARENTE, DE LOUCA BRANCA (SEM ASSENTO)</t>
  </si>
  <si>
    <t>TUBO ACO GALVANIZADO COM COSTURA, CLASSE LEVE, DN 100 MM (4"), E = 3,75 MM, *10,55* KG/M (NBR 5580)</t>
  </si>
  <si>
    <t>SPRINKLER TIPO PENDENTE, BULBO VERMELHO DE RESPOSTA RAPIDA, 68 GRAUS CELSIUS, ACABAMENTO CROMADO, D = 20 MM (3/4")</t>
  </si>
  <si>
    <t>TUBO ACO GALVANIZADO COM COSTURA, CLASSE MEDIA, DN 6", E = 4,85* MM, PESO 19,68* KG/M (NBR 5580)</t>
  </si>
  <si>
    <t>TUBO ACO CARBONO SEM COSTURA 1/2", E= *2,77 MM, SCHEDULE 40, *1,27 KG/M</t>
  </si>
  <si>
    <t>COTOVELO 90 GRAUS DE FERRO GALVANIZADO, COM ROSCA BSP MACHO/FEMEA, DE 1/2"</t>
  </si>
  <si>
    <t>UNIAO DE FERRO GALVANIZADO, COM ROSCA BSP, COM ASSENTO PLANO, DE 1/2"</t>
  </si>
  <si>
    <t>NIPLE DE FERRO GALVANIZADO, COM ROSCA BSP, DE 1/2"</t>
  </si>
  <si>
    <t>LUVA DE FERRO GALVANIZADO, COM ROSCA BSP, DE 1/2"</t>
  </si>
  <si>
    <t>CAP OU TAMPAO DE FERRO GALVANIZADO, COM ROSCA BSP, DE 1/2"</t>
  </si>
  <si>
    <t>COTOVELO 90 GRAUS DE FERRO GALVANIZADO, COM ROSCA BSP MACHO/FEMEA, DE 3/4"</t>
  </si>
  <si>
    <t>UNIAO DE FERRO GALVANIZADO, COM ROSCA BSP, COM ASSENTO PLANO, DE 3/4"</t>
  </si>
  <si>
    <t>NIPLE DE FERRO GALVANIZADO, COM ROSCA BSP, DE 3/4"</t>
  </si>
  <si>
    <t>LUVA DE FERRO GALVANIZADO, COM ROSCA BSP, DE 3/4"</t>
  </si>
  <si>
    <t>CAP OU TAMPAO DE FERRO GALVANIZADO, COM ROSCA BSP, DE 3/4"</t>
  </si>
  <si>
    <t>TE DE FERRO GALVANIZADO, DE 3/4"</t>
  </si>
  <si>
    <t>PLUG OU BUJAO DE FERRO GALVANIZADO, DE 3/4"</t>
  </si>
  <si>
    <t>LUVA DE REDUCAO DE FERRO GALVANIZADO, COM ROSCA BSP, DE 3/4" X 1/2"</t>
  </si>
  <si>
    <t>NIPLE DE REDUCAO DE FERRO GALVANIZADO, COM ROSCA BSP, DE 3/4" X 1/2"</t>
  </si>
  <si>
    <t>COTOVELO 90 GRAUS DE FERRO GALVANIZADO, COM ROSCA BSP MACHO/FEMEA, DE 1"</t>
  </si>
  <si>
    <t>LUVA DE FERRO GALVANIZADO, COM ROSCA BSP, DE 1"</t>
  </si>
  <si>
    <t>CAP OU TAMPAO DE FERRO GALVANIZADO, COM ROSCA BSP, DE 1"</t>
  </si>
  <si>
    <t>TE DE FERRO GALVANIZADO, DE 1"</t>
  </si>
  <si>
    <t>PLUG OU BUJAO DE FERRO GALVANIZADO, DE 1"</t>
  </si>
  <si>
    <t>BUCHA DE REDUCAO DE FERRO GALVANIZADO, COM ROSCA BSP, DE 1" X 3/4"</t>
  </si>
  <si>
    <t>LUVA DE REDUCAO DE FERRO GALVANIZADO, COM ROSCA BSP, DE 1" X 3/4"</t>
  </si>
  <si>
    <t>NIPLE DE REDUCAO DE FERRO GALVANIZADO, COM ROSCA BSP, DE 1" X 3/4"</t>
  </si>
  <si>
    <t>COTOVELO 90 GRAUS DE FERRO GALVANIZADO, COM ROSCA BSP MACHO/FEMEA, DE 1 1/4"</t>
  </si>
  <si>
    <t>UNIAO DE FERRO GALVANIZADO, COM ROSCA BSP, COM ASSENTO PLANO, DE 1 1/4"</t>
  </si>
  <si>
    <t>NIPLE DE FERRO GALVANIZADO, COM ROSCA BSP, DE 1 1/4"</t>
  </si>
  <si>
    <t>LUVA DE FERRO GALVANIZADO, COM ROSCA BSP, DE 1 1/4"</t>
  </si>
  <si>
    <t>CAP OU TAMPAO DE FERRO GALVANIZADO, COM ROSCA BSP, DE 1 1/4"</t>
  </si>
  <si>
    <t>TE DE FERRO GALVANIZADO, DE 1 1/4"</t>
  </si>
  <si>
    <t>PLUG OU BUJAO DE FERRO GALVANIZADO, DE 1 1/4"</t>
  </si>
  <si>
    <t>BUCHA DE REDUCAO DE FERRO GALVANIZADO, COM ROSCA BSP, DE 1 1/4" X 3/4"</t>
  </si>
  <si>
    <t>LUVA DE REDUCAO DE FERRO GALVANIZADO, COM ROSCA BSP, DE 1 1/4" X 3/4"</t>
  </si>
  <si>
    <t>NIPLE DE REDUCAO DE FERRO GALVANIZADO, COM ROSCA BSP, DE 1 1/4" X 3/4"</t>
  </si>
  <si>
    <t>BUCHA DE REDUCAO DE FERRO GALVANIZADO, COM ROSCA BSP, DE 1 1/4" X 1"</t>
  </si>
  <si>
    <t>LUVA DE REDUCAO DE FERRO GALVANIZADO, COM ROSCA BSP, DE 1 1/4" X 1"</t>
  </si>
  <si>
    <t>NIPLE DE REDUCAO DE FERRO GALVANIZADO, COM ROSCA BSP, DE 1 1/4" X 1"</t>
  </si>
  <si>
    <t>NIPLE DE FERRO GALVANIZADO, COM ROSCA BSP, DE 1 1/2"</t>
  </si>
  <si>
    <t>LUVA DE FERRO GALVANIZADO, COM ROSCA BSP, DE 1 1/2"</t>
  </si>
  <si>
    <t>CAP OU TAMPAO DE FERRO GALVANIZADO, COM ROSCA BSP, DE 1 1/2"</t>
  </si>
  <si>
    <t>PLUG OU BUJAO DE FERRO GALVANIZADO, DE 1 1/2"</t>
  </si>
  <si>
    <t>BUCHA DE REDUCAO DE FERRO GALVANIZADO, COM ROSCA BSP, DE 1 1/2" X 1"</t>
  </si>
  <si>
    <t>LUVA DE REDUCAO DE FERRO GALVANIZADO, COM ROSCA BSP, DE 1 1/2" X 1"</t>
  </si>
  <si>
    <t>NIPLE DE REDUCAO DE FERRO GALVANIZADO, COM ROSCA BSP, DE 1 1/2" X 1"</t>
  </si>
  <si>
    <t>COTOVELO 90 GRAUS DE FERRO GALVANIZADO, COM ROSCA BSP, DE 2"</t>
  </si>
  <si>
    <t>LUVA DE FERRO GALVANIZADO, COM ROSCA BSP, DE 2"</t>
  </si>
  <si>
    <t>CAP OU TAMPAO DE FERRO GALVANIZADO, COM ROSCA BSP, DE 2"</t>
  </si>
  <si>
    <t>PLUG OU BUJAO DE FERRO GALVANIZADO, DE 2"</t>
  </si>
  <si>
    <t>COTOVELO 90 GRAUS DE FERRO GALVANIZADO, COM ROSCA BSP MACHO/FEMEA, DE 2 1/2"</t>
  </si>
  <si>
    <t>LUVA DE FERRO GALVANIZADO, COM ROSCA BSP, DE 2 1/2"</t>
  </si>
  <si>
    <t>CAP OU TAMPAO DE FERRO GALVANIZADO, COM ROSCA BSP, DE 2 1/2"</t>
  </si>
  <si>
    <t>PLUG OU BUJAO DE FERRO GALVANIZADO, DE 2 1/2"</t>
  </si>
  <si>
    <t>TUBO ACO CARBONO SEM COSTURA 3", E= *5,49 MM, SCHEDULE 40, *11,28* KG/M</t>
  </si>
  <si>
    <t>TUBO ACO CARBONO SEM COSTURA 4", E= *6,02 MM, SCHEDULE 40, *16,06 KG/M</t>
  </si>
  <si>
    <t>TUBO ACO CARBONO SEM COSTURA 6", E= 7,11 MM, SCHEDULE 40, *28,26 KG/M</t>
  </si>
  <si>
    <t>TE PVC, SOLDAVEL, COM BUCHA DE LATAO NA BOLSA CENTRAL, 90 GRAUS, 25 MM X 3/4", PARA AGUA FRIA PREDIAL</t>
  </si>
  <si>
    <t>JOELHO PVC, SOLDAVEL COM ROSCA, 90 GRAUS, 32 MM X 3/4", COR MARROM, PARA AGUA FRIA PREDIAL</t>
  </si>
  <si>
    <t>LUVA SOLDAVEL COM ROSCA, PVC, 32 MM X 1", PARA AGUA FRIA PREDIAL</t>
  </si>
  <si>
    <t>TE PVC, SOLDAVEL, COM BUCHA DE LATAO NA BOLSA CENTRAL, 90 GRAUS, 32 MM X 3/4", PARA AGUA FRIA PREDIAL</t>
  </si>
  <si>
    <t>COTOVELO DE COBRE 90 GRAUS SEM ANEL DE SOLDA, BOLSA X BOLSA, 15 MM</t>
  </si>
  <si>
    <t>LUVA DE COBRE SEM ANEL DE SOLDA, BOLSA X BOLSA, 15 MM</t>
  </si>
  <si>
    <t>TUBO DE COBRE CLASSE "A", DN = 1" (28 MM), PARA INSTALACOES DE MEDIA PRESSAO PARA GASES COMBUSTIVEIS E MEDICINAIS</t>
  </si>
  <si>
    <t>COTOVELO DE COBRE 90 GRAUS SEM ANEL DE SOLDA, BOLSA X BOLSA, 28 MM</t>
  </si>
  <si>
    <t>LUVA DE COBRE SEM ANEL DE SOLDA, BOLSA X BOLSA, 28 MM</t>
  </si>
  <si>
    <t>CHAPA DE ACO GALVANIZADA BITOLA GSG 18, E = 1,25 MM (10,00 KG/M2)</t>
  </si>
  <si>
    <t>ARRUELA LISA, REDONDA, DE LATAO POLIDO, DIAMETRO NOMINAL 5/8", DIAMETRO EXTERNO = 34 MM, DIAMETRO DO FURO = 17 MM, ESPESSURA = *2,5* MM</t>
  </si>
  <si>
    <t>VERGALHAO ZINCADO ROSCA TOTAL, 1/4" (6,3 MM)</t>
  </si>
  <si>
    <t>BUCHA DE REDUCAO DE FERRO GALVANIZADO, COM ROSCA BSP, DE 4" X 3"</t>
  </si>
  <si>
    <t>NIPLE DE REDUCAO DE FERRO GALVANIZADO, COM ROSCA BSP, DE 2" X 1 1/2"</t>
  </si>
  <si>
    <t>NIPLE DE REDUCAO DE FERRO GALVANIZADO, COM ROSCA BSP, DE 2 1/2" X 2"</t>
  </si>
  <si>
    <t>SOLDADOR (HORISTA)</t>
  </si>
  <si>
    <t>ADAPTADOR EM LATAO, ENGATE RAPIDO1 1/2" X ROSCA INTERNA 5 FIOS 2 1/2", PARA INSTALACAO PREDIAL DE COMBATE A INCENDIO</t>
  </si>
  <si>
    <t>CAIXA DE INCENDIO/ABRIGO PARA MANGUEIRA, DE SOBREPOR/EXTERNA, COM 90 X 60 X 17 CM, EM CHAPA DE ACO, PORTA COM VENTILACAO, VISOR COM A INSCRICAO "INCENDIO", SUPORTE/CESTA INTERNA PARA A MANGUEIRA, PINTURA ELETROSTATICA VERMELHA</t>
  </si>
  <si>
    <t>CHAVE DUPLA PARA CONEXOES TIPO STORZ, ENGATE RAPIDO 1 1/2" X 2 1/2", EM LATAO, PARA INSTALACAO PREDIAL COMBATE A INCENDIO</t>
  </si>
  <si>
    <t>MANGUEIRA DE INCENDIO, TIPO 1, DE 1 1/2", COMPRIMENTO = 30 M, TECIDO EM FIO DE POLIESTER E TUBO INTERNO EM BORRACHA SINTETICA, COM UNIOES ENGATE RAPIDO</t>
  </si>
  <si>
    <t>ESGUICHO JATO REGULAVEL, TIPO ELKHART, ENGATE RAPIDO 1 1/2", PARA COMBATE A INCENDIO</t>
  </si>
  <si>
    <t>TAMPAO COM CORRENTE, EM LATAO, ENGATE RAPIDO 2 1/2", PARA INSTALACAO PREDIAL DE COMBATE A INCENDIO</t>
  </si>
  <si>
    <t>PERFIL "U" SIMPLES, EM CHAPA DOBRADA DE ACO LAMINADO, E = 2,65 MM, H = 75 MM, L = 40 MM (3,04 KG/M)</t>
  </si>
  <si>
    <t>MARTELETE OU ROMPEDOR PNEUMÁTICO MANUAL, 28 KG, COM SILENCIADOR - CHP DIURNO. AF_07/2016</t>
  </si>
  <si>
    <t>MARTELETE OU ROMPEDOR PNEUMÁTICO MANUAL, 28 KG, COM SILENCIADOR - CHI DIURNO. AF_07/2016</t>
  </si>
  <si>
    <t>LIXEIRA DUPLA, COM CAPACIDADE VOLUMETRICA DE 60L*, FABRICADA EM TUBO DE ACO CARBONO, CESTOS EM CHAPA DE ACO E PINTURA NO PROCESSO ELETROSTATICO - PARA ACADEMIA AO AR LIVRE / ACADEMIA DA TERCEIRA IDADE - ATI</t>
  </si>
  <si>
    <t>ADAPTADOR PVC, ROSCAVEL, COM FLANGES E ANEL DE VEDACAO, 3/4", PARA CAIXA D'AGUA</t>
  </si>
  <si>
    <t>ADAPTADOR PVC, ROSCAVEL, COM FLANGES E ANEL DE VEDACAO, 1 1/2", PARA CAIXA D'AGUA</t>
  </si>
  <si>
    <t>ADAPTADOR PVC SOLDAVEL CURTO COM BOLSA E ROSCA, 20 MM X 1/2", PARA AGUA FRIA</t>
  </si>
  <si>
    <t>ADAPTADOR PVC SOLDAVEL CURTO COM BOLSA E ROSCA, 40 MM X 1 1/2", PARA AGUA FRIA</t>
  </si>
  <si>
    <t>BUCHA DE REDUCAO DE PVC, SOLDAVEL, LONGA, COM 40 X 25 MM, PARA AGUA FRIA PREDIAL</t>
  </si>
  <si>
    <t>BUCHA DE REDUCAO DE PVC, SOLDAVEL, LONGA, COM 60 X 25 MM, PARA AGUA FRIA PREDIAL</t>
  </si>
  <si>
    <t>BUCHA DE REDUCAO DE PVC, SOLDAVEL, LONGA, COM 75 X 50 MM, PARA AGUA FRIA PREDIAL</t>
  </si>
  <si>
    <t>CURVA DE PVC 45 GRAUS, SOLDAVEL, 75 MM, COR MARROM, PARA AGUA FRIA PREDIAL</t>
  </si>
  <si>
    <t>CURVA DE PVC 45 GRAUS, SOLDAVEL, 60 MM, COR MARROM, PARA AGUA FRIA PREDIAL</t>
  </si>
  <si>
    <t>CURVA DE PVC 45 GRAUS, SOLDAVEL, 40 MM, COR MARROM, PARA AGUA FRIA PREDIAL</t>
  </si>
  <si>
    <t>CURVA DE PVC 45 GRAUS, SOLDAVEL, 50 MM, COR MARROM, PARA AGUA FRIA PREDIAL</t>
  </si>
  <si>
    <t>CURVA DE PVC 45 GRAUS, SOLDAVEL, 32 MM, COR MARROM, PARA AGUA FRIA PREDIAL</t>
  </si>
  <si>
    <t>CURVA DE PVC 45 GRAUS, SOLDAVEL, 25 MM, COR MARROM, PARA AGUA FRIA PREDIAL</t>
  </si>
  <si>
    <t>JOELHO PVC, SOLDAVEL, COM BUCHA DE LATAO, 90 GRAUS, 20 MM X 1/2", PARA AGUA FRIA PREDIAL</t>
  </si>
  <si>
    <t>LUVA PVC SOLDAVEL, 20 MM, PARA AGUA FRIA PREDIAL</t>
  </si>
  <si>
    <t>TE SOLDAVEL, PVC, 90 GRAUS, 20 MM, PARA AGUA FRIA PREDIAL (NBR 5648)</t>
  </si>
  <si>
    <t>JOELHO PVC, SOLDAVEL COM ROSCA, 90 GRAUS, 20 MM X 1/2", COR MARROM, PARA AGUA FRIA PREDIAL</t>
  </si>
  <si>
    <t>LUVA SOLDAVEL COM BUCHA DE LATAO, PVC, 20 MM X 1/2"</t>
  </si>
  <si>
    <t>LUVA DE REDUCAO SOLDAVEL, PVC, 32 MM X 25 MM, PARA AGUA FRIA PREDIAL</t>
  </si>
  <si>
    <t>LUVA DE REDUCAO, SOLDAVEL, PVC, 50 X 25 MM, PARA AGUA FRIA PREDIAL</t>
  </si>
  <si>
    <t>LUVA DE REDUCAO SOLDAVEL, PVC, 60 MM X 50 MM, PARA AGUA FRIA PREDIAL</t>
  </si>
  <si>
    <t>TE DE REDUCAO, PVC, SOLDAVEL, 90 GRAUS, 25 MM X 20 MM, PARA AGUA FRIA PREDIAL</t>
  </si>
  <si>
    <t>TE DE REDUCAO, PVC, SOLDAVEL, 90 GRAUS, 32 MM X 25 MM, PARA AGUA FRIA PREDIAL</t>
  </si>
  <si>
    <t>TE DE REDUCAO, PVC, SOLDAVEL, 90 GRAUS, 50 MM X 32 MM, PARA AGUA FRIA PREDIAL</t>
  </si>
  <si>
    <t>TE DE REDUCAO, PVC, SOLDAVEL, 90 GRAUS, 110 MM X 60 MM, PARA AGUA FRIA PREDIAL</t>
  </si>
  <si>
    <t>TE PVC, SOLDAVEL, COM ROSCA NA BOLSA CENTRAL, 90 GRAUS, 20 MM X 1/2", PARA AGUA FRIA PREDIAL</t>
  </si>
  <si>
    <t>UNIAO PVC, SOLDAVEL, 20 MM, PARA AGUA FRIA PREDIAL</t>
  </si>
  <si>
    <t>JOELHO PVC, ROSCAVEL, 45 GRAUS, 3/4", COR BRANCA, PARA AGUA FRIA PREDIAL</t>
  </si>
  <si>
    <t>TUBO PVC, ROSCAVEL, 1/2", AGUA FRIA PREDIAL</t>
  </si>
  <si>
    <t>JOELHO PVC, ROSCAVEL, 90 GRAUS, 3/4", COR BRANCA, PARA AGUA FRIA PREDIAL</t>
  </si>
  <si>
    <t>JOELHO DE REDUCAO, PVC, ROSCAVEL, 90 GRAUS, 3/4" X 1/2", COR BRANCA, PARA AGUA FRIA PREDIAL</t>
  </si>
  <si>
    <t>LUVA DE CORRER PARA TUBO ROSCAVEL, PVC, 1/2", PARA AGUA FRIA PREDIAL</t>
  </si>
  <si>
    <t>LUVA DE REDUCAO ROSCAVEL, PVC, 3/4" X 1/2", PARA AGUA FRIA PREDIAL</t>
  </si>
  <si>
    <t>LUVA PVC, ROSCAVEL, 1/2", AGUA FRIA PREDIAL</t>
  </si>
  <si>
    <t>LUVA PVC, ROSCAVEL, 3/4", AGUA FRIA PREDIAL</t>
  </si>
  <si>
    <t>TE DE REDUCAO COM ROSCA, PVC, 90 GRAUS, 3/4 X 1/2", PARA AGUA FRIA PREDIAL</t>
  </si>
  <si>
    <t>TE DE REDUCAO COM ROSCA, PVC, 90 GRAUS, 1.1/2" X 3/4", AGUA FRIA PREDIAL</t>
  </si>
  <si>
    <t>TE DE REDUCAO COM ROSCA, PVC, 90 GRAUS, 1 X 3/4", PARA AGUA FRIA PREDIAL</t>
  </si>
  <si>
    <t>TUBO CPVC, SOLDAVEL, 54 MM, AGUA QUENTE PREDIAL (NBR 15884)</t>
  </si>
  <si>
    <t>TUBO CPVC, SOLDAVEL, 73 MM, AGUA QUENTE PREDIAL (NBR 15884)</t>
  </si>
  <si>
    <t>CONECTOR, CPVC, SOLDAVEL, 42 MM X 1 1/2", PARA AGUA QUENTE</t>
  </si>
  <si>
    <t>CONECTOR, CPVC, SOLDAVEL, 54 MM X 2", PARA AGUA QUENTE</t>
  </si>
  <si>
    <t>CONECTOR, CPVC, SOLDAVEL, 89 MM X 3", PARA AGUA QUENTE</t>
  </si>
  <si>
    <t>CURVA CPVC, 90 GRAUS, SOLDAVEL, 22 MM, PARA AGUA QUENTE</t>
  </si>
  <si>
    <t>CURVA CPVC, 90 GRAUS, SOLDAVEL, 28 MM, PARA AGUA QUENTE</t>
  </si>
  <si>
    <t>JOELHO DE TRANSICAO, CPVC, SOLDAVEL, 90 GRAUS, 22 MM X 1/2", PARA AGUA QUENTE</t>
  </si>
  <si>
    <t>JOELHO DE TRANSICAO, CPVC, SOLDAVEL, 90 GRAUS, 22 MM X 3/4", PARA AGUA QUENTE</t>
  </si>
  <si>
    <t>BUCHA DE REDUCAO, CPVC, SOLDAVEL, 54 X 35 MM, PARA AGUA QUENTE</t>
  </si>
  <si>
    <t>CURVA DE TRANSPOSICAO, CPVC, SOLDAVEL, 22 MM</t>
  </si>
  <si>
    <t>JOELHO CPVC, SOLDAVEL, 45 GRAUS, 54 MM, PARA AGUA QUENTE</t>
  </si>
  <si>
    <t>JOELHO CPVC, SOLDAVEL, 90 GRAUS, 54 MM, PARA AGUA QUENTE</t>
  </si>
  <si>
    <t>LUVA CPVC, SOLDAVEL, 54 MM, PARA AGUA QUENTE PREDIAL</t>
  </si>
  <si>
    <t>LUVA DE TRANSICAO, CPVC, SOLDAVEL, 54 MM X 2", PARA AGUA QUENTE PREDIAL</t>
  </si>
  <si>
    <t>UNIAO, CPVC, SOLDAVEL, 54 MM, PARA AGUA QUENTE PREDIAL</t>
  </si>
  <si>
    <t>UNIAO, CPVC, SOLDAVEL, 73 MM, PARA AGUA QUENTE PREDIAL</t>
  </si>
  <si>
    <t>JUNCAO DE REDUCAO INVERTIDA, PVC SOLDAVEL, 75 X 50 MM, SERIE NORMAL PARA ESGOTO PREDIAL</t>
  </si>
  <si>
    <t>JUNCAO INVERTIDA, PVC SOLDAVEL, 75 X 75 MM, SERIE NORMAL PARA ESGOTO PREDIAL</t>
  </si>
  <si>
    <t>CURVA LONGA PVC, PB, JE, 45 GRAUS, DN 150 MM, PARA REDE COLETORA ESGOTO</t>
  </si>
  <si>
    <t>JUNCAO SIMPLES, PVC SERIE R, DN 100 X 75 MM, PARA ESGOTO PREDIAL</t>
  </si>
  <si>
    <t>JUNCAO SIMPLES DE REDUCAO, PVC, DN 100 X 50 MM, SERIE NORMAL PARA ESGOTO PREDIAL</t>
  </si>
  <si>
    <t>CURVA PVC CURTA 90 GRAUS, DN 40 MM, PARA ESGOTO PREDIAL</t>
  </si>
  <si>
    <t>CURVA PVC CURTA 90 GRAUS, DN 50 MM, PARA ESGOTO PREDIAL</t>
  </si>
  <si>
    <t>CURVA PVC CURTA 90 GRAUS, DN 75 MM, PARA ESGOTO PREDIAL</t>
  </si>
  <si>
    <t>CURVA PVC CURTA 90 GRAUS, DN 100 MM, PARA ESGOTO PREDIAL</t>
  </si>
  <si>
    <t>REDUCAO EXCENTRICA PVC, DN 100 X 50 MM, PARA ESGOTO PREDIAL</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</si>
  <si>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</si>
  <si>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</si>
  <si>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2 1/2", PARA FUNDO DE POCO</t>
  </si>
  <si>
    <t>VALVULA DE RETENCAO DE BRONZE, PE COM CRIVOS, EXTREMIDADE COM ROSCA, DE 3/4", PARA FUNDO DE POCO</t>
  </si>
  <si>
    <t>VALVULA DE RETENCAO DE BRONZE, PE COM CRIVOS, EXTREMIDADE COM ROSCA, DE 3",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</si>
  <si>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</si>
  <si>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</si>
  <si>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</si>
  <si>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</si>
  <si>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</si>
  <si>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</si>
  <si>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</si>
  <si>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</si>
  <si>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</si>
  <si>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</si>
  <si>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</si>
  <si>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3/4", 200 PSI, EXTREMIDADES COM ROSCA</t>
  </si>
  <si>
    <t>REGISTRO DE PRESSAO PVC, ROSCAVEL, VOLANTE SIMPLES, DE 1/2"</t>
  </si>
  <si>
    <t>REGISTRO DE PRESSAO PVC, ROSCAVEL, VOLANTE SIMPLES, DE 3/4"</t>
  </si>
  <si>
    <t>REGISTRO DE PRESSAO PVC, SOLDAVEL, VOLANTE SIMPLES, DE 20 MM</t>
  </si>
  <si>
    <t>REGISTRO DE PRESSAO PVC, SOLDAVEL, VOLANTE SIMPLES, DE 25 MM</t>
  </si>
  <si>
    <t>REGISTRO DE ESFERA, PVC, COM VOLANTE, VS, ROSCAVEL, DN 3/4", COM CORPO DIVIDIDO</t>
  </si>
  <si>
    <t>REGISTRO DE ESFERA, PVC, COM VOLANTE, VS, ROSCAVEL, DN 1", COM CORPO DIVIDIDO</t>
  </si>
  <si>
    <t>REGISTRO DE ESFERA, PVC, COM VOLANTE, VS, ROSCAVEL, DN 1 1/4", COM CORPO DIVIDIDO</t>
  </si>
  <si>
    <t>REGISTRO DE ESFERA, PVC, COM VOLANTE, VS, ROSCAVEL, DN 2",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</si>
  <si>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</si>
  <si>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</si>
  <si>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</si>
  <si>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</si>
  <si>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</si>
  <si>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CABECA QUADRADA, COM ROSCA EXTERNA, 1/2"</t>
  </si>
  <si>
    <t>REGISTRO DE ESFERA PVC, COM CABECA QUADRADA, COM ROSCA EXTERNA, 3/4"</t>
  </si>
  <si>
    <t>TUBO DE COBRE CLASSE "A", DN = 1/2" (15 MM), PARA INSTALACOES DE MEDIA PRESSAO PARA GASES COMBUSTIVEIS E MEDICINAIS</t>
  </si>
  <si>
    <t>TUBO DE COBRE CLASSE "A", DN = 3/4" (22 MM), PARA INSTALACOES DE MEDIA PRESSAO PARA GASES COMBUSTIVEIS E MEDICINAIS</t>
  </si>
  <si>
    <t>CURVA 45 GRAUS DE COBRE SEM ANEL DE SOLDA, BOLSA X BOLSA, 22 MM</t>
  </si>
  <si>
    <t>CURVA 45 GRAUS DE COBRE SEM ANEL DE SOLDA, BOLSA X BOLSA, 28 MM</t>
  </si>
  <si>
    <t>CURVA DE TRANSPOSICAO BRONZE/LATAO SEM ANEL DE SOLDA, BOLSA X BOLSA, 22 MM</t>
  </si>
  <si>
    <t>CURVA DE TRANSPOSICAO BRONZE/LATAO SEM ANEL DE SOLDA, BOLSA X BOLSA, 28 MM</t>
  </si>
  <si>
    <t>LUVA PASSANTE DE COBRE SEM ANEL DE SOLDA, BOLSA 22 MM</t>
  </si>
  <si>
    <t>LUVA PASSANTE DE COBRE SEM ANEL DE SOLDA, BOLSA 28 MM</t>
  </si>
  <si>
    <t>LUVA PASSANTE DE COBRE SEM ANEL DE SOLDA, BOLSA 35 MM</t>
  </si>
  <si>
    <t>LUVA PASSANTE DE COBRE SEM ANEL DE SOLDA, BOLSA 42 MM</t>
  </si>
  <si>
    <t>LUVA PASSANTE DE COBRE SEM ANEL DE SOLDA, BOLSA 54 MM</t>
  </si>
  <si>
    <t>LUVA PASSANTE DE COBRE SEM ANEL DE SOLDA, BOLSA 66 MM</t>
  </si>
  <si>
    <t>BUCHA DE REDUCAO DE COBRE SEM ANEL DE SOLDA, PONTA X BOLSA, 28 X 22 MM</t>
  </si>
  <si>
    <t>BUCHA DE REDUCAO DE COBRE SEM ANEL DE SOLDA, PONTA X BOLSA, 35 X 28 MM</t>
  </si>
  <si>
    <t>TE DE COBRE SEM ANEL DE SOLDA, BOLSA X BOLSA X BOLSA, 28 MM</t>
  </si>
  <si>
    <t>TE DUPLA CURVA BRONZE/LATAO SEM ANEL DE SOLDA, ROSCA F X BOLSA X ROSCA F, 1/2" X 15 X 1/2"</t>
  </si>
  <si>
    <t>TE DUPLA CURVA BRONZE/LATAO SEM ANEL DE SOLDA, ROSCA F X BOLSA X ROSCA F, 3/4" X 22 X 3/4"</t>
  </si>
  <si>
    <t>JUNTA DE EXPANSAO DE COBRE, PONTA X PONTA, 22 MM</t>
  </si>
  <si>
    <t>JUNTA DE EXPANSAO DE COBRE, PONTA X PONTA, 28 MM</t>
  </si>
  <si>
    <t>JUNTA DE EXPANSAO BRONZE/LATAO, PONTA X PONTA, 35 MM</t>
  </si>
  <si>
    <t>JUNTA DE EXPANSAO BRONZE/LATAO, PONTA X PONTA, 42 MM</t>
  </si>
  <si>
    <t>JUNTA DE EXPANSAO BRONZE/LATAO, PONTA X PONTA, 54 MM</t>
  </si>
  <si>
    <t>JUNTA DE EXPANSAO BRONZE/LATAO, PONTA X PONTA, 66 MM</t>
  </si>
  <si>
    <t>CONECTOR/ADAPTADOR FIXO, ROSCA FEMEA, EM PLASTICO, DN 16 MM X 1/2", PARA CONEXAO COM CRIMPAGEM, EM TUBO PEX PARA INST. AGUA QUENTE/FRIA</t>
  </si>
  <si>
    <t>CONECTOR/ADAPTADOR FIXO, ROSCA FEMEA, EM PLASTICO, DN 20 MM X 3/4", PARA CONEXAO COM CRIMPAGEM, EM TUBO PEX PARA INST. AGUA QUENTE/FRIA</t>
  </si>
  <si>
    <t>CONECTOR/ADAPTADOR FIXO, ROSCA FEMEA, EM PLASTICO, DN 20 MM X 1/2", PARA CONEXAO COM CRIMPAGEM, EM TUBO PEX PARA INST. AGUA QUENTE/FRIA</t>
  </si>
  <si>
    <t>CONECTOR/ADAPTADOR FIXO, ROSCA FEMEA, EM PLASTICO, DN 25 MM X 3/4", PARA CONEXAO COM CRIMPAGEM,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</si>
  <si>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</si>
  <si>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</si>
  <si>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</si>
  <si>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</si>
  <si>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PLASTICO, PARA CONEXAO COM CRIMPAGEM, DN 16 MM, EM TUBO PEX PARA INST. AGUA QUENTE/FRIA</t>
  </si>
  <si>
    <t>JOELHO/COTOVELO 90 GRAUS, PLASTICO, PARA CONEXAO COM CRIMPAGEM, DN 20 MM, EM TUBO PEX PARA INST. AGUA QUENTE/FRIA</t>
  </si>
  <si>
    <t>JOELHO/COTOVELO 90 GRAUS, PLASTICO, PARA CONEXAO COM CRIMPAGEM, DN 25 MM, EM TUBO PEX PARA INST. AGUA QUENTE/FRIA</t>
  </si>
  <si>
    <t>TE METALICO, PARA CONEXAO COM ANEL DESLIZANTE, DN 16 MM, EM TUBO PEX PARA INST. AGUA QUENTE/FRIA</t>
  </si>
  <si>
    <t>TE METALICO, PARA CONEXAO COM ANEL DESLIZANTE, DN 25 MM, EM TUBO PEX PARA INST. AGUA QUENTE/FRIA</t>
  </si>
  <si>
    <t>TE ROSCA FEMEA, METALICO, PARA CONEXAO COM ANEL DESLIZANTE, DN 16 MM X 1/2", EM TUBO PEX PARA INST. AGUA QUENTE/FRIA</t>
  </si>
  <si>
    <t>TUBO MULTICAMADA PEX GAS, DN *16* MM</t>
  </si>
  <si>
    <t>CONDULETE DE ALUMINIO TIPO E, PARA ELETRODUTO ROSCAVEL DE 4", COM TAMPA CEGA</t>
  </si>
  <si>
    <t>ACO CA-50, 20,0 MM OU 25,0 MM, VERGALHAO</t>
  </si>
  <si>
    <t>MANGUEIRA CRISTAL, LISA, PVC TRANSPARENTE, 1/2" X 2 MM</t>
  </si>
  <si>
    <t>PARAFUSO FRANCES ZINCADO, DIAMETRO 1/2", COMPRIMENTO 4", COM PORCA E ARRUELA</t>
  </si>
  <si>
    <t>CHAPA DE ACO CARBONO LAMINADO A QUENTE, QUALIDADE ESTRUTURAL, BITOLA 3/16", E =4,75 MM (37,29 KG/M2)</t>
  </si>
  <si>
    <t>FITA ISOLANTE ADESIVA ANTICHAMA, USO ATE 750 V, EM ROLO DE 19 MM X 20 M</t>
  </si>
  <si>
    <t>CURVA 45 GRAUS DE COBRE SEM ANEL DE SOLDA, BOLSA X BOLSA, 35 MM</t>
  </si>
  <si>
    <t>CURVA 45 GRAUS DE COBRE SEM ANEL DE SOLDA, BOLSA X BOLSA, 42 MM</t>
  </si>
  <si>
    <t>CURVA 45 GRAUS DE COBRE SEM ANEL DE SOLDA, BOLSA X BOLSA, 54 MM</t>
  </si>
  <si>
    <t>CURVA 45 GRAUS DE COBRE SEM ANEL DE SOLDA, BOLSA X BOLSA, 66 MM</t>
  </si>
  <si>
    <t>MISTURADOR DUPLO HORIZONTAL DE ALTA TURBULÊNCIA, CAPACIDADE / VOLUME 2 X 500 LITROS, MOTORES ELÉTRICOS MÍNIMO 5 CV CADA, PARA NATA CIMENTO, ARGAMASSA E OUTROS - CHI DIURNO. AF_06/2015</t>
  </si>
  <si>
    <t>MISTURADOR DUPLO HORIZONTAL DE ALTA TURBULÊNCIA, CAPACIDADE / VOLUME 2 X 500 LITROS, MOTORES ELÉTRICOS MÍNIMO 5 CV CADA, PARA NATA CIMENTO, ARGAMASSA E OUTROS - CHP DIURNO. AF_06/2015</t>
  </si>
  <si>
    <t>BARRA ANTIPANICO DUPLA, PARA PORTA DE VIDRO, COR CINZA</t>
  </si>
  <si>
    <t>PORTAO DE CORRER EM GRADIL FIXO DE BARRA DE FERRO CHATA DE 3 X 1/4" NA VERTICAL, SEM REQUADRO, ACABAMENTO NATURAL, COM TRILHOS E ROLDANAS</t>
  </si>
  <si>
    <t>CONECTOR, CPVC, SOLDAVEL, 22 MM X 1/2", PARA AGUA QUENTE</t>
  </si>
  <si>
    <t>TE DE REDUCAO DE FERRO GALVANIZADO, COM ROSCA BSP, DE 1 1/2" X 3/4"</t>
  </si>
  <si>
    <t>TAMPAO FOFO SIMPLES COM BASE / REQUADRO, R-2, CLASSE A15 CARGA MAX. 1,5 T, 550 X 1100 MM (COM INSCRICAO EM RELEVO DO TIPO DE REDE)</t>
  </si>
  <si>
    <t>PORTA DE ABRIR / GIRO, EM GRADIL FERRO, COM BARRA CHATA 3 CM X 1/4", COM REQUADRO E GUARNICAO - COMPLETO - ACABAMENTO NATURAL</t>
  </si>
  <si>
    <t>TUBO ACO GALVANIZADO COM COSTURA, CLASSE MEDIA, DN 2", E = *3,65* MM, PESO *5,10* KG/M (NBR 5580)</t>
  </si>
  <si>
    <t>TUBO ACO GALVANIZADO COM COSTURA, CLASSE MEDIA, DN 1.1/4", E = *3,25* MM, PESO *3,14* KG/M (NBR 5580)</t>
  </si>
  <si>
    <t>ARAME GALVANIZADO 12 BWG, D = 2,76 MM (0,048 KG/M) OU 14 BWG, D = 2,11 MM (0,026 KG/M)</t>
  </si>
  <si>
    <t>CAP PVC, ROSCAVEL, 1", PARA AGUA FRIA PREDIAL</t>
  </si>
  <si>
    <t>GRELHA FOFO SIMPLES COM REQUADRO, CARGA MAXIMA 1,5 T, 200 X 1000 MM, E= *15* MM</t>
  </si>
  <si>
    <t>ARGILA EXPANDIDA, GRANULOMETRIA 2215</t>
  </si>
  <si>
    <t>MOTOBOMBA TRASH (PARA AGUA SUJA) AUTO ESCORVANTE, MOTOR GASOLINA DE 6,41 HP, DIAMETROS DE SUCCAO X RECALQUE: 3" X 3", HM/Q: 10/60 A 23/0</t>
  </si>
  <si>
    <t>CADEADO SIMPLES, CORPO EM LATAO MACICO, COM LARGURA DE 35 MM E ALTURA DE APROX 30 MM, HASTE CEMENTADA (NAO LONGA), EM ACO TEMPERADO COM DIAMETRO DE APROX 6,0 MM, INCLUINDO 2 CHAVES</t>
  </si>
  <si>
    <t>BUCHA DE REDUCAO DE FERRO GALVANIZADO, COM ROSCA BSP, DE 1 1/2" X 1 1/4"</t>
  </si>
  <si>
    <t>BUCHA DE REDUCAO DE FERRO GALVANIZADO, COM ROSCA BSP, DE 2 1/2" X 1 1/2"</t>
  </si>
  <si>
    <t>BUCHA DE REDUCAO DE FERRO GALVANIZADO, COM ROSCA BSP, DE 2 1/2" X 1 1/4"</t>
  </si>
  <si>
    <t>BUCHA DE REDUCAO DE FERRO GALVANIZADO, COM ROSCA BSP, DE 2" X 1 1/4"</t>
  </si>
  <si>
    <t>BLOCO DE VEDACAO DE CONCRETO 19 X 19 X 39 CM (CLASSE C - NBR 6136)</t>
  </si>
  <si>
    <t>PLACA / CHAPA DE GESSO ACARTONADO, STANDARD (ST), COR BRANCA, E = 15 MM, 1200 X 2400 MM (L X C)</t>
  </si>
  <si>
    <t>ESPARGIDOR DE ASFALTO PRESSURIZADO, TANQUE 6 M3 COM ISOLAÇÃO TÉRMICA, AQUECIDO COM 2 MAÇARICOS, COM BARRA ESPARGIDORA 3,60 M, MONTADO SOBRE CAMINHÃO TOCO, PBT 14.300 KG, POTÊNCIA 185 CV - CHI DIURNO. AF_05/2023</t>
  </si>
  <si>
    <t>ESPARGIDOR DE ASFALTO PRESSURIZADO, TANQUE 6 M3 COM ISOLAÇÃO TÉRMICA, AQUECIDO COM 2 MAÇARICOS, COM BARRA ESPARGIDORA 3,60 M, MONTADO SOBRE CAMINHÃO TOCO, PBT 14.300 KG, POTÊNCIA 185 CV - CHP DIURNO. AF_05/2023</t>
  </si>
  <si>
    <t>BARRA ANTIPANICO SIMPLES, CEGA EM LADO OPOSTO, COR CINZA</t>
  </si>
  <si>
    <t>PISO TATIL / PODOTATIL, LADRILHO HIDRAULICO/CONCRETO, *40 X 40* CM, E= 2,5* CM, PADRAO TATIL ALERTA OU DIRECIONAL, COR NATURAL</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</si>
  <si>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</si>
  <si>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</si>
  <si>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TERMINAL A COMPRESSAO EM COBRE ESTANHADO PARA CABO 16 MM2, 1 FURO E 1 COMPRESSAO, PARA PARAFUSO DE FIXACAO M6</t>
  </si>
  <si>
    <t>SUPORTE GUIA SIMPLES COM ROLDANA EM POLIPROPILENO PARA CHUMBAR, H = 20 CM</t>
  </si>
  <si>
    <t>M2XMES</t>
  </si>
  <si>
    <t>PAR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</si>
</sst>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quot;R$&quot;* #,##0.00_);_(&quot;R$&quot;* \(#,##0.00\);_(&quot;R$&quot;* &quot;-&quot;??_);_(@_)"/>
    <numFmt numFmtId="165" formatCode="_(* #,##0.00_);_(* \(#,##0.00\);_(* &quot;-&quot;??_);_(@_)"/>
    <numFmt numFmtId="168" formatCode="_(* #,##0.00_);_(* \(#,##0.00\);_(* \-??_);_(@_)"/>
    <numFmt numFmtId="169" formatCode="_-&quot;R$&quot;* #,##0.00_-;\-&quot;R$&quot;* #,##0.00_-;_-&quot;R$&quot;* &quot;-&quot;??_-;_-@_-"/>
    <numFmt numFmtId="170" formatCode="0.0000"/>
    <numFmt numFmtId="172" formatCode="#,##0.0000"/>
    <numFmt numFmtId="174" formatCode="#,##0.0000000"/>
    <numFmt numFmtId="175" formatCode="&quot;Data-base SINAPI&quot;\ mm/yyyy"/>
    <numFmt numFmtId="176" formatCode="&quot;R$&quot;\ #,##0.00;[Red]&quot;R$&quot;\ #,##0.00"/>
    <numFmt numFmtId="177" formatCode="#,##0.00;;"/>
    <numFmt numFmtId="178" formatCode="#,##0;;"/>
  </numFmts>
  <fonts count="37" x14ac:knownFonts="1">
    <font>
      <sz val="11"/>
      <color theme="1"/>
      <name val="Aptos Narrow"/>
      <family val="2"/>
      <scheme val="minor"/>
    </font>
    <font>
      <sz val="11"/>
      <color theme="1"/>
      <name val="Aptos Narrow"/>
      <family val="2"/>
      <scheme val="minor"/>
    </font>
    <font>
      <sz val="11"/>
      <color theme="0"/>
      <name val="Aptos Narrow"/>
      <family val="2"/>
      <scheme val="minor"/>
    </font>
    <font>
      <u/>
      <sz val="11"/>
      <color theme="10"/>
      <name val="Aptos Narrow"/>
      <family val="2"/>
      <scheme val="minor"/>
    </font>
    <font>
      <sz val="10"/>
      <name val="Arial"/>
      <family val="2"/>
    </font>
    <font>
      <b/>
      <sz val="10"/>
      <name val="Arial"/>
      <family val="2"/>
    </font>
    <font>
      <b/>
      <u/>
      <sz val="10"/>
      <name val="Arial"/>
      <family val="2"/>
    </font>
    <font>
      <sz val="8"/>
      <name val="Arial"/>
      <family val="2"/>
    </font>
    <font>
      <b/>
      <sz val="10"/>
      <color rgb="FFFF0000"/>
      <name val="Arial"/>
      <family val="2"/>
    </font>
    <font>
      <b/>
      <sz val="10"/>
      <color theme="0"/>
      <name val="Arial"/>
      <family val="2"/>
    </font>
    <font>
      <sz val="10"/>
      <color theme="0"/>
      <name val="Arial"/>
      <family val="2"/>
    </font>
    <font>
      <b/>
      <sz val="12"/>
      <color theme="0"/>
      <name val="Arial"/>
      <family val="2"/>
    </font>
    <font>
      <b/>
      <sz val="12"/>
      <color theme="1"/>
      <name val="Arial"/>
      <family val="2"/>
    </font>
    <font>
      <b/>
      <i/>
      <sz val="16"/>
      <color rgb="FFFF0000"/>
      <name val="Verdana"/>
      <family val="2"/>
    </font>
    <font>
      <b/>
      <sz val="11"/>
      <color theme="1"/>
      <name val="Arial"/>
      <family val="2"/>
    </font>
    <font>
      <b/>
      <sz val="14"/>
      <color theme="1"/>
      <name val="Arial"/>
      <family val="2"/>
    </font>
    <font>
      <b/>
      <sz val="14"/>
      <name val="Verdana"/>
      <family val="2"/>
    </font>
    <font>
      <b/>
      <sz val="14"/>
      <color theme="1"/>
      <name val="Verdana"/>
      <family val="2"/>
    </font>
    <font>
      <sz val="11"/>
      <color theme="1"/>
      <name val="Verdana"/>
      <family val="2"/>
    </font>
    <font>
      <b/>
      <sz val="12"/>
      <name val="Arial"/>
      <family val="2"/>
    </font>
    <font>
      <b/>
      <sz val="14"/>
      <name val="Arial"/>
      <family val="2"/>
    </font>
    <font>
      <sz val="12"/>
      <name val="Arial"/>
      <family val="2"/>
    </font>
    <font>
      <sz val="11"/>
      <color theme="1"/>
      <name val="Arial"/>
      <family val="2"/>
    </font>
    <font>
      <b/>
      <sz val="11"/>
      <color rgb="FFFF0000"/>
      <name val="Arial"/>
      <family val="2"/>
    </font>
    <font>
      <b/>
      <sz val="11"/>
      <name val="Arial"/>
      <family val="2"/>
    </font>
    <font>
      <b/>
      <sz val="11"/>
      <color theme="0"/>
      <name val="Arial"/>
      <family val="2"/>
    </font>
    <font>
      <b/>
      <sz val="10"/>
      <color theme="1"/>
      <name val="Arial"/>
      <family val="2"/>
    </font>
    <font>
      <sz val="10"/>
      <color theme="1"/>
      <name val="Arial"/>
      <family val="2"/>
    </font>
    <font>
      <b/>
      <u/>
      <sz val="11"/>
      <color theme="10"/>
      <name val="Aptos Narrow"/>
      <family val="2"/>
      <scheme val="minor"/>
    </font>
    <font>
      <u/>
      <sz val="9"/>
      <color indexed="12"/>
      <name val="Arial"/>
      <family val="2"/>
    </font>
    <font>
      <b/>
      <u/>
      <sz val="10"/>
      <color rgb="FFFF0000"/>
      <name val="Verdana"/>
      <family val="2"/>
    </font>
    <font>
      <b/>
      <sz val="10"/>
      <color rgb="FFFF0000"/>
      <name val="Verdana"/>
      <family val="2"/>
    </font>
    <font>
      <sz val="11"/>
      <name val="Verdana"/>
      <family val="2"/>
    </font>
    <font>
      <sz val="11"/>
      <name val="Arial"/>
      <family val="2"/>
    </font>
    <font>
      <b/>
      <sz val="12"/>
      <color theme="1"/>
      <name val="Aptos Narrow"/>
      <family val="2"/>
      <scheme val="minor"/>
    </font>
    <font>
      <sz val="10"/>
      <color rgb="FFFF0000"/>
      <name val="Arial"/>
      <family val="2"/>
    </font>
    <font>
      <b/>
      <u/>
      <sz val="11"/>
      <color theme="1"/>
      <name val="Arial"/>
      <family val="2"/>
    </font>
  </fonts>
  <fills count="7">
    <fill>
      <patternFill patternType="none"/>
    </fill>
    <fill>
      <patternFill patternType="gray125"/>
    </fill>
    <fill>
      <patternFill patternType="solid">
        <fgColor theme="1"/>
        <bgColor indexed="64"/>
      </patternFill>
    </fill>
    <fill>
      <patternFill patternType="solid">
        <fgColor theme="0" tint="-0.14999847407452621"/>
        <bgColor indexed="64"/>
      </patternFill>
    </fill>
    <fill>
      <patternFill patternType="solid">
        <fgColor rgb="FF0F243D"/>
        <bgColor indexed="64"/>
      </patternFill>
    </fill>
    <fill>
      <patternFill patternType="solid">
        <fgColor theme="0"/>
        <bgColor indexed="64"/>
      </patternFill>
    </fill>
    <fill>
      <patternFill patternType="solid">
        <fgColor rgb="FFFFFFFF"/>
        <bgColor indexed="64"/>
      </patternFill>
    </fill>
  </fills>
  <borders count="34">
    <border>
      <left/>
      <right/>
      <top/>
      <bottom/>
      <diagonal/>
    </border>
    <border>
      <left/>
      <right/>
      <top style="thin">
        <color auto="1"/>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auto="1"/>
      </bottom>
      <diagonal/>
    </border>
    <border>
      <left style="medium">
        <color indexed="64"/>
      </left>
      <right style="thin">
        <color indexed="64"/>
      </right>
      <top style="thin">
        <color auto="1"/>
      </top>
      <bottom style="thin">
        <color auto="1"/>
      </bottom>
      <diagonal/>
    </border>
    <border>
      <left style="medium">
        <color indexed="64"/>
      </left>
      <right style="thin">
        <color indexed="64"/>
      </right>
      <top style="thin">
        <color auto="1"/>
      </top>
      <bottom style="thin">
        <color indexed="64"/>
      </bottom>
      <diagonal/>
    </border>
    <border>
      <left style="thin">
        <color indexed="64"/>
      </left>
      <right style="medium">
        <color indexed="64"/>
      </right>
      <top style="medium">
        <color indexed="64"/>
      </top>
      <bottom style="thin">
        <color auto="1"/>
      </bottom>
      <diagonal/>
    </border>
    <border>
      <left style="thin">
        <color indexed="64"/>
      </left>
      <right style="medium">
        <color indexed="64"/>
      </right>
      <top style="thin">
        <color auto="1"/>
      </top>
      <bottom style="thin">
        <color auto="1"/>
      </bottom>
      <diagonal/>
    </border>
    <border>
      <left style="thin">
        <color indexed="64"/>
      </left>
      <right style="medium">
        <color indexed="64"/>
      </right>
      <top style="thin">
        <color auto="1"/>
      </top>
      <bottom style="thin">
        <color indexed="64"/>
      </bottom>
      <diagonal/>
    </border>
    <border>
      <left style="medium">
        <color indexed="64"/>
      </left>
      <right style="thin">
        <color indexed="64"/>
      </right>
      <top style="thin">
        <color indexed="64"/>
      </top>
      <bottom style="medium">
        <color auto="1"/>
      </bottom>
      <diagonal/>
    </border>
    <border>
      <left style="thin">
        <color indexed="64"/>
      </left>
      <right style="medium">
        <color indexed="64"/>
      </right>
      <top style="thin">
        <color indexed="64"/>
      </top>
      <bottom style="medium">
        <color auto="1"/>
      </bottom>
      <diagonal/>
    </border>
  </borders>
  <cellStyleXfs count="9">
    <xf numFmtId="0" fontId="0" fillId="0" borderId="0"/>
    <xf numFmtId="165" fontId="1" fillId="0" borderId="0" applyFont="0" applyFill="0" applyBorder="0" applyAlignment="0" applyProtection="0"/>
    <xf numFmtId="9" fontId="1" fillId="0" borderId="0" applyFont="0" applyFill="0" applyBorder="0" applyAlignment="0" applyProtection="0"/>
    <xf numFmtId="0" fontId="3" fillId="0" borderId="0" applyNumberFormat="0" applyFill="0" applyBorder="0" applyAlignment="0" applyProtection="0"/>
    <xf numFmtId="0" fontId="4" fillId="0" borderId="0"/>
    <xf numFmtId="168" fontId="4" fillId="0" borderId="0" applyFont="0" applyFill="0" applyAlignment="0" applyProtection="0"/>
    <xf numFmtId="164" fontId="4" fillId="0" borderId="0" applyFont="0" applyFill="0" applyBorder="0" applyAlignment="0" applyProtection="0"/>
    <xf numFmtId="169" fontId="1" fillId="0" borderId="0" applyFont="0" applyFill="0" applyBorder="0" applyAlignment="0" applyProtection="0"/>
    <xf numFmtId="164" fontId="4" fillId="0" borderId="0" applyFont="0" applyFill="0" applyBorder="0" applyAlignment="0" applyProtection="0"/>
  </cellStyleXfs>
  <cellXfs count="253">
    <xf numFmtId="0" fontId="0" fillId="0" borderId="0" xfId="0"/>
    <xf numFmtId="0" fontId="4" fillId="0" borderId="0" xfId="0" applyFont="1"/>
    <xf numFmtId="0" fontId="0" fillId="0" borderId="0" xfId="0" applyAlignment="1">
      <alignment wrapText="1"/>
    </xf>
    <xf numFmtId="0" fontId="0" fillId="0" borderId="0" xfId="0" applyProtection="1">
      <protection locked="0"/>
    </xf>
    <xf numFmtId="0" fontId="5" fillId="0" borderId="0" xfId="0" applyFont="1" applyAlignment="1">
      <alignment horizontal="center" vertical="center" wrapText="1"/>
    </xf>
    <xf numFmtId="0" fontId="5" fillId="0" borderId="0" xfId="0" applyFont="1" applyAlignment="1">
      <alignment vertical="center" wrapText="1"/>
    </xf>
    <xf numFmtId="0" fontId="4" fillId="0" borderId="0" xfId="0" applyFont="1" applyAlignment="1">
      <alignment horizontal="center" vertical="center"/>
    </xf>
    <xf numFmtId="0" fontId="13" fillId="3" borderId="0" xfId="0" applyFont="1" applyFill="1" applyAlignment="1">
      <alignment horizontal="centerContinuous" vertical="distributed"/>
    </xf>
    <xf numFmtId="170" fontId="13" fillId="3" borderId="0" xfId="0" applyNumberFormat="1" applyFont="1" applyFill="1" applyAlignment="1">
      <alignment horizontal="centerContinuous" vertical="distributed"/>
    </xf>
    <xf numFmtId="0" fontId="13" fillId="0" borderId="0" xfId="0" applyFont="1" applyAlignment="1">
      <alignment horizontal="centerContinuous" vertical="distributed"/>
    </xf>
    <xf numFmtId="2" fontId="15" fillId="0" borderId="0" xfId="0" applyNumberFormat="1" applyFont="1" applyAlignment="1">
      <alignment horizontal="center" vertical="center" wrapText="1"/>
    </xf>
    <xf numFmtId="0" fontId="16" fillId="3" borderId="0" xfId="0" applyFont="1" applyFill="1" applyAlignment="1">
      <alignment horizontal="centerContinuous" vertical="center" wrapText="1"/>
    </xf>
    <xf numFmtId="0" fontId="17" fillId="3" borderId="0" xfId="0" applyFont="1" applyFill="1" applyAlignment="1">
      <alignment horizontal="centerContinuous" vertical="center" wrapText="1"/>
    </xf>
    <xf numFmtId="0" fontId="17" fillId="3" borderId="0" xfId="0" applyFont="1" applyFill="1" applyAlignment="1">
      <alignment horizontal="centerContinuous" vertical="center"/>
    </xf>
    <xf numFmtId="170" fontId="17" fillId="3" borderId="0" xfId="0" applyNumberFormat="1" applyFont="1" applyFill="1" applyAlignment="1">
      <alignment horizontal="centerContinuous" vertical="center" wrapText="1"/>
    </xf>
    <xf numFmtId="0" fontId="17" fillId="0" borderId="0" xfId="0" applyFont="1" applyAlignment="1">
      <alignment horizontal="centerContinuous" vertical="center" wrapText="1"/>
    </xf>
    <xf numFmtId="0" fontId="18" fillId="0" borderId="0" xfId="0" applyFont="1" applyAlignment="1">
      <alignment horizontal="centerContinuous" vertical="center" wrapText="1"/>
    </xf>
    <xf numFmtId="0" fontId="18" fillId="0" borderId="0" xfId="0" applyFont="1" applyAlignment="1">
      <alignment horizontal="centerContinuous" vertical="center"/>
    </xf>
    <xf numFmtId="170" fontId="18" fillId="0" borderId="0" xfId="0" applyNumberFormat="1" applyFont="1" applyAlignment="1">
      <alignment horizontal="centerContinuous" vertical="center" wrapText="1"/>
    </xf>
    <xf numFmtId="0" fontId="22" fillId="0" borderId="0" xfId="0" applyFont="1" applyAlignment="1">
      <alignment vertical="center" wrapText="1"/>
    </xf>
    <xf numFmtId="0" fontId="22" fillId="0" borderId="0" xfId="0" applyFont="1" applyAlignment="1">
      <alignment vertical="center"/>
    </xf>
    <xf numFmtId="170" fontId="22" fillId="0" borderId="0" xfId="0" applyNumberFormat="1" applyFont="1" applyAlignment="1">
      <alignment vertical="center" wrapText="1"/>
    </xf>
    <xf numFmtId="0" fontId="23" fillId="0" borderId="0" xfId="0" applyFont="1" applyAlignment="1">
      <alignment horizontal="center" vertical="center" wrapText="1"/>
    </xf>
    <xf numFmtId="2" fontId="22" fillId="0" borderId="0" xfId="0" applyNumberFormat="1" applyFont="1" applyAlignment="1">
      <alignment vertical="center" wrapText="1"/>
    </xf>
    <xf numFmtId="0" fontId="24" fillId="3" borderId="6" xfId="0" applyFont="1" applyFill="1" applyBorder="1" applyAlignment="1">
      <alignment horizontal="center" vertical="center" wrapText="1"/>
    </xf>
    <xf numFmtId="0" fontId="24" fillId="3" borderId="7" xfId="0" applyFont="1" applyFill="1" applyBorder="1" applyAlignment="1">
      <alignment horizontal="center" vertical="center" wrapText="1"/>
    </xf>
    <xf numFmtId="0" fontId="24" fillId="3" borderId="7" xfId="0" applyFont="1" applyFill="1" applyBorder="1" applyAlignment="1">
      <alignment horizontal="center" vertical="center"/>
    </xf>
    <xf numFmtId="170" fontId="24" fillId="3" borderId="7" xfId="0" applyNumberFormat="1" applyFont="1" applyFill="1" applyBorder="1" applyAlignment="1">
      <alignment horizontal="center" vertical="center" wrapText="1"/>
    </xf>
    <xf numFmtId="0" fontId="24" fillId="3" borderId="8" xfId="0" applyFont="1" applyFill="1" applyBorder="1" applyAlignment="1">
      <alignment horizontal="center" vertical="center" wrapText="1"/>
    </xf>
    <xf numFmtId="0" fontId="25" fillId="0" borderId="9" xfId="0" applyFont="1" applyBorder="1" applyAlignment="1">
      <alignment horizontal="center" vertical="center" wrapText="1"/>
    </xf>
    <xf numFmtId="2" fontId="26" fillId="3" borderId="7" xfId="0" applyNumberFormat="1" applyFont="1" applyFill="1" applyBorder="1" applyAlignment="1">
      <alignment horizontal="center" vertical="center" wrapText="1"/>
    </xf>
    <xf numFmtId="0" fontId="5" fillId="0" borderId="3" xfId="4" applyFont="1" applyBorder="1" applyAlignment="1">
      <alignment horizontal="center" vertical="center" wrapText="1"/>
    </xf>
    <xf numFmtId="0" fontId="5" fillId="0" borderId="4" xfId="4" applyFont="1" applyBorder="1" applyAlignment="1">
      <alignment horizontal="center" vertical="center" wrapText="1"/>
    </xf>
    <xf numFmtId="170" fontId="5" fillId="0" borderId="4" xfId="4" applyNumberFormat="1" applyFont="1" applyBorder="1" applyAlignment="1">
      <alignment vertical="center" wrapText="1"/>
    </xf>
    <xf numFmtId="0" fontId="5" fillId="0" borderId="4" xfId="4" applyFont="1" applyBorder="1" applyAlignment="1">
      <alignment vertical="center" wrapText="1"/>
    </xf>
    <xf numFmtId="0" fontId="5" fillId="0" borderId="5" xfId="4" applyFont="1" applyBorder="1" applyAlignment="1">
      <alignment vertical="center" wrapText="1"/>
    </xf>
    <xf numFmtId="0" fontId="5" fillId="0" borderId="0" xfId="4" applyFont="1" applyAlignment="1">
      <alignment vertical="center" wrapText="1"/>
    </xf>
    <xf numFmtId="2" fontId="27" fillId="3" borderId="0" xfId="6" applyNumberFormat="1" applyFont="1" applyFill="1" applyBorder="1" applyAlignment="1" applyProtection="1">
      <alignment horizontal="center" vertical="center" wrapText="1"/>
    </xf>
    <xf numFmtId="164" fontId="4" fillId="0" borderId="0" xfId="6" applyFont="1" applyFill="1" applyBorder="1" applyAlignment="1" applyProtection="1">
      <alignment horizontal="center" vertical="center" wrapText="1"/>
    </xf>
    <xf numFmtId="0" fontId="4" fillId="0" borderId="0" xfId="4" applyAlignment="1">
      <alignment vertical="center" wrapText="1"/>
    </xf>
    <xf numFmtId="170" fontId="4" fillId="0" borderId="0" xfId="4" applyNumberFormat="1" applyAlignment="1">
      <alignment vertical="center" wrapText="1"/>
    </xf>
    <xf numFmtId="164" fontId="4" fillId="0" borderId="0" xfId="6" applyFont="1" applyBorder="1" applyAlignment="1" applyProtection="1">
      <alignment horizontal="center" vertical="center" wrapText="1"/>
    </xf>
    <xf numFmtId="164" fontId="4" fillId="0" borderId="13" xfId="6" applyFont="1" applyFill="1" applyBorder="1" applyAlignment="1" applyProtection="1">
      <alignment horizontal="center" vertical="center" wrapText="1"/>
    </xf>
    <xf numFmtId="0" fontId="4" fillId="0" borderId="0" xfId="0" applyFont="1" applyAlignment="1">
      <alignment horizontal="center" vertical="center" wrapText="1"/>
    </xf>
    <xf numFmtId="170" fontId="4" fillId="0" borderId="0" xfId="0" applyNumberFormat="1" applyFont="1" applyAlignment="1">
      <alignment horizontal="center" vertical="center" wrapText="1"/>
    </xf>
    <xf numFmtId="2" fontId="4" fillId="0" borderId="0" xfId="0" applyNumberFormat="1" applyFont="1" applyAlignment="1">
      <alignment horizontal="center" vertical="center" wrapText="1"/>
    </xf>
    <xf numFmtId="164" fontId="9" fillId="4" borderId="13" xfId="6" applyFont="1" applyFill="1" applyBorder="1" applyAlignment="1" applyProtection="1">
      <alignment horizontal="center" vertical="center" wrapText="1"/>
    </xf>
    <xf numFmtId="164" fontId="9" fillId="0" borderId="0" xfId="6" applyFont="1" applyFill="1" applyBorder="1" applyAlignment="1" applyProtection="1">
      <alignment horizontal="center" vertical="center" wrapText="1"/>
    </xf>
    <xf numFmtId="0" fontId="5" fillId="0" borderId="2" xfId="4" applyFont="1" applyBorder="1" applyAlignment="1">
      <alignment horizontal="center" vertical="center" wrapText="1"/>
    </xf>
    <xf numFmtId="0" fontId="4" fillId="0" borderId="2" xfId="0" applyFont="1" applyBorder="1" applyAlignment="1">
      <alignment horizontal="center" vertical="center" wrapText="1"/>
    </xf>
    <xf numFmtId="170" fontId="4" fillId="0" borderId="2" xfId="0" applyNumberFormat="1" applyFont="1" applyBorder="1" applyAlignment="1">
      <alignment horizontal="center" vertical="center" wrapText="1"/>
    </xf>
    <xf numFmtId="164" fontId="4" fillId="0" borderId="2" xfId="6" applyFont="1" applyFill="1" applyBorder="1" applyAlignment="1" applyProtection="1">
      <alignment horizontal="center" vertical="center" wrapText="1"/>
    </xf>
    <xf numFmtId="164" fontId="4" fillId="0" borderId="2" xfId="6" applyFont="1" applyBorder="1" applyAlignment="1" applyProtection="1">
      <alignment horizontal="center" vertical="center" wrapText="1"/>
    </xf>
    <xf numFmtId="164" fontId="4" fillId="0" borderId="15" xfId="6" applyFont="1" applyFill="1" applyBorder="1" applyAlignment="1" applyProtection="1">
      <alignment horizontal="center" vertical="center" wrapText="1"/>
    </xf>
    <xf numFmtId="164" fontId="5" fillId="0" borderId="4" xfId="4" applyNumberFormat="1" applyFont="1" applyBorder="1" applyAlignment="1">
      <alignment vertical="center" wrapText="1"/>
    </xf>
    <xf numFmtId="164" fontId="4" fillId="0" borderId="0" xfId="6" applyFont="1" applyFill="1" applyBorder="1" applyAlignment="1" applyProtection="1">
      <alignment vertical="center" wrapText="1"/>
    </xf>
    <xf numFmtId="0" fontId="5" fillId="0" borderId="14" xfId="4" applyFont="1" applyBorder="1" applyAlignment="1">
      <alignment horizontal="center" vertical="center" wrapText="1"/>
    </xf>
    <xf numFmtId="164" fontId="9" fillId="0" borderId="13" xfId="6" applyFont="1" applyFill="1" applyBorder="1" applyAlignment="1" applyProtection="1">
      <alignment horizontal="center" vertical="center" wrapText="1"/>
    </xf>
    <xf numFmtId="164" fontId="5" fillId="0" borderId="13" xfId="6" applyFont="1" applyFill="1" applyBorder="1" applyAlignment="1" applyProtection="1">
      <alignment horizontal="center" vertical="center" wrapText="1"/>
    </xf>
    <xf numFmtId="164" fontId="5" fillId="0" borderId="0" xfId="6" applyFont="1" applyFill="1" applyBorder="1" applyAlignment="1" applyProtection="1">
      <alignment horizontal="center" vertical="center" wrapText="1"/>
    </xf>
    <xf numFmtId="164" fontId="5" fillId="0" borderId="4" xfId="4" applyNumberFormat="1" applyFont="1" applyBorder="1" applyAlignment="1">
      <alignment horizontal="center" vertical="center" wrapText="1"/>
    </xf>
    <xf numFmtId="0" fontId="4" fillId="0" borderId="0" xfId="0" applyFont="1" applyAlignment="1">
      <alignment wrapText="1"/>
    </xf>
    <xf numFmtId="165" fontId="4" fillId="0" borderId="0" xfId="0" applyNumberFormat="1" applyFont="1" applyAlignment="1">
      <alignment horizontal="center" vertical="center" wrapText="1"/>
    </xf>
    <xf numFmtId="165" fontId="4" fillId="0" borderId="2" xfId="0" applyNumberFormat="1" applyFont="1" applyBorder="1" applyAlignment="1">
      <alignment horizontal="center" vertical="center" wrapText="1"/>
    </xf>
    <xf numFmtId="164" fontId="5" fillId="0" borderId="15" xfId="6" applyFont="1" applyFill="1" applyBorder="1" applyAlignment="1" applyProtection="1">
      <alignment horizontal="center" vertical="center" wrapText="1"/>
    </xf>
    <xf numFmtId="0" fontId="5" fillId="0" borderId="0" xfId="0" applyFont="1" applyAlignment="1">
      <alignment horizontal="left" vertical="center" wrapText="1"/>
    </xf>
    <xf numFmtId="170" fontId="5" fillId="0" borderId="0" xfId="0" applyNumberFormat="1" applyFont="1" applyAlignment="1">
      <alignment horizontal="left" vertical="center" wrapText="1"/>
    </xf>
    <xf numFmtId="0" fontId="3" fillId="0" borderId="0" xfId="3" applyNumberFormat="1" applyBorder="1" applyAlignment="1" applyProtection="1">
      <alignment horizontal="left" vertical="center" wrapText="1"/>
    </xf>
    <xf numFmtId="0" fontId="3" fillId="0" borderId="0" xfId="3" applyBorder="1" applyAlignment="1" applyProtection="1">
      <alignment wrapText="1"/>
    </xf>
    <xf numFmtId="0" fontId="3" fillId="0" borderId="2" xfId="3" applyBorder="1" applyAlignment="1" applyProtection="1">
      <alignment wrapText="1"/>
    </xf>
    <xf numFmtId="164" fontId="4" fillId="0" borderId="0" xfId="6" applyFont="1" applyBorder="1" applyAlignment="1" applyProtection="1">
      <alignment horizontal="center" vertical="center"/>
    </xf>
    <xf numFmtId="164" fontId="4" fillId="0" borderId="13" xfId="6" applyFont="1" applyBorder="1" applyAlignment="1" applyProtection="1">
      <alignment horizontal="center" vertical="center"/>
    </xf>
    <xf numFmtId="164" fontId="4" fillId="0" borderId="0" xfId="6" applyFont="1" applyFill="1" applyBorder="1" applyAlignment="1" applyProtection="1">
      <alignment horizontal="center" vertical="center"/>
    </xf>
    <xf numFmtId="164" fontId="7" fillId="0" borderId="13" xfId="6" applyFont="1" applyBorder="1" applyAlignment="1" applyProtection="1">
      <alignment horizontal="center" vertical="center" wrapText="1"/>
    </xf>
    <xf numFmtId="164" fontId="7" fillId="0" borderId="0" xfId="6" applyFont="1" applyFill="1" applyBorder="1" applyAlignment="1" applyProtection="1">
      <alignment horizontal="center" vertical="center" wrapText="1"/>
    </xf>
    <xf numFmtId="170" fontId="5" fillId="0" borderId="0" xfId="0" applyNumberFormat="1" applyFont="1" applyAlignment="1">
      <alignment vertical="center" wrapText="1"/>
    </xf>
    <xf numFmtId="164" fontId="5" fillId="0" borderId="0" xfId="0" applyNumberFormat="1" applyFont="1" applyAlignment="1">
      <alignment vertical="center" wrapText="1"/>
    </xf>
    <xf numFmtId="0" fontId="5" fillId="0" borderId="13" xfId="0" applyFont="1" applyBorder="1" applyAlignment="1">
      <alignment vertical="center" wrapText="1"/>
    </xf>
    <xf numFmtId="0" fontId="5" fillId="0" borderId="2" xfId="0" applyFont="1" applyBorder="1" applyAlignment="1">
      <alignment horizontal="left" vertical="center" wrapText="1"/>
    </xf>
    <xf numFmtId="0" fontId="4" fillId="0" borderId="13" xfId="0" applyFont="1" applyBorder="1"/>
    <xf numFmtId="4" fontId="4" fillId="0" borderId="13" xfId="0" applyNumberFormat="1" applyFont="1" applyBorder="1" applyAlignment="1">
      <alignment horizontal="center" vertical="center" wrapText="1"/>
    </xf>
    <xf numFmtId="4" fontId="4" fillId="0" borderId="0" xfId="0" applyNumberFormat="1" applyFont="1" applyAlignment="1">
      <alignment horizontal="center" vertical="center" wrapText="1"/>
    </xf>
    <xf numFmtId="0" fontId="8" fillId="0" borderId="3" xfId="4" applyFont="1" applyBorder="1" applyAlignment="1">
      <alignment horizontal="center" vertical="center" wrapText="1"/>
    </xf>
    <xf numFmtId="164" fontId="4" fillId="0" borderId="2" xfId="6" applyFont="1" applyBorder="1" applyAlignment="1" applyProtection="1">
      <alignment horizontal="center" vertical="center"/>
    </xf>
    <xf numFmtId="164" fontId="4" fillId="0" borderId="15" xfId="6" applyFont="1" applyBorder="1" applyAlignment="1" applyProtection="1">
      <alignment horizontal="center" vertical="center"/>
    </xf>
    <xf numFmtId="0" fontId="5" fillId="0" borderId="0" xfId="0" applyFont="1" applyAlignment="1">
      <alignment wrapText="1"/>
    </xf>
    <xf numFmtId="0" fontId="4" fillId="0" borderId="0" xfId="0" applyFont="1" applyAlignment="1">
      <alignment horizontal="left" vertical="center"/>
    </xf>
    <xf numFmtId="49" fontId="4" fillId="0" borderId="0" xfId="0" applyNumberFormat="1" applyFont="1" applyAlignment="1">
      <alignment horizontal="center" vertical="center" wrapText="1"/>
    </xf>
    <xf numFmtId="0" fontId="28" fillId="0" borderId="0" xfId="3" applyFont="1" applyBorder="1" applyAlignment="1" applyProtection="1">
      <alignment horizontal="center" vertical="center" wrapText="1"/>
    </xf>
    <xf numFmtId="2" fontId="4" fillId="0" borderId="0" xfId="4" applyNumberFormat="1" applyAlignment="1">
      <alignment vertical="center" wrapText="1"/>
    </xf>
    <xf numFmtId="0" fontId="4" fillId="0" borderId="0" xfId="0" applyFont="1" applyAlignment="1">
      <alignment horizontal="left" vertical="center" wrapText="1"/>
    </xf>
    <xf numFmtId="164" fontId="4" fillId="0" borderId="2" xfId="0" applyNumberFormat="1" applyFont="1" applyBorder="1" applyAlignment="1">
      <alignment horizontal="center" vertical="center" wrapText="1"/>
    </xf>
    <xf numFmtId="0" fontId="5" fillId="0" borderId="2" xfId="0" applyFont="1" applyBorder="1" applyAlignment="1">
      <alignment horizontal="center" vertical="center" wrapText="1"/>
    </xf>
    <xf numFmtId="0" fontId="29" fillId="0" borderId="0" xfId="3" applyNumberFormat="1" applyFont="1" applyFill="1" applyBorder="1" applyAlignment="1" applyProtection="1">
      <alignment horizontal="center" vertical="center" wrapText="1"/>
    </xf>
    <xf numFmtId="0" fontId="29" fillId="0" borderId="0" xfId="3" applyFont="1" applyBorder="1" applyAlignment="1" applyProtection="1">
      <alignment wrapText="1"/>
    </xf>
    <xf numFmtId="170" fontId="5" fillId="0" borderId="2" xfId="4" applyNumberFormat="1" applyFont="1" applyBorder="1" applyAlignment="1">
      <alignment vertical="center" wrapText="1"/>
    </xf>
    <xf numFmtId="164" fontId="5" fillId="0" borderId="2" xfId="4" applyNumberFormat="1" applyFont="1" applyBorder="1" applyAlignment="1">
      <alignment horizontal="center" vertical="center" wrapText="1"/>
    </xf>
    <xf numFmtId="0" fontId="5" fillId="0" borderId="2" xfId="4" applyFont="1" applyBorder="1" applyAlignment="1">
      <alignment vertical="center" wrapText="1"/>
    </xf>
    <xf numFmtId="0" fontId="5" fillId="0" borderId="15" xfId="4" applyFont="1" applyBorder="1" applyAlignment="1">
      <alignment vertical="center" wrapText="1"/>
    </xf>
    <xf numFmtId="164" fontId="9" fillId="0" borderId="15" xfId="6" applyFont="1" applyFill="1" applyBorder="1" applyAlignment="1" applyProtection="1">
      <alignment horizontal="center" vertical="center" wrapText="1"/>
    </xf>
    <xf numFmtId="164" fontId="4" fillId="0" borderId="0" xfId="8" applyFont="1" applyFill="1" applyBorder="1" applyAlignment="1" applyProtection="1">
      <alignment horizontal="center" vertical="center" wrapText="1"/>
    </xf>
    <xf numFmtId="164" fontId="4" fillId="0" borderId="0" xfId="8" applyFont="1" applyFill="1" applyBorder="1" applyAlignment="1" applyProtection="1">
      <alignment vertical="center" wrapText="1"/>
    </xf>
    <xf numFmtId="164" fontId="4" fillId="0" borderId="13" xfId="8" applyFont="1" applyFill="1" applyBorder="1" applyAlignment="1" applyProtection="1">
      <alignment horizontal="center" vertical="center" wrapText="1"/>
    </xf>
    <xf numFmtId="164" fontId="4" fillId="0" borderId="0" xfId="8" applyFont="1" applyBorder="1" applyAlignment="1" applyProtection="1">
      <alignment horizontal="center" vertical="center" wrapText="1"/>
    </xf>
    <xf numFmtId="164" fontId="9" fillId="0" borderId="0" xfId="8" applyFont="1" applyFill="1" applyBorder="1" applyAlignment="1" applyProtection="1">
      <alignment horizontal="center" vertical="center" wrapText="1"/>
    </xf>
    <xf numFmtId="164" fontId="4" fillId="0" borderId="2" xfId="8" applyFont="1" applyFill="1" applyBorder="1" applyAlignment="1" applyProtection="1">
      <alignment horizontal="center" vertical="center" wrapText="1"/>
    </xf>
    <xf numFmtId="164" fontId="4" fillId="0" borderId="15" xfId="8" applyFont="1" applyFill="1" applyBorder="1" applyAlignment="1" applyProtection="1">
      <alignment horizontal="center" vertical="center" wrapText="1"/>
    </xf>
    <xf numFmtId="164" fontId="9" fillId="4" borderId="13" xfId="8" applyFont="1" applyFill="1" applyBorder="1" applyAlignment="1" applyProtection="1">
      <alignment horizontal="center" vertical="center" wrapText="1"/>
    </xf>
    <xf numFmtId="0" fontId="4" fillId="0" borderId="2" xfId="4" applyBorder="1" applyAlignment="1">
      <alignment vertical="center" wrapText="1"/>
    </xf>
    <xf numFmtId="170" fontId="4" fillId="0" borderId="2" xfId="4" applyNumberFormat="1" applyBorder="1" applyAlignment="1">
      <alignment vertical="center" wrapText="1"/>
    </xf>
    <xf numFmtId="0" fontId="13" fillId="3" borderId="0" xfId="0" applyFont="1" applyFill="1" applyAlignment="1">
      <alignment horizontal="centerContinuous" vertical="center"/>
    </xf>
    <xf numFmtId="0" fontId="13" fillId="3" borderId="0" xfId="0" applyFont="1" applyFill="1" applyAlignment="1">
      <alignment horizontal="centerContinuous" vertical="center" wrapText="1"/>
    </xf>
    <xf numFmtId="0" fontId="13" fillId="0" borderId="0" xfId="0" applyFont="1" applyAlignment="1">
      <alignment horizontal="centerContinuous" vertical="center"/>
    </xf>
    <xf numFmtId="0" fontId="12" fillId="0" borderId="0" xfId="0" applyFont="1" applyAlignment="1">
      <alignment vertical="center"/>
    </xf>
    <xf numFmtId="172" fontId="12" fillId="0" borderId="0" xfId="0" applyNumberFormat="1" applyFont="1" applyAlignment="1">
      <alignment vertical="center" wrapText="1"/>
    </xf>
    <xf numFmtId="0" fontId="30" fillId="0" borderId="2" xfId="0" applyFont="1" applyBorder="1" applyAlignment="1">
      <alignment vertical="center" wrapText="1"/>
    </xf>
    <xf numFmtId="0" fontId="31" fillId="0" borderId="2" xfId="0" applyFont="1" applyBorder="1" applyAlignment="1">
      <alignment vertical="center" wrapText="1"/>
    </xf>
    <xf numFmtId="0" fontId="31" fillId="0" borderId="0" xfId="0" applyFont="1" applyAlignment="1">
      <alignment vertical="center" wrapText="1"/>
    </xf>
    <xf numFmtId="172" fontId="30" fillId="0" borderId="2" xfId="0" applyNumberFormat="1" applyFont="1" applyBorder="1" applyAlignment="1">
      <alignment vertical="center" wrapText="1"/>
    </xf>
    <xf numFmtId="172" fontId="26" fillId="3" borderId="7" xfId="0" applyNumberFormat="1" applyFont="1" applyFill="1" applyBorder="1" applyAlignment="1">
      <alignment horizontal="center" vertical="center" wrapText="1"/>
    </xf>
    <xf numFmtId="174" fontId="5" fillId="0" borderId="4" xfId="4" applyNumberFormat="1" applyFont="1" applyBorder="1" applyAlignment="1">
      <alignment vertical="center" wrapText="1"/>
    </xf>
    <xf numFmtId="172" fontId="27" fillId="3" borderId="0" xfId="6" applyNumberFormat="1" applyFont="1" applyFill="1" applyBorder="1" applyAlignment="1" applyProtection="1">
      <alignment horizontal="center" vertical="center" wrapText="1"/>
    </xf>
    <xf numFmtId="174" fontId="4" fillId="0" borderId="0" xfId="4" applyNumberFormat="1" applyAlignment="1">
      <alignment vertical="center" wrapText="1"/>
    </xf>
    <xf numFmtId="174" fontId="4" fillId="0" borderId="2" xfId="0" applyNumberFormat="1" applyFont="1" applyBorder="1" applyAlignment="1">
      <alignment horizontal="center" vertical="center" wrapText="1"/>
    </xf>
    <xf numFmtId="164" fontId="0" fillId="0" borderId="0" xfId="0" applyNumberFormat="1"/>
    <xf numFmtId="164" fontId="0" fillId="0" borderId="0" xfId="0" applyNumberFormat="1" applyAlignment="1">
      <alignment horizontal="center" vertical="center"/>
    </xf>
    <xf numFmtId="174" fontId="5" fillId="0" borderId="2" xfId="4" applyNumberFormat="1" applyFont="1" applyBorder="1" applyAlignment="1">
      <alignment vertical="center" wrapText="1"/>
    </xf>
    <xf numFmtId="0" fontId="4" fillId="0" borderId="2" xfId="0" applyFont="1" applyBorder="1" applyAlignment="1">
      <alignment wrapText="1"/>
    </xf>
    <xf numFmtId="0" fontId="4" fillId="0" borderId="0" xfId="4" applyAlignment="1">
      <alignment vertical="center"/>
    </xf>
    <xf numFmtId="0" fontId="4" fillId="0" borderId="2" xfId="0" applyFont="1" applyBorder="1" applyAlignment="1">
      <alignment horizontal="center" vertical="center"/>
    </xf>
    <xf numFmtId="165" fontId="4" fillId="0" borderId="0" xfId="0" applyNumberFormat="1" applyFont="1" applyAlignment="1">
      <alignment horizontal="center" vertical="center"/>
    </xf>
    <xf numFmtId="0" fontId="31" fillId="0" borderId="2" xfId="0" applyFont="1" applyBorder="1" applyAlignment="1">
      <alignment vertical="center"/>
    </xf>
    <xf numFmtId="0" fontId="24" fillId="3" borderId="16" xfId="0" applyFont="1" applyFill="1" applyBorder="1" applyAlignment="1">
      <alignment horizontal="center" vertical="center" wrapText="1"/>
    </xf>
    <xf numFmtId="0" fontId="24" fillId="3" borderId="17" xfId="0" applyFont="1" applyFill="1" applyBorder="1" applyAlignment="1">
      <alignment horizontal="center" vertical="center" wrapText="1"/>
    </xf>
    <xf numFmtId="0" fontId="24" fillId="3" borderId="18" xfId="0" applyFont="1" applyFill="1" applyBorder="1" applyAlignment="1">
      <alignment horizontal="center" vertical="center"/>
    </xf>
    <xf numFmtId="0" fontId="24" fillId="0" borderId="9" xfId="0" applyFont="1" applyBorder="1" applyAlignment="1">
      <alignment horizontal="center" vertical="center" wrapText="1"/>
    </xf>
    <xf numFmtId="164" fontId="4" fillId="0" borderId="0" xfId="6" applyFont="1" applyFill="1" applyBorder="1" applyAlignment="1">
      <alignment vertical="center" wrapText="1"/>
    </xf>
    <xf numFmtId="164" fontId="4" fillId="0" borderId="0" xfId="6" applyFont="1" applyFill="1" applyBorder="1" applyAlignment="1">
      <alignment horizontal="center" vertical="center" wrapText="1"/>
    </xf>
    <xf numFmtId="174" fontId="4" fillId="0" borderId="0" xfId="0" applyNumberFormat="1" applyFont="1" applyAlignment="1">
      <alignment horizontal="center" vertical="center" wrapText="1"/>
    </xf>
    <xf numFmtId="0" fontId="2" fillId="5" borderId="0" xfId="0" applyFont="1" applyFill="1" applyAlignment="1">
      <alignment vertical="center" wrapText="1"/>
    </xf>
    <xf numFmtId="0" fontId="11" fillId="0" borderId="0" xfId="0" applyFont="1" applyAlignment="1">
      <alignment horizontal="center" vertical="center" wrapText="1"/>
    </xf>
    <xf numFmtId="0" fontId="16" fillId="3" borderId="0" xfId="0" applyFont="1" applyFill="1" applyAlignment="1">
      <alignment horizontal="centerContinuous" vertical="center"/>
    </xf>
    <xf numFmtId="0" fontId="10" fillId="0" borderId="0" xfId="0" applyFont="1" applyAlignment="1">
      <alignment horizontal="center" vertical="center" wrapText="1"/>
    </xf>
    <xf numFmtId="0" fontId="32" fillId="5" borderId="0" xfId="0" applyFont="1" applyFill="1" applyAlignment="1">
      <alignment horizontal="centerContinuous" vertical="center" wrapText="1"/>
    </xf>
    <xf numFmtId="2" fontId="24" fillId="3" borderId="17" xfId="1" applyNumberFormat="1" applyFont="1" applyFill="1" applyBorder="1" applyAlignment="1" applyProtection="1">
      <alignment horizontal="center" vertical="center" wrapText="1"/>
    </xf>
    <xf numFmtId="165" fontId="24" fillId="3" borderId="17" xfId="1" applyFont="1" applyFill="1" applyBorder="1" applyAlignment="1" applyProtection="1">
      <alignment horizontal="center" vertical="center" wrapText="1"/>
    </xf>
    <xf numFmtId="0" fontId="33" fillId="5" borderId="0" xfId="0" applyFont="1" applyFill="1" applyAlignment="1">
      <alignment horizontal="center" vertical="center" wrapText="1"/>
    </xf>
    <xf numFmtId="0" fontId="24" fillId="3" borderId="0" xfId="0" applyFont="1" applyFill="1" applyAlignment="1">
      <alignment horizontal="center" vertical="center" wrapText="1"/>
    </xf>
    <xf numFmtId="0" fontId="4" fillId="0" borderId="19" xfId="5" applyNumberFormat="1" applyFont="1" applyFill="1" applyBorder="1" applyAlignment="1" applyProtection="1">
      <alignment horizontal="center" vertical="center" wrapText="1"/>
    </xf>
    <xf numFmtId="49" fontId="4" fillId="0" borderId="20" xfId="5" applyNumberFormat="1" applyFont="1" applyFill="1" applyBorder="1" applyAlignment="1" applyProtection="1">
      <alignment horizontal="left" vertical="center" wrapText="1"/>
    </xf>
    <xf numFmtId="4" fontId="4" fillId="0" borderId="20" xfId="5" applyNumberFormat="1" applyFont="1" applyFill="1" applyBorder="1" applyAlignment="1" applyProtection="1">
      <alignment horizontal="center" vertical="center" wrapText="1"/>
    </xf>
    <xf numFmtId="164" fontId="4" fillId="0" borderId="20" xfId="6" applyFont="1" applyFill="1" applyBorder="1" applyAlignment="1" applyProtection="1">
      <alignment horizontal="center" vertical="center" wrapText="1"/>
    </xf>
    <xf numFmtId="164" fontId="4" fillId="0" borderId="20" xfId="6" applyFont="1" applyFill="1" applyBorder="1" applyAlignment="1" applyProtection="1">
      <alignment horizontal="right" vertical="center" wrapText="1"/>
    </xf>
    <xf numFmtId="10" fontId="4" fillId="0" borderId="20" xfId="2" applyNumberFormat="1" applyFont="1" applyFill="1" applyBorder="1" applyAlignment="1" applyProtection="1">
      <alignment horizontal="center" vertical="center" wrapText="1"/>
    </xf>
    <xf numFmtId="0" fontId="4" fillId="0" borderId="0" xfId="0" applyFont="1" applyAlignment="1">
      <alignment vertical="center" wrapText="1"/>
    </xf>
    <xf numFmtId="0" fontId="4" fillId="3" borderId="0" xfId="0" applyFont="1" applyFill="1" applyAlignment="1" applyProtection="1">
      <alignment horizontal="center" vertical="center" wrapText="1"/>
      <protection locked="0"/>
    </xf>
    <xf numFmtId="10" fontId="4" fillId="2" borderId="1" xfId="2" applyNumberFormat="1" applyFont="1" applyFill="1" applyBorder="1" applyAlignment="1" applyProtection="1">
      <alignment horizontal="center" vertical="center" wrapText="1"/>
    </xf>
    <xf numFmtId="164" fontId="4" fillId="2" borderId="1" xfId="6" applyFont="1" applyFill="1" applyBorder="1" applyAlignment="1" applyProtection="1">
      <alignment horizontal="center" vertical="center" wrapText="1"/>
    </xf>
    <xf numFmtId="164" fontId="4" fillId="2" borderId="0" xfId="6" applyFont="1" applyFill="1" applyBorder="1" applyAlignment="1" applyProtection="1">
      <alignment horizontal="right" vertical="center" wrapText="1"/>
    </xf>
    <xf numFmtId="10" fontId="25" fillId="2" borderId="22" xfId="2" applyNumberFormat="1" applyFont="1" applyFill="1" applyBorder="1" applyAlignment="1" applyProtection="1">
      <alignment wrapText="1"/>
    </xf>
    <xf numFmtId="176" fontId="25" fillId="2" borderId="0" xfId="1" applyNumberFormat="1" applyFont="1" applyFill="1" applyBorder="1" applyAlignment="1" applyProtection="1">
      <alignment horizontal="right" wrapText="1"/>
    </xf>
    <xf numFmtId="0" fontId="35" fillId="0" borderId="0" xfId="0" applyFont="1" applyAlignment="1" applyProtection="1">
      <alignment horizontal="center"/>
      <protection locked="0"/>
    </xf>
    <xf numFmtId="176" fontId="25" fillId="2" borderId="2" xfId="1" applyNumberFormat="1" applyFont="1" applyFill="1" applyBorder="1" applyAlignment="1" applyProtection="1">
      <alignment horizontal="right" wrapText="1"/>
    </xf>
    <xf numFmtId="0" fontId="4" fillId="0" borderId="0" xfId="0" applyFont="1" applyAlignment="1" applyProtection="1">
      <alignment horizontal="center" vertical="center"/>
      <protection locked="0"/>
    </xf>
    <xf numFmtId="0" fontId="4" fillId="0" borderId="0" xfId="0" applyFont="1" applyAlignment="1" applyProtection="1">
      <alignment horizontal="left" vertical="center" wrapText="1"/>
      <protection locked="0"/>
    </xf>
    <xf numFmtId="2" fontId="5" fillId="0" borderId="0" xfId="1" applyNumberFormat="1" applyFont="1" applyAlignment="1" applyProtection="1">
      <alignment horizontal="right"/>
      <protection locked="0"/>
    </xf>
    <xf numFmtId="165" fontId="4" fillId="0" borderId="0" xfId="1" applyFont="1" applyProtection="1">
      <protection locked="0"/>
    </xf>
    <xf numFmtId="165" fontId="4" fillId="0" borderId="0" xfId="1" applyFont="1" applyAlignment="1" applyProtection="1">
      <alignment horizontal="right"/>
      <protection locked="0"/>
    </xf>
    <xf numFmtId="2" fontId="4" fillId="0" borderId="0" xfId="1" applyNumberFormat="1" applyFont="1" applyAlignment="1" applyProtection="1">
      <alignment horizontal="centerContinuous" wrapText="1"/>
      <protection locked="0"/>
    </xf>
    <xf numFmtId="165" fontId="4" fillId="0" borderId="0" xfId="1" applyFont="1" applyAlignment="1" applyProtection="1">
      <alignment horizontal="centerContinuous" wrapText="1"/>
      <protection locked="0"/>
    </xf>
    <xf numFmtId="0" fontId="0" fillId="0" borderId="0" xfId="0" applyAlignment="1" applyProtection="1">
      <alignment wrapText="1"/>
      <protection locked="0"/>
    </xf>
    <xf numFmtId="0" fontId="20" fillId="5" borderId="2" xfId="0" applyFont="1" applyFill="1" applyBorder="1" applyAlignment="1">
      <alignment horizontal="center" vertical="center" wrapText="1"/>
    </xf>
    <xf numFmtId="0" fontId="20" fillId="5" borderId="0" xfId="0" applyFont="1" applyFill="1" applyAlignment="1">
      <alignment horizontal="center" vertical="center" wrapText="1"/>
    </xf>
    <xf numFmtId="3" fontId="5" fillId="0" borderId="10" xfId="4" applyNumberFormat="1" applyFont="1" applyBorder="1" applyAlignment="1">
      <alignment horizontal="center" vertical="center"/>
    </xf>
    <xf numFmtId="0" fontId="5" fillId="0" borderId="12" xfId="4" applyFont="1" applyBorder="1" applyAlignment="1">
      <alignment horizontal="center" vertical="center"/>
    </xf>
    <xf numFmtId="0" fontId="5" fillId="0" borderId="14" xfId="4" applyFont="1" applyBorder="1" applyAlignment="1">
      <alignment horizontal="center" vertical="center"/>
    </xf>
    <xf numFmtId="0" fontId="5" fillId="0" borderId="11" xfId="4" applyFont="1" applyBorder="1" applyAlignment="1">
      <alignment horizontal="center" vertical="center" wrapText="1"/>
    </xf>
    <xf numFmtId="0" fontId="5" fillId="0" borderId="0" xfId="4" applyFont="1" applyAlignment="1">
      <alignment horizontal="center" vertical="center" wrapText="1"/>
    </xf>
    <xf numFmtId="0" fontId="5" fillId="0" borderId="2" xfId="4" applyFont="1" applyBorder="1" applyAlignment="1">
      <alignment horizontal="center" vertical="center" wrapText="1"/>
    </xf>
    <xf numFmtId="3" fontId="5" fillId="0" borderId="12" xfId="4" applyNumberFormat="1" applyFont="1" applyBorder="1" applyAlignment="1">
      <alignment horizontal="center" vertical="center"/>
    </xf>
    <xf numFmtId="3" fontId="5" fillId="0" borderId="14" xfId="4" applyNumberFormat="1" applyFont="1" applyBorder="1" applyAlignment="1">
      <alignment horizontal="center" vertical="center"/>
    </xf>
    <xf numFmtId="3" fontId="5" fillId="0" borderId="10" xfId="4" applyNumberFormat="1" applyFont="1" applyBorder="1" applyAlignment="1">
      <alignment horizontal="center" vertical="center" wrapText="1"/>
    </xf>
    <xf numFmtId="0" fontId="5" fillId="0" borderId="12" xfId="4" applyFont="1" applyBorder="1" applyAlignment="1">
      <alignment horizontal="center" vertical="center" wrapText="1"/>
    </xf>
    <xf numFmtId="0" fontId="5" fillId="0" borderId="14" xfId="4" applyFont="1" applyBorder="1" applyAlignment="1">
      <alignment horizontal="center" vertical="center" wrapText="1"/>
    </xf>
    <xf numFmtId="0" fontId="5" fillId="0" borderId="10" xfId="4" applyFont="1" applyBorder="1" applyAlignment="1">
      <alignment horizontal="center" vertical="center" wrapText="1"/>
    </xf>
    <xf numFmtId="0" fontId="23" fillId="2" borderId="21" xfId="0" applyFont="1" applyFill="1" applyBorder="1" applyAlignment="1" applyProtection="1">
      <alignment vertical="center" wrapText="1"/>
    </xf>
    <xf numFmtId="49" fontId="23" fillId="2" borderId="22" xfId="0" applyNumberFormat="1" applyFont="1" applyFill="1" applyBorder="1" applyAlignment="1" applyProtection="1">
      <alignment vertical="center" wrapText="1"/>
    </xf>
    <xf numFmtId="177" fontId="23" fillId="2" borderId="22" xfId="0" applyNumberFormat="1" applyFont="1" applyFill="1" applyBorder="1" applyAlignment="1" applyProtection="1">
      <alignment vertical="center" wrapText="1"/>
    </xf>
    <xf numFmtId="177" fontId="25" fillId="2" borderId="22" xfId="0" applyNumberFormat="1" applyFont="1" applyFill="1" applyBorder="1" applyAlignment="1" applyProtection="1">
      <alignment vertical="center" wrapText="1"/>
    </xf>
    <xf numFmtId="178" fontId="25" fillId="2" borderId="21" xfId="0" applyNumberFormat="1" applyFont="1" applyFill="1" applyBorder="1" applyAlignment="1" applyProtection="1">
      <alignment horizontal="center" wrapText="1"/>
    </xf>
    <xf numFmtId="177" fontId="25" fillId="2" borderId="22" xfId="0" applyNumberFormat="1" applyFont="1" applyFill="1" applyBorder="1" applyAlignment="1" applyProtection="1">
      <alignment wrapText="1"/>
    </xf>
    <xf numFmtId="177" fontId="25" fillId="2" borderId="22" xfId="0" applyNumberFormat="1" applyFont="1" applyFill="1" applyBorder="1" applyAlignment="1" applyProtection="1">
      <alignment horizontal="centerContinuous" wrapText="1"/>
    </xf>
    <xf numFmtId="177" fontId="25" fillId="2" borderId="22" xfId="0" applyNumberFormat="1" applyFont="1" applyFill="1" applyBorder="1" applyAlignment="1" applyProtection="1">
      <alignment horizontal="center" wrapText="1"/>
    </xf>
    <xf numFmtId="0" fontId="25" fillId="2" borderId="3" xfId="0" applyFont="1" applyFill="1" applyBorder="1" applyAlignment="1" applyProtection="1">
      <alignment wrapText="1"/>
    </xf>
    <xf numFmtId="177" fontId="25" fillId="2" borderId="4" xfId="0" applyNumberFormat="1" applyFont="1" applyFill="1" applyBorder="1" applyAlignment="1" applyProtection="1">
      <alignment wrapText="1"/>
    </xf>
    <xf numFmtId="177" fontId="25" fillId="2" borderId="4" xfId="0" applyNumberFormat="1" applyFont="1" applyFill="1" applyBorder="1" applyAlignment="1" applyProtection="1">
      <alignment horizontal="centerContinuous" wrapText="1"/>
    </xf>
    <xf numFmtId="177" fontId="25" fillId="2" borderId="3" xfId="0" applyNumberFormat="1" applyFont="1" applyFill="1" applyBorder="1" applyAlignment="1" applyProtection="1">
      <alignment horizontal="center" wrapText="1"/>
    </xf>
    <xf numFmtId="177" fontId="25" fillId="2" borderId="3" xfId="0" applyNumberFormat="1" applyFont="1" applyFill="1" applyBorder="1" applyAlignment="1" applyProtection="1">
      <alignment horizontal="centerContinuous" wrapText="1"/>
    </xf>
    <xf numFmtId="0" fontId="33" fillId="6" borderId="2" xfId="0" applyFont="1" applyFill="1" applyBorder="1" applyAlignment="1">
      <alignment horizontal="center" vertical="center" wrapText="1"/>
    </xf>
    <xf numFmtId="0" fontId="33" fillId="6" borderId="2" xfId="0" applyFont="1" applyFill="1" applyBorder="1" applyAlignment="1">
      <alignment vertical="center" wrapText="1"/>
    </xf>
    <xf numFmtId="175" fontId="33" fillId="6" borderId="2" xfId="0" applyNumberFormat="1" applyFont="1" applyFill="1" applyBorder="1" applyAlignment="1">
      <alignment horizontal="centerContinuous" vertical="center" wrapText="1"/>
    </xf>
    <xf numFmtId="0" fontId="33" fillId="6" borderId="2" xfId="0" applyFont="1" applyFill="1" applyBorder="1" applyAlignment="1">
      <alignment horizontal="centerContinuous" vertical="center" wrapText="1"/>
    </xf>
    <xf numFmtId="0" fontId="9" fillId="6" borderId="2" xfId="0" applyFont="1" applyFill="1" applyBorder="1" applyAlignment="1" applyProtection="1">
      <alignment horizontal="center" vertical="center"/>
      <protection locked="0"/>
    </xf>
    <xf numFmtId="0" fontId="24" fillId="6" borderId="0" xfId="0" applyFont="1" applyFill="1" applyAlignment="1">
      <alignment horizontal="center" vertical="center" wrapText="1"/>
    </xf>
    <xf numFmtId="165" fontId="0" fillId="6" borderId="0" xfId="0" applyNumberFormat="1" applyFill="1" applyAlignment="1">
      <alignment vertical="center" wrapText="1"/>
    </xf>
    <xf numFmtId="176" fontId="34" fillId="6" borderId="0" xfId="0" applyNumberFormat="1" applyFont="1" applyFill="1" applyAlignment="1">
      <alignment horizontal="center" vertical="center"/>
    </xf>
    <xf numFmtId="0" fontId="0" fillId="6" borderId="0" xfId="0" applyFill="1"/>
    <xf numFmtId="164" fontId="4" fillId="0" borderId="20" xfId="6" applyFont="1" applyFill="1" applyBorder="1" applyAlignment="1" applyProtection="1">
      <alignment horizontal="center" vertical="center" wrapText="1"/>
      <protection locked="0"/>
    </xf>
    <xf numFmtId="0" fontId="4" fillId="0" borderId="23" xfId="0" applyFont="1" applyBorder="1" applyAlignment="1" applyProtection="1">
      <alignment vertical="center"/>
    </xf>
    <xf numFmtId="0" fontId="33" fillId="0" borderId="0" xfId="0" applyFont="1" applyAlignment="1" applyProtection="1">
      <alignment horizontal="center" vertical="center"/>
    </xf>
    <xf numFmtId="0" fontId="4" fillId="0" borderId="0" xfId="0" applyFont="1" applyAlignment="1" applyProtection="1">
      <alignment horizontal="center" vertical="center"/>
    </xf>
    <xf numFmtId="0" fontId="4" fillId="0" borderId="12" xfId="0" applyFont="1" applyBorder="1" applyAlignment="1" applyProtection="1">
      <alignment vertical="center"/>
    </xf>
    <xf numFmtId="0" fontId="4" fillId="0" borderId="0" xfId="0" applyFont="1" applyAlignment="1" applyProtection="1">
      <alignment vertical="center"/>
    </xf>
    <xf numFmtId="0" fontId="9" fillId="0" borderId="0" xfId="0" applyFont="1" applyAlignment="1" applyProtection="1">
      <alignment horizontal="center" vertical="center"/>
    </xf>
    <xf numFmtId="10" fontId="9" fillId="0" borderId="0" xfId="0" applyNumberFormat="1" applyFont="1" applyAlignment="1" applyProtection="1">
      <alignment horizontal="center" vertical="center"/>
    </xf>
    <xf numFmtId="0" fontId="0" fillId="0" borderId="0" xfId="0" applyProtection="1"/>
    <xf numFmtId="0" fontId="0" fillId="0" borderId="0" xfId="0" applyAlignment="1" applyProtection="1">
      <alignment horizontal="center"/>
    </xf>
    <xf numFmtId="10" fontId="0" fillId="0" borderId="0" xfId="0" applyNumberFormat="1" applyProtection="1"/>
    <xf numFmtId="0" fontId="19" fillId="0" borderId="0" xfId="0" applyFont="1" applyAlignment="1" applyProtection="1">
      <alignment horizontal="left"/>
    </xf>
    <xf numFmtId="0" fontId="4" fillId="0" borderId="0" xfId="0" applyFont="1" applyBorder="1" applyAlignment="1" applyProtection="1">
      <alignment vertical="center"/>
    </xf>
    <xf numFmtId="0" fontId="24" fillId="3" borderId="3" xfId="0" applyFont="1" applyFill="1" applyBorder="1" applyAlignment="1" applyProtection="1">
      <alignment horizontal="center" vertical="center"/>
    </xf>
    <xf numFmtId="0" fontId="24" fillId="3" borderId="5" xfId="0" applyFont="1" applyFill="1" applyBorder="1" applyAlignment="1" applyProtection="1">
      <alignment horizontal="center" vertical="center"/>
    </xf>
    <xf numFmtId="0" fontId="14" fillId="0" borderId="26" xfId="0" applyFont="1" applyBorder="1" applyAlignment="1" applyProtection="1">
      <alignment horizontal="center" vertical="center" wrapText="1"/>
    </xf>
    <xf numFmtId="0" fontId="14" fillId="0" borderId="27" xfId="0" applyFont="1" applyBorder="1" applyAlignment="1" applyProtection="1">
      <alignment horizontal="center" vertical="center" wrapText="1"/>
    </xf>
    <xf numFmtId="0" fontId="26" fillId="0" borderId="27" xfId="0" applyFont="1" applyBorder="1" applyAlignment="1" applyProtection="1">
      <alignment horizontal="center" vertical="center"/>
    </xf>
    <xf numFmtId="0" fontId="26" fillId="0" borderId="28" xfId="0" applyFont="1" applyBorder="1" applyAlignment="1" applyProtection="1">
      <alignment horizontal="center" vertical="center"/>
    </xf>
    <xf numFmtId="0" fontId="36" fillId="0" borderId="29" xfId="0" applyFont="1" applyBorder="1" applyAlignment="1" applyProtection="1">
      <alignment horizontal="center" vertical="center"/>
    </xf>
    <xf numFmtId="0" fontId="23" fillId="0" borderId="30" xfId="0" applyFont="1" applyBorder="1" applyAlignment="1" applyProtection="1">
      <alignment horizontal="center" vertical="center"/>
    </xf>
    <xf numFmtId="0" fontId="14" fillId="0" borderId="30" xfId="0" applyFont="1" applyBorder="1" applyAlignment="1" applyProtection="1">
      <alignment horizontal="center" vertical="center"/>
    </xf>
    <xf numFmtId="10" fontId="4" fillId="0" borderId="30" xfId="0" applyNumberFormat="1" applyFont="1" applyBorder="1" applyAlignment="1" applyProtection="1">
      <alignment horizontal="center" vertical="center"/>
      <protection locked="0"/>
    </xf>
    <xf numFmtId="10" fontId="4" fillId="0" borderId="31" xfId="0" applyNumberFormat="1" applyFont="1" applyBorder="1" applyAlignment="1" applyProtection="1">
      <alignment horizontal="center" vertical="center"/>
      <protection locked="0"/>
    </xf>
    <xf numFmtId="0" fontId="5" fillId="3" borderId="25" xfId="0" applyFont="1" applyFill="1" applyBorder="1" applyAlignment="1" applyProtection="1">
      <alignment horizontal="center" vertical="center" wrapText="1"/>
    </xf>
    <xf numFmtId="10" fontId="5" fillId="3" borderId="24" xfId="0" applyNumberFormat="1" applyFont="1" applyFill="1" applyBorder="1" applyAlignment="1" applyProtection="1">
      <alignment horizontal="center" vertical="center"/>
    </xf>
    <xf numFmtId="0" fontId="5" fillId="3" borderId="32" xfId="0" applyFont="1" applyFill="1" applyBorder="1" applyAlignment="1" applyProtection="1">
      <alignment horizontal="center" vertical="center"/>
    </xf>
    <xf numFmtId="10" fontId="5" fillId="3" borderId="33" xfId="0" applyNumberFormat="1" applyFont="1" applyFill="1" applyBorder="1" applyAlignment="1" applyProtection="1">
      <alignment horizontal="center" vertical="center"/>
    </xf>
    <xf numFmtId="0" fontId="5" fillId="0" borderId="4" xfId="4" applyFont="1" applyBorder="1" applyAlignment="1" applyProtection="1">
      <alignment horizontal="center" vertical="center" wrapText="1"/>
    </xf>
    <xf numFmtId="0" fontId="5" fillId="0" borderId="4" xfId="4" applyFont="1" applyBorder="1" applyAlignment="1" applyProtection="1">
      <alignment vertical="center" wrapText="1"/>
    </xf>
    <xf numFmtId="0" fontId="5" fillId="0" borderId="5" xfId="4" applyFont="1" applyBorder="1" applyAlignment="1" applyProtection="1">
      <alignment vertical="center" wrapText="1"/>
    </xf>
    <xf numFmtId="170" fontId="5" fillId="0" borderId="4" xfId="4" applyNumberFormat="1" applyFont="1" applyBorder="1" applyAlignment="1" applyProtection="1">
      <alignment vertical="center" wrapText="1"/>
      <protection locked="0"/>
    </xf>
    <xf numFmtId="0" fontId="5" fillId="0" borderId="4" xfId="4" applyFont="1" applyBorder="1" applyAlignment="1" applyProtection="1">
      <alignment vertical="center" wrapText="1"/>
      <protection locked="0"/>
    </xf>
    <xf numFmtId="0" fontId="4" fillId="0" borderId="0" xfId="4" applyAlignment="1" applyProtection="1">
      <alignment vertical="center" wrapText="1"/>
    </xf>
    <xf numFmtId="170" fontId="4" fillId="0" borderId="0" xfId="4" applyNumberFormat="1" applyAlignment="1" applyProtection="1">
      <alignment vertical="center" wrapText="1"/>
      <protection locked="0"/>
    </xf>
    <xf numFmtId="164" fontId="4" fillId="0" borderId="0" xfId="6" applyFont="1" applyFill="1" applyBorder="1" applyAlignment="1" applyProtection="1">
      <alignment horizontal="center" vertical="center" wrapText="1"/>
      <protection locked="0"/>
    </xf>
    <xf numFmtId="0" fontId="4" fillId="0" borderId="0" xfId="0" applyFont="1" applyAlignment="1" applyProtection="1">
      <alignment horizontal="center" vertical="center" wrapText="1"/>
    </xf>
    <xf numFmtId="170" fontId="4" fillId="0" borderId="0" xfId="0" applyNumberFormat="1" applyFont="1" applyAlignment="1" applyProtection="1">
      <alignment horizontal="center" vertical="center" wrapText="1"/>
      <protection locked="0"/>
    </xf>
    <xf numFmtId="0" fontId="4" fillId="0" borderId="2" xfId="0" applyFont="1" applyBorder="1" applyAlignment="1" applyProtection="1">
      <alignment horizontal="center" vertical="center" wrapText="1"/>
    </xf>
    <xf numFmtId="170" fontId="4" fillId="0" borderId="2" xfId="0" applyNumberFormat="1" applyFont="1" applyBorder="1" applyAlignment="1" applyProtection="1">
      <alignment horizontal="center" vertical="center" wrapText="1"/>
      <protection locked="0"/>
    </xf>
    <xf numFmtId="164" fontId="4" fillId="0" borderId="2" xfId="6" applyFont="1" applyFill="1" applyBorder="1" applyAlignment="1" applyProtection="1">
      <alignment horizontal="center" vertical="center" wrapText="1"/>
      <protection locked="0"/>
    </xf>
    <xf numFmtId="164" fontId="5" fillId="0" borderId="4" xfId="4" applyNumberFormat="1" applyFont="1" applyBorder="1" applyAlignment="1" applyProtection="1">
      <alignment vertical="center" wrapText="1"/>
      <protection locked="0"/>
    </xf>
    <xf numFmtId="164" fontId="4" fillId="0" borderId="0" xfId="6" applyFont="1" applyFill="1" applyBorder="1" applyAlignment="1" applyProtection="1">
      <alignment vertical="center" wrapText="1"/>
      <protection locked="0"/>
    </xf>
    <xf numFmtId="164" fontId="4" fillId="0" borderId="0" xfId="6" applyFont="1" applyBorder="1" applyAlignment="1" applyProtection="1">
      <alignment horizontal="center" vertical="center" wrapText="1"/>
      <protection locked="0"/>
    </xf>
    <xf numFmtId="164" fontId="4" fillId="0" borderId="2" xfId="6" applyFont="1" applyBorder="1" applyAlignment="1" applyProtection="1">
      <alignment horizontal="center" vertical="center" wrapText="1"/>
      <protection locked="0"/>
    </xf>
    <xf numFmtId="164" fontId="5" fillId="0" borderId="4" xfId="4" applyNumberFormat="1" applyFont="1" applyBorder="1" applyAlignment="1" applyProtection="1">
      <alignment horizontal="center" vertical="center" wrapText="1"/>
      <protection locked="0"/>
    </xf>
  </cellXfs>
  <cellStyles count="9">
    <cellStyle name="Hiperlink" xfId="3" builtinId="8"/>
    <cellStyle name="Moeda 2" xfId="6" xr:uid="{3FB6AB3D-97C6-4AF6-A942-16F579435089}"/>
    <cellStyle name="Moeda 2 2" xfId="8" xr:uid="{EF26397D-C7C3-4957-8D78-54C4DB996D2F}"/>
    <cellStyle name="Moeda 3" xfId="7" xr:uid="{FAE8E08B-A585-44CC-AF19-B11A65AFF950}"/>
    <cellStyle name="Normal" xfId="0" builtinId="0"/>
    <cellStyle name="Normal_Composições" xfId="4" xr:uid="{4AB0A4E1-04A9-45A4-9102-76138D75511D}"/>
    <cellStyle name="Porcentagem" xfId="2" builtinId="5"/>
    <cellStyle name="Separador de milhares_MODELO CÂMARA" xfId="5" xr:uid="{D5BD7F63-30F7-4D4A-92DB-9B0C362725E7}"/>
    <cellStyle name="Vírgula" xfId="1" builtinId="3"/>
  </cellStyles>
  <dxfs count="1577">
    <dxf>
      <font>
        <color rgb="FFFF0000"/>
      </font>
    </dxf>
    <dxf>
      <font>
        <color rgb="FFFF0000"/>
      </font>
    </dxf>
    <dxf>
      <font>
        <color rgb="FFFF0000"/>
      </font>
    </dxf>
    <dxf>
      <font>
        <color rgb="FFFF0000"/>
      </font>
    </dxf>
    <dxf>
      <font>
        <color rgb="FFFF0000"/>
      </font>
    </dxf>
    <dxf>
      <fill>
        <patternFill>
          <bgColor rgb="FFFFC00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0</xdr:row>
      <xdr:rowOff>76200</xdr:rowOff>
    </xdr:from>
    <xdr:to>
      <xdr:col>11</xdr:col>
      <xdr:colOff>186578</xdr:colOff>
      <xdr:row>4</xdr:row>
      <xdr:rowOff>216694</xdr:rowOff>
    </xdr:to>
    <xdr:sp macro="" textlink="">
      <xdr:nvSpPr>
        <xdr:cNvPr id="2" name="CommandButton1" hidden="1">
          <a:extLst>
            <a:ext uri="{63B3BB69-23CF-44E3-9099-C40C66FF867C}">
              <a14:compatExt xmlns:a14="http://schemas.microsoft.com/office/drawing/2010/main" spid="_x0000_s4124"/>
            </a:ext>
            <a:ext uri="{FF2B5EF4-FFF2-40B4-BE49-F238E27FC236}">
              <a16:creationId xmlns:a16="http://schemas.microsoft.com/office/drawing/2014/main" id="{00000000-0008-0000-0300-000002000000}"/>
            </a:ext>
          </a:extLst>
        </xdr:cNvPr>
        <xdr:cNvSpPr/>
      </xdr:nvSpPr>
      <xdr:spPr bwMode="auto">
        <a:xfrm>
          <a:off x="20545425" y="76200"/>
          <a:ext cx="1755822" cy="12763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266700</xdr:colOff>
      <xdr:row>0</xdr:row>
      <xdr:rowOff>47625</xdr:rowOff>
    </xdr:from>
    <xdr:to>
      <xdr:col>11</xdr:col>
      <xdr:colOff>481853</xdr:colOff>
      <xdr:row>1</xdr:row>
      <xdr:rowOff>276225</xdr:rowOff>
    </xdr:to>
    <xdr:sp macro="" textlink="">
      <xdr:nvSpPr>
        <xdr:cNvPr id="3" name="CommandButton2" hidden="1">
          <a:extLst>
            <a:ext uri="{63B3BB69-23CF-44E3-9099-C40C66FF867C}">
              <a14:compatExt xmlns:a14="http://schemas.microsoft.com/office/drawing/2010/main" spid="_x0000_s4126"/>
            </a:ext>
            <a:ext uri="{FF2B5EF4-FFF2-40B4-BE49-F238E27FC236}">
              <a16:creationId xmlns:a16="http://schemas.microsoft.com/office/drawing/2014/main" id="{00000000-0008-0000-0300-000003000000}"/>
            </a:ext>
          </a:extLst>
        </xdr:cNvPr>
        <xdr:cNvSpPr/>
      </xdr:nvSpPr>
      <xdr:spPr bwMode="auto">
        <a:xfrm>
          <a:off x="22631400" y="47625"/>
          <a:ext cx="1784397" cy="5429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266700</xdr:colOff>
      <xdr:row>2</xdr:row>
      <xdr:rowOff>66675</xdr:rowOff>
    </xdr:from>
    <xdr:to>
      <xdr:col>11</xdr:col>
      <xdr:colOff>481853</xdr:colOff>
      <xdr:row>4</xdr:row>
      <xdr:rowOff>92869</xdr:rowOff>
    </xdr:to>
    <xdr:sp macro="" textlink="">
      <xdr:nvSpPr>
        <xdr:cNvPr id="4" name="CommandButton3" hidden="1">
          <a:extLst>
            <a:ext uri="{63B3BB69-23CF-44E3-9099-C40C66FF867C}">
              <a14:compatExt xmlns:a14="http://schemas.microsoft.com/office/drawing/2010/main" spid="_x0000_s4127"/>
            </a:ext>
            <a:ext uri="{FF2B5EF4-FFF2-40B4-BE49-F238E27FC236}">
              <a16:creationId xmlns:a16="http://schemas.microsoft.com/office/drawing/2014/main" id="{00000000-0008-0000-0300-000004000000}"/>
            </a:ext>
          </a:extLst>
        </xdr:cNvPr>
        <xdr:cNvSpPr/>
      </xdr:nvSpPr>
      <xdr:spPr bwMode="auto">
        <a:xfrm>
          <a:off x="22631400" y="704850"/>
          <a:ext cx="1784397" cy="52387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0</xdr:colOff>
      <xdr:row>0</xdr:row>
      <xdr:rowOff>57150</xdr:rowOff>
    </xdr:from>
    <xdr:to>
      <xdr:col>10</xdr:col>
      <xdr:colOff>219075</xdr:colOff>
      <xdr:row>1</xdr:row>
      <xdr:rowOff>285750</xdr:rowOff>
    </xdr:to>
    <xdr:sp macro="" textlink="">
      <xdr:nvSpPr>
        <xdr:cNvPr id="2" name="CommandButton1" hidden="1">
          <a:extLst>
            <a:ext uri="{63B3BB69-23CF-44E3-9099-C40C66FF867C}">
              <a14:compatExt xmlns:a14="http://schemas.microsoft.com/office/drawing/2010/main" spid="_x0000_s5148"/>
            </a:ext>
            <a:ext uri="{FF2B5EF4-FFF2-40B4-BE49-F238E27FC236}">
              <a16:creationId xmlns:a16="http://schemas.microsoft.com/office/drawing/2014/main" id="{00000000-0008-0000-0400-000002000000}"/>
            </a:ext>
          </a:extLst>
        </xdr:cNvPr>
        <xdr:cNvSpPr/>
      </xdr:nvSpPr>
      <xdr:spPr bwMode="auto">
        <a:xfrm>
          <a:off x="21707475" y="57150"/>
          <a:ext cx="1790700" cy="5429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0</xdr:colOff>
      <xdr:row>2</xdr:row>
      <xdr:rowOff>38100</xdr:rowOff>
    </xdr:from>
    <xdr:to>
      <xdr:col>10</xdr:col>
      <xdr:colOff>219075</xdr:colOff>
      <xdr:row>4</xdr:row>
      <xdr:rowOff>121443</xdr:rowOff>
    </xdr:to>
    <xdr:sp macro="" textlink="">
      <xdr:nvSpPr>
        <xdr:cNvPr id="3" name="CommandButton2" hidden="1">
          <a:extLst>
            <a:ext uri="{63B3BB69-23CF-44E3-9099-C40C66FF867C}">
              <a14:compatExt xmlns:a14="http://schemas.microsoft.com/office/drawing/2010/main" spid="_x0000_s5149"/>
            </a:ext>
            <a:ext uri="{FF2B5EF4-FFF2-40B4-BE49-F238E27FC236}">
              <a16:creationId xmlns:a16="http://schemas.microsoft.com/office/drawing/2014/main" id="{00000000-0008-0000-0400-000003000000}"/>
            </a:ext>
          </a:extLst>
        </xdr:cNvPr>
        <xdr:cNvSpPr/>
      </xdr:nvSpPr>
      <xdr:spPr bwMode="auto">
        <a:xfrm>
          <a:off x="21707475" y="666750"/>
          <a:ext cx="1790700" cy="5810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0</xdr:colOff>
      <xdr:row>0</xdr:row>
      <xdr:rowOff>57150</xdr:rowOff>
    </xdr:from>
    <xdr:to>
      <xdr:col>10</xdr:col>
      <xdr:colOff>228600</xdr:colOff>
      <xdr:row>1</xdr:row>
      <xdr:rowOff>285750</xdr:rowOff>
    </xdr:to>
    <xdr:sp macro="" textlink="">
      <xdr:nvSpPr>
        <xdr:cNvPr id="2" name="CommandButton1" hidden="1">
          <a:extLst>
            <a:ext uri="{63B3BB69-23CF-44E3-9099-C40C66FF867C}">
              <a14:compatExt xmlns:a14="http://schemas.microsoft.com/office/drawing/2010/main" spid="_x0000_s6154"/>
            </a:ext>
            <a:ext uri="{FF2B5EF4-FFF2-40B4-BE49-F238E27FC236}">
              <a16:creationId xmlns:a16="http://schemas.microsoft.com/office/drawing/2014/main" id="{00000000-0008-0000-0500-000002000000}"/>
            </a:ext>
          </a:extLst>
        </xdr:cNvPr>
        <xdr:cNvSpPr/>
      </xdr:nvSpPr>
      <xdr:spPr bwMode="auto">
        <a:xfrm>
          <a:off x="21669375" y="57150"/>
          <a:ext cx="1800225" cy="5429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0</xdr:colOff>
      <xdr:row>2</xdr:row>
      <xdr:rowOff>66675</xdr:rowOff>
    </xdr:from>
    <xdr:to>
      <xdr:col>10</xdr:col>
      <xdr:colOff>228600</xdr:colOff>
      <xdr:row>4</xdr:row>
      <xdr:rowOff>92868</xdr:rowOff>
    </xdr:to>
    <xdr:sp macro="" textlink="">
      <xdr:nvSpPr>
        <xdr:cNvPr id="3" name="CommandButton2" hidden="1">
          <a:extLst>
            <a:ext uri="{63B3BB69-23CF-44E3-9099-C40C66FF867C}">
              <a14:compatExt xmlns:a14="http://schemas.microsoft.com/office/drawing/2010/main" spid="_x0000_s6155"/>
            </a:ext>
            <a:ext uri="{FF2B5EF4-FFF2-40B4-BE49-F238E27FC236}">
              <a16:creationId xmlns:a16="http://schemas.microsoft.com/office/drawing/2014/main" id="{00000000-0008-0000-0500-000003000000}"/>
            </a:ext>
          </a:extLst>
        </xdr:cNvPr>
        <xdr:cNvSpPr/>
      </xdr:nvSpPr>
      <xdr:spPr bwMode="auto">
        <a:xfrm>
          <a:off x="21669375" y="695325"/>
          <a:ext cx="1800225" cy="52387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19050</xdr:colOff>
      <xdr:row>0</xdr:row>
      <xdr:rowOff>19050</xdr:rowOff>
    </xdr:from>
    <xdr:to>
      <xdr:col>10</xdr:col>
      <xdr:colOff>1226343</xdr:colOff>
      <xdr:row>1</xdr:row>
      <xdr:rowOff>76200</xdr:rowOff>
    </xdr:to>
    <xdr:sp macro="" textlink="">
      <xdr:nvSpPr>
        <xdr:cNvPr id="2" name="CommandButton1" hidden="1">
          <a:extLst>
            <a:ext uri="{63B3BB69-23CF-44E3-9099-C40C66FF867C}">
              <a14:compatExt xmlns:a14="http://schemas.microsoft.com/office/drawing/2010/main" spid="_x0000_s11266"/>
            </a:ext>
            <a:ext uri="{FF2B5EF4-FFF2-40B4-BE49-F238E27FC236}">
              <a16:creationId xmlns:a16="http://schemas.microsoft.com/office/drawing/2014/main" id="{00000000-0008-0000-0600-000002000000}"/>
            </a:ext>
          </a:extLst>
        </xdr:cNvPr>
        <xdr:cNvSpPr/>
      </xdr:nvSpPr>
      <xdr:spPr bwMode="auto">
        <a:xfrm>
          <a:off x="19869150" y="19050"/>
          <a:ext cx="1207293" cy="37147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10</xdr:col>
      <xdr:colOff>9525</xdr:colOff>
      <xdr:row>1</xdr:row>
      <xdr:rowOff>95250</xdr:rowOff>
    </xdr:from>
    <xdr:to>
      <xdr:col>10</xdr:col>
      <xdr:colOff>1226343</xdr:colOff>
      <xdr:row>3</xdr:row>
      <xdr:rowOff>190500</xdr:rowOff>
    </xdr:to>
    <xdr:sp macro="" textlink="">
      <xdr:nvSpPr>
        <xdr:cNvPr id="3" name="CommandButton2" hidden="1">
          <a:extLst>
            <a:ext uri="{63B3BB69-23CF-44E3-9099-C40C66FF867C}">
              <a14:compatExt xmlns:a14="http://schemas.microsoft.com/office/drawing/2010/main" spid="_x0000_s11267"/>
            </a:ext>
            <a:ext uri="{FF2B5EF4-FFF2-40B4-BE49-F238E27FC236}">
              <a16:creationId xmlns:a16="http://schemas.microsoft.com/office/drawing/2014/main" id="{00000000-0008-0000-0600-000003000000}"/>
            </a:ext>
          </a:extLst>
        </xdr:cNvPr>
        <xdr:cNvSpPr/>
      </xdr:nvSpPr>
      <xdr:spPr bwMode="auto">
        <a:xfrm>
          <a:off x="19859625" y="409575"/>
          <a:ext cx="1216818" cy="6572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30082</xdr:colOff>
      <xdr:row>18</xdr:row>
      <xdr:rowOff>120066</xdr:rowOff>
    </xdr:from>
    <xdr:to>
      <xdr:col>4</xdr:col>
      <xdr:colOff>486452</xdr:colOff>
      <xdr:row>36</xdr:row>
      <xdr:rowOff>26769</xdr:rowOff>
    </xdr:to>
    <xdr:pic>
      <xdr:nvPicPr>
        <xdr:cNvPr id="2" name="Imagem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30082" y="7073316"/>
          <a:ext cx="6635714" cy="333570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U:\COORC\PESQUISAS%20DE%20PRE&#199;OS\2025\00200.018336-2025-39%20-%20Projetos%20de%20recupera&#231;&#227;o%20das%20esquadrias%20do%20EDPR\Mapa%20-%20Projetos%20de%20recupera&#231;&#227;o%20das%20esquadrias%20do%20EDPR.xlsm" TargetMode="External"/><Relationship Id="rId1" Type="http://schemas.openxmlformats.org/officeDocument/2006/relationships/externalLinkPath" Target="Mapa%20-%20Projetos%20de%20recupera&#231;&#227;o%20das%20esquadrias%20do%20EDPR.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ontes"/>
      <sheetName val="Serviços"/>
      <sheetName val="Insumos"/>
      <sheetName val="Composições"/>
      <sheetName val="Comp.Aux1"/>
      <sheetName val="Comp.Aux2"/>
      <sheetName val="Orçamentária"/>
      <sheetName val="Custos Unitários"/>
      <sheetName val="BDI"/>
      <sheetName val="ABC Serviços"/>
      <sheetName val="ABC Insumos"/>
      <sheetName val="Outras Tab"/>
      <sheetName val="Lista CPU"/>
      <sheetName val="AUX"/>
      <sheetName val="1 - Capa"/>
      <sheetName val="2 - Orçamentária-SD"/>
      <sheetName val="4 - Orçamentária-CD"/>
      <sheetName val="3 - Composições-SD"/>
      <sheetName val="5 - Composições-CD"/>
      <sheetName val="6 - BDI"/>
      <sheetName val="7 - Curvas ABC"/>
      <sheetName val="9 - Tabelas"/>
      <sheetName val="10 - Empresas"/>
      <sheetName val="11 - Internet"/>
      <sheetName val="12 - Banco de Preços"/>
      <sheetName val="13 - Cotações CT ARP SF"/>
      <sheetName val="14 - Não apresentaram"/>
      <sheetName val="15 - E-mails enviados"/>
      <sheetName val="Serviços SINAPI"/>
      <sheetName val="Insumos SINAPI"/>
      <sheetName val="planilha auxil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6">
          <cell r="E6">
            <v>0.88170000000000004</v>
          </cell>
          <cell r="F6">
            <v>1.1011</v>
          </cell>
        </row>
        <row r="7">
          <cell r="E7">
            <v>0.52390000000000003</v>
          </cell>
          <cell r="F7">
            <v>0.70189999999999997</v>
          </cell>
        </row>
      </sheetData>
      <sheetData sheetId="29"/>
      <sheetData sheetId="30"/>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quartzolit.weber/files/br/2017-12/super_graute_quartzolit.pdf" TargetMode="External"/><Relationship Id="rId3" Type="http://schemas.openxmlformats.org/officeDocument/2006/relationships/hyperlink" Target="https://www.sherwin-williams.com.br/produto-detalhe/metalatex-eco-complementos" TargetMode="External"/><Relationship Id="rId7" Type="http://schemas.openxmlformats.org/officeDocument/2006/relationships/hyperlink" Target="http://www.denverimper.com.br/files/produtos/0000001-0000500/122/e5fe48d2b8810574e94921c5fb6cea0c.pdf" TargetMode="External"/><Relationship Id="rId12" Type="http://schemas.openxmlformats.org/officeDocument/2006/relationships/vmlDrawing" Target="../drawings/vmlDrawing1.vml"/><Relationship Id="rId2" Type="http://schemas.openxmlformats.org/officeDocument/2006/relationships/hyperlink" Target="https://www.suvinil.com.br/upload/78d22676-91b1-4086-99ad-4258fadd7b08-suvinil-fundo-seca-rapidomaio2018.pdf" TargetMode="External"/><Relationship Id="rId1" Type="http://schemas.openxmlformats.org/officeDocument/2006/relationships/hyperlink" Target="https://s3.amazonaws.com/mapa-da-obra-producao/wp-content/uploads/2015/12/2101-matrix-revestimento-interno.pdf" TargetMode="External"/><Relationship Id="rId6" Type="http://schemas.openxmlformats.org/officeDocument/2006/relationships/hyperlink" Target="http://www.denverimper.com.br/files/produtos/0000001-0000500/122/e5fe48d2b8810574e94921c5fb6cea0c.pdf" TargetMode="External"/><Relationship Id="rId11" Type="http://schemas.openxmlformats.org/officeDocument/2006/relationships/drawing" Target="../drawings/drawing1.xml"/><Relationship Id="rId5" Type="http://schemas.openxmlformats.org/officeDocument/2006/relationships/hyperlink" Target="http://vedacit.com.br/produtos/primer-eco-vedacit" TargetMode="External"/><Relationship Id="rId10" Type="http://schemas.openxmlformats.org/officeDocument/2006/relationships/printerSettings" Target="../printerSettings/printerSettings1.bin"/><Relationship Id="rId4" Type="http://schemas.openxmlformats.org/officeDocument/2006/relationships/hyperlink" Target="http://www.bautechbrasil.com.br/produtos/pinturas-especiais-e-complementos/bautech-resina-acr%C3%ADlica-multiuso" TargetMode="External"/><Relationship Id="rId9" Type="http://schemas.openxmlformats.org/officeDocument/2006/relationships/hyperlink" Target="https://bra.sika.com/dms/getdocument.get/936a7cee-8d90-4be4-9494-f16d0e9334b4/sikacryl_-103.pdf"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7C4B5-9EDB-4010-936D-0ED96C8A1E85}">
  <sheetPr codeName="Planilha4" filterMode="1">
    <pageSetUpPr fitToPage="1"/>
  </sheetPr>
  <dimension ref="A1:J11986"/>
  <sheetViews>
    <sheetView zoomScale="80" zoomScaleNormal="80" workbookViewId="0">
      <pane ySplit="5" topLeftCell="A6" activePane="bottomLeft" state="frozen"/>
      <selection activeCell="A6" sqref="A6"/>
      <selection pane="bottomLeft"/>
    </sheetView>
  </sheetViews>
  <sheetFormatPr defaultRowHeight="15" x14ac:dyDescent="0.25"/>
  <cols>
    <col min="1" max="1" width="14.7109375" customWidth="1"/>
    <col min="2" max="2" width="50.7109375" customWidth="1"/>
    <col min="3" max="3" width="65.7109375" customWidth="1"/>
    <col min="4" max="4" width="15.7109375" customWidth="1"/>
    <col min="5" max="5" width="20.7109375" customWidth="1"/>
    <col min="6" max="6" width="15.7109375" customWidth="1"/>
    <col min="7" max="8" width="17.7109375" customWidth="1"/>
    <col min="9" max="9" width="5.7109375" customWidth="1"/>
    <col min="10" max="10" width="14.42578125" customWidth="1"/>
  </cols>
  <sheetData>
    <row r="1" spans="1:10" ht="24.95" customHeight="1" x14ac:dyDescent="0.25">
      <c r="A1" s="7" t="s">
        <v>10621</v>
      </c>
      <c r="B1" s="7"/>
      <c r="C1" s="7"/>
      <c r="D1" s="7"/>
      <c r="E1" s="8"/>
      <c r="F1" s="7"/>
      <c r="G1" s="7"/>
      <c r="H1" s="7"/>
      <c r="I1" s="9"/>
      <c r="J1" s="10"/>
    </row>
    <row r="2" spans="1:10" ht="25.5" customHeight="1" x14ac:dyDescent="0.25">
      <c r="A2" s="11" t="s">
        <v>1</v>
      </c>
      <c r="B2" s="12"/>
      <c r="C2" s="13"/>
      <c r="D2" s="12"/>
      <c r="E2" s="14"/>
      <c r="F2" s="12"/>
      <c r="G2" s="12"/>
      <c r="H2" s="12"/>
      <c r="I2" s="15"/>
      <c r="J2" s="10"/>
    </row>
    <row r="3" spans="1:10" ht="20.100000000000001" customHeight="1" x14ac:dyDescent="0.25">
      <c r="A3" s="16" t="s">
        <v>0</v>
      </c>
      <c r="B3" s="16"/>
      <c r="C3" s="17"/>
      <c r="D3" s="16"/>
      <c r="E3" s="18"/>
      <c r="F3" s="16"/>
      <c r="G3" s="16"/>
      <c r="H3" s="16"/>
      <c r="J3" s="10"/>
    </row>
    <row r="4" spans="1:10" ht="20.100000000000001" customHeight="1" thickBot="1" x14ac:dyDescent="0.3">
      <c r="A4" s="19"/>
      <c r="B4" s="19"/>
      <c r="C4" s="20"/>
      <c r="D4" s="19"/>
      <c r="E4" s="21"/>
      <c r="F4" s="19"/>
      <c r="G4" s="22"/>
      <c r="H4" s="19"/>
      <c r="I4" s="19"/>
      <c r="J4" s="23"/>
    </row>
    <row r="5" spans="1:10" ht="30.75" thickBot="1" x14ac:dyDescent="0.3">
      <c r="A5" s="24" t="s">
        <v>2</v>
      </c>
      <c r="B5" s="25" t="s">
        <v>3</v>
      </c>
      <c r="C5" s="26" t="s">
        <v>4</v>
      </c>
      <c r="D5" s="25" t="s">
        <v>5</v>
      </c>
      <c r="E5" s="27" t="s">
        <v>6</v>
      </c>
      <c r="F5" s="25" t="s">
        <v>7</v>
      </c>
      <c r="G5" s="25" t="s">
        <v>8</v>
      </c>
      <c r="H5" s="28" t="s">
        <v>9</v>
      </c>
      <c r="I5" s="29" t="s">
        <v>10</v>
      </c>
      <c r="J5" s="30" t="s">
        <v>11</v>
      </c>
    </row>
    <row r="6" spans="1:10" ht="15.75" hidden="1" thickBot="1" x14ac:dyDescent="0.3">
      <c r="A6" s="173" t="s">
        <v>12</v>
      </c>
      <c r="B6" s="176" t="s">
        <v>2974</v>
      </c>
      <c r="C6" s="31"/>
      <c r="D6" s="235" t="s">
        <v>2975</v>
      </c>
      <c r="E6" s="238"/>
      <c r="F6" s="239" t="s">
        <v>13</v>
      </c>
      <c r="G6" s="236" t="str">
        <f>IF(ISNUMBER(F6),E6*F6,"")</f>
        <v/>
      </c>
      <c r="H6" s="237"/>
      <c r="I6" s="36"/>
      <c r="J6" s="37">
        <v>0</v>
      </c>
    </row>
    <row r="7" spans="1:10" ht="15.75" hidden="1" thickBot="1" x14ac:dyDescent="0.3">
      <c r="A7" s="174"/>
      <c r="B7" s="177"/>
      <c r="C7" s="39"/>
      <c r="D7" s="240"/>
      <c r="E7" s="241"/>
      <c r="F7" s="242" t="s">
        <v>13</v>
      </c>
      <c r="G7" s="41" t="str">
        <f>IF(ISNUMBER(F7),E7*F7,"")</f>
        <v/>
      </c>
      <c r="H7" s="42"/>
      <c r="I7" s="38"/>
      <c r="J7" s="37">
        <v>0</v>
      </c>
    </row>
    <row r="8" spans="1:10" ht="26.25" hidden="1" thickBot="1" x14ac:dyDescent="0.3">
      <c r="A8" s="174"/>
      <c r="B8" s="177"/>
      <c r="C8" s="43" t="s">
        <v>10823</v>
      </c>
      <c r="D8" s="243" t="s">
        <v>2800</v>
      </c>
      <c r="E8" s="244">
        <v>1</v>
      </c>
      <c r="F8" s="242">
        <v>120.95399999999999</v>
      </c>
      <c r="G8" s="41">
        <f>IF(ISNUMBER(F8),E8*F8,"")</f>
        <v>120.95399999999999</v>
      </c>
      <c r="H8" s="46">
        <f>SUM(G8:G8)</f>
        <v>120.95399999999999</v>
      </c>
      <c r="I8" s="47"/>
      <c r="J8" s="37">
        <v>0</v>
      </c>
    </row>
    <row r="9" spans="1:10" ht="15.75" hidden="1" thickBot="1" x14ac:dyDescent="0.3">
      <c r="A9" s="175"/>
      <c r="B9" s="178"/>
      <c r="C9" s="49"/>
      <c r="D9" s="245"/>
      <c r="E9" s="246"/>
      <c r="F9" s="247" t="s">
        <v>13</v>
      </c>
      <c r="G9" s="52" t="str">
        <f>IF(ISNUMBER(F9),E9*F9,"")</f>
        <v/>
      </c>
      <c r="H9" s="53"/>
      <c r="I9" s="38"/>
      <c r="J9" s="37">
        <v>0</v>
      </c>
    </row>
    <row r="10" spans="1:10" ht="15.75" hidden="1" thickBot="1" x14ac:dyDescent="0.3">
      <c r="A10" s="181" t="s">
        <v>14</v>
      </c>
      <c r="B10" s="176" t="s">
        <v>2976</v>
      </c>
      <c r="C10" s="31"/>
      <c r="D10" s="235" t="s">
        <v>2975</v>
      </c>
      <c r="E10" s="238"/>
      <c r="F10" s="248" t="s">
        <v>13</v>
      </c>
      <c r="G10" s="236" t="str">
        <f>IF(ISNUMBER(F10),E10*F10,"")</f>
        <v/>
      </c>
      <c r="H10" s="237"/>
      <c r="I10" s="36"/>
      <c r="J10" s="37">
        <v>0</v>
      </c>
    </row>
    <row r="11" spans="1:10" ht="15.75" hidden="1" thickBot="1" x14ac:dyDescent="0.3">
      <c r="A11" s="182"/>
      <c r="B11" s="177"/>
      <c r="C11" s="39"/>
      <c r="D11" s="240"/>
      <c r="E11" s="241"/>
      <c r="F11" s="249" t="s">
        <v>13</v>
      </c>
      <c r="G11" s="38" t="str">
        <f>IF(ISNUMBER(F11),E11*F11,"")</f>
        <v/>
      </c>
      <c r="H11" s="42"/>
      <c r="I11" s="38"/>
      <c r="J11" s="37">
        <v>0</v>
      </c>
    </row>
    <row r="12" spans="1:10" ht="15.75" hidden="1" thickBot="1" x14ac:dyDescent="0.3">
      <c r="A12" s="182"/>
      <c r="B12" s="177"/>
      <c r="C12" s="43" t="s">
        <v>10824</v>
      </c>
      <c r="D12" s="243" t="s">
        <v>2800</v>
      </c>
      <c r="E12" s="244">
        <v>1</v>
      </c>
      <c r="F12" s="242">
        <v>51.186</v>
      </c>
      <c r="G12" s="41">
        <f>IF(ISNUMBER(F12),E12*F12,"")</f>
        <v>51.186</v>
      </c>
      <c r="H12" s="46">
        <f>SUM(G12:G12)</f>
        <v>51.186</v>
      </c>
      <c r="I12" s="47"/>
      <c r="J12" s="37">
        <v>0</v>
      </c>
    </row>
    <row r="13" spans="1:10" ht="15.75" hidden="1" thickBot="1" x14ac:dyDescent="0.3">
      <c r="A13" s="183"/>
      <c r="B13" s="178"/>
      <c r="C13" s="49"/>
      <c r="D13" s="245"/>
      <c r="E13" s="246"/>
      <c r="F13" s="247" t="s">
        <v>13</v>
      </c>
      <c r="G13" s="51" t="str">
        <f>IF(ISNUMBER(F13),E13*F13,"")</f>
        <v/>
      </c>
      <c r="H13" s="53"/>
      <c r="I13" s="38"/>
      <c r="J13" s="37">
        <v>0</v>
      </c>
    </row>
    <row r="14" spans="1:10" ht="15.75" thickBot="1" x14ac:dyDescent="0.3">
      <c r="A14" s="173" t="s">
        <v>15</v>
      </c>
      <c r="B14" s="176" t="s">
        <v>2977</v>
      </c>
      <c r="C14" s="31"/>
      <c r="D14" s="235" t="s">
        <v>18</v>
      </c>
      <c r="E14" s="238"/>
      <c r="F14" s="248" t="s">
        <v>13</v>
      </c>
      <c r="G14" s="236" t="str">
        <f>IF(ISNUMBER(F14),E14*F14,"")</f>
        <v/>
      </c>
      <c r="H14" s="237"/>
      <c r="I14" s="36"/>
      <c r="J14" s="37">
        <v>1</v>
      </c>
    </row>
    <row r="15" spans="1:10" x14ac:dyDescent="0.25">
      <c r="A15" s="174"/>
      <c r="B15" s="177"/>
      <c r="C15" s="39"/>
      <c r="D15" s="240"/>
      <c r="E15" s="241"/>
      <c r="F15" s="249" t="s">
        <v>13</v>
      </c>
      <c r="G15" s="38" t="str">
        <f>IF(ISNUMBER(F15),E15*F15,"")</f>
        <v/>
      </c>
      <c r="H15" s="42"/>
      <c r="I15" s="38"/>
      <c r="J15" s="37">
        <v>1</v>
      </c>
    </row>
    <row r="16" spans="1:10" ht="25.5" x14ac:dyDescent="0.25">
      <c r="A16" s="174"/>
      <c r="B16" s="177"/>
      <c r="C16" s="43" t="s">
        <v>10611</v>
      </c>
      <c r="D16" s="243" t="s">
        <v>2800</v>
      </c>
      <c r="E16" s="244">
        <v>16</v>
      </c>
      <c r="F16" s="242">
        <v>142.75650000000002</v>
      </c>
      <c r="G16" s="38">
        <f>IF(ISNUMBER(F16),E16*F16,"")</f>
        <v>2284.1040000000003</v>
      </c>
      <c r="H16" s="46">
        <f>SUM(G16:G16)</f>
        <v>2284.1040000000003</v>
      </c>
      <c r="I16" s="47"/>
      <c r="J16" s="37">
        <v>1</v>
      </c>
    </row>
    <row r="17" spans="1:10" ht="15.75" thickBot="1" x14ac:dyDescent="0.3">
      <c r="A17" s="175"/>
      <c r="B17" s="178"/>
      <c r="C17" s="49"/>
      <c r="D17" s="245"/>
      <c r="E17" s="246"/>
      <c r="F17" s="247" t="s">
        <v>13</v>
      </c>
      <c r="G17" s="51" t="str">
        <f>IF(ISNUMBER(F17),E17*F17,"")</f>
        <v/>
      </c>
      <c r="H17" s="53"/>
      <c r="I17" s="38"/>
      <c r="J17" s="37">
        <v>1</v>
      </c>
    </row>
    <row r="18" spans="1:10" ht="15.75" thickBot="1" x14ac:dyDescent="0.3">
      <c r="A18" s="173" t="s">
        <v>16</v>
      </c>
      <c r="B18" s="176" t="s">
        <v>2978</v>
      </c>
      <c r="C18" s="31"/>
      <c r="D18" s="235" t="s">
        <v>18</v>
      </c>
      <c r="E18" s="238"/>
      <c r="F18" s="248" t="s">
        <v>13</v>
      </c>
      <c r="G18" s="236" t="str">
        <f>IF(ISNUMBER(F18),E18*F18,"")</f>
        <v/>
      </c>
      <c r="H18" s="237"/>
      <c r="I18" s="36"/>
      <c r="J18" s="37">
        <v>1</v>
      </c>
    </row>
    <row r="19" spans="1:10" x14ac:dyDescent="0.25">
      <c r="A19" s="174"/>
      <c r="B19" s="177"/>
      <c r="C19" s="39"/>
      <c r="D19" s="240"/>
      <c r="E19" s="241"/>
      <c r="F19" s="249" t="s">
        <v>13</v>
      </c>
      <c r="G19" s="38" t="str">
        <f>IF(ISNUMBER(F19),E19*F19,"")</f>
        <v/>
      </c>
      <c r="H19" s="42"/>
      <c r="I19" s="38"/>
      <c r="J19" s="37">
        <v>1</v>
      </c>
    </row>
    <row r="20" spans="1:10" ht="25.5" x14ac:dyDescent="0.25">
      <c r="A20" s="174"/>
      <c r="B20" s="177"/>
      <c r="C20" s="43" t="s">
        <v>10611</v>
      </c>
      <c r="D20" s="243" t="s">
        <v>2800</v>
      </c>
      <c r="E20" s="244">
        <v>20</v>
      </c>
      <c r="F20" s="242">
        <v>142.75650000000002</v>
      </c>
      <c r="G20" s="38">
        <f>IF(ISNUMBER(F20),E20*F20,"")</f>
        <v>2855.13</v>
      </c>
      <c r="H20" s="46">
        <f>SUM(G20:G21)</f>
        <v>3126.6000000000004</v>
      </c>
      <c r="I20" s="47"/>
      <c r="J20" s="37">
        <v>1</v>
      </c>
    </row>
    <row r="21" spans="1:10" x14ac:dyDescent="0.25">
      <c r="A21" s="174"/>
      <c r="B21" s="177"/>
      <c r="C21" s="43" t="s">
        <v>17</v>
      </c>
      <c r="D21" s="243" t="s">
        <v>18</v>
      </c>
      <c r="E21" s="244">
        <v>1</v>
      </c>
      <c r="F21" s="250">
        <v>271.47000000000003</v>
      </c>
      <c r="G21" s="38">
        <f>IF(ISNUMBER(F21),E21*F21,"")</f>
        <v>271.47000000000003</v>
      </c>
      <c r="H21" s="42"/>
      <c r="I21" s="38"/>
      <c r="J21" s="37">
        <v>1</v>
      </c>
    </row>
    <row r="22" spans="1:10" ht="15.75" thickBot="1" x14ac:dyDescent="0.3">
      <c r="A22" s="175"/>
      <c r="B22" s="178"/>
      <c r="C22" s="49"/>
      <c r="D22" s="245"/>
      <c r="E22" s="246"/>
      <c r="F22" s="247" t="s">
        <v>13</v>
      </c>
      <c r="G22" s="51" t="str">
        <f>IF(ISNUMBER(F22),E22*F22,"")</f>
        <v/>
      </c>
      <c r="H22" s="53"/>
      <c r="I22" s="38"/>
      <c r="J22" s="37">
        <v>1</v>
      </c>
    </row>
    <row r="23" spans="1:10" ht="15.75" hidden="1" thickBot="1" x14ac:dyDescent="0.3">
      <c r="A23" s="173" t="s">
        <v>19</v>
      </c>
      <c r="B23" s="176" t="s">
        <v>2979</v>
      </c>
      <c r="C23" s="31"/>
      <c r="D23" s="235" t="s">
        <v>1788</v>
      </c>
      <c r="E23" s="238"/>
      <c r="F23" s="248" t="s">
        <v>13</v>
      </c>
      <c r="G23" s="236" t="str">
        <f>IF(ISNUMBER(F23),E23*F23,"")</f>
        <v/>
      </c>
      <c r="H23" s="237"/>
      <c r="I23" s="36"/>
      <c r="J23" s="37">
        <v>0</v>
      </c>
    </row>
    <row r="24" spans="1:10" ht="15.75" hidden="1" thickBot="1" x14ac:dyDescent="0.3">
      <c r="A24" s="174"/>
      <c r="B24" s="177"/>
      <c r="C24" s="39"/>
      <c r="D24" s="240"/>
      <c r="E24" s="241"/>
      <c r="F24" s="249" t="s">
        <v>13</v>
      </c>
      <c r="G24" s="38" t="str">
        <f>IF(ISNUMBER(F24),E24*F24,"")</f>
        <v/>
      </c>
      <c r="H24" s="42"/>
      <c r="I24" s="38"/>
      <c r="J24" s="37">
        <v>0</v>
      </c>
    </row>
    <row r="25" spans="1:10" ht="15.75" hidden="1" thickBot="1" x14ac:dyDescent="0.3">
      <c r="A25" s="174"/>
      <c r="B25" s="177"/>
      <c r="C25" s="43" t="s">
        <v>10757</v>
      </c>
      <c r="D25" s="243" t="s">
        <v>2800</v>
      </c>
      <c r="E25" s="244">
        <v>0.35410000000000003</v>
      </c>
      <c r="F25" s="242">
        <v>31.055499999999995</v>
      </c>
      <c r="G25" s="41">
        <f>IF(ISNUMBER(F25),E25*F25,"")</f>
        <v>10.996752549999998</v>
      </c>
      <c r="H25" s="46">
        <f>SUM(G25:G26)</f>
        <v>63.019472649999997</v>
      </c>
      <c r="I25" s="47"/>
      <c r="J25" s="37">
        <v>0</v>
      </c>
    </row>
    <row r="26" spans="1:10" ht="15.75" hidden="1" thickBot="1" x14ac:dyDescent="0.3">
      <c r="A26" s="174"/>
      <c r="B26" s="177"/>
      <c r="C26" s="43" t="s">
        <v>10614</v>
      </c>
      <c r="D26" s="243" t="s">
        <v>2800</v>
      </c>
      <c r="E26" s="244">
        <v>2.1957</v>
      </c>
      <c r="F26" s="242">
        <v>23.693000000000001</v>
      </c>
      <c r="G26" s="41">
        <f>IF(ISNUMBER(F26),E26*F26,"")</f>
        <v>52.022720100000001</v>
      </c>
      <c r="H26" s="57"/>
      <c r="I26" s="47"/>
      <c r="J26" s="37">
        <v>0</v>
      </c>
    </row>
    <row r="27" spans="1:10" ht="15.75" hidden="1" thickBot="1" x14ac:dyDescent="0.3">
      <c r="A27" s="175"/>
      <c r="B27" s="178"/>
      <c r="C27" s="49"/>
      <c r="D27" s="245"/>
      <c r="E27" s="246"/>
      <c r="F27" s="247" t="s">
        <v>13</v>
      </c>
      <c r="G27" s="51" t="str">
        <f>IF(ISNUMBER(F27),E27*F27,"")</f>
        <v/>
      </c>
      <c r="H27" s="53"/>
      <c r="I27" s="38"/>
      <c r="J27" s="37">
        <v>0</v>
      </c>
    </row>
    <row r="28" spans="1:10" ht="15.75" hidden="1" thickBot="1" x14ac:dyDescent="0.3">
      <c r="A28" s="173" t="s">
        <v>20</v>
      </c>
      <c r="B28" s="176" t="s">
        <v>2980</v>
      </c>
      <c r="C28" s="31"/>
      <c r="D28" s="235" t="s">
        <v>1788</v>
      </c>
      <c r="E28" s="238"/>
      <c r="F28" s="248" t="s">
        <v>13</v>
      </c>
      <c r="G28" s="236" t="str">
        <f>IF(ISNUMBER(F28),E28*F28,"")</f>
        <v/>
      </c>
      <c r="H28" s="237"/>
      <c r="I28" s="36"/>
      <c r="J28" s="37">
        <v>0</v>
      </c>
    </row>
    <row r="29" spans="1:10" ht="15.75" hidden="1" thickBot="1" x14ac:dyDescent="0.3">
      <c r="A29" s="174"/>
      <c r="B29" s="177"/>
      <c r="C29" s="39"/>
      <c r="D29" s="240"/>
      <c r="E29" s="241"/>
      <c r="F29" s="249" t="s">
        <v>13</v>
      </c>
      <c r="G29" s="38" t="str">
        <f>IF(ISNUMBER(F29),E29*F29,"")</f>
        <v/>
      </c>
      <c r="H29" s="42"/>
      <c r="I29" s="38"/>
      <c r="J29" s="37">
        <v>0</v>
      </c>
    </row>
    <row r="30" spans="1:10" ht="15.75" hidden="1" thickBot="1" x14ac:dyDescent="0.3">
      <c r="A30" s="174"/>
      <c r="B30" s="177"/>
      <c r="C30" s="43" t="s">
        <v>10757</v>
      </c>
      <c r="D30" s="243" t="s">
        <v>2800</v>
      </c>
      <c r="E30" s="244">
        <v>1.3</v>
      </c>
      <c r="F30" s="242">
        <v>31.055499999999995</v>
      </c>
      <c r="G30" s="41">
        <f>IF(ISNUMBER(F30),E30*F30,"")</f>
        <v>40.372149999999998</v>
      </c>
      <c r="H30" s="46">
        <f>SUM(G30:G31)</f>
        <v>348.38114999999999</v>
      </c>
      <c r="I30" s="47"/>
      <c r="J30" s="37">
        <v>0</v>
      </c>
    </row>
    <row r="31" spans="1:10" ht="15.75" hidden="1" thickBot="1" x14ac:dyDescent="0.3">
      <c r="A31" s="174"/>
      <c r="B31" s="177"/>
      <c r="C31" s="43" t="s">
        <v>10614</v>
      </c>
      <c r="D31" s="243" t="s">
        <v>2800</v>
      </c>
      <c r="E31" s="244">
        <v>13</v>
      </c>
      <c r="F31" s="242">
        <v>23.693000000000001</v>
      </c>
      <c r="G31" s="41">
        <f>IF(ISNUMBER(F31),E31*F31,"")</f>
        <v>308.00900000000001</v>
      </c>
      <c r="H31" s="42"/>
      <c r="I31" s="38"/>
      <c r="J31" s="37">
        <v>0</v>
      </c>
    </row>
    <row r="32" spans="1:10" ht="15.75" hidden="1" thickBot="1" x14ac:dyDescent="0.3">
      <c r="A32" s="175"/>
      <c r="B32" s="178"/>
      <c r="C32" s="49"/>
      <c r="D32" s="245"/>
      <c r="E32" s="246"/>
      <c r="F32" s="247" t="s">
        <v>13</v>
      </c>
      <c r="G32" s="51" t="str">
        <f>IF(ISNUMBER(F32),E32*F32,"")</f>
        <v/>
      </c>
      <c r="H32" s="53"/>
      <c r="I32" s="38"/>
      <c r="J32" s="37">
        <v>0</v>
      </c>
    </row>
    <row r="33" spans="1:10" ht="15.75" hidden="1" thickBot="1" x14ac:dyDescent="0.3">
      <c r="A33" s="173" t="s">
        <v>21</v>
      </c>
      <c r="B33" s="176" t="s">
        <v>2981</v>
      </c>
      <c r="C33" s="31"/>
      <c r="D33" s="235" t="s">
        <v>68</v>
      </c>
      <c r="E33" s="238"/>
      <c r="F33" s="248" t="s">
        <v>13</v>
      </c>
      <c r="G33" s="236" t="str">
        <f>IF(ISNUMBER(F33),E33*F33,"")</f>
        <v/>
      </c>
      <c r="H33" s="237"/>
      <c r="I33" s="36"/>
      <c r="J33" s="37">
        <v>0</v>
      </c>
    </row>
    <row r="34" spans="1:10" ht="15.75" hidden="1" thickBot="1" x14ac:dyDescent="0.3">
      <c r="A34" s="174"/>
      <c r="B34" s="177"/>
      <c r="C34" s="39"/>
      <c r="D34" s="240"/>
      <c r="E34" s="241"/>
      <c r="F34" s="249" t="s">
        <v>13</v>
      </c>
      <c r="G34" s="38" t="str">
        <f>IF(ISNUMBER(F34),E34*F34,"")</f>
        <v/>
      </c>
      <c r="H34" s="42"/>
      <c r="I34" s="38"/>
      <c r="J34" s="37">
        <v>0</v>
      </c>
    </row>
    <row r="35" spans="1:10" ht="15.75" hidden="1" thickBot="1" x14ac:dyDescent="0.3">
      <c r="A35" s="174"/>
      <c r="B35" s="177"/>
      <c r="C35" s="43" t="s">
        <v>10614</v>
      </c>
      <c r="D35" s="243" t="s">
        <v>2800</v>
      </c>
      <c r="E35" s="244">
        <v>1</v>
      </c>
      <c r="F35" s="242">
        <v>23.693000000000001</v>
      </c>
      <c r="G35" s="41">
        <f>IF(ISNUMBER(F35),E35*F35,"")</f>
        <v>23.693000000000001</v>
      </c>
      <c r="H35" s="46">
        <f>SUM(G35:G35)</f>
        <v>23.693000000000001</v>
      </c>
      <c r="I35" s="47"/>
      <c r="J35" s="37">
        <v>0</v>
      </c>
    </row>
    <row r="36" spans="1:10" ht="15.75" hidden="1" thickBot="1" x14ac:dyDescent="0.3">
      <c r="A36" s="175"/>
      <c r="B36" s="178"/>
      <c r="C36" s="49"/>
      <c r="D36" s="245"/>
      <c r="E36" s="246"/>
      <c r="F36" s="247" t="s">
        <v>13</v>
      </c>
      <c r="G36" s="51" t="str">
        <f>IF(ISNUMBER(F36),E36*F36,"")</f>
        <v/>
      </c>
      <c r="H36" s="53"/>
      <c r="I36" s="38"/>
      <c r="J36" s="37">
        <v>0</v>
      </c>
    </row>
    <row r="37" spans="1:10" ht="15.75" hidden="1" thickBot="1" x14ac:dyDescent="0.3">
      <c r="A37" s="173" t="s">
        <v>22</v>
      </c>
      <c r="B37" s="176" t="s">
        <v>2982</v>
      </c>
      <c r="C37" s="31"/>
      <c r="D37" s="235" t="s">
        <v>68</v>
      </c>
      <c r="E37" s="238"/>
      <c r="F37" s="248" t="s">
        <v>13</v>
      </c>
      <c r="G37" s="236" t="str">
        <f>IF(ISNUMBER(F37),E37*F37,"")</f>
        <v/>
      </c>
      <c r="H37" s="237"/>
      <c r="I37" s="36"/>
      <c r="J37" s="37">
        <v>0</v>
      </c>
    </row>
    <row r="38" spans="1:10" ht="15.75" hidden="1" thickBot="1" x14ac:dyDescent="0.3">
      <c r="A38" s="174"/>
      <c r="B38" s="177"/>
      <c r="C38" s="39"/>
      <c r="D38" s="240"/>
      <c r="E38" s="241"/>
      <c r="F38" s="249" t="s">
        <v>13</v>
      </c>
      <c r="G38" s="38" t="str">
        <f>IF(ISNUMBER(F38),E38*F38,"")</f>
        <v/>
      </c>
      <c r="H38" s="42"/>
      <c r="I38" s="38"/>
      <c r="J38" s="37">
        <v>0</v>
      </c>
    </row>
    <row r="39" spans="1:10" ht="26.25" hidden="1" thickBot="1" x14ac:dyDescent="0.3">
      <c r="A39" s="174"/>
      <c r="B39" s="177"/>
      <c r="C39" s="43" t="s">
        <v>10825</v>
      </c>
      <c r="D39" s="243" t="s">
        <v>2800</v>
      </c>
      <c r="E39" s="244">
        <v>9.7799999999999998E-2</v>
      </c>
      <c r="F39" s="242">
        <v>25.383999999999997</v>
      </c>
      <c r="G39" s="41">
        <f>IF(ISNUMBER(F39),E39*F39,"")</f>
        <v>2.4825551999999997</v>
      </c>
      <c r="H39" s="46">
        <f>SUM(G39:G40)</f>
        <v>9.0384083000000004</v>
      </c>
      <c r="I39" s="47"/>
      <c r="J39" s="37">
        <v>0</v>
      </c>
    </row>
    <row r="40" spans="1:10" ht="15.75" hidden="1" thickBot="1" x14ac:dyDescent="0.3">
      <c r="A40" s="174"/>
      <c r="B40" s="177"/>
      <c r="C40" s="43" t="s">
        <v>10614</v>
      </c>
      <c r="D40" s="243" t="s">
        <v>2800</v>
      </c>
      <c r="E40" s="244">
        <v>0.2767</v>
      </c>
      <c r="F40" s="242">
        <v>23.693000000000001</v>
      </c>
      <c r="G40" s="41">
        <f>IF(ISNUMBER(F40),E40*F40,"")</f>
        <v>6.5558531000000002</v>
      </c>
      <c r="H40" s="58"/>
      <c r="I40" s="59"/>
      <c r="J40" s="37">
        <v>0</v>
      </c>
    </row>
    <row r="41" spans="1:10" ht="15.75" hidden="1" thickBot="1" x14ac:dyDescent="0.3">
      <c r="A41" s="175"/>
      <c r="B41" s="178"/>
      <c r="C41" s="49"/>
      <c r="D41" s="245"/>
      <c r="E41" s="246"/>
      <c r="F41" s="247" t="s">
        <v>13</v>
      </c>
      <c r="G41" s="51" t="str">
        <f>IF(ISNUMBER(F41),E41*F41,"")</f>
        <v/>
      </c>
      <c r="H41" s="53"/>
      <c r="I41" s="38"/>
      <c r="J41" s="37">
        <v>0</v>
      </c>
    </row>
    <row r="42" spans="1:10" ht="15.75" hidden="1" thickBot="1" x14ac:dyDescent="0.3">
      <c r="A42" s="173" t="s">
        <v>23</v>
      </c>
      <c r="B42" s="176" t="s">
        <v>2983</v>
      </c>
      <c r="C42" s="31"/>
      <c r="D42" s="235" t="s">
        <v>68</v>
      </c>
      <c r="E42" s="238"/>
      <c r="F42" s="248" t="s">
        <v>13</v>
      </c>
      <c r="G42" s="236" t="str">
        <f>IF(ISNUMBER(F42),E42*F42,"")</f>
        <v/>
      </c>
      <c r="H42" s="237"/>
      <c r="I42" s="36"/>
      <c r="J42" s="37">
        <v>0</v>
      </c>
    </row>
    <row r="43" spans="1:10" ht="15.75" hidden="1" thickBot="1" x14ac:dyDescent="0.3">
      <c r="A43" s="174"/>
      <c r="B43" s="177"/>
      <c r="C43" s="39"/>
      <c r="D43" s="240"/>
      <c r="E43" s="241"/>
      <c r="F43" s="249" t="s">
        <v>13</v>
      </c>
      <c r="G43" s="38" t="str">
        <f>IF(ISNUMBER(F43),E43*F43,"")</f>
        <v/>
      </c>
      <c r="H43" s="42"/>
      <c r="I43" s="38"/>
      <c r="J43" s="37">
        <v>0</v>
      </c>
    </row>
    <row r="44" spans="1:10" ht="26.25" hidden="1" thickBot="1" x14ac:dyDescent="0.3">
      <c r="A44" s="174"/>
      <c r="B44" s="177"/>
      <c r="C44" s="43" t="s">
        <v>10825</v>
      </c>
      <c r="D44" s="243" t="s">
        <v>2800</v>
      </c>
      <c r="E44" s="244">
        <v>2.29E-2</v>
      </c>
      <c r="F44" s="242">
        <v>25.383999999999997</v>
      </c>
      <c r="G44" s="41">
        <f>IF(ISNUMBER(F44),E44*F44,"")</f>
        <v>0.58129359999999997</v>
      </c>
      <c r="H44" s="46">
        <f>SUM(G44:G45)</f>
        <v>2.1142306999999998</v>
      </c>
      <c r="I44" s="47"/>
      <c r="J44" s="37">
        <v>0</v>
      </c>
    </row>
    <row r="45" spans="1:10" ht="15.75" hidden="1" thickBot="1" x14ac:dyDescent="0.3">
      <c r="A45" s="174"/>
      <c r="B45" s="177"/>
      <c r="C45" s="43" t="s">
        <v>10614</v>
      </c>
      <c r="D45" s="243" t="s">
        <v>2800</v>
      </c>
      <c r="E45" s="244">
        <v>6.4699999999999994E-2</v>
      </c>
      <c r="F45" s="242">
        <v>23.693000000000001</v>
      </c>
      <c r="G45" s="41">
        <f>IF(ISNUMBER(F45),E45*F45,"")</f>
        <v>1.5329370999999998</v>
      </c>
      <c r="H45" s="42"/>
      <c r="I45" s="38"/>
      <c r="J45" s="37">
        <v>0</v>
      </c>
    </row>
    <row r="46" spans="1:10" ht="15.75" hidden="1" thickBot="1" x14ac:dyDescent="0.3">
      <c r="A46" s="175"/>
      <c r="B46" s="178"/>
      <c r="C46" s="49"/>
      <c r="D46" s="245"/>
      <c r="E46" s="246"/>
      <c r="F46" s="247" t="s">
        <v>13</v>
      </c>
      <c r="G46" s="51" t="str">
        <f>IF(ISNUMBER(F46),E46*F46,"")</f>
        <v/>
      </c>
      <c r="H46" s="53"/>
      <c r="I46" s="38"/>
      <c r="J46" s="37">
        <v>0</v>
      </c>
    </row>
    <row r="47" spans="1:10" ht="15.75" hidden="1" thickBot="1" x14ac:dyDescent="0.3">
      <c r="A47" s="173" t="s">
        <v>24</v>
      </c>
      <c r="B47" s="176" t="s">
        <v>2984</v>
      </c>
      <c r="C47" s="31"/>
      <c r="D47" s="235" t="s">
        <v>106</v>
      </c>
      <c r="E47" s="238"/>
      <c r="F47" s="248" t="s">
        <v>13</v>
      </c>
      <c r="G47" s="236" t="str">
        <f>IF(ISNUMBER(F47),E47*F47,"")</f>
        <v/>
      </c>
      <c r="H47" s="237"/>
      <c r="I47" s="36"/>
      <c r="J47" s="37">
        <v>0</v>
      </c>
    </row>
    <row r="48" spans="1:10" ht="15.75" hidden="1" thickBot="1" x14ac:dyDescent="0.3">
      <c r="A48" s="174"/>
      <c r="B48" s="177"/>
      <c r="C48" s="39"/>
      <c r="D48" s="240"/>
      <c r="E48" s="241"/>
      <c r="F48" s="249" t="s">
        <v>13</v>
      </c>
      <c r="G48" s="38" t="str">
        <f>IF(ISNUMBER(F48),E48*F48,"")</f>
        <v/>
      </c>
      <c r="H48" s="42"/>
      <c r="I48" s="38"/>
      <c r="J48" s="37">
        <v>0</v>
      </c>
    </row>
    <row r="49" spans="1:10" ht="15.75" hidden="1" thickBot="1" x14ac:dyDescent="0.3">
      <c r="A49" s="174"/>
      <c r="B49" s="177"/>
      <c r="C49" s="43" t="s">
        <v>10763</v>
      </c>
      <c r="D49" s="243" t="s">
        <v>2800</v>
      </c>
      <c r="E49" s="244">
        <f>ROUND(0.0081*5,4)</f>
        <v>4.0500000000000001E-2</v>
      </c>
      <c r="F49" s="242">
        <v>31.435500000000001</v>
      </c>
      <c r="G49" s="41">
        <f>IF(ISNUMBER(F49),E49*F49,"")</f>
        <v>1.2731377500000001</v>
      </c>
      <c r="H49" s="46">
        <f>SUM(G49:G50)</f>
        <v>3.9978327500000002</v>
      </c>
      <c r="I49" s="47"/>
      <c r="J49" s="37">
        <v>0</v>
      </c>
    </row>
    <row r="50" spans="1:10" ht="15.75" hidden="1" thickBot="1" x14ac:dyDescent="0.3">
      <c r="A50" s="174"/>
      <c r="B50" s="177"/>
      <c r="C50" s="43" t="s">
        <v>10614</v>
      </c>
      <c r="D50" s="243" t="s">
        <v>2800</v>
      </c>
      <c r="E50" s="244">
        <f>ROUND(0.023*5,4)</f>
        <v>0.115</v>
      </c>
      <c r="F50" s="242">
        <v>23.693000000000001</v>
      </c>
      <c r="G50" s="41">
        <f>IF(ISNUMBER(F50),E50*F50,"")</f>
        <v>2.7246950000000001</v>
      </c>
      <c r="H50" s="42"/>
      <c r="I50" s="38"/>
      <c r="J50" s="37">
        <v>0</v>
      </c>
    </row>
    <row r="51" spans="1:10" ht="15.75" hidden="1" thickBot="1" x14ac:dyDescent="0.3">
      <c r="A51" s="175"/>
      <c r="B51" s="178"/>
      <c r="C51" s="49"/>
      <c r="D51" s="245"/>
      <c r="E51" s="246"/>
      <c r="F51" s="247" t="s">
        <v>13</v>
      </c>
      <c r="G51" s="51" t="str">
        <f>IF(ISNUMBER(F51),E51*F51,"")</f>
        <v/>
      </c>
      <c r="H51" s="53"/>
      <c r="I51" s="38"/>
      <c r="J51" s="37">
        <v>0</v>
      </c>
    </row>
    <row r="52" spans="1:10" ht="15.75" hidden="1" thickBot="1" x14ac:dyDescent="0.3">
      <c r="A52" s="173" t="s">
        <v>25</v>
      </c>
      <c r="B52" s="176" t="s">
        <v>2985</v>
      </c>
      <c r="C52" s="31"/>
      <c r="D52" s="235" t="s">
        <v>68</v>
      </c>
      <c r="E52" s="238"/>
      <c r="F52" s="248" t="s">
        <v>13</v>
      </c>
      <c r="G52" s="236" t="str">
        <f>IF(ISNUMBER(F52),E52*F52,"")</f>
        <v/>
      </c>
      <c r="H52" s="237"/>
      <c r="I52" s="36"/>
      <c r="J52" s="37">
        <v>0</v>
      </c>
    </row>
    <row r="53" spans="1:10" ht="15.75" hidden="1" thickBot="1" x14ac:dyDescent="0.3">
      <c r="A53" s="174"/>
      <c r="B53" s="177"/>
      <c r="C53" s="39"/>
      <c r="D53" s="240"/>
      <c r="E53" s="241"/>
      <c r="F53" s="249" t="s">
        <v>13</v>
      </c>
      <c r="G53" s="38" t="str">
        <f>IF(ISNUMBER(F53),E53*F53,"")</f>
        <v/>
      </c>
      <c r="H53" s="42"/>
      <c r="I53" s="38"/>
      <c r="J53" s="37">
        <v>0</v>
      </c>
    </row>
    <row r="54" spans="1:10" ht="15.75" hidden="1" thickBot="1" x14ac:dyDescent="0.3">
      <c r="A54" s="174"/>
      <c r="B54" s="177"/>
      <c r="C54" s="43" t="s">
        <v>10826</v>
      </c>
      <c r="D54" s="243" t="s">
        <v>2800</v>
      </c>
      <c r="E54" s="244">
        <v>3.2300000000000002E-2</v>
      </c>
      <c r="F54" s="250">
        <v>30.912999999999997</v>
      </c>
      <c r="G54" s="41">
        <f>IF(ISNUMBER(F54),E54*F54,"")</f>
        <v>0.99848989999999993</v>
      </c>
      <c r="H54" s="46">
        <f>SUM(G54:G57)</f>
        <v>7.4170204999999996</v>
      </c>
      <c r="I54" s="47"/>
      <c r="J54" s="37">
        <v>0</v>
      </c>
    </row>
    <row r="55" spans="1:10" ht="15.75" hidden="1" thickBot="1" x14ac:dyDescent="0.3">
      <c r="A55" s="174"/>
      <c r="B55" s="177"/>
      <c r="C55" s="43" t="s">
        <v>10614</v>
      </c>
      <c r="D55" s="243" t="s">
        <v>2800</v>
      </c>
      <c r="E55" s="244">
        <v>0.1085</v>
      </c>
      <c r="F55" s="250">
        <v>23.693000000000001</v>
      </c>
      <c r="G55" s="41">
        <f>IF(ISNUMBER(F55),E55*F55,"")</f>
        <v>2.5706905</v>
      </c>
      <c r="H55" s="42"/>
      <c r="I55" s="38"/>
      <c r="J55" s="37">
        <v>0</v>
      </c>
    </row>
    <row r="56" spans="1:10" ht="26.25" hidden="1" thickBot="1" x14ac:dyDescent="0.3">
      <c r="A56" s="174"/>
      <c r="B56" s="177"/>
      <c r="C56" s="43" t="s">
        <v>10827</v>
      </c>
      <c r="D56" s="243" t="s">
        <v>10677</v>
      </c>
      <c r="E56" s="244">
        <v>6.0299999999999999E-2</v>
      </c>
      <c r="F56" s="242">
        <v>26.542999999999999</v>
      </c>
      <c r="G56" s="41">
        <f>IF(ISNUMBER(F56),E56*F56,"")</f>
        <v>1.6005429</v>
      </c>
      <c r="H56" s="42"/>
      <c r="I56" s="38"/>
      <c r="J56" s="37">
        <v>0</v>
      </c>
    </row>
    <row r="57" spans="1:10" ht="26.25" hidden="1" thickBot="1" x14ac:dyDescent="0.3">
      <c r="A57" s="174"/>
      <c r="B57" s="177"/>
      <c r="C57" s="43" t="s">
        <v>10828</v>
      </c>
      <c r="D57" s="243" t="s">
        <v>1050</v>
      </c>
      <c r="E57" s="244">
        <v>7.8799999999999995E-2</v>
      </c>
      <c r="F57" s="242">
        <v>28.518999999999998</v>
      </c>
      <c r="G57" s="41">
        <f>IF(ISNUMBER(F57),E57*F57,"")</f>
        <v>2.2472971999999998</v>
      </c>
      <c r="H57" s="42"/>
      <c r="I57" s="38"/>
      <c r="J57" s="37">
        <v>0</v>
      </c>
    </row>
    <row r="58" spans="1:10" ht="15.75" hidden="1" thickBot="1" x14ac:dyDescent="0.3">
      <c r="A58" s="175"/>
      <c r="B58" s="178"/>
      <c r="C58" s="49"/>
      <c r="D58" s="245"/>
      <c r="E58" s="246"/>
      <c r="F58" s="247" t="s">
        <v>13</v>
      </c>
      <c r="G58" s="51" t="str">
        <f>IF(ISNUMBER(F58),E58*F58,"")</f>
        <v/>
      </c>
      <c r="H58" s="53"/>
      <c r="I58" s="38"/>
      <c r="J58" s="37">
        <v>0</v>
      </c>
    </row>
    <row r="59" spans="1:10" ht="15.75" hidden="1" thickBot="1" x14ac:dyDescent="0.3">
      <c r="A59" s="173" t="s">
        <v>26</v>
      </c>
      <c r="B59" s="176" t="s">
        <v>2986</v>
      </c>
      <c r="C59" s="31"/>
      <c r="D59" s="235" t="s">
        <v>68</v>
      </c>
      <c r="E59" s="238"/>
      <c r="F59" s="248" t="s">
        <v>13</v>
      </c>
      <c r="G59" s="236" t="str">
        <f>IF(ISNUMBER(F59),E59*F59,"")</f>
        <v/>
      </c>
      <c r="H59" s="237"/>
      <c r="I59" s="36"/>
      <c r="J59" s="37">
        <v>0</v>
      </c>
    </row>
    <row r="60" spans="1:10" ht="15.75" hidden="1" thickBot="1" x14ac:dyDescent="0.3">
      <c r="A60" s="174"/>
      <c r="B60" s="177"/>
      <c r="C60" s="39"/>
      <c r="D60" s="240"/>
      <c r="E60" s="241"/>
      <c r="F60" s="249" t="s">
        <v>13</v>
      </c>
      <c r="G60" s="38" t="str">
        <f>IF(ISNUMBER(F60),E60*F60,"")</f>
        <v/>
      </c>
      <c r="H60" s="42"/>
      <c r="I60" s="38"/>
      <c r="J60" s="37">
        <v>0</v>
      </c>
    </row>
    <row r="61" spans="1:10" ht="26.25" hidden="1" thickBot="1" x14ac:dyDescent="0.3">
      <c r="A61" s="174"/>
      <c r="B61" s="177"/>
      <c r="C61" s="43" t="s">
        <v>10827</v>
      </c>
      <c r="D61" s="243" t="s">
        <v>10677</v>
      </c>
      <c r="E61" s="244">
        <v>6.3700000000000007E-2</v>
      </c>
      <c r="F61" s="242">
        <v>26.542999999999999</v>
      </c>
      <c r="G61" s="41">
        <f>IF(ISNUMBER(F61),E61*F61,"")</f>
        <v>1.6907891000000002</v>
      </c>
      <c r="H61" s="46">
        <f>SUM(G61:G64)</f>
        <v>6.5870016999999992</v>
      </c>
      <c r="I61" s="47"/>
      <c r="J61" s="37">
        <v>0</v>
      </c>
    </row>
    <row r="62" spans="1:10" ht="26.25" hidden="1" thickBot="1" x14ac:dyDescent="0.3">
      <c r="A62" s="174"/>
      <c r="B62" s="177"/>
      <c r="C62" s="43" t="s">
        <v>10828</v>
      </c>
      <c r="D62" s="243" t="s">
        <v>1050</v>
      </c>
      <c r="E62" s="244">
        <v>8.3299999999999999E-2</v>
      </c>
      <c r="F62" s="242">
        <v>28.518999999999998</v>
      </c>
      <c r="G62" s="41">
        <f>IF(ISNUMBER(F62),E62*F62,"")</f>
        <v>2.3756326999999997</v>
      </c>
      <c r="H62" s="42"/>
      <c r="I62" s="38"/>
      <c r="J62" s="37">
        <v>0</v>
      </c>
    </row>
    <row r="63" spans="1:10" ht="15.75" hidden="1" thickBot="1" x14ac:dyDescent="0.3">
      <c r="A63" s="174"/>
      <c r="B63" s="177"/>
      <c r="C63" s="43" t="s">
        <v>10757</v>
      </c>
      <c r="D63" s="243" t="s">
        <v>2800</v>
      </c>
      <c r="E63" s="244">
        <v>2.2800000000000001E-2</v>
      </c>
      <c r="F63" s="242">
        <v>31.055499999999995</v>
      </c>
      <c r="G63" s="41">
        <f>IF(ISNUMBER(F63),E63*F63,"")</f>
        <v>0.70806539999999996</v>
      </c>
      <c r="H63" s="42"/>
      <c r="I63" s="38"/>
      <c r="J63" s="37">
        <v>0</v>
      </c>
    </row>
    <row r="64" spans="1:10" ht="15.75" hidden="1" thickBot="1" x14ac:dyDescent="0.3">
      <c r="A64" s="174"/>
      <c r="B64" s="177"/>
      <c r="C64" s="43" t="s">
        <v>10614</v>
      </c>
      <c r="D64" s="243" t="s">
        <v>2800</v>
      </c>
      <c r="E64" s="244">
        <v>7.6499999999999999E-2</v>
      </c>
      <c r="F64" s="242">
        <v>23.693000000000001</v>
      </c>
      <c r="G64" s="41">
        <f>IF(ISNUMBER(F64),E64*F64,"")</f>
        <v>1.8125145</v>
      </c>
      <c r="H64" s="42"/>
      <c r="I64" s="38"/>
      <c r="J64" s="37">
        <v>0</v>
      </c>
    </row>
    <row r="65" spans="1:10" ht="15.75" hidden="1" thickBot="1" x14ac:dyDescent="0.3">
      <c r="A65" s="175"/>
      <c r="B65" s="178"/>
      <c r="C65" s="49"/>
      <c r="D65" s="245"/>
      <c r="E65" s="246"/>
      <c r="F65" s="247" t="s">
        <v>13</v>
      </c>
      <c r="G65" s="51" t="str">
        <f>IF(ISNUMBER(F65),E65*F65,"")</f>
        <v/>
      </c>
      <c r="H65" s="53"/>
      <c r="I65" s="38"/>
      <c r="J65" s="37">
        <v>0</v>
      </c>
    </row>
    <row r="66" spans="1:10" ht="15.75" hidden="1" thickBot="1" x14ac:dyDescent="0.3">
      <c r="A66" s="173" t="s">
        <v>27</v>
      </c>
      <c r="B66" s="176" t="s">
        <v>2987</v>
      </c>
      <c r="C66" s="31"/>
      <c r="D66" s="235" t="s">
        <v>106</v>
      </c>
      <c r="E66" s="238"/>
      <c r="F66" s="248" t="s">
        <v>13</v>
      </c>
      <c r="G66" s="236" t="str">
        <f>IF(ISNUMBER(F66),E66*F66,"")</f>
        <v/>
      </c>
      <c r="H66" s="237"/>
      <c r="I66" s="36"/>
      <c r="J66" s="37">
        <v>0</v>
      </c>
    </row>
    <row r="67" spans="1:10" ht="15.75" hidden="1" thickBot="1" x14ac:dyDescent="0.3">
      <c r="A67" s="174"/>
      <c r="B67" s="177"/>
      <c r="C67" s="39"/>
      <c r="D67" s="240"/>
      <c r="E67" s="241"/>
      <c r="F67" s="249" t="s">
        <v>13</v>
      </c>
      <c r="G67" s="38" t="str">
        <f>IF(ISNUMBER(F67),E67*F67,"")</f>
        <v/>
      </c>
      <c r="H67" s="42"/>
      <c r="I67" s="38"/>
      <c r="J67" s="37">
        <v>0</v>
      </c>
    </row>
    <row r="68" spans="1:10" ht="26.25" hidden="1" thickBot="1" x14ac:dyDescent="0.3">
      <c r="A68" s="174"/>
      <c r="B68" s="177"/>
      <c r="C68" s="43" t="s">
        <v>10754</v>
      </c>
      <c r="D68" s="243" t="s">
        <v>2800</v>
      </c>
      <c r="E68" s="244">
        <v>5.8999999999999999E-3</v>
      </c>
      <c r="F68" s="242">
        <v>30.361999999999998</v>
      </c>
      <c r="G68" s="41">
        <f>IF(ISNUMBER(F68),E68*F68,"")</f>
        <v>0.17913579999999998</v>
      </c>
      <c r="H68" s="46">
        <f>SUM(G68:G69)</f>
        <v>0.57243960000000005</v>
      </c>
      <c r="I68" s="47"/>
      <c r="J68" s="37">
        <v>0</v>
      </c>
    </row>
    <row r="69" spans="1:10" ht="15.75" hidden="1" thickBot="1" x14ac:dyDescent="0.3">
      <c r="A69" s="174"/>
      <c r="B69" s="177"/>
      <c r="C69" s="43" t="s">
        <v>10614</v>
      </c>
      <c r="D69" s="243" t="s">
        <v>2800</v>
      </c>
      <c r="E69" s="244">
        <v>1.66E-2</v>
      </c>
      <c r="F69" s="242">
        <v>23.693000000000001</v>
      </c>
      <c r="G69" s="41">
        <f>IF(ISNUMBER(F69),E69*F69,"")</f>
        <v>0.39330380000000004</v>
      </c>
      <c r="H69" s="42"/>
      <c r="I69" s="38"/>
      <c r="J69" s="37">
        <v>0</v>
      </c>
    </row>
    <row r="70" spans="1:10" ht="15.75" hidden="1" thickBot="1" x14ac:dyDescent="0.3">
      <c r="A70" s="175"/>
      <c r="B70" s="178"/>
      <c r="C70" s="49"/>
      <c r="D70" s="245"/>
      <c r="E70" s="246"/>
      <c r="F70" s="247" t="s">
        <v>13</v>
      </c>
      <c r="G70" s="51" t="str">
        <f>IF(ISNUMBER(F70),E70*F70,"")</f>
        <v/>
      </c>
      <c r="H70" s="53"/>
      <c r="I70" s="38"/>
      <c r="J70" s="37">
        <v>0</v>
      </c>
    </row>
    <row r="71" spans="1:10" ht="15.75" hidden="1" thickBot="1" x14ac:dyDescent="0.3">
      <c r="A71" s="173" t="s">
        <v>28</v>
      </c>
      <c r="B71" s="176" t="s">
        <v>2988</v>
      </c>
      <c r="C71" s="31"/>
      <c r="D71" s="235" t="s">
        <v>1788</v>
      </c>
      <c r="E71" s="238"/>
      <c r="F71" s="248" t="s">
        <v>13</v>
      </c>
      <c r="G71" s="236" t="str">
        <f>IF(ISNUMBER(F71),E71*F71,"")</f>
        <v/>
      </c>
      <c r="H71" s="237"/>
      <c r="I71" s="36"/>
      <c r="J71" s="37">
        <v>0</v>
      </c>
    </row>
    <row r="72" spans="1:10" ht="15.75" hidden="1" thickBot="1" x14ac:dyDescent="0.3">
      <c r="A72" s="174"/>
      <c r="B72" s="177"/>
      <c r="C72" s="39"/>
      <c r="D72" s="240"/>
      <c r="E72" s="241"/>
      <c r="F72" s="249" t="s">
        <v>13</v>
      </c>
      <c r="G72" s="38" t="str">
        <f>IF(ISNUMBER(F72),E72*F72,"")</f>
        <v/>
      </c>
      <c r="H72" s="42"/>
      <c r="I72" s="38"/>
      <c r="J72" s="37">
        <v>0</v>
      </c>
    </row>
    <row r="73" spans="1:10" ht="15.75" hidden="1" thickBot="1" x14ac:dyDescent="0.3">
      <c r="A73" s="174"/>
      <c r="B73" s="177"/>
      <c r="C73" s="43" t="s">
        <v>10757</v>
      </c>
      <c r="D73" s="243" t="s">
        <v>2800</v>
      </c>
      <c r="E73" s="244">
        <v>0.2034</v>
      </c>
      <c r="F73" s="250">
        <v>31.055499999999995</v>
      </c>
      <c r="G73" s="41">
        <f>IF(ISNUMBER(F73),E73*F73,"")</f>
        <v>6.3166886999999985</v>
      </c>
      <c r="H73" s="46">
        <f>SUM(G73:G76)</f>
        <v>195.25035359999998</v>
      </c>
      <c r="I73" s="47"/>
      <c r="J73" s="37">
        <v>0</v>
      </c>
    </row>
    <row r="74" spans="1:10" ht="15.75" hidden="1" thickBot="1" x14ac:dyDescent="0.3">
      <c r="A74" s="174"/>
      <c r="B74" s="177"/>
      <c r="C74" s="43" t="s">
        <v>10614</v>
      </c>
      <c r="D74" s="243" t="s">
        <v>2800</v>
      </c>
      <c r="E74" s="244">
        <v>1.2608999999999999</v>
      </c>
      <c r="F74" s="250">
        <v>23.693000000000001</v>
      </c>
      <c r="G74" s="41">
        <f>IF(ISNUMBER(F74),E74*F74,"")</f>
        <v>29.874503699999998</v>
      </c>
      <c r="H74" s="42"/>
      <c r="I74" s="38"/>
      <c r="J74" s="37">
        <v>0</v>
      </c>
    </row>
    <row r="75" spans="1:10" ht="26.25" hidden="1" thickBot="1" x14ac:dyDescent="0.3">
      <c r="A75" s="174"/>
      <c r="B75" s="177"/>
      <c r="C75" s="43" t="s">
        <v>10827</v>
      </c>
      <c r="D75" s="243" t="s">
        <v>10677</v>
      </c>
      <c r="E75" s="244">
        <v>2.504</v>
      </c>
      <c r="F75" s="250">
        <v>26.542999999999999</v>
      </c>
      <c r="G75" s="38">
        <f>IF(ISNUMBER(F75),E75*F75,"")</f>
        <v>66.463672000000003</v>
      </c>
      <c r="H75" s="42"/>
      <c r="I75" s="38"/>
      <c r="J75" s="37">
        <v>0</v>
      </c>
    </row>
    <row r="76" spans="1:10" ht="26.25" hidden="1" thickBot="1" x14ac:dyDescent="0.3">
      <c r="A76" s="174"/>
      <c r="B76" s="177"/>
      <c r="C76" s="43" t="s">
        <v>10828</v>
      </c>
      <c r="D76" s="243" t="s">
        <v>1050</v>
      </c>
      <c r="E76" s="244">
        <v>3.2467999999999999</v>
      </c>
      <c r="F76" s="242">
        <v>28.518999999999998</v>
      </c>
      <c r="G76" s="41">
        <f>IF(ISNUMBER(F76),E76*F76,"")</f>
        <v>92.595489199999989</v>
      </c>
      <c r="H76" s="42"/>
      <c r="I76" s="38"/>
      <c r="J76" s="37">
        <v>0</v>
      </c>
    </row>
    <row r="77" spans="1:10" ht="15.75" hidden="1" thickBot="1" x14ac:dyDescent="0.3">
      <c r="A77" s="175"/>
      <c r="B77" s="178"/>
      <c r="C77" s="49"/>
      <c r="D77" s="245"/>
      <c r="E77" s="246"/>
      <c r="F77" s="247" t="s">
        <v>13</v>
      </c>
      <c r="G77" s="51" t="str">
        <f>IF(ISNUMBER(F77),E77*F77,"")</f>
        <v/>
      </c>
      <c r="H77" s="53"/>
      <c r="I77" s="38"/>
      <c r="J77" s="37">
        <v>0</v>
      </c>
    </row>
    <row r="78" spans="1:10" ht="15.75" hidden="1" thickBot="1" x14ac:dyDescent="0.3">
      <c r="A78" s="181" t="s">
        <v>29</v>
      </c>
      <c r="B78" s="176" t="s">
        <v>2991</v>
      </c>
      <c r="C78" s="31"/>
      <c r="D78" s="235" t="s">
        <v>68</v>
      </c>
      <c r="E78" s="238"/>
      <c r="F78" s="248" t="s">
        <v>13</v>
      </c>
      <c r="G78" s="236" t="str">
        <f>IF(ISNUMBER(F78),E78*F78,"")</f>
        <v/>
      </c>
      <c r="H78" s="237"/>
      <c r="I78" s="36"/>
      <c r="J78" s="37">
        <v>0</v>
      </c>
    </row>
    <row r="79" spans="1:10" ht="15.75" hidden="1" thickBot="1" x14ac:dyDescent="0.3">
      <c r="A79" s="182"/>
      <c r="B79" s="177"/>
      <c r="C79" s="39"/>
      <c r="D79" s="240"/>
      <c r="E79" s="241"/>
      <c r="F79" s="249" t="s">
        <v>13</v>
      </c>
      <c r="G79" s="38" t="str">
        <f>IF(ISNUMBER(F79),E79*F79,"")</f>
        <v/>
      </c>
      <c r="H79" s="42"/>
      <c r="I79" s="38"/>
      <c r="J79" s="37">
        <v>0</v>
      </c>
    </row>
    <row r="80" spans="1:10" ht="26.25" hidden="1" thickBot="1" x14ac:dyDescent="0.3">
      <c r="A80" s="182"/>
      <c r="B80" s="177"/>
      <c r="C80" s="43" t="s">
        <v>10774</v>
      </c>
      <c r="D80" s="243" t="s">
        <v>2800</v>
      </c>
      <c r="E80" s="244">
        <v>0.35</v>
      </c>
      <c r="F80" s="242">
        <v>29.383499999999998</v>
      </c>
      <c r="G80" s="41">
        <f>IF(ISNUMBER(F80),E80*F80,"")</f>
        <v>10.284224999999999</v>
      </c>
      <c r="H80" s="46">
        <f>SUM(G80:G81)</f>
        <v>18.576774999999998</v>
      </c>
      <c r="I80" s="47"/>
      <c r="J80" s="37">
        <v>0</v>
      </c>
    </row>
    <row r="81" spans="1:10" ht="15.75" hidden="1" thickBot="1" x14ac:dyDescent="0.3">
      <c r="A81" s="182"/>
      <c r="B81" s="177"/>
      <c r="C81" s="43" t="s">
        <v>10614</v>
      </c>
      <c r="D81" s="243" t="s">
        <v>2800</v>
      </c>
      <c r="E81" s="244">
        <v>0.35</v>
      </c>
      <c r="F81" s="242">
        <v>23.693000000000001</v>
      </c>
      <c r="G81" s="41">
        <f>IF(ISNUMBER(F81),E81*F81,"")</f>
        <v>8.2925500000000003</v>
      </c>
      <c r="H81" s="58"/>
      <c r="I81" s="59"/>
      <c r="J81" s="37">
        <v>0</v>
      </c>
    </row>
    <row r="82" spans="1:10" ht="15.75" hidden="1" thickBot="1" x14ac:dyDescent="0.3">
      <c r="A82" s="183"/>
      <c r="B82" s="178"/>
      <c r="C82" s="49"/>
      <c r="D82" s="245"/>
      <c r="E82" s="246"/>
      <c r="F82" s="247" t="s">
        <v>13</v>
      </c>
      <c r="G82" s="51" t="str">
        <f>IF(ISNUMBER(F82),E82*F82,"")</f>
        <v/>
      </c>
      <c r="H82" s="53"/>
      <c r="I82" s="38"/>
      <c r="J82" s="37">
        <v>0</v>
      </c>
    </row>
    <row r="83" spans="1:10" ht="15.75" hidden="1" thickBot="1" x14ac:dyDescent="0.3">
      <c r="A83" s="173" t="s">
        <v>30</v>
      </c>
      <c r="B83" s="176" t="s">
        <v>2992</v>
      </c>
      <c r="C83" s="31"/>
      <c r="D83" s="235" t="s">
        <v>68</v>
      </c>
      <c r="E83" s="238"/>
      <c r="F83" s="248" t="s">
        <v>13</v>
      </c>
      <c r="G83" s="236" t="str">
        <f>IF(ISNUMBER(F83),E83*F83,"")</f>
        <v/>
      </c>
      <c r="H83" s="237"/>
      <c r="I83" s="36"/>
      <c r="J83" s="37">
        <v>0</v>
      </c>
    </row>
    <row r="84" spans="1:10" ht="15.75" hidden="1" thickBot="1" x14ac:dyDescent="0.3">
      <c r="A84" s="174"/>
      <c r="B84" s="177"/>
      <c r="C84" s="39"/>
      <c r="D84" s="240"/>
      <c r="E84" s="241"/>
      <c r="F84" s="249" t="s">
        <v>13</v>
      </c>
      <c r="G84" s="38" t="str">
        <f>IF(ISNUMBER(F84),E84*F84,"")</f>
        <v/>
      </c>
      <c r="H84" s="42"/>
      <c r="I84" s="38"/>
      <c r="J84" s="37">
        <v>0</v>
      </c>
    </row>
    <row r="85" spans="1:10" ht="15.75" hidden="1" thickBot="1" x14ac:dyDescent="0.3">
      <c r="A85" s="174"/>
      <c r="B85" s="177"/>
      <c r="C85" s="43" t="s">
        <v>10757</v>
      </c>
      <c r="D85" s="243" t="s">
        <v>2800</v>
      </c>
      <c r="E85" s="244">
        <v>0.15</v>
      </c>
      <c r="F85" s="242">
        <v>31.055499999999995</v>
      </c>
      <c r="G85" s="41">
        <f>IF(ISNUMBER(F85),E85*F85,"")</f>
        <v>4.6583249999999987</v>
      </c>
      <c r="H85" s="46">
        <f>SUM(G85:G86)</f>
        <v>28.351324999999999</v>
      </c>
      <c r="I85" s="47"/>
      <c r="J85" s="37">
        <v>0</v>
      </c>
    </row>
    <row r="86" spans="1:10" ht="15.75" hidden="1" thickBot="1" x14ac:dyDescent="0.3">
      <c r="A86" s="174"/>
      <c r="B86" s="177"/>
      <c r="C86" s="43" t="s">
        <v>10614</v>
      </c>
      <c r="D86" s="243" t="s">
        <v>2800</v>
      </c>
      <c r="E86" s="244">
        <v>1</v>
      </c>
      <c r="F86" s="242">
        <v>23.693000000000001</v>
      </c>
      <c r="G86" s="41">
        <f>IF(ISNUMBER(F86),E86*F86,"")</f>
        <v>23.693000000000001</v>
      </c>
      <c r="H86" s="42"/>
      <c r="I86" s="38"/>
      <c r="J86" s="37">
        <v>0</v>
      </c>
    </row>
    <row r="87" spans="1:10" ht="15.75" hidden="1" thickBot="1" x14ac:dyDescent="0.3">
      <c r="A87" s="175"/>
      <c r="B87" s="178"/>
      <c r="C87" s="49"/>
      <c r="D87" s="245"/>
      <c r="E87" s="246"/>
      <c r="F87" s="247" t="s">
        <v>13</v>
      </c>
      <c r="G87" s="51" t="str">
        <f>IF(ISNUMBER(F87),E87*F87,"")</f>
        <v/>
      </c>
      <c r="H87" s="53"/>
      <c r="I87" s="38"/>
      <c r="J87" s="37">
        <v>0</v>
      </c>
    </row>
    <row r="88" spans="1:10" ht="15.75" hidden="1" thickBot="1" x14ac:dyDescent="0.3">
      <c r="A88" s="173" t="s">
        <v>31</v>
      </c>
      <c r="B88" s="176" t="s">
        <v>2993</v>
      </c>
      <c r="C88" s="31"/>
      <c r="D88" s="235" t="s">
        <v>18</v>
      </c>
      <c r="E88" s="238"/>
      <c r="F88" s="248" t="s">
        <v>13</v>
      </c>
      <c r="G88" s="236" t="str">
        <f>IF(ISNUMBER(F88),E88*F88,"")</f>
        <v/>
      </c>
      <c r="H88" s="237"/>
      <c r="I88" s="36"/>
      <c r="J88" s="37">
        <v>0</v>
      </c>
    </row>
    <row r="89" spans="1:10" ht="15.75" hidden="1" thickBot="1" x14ac:dyDescent="0.3">
      <c r="A89" s="174"/>
      <c r="B89" s="177"/>
      <c r="C89" s="39"/>
      <c r="D89" s="240"/>
      <c r="E89" s="241"/>
      <c r="F89" s="249" t="s">
        <v>13</v>
      </c>
      <c r="G89" s="38" t="str">
        <f>IF(ISNUMBER(F89),E89*F89,"")</f>
        <v/>
      </c>
      <c r="H89" s="42"/>
      <c r="I89" s="38"/>
      <c r="J89" s="37">
        <v>0</v>
      </c>
    </row>
    <row r="90" spans="1:10" ht="15.75" hidden="1" thickBot="1" x14ac:dyDescent="0.3">
      <c r="A90" s="174"/>
      <c r="B90" s="177"/>
      <c r="C90" s="43" t="s">
        <v>10757</v>
      </c>
      <c r="D90" s="243" t="s">
        <v>2800</v>
      </c>
      <c r="E90" s="244">
        <f>0.08/2</f>
        <v>0.04</v>
      </c>
      <c r="F90" s="242">
        <v>31.055499999999995</v>
      </c>
      <c r="G90" s="41">
        <f>IF(ISNUMBER(F90),E90*F90,"")</f>
        <v>1.2422199999999999</v>
      </c>
      <c r="H90" s="46">
        <f>SUM(G90:G91)</f>
        <v>10.719420000000001</v>
      </c>
      <c r="I90" s="47"/>
      <c r="J90" s="37">
        <v>0</v>
      </c>
    </row>
    <row r="91" spans="1:10" ht="15.75" hidden="1" thickBot="1" x14ac:dyDescent="0.3">
      <c r="A91" s="174"/>
      <c r="B91" s="177"/>
      <c r="C91" s="43" t="s">
        <v>10614</v>
      </c>
      <c r="D91" s="243" t="s">
        <v>2800</v>
      </c>
      <c r="E91" s="244">
        <f>0.8/2</f>
        <v>0.4</v>
      </c>
      <c r="F91" s="242">
        <v>23.693000000000001</v>
      </c>
      <c r="G91" s="41">
        <f>IF(ISNUMBER(F91),E91*F91,"")</f>
        <v>9.4772000000000016</v>
      </c>
      <c r="H91" s="42"/>
      <c r="I91" s="38"/>
      <c r="J91" s="37">
        <v>0</v>
      </c>
    </row>
    <row r="92" spans="1:10" ht="15.75" hidden="1" thickBot="1" x14ac:dyDescent="0.3">
      <c r="A92" s="175"/>
      <c r="B92" s="178"/>
      <c r="C92" s="49"/>
      <c r="D92" s="245"/>
      <c r="E92" s="246"/>
      <c r="F92" s="251" t="s">
        <v>13</v>
      </c>
      <c r="G92" s="52" t="str">
        <f>IF(ISNUMBER(F92),E92*F92,"")</f>
        <v/>
      </c>
      <c r="H92" s="53"/>
      <c r="I92" s="38"/>
      <c r="J92" s="37">
        <v>0</v>
      </c>
    </row>
    <row r="93" spans="1:10" ht="15.75" hidden="1" thickBot="1" x14ac:dyDescent="0.3">
      <c r="A93" s="173" t="s">
        <v>32</v>
      </c>
      <c r="B93" s="176" t="s">
        <v>2994</v>
      </c>
      <c r="C93" s="31"/>
      <c r="D93" s="235" t="s">
        <v>106</v>
      </c>
      <c r="E93" s="238"/>
      <c r="F93" s="248" t="s">
        <v>13</v>
      </c>
      <c r="G93" s="236" t="str">
        <f>IF(ISNUMBER(F93),E93*F93,"")</f>
        <v/>
      </c>
      <c r="H93" s="237"/>
      <c r="I93" s="36"/>
      <c r="J93" s="37">
        <v>0</v>
      </c>
    </row>
    <row r="94" spans="1:10" ht="15.75" hidden="1" thickBot="1" x14ac:dyDescent="0.3">
      <c r="A94" s="174"/>
      <c r="B94" s="177"/>
      <c r="C94" s="39"/>
      <c r="D94" s="240"/>
      <c r="E94" s="241"/>
      <c r="F94" s="249" t="s">
        <v>13</v>
      </c>
      <c r="G94" s="38" t="str">
        <f>IF(ISNUMBER(F94),E94*F94,"")</f>
        <v/>
      </c>
      <c r="H94" s="42"/>
      <c r="I94" s="38"/>
      <c r="J94" s="37">
        <v>0</v>
      </c>
    </row>
    <row r="95" spans="1:10" ht="15.75" hidden="1" thickBot="1" x14ac:dyDescent="0.3">
      <c r="A95" s="174"/>
      <c r="B95" s="177"/>
      <c r="C95" s="43" t="s">
        <v>10763</v>
      </c>
      <c r="D95" s="243" t="s">
        <v>2800</v>
      </c>
      <c r="E95" s="244">
        <f>0.75*0.1</f>
        <v>7.5000000000000011E-2</v>
      </c>
      <c r="F95" s="242">
        <v>31.435500000000001</v>
      </c>
      <c r="G95" s="41">
        <f>IF(ISNUMBER(F95),E95*F95,"")</f>
        <v>2.3576625000000004</v>
      </c>
      <c r="H95" s="46">
        <f>SUM(G95:G96)</f>
        <v>5.9116125000000013</v>
      </c>
      <c r="I95" s="47"/>
      <c r="J95" s="37">
        <v>0</v>
      </c>
    </row>
    <row r="96" spans="1:10" ht="15.75" hidden="1" thickBot="1" x14ac:dyDescent="0.3">
      <c r="A96" s="174"/>
      <c r="B96" s="177"/>
      <c r="C96" s="43" t="s">
        <v>10614</v>
      </c>
      <c r="D96" s="243" t="s">
        <v>2800</v>
      </c>
      <c r="E96" s="244">
        <f>0.75*0.2</f>
        <v>0.15000000000000002</v>
      </c>
      <c r="F96" s="242">
        <v>23.693000000000001</v>
      </c>
      <c r="G96" s="41">
        <f>IF(ISNUMBER(F96),E96*F96,"")</f>
        <v>3.5539500000000008</v>
      </c>
      <c r="H96" s="42"/>
      <c r="I96" s="38"/>
      <c r="J96" s="37">
        <v>0</v>
      </c>
    </row>
    <row r="97" spans="1:10" ht="15.75" hidden="1" thickBot="1" x14ac:dyDescent="0.3">
      <c r="A97" s="175"/>
      <c r="B97" s="178"/>
      <c r="C97" s="49"/>
      <c r="D97" s="245"/>
      <c r="E97" s="246"/>
      <c r="F97" s="247" t="s">
        <v>13</v>
      </c>
      <c r="G97" s="51" t="str">
        <f>IF(ISNUMBER(F97),E97*F97,"")</f>
        <v/>
      </c>
      <c r="H97" s="53"/>
      <c r="I97" s="38"/>
      <c r="J97" s="37">
        <v>0</v>
      </c>
    </row>
    <row r="98" spans="1:10" ht="15.75" hidden="1" thickBot="1" x14ac:dyDescent="0.3">
      <c r="A98" s="173" t="s">
        <v>33</v>
      </c>
      <c r="B98" s="176" t="s">
        <v>2995</v>
      </c>
      <c r="C98" s="31"/>
      <c r="D98" s="235" t="s">
        <v>68</v>
      </c>
      <c r="E98" s="238"/>
      <c r="F98" s="248" t="s">
        <v>13</v>
      </c>
      <c r="G98" s="236" t="str">
        <f>IF(ISNUMBER(F98),E98*F98,"")</f>
        <v/>
      </c>
      <c r="H98" s="237"/>
      <c r="I98" s="36"/>
      <c r="J98" s="37">
        <v>0</v>
      </c>
    </row>
    <row r="99" spans="1:10" ht="15.75" hidden="1" thickBot="1" x14ac:dyDescent="0.3">
      <c r="A99" s="174"/>
      <c r="B99" s="177"/>
      <c r="C99" s="39"/>
      <c r="D99" s="240"/>
      <c r="E99" s="241"/>
      <c r="F99" s="249" t="s">
        <v>13</v>
      </c>
      <c r="G99" s="38" t="str">
        <f>IF(ISNUMBER(F99),E99*F99,"")</f>
        <v/>
      </c>
      <c r="H99" s="42"/>
      <c r="I99" s="38"/>
      <c r="J99" s="37">
        <v>0</v>
      </c>
    </row>
    <row r="100" spans="1:10" ht="15.75" hidden="1" thickBot="1" x14ac:dyDescent="0.3">
      <c r="A100" s="174"/>
      <c r="B100" s="177"/>
      <c r="C100" s="43" t="s">
        <v>10757</v>
      </c>
      <c r="D100" s="243" t="s">
        <v>2800</v>
      </c>
      <c r="E100" s="244">
        <v>0.01</v>
      </c>
      <c r="F100" s="242">
        <v>31.055499999999995</v>
      </c>
      <c r="G100" s="41">
        <f>IF(ISNUMBER(F100),E100*F100,"")</f>
        <v>0.31055499999999997</v>
      </c>
      <c r="H100" s="46">
        <f>SUM(G100:G101)</f>
        <v>2.6798550000000003</v>
      </c>
      <c r="I100" s="47"/>
      <c r="J100" s="37">
        <v>0</v>
      </c>
    </row>
    <row r="101" spans="1:10" ht="15.75" hidden="1" thickBot="1" x14ac:dyDescent="0.3">
      <c r="A101" s="174"/>
      <c r="B101" s="177"/>
      <c r="C101" s="43" t="s">
        <v>10614</v>
      </c>
      <c r="D101" s="243" t="s">
        <v>2800</v>
      </c>
      <c r="E101" s="244">
        <v>0.1</v>
      </c>
      <c r="F101" s="242">
        <v>23.693000000000001</v>
      </c>
      <c r="G101" s="41">
        <f>IF(ISNUMBER(F101),E101*F101,"")</f>
        <v>2.3693000000000004</v>
      </c>
      <c r="H101" s="42"/>
      <c r="I101" s="38"/>
      <c r="J101" s="37">
        <v>0</v>
      </c>
    </row>
    <row r="102" spans="1:10" ht="15.75" hidden="1" thickBot="1" x14ac:dyDescent="0.3">
      <c r="A102" s="175"/>
      <c r="B102" s="178"/>
      <c r="C102" s="49"/>
      <c r="D102" s="245"/>
      <c r="E102" s="246"/>
      <c r="F102" s="247" t="s">
        <v>13</v>
      </c>
      <c r="G102" s="51" t="str">
        <f>IF(ISNUMBER(F102),E102*F102,"")</f>
        <v/>
      </c>
      <c r="H102" s="53"/>
      <c r="I102" s="38"/>
      <c r="J102" s="37">
        <v>0</v>
      </c>
    </row>
    <row r="103" spans="1:10" ht="15.75" hidden="1" thickBot="1" x14ac:dyDescent="0.3">
      <c r="A103" s="173" t="s">
        <v>34</v>
      </c>
      <c r="B103" s="176" t="s">
        <v>2996</v>
      </c>
      <c r="C103" s="31"/>
      <c r="D103" s="235" t="s">
        <v>106</v>
      </c>
      <c r="E103" s="238"/>
      <c r="F103" s="248" t="s">
        <v>13</v>
      </c>
      <c r="G103" s="236" t="str">
        <f>IF(ISNUMBER(F103),E103*F103,"")</f>
        <v/>
      </c>
      <c r="H103" s="237"/>
      <c r="I103" s="36"/>
      <c r="J103" s="37">
        <v>0</v>
      </c>
    </row>
    <row r="104" spans="1:10" ht="15.75" hidden="1" thickBot="1" x14ac:dyDescent="0.3">
      <c r="A104" s="174"/>
      <c r="B104" s="177"/>
      <c r="C104" s="39"/>
      <c r="D104" s="240"/>
      <c r="E104" s="241"/>
      <c r="F104" s="249" t="s">
        <v>13</v>
      </c>
      <c r="G104" s="38" t="str">
        <f>IF(ISNUMBER(F104),E104*F104,"")</f>
        <v/>
      </c>
      <c r="H104" s="42"/>
      <c r="I104" s="38"/>
      <c r="J104" s="37">
        <v>0</v>
      </c>
    </row>
    <row r="105" spans="1:10" ht="15.75" hidden="1" thickBot="1" x14ac:dyDescent="0.3">
      <c r="A105" s="174"/>
      <c r="B105" s="177"/>
      <c r="C105" s="43" t="s">
        <v>10750</v>
      </c>
      <c r="D105" s="243" t="s">
        <v>2800</v>
      </c>
      <c r="E105" s="244">
        <f>ROUND(1/6,4)</f>
        <v>0.16669999999999999</v>
      </c>
      <c r="F105" s="242">
        <v>24.358000000000001</v>
      </c>
      <c r="G105" s="41">
        <f>IF(ISNUMBER(F105),E105*F105,"")</f>
        <v>4.0604785999999997</v>
      </c>
      <c r="H105" s="46">
        <f>SUM(G105:G105)</f>
        <v>4.0604785999999997</v>
      </c>
      <c r="I105" s="47"/>
      <c r="J105" s="37">
        <v>0</v>
      </c>
    </row>
    <row r="106" spans="1:10" ht="15.75" hidden="1" thickBot="1" x14ac:dyDescent="0.3">
      <c r="A106" s="175"/>
      <c r="B106" s="178"/>
      <c r="C106" s="49"/>
      <c r="D106" s="245"/>
      <c r="E106" s="246"/>
      <c r="F106" s="247" t="s">
        <v>13</v>
      </c>
      <c r="G106" s="51" t="str">
        <f>IF(ISNUMBER(F106),E106*F106,"")</f>
        <v/>
      </c>
      <c r="H106" s="53"/>
      <c r="I106" s="38"/>
      <c r="J106" s="37">
        <v>0</v>
      </c>
    </row>
    <row r="107" spans="1:10" ht="15.75" hidden="1" thickBot="1" x14ac:dyDescent="0.3">
      <c r="A107" s="173" t="s">
        <v>35</v>
      </c>
      <c r="B107" s="176" t="s">
        <v>2997</v>
      </c>
      <c r="C107" s="31"/>
      <c r="D107" s="235" t="s">
        <v>18</v>
      </c>
      <c r="E107" s="238"/>
      <c r="F107" s="248" t="s">
        <v>13</v>
      </c>
      <c r="G107" s="236" t="str">
        <f>IF(ISNUMBER(F107),E107*F107,"")</f>
        <v/>
      </c>
      <c r="H107" s="237"/>
      <c r="I107" s="36"/>
      <c r="J107" s="37">
        <v>0</v>
      </c>
    </row>
    <row r="108" spans="1:10" ht="15.75" hidden="1" thickBot="1" x14ac:dyDescent="0.3">
      <c r="A108" s="174"/>
      <c r="B108" s="177"/>
      <c r="C108" s="39"/>
      <c r="D108" s="240"/>
      <c r="E108" s="241"/>
      <c r="F108" s="249" t="s">
        <v>13</v>
      </c>
      <c r="G108" s="38" t="str">
        <f>IF(ISNUMBER(F108),E108*F108,"")</f>
        <v/>
      </c>
      <c r="H108" s="42"/>
      <c r="I108" s="38"/>
      <c r="J108" s="37">
        <v>0</v>
      </c>
    </row>
    <row r="109" spans="1:10" ht="26.25" hidden="1" thickBot="1" x14ac:dyDescent="0.3">
      <c r="A109" s="174"/>
      <c r="B109" s="177"/>
      <c r="C109" s="43" t="s">
        <v>10829</v>
      </c>
      <c r="D109" s="243" t="s">
        <v>2800</v>
      </c>
      <c r="E109" s="244">
        <v>0.6</v>
      </c>
      <c r="F109" s="242">
        <v>24.4435</v>
      </c>
      <c r="G109" s="38">
        <f>IF(ISNUMBER(F109),E109*F109,"")</f>
        <v>14.6661</v>
      </c>
      <c r="H109" s="46">
        <f>SUM(G109:G110)</f>
        <v>28.881900000000002</v>
      </c>
      <c r="I109" s="47"/>
      <c r="J109" s="37">
        <v>0</v>
      </c>
    </row>
    <row r="110" spans="1:10" ht="15.75" hidden="1" thickBot="1" x14ac:dyDescent="0.3">
      <c r="A110" s="174"/>
      <c r="B110" s="177"/>
      <c r="C110" s="43" t="s">
        <v>10614</v>
      </c>
      <c r="D110" s="243" t="s">
        <v>2800</v>
      </c>
      <c r="E110" s="244">
        <v>0.6</v>
      </c>
      <c r="F110" s="242">
        <v>23.693000000000001</v>
      </c>
      <c r="G110" s="38">
        <f>IF(ISNUMBER(F110),E110*F110,"")</f>
        <v>14.2158</v>
      </c>
      <c r="H110" s="42"/>
      <c r="I110" s="38"/>
      <c r="J110" s="37">
        <v>0</v>
      </c>
    </row>
    <row r="111" spans="1:10" ht="15.75" hidden="1" thickBot="1" x14ac:dyDescent="0.3">
      <c r="A111" s="175"/>
      <c r="B111" s="178"/>
      <c r="C111" s="49"/>
      <c r="D111" s="245"/>
      <c r="E111" s="246"/>
      <c r="F111" s="247" t="s">
        <v>13</v>
      </c>
      <c r="G111" s="51" t="str">
        <f>IF(ISNUMBER(F111),E111*F111,"")</f>
        <v/>
      </c>
      <c r="H111" s="53"/>
      <c r="I111" s="38"/>
      <c r="J111" s="37">
        <v>0</v>
      </c>
    </row>
    <row r="112" spans="1:10" ht="15.75" hidden="1" thickBot="1" x14ac:dyDescent="0.3">
      <c r="A112" s="173" t="s">
        <v>36</v>
      </c>
      <c r="B112" s="176" t="s">
        <v>2998</v>
      </c>
      <c r="C112" s="31"/>
      <c r="D112" s="235" t="s">
        <v>68</v>
      </c>
      <c r="E112" s="238"/>
      <c r="F112" s="248" t="s">
        <v>13</v>
      </c>
      <c r="G112" s="236" t="str">
        <f>IF(ISNUMBER(F112),E112*F112,"")</f>
        <v/>
      </c>
      <c r="H112" s="237"/>
      <c r="I112" s="36"/>
      <c r="J112" s="37">
        <v>0</v>
      </c>
    </row>
    <row r="113" spans="1:10" ht="15.75" hidden="1" thickBot="1" x14ac:dyDescent="0.3">
      <c r="A113" s="174"/>
      <c r="B113" s="177"/>
      <c r="C113" s="39"/>
      <c r="D113" s="240"/>
      <c r="E113" s="241"/>
      <c r="F113" s="249" t="s">
        <v>13</v>
      </c>
      <c r="G113" s="38" t="str">
        <f>IF(ISNUMBER(F113),E113*F113,"")</f>
        <v/>
      </c>
      <c r="H113" s="42"/>
      <c r="I113" s="38"/>
      <c r="J113" s="37">
        <v>0</v>
      </c>
    </row>
    <row r="114" spans="1:10" ht="15.75" hidden="1" thickBot="1" x14ac:dyDescent="0.3">
      <c r="A114" s="174"/>
      <c r="B114" s="177"/>
      <c r="C114" s="43" t="s">
        <v>10830</v>
      </c>
      <c r="D114" s="243" t="s">
        <v>2800</v>
      </c>
      <c r="E114" s="244">
        <v>0.6</v>
      </c>
      <c r="F114" s="242">
        <v>30.912999999999997</v>
      </c>
      <c r="G114" s="41">
        <f>IF(ISNUMBER(F114),E114*F114,"")</f>
        <v>18.547799999999999</v>
      </c>
      <c r="H114" s="46">
        <f>SUM(G114:G115)</f>
        <v>46.979399999999998</v>
      </c>
      <c r="I114" s="47"/>
      <c r="J114" s="37">
        <v>0</v>
      </c>
    </row>
    <row r="115" spans="1:10" ht="15.75" hidden="1" thickBot="1" x14ac:dyDescent="0.3">
      <c r="A115" s="174"/>
      <c r="B115" s="177"/>
      <c r="C115" s="43" t="s">
        <v>10614</v>
      </c>
      <c r="D115" s="243" t="s">
        <v>2800</v>
      </c>
      <c r="E115" s="244">
        <v>1.2</v>
      </c>
      <c r="F115" s="242">
        <v>23.693000000000001</v>
      </c>
      <c r="G115" s="41">
        <f>IF(ISNUMBER(F115),E115*F115,"")</f>
        <v>28.4316</v>
      </c>
      <c r="H115" s="42"/>
      <c r="I115" s="38"/>
      <c r="J115" s="37">
        <v>0</v>
      </c>
    </row>
    <row r="116" spans="1:10" ht="15.75" hidden="1" thickBot="1" x14ac:dyDescent="0.3">
      <c r="A116" s="175"/>
      <c r="B116" s="178"/>
      <c r="C116" s="49"/>
      <c r="D116" s="245"/>
      <c r="E116" s="246"/>
      <c r="F116" s="247" t="s">
        <v>13</v>
      </c>
      <c r="G116" s="51" t="str">
        <f>IF(ISNUMBER(F116),E116*F116,"")</f>
        <v/>
      </c>
      <c r="H116" s="53"/>
      <c r="I116" s="38"/>
      <c r="J116" s="37">
        <v>0</v>
      </c>
    </row>
    <row r="117" spans="1:10" ht="15.75" hidden="1" thickBot="1" x14ac:dyDescent="0.3">
      <c r="A117" s="173" t="s">
        <v>37</v>
      </c>
      <c r="B117" s="176" t="s">
        <v>2999</v>
      </c>
      <c r="C117" s="31"/>
      <c r="D117" s="235" t="s">
        <v>68</v>
      </c>
      <c r="E117" s="238"/>
      <c r="F117" s="248" t="s">
        <v>13</v>
      </c>
      <c r="G117" s="236" t="str">
        <f>IF(ISNUMBER(F117),E117*F117,"")</f>
        <v/>
      </c>
      <c r="H117" s="237"/>
      <c r="I117" s="36"/>
      <c r="J117" s="37">
        <v>0</v>
      </c>
    </row>
    <row r="118" spans="1:10" ht="15.75" hidden="1" thickBot="1" x14ac:dyDescent="0.3">
      <c r="A118" s="174"/>
      <c r="B118" s="177"/>
      <c r="C118" s="39"/>
      <c r="D118" s="240"/>
      <c r="E118" s="241"/>
      <c r="F118" s="249" t="s">
        <v>13</v>
      </c>
      <c r="G118" s="38" t="str">
        <f>IF(ISNUMBER(F118),E118*F118,"")</f>
        <v/>
      </c>
      <c r="H118" s="42"/>
      <c r="I118" s="38"/>
      <c r="J118" s="37">
        <v>0</v>
      </c>
    </row>
    <row r="119" spans="1:10" ht="26.25" hidden="1" thickBot="1" x14ac:dyDescent="0.3">
      <c r="A119" s="174"/>
      <c r="B119" s="177"/>
      <c r="C119" s="43" t="s">
        <v>10825</v>
      </c>
      <c r="D119" s="243" t="s">
        <v>2800</v>
      </c>
      <c r="E119" s="244">
        <v>9.7799999999999998E-2</v>
      </c>
      <c r="F119" s="242">
        <v>25.383999999999997</v>
      </c>
      <c r="G119" s="38">
        <f>IF(ISNUMBER(F119),E119*F119,"")</f>
        <v>2.4825551999999997</v>
      </c>
      <c r="H119" s="46">
        <f>SUM(G119:G120)</f>
        <v>9.0384083000000004</v>
      </c>
      <c r="I119" s="47"/>
      <c r="J119" s="37">
        <v>0</v>
      </c>
    </row>
    <row r="120" spans="1:10" ht="15.75" hidden="1" thickBot="1" x14ac:dyDescent="0.3">
      <c r="A120" s="174"/>
      <c r="B120" s="177"/>
      <c r="C120" s="43" t="s">
        <v>10614</v>
      </c>
      <c r="D120" s="243" t="s">
        <v>2800</v>
      </c>
      <c r="E120" s="244">
        <v>0.2767</v>
      </c>
      <c r="F120" s="242">
        <v>23.693000000000001</v>
      </c>
      <c r="G120" s="38">
        <f>IF(ISNUMBER(F120),E120*F120,"")</f>
        <v>6.5558531000000002</v>
      </c>
      <c r="H120" s="42"/>
      <c r="I120" s="38"/>
      <c r="J120" s="37">
        <v>0</v>
      </c>
    </row>
    <row r="121" spans="1:10" ht="15.75" hidden="1" thickBot="1" x14ac:dyDescent="0.3">
      <c r="A121" s="175"/>
      <c r="B121" s="178"/>
      <c r="C121" s="49"/>
      <c r="D121" s="245"/>
      <c r="E121" s="246"/>
      <c r="F121" s="247" t="s">
        <v>13</v>
      </c>
      <c r="G121" s="51" t="str">
        <f>IF(ISNUMBER(F121),E121*F121,"")</f>
        <v/>
      </c>
      <c r="H121" s="53"/>
      <c r="I121" s="38"/>
      <c r="J121" s="37">
        <v>0</v>
      </c>
    </row>
    <row r="122" spans="1:10" ht="15.75" hidden="1" thickBot="1" x14ac:dyDescent="0.3">
      <c r="A122" s="173" t="s">
        <v>38</v>
      </c>
      <c r="B122" s="176" t="s">
        <v>3000</v>
      </c>
      <c r="C122" s="31"/>
      <c r="D122" s="235" t="s">
        <v>106</v>
      </c>
      <c r="E122" s="238"/>
      <c r="F122" s="248" t="s">
        <v>13</v>
      </c>
      <c r="G122" s="236" t="str">
        <f>IF(ISNUMBER(F122),E122*F122,"")</f>
        <v/>
      </c>
      <c r="H122" s="237"/>
      <c r="I122" s="36"/>
      <c r="J122" s="37">
        <v>0</v>
      </c>
    </row>
    <row r="123" spans="1:10" ht="15.75" hidden="1" thickBot="1" x14ac:dyDescent="0.3">
      <c r="A123" s="174"/>
      <c r="B123" s="177"/>
      <c r="C123" s="39"/>
      <c r="D123" s="240"/>
      <c r="E123" s="241"/>
      <c r="F123" s="249" t="s">
        <v>13</v>
      </c>
      <c r="G123" s="38" t="str">
        <f>IF(ISNUMBER(F123),E123*F123,"")</f>
        <v/>
      </c>
      <c r="H123" s="42"/>
      <c r="I123" s="38"/>
      <c r="J123" s="37">
        <v>0</v>
      </c>
    </row>
    <row r="124" spans="1:10" ht="26.25" hidden="1" thickBot="1" x14ac:dyDescent="0.3">
      <c r="A124" s="174"/>
      <c r="B124" s="177"/>
      <c r="C124" s="43" t="s">
        <v>10754</v>
      </c>
      <c r="D124" s="243" t="s">
        <v>2800</v>
      </c>
      <c r="E124" s="244">
        <v>0.17499999999999999</v>
      </c>
      <c r="F124" s="242">
        <v>30.361999999999998</v>
      </c>
      <c r="G124" s="41">
        <f>IF(ISNUMBER(F124),E124*F124,"")</f>
        <v>5.3133499999999998</v>
      </c>
      <c r="H124" s="46">
        <f>SUM(G124:G125)</f>
        <v>12.421250000000001</v>
      </c>
      <c r="I124" s="47"/>
      <c r="J124" s="37">
        <v>0</v>
      </c>
    </row>
    <row r="125" spans="1:10" ht="15.75" hidden="1" thickBot="1" x14ac:dyDescent="0.3">
      <c r="A125" s="174"/>
      <c r="B125" s="177"/>
      <c r="C125" s="43" t="s">
        <v>10614</v>
      </c>
      <c r="D125" s="243" t="s">
        <v>2800</v>
      </c>
      <c r="E125" s="244">
        <v>0.3</v>
      </c>
      <c r="F125" s="242">
        <v>23.693000000000001</v>
      </c>
      <c r="G125" s="41">
        <f>IF(ISNUMBER(F125),E125*F125,"")</f>
        <v>7.1078999999999999</v>
      </c>
      <c r="H125" s="42"/>
      <c r="I125" s="38"/>
      <c r="J125" s="37">
        <v>0</v>
      </c>
    </row>
    <row r="126" spans="1:10" ht="15.75" hidden="1" thickBot="1" x14ac:dyDescent="0.3">
      <c r="A126" s="175"/>
      <c r="B126" s="178"/>
      <c r="C126" s="49"/>
      <c r="D126" s="245"/>
      <c r="E126" s="246"/>
      <c r="F126" s="247" t="s">
        <v>13</v>
      </c>
      <c r="G126" s="51" t="str">
        <f>IF(ISNUMBER(F126),E126*F126,"")</f>
        <v/>
      </c>
      <c r="H126" s="53"/>
      <c r="I126" s="38"/>
      <c r="J126" s="37">
        <v>0</v>
      </c>
    </row>
    <row r="127" spans="1:10" ht="15.75" hidden="1" thickBot="1" x14ac:dyDescent="0.3">
      <c r="A127" s="173" t="s">
        <v>39</v>
      </c>
      <c r="B127" s="176" t="s">
        <v>3001</v>
      </c>
      <c r="C127" s="31"/>
      <c r="D127" s="235" t="s">
        <v>68</v>
      </c>
      <c r="E127" s="238"/>
      <c r="F127" s="248" t="s">
        <v>13</v>
      </c>
      <c r="G127" s="236" t="str">
        <f>IF(ISNUMBER(F127),E127*F127,"")</f>
        <v/>
      </c>
      <c r="H127" s="237"/>
      <c r="I127" s="36"/>
      <c r="J127" s="37">
        <v>0</v>
      </c>
    </row>
    <row r="128" spans="1:10" ht="15.75" hidden="1" thickBot="1" x14ac:dyDescent="0.3">
      <c r="A128" s="174"/>
      <c r="B128" s="177"/>
      <c r="C128" s="39"/>
      <c r="D128" s="240"/>
      <c r="E128" s="241"/>
      <c r="F128" s="249" t="s">
        <v>13</v>
      </c>
      <c r="G128" s="38" t="str">
        <f>IF(ISNUMBER(F128),E128*F128,"")</f>
        <v/>
      </c>
      <c r="H128" s="42"/>
      <c r="I128" s="38"/>
      <c r="J128" s="37">
        <v>0</v>
      </c>
    </row>
    <row r="129" spans="1:10" ht="15.75" hidden="1" thickBot="1" x14ac:dyDescent="0.3">
      <c r="A129" s="174"/>
      <c r="B129" s="177"/>
      <c r="C129" s="43" t="s">
        <v>10757</v>
      </c>
      <c r="D129" s="243" t="s">
        <v>2800</v>
      </c>
      <c r="E129" s="244">
        <v>0.05</v>
      </c>
      <c r="F129" s="242">
        <v>31.055499999999995</v>
      </c>
      <c r="G129" s="41">
        <f>IF(ISNUMBER(F129),E129*F129,"")</f>
        <v>1.5527749999999998</v>
      </c>
      <c r="H129" s="46">
        <f>SUM(G129:G130)</f>
        <v>13.399275000000001</v>
      </c>
      <c r="I129" s="47"/>
      <c r="J129" s="37">
        <v>0</v>
      </c>
    </row>
    <row r="130" spans="1:10" ht="15.75" hidden="1" thickBot="1" x14ac:dyDescent="0.3">
      <c r="A130" s="174"/>
      <c r="B130" s="177"/>
      <c r="C130" s="43" t="s">
        <v>10614</v>
      </c>
      <c r="D130" s="243" t="s">
        <v>2800</v>
      </c>
      <c r="E130" s="244">
        <v>0.5</v>
      </c>
      <c r="F130" s="242">
        <v>23.693000000000001</v>
      </c>
      <c r="G130" s="41">
        <f>IF(ISNUMBER(F130),E130*F130,"")</f>
        <v>11.846500000000001</v>
      </c>
      <c r="H130" s="58"/>
      <c r="I130" s="59"/>
      <c r="J130" s="37">
        <v>0</v>
      </c>
    </row>
    <row r="131" spans="1:10" ht="15.75" hidden="1" thickBot="1" x14ac:dyDescent="0.3">
      <c r="A131" s="175"/>
      <c r="B131" s="178"/>
      <c r="C131" s="49"/>
      <c r="D131" s="245"/>
      <c r="E131" s="246"/>
      <c r="F131" s="247" t="s">
        <v>13</v>
      </c>
      <c r="G131" s="51" t="str">
        <f>IF(ISNUMBER(F131),E131*F131,"")</f>
        <v/>
      </c>
      <c r="H131" s="53"/>
      <c r="I131" s="38"/>
      <c r="J131" s="37">
        <v>0</v>
      </c>
    </row>
    <row r="132" spans="1:10" ht="15.75" hidden="1" thickBot="1" x14ac:dyDescent="0.3">
      <c r="A132" s="173" t="s">
        <v>40</v>
      </c>
      <c r="B132" s="176" t="s">
        <v>3002</v>
      </c>
      <c r="C132" s="31"/>
      <c r="D132" s="235" t="s">
        <v>18</v>
      </c>
      <c r="E132" s="238"/>
      <c r="F132" s="248" t="s">
        <v>13</v>
      </c>
      <c r="G132" s="236" t="str">
        <f>IF(ISNUMBER(F132),E132*F132,"")</f>
        <v/>
      </c>
      <c r="H132" s="237"/>
      <c r="I132" s="36"/>
      <c r="J132" s="37">
        <v>0</v>
      </c>
    </row>
    <row r="133" spans="1:10" ht="15.75" hidden="1" thickBot="1" x14ac:dyDescent="0.3">
      <c r="A133" s="174"/>
      <c r="B133" s="177"/>
      <c r="C133" s="39"/>
      <c r="D133" s="240"/>
      <c r="E133" s="241"/>
      <c r="F133" s="249" t="s">
        <v>13</v>
      </c>
      <c r="G133" s="38" t="str">
        <f>IF(ISNUMBER(F133),E133*F133,"")</f>
        <v/>
      </c>
      <c r="H133" s="42"/>
      <c r="I133" s="38"/>
      <c r="J133" s="37">
        <v>0</v>
      </c>
    </row>
    <row r="134" spans="1:10" ht="15.75" hidden="1" thickBot="1" x14ac:dyDescent="0.3">
      <c r="A134" s="174"/>
      <c r="B134" s="177"/>
      <c r="C134" s="43" t="s">
        <v>10763</v>
      </c>
      <c r="D134" s="243" t="s">
        <v>2800</v>
      </c>
      <c r="E134" s="244">
        <v>0.3</v>
      </c>
      <c r="F134" s="242">
        <v>31.435500000000001</v>
      </c>
      <c r="G134" s="38">
        <f>IF(ISNUMBER(F134),E134*F134,"")</f>
        <v>9.43065</v>
      </c>
      <c r="H134" s="46">
        <f>SUM(G134:G134)</f>
        <v>9.43065</v>
      </c>
      <c r="I134" s="47"/>
      <c r="J134" s="37">
        <v>0</v>
      </c>
    </row>
    <row r="135" spans="1:10" ht="15.75" hidden="1" thickBot="1" x14ac:dyDescent="0.3">
      <c r="A135" s="175"/>
      <c r="B135" s="178"/>
      <c r="C135" s="49"/>
      <c r="D135" s="245"/>
      <c r="E135" s="246"/>
      <c r="F135" s="247" t="s">
        <v>13</v>
      </c>
      <c r="G135" s="51" t="str">
        <f>IF(ISNUMBER(F135),E135*F135,"")</f>
        <v/>
      </c>
      <c r="H135" s="53"/>
      <c r="I135" s="38"/>
      <c r="J135" s="37">
        <v>0</v>
      </c>
    </row>
    <row r="136" spans="1:10" ht="15.75" hidden="1" thickBot="1" x14ac:dyDescent="0.3">
      <c r="A136" s="173" t="s">
        <v>41</v>
      </c>
      <c r="B136" s="176" t="s">
        <v>3003</v>
      </c>
      <c r="C136" s="31"/>
      <c r="D136" s="235" t="s">
        <v>18</v>
      </c>
      <c r="E136" s="238"/>
      <c r="F136" s="248" t="s">
        <v>13</v>
      </c>
      <c r="G136" s="236" t="str">
        <f>IF(ISNUMBER(F136),E136*F136,"")</f>
        <v/>
      </c>
      <c r="H136" s="237"/>
      <c r="I136" s="36"/>
      <c r="J136" s="37">
        <v>0</v>
      </c>
    </row>
    <row r="137" spans="1:10" ht="15.75" hidden="1" thickBot="1" x14ac:dyDescent="0.3">
      <c r="A137" s="174"/>
      <c r="B137" s="177"/>
      <c r="C137" s="39"/>
      <c r="D137" s="240"/>
      <c r="E137" s="241"/>
      <c r="F137" s="249" t="s">
        <v>13</v>
      </c>
      <c r="G137" s="38" t="str">
        <f>IF(ISNUMBER(F137),E137*F137,"")</f>
        <v/>
      </c>
      <c r="H137" s="42"/>
      <c r="I137" s="38"/>
      <c r="J137" s="37">
        <v>0</v>
      </c>
    </row>
    <row r="138" spans="1:10" ht="26.25" hidden="1" thickBot="1" x14ac:dyDescent="0.3">
      <c r="A138" s="174"/>
      <c r="B138" s="177"/>
      <c r="C138" s="43" t="s">
        <v>10774</v>
      </c>
      <c r="D138" s="243" t="s">
        <v>2800</v>
      </c>
      <c r="E138" s="244">
        <f>0.25</f>
        <v>0.25</v>
      </c>
      <c r="F138" s="242">
        <v>29.383499999999998</v>
      </c>
      <c r="G138" s="41">
        <f>IF(ISNUMBER(F138),E138*F138,"")</f>
        <v>7.3458749999999995</v>
      </c>
      <c r="H138" s="46">
        <f>SUM(G138:G138)</f>
        <v>7.3458749999999995</v>
      </c>
      <c r="I138" s="47"/>
      <c r="J138" s="37">
        <v>0</v>
      </c>
    </row>
    <row r="139" spans="1:10" ht="15.75" hidden="1" thickBot="1" x14ac:dyDescent="0.3">
      <c r="A139" s="175"/>
      <c r="B139" s="178"/>
      <c r="C139" s="49"/>
      <c r="D139" s="245"/>
      <c r="E139" s="246"/>
      <c r="F139" s="247" t="s">
        <v>13</v>
      </c>
      <c r="G139" s="51" t="str">
        <f>IF(ISNUMBER(F139),E139*F139,"")</f>
        <v/>
      </c>
      <c r="H139" s="53"/>
      <c r="I139" s="38"/>
      <c r="J139" s="37">
        <v>0</v>
      </c>
    </row>
    <row r="140" spans="1:10" ht="15.75" hidden="1" thickBot="1" x14ac:dyDescent="0.3">
      <c r="A140" s="173" t="s">
        <v>42</v>
      </c>
      <c r="B140" s="176" t="s">
        <v>3004</v>
      </c>
      <c r="C140" s="31"/>
      <c r="D140" s="235" t="s">
        <v>18</v>
      </c>
      <c r="E140" s="238"/>
      <c r="F140" s="248" t="s">
        <v>13</v>
      </c>
      <c r="G140" s="236" t="str">
        <f>IF(ISNUMBER(F140),E140*F140,"")</f>
        <v/>
      </c>
      <c r="H140" s="237"/>
      <c r="I140" s="36"/>
      <c r="J140" s="37">
        <v>0</v>
      </c>
    </row>
    <row r="141" spans="1:10" ht="15.75" hidden="1" thickBot="1" x14ac:dyDescent="0.3">
      <c r="A141" s="174"/>
      <c r="B141" s="177"/>
      <c r="C141" s="39"/>
      <c r="D141" s="240"/>
      <c r="E141" s="241"/>
      <c r="F141" s="249" t="s">
        <v>13</v>
      </c>
      <c r="G141" s="38" t="str">
        <f>IF(ISNUMBER(F141),E141*F141,"")</f>
        <v/>
      </c>
      <c r="H141" s="42"/>
      <c r="I141" s="38"/>
      <c r="J141" s="37">
        <v>0</v>
      </c>
    </row>
    <row r="142" spans="1:10" ht="15.75" hidden="1" thickBot="1" x14ac:dyDescent="0.3">
      <c r="A142" s="174"/>
      <c r="B142" s="177"/>
      <c r="C142" s="43" t="s">
        <v>10757</v>
      </c>
      <c r="D142" s="243" t="s">
        <v>2800</v>
      </c>
      <c r="E142" s="244">
        <v>0.1087</v>
      </c>
      <c r="F142" s="242">
        <v>31.055499999999995</v>
      </c>
      <c r="G142" s="41">
        <f>IF(ISNUMBER(F142),E142*F142,"")</f>
        <v>3.3757328499999995</v>
      </c>
      <c r="H142" s="46">
        <f>SUM(G142:G143)</f>
        <v>10.66133035</v>
      </c>
      <c r="I142" s="47"/>
      <c r="J142" s="37">
        <v>0</v>
      </c>
    </row>
    <row r="143" spans="1:10" ht="15.75" hidden="1" thickBot="1" x14ac:dyDescent="0.3">
      <c r="A143" s="174"/>
      <c r="B143" s="177"/>
      <c r="C143" s="43" t="s">
        <v>10614</v>
      </c>
      <c r="D143" s="243" t="s">
        <v>2800</v>
      </c>
      <c r="E143" s="244">
        <v>0.3075</v>
      </c>
      <c r="F143" s="242">
        <v>23.693000000000001</v>
      </c>
      <c r="G143" s="41">
        <f>IF(ISNUMBER(F143),E143*F143,"")</f>
        <v>7.2855975000000006</v>
      </c>
      <c r="H143" s="58"/>
      <c r="I143" s="59"/>
      <c r="J143" s="37">
        <v>0</v>
      </c>
    </row>
    <row r="144" spans="1:10" ht="15.75" hidden="1" thickBot="1" x14ac:dyDescent="0.3">
      <c r="A144" s="175"/>
      <c r="B144" s="178"/>
      <c r="C144" s="49"/>
      <c r="D144" s="245"/>
      <c r="E144" s="246"/>
      <c r="F144" s="247" t="s">
        <v>13</v>
      </c>
      <c r="G144" s="51" t="str">
        <f>IF(ISNUMBER(F144),E144*F144,"")</f>
        <v/>
      </c>
      <c r="H144" s="53"/>
      <c r="I144" s="38"/>
      <c r="J144" s="37">
        <v>0</v>
      </c>
    </row>
    <row r="145" spans="1:10" ht="15.75" hidden="1" thickBot="1" x14ac:dyDescent="0.3">
      <c r="A145" s="173" t="s">
        <v>43</v>
      </c>
      <c r="B145" s="176" t="s">
        <v>3005</v>
      </c>
      <c r="C145" s="31"/>
      <c r="D145" s="235" t="s">
        <v>68</v>
      </c>
      <c r="E145" s="238"/>
      <c r="F145" s="248" t="s">
        <v>13</v>
      </c>
      <c r="G145" s="236" t="str">
        <f>IF(ISNUMBER(F145),E145*F145,"")</f>
        <v/>
      </c>
      <c r="H145" s="237"/>
      <c r="I145" s="36"/>
      <c r="J145" s="37">
        <v>0</v>
      </c>
    </row>
    <row r="146" spans="1:10" ht="15.75" hidden="1" thickBot="1" x14ac:dyDescent="0.3">
      <c r="A146" s="174"/>
      <c r="B146" s="177"/>
      <c r="C146" s="39"/>
      <c r="D146" s="240"/>
      <c r="E146" s="241"/>
      <c r="F146" s="249" t="s">
        <v>13</v>
      </c>
      <c r="G146" s="38" t="str">
        <f>IF(ISNUMBER(F146),E146*F146,"")</f>
        <v/>
      </c>
      <c r="H146" s="42"/>
      <c r="I146" s="38"/>
      <c r="J146" s="37">
        <v>0</v>
      </c>
    </row>
    <row r="147" spans="1:10" ht="15.75" hidden="1" thickBot="1" x14ac:dyDescent="0.3">
      <c r="A147" s="174"/>
      <c r="B147" s="177"/>
      <c r="C147" s="43" t="s">
        <v>10757</v>
      </c>
      <c r="D147" s="243" t="s">
        <v>2800</v>
      </c>
      <c r="E147" s="244">
        <v>0.09</v>
      </c>
      <c r="F147" s="242">
        <v>31.055499999999995</v>
      </c>
      <c r="G147" s="41">
        <f>IF(ISNUMBER(F147),E147*F147,"")</f>
        <v>2.7949949999999992</v>
      </c>
      <c r="H147" s="46">
        <f>SUM(G147:G148)</f>
        <v>24.118695000000002</v>
      </c>
      <c r="I147" s="47"/>
      <c r="J147" s="37">
        <v>0</v>
      </c>
    </row>
    <row r="148" spans="1:10" ht="15.75" hidden="1" thickBot="1" x14ac:dyDescent="0.3">
      <c r="A148" s="174"/>
      <c r="B148" s="177"/>
      <c r="C148" s="43" t="s">
        <v>10614</v>
      </c>
      <c r="D148" s="243" t="s">
        <v>2800</v>
      </c>
      <c r="E148" s="244">
        <v>0.9</v>
      </c>
      <c r="F148" s="242">
        <v>23.693000000000001</v>
      </c>
      <c r="G148" s="41">
        <f>IF(ISNUMBER(F148),E148*F148,"")</f>
        <v>21.323700000000002</v>
      </c>
      <c r="H148" s="42"/>
      <c r="I148" s="38"/>
      <c r="J148" s="37">
        <v>0</v>
      </c>
    </row>
    <row r="149" spans="1:10" ht="15.75" hidden="1" thickBot="1" x14ac:dyDescent="0.3">
      <c r="A149" s="175"/>
      <c r="B149" s="178"/>
      <c r="C149" s="49"/>
      <c r="D149" s="245"/>
      <c r="E149" s="246"/>
      <c r="F149" s="247" t="s">
        <v>13</v>
      </c>
      <c r="G149" s="51" t="str">
        <f>IF(ISNUMBER(F149),E149*F149,"")</f>
        <v/>
      </c>
      <c r="H149" s="53"/>
      <c r="I149" s="38"/>
      <c r="J149" s="37">
        <v>0</v>
      </c>
    </row>
    <row r="150" spans="1:10" ht="15.75" hidden="1" thickBot="1" x14ac:dyDescent="0.3">
      <c r="A150" s="173" t="s">
        <v>44</v>
      </c>
      <c r="B150" s="176" t="s">
        <v>3006</v>
      </c>
      <c r="C150" s="31"/>
      <c r="D150" s="235" t="s">
        <v>18</v>
      </c>
      <c r="E150" s="238"/>
      <c r="F150" s="248" t="s">
        <v>13</v>
      </c>
      <c r="G150" s="236" t="str">
        <f>IF(ISNUMBER(F150),E150*F150,"")</f>
        <v/>
      </c>
      <c r="H150" s="237"/>
      <c r="I150" s="36"/>
      <c r="J150" s="37">
        <v>0</v>
      </c>
    </row>
    <row r="151" spans="1:10" ht="15.75" hidden="1" thickBot="1" x14ac:dyDescent="0.3">
      <c r="A151" s="174"/>
      <c r="B151" s="177"/>
      <c r="C151" s="39"/>
      <c r="D151" s="240"/>
      <c r="E151" s="241"/>
      <c r="F151" s="249" t="s">
        <v>13</v>
      </c>
      <c r="G151" s="38" t="str">
        <f>IF(ISNUMBER(F151),E151*F151,"")</f>
        <v/>
      </c>
      <c r="H151" s="42"/>
      <c r="I151" s="38"/>
      <c r="J151" s="37">
        <v>0</v>
      </c>
    </row>
    <row r="152" spans="1:10" ht="26.25" hidden="1" thickBot="1" x14ac:dyDescent="0.3">
      <c r="A152" s="174"/>
      <c r="B152" s="177"/>
      <c r="C152" s="43" t="s">
        <v>10754</v>
      </c>
      <c r="D152" s="243" t="s">
        <v>2800</v>
      </c>
      <c r="E152" s="244">
        <v>0.14480000000000001</v>
      </c>
      <c r="F152" s="242">
        <v>30.361999999999998</v>
      </c>
      <c r="G152" s="41">
        <f>IF(ISNUMBER(F152),E152*F152,"")</f>
        <v>4.3964176000000004</v>
      </c>
      <c r="H152" s="46">
        <f>SUM(G152:G153)</f>
        <v>14.101070400000001</v>
      </c>
      <c r="I152" s="47"/>
      <c r="J152" s="37">
        <v>0</v>
      </c>
    </row>
    <row r="153" spans="1:10" ht="15.75" hidden="1" thickBot="1" x14ac:dyDescent="0.3">
      <c r="A153" s="174"/>
      <c r="B153" s="177"/>
      <c r="C153" s="43" t="s">
        <v>10614</v>
      </c>
      <c r="D153" s="243" t="s">
        <v>2800</v>
      </c>
      <c r="E153" s="244">
        <v>0.40960000000000002</v>
      </c>
      <c r="F153" s="242">
        <v>23.693000000000001</v>
      </c>
      <c r="G153" s="41">
        <f>IF(ISNUMBER(F153),E153*F153,"")</f>
        <v>9.7046528000000016</v>
      </c>
      <c r="H153" s="57"/>
      <c r="I153" s="47"/>
      <c r="J153" s="37">
        <v>0</v>
      </c>
    </row>
    <row r="154" spans="1:10" ht="15.75" hidden="1" thickBot="1" x14ac:dyDescent="0.3">
      <c r="A154" s="175"/>
      <c r="B154" s="178"/>
      <c r="C154" s="49"/>
      <c r="D154" s="245"/>
      <c r="E154" s="246"/>
      <c r="F154" s="247" t="s">
        <v>13</v>
      </c>
      <c r="G154" s="51" t="str">
        <f>IF(ISNUMBER(F154),E154*F154,"")</f>
        <v/>
      </c>
      <c r="H154" s="53"/>
      <c r="I154" s="38"/>
      <c r="J154" s="37">
        <v>0</v>
      </c>
    </row>
    <row r="155" spans="1:10" ht="15.75" hidden="1" thickBot="1" x14ac:dyDescent="0.3">
      <c r="A155" s="173" t="s">
        <v>45</v>
      </c>
      <c r="B155" s="176" t="s">
        <v>3007</v>
      </c>
      <c r="C155" s="31"/>
      <c r="D155" s="235" t="s">
        <v>18</v>
      </c>
      <c r="E155" s="238"/>
      <c r="F155" s="248" t="s">
        <v>13</v>
      </c>
      <c r="G155" s="236" t="str">
        <f>IF(ISNUMBER(F155),E155*F155,"")</f>
        <v/>
      </c>
      <c r="H155" s="237"/>
      <c r="I155" s="36"/>
      <c r="J155" s="37">
        <v>0</v>
      </c>
    </row>
    <row r="156" spans="1:10" ht="15.75" hidden="1" thickBot="1" x14ac:dyDescent="0.3">
      <c r="A156" s="179"/>
      <c r="B156" s="177"/>
      <c r="C156" s="39"/>
      <c r="D156" s="240"/>
      <c r="E156" s="241"/>
      <c r="F156" s="249" t="s">
        <v>13</v>
      </c>
      <c r="G156" s="38" t="str">
        <f>IF(ISNUMBER(F156),E156*F156,"")</f>
        <v/>
      </c>
      <c r="H156" s="42"/>
      <c r="I156" s="38"/>
      <c r="J156" s="37">
        <v>0</v>
      </c>
    </row>
    <row r="157" spans="1:10" ht="15.75" hidden="1" thickBot="1" x14ac:dyDescent="0.3">
      <c r="A157" s="179"/>
      <c r="B157" s="177"/>
      <c r="C157" s="43" t="s">
        <v>10763</v>
      </c>
      <c r="D157" s="243" t="s">
        <v>2800</v>
      </c>
      <c r="E157" s="244">
        <f>0.0205*5</f>
        <v>0.10250000000000001</v>
      </c>
      <c r="F157" s="242">
        <v>31.435500000000001</v>
      </c>
      <c r="G157" s="41">
        <f>IF(ISNUMBER(F157),E157*F157,"")</f>
        <v>3.2221387500000005</v>
      </c>
      <c r="H157" s="46">
        <f>SUM(G157:G158)</f>
        <v>10.093108750000003</v>
      </c>
      <c r="I157" s="47"/>
      <c r="J157" s="37">
        <v>0</v>
      </c>
    </row>
    <row r="158" spans="1:10" ht="15.75" hidden="1" thickBot="1" x14ac:dyDescent="0.3">
      <c r="A158" s="179"/>
      <c r="B158" s="177"/>
      <c r="C158" s="43" t="s">
        <v>10614</v>
      </c>
      <c r="D158" s="243" t="s">
        <v>2800</v>
      </c>
      <c r="E158" s="244">
        <f>0.058*5</f>
        <v>0.29000000000000004</v>
      </c>
      <c r="F158" s="242">
        <v>23.693000000000001</v>
      </c>
      <c r="G158" s="41">
        <f>IF(ISNUMBER(F158),E158*F158,"")</f>
        <v>6.8709700000000016</v>
      </c>
      <c r="H158" s="58"/>
      <c r="I158" s="59"/>
      <c r="J158" s="37">
        <v>0</v>
      </c>
    </row>
    <row r="159" spans="1:10" ht="15.75" hidden="1" thickBot="1" x14ac:dyDescent="0.3">
      <c r="A159" s="179"/>
      <c r="B159" s="177"/>
      <c r="C159" s="43"/>
      <c r="D159" s="243"/>
      <c r="E159" s="244"/>
      <c r="F159" s="242" t="s">
        <v>13</v>
      </c>
      <c r="G159" s="38" t="str">
        <f>IF(ISNUMBER(F159),E159*F159,"")</f>
        <v/>
      </c>
      <c r="H159" s="42"/>
      <c r="I159" s="38"/>
      <c r="J159" s="37">
        <v>0</v>
      </c>
    </row>
    <row r="160" spans="1:10" ht="15.75" hidden="1" thickBot="1" x14ac:dyDescent="0.3">
      <c r="A160" s="179"/>
      <c r="B160" s="177"/>
      <c r="C160" s="4" t="s">
        <v>46</v>
      </c>
      <c r="D160" s="243"/>
      <c r="E160" s="244"/>
      <c r="F160" s="242" t="s">
        <v>13</v>
      </c>
      <c r="G160" s="38" t="str">
        <f>IF(ISNUMBER(F160),E160*F160,"")</f>
        <v/>
      </c>
      <c r="H160" s="42"/>
      <c r="I160" s="38"/>
      <c r="J160" s="37">
        <v>0</v>
      </c>
    </row>
    <row r="161" spans="1:10" ht="15.75" hidden="1" thickBot="1" x14ac:dyDescent="0.3">
      <c r="A161" s="180"/>
      <c r="B161" s="178"/>
      <c r="C161" s="49"/>
      <c r="D161" s="245"/>
      <c r="E161" s="246"/>
      <c r="F161" s="247" t="s">
        <v>13</v>
      </c>
      <c r="G161" s="51" t="str">
        <f>IF(ISNUMBER(F161),E161*F161,"")</f>
        <v/>
      </c>
      <c r="H161" s="53"/>
      <c r="I161" s="38"/>
      <c r="J161" s="37">
        <v>0</v>
      </c>
    </row>
    <row r="162" spans="1:10" ht="15.75" hidden="1" thickBot="1" x14ac:dyDescent="0.3">
      <c r="A162" s="173" t="s">
        <v>47</v>
      </c>
      <c r="B162" s="176" t="s">
        <v>3008</v>
      </c>
      <c r="C162" s="31"/>
      <c r="D162" s="235" t="s">
        <v>18</v>
      </c>
      <c r="E162" s="238"/>
      <c r="F162" s="248" t="s">
        <v>13</v>
      </c>
      <c r="G162" s="236" t="str">
        <f>IF(ISNUMBER(F162),E162*F162,"")</f>
        <v/>
      </c>
      <c r="H162" s="237"/>
      <c r="I162" s="36"/>
      <c r="J162" s="37">
        <v>0</v>
      </c>
    </row>
    <row r="163" spans="1:10" ht="15.75" hidden="1" thickBot="1" x14ac:dyDescent="0.3">
      <c r="A163" s="174"/>
      <c r="B163" s="177"/>
      <c r="C163" s="39"/>
      <c r="D163" s="240"/>
      <c r="E163" s="241"/>
      <c r="F163" s="249" t="s">
        <v>13</v>
      </c>
      <c r="G163" s="38" t="str">
        <f>IF(ISNUMBER(F163),E163*F163,"")</f>
        <v/>
      </c>
      <c r="H163" s="42"/>
      <c r="I163" s="38"/>
      <c r="J163" s="37">
        <v>0</v>
      </c>
    </row>
    <row r="164" spans="1:10" ht="26.25" hidden="1" thickBot="1" x14ac:dyDescent="0.3">
      <c r="A164" s="174"/>
      <c r="B164" s="177"/>
      <c r="C164" s="43" t="s">
        <v>10754</v>
      </c>
      <c r="D164" s="243" t="s">
        <v>2800</v>
      </c>
      <c r="E164" s="244">
        <v>0.1056</v>
      </c>
      <c r="F164" s="242">
        <v>30.361999999999998</v>
      </c>
      <c r="G164" s="41">
        <f>IF(ISNUMBER(F164),E164*F164,"")</f>
        <v>3.2062271999999998</v>
      </c>
      <c r="H164" s="46">
        <f>SUM(G164:G165)</f>
        <v>10.280957000000001</v>
      </c>
      <c r="I164" s="47"/>
      <c r="J164" s="37">
        <v>0</v>
      </c>
    </row>
    <row r="165" spans="1:10" ht="15.75" hidden="1" thickBot="1" x14ac:dyDescent="0.3">
      <c r="A165" s="174"/>
      <c r="B165" s="177"/>
      <c r="C165" s="43" t="s">
        <v>10614</v>
      </c>
      <c r="D165" s="243" t="s">
        <v>2800</v>
      </c>
      <c r="E165" s="244">
        <v>0.29859999999999998</v>
      </c>
      <c r="F165" s="242">
        <v>23.693000000000001</v>
      </c>
      <c r="G165" s="41">
        <f>IF(ISNUMBER(F165),E165*F165,"")</f>
        <v>7.0747298000000001</v>
      </c>
      <c r="H165" s="57"/>
      <c r="I165" s="47"/>
      <c r="J165" s="37">
        <v>0</v>
      </c>
    </row>
    <row r="166" spans="1:10" ht="15.75" hidden="1" thickBot="1" x14ac:dyDescent="0.3">
      <c r="A166" s="175"/>
      <c r="B166" s="178"/>
      <c r="C166" s="49"/>
      <c r="D166" s="245"/>
      <c r="E166" s="246"/>
      <c r="F166" s="247" t="s">
        <v>13</v>
      </c>
      <c r="G166" s="51" t="str">
        <f>IF(ISNUMBER(F166),E166*F166,"")</f>
        <v/>
      </c>
      <c r="H166" s="53"/>
      <c r="I166" s="38"/>
      <c r="J166" s="37">
        <v>0</v>
      </c>
    </row>
    <row r="167" spans="1:10" ht="15.75" hidden="1" thickBot="1" x14ac:dyDescent="0.3">
      <c r="A167" s="173" t="s">
        <v>48</v>
      </c>
      <c r="B167" s="176" t="s">
        <v>3009</v>
      </c>
      <c r="C167" s="31"/>
      <c r="D167" s="235" t="s">
        <v>68</v>
      </c>
      <c r="E167" s="238"/>
      <c r="F167" s="248" t="s">
        <v>13</v>
      </c>
      <c r="G167" s="236" t="str">
        <f>IF(ISNUMBER(F167),E167*F167,"")</f>
        <v/>
      </c>
      <c r="H167" s="237"/>
      <c r="I167" s="36"/>
      <c r="J167" s="37">
        <v>0</v>
      </c>
    </row>
    <row r="168" spans="1:10" ht="15.75" hidden="1" thickBot="1" x14ac:dyDescent="0.3">
      <c r="A168" s="174"/>
      <c r="B168" s="177"/>
      <c r="C168" s="39"/>
      <c r="D168" s="240"/>
      <c r="E168" s="241"/>
      <c r="F168" s="249" t="s">
        <v>13</v>
      </c>
      <c r="G168" s="38" t="str">
        <f>IF(ISNUMBER(F168),E168*F168,"")</f>
        <v/>
      </c>
      <c r="H168" s="42"/>
      <c r="I168" s="38"/>
      <c r="J168" s="37">
        <v>0</v>
      </c>
    </row>
    <row r="169" spans="1:10" ht="15.75" hidden="1" thickBot="1" x14ac:dyDescent="0.3">
      <c r="A169" s="174"/>
      <c r="B169" s="177"/>
      <c r="C169" s="43" t="s">
        <v>10614</v>
      </c>
      <c r="D169" s="243" t="s">
        <v>2800</v>
      </c>
      <c r="E169" s="244">
        <v>0.33800000000000002</v>
      </c>
      <c r="F169" s="242">
        <v>23.693000000000001</v>
      </c>
      <c r="G169" s="41">
        <f>IF(ISNUMBER(F169),E169*F169,"")</f>
        <v>8.0082340000000016</v>
      </c>
      <c r="H169" s="46">
        <f>SUM(G169:G170)</f>
        <v>17.982436</v>
      </c>
      <c r="I169" s="47"/>
      <c r="J169" s="37">
        <v>0</v>
      </c>
    </row>
    <row r="170" spans="1:10" ht="15.75" hidden="1" thickBot="1" x14ac:dyDescent="0.3">
      <c r="A170" s="174"/>
      <c r="B170" s="177"/>
      <c r="C170" s="43" t="s">
        <v>10831</v>
      </c>
      <c r="D170" s="243" t="s">
        <v>2800</v>
      </c>
      <c r="E170" s="244">
        <v>0.34799999999999998</v>
      </c>
      <c r="F170" s="242">
        <v>28.6615</v>
      </c>
      <c r="G170" s="41">
        <f>IF(ISNUMBER(F170),E170*F170,"")</f>
        <v>9.974202</v>
      </c>
      <c r="H170" s="42"/>
      <c r="I170" s="38"/>
      <c r="J170" s="37">
        <v>0</v>
      </c>
    </row>
    <row r="171" spans="1:10" ht="15.75" hidden="1" thickBot="1" x14ac:dyDescent="0.3">
      <c r="A171" s="175"/>
      <c r="B171" s="178"/>
      <c r="C171" s="49"/>
      <c r="D171" s="245"/>
      <c r="E171" s="246"/>
      <c r="F171" s="247" t="s">
        <v>13</v>
      </c>
      <c r="G171" s="51" t="str">
        <f>IF(ISNUMBER(F171),E171*F171,"")</f>
        <v/>
      </c>
      <c r="H171" s="53"/>
      <c r="I171" s="38"/>
      <c r="J171" s="37">
        <v>0</v>
      </c>
    </row>
    <row r="172" spans="1:10" ht="15.75" hidden="1" thickBot="1" x14ac:dyDescent="0.3">
      <c r="A172" s="173" t="s">
        <v>49</v>
      </c>
      <c r="B172" s="176" t="s">
        <v>3010</v>
      </c>
      <c r="C172" s="31"/>
      <c r="D172" s="235" t="s">
        <v>68</v>
      </c>
      <c r="E172" s="238"/>
      <c r="F172" s="248" t="s">
        <v>13</v>
      </c>
      <c r="G172" s="236" t="str">
        <f>IF(ISNUMBER(F172),E172*F172,"")</f>
        <v/>
      </c>
      <c r="H172" s="237"/>
      <c r="I172" s="36"/>
      <c r="J172" s="37">
        <v>0</v>
      </c>
    </row>
    <row r="173" spans="1:10" ht="15.75" hidden="1" thickBot="1" x14ac:dyDescent="0.3">
      <c r="A173" s="174"/>
      <c r="B173" s="177"/>
      <c r="C173" s="39"/>
      <c r="D173" s="240"/>
      <c r="E173" s="241"/>
      <c r="F173" s="249" t="s">
        <v>13</v>
      </c>
      <c r="G173" s="38" t="str">
        <f>IF(ISNUMBER(F173),E173*F173,"")</f>
        <v/>
      </c>
      <c r="H173" s="42"/>
      <c r="I173" s="38"/>
      <c r="J173" s="37">
        <v>0</v>
      </c>
    </row>
    <row r="174" spans="1:10" ht="15.75" hidden="1" thickBot="1" x14ac:dyDescent="0.3">
      <c r="A174" s="174"/>
      <c r="B174" s="177"/>
      <c r="C174" s="43" t="s">
        <v>10831</v>
      </c>
      <c r="D174" s="243" t="s">
        <v>2800</v>
      </c>
      <c r="E174" s="244">
        <f>1/3</f>
        <v>0.33333333333333331</v>
      </c>
      <c r="F174" s="242">
        <v>28.6615</v>
      </c>
      <c r="G174" s="41">
        <f>IF(ISNUMBER(F174),E174*F174,"")</f>
        <v>9.5538333333333334</v>
      </c>
      <c r="H174" s="46">
        <f>SUM(G174:G174)</f>
        <v>9.5538333333333334</v>
      </c>
      <c r="I174" s="47"/>
      <c r="J174" s="37">
        <v>0</v>
      </c>
    </row>
    <row r="175" spans="1:10" ht="15.75" hidden="1" thickBot="1" x14ac:dyDescent="0.3">
      <c r="A175" s="175"/>
      <c r="B175" s="178"/>
      <c r="C175" s="49"/>
      <c r="D175" s="245"/>
      <c r="E175" s="246"/>
      <c r="F175" s="247" t="s">
        <v>13</v>
      </c>
      <c r="G175" s="51" t="str">
        <f>IF(ISNUMBER(F175),E175*F175,"")</f>
        <v/>
      </c>
      <c r="H175" s="53"/>
      <c r="I175" s="38"/>
      <c r="J175" s="37">
        <v>0</v>
      </c>
    </row>
    <row r="176" spans="1:10" ht="15.75" hidden="1" thickBot="1" x14ac:dyDescent="0.3">
      <c r="A176" s="173" t="s">
        <v>50</v>
      </c>
      <c r="B176" s="176" t="s">
        <v>3011</v>
      </c>
      <c r="C176" s="31"/>
      <c r="D176" s="235" t="s">
        <v>106</v>
      </c>
      <c r="E176" s="238"/>
      <c r="F176" s="248" t="s">
        <v>13</v>
      </c>
      <c r="G176" s="236" t="str">
        <f>IF(ISNUMBER(F176),E176*F176,"")</f>
        <v/>
      </c>
      <c r="H176" s="237"/>
      <c r="I176" s="36"/>
      <c r="J176" s="37">
        <v>0</v>
      </c>
    </row>
    <row r="177" spans="1:10" ht="15.75" hidden="1" thickBot="1" x14ac:dyDescent="0.3">
      <c r="A177" s="174"/>
      <c r="B177" s="177"/>
      <c r="C177" s="39"/>
      <c r="D177" s="240"/>
      <c r="E177" s="241"/>
      <c r="F177" s="249" t="s">
        <v>13</v>
      </c>
      <c r="G177" s="38" t="str">
        <f>IF(ISNUMBER(F177),E177*F177,"")</f>
        <v/>
      </c>
      <c r="H177" s="42"/>
      <c r="I177" s="38"/>
      <c r="J177" s="37">
        <v>0</v>
      </c>
    </row>
    <row r="178" spans="1:10" ht="15.75" hidden="1" thickBot="1" x14ac:dyDescent="0.3">
      <c r="A178" s="174"/>
      <c r="B178" s="177"/>
      <c r="C178" s="43" t="s">
        <v>10750</v>
      </c>
      <c r="D178" s="243" t="s">
        <v>2800</v>
      </c>
      <c r="E178" s="244">
        <f>ROUND(1/6,4)</f>
        <v>0.16669999999999999</v>
      </c>
      <c r="F178" s="242">
        <v>24.358000000000001</v>
      </c>
      <c r="G178" s="41">
        <f>IF(ISNUMBER(F178),E178*F178,"")</f>
        <v>4.0604785999999997</v>
      </c>
      <c r="H178" s="46">
        <f>SUM(G178:G178)</f>
        <v>4.0604785999999997</v>
      </c>
      <c r="I178" s="47"/>
      <c r="J178" s="37">
        <v>0</v>
      </c>
    </row>
    <row r="179" spans="1:10" ht="15.75" hidden="1" thickBot="1" x14ac:dyDescent="0.3">
      <c r="A179" s="175"/>
      <c r="B179" s="178"/>
      <c r="C179" s="49"/>
      <c r="D179" s="245"/>
      <c r="E179" s="246"/>
      <c r="F179" s="247" t="s">
        <v>13</v>
      </c>
      <c r="G179" s="51" t="str">
        <f>IF(ISNUMBER(F179),E179*F179,"")</f>
        <v/>
      </c>
      <c r="H179" s="53"/>
      <c r="I179" s="38"/>
      <c r="J179" s="37">
        <v>0</v>
      </c>
    </row>
    <row r="180" spans="1:10" ht="15.75" hidden="1" thickBot="1" x14ac:dyDescent="0.3">
      <c r="A180" s="173" t="s">
        <v>51</v>
      </c>
      <c r="B180" s="176" t="s">
        <v>3012</v>
      </c>
      <c r="C180" s="31"/>
      <c r="D180" s="235" t="s">
        <v>68</v>
      </c>
      <c r="E180" s="238"/>
      <c r="F180" s="248" t="s">
        <v>13</v>
      </c>
      <c r="G180" s="236" t="str">
        <f>IF(ISNUMBER(F180),E180*F180,"")</f>
        <v/>
      </c>
      <c r="H180" s="237"/>
      <c r="I180" s="36"/>
      <c r="J180" s="37">
        <v>0</v>
      </c>
    </row>
    <row r="181" spans="1:10" ht="15.75" hidden="1" thickBot="1" x14ac:dyDescent="0.3">
      <c r="A181" s="174"/>
      <c r="B181" s="177"/>
      <c r="C181" s="39"/>
      <c r="D181" s="240"/>
      <c r="E181" s="241"/>
      <c r="F181" s="249" t="s">
        <v>13</v>
      </c>
      <c r="G181" s="38" t="str">
        <f>IF(ISNUMBER(F181),E181*F181,"")</f>
        <v/>
      </c>
      <c r="H181" s="42"/>
      <c r="I181" s="38"/>
      <c r="J181" s="37">
        <v>0</v>
      </c>
    </row>
    <row r="182" spans="1:10" ht="15.75" hidden="1" thickBot="1" x14ac:dyDescent="0.3">
      <c r="A182" s="174"/>
      <c r="B182" s="177"/>
      <c r="C182" s="43" t="s">
        <v>10614</v>
      </c>
      <c r="D182" s="243" t="s">
        <v>2800</v>
      </c>
      <c r="E182" s="244">
        <v>0.4</v>
      </c>
      <c r="F182" s="242">
        <v>23.693000000000001</v>
      </c>
      <c r="G182" s="41">
        <f>IF(ISNUMBER(F182),E182*F182,"")</f>
        <v>9.4772000000000016</v>
      </c>
      <c r="H182" s="46">
        <f>SUM(G182:G182)</f>
        <v>9.4772000000000016</v>
      </c>
      <c r="I182" s="47"/>
      <c r="J182" s="37">
        <v>0</v>
      </c>
    </row>
    <row r="183" spans="1:10" ht="15.75" hidden="1" thickBot="1" x14ac:dyDescent="0.3">
      <c r="A183" s="175"/>
      <c r="B183" s="178"/>
      <c r="C183" s="49"/>
      <c r="D183" s="245"/>
      <c r="E183" s="246"/>
      <c r="F183" s="247" t="s">
        <v>13</v>
      </c>
      <c r="G183" s="51" t="str">
        <f>IF(ISNUMBER(F183),E183*F183,"")</f>
        <v/>
      </c>
      <c r="H183" s="53"/>
      <c r="I183" s="38"/>
      <c r="J183" s="37">
        <v>0</v>
      </c>
    </row>
    <row r="184" spans="1:10" ht="15.75" hidden="1" thickBot="1" x14ac:dyDescent="0.3">
      <c r="A184" s="173" t="s">
        <v>52</v>
      </c>
      <c r="B184" s="176" t="s">
        <v>3013</v>
      </c>
      <c r="C184" s="31"/>
      <c r="D184" s="235" t="s">
        <v>68</v>
      </c>
      <c r="E184" s="238"/>
      <c r="F184" s="248" t="s">
        <v>13</v>
      </c>
      <c r="G184" s="236" t="str">
        <f>IF(ISNUMBER(F184),E184*F184,"")</f>
        <v/>
      </c>
      <c r="H184" s="237"/>
      <c r="I184" s="36"/>
      <c r="J184" s="37">
        <v>0</v>
      </c>
    </row>
    <row r="185" spans="1:10" ht="15.75" hidden="1" thickBot="1" x14ac:dyDescent="0.3">
      <c r="A185" s="174"/>
      <c r="B185" s="177"/>
      <c r="C185" s="39"/>
      <c r="D185" s="240"/>
      <c r="E185" s="241"/>
      <c r="F185" s="249" t="s">
        <v>13</v>
      </c>
      <c r="G185" s="38" t="str">
        <f>IF(ISNUMBER(F185),E185*F185,"")</f>
        <v/>
      </c>
      <c r="H185" s="42"/>
      <c r="I185" s="38"/>
      <c r="J185" s="37">
        <v>0</v>
      </c>
    </row>
    <row r="186" spans="1:10" ht="26.25" hidden="1" thickBot="1" x14ac:dyDescent="0.3">
      <c r="A186" s="174"/>
      <c r="B186" s="177"/>
      <c r="C186" s="43" t="s">
        <v>10825</v>
      </c>
      <c r="D186" s="243" t="s">
        <v>2800</v>
      </c>
      <c r="E186" s="244">
        <f>0.0229*3</f>
        <v>6.8699999999999997E-2</v>
      </c>
      <c r="F186" s="242">
        <v>25.383999999999997</v>
      </c>
      <c r="G186" s="41">
        <f>IF(ISNUMBER(F186),E186*F186,"")</f>
        <v>1.7438807999999997</v>
      </c>
      <c r="H186" s="46">
        <f>SUM(G186:G187)</f>
        <v>6.3426920999999998</v>
      </c>
      <c r="I186" s="47"/>
      <c r="J186" s="37">
        <v>0</v>
      </c>
    </row>
    <row r="187" spans="1:10" ht="15.75" hidden="1" thickBot="1" x14ac:dyDescent="0.3">
      <c r="A187" s="174"/>
      <c r="B187" s="177"/>
      <c r="C187" s="43" t="s">
        <v>10614</v>
      </c>
      <c r="D187" s="243" t="s">
        <v>2800</v>
      </c>
      <c r="E187" s="244">
        <f>0.0647*3</f>
        <v>0.19409999999999999</v>
      </c>
      <c r="F187" s="242">
        <v>23.693000000000001</v>
      </c>
      <c r="G187" s="41">
        <f>IF(ISNUMBER(F187),E187*F187,"")</f>
        <v>4.5988113000000004</v>
      </c>
      <c r="H187" s="42"/>
      <c r="I187" s="38"/>
      <c r="J187" s="37">
        <v>0</v>
      </c>
    </row>
    <row r="188" spans="1:10" ht="15.75" hidden="1" thickBot="1" x14ac:dyDescent="0.3">
      <c r="A188" s="174"/>
      <c r="B188" s="177"/>
      <c r="C188" s="43"/>
      <c r="D188" s="243"/>
      <c r="E188" s="244"/>
      <c r="F188" s="242" t="s">
        <v>13</v>
      </c>
      <c r="G188" s="41" t="str">
        <f>IF(ISNUMBER(F188),E188*F188,"")</f>
        <v/>
      </c>
      <c r="H188" s="42"/>
      <c r="I188" s="38"/>
      <c r="J188" s="37">
        <v>0</v>
      </c>
    </row>
    <row r="189" spans="1:10" ht="15.75" hidden="1" thickBot="1" x14ac:dyDescent="0.3">
      <c r="A189" s="174"/>
      <c r="B189" s="177"/>
      <c r="C189" s="4" t="s">
        <v>53</v>
      </c>
      <c r="D189" s="243"/>
      <c r="E189" s="244"/>
      <c r="F189" s="242" t="s">
        <v>13</v>
      </c>
      <c r="G189" s="41" t="str">
        <f>IF(ISNUMBER(F189),E189*F189,"")</f>
        <v/>
      </c>
      <c r="H189" s="42"/>
      <c r="I189" s="38"/>
      <c r="J189" s="37">
        <v>0</v>
      </c>
    </row>
    <row r="190" spans="1:10" ht="15.75" hidden="1" thickBot="1" x14ac:dyDescent="0.3">
      <c r="A190" s="175"/>
      <c r="B190" s="178"/>
      <c r="C190" s="49"/>
      <c r="D190" s="245"/>
      <c r="E190" s="246"/>
      <c r="F190" s="247" t="s">
        <v>13</v>
      </c>
      <c r="G190" s="51" t="str">
        <f>IF(ISNUMBER(F190),E190*F190,"")</f>
        <v/>
      </c>
      <c r="H190" s="53"/>
      <c r="I190" s="38"/>
      <c r="J190" s="37">
        <v>0</v>
      </c>
    </row>
    <row r="191" spans="1:10" ht="15.75" hidden="1" thickBot="1" x14ac:dyDescent="0.3">
      <c r="A191" s="173" t="s">
        <v>54</v>
      </c>
      <c r="B191" s="176" t="s">
        <v>3014</v>
      </c>
      <c r="C191" s="31"/>
      <c r="D191" s="235" t="s">
        <v>18</v>
      </c>
      <c r="E191" s="238"/>
      <c r="F191" s="248" t="s">
        <v>13</v>
      </c>
      <c r="G191" s="236" t="str">
        <f>IF(ISNUMBER(F191),E191*F191,"")</f>
        <v/>
      </c>
      <c r="H191" s="237"/>
      <c r="I191" s="36"/>
      <c r="J191" s="37">
        <v>0</v>
      </c>
    </row>
    <row r="192" spans="1:10" ht="15.75" hidden="1" thickBot="1" x14ac:dyDescent="0.3">
      <c r="A192" s="174"/>
      <c r="B192" s="177"/>
      <c r="C192" s="39"/>
      <c r="D192" s="240"/>
      <c r="E192" s="241"/>
      <c r="F192" s="249" t="s">
        <v>13</v>
      </c>
      <c r="G192" s="38" t="str">
        <f>IF(ISNUMBER(F192),E192*F192,"")</f>
        <v/>
      </c>
      <c r="H192" s="42"/>
      <c r="I192" s="38"/>
      <c r="J192" s="37">
        <v>0</v>
      </c>
    </row>
    <row r="193" spans="1:10" ht="15.75" hidden="1" thickBot="1" x14ac:dyDescent="0.3">
      <c r="A193" s="174"/>
      <c r="B193" s="177"/>
      <c r="C193" s="43" t="s">
        <v>10762</v>
      </c>
      <c r="D193" s="243" t="s">
        <v>2800</v>
      </c>
      <c r="E193" s="244">
        <v>2</v>
      </c>
      <c r="F193" s="242">
        <v>24.946999999999999</v>
      </c>
      <c r="G193" s="41">
        <f>IF(ISNUMBER(F193),E193*F193,"")</f>
        <v>49.893999999999998</v>
      </c>
      <c r="H193" s="46">
        <f>SUM(G193:G196)</f>
        <v>167.51349999999999</v>
      </c>
      <c r="I193" s="47"/>
      <c r="J193" s="37">
        <v>0</v>
      </c>
    </row>
    <row r="194" spans="1:10" ht="15.75" hidden="1" thickBot="1" x14ac:dyDescent="0.3">
      <c r="A194" s="174"/>
      <c r="B194" s="177"/>
      <c r="C194" s="43" t="s">
        <v>10763</v>
      </c>
      <c r="D194" s="243" t="s">
        <v>2800</v>
      </c>
      <c r="E194" s="244">
        <v>2</v>
      </c>
      <c r="F194" s="242">
        <v>31.435500000000001</v>
      </c>
      <c r="G194" s="41">
        <f>IF(ISNUMBER(F194),E194*F194,"")</f>
        <v>62.871000000000002</v>
      </c>
      <c r="H194" s="42"/>
      <c r="I194" s="38"/>
      <c r="J194" s="37">
        <v>0</v>
      </c>
    </row>
    <row r="195" spans="1:10" ht="15.75" hidden="1" thickBot="1" x14ac:dyDescent="0.3">
      <c r="A195" s="174"/>
      <c r="B195" s="177"/>
      <c r="C195" s="43" t="s">
        <v>10757</v>
      </c>
      <c r="D195" s="243" t="s">
        <v>2800</v>
      </c>
      <c r="E195" s="244">
        <v>1</v>
      </c>
      <c r="F195" s="242">
        <v>31.055499999999995</v>
      </c>
      <c r="G195" s="41">
        <f>IF(ISNUMBER(F195),E195*F195,"")</f>
        <v>31.055499999999995</v>
      </c>
      <c r="H195" s="42"/>
      <c r="I195" s="38"/>
      <c r="J195" s="37">
        <v>0</v>
      </c>
    </row>
    <row r="196" spans="1:10" ht="15.75" hidden="1" thickBot="1" x14ac:dyDescent="0.3">
      <c r="A196" s="174"/>
      <c r="B196" s="177"/>
      <c r="C196" s="43" t="s">
        <v>10614</v>
      </c>
      <c r="D196" s="243" t="s">
        <v>2800</v>
      </c>
      <c r="E196" s="244">
        <v>1</v>
      </c>
      <c r="F196" s="242">
        <v>23.693000000000001</v>
      </c>
      <c r="G196" s="41">
        <f>IF(ISNUMBER(F196),E196*F196,"")</f>
        <v>23.693000000000001</v>
      </c>
      <c r="H196" s="42"/>
      <c r="I196" s="38"/>
      <c r="J196" s="37">
        <v>0</v>
      </c>
    </row>
    <row r="197" spans="1:10" ht="15.75" hidden="1" thickBot="1" x14ac:dyDescent="0.3">
      <c r="A197" s="175"/>
      <c r="B197" s="178"/>
      <c r="C197" s="49"/>
      <c r="D197" s="245"/>
      <c r="E197" s="246"/>
      <c r="F197" s="247" t="s">
        <v>13</v>
      </c>
      <c r="G197" s="51" t="str">
        <f>IF(ISNUMBER(F197),E197*F197,"")</f>
        <v/>
      </c>
      <c r="H197" s="53"/>
      <c r="I197" s="38"/>
      <c r="J197" s="37">
        <v>0</v>
      </c>
    </row>
    <row r="198" spans="1:10" ht="15.75" hidden="1" thickBot="1" x14ac:dyDescent="0.3">
      <c r="A198" s="173" t="s">
        <v>55</v>
      </c>
      <c r="B198" s="176" t="s">
        <v>3015</v>
      </c>
      <c r="C198" s="31"/>
      <c r="D198" s="235" t="s">
        <v>68</v>
      </c>
      <c r="E198" s="238"/>
      <c r="F198" s="248" t="s">
        <v>13</v>
      </c>
      <c r="G198" s="236" t="str">
        <f>IF(ISNUMBER(F198),E198*F198,"")</f>
        <v/>
      </c>
      <c r="H198" s="237"/>
      <c r="I198" s="36"/>
      <c r="J198" s="37">
        <v>0</v>
      </c>
    </row>
    <row r="199" spans="1:10" ht="15.75" hidden="1" thickBot="1" x14ac:dyDescent="0.3">
      <c r="A199" s="174"/>
      <c r="B199" s="177"/>
      <c r="C199" s="39"/>
      <c r="D199" s="240"/>
      <c r="E199" s="241"/>
      <c r="F199" s="249" t="s">
        <v>13</v>
      </c>
      <c r="G199" s="38" t="str">
        <f>IF(ISNUMBER(F199),E199*F199,"")</f>
        <v/>
      </c>
      <c r="H199" s="42"/>
      <c r="I199" s="38"/>
      <c r="J199" s="37">
        <v>0</v>
      </c>
    </row>
    <row r="200" spans="1:10" ht="15.75" hidden="1" thickBot="1" x14ac:dyDescent="0.3">
      <c r="A200" s="174"/>
      <c r="B200" s="177"/>
      <c r="C200" s="43" t="s">
        <v>10614</v>
      </c>
      <c r="D200" s="243" t="s">
        <v>2800</v>
      </c>
      <c r="E200" s="244">
        <v>0.2</v>
      </c>
      <c r="F200" s="242">
        <v>23.693000000000001</v>
      </c>
      <c r="G200" s="41">
        <f>IF(ISNUMBER(F200),E200*F200,"")</f>
        <v>4.7386000000000008</v>
      </c>
      <c r="H200" s="46">
        <f>SUM(G200:G200)</f>
        <v>4.7386000000000008</v>
      </c>
      <c r="I200" s="47"/>
      <c r="J200" s="37">
        <v>0</v>
      </c>
    </row>
    <row r="201" spans="1:10" ht="15.75" hidden="1" thickBot="1" x14ac:dyDescent="0.3">
      <c r="A201" s="175"/>
      <c r="B201" s="178"/>
      <c r="C201" s="49"/>
      <c r="D201" s="245"/>
      <c r="E201" s="246"/>
      <c r="F201" s="247" t="s">
        <v>13</v>
      </c>
      <c r="G201" s="51" t="str">
        <f>IF(ISNUMBER(F201),E201*F201,"")</f>
        <v/>
      </c>
      <c r="H201" s="53"/>
      <c r="I201" s="38"/>
      <c r="J201" s="37">
        <v>0</v>
      </c>
    </row>
    <row r="202" spans="1:10" ht="15.75" hidden="1" thickBot="1" x14ac:dyDescent="0.3">
      <c r="A202" s="173" t="s">
        <v>56</v>
      </c>
      <c r="B202" s="176" t="s">
        <v>3016</v>
      </c>
      <c r="C202" s="31"/>
      <c r="D202" s="235" t="s">
        <v>106</v>
      </c>
      <c r="E202" s="238"/>
      <c r="F202" s="248" t="s">
        <v>13</v>
      </c>
      <c r="G202" s="236" t="str">
        <f>IF(ISNUMBER(F202),E202*F202,"")</f>
        <v/>
      </c>
      <c r="H202" s="237"/>
      <c r="I202" s="36"/>
      <c r="J202" s="37">
        <v>0</v>
      </c>
    </row>
    <row r="203" spans="1:10" ht="15.75" hidden="1" thickBot="1" x14ac:dyDescent="0.3">
      <c r="A203" s="174"/>
      <c r="B203" s="177"/>
      <c r="C203" s="39"/>
      <c r="D203" s="240"/>
      <c r="E203" s="241"/>
      <c r="F203" s="249" t="s">
        <v>13</v>
      </c>
      <c r="G203" s="38" t="str">
        <f>IF(ISNUMBER(F203),E203*F203,"")</f>
        <v/>
      </c>
      <c r="H203" s="42"/>
      <c r="I203" s="38"/>
      <c r="J203" s="37">
        <v>0</v>
      </c>
    </row>
    <row r="204" spans="1:10" ht="15.75" hidden="1" thickBot="1" x14ac:dyDescent="0.3">
      <c r="A204" s="174"/>
      <c r="B204" s="177"/>
      <c r="C204" s="43" t="s">
        <v>10614</v>
      </c>
      <c r="D204" s="243" t="s">
        <v>2800</v>
      </c>
      <c r="E204" s="244">
        <f>0.437*0.6</f>
        <v>0.26219999999999999</v>
      </c>
      <c r="F204" s="242">
        <v>23.693000000000001</v>
      </c>
      <c r="G204" s="41">
        <f>IF(ISNUMBER(F204),E204*F204,"")</f>
        <v>6.2123046000000004</v>
      </c>
      <c r="H204" s="46">
        <f>SUM(G204:G204)</f>
        <v>6.2123046000000004</v>
      </c>
      <c r="I204" s="47"/>
      <c r="J204" s="37">
        <v>0</v>
      </c>
    </row>
    <row r="205" spans="1:10" ht="15.75" hidden="1" thickBot="1" x14ac:dyDescent="0.3">
      <c r="A205" s="175"/>
      <c r="B205" s="178"/>
      <c r="C205" s="49"/>
      <c r="D205" s="245"/>
      <c r="E205" s="246"/>
      <c r="F205" s="247" t="s">
        <v>13</v>
      </c>
      <c r="G205" s="52" t="str">
        <f>IF(ISNUMBER(F205),E205*F205,"")</f>
        <v/>
      </c>
      <c r="H205" s="53"/>
      <c r="I205" s="38"/>
      <c r="J205" s="37">
        <v>0</v>
      </c>
    </row>
    <row r="206" spans="1:10" ht="15.75" hidden="1" thickBot="1" x14ac:dyDescent="0.3">
      <c r="A206" s="173" t="s">
        <v>57</v>
      </c>
      <c r="B206" s="176" t="s">
        <v>3017</v>
      </c>
      <c r="C206" s="31"/>
      <c r="D206" s="235" t="s">
        <v>68</v>
      </c>
      <c r="E206" s="238"/>
      <c r="F206" s="248" t="s">
        <v>13</v>
      </c>
      <c r="G206" s="236" t="str">
        <f>IF(ISNUMBER(F206),E206*F206,"")</f>
        <v/>
      </c>
      <c r="H206" s="237"/>
      <c r="I206" s="36"/>
      <c r="J206" s="37">
        <v>0</v>
      </c>
    </row>
    <row r="207" spans="1:10" ht="15.75" hidden="1" thickBot="1" x14ac:dyDescent="0.3">
      <c r="A207" s="174"/>
      <c r="B207" s="177"/>
      <c r="C207" s="39"/>
      <c r="D207" s="240"/>
      <c r="E207" s="241"/>
      <c r="F207" s="249" t="s">
        <v>13</v>
      </c>
      <c r="G207" s="38" t="str">
        <f>IF(ISNUMBER(F207),E207*F207,"")</f>
        <v/>
      </c>
      <c r="H207" s="42"/>
      <c r="I207" s="38"/>
      <c r="J207" s="37">
        <v>0</v>
      </c>
    </row>
    <row r="208" spans="1:10" ht="15.75" hidden="1" thickBot="1" x14ac:dyDescent="0.3">
      <c r="A208" s="174"/>
      <c r="B208" s="177"/>
      <c r="C208" s="43" t="s">
        <v>10613</v>
      </c>
      <c r="D208" s="243" t="s">
        <v>2800</v>
      </c>
      <c r="E208" s="244">
        <v>0.25</v>
      </c>
      <c r="F208" s="242">
        <v>30.628</v>
      </c>
      <c r="G208" s="38">
        <f>IF(ISNUMBER(F208),E208*F208,"")</f>
        <v>7.657</v>
      </c>
      <c r="H208" s="46">
        <f>SUM(G208:G209)</f>
        <v>8.2493250000000007</v>
      </c>
      <c r="I208" s="47"/>
      <c r="J208" s="37">
        <v>0</v>
      </c>
    </row>
    <row r="209" spans="1:10" ht="15.75" hidden="1" thickBot="1" x14ac:dyDescent="0.3">
      <c r="A209" s="174"/>
      <c r="B209" s="177"/>
      <c r="C209" s="43" t="s">
        <v>10614</v>
      </c>
      <c r="D209" s="243" t="s">
        <v>2800</v>
      </c>
      <c r="E209" s="244">
        <v>2.5000000000000001E-2</v>
      </c>
      <c r="F209" s="242">
        <v>23.693000000000001</v>
      </c>
      <c r="G209" s="41">
        <f>IF(ISNUMBER(F209),E209*F209,"")</f>
        <v>0.5923250000000001</v>
      </c>
      <c r="H209" s="42"/>
      <c r="I209" s="38"/>
      <c r="J209" s="37">
        <v>0</v>
      </c>
    </row>
    <row r="210" spans="1:10" ht="15.75" hidden="1" thickBot="1" x14ac:dyDescent="0.3">
      <c r="A210" s="175"/>
      <c r="B210" s="178"/>
      <c r="C210" s="49"/>
      <c r="D210" s="245"/>
      <c r="E210" s="246"/>
      <c r="F210" s="247" t="s">
        <v>13</v>
      </c>
      <c r="G210" s="51" t="str">
        <f>IF(ISNUMBER(F210),E210*F210,"")</f>
        <v/>
      </c>
      <c r="H210" s="53"/>
      <c r="I210" s="38"/>
      <c r="J210" s="37">
        <v>0</v>
      </c>
    </row>
    <row r="211" spans="1:10" ht="15.75" hidden="1" thickBot="1" x14ac:dyDescent="0.3">
      <c r="A211" s="173" t="s">
        <v>58</v>
      </c>
      <c r="B211" s="176" t="s">
        <v>3018</v>
      </c>
      <c r="C211" s="31"/>
      <c r="D211" s="235" t="s">
        <v>106</v>
      </c>
      <c r="E211" s="238"/>
      <c r="F211" s="248" t="s">
        <v>13</v>
      </c>
      <c r="G211" s="236" t="str">
        <f>IF(ISNUMBER(F211),E211*F211,"")</f>
        <v/>
      </c>
      <c r="H211" s="237"/>
      <c r="I211" s="36"/>
      <c r="J211" s="37">
        <v>0</v>
      </c>
    </row>
    <row r="212" spans="1:10" ht="15.75" hidden="1" thickBot="1" x14ac:dyDescent="0.3">
      <c r="A212" s="174"/>
      <c r="B212" s="177"/>
      <c r="C212" s="39"/>
      <c r="D212" s="240"/>
      <c r="E212" s="241"/>
      <c r="F212" s="249" t="s">
        <v>13</v>
      </c>
      <c r="G212" s="38" t="str">
        <f>IF(ISNUMBER(F212),E212*F212,"")</f>
        <v/>
      </c>
      <c r="H212" s="42"/>
      <c r="I212" s="38"/>
      <c r="J212" s="37">
        <v>0</v>
      </c>
    </row>
    <row r="213" spans="1:10" ht="15.75" hidden="1" thickBot="1" x14ac:dyDescent="0.3">
      <c r="A213" s="174"/>
      <c r="B213" s="177"/>
      <c r="C213" s="43" t="s">
        <v>10614</v>
      </c>
      <c r="D213" s="243" t="s">
        <v>2800</v>
      </c>
      <c r="E213" s="244">
        <v>0.55000000000000004</v>
      </c>
      <c r="F213" s="242">
        <v>23.693000000000001</v>
      </c>
      <c r="G213" s="41">
        <f>IF(ISNUMBER(F213),E213*F213,"")</f>
        <v>13.031150000000002</v>
      </c>
      <c r="H213" s="46">
        <f>SUM(G213:G213)</f>
        <v>13.031150000000002</v>
      </c>
      <c r="I213" s="47"/>
      <c r="J213" s="37">
        <v>0</v>
      </c>
    </row>
    <row r="214" spans="1:10" ht="15.75" hidden="1" thickBot="1" x14ac:dyDescent="0.3">
      <c r="A214" s="175"/>
      <c r="B214" s="178"/>
      <c r="C214" s="49"/>
      <c r="D214" s="245"/>
      <c r="E214" s="246"/>
      <c r="F214" s="247" t="s">
        <v>13</v>
      </c>
      <c r="G214" s="51" t="str">
        <f>IF(ISNUMBER(F214),E214*F214,"")</f>
        <v/>
      </c>
      <c r="H214" s="53"/>
      <c r="I214" s="38"/>
      <c r="J214" s="37">
        <v>0</v>
      </c>
    </row>
    <row r="215" spans="1:10" ht="15.75" hidden="1" thickBot="1" x14ac:dyDescent="0.3">
      <c r="A215" s="173" t="s">
        <v>59</v>
      </c>
      <c r="B215" s="176" t="s">
        <v>3019</v>
      </c>
      <c r="C215" s="31"/>
      <c r="D215" s="235" t="s">
        <v>18</v>
      </c>
      <c r="E215" s="238"/>
      <c r="F215" s="248" t="s">
        <v>13</v>
      </c>
      <c r="G215" s="236" t="str">
        <f>IF(ISNUMBER(F215),E215*F215,"")</f>
        <v/>
      </c>
      <c r="H215" s="237"/>
      <c r="I215" s="36"/>
      <c r="J215" s="37">
        <v>0</v>
      </c>
    </row>
    <row r="216" spans="1:10" ht="15.75" hidden="1" thickBot="1" x14ac:dyDescent="0.3">
      <c r="A216" s="174"/>
      <c r="B216" s="177"/>
      <c r="C216" s="39"/>
      <c r="D216" s="240"/>
      <c r="E216" s="241"/>
      <c r="F216" s="249" t="s">
        <v>13</v>
      </c>
      <c r="G216" s="38" t="str">
        <f>IF(ISNUMBER(F216),E216*F216,"")</f>
        <v/>
      </c>
      <c r="H216" s="42"/>
      <c r="I216" s="38"/>
      <c r="J216" s="37">
        <v>0</v>
      </c>
    </row>
    <row r="217" spans="1:10" ht="26.25" hidden="1" thickBot="1" x14ac:dyDescent="0.3">
      <c r="A217" s="174"/>
      <c r="B217" s="177"/>
      <c r="C217" s="43" t="s">
        <v>10832</v>
      </c>
      <c r="D217" s="243" t="s">
        <v>2800</v>
      </c>
      <c r="E217" s="244">
        <v>1</v>
      </c>
      <c r="F217" s="242">
        <v>27.3125</v>
      </c>
      <c r="G217" s="38">
        <f>IF(ISNUMBER(F217),E217*F217,"")</f>
        <v>27.3125</v>
      </c>
      <c r="H217" s="46">
        <f>SUM(G217:G218)</f>
        <v>51.756</v>
      </c>
      <c r="I217" s="47"/>
      <c r="J217" s="37">
        <v>0</v>
      </c>
    </row>
    <row r="218" spans="1:10" ht="26.25" hidden="1" thickBot="1" x14ac:dyDescent="0.3">
      <c r="A218" s="174"/>
      <c r="B218" s="177"/>
      <c r="C218" s="43" t="s">
        <v>10829</v>
      </c>
      <c r="D218" s="243" t="s">
        <v>2800</v>
      </c>
      <c r="E218" s="244">
        <v>1</v>
      </c>
      <c r="F218" s="242">
        <v>24.4435</v>
      </c>
      <c r="G218" s="41">
        <f>IF(ISNUMBER(F218),E218*F218,"")</f>
        <v>24.4435</v>
      </c>
      <c r="H218" s="42"/>
      <c r="I218" s="38"/>
      <c r="J218" s="37">
        <v>0</v>
      </c>
    </row>
    <row r="219" spans="1:10" ht="15.75" hidden="1" thickBot="1" x14ac:dyDescent="0.3">
      <c r="A219" s="175"/>
      <c r="B219" s="178"/>
      <c r="C219" s="49"/>
      <c r="D219" s="245"/>
      <c r="E219" s="246"/>
      <c r="F219" s="247" t="s">
        <v>13</v>
      </c>
      <c r="G219" s="51" t="str">
        <f>IF(ISNUMBER(F219),E219*F219,"")</f>
        <v/>
      </c>
      <c r="H219" s="53"/>
      <c r="I219" s="38"/>
      <c r="J219" s="37">
        <v>0</v>
      </c>
    </row>
    <row r="220" spans="1:10" ht="15.75" hidden="1" thickBot="1" x14ac:dyDescent="0.3">
      <c r="A220" s="173" t="s">
        <v>60</v>
      </c>
      <c r="B220" s="176" t="s">
        <v>3020</v>
      </c>
      <c r="C220" s="31"/>
      <c r="D220" s="235" t="s">
        <v>68</v>
      </c>
      <c r="E220" s="238"/>
      <c r="F220" s="248" t="s">
        <v>13</v>
      </c>
      <c r="G220" s="236" t="str">
        <f>IF(ISNUMBER(F220),E220*F220,"")</f>
        <v/>
      </c>
      <c r="H220" s="237"/>
      <c r="I220" s="36"/>
      <c r="J220" s="37">
        <v>0</v>
      </c>
    </row>
    <row r="221" spans="1:10" ht="15.75" hidden="1" thickBot="1" x14ac:dyDescent="0.3">
      <c r="A221" s="174"/>
      <c r="B221" s="177"/>
      <c r="C221" s="39"/>
      <c r="D221" s="240"/>
      <c r="E221" s="241"/>
      <c r="F221" s="249" t="s">
        <v>13</v>
      </c>
      <c r="G221" s="38" t="str">
        <f>IF(ISNUMBER(F221),E221*F221,"")</f>
        <v/>
      </c>
      <c r="H221" s="42"/>
      <c r="I221" s="38"/>
      <c r="J221" s="37">
        <v>0</v>
      </c>
    </row>
    <row r="222" spans="1:10" ht="15.75" hidden="1" thickBot="1" x14ac:dyDescent="0.3">
      <c r="A222" s="174"/>
      <c r="B222" s="177"/>
      <c r="C222" s="43" t="s">
        <v>10614</v>
      </c>
      <c r="D222" s="243" t="s">
        <v>2800</v>
      </c>
      <c r="E222" s="244">
        <v>0.39</v>
      </c>
      <c r="F222" s="242">
        <v>23.693000000000001</v>
      </c>
      <c r="G222" s="41">
        <f>IF(ISNUMBER(F222),E222*F222,"")</f>
        <v>9.2402700000000006</v>
      </c>
      <c r="H222" s="46">
        <f>SUM(G222:G223)</f>
        <v>20.733531500000002</v>
      </c>
      <c r="I222" s="47"/>
      <c r="J222" s="37">
        <v>0</v>
      </c>
    </row>
    <row r="223" spans="1:10" ht="15.75" hidden="1" thickBot="1" x14ac:dyDescent="0.3">
      <c r="A223" s="174"/>
      <c r="B223" s="177"/>
      <c r="C223" s="43" t="s">
        <v>10831</v>
      </c>
      <c r="D223" s="243" t="s">
        <v>2800</v>
      </c>
      <c r="E223" s="244">
        <v>0.40100000000000002</v>
      </c>
      <c r="F223" s="242">
        <v>28.6615</v>
      </c>
      <c r="G223" s="41">
        <f>IF(ISNUMBER(F223),E223*F223,"")</f>
        <v>11.493261500000001</v>
      </c>
      <c r="H223" s="42"/>
      <c r="I223" s="38"/>
      <c r="J223" s="37">
        <v>0</v>
      </c>
    </row>
    <row r="224" spans="1:10" ht="15.75" hidden="1" thickBot="1" x14ac:dyDescent="0.3">
      <c r="A224" s="175"/>
      <c r="B224" s="178"/>
      <c r="C224" s="49"/>
      <c r="D224" s="245"/>
      <c r="E224" s="246"/>
      <c r="F224" s="247" t="s">
        <v>13</v>
      </c>
      <c r="G224" s="51" t="str">
        <f>IF(ISNUMBER(F224),E224*F224,"")</f>
        <v/>
      </c>
      <c r="H224" s="53"/>
      <c r="I224" s="38"/>
      <c r="J224" s="37">
        <v>0</v>
      </c>
    </row>
    <row r="225" spans="1:10" ht="15.75" hidden="1" thickBot="1" x14ac:dyDescent="0.3">
      <c r="A225" s="181" t="s">
        <v>61</v>
      </c>
      <c r="B225" s="176" t="s">
        <v>3021</v>
      </c>
      <c r="C225" s="31"/>
      <c r="D225" s="235" t="s">
        <v>1788</v>
      </c>
      <c r="E225" s="238"/>
      <c r="F225" s="248" t="s">
        <v>13</v>
      </c>
      <c r="G225" s="236" t="str">
        <f>IF(ISNUMBER(F225),E225*F225,"")</f>
        <v/>
      </c>
      <c r="H225" s="237"/>
      <c r="I225" s="36"/>
      <c r="J225" s="37">
        <v>0</v>
      </c>
    </row>
    <row r="226" spans="1:10" ht="15.75" hidden="1" thickBot="1" x14ac:dyDescent="0.3">
      <c r="A226" s="182"/>
      <c r="B226" s="177"/>
      <c r="C226" s="39"/>
      <c r="D226" s="240"/>
      <c r="E226" s="241"/>
      <c r="F226" s="249" t="s">
        <v>13</v>
      </c>
      <c r="G226" s="38" t="str">
        <f>IF(ISNUMBER(F226),E226*F226,"")</f>
        <v/>
      </c>
      <c r="H226" s="42"/>
      <c r="I226" s="38"/>
      <c r="J226" s="37">
        <v>0</v>
      </c>
    </row>
    <row r="227" spans="1:10" ht="15.75" hidden="1" thickBot="1" x14ac:dyDescent="0.3">
      <c r="A227" s="182"/>
      <c r="B227" s="177"/>
      <c r="C227" s="43" t="s">
        <v>10614</v>
      </c>
      <c r="D227" s="243" t="s">
        <v>2800</v>
      </c>
      <c r="E227" s="244">
        <v>1</v>
      </c>
      <c r="F227" s="242">
        <v>23.693000000000001</v>
      </c>
      <c r="G227" s="41">
        <f>IF(ISNUMBER(F227),E227*F227,"")</f>
        <v>23.693000000000001</v>
      </c>
      <c r="H227" s="46">
        <f>SUM(G227:G227)</f>
        <v>23.693000000000001</v>
      </c>
      <c r="I227" s="47"/>
      <c r="J227" s="37">
        <v>0</v>
      </c>
    </row>
    <row r="228" spans="1:10" ht="15.75" hidden="1" thickBot="1" x14ac:dyDescent="0.3">
      <c r="A228" s="183"/>
      <c r="B228" s="178"/>
      <c r="C228" s="49"/>
      <c r="D228" s="245"/>
      <c r="E228" s="246"/>
      <c r="F228" s="247" t="s">
        <v>13</v>
      </c>
      <c r="G228" s="51" t="str">
        <f>IF(ISNUMBER(F228),E228*F228,"")</f>
        <v/>
      </c>
      <c r="H228" s="53"/>
      <c r="I228" s="38"/>
      <c r="J228" s="37">
        <v>0</v>
      </c>
    </row>
    <row r="229" spans="1:10" ht="15.75" hidden="1" thickBot="1" x14ac:dyDescent="0.3">
      <c r="A229" s="181" t="s">
        <v>62</v>
      </c>
      <c r="B229" s="176" t="s">
        <v>3024</v>
      </c>
      <c r="C229" s="31"/>
      <c r="D229" s="235" t="s">
        <v>3025</v>
      </c>
      <c r="E229" s="238"/>
      <c r="F229" s="248" t="s">
        <v>13</v>
      </c>
      <c r="G229" s="236" t="str">
        <f>IF(ISNUMBER(F229),E229*F229,"")</f>
        <v/>
      </c>
      <c r="H229" s="237"/>
      <c r="I229" s="36"/>
      <c r="J229" s="37">
        <v>0</v>
      </c>
    </row>
    <row r="230" spans="1:10" ht="15.75" hidden="1" thickBot="1" x14ac:dyDescent="0.3">
      <c r="A230" s="182"/>
      <c r="B230" s="177"/>
      <c r="C230" s="39"/>
      <c r="D230" s="240"/>
      <c r="E230" s="241"/>
      <c r="F230" s="249" t="s">
        <v>13</v>
      </c>
      <c r="G230" s="38" t="str">
        <f>IF(ISNUMBER(F230),E230*F230,"")</f>
        <v/>
      </c>
      <c r="H230" s="42"/>
      <c r="I230" s="38"/>
      <c r="J230" s="37">
        <v>0</v>
      </c>
    </row>
    <row r="231" spans="1:10" ht="64.5" hidden="1" thickBot="1" x14ac:dyDescent="0.3">
      <c r="A231" s="182"/>
      <c r="B231" s="177"/>
      <c r="C231" s="43" t="s">
        <v>10833</v>
      </c>
      <c r="D231" s="243" t="s">
        <v>11902</v>
      </c>
      <c r="E231" s="244">
        <v>1</v>
      </c>
      <c r="F231" s="242">
        <v>21.375</v>
      </c>
      <c r="G231" s="41">
        <f>IF(ISNUMBER(F231),E231*F231,"")</f>
        <v>21.375</v>
      </c>
      <c r="H231" s="46">
        <f>SUM(G231:G231)</f>
        <v>21.375</v>
      </c>
      <c r="I231" s="47"/>
      <c r="J231" s="37">
        <v>0</v>
      </c>
    </row>
    <row r="232" spans="1:10" ht="15.75" hidden="1" thickBot="1" x14ac:dyDescent="0.3">
      <c r="A232" s="183"/>
      <c r="B232" s="178"/>
      <c r="C232" s="49"/>
      <c r="D232" s="245"/>
      <c r="E232" s="246"/>
      <c r="F232" s="247" t="s">
        <v>13</v>
      </c>
      <c r="G232" s="51" t="str">
        <f>IF(ISNUMBER(F232),E232*F232,"")</f>
        <v/>
      </c>
      <c r="H232" s="53"/>
      <c r="I232" s="38"/>
      <c r="J232" s="37">
        <v>0</v>
      </c>
    </row>
    <row r="233" spans="1:10" ht="15.75" thickBot="1" x14ac:dyDescent="0.3">
      <c r="A233" s="173" t="s">
        <v>63</v>
      </c>
      <c r="B233" s="176" t="s">
        <v>3026</v>
      </c>
      <c r="C233" s="31"/>
      <c r="D233" s="235" t="s">
        <v>3027</v>
      </c>
      <c r="E233" s="238"/>
      <c r="F233" s="248" t="s">
        <v>13</v>
      </c>
      <c r="G233" s="236" t="str">
        <f>IF(ISNUMBER(F233),E233*F233,"")</f>
        <v/>
      </c>
      <c r="H233" s="237"/>
      <c r="I233" s="36"/>
      <c r="J233" s="37">
        <v>3</v>
      </c>
    </row>
    <row r="234" spans="1:10" x14ac:dyDescent="0.25">
      <c r="A234" s="174"/>
      <c r="B234" s="177"/>
      <c r="C234" s="39"/>
      <c r="D234" s="240"/>
      <c r="E234" s="241"/>
      <c r="F234" s="249" t="s">
        <v>13</v>
      </c>
      <c r="G234" s="38" t="str">
        <f>IF(ISNUMBER(F234),E234*F234,"")</f>
        <v/>
      </c>
      <c r="H234" s="42"/>
      <c r="I234" s="38"/>
      <c r="J234" s="37">
        <v>3</v>
      </c>
    </row>
    <row r="235" spans="1:10" ht="63.75" x14ac:dyDescent="0.25">
      <c r="A235" s="174"/>
      <c r="B235" s="177"/>
      <c r="C235" s="43" t="s">
        <v>10619</v>
      </c>
      <c r="D235" s="243" t="s">
        <v>10620</v>
      </c>
      <c r="E235" s="244">
        <v>1</v>
      </c>
      <c r="F235" s="242">
        <v>28.5</v>
      </c>
      <c r="G235" s="38">
        <f>IF(ISNUMBER(F235),E235*F235,"")</f>
        <v>28.5</v>
      </c>
      <c r="H235" s="46">
        <f>SUM(G235:G235)</f>
        <v>28.5</v>
      </c>
      <c r="I235" s="47"/>
      <c r="J235" s="37">
        <v>3</v>
      </c>
    </row>
    <row r="236" spans="1:10" ht="15.75" thickBot="1" x14ac:dyDescent="0.3">
      <c r="A236" s="175"/>
      <c r="B236" s="178"/>
      <c r="C236" s="49"/>
      <c r="D236" s="245"/>
      <c r="E236" s="246"/>
      <c r="F236" s="247" t="s">
        <v>13</v>
      </c>
      <c r="G236" s="51" t="str">
        <f>IF(ISNUMBER(F236),E236*F236,"")</f>
        <v/>
      </c>
      <c r="H236" s="53"/>
      <c r="I236" s="38"/>
      <c r="J236" s="37">
        <v>3</v>
      </c>
    </row>
    <row r="237" spans="1:10" ht="15.75" thickBot="1" x14ac:dyDescent="0.3">
      <c r="A237" s="181" t="s">
        <v>64</v>
      </c>
      <c r="B237" s="176" t="s">
        <v>3030</v>
      </c>
      <c r="C237" s="31"/>
      <c r="D237" s="235" t="s">
        <v>106</v>
      </c>
      <c r="E237" s="238"/>
      <c r="F237" s="248" t="s">
        <v>13</v>
      </c>
      <c r="G237" s="236" t="str">
        <f>IF(ISNUMBER(F237),E237*F237,"")</f>
        <v/>
      </c>
      <c r="H237" s="237"/>
      <c r="I237" s="36"/>
      <c r="J237" s="37">
        <v>200</v>
      </c>
    </row>
    <row r="238" spans="1:10" x14ac:dyDescent="0.25">
      <c r="A238" s="182"/>
      <c r="B238" s="177"/>
      <c r="C238" s="39"/>
      <c r="D238" s="240"/>
      <c r="E238" s="241"/>
      <c r="F238" s="249" t="s">
        <v>13</v>
      </c>
      <c r="G238" s="38" t="str">
        <f>IF(ISNUMBER(F238),E238*F238,"")</f>
        <v/>
      </c>
      <c r="H238" s="42"/>
      <c r="I238" s="38"/>
      <c r="J238" s="37">
        <v>200</v>
      </c>
    </row>
    <row r="239" spans="1:10" ht="25.5" x14ac:dyDescent="0.25">
      <c r="A239" s="182"/>
      <c r="B239" s="177"/>
      <c r="C239" s="43" t="s">
        <v>10616</v>
      </c>
      <c r="D239" s="243" t="s">
        <v>10617</v>
      </c>
      <c r="E239" s="244">
        <v>0.01</v>
      </c>
      <c r="F239" s="242">
        <v>362.93799999999999</v>
      </c>
      <c r="G239" s="41">
        <f>IF(ISNUMBER(F239),E239*F239,"")</f>
        <v>3.6293799999999998</v>
      </c>
      <c r="H239" s="46">
        <f>SUM(G239:G239)</f>
        <v>3.6293799999999998</v>
      </c>
      <c r="I239" s="47"/>
      <c r="J239" s="37">
        <v>200</v>
      </c>
    </row>
    <row r="240" spans="1:10" ht="15.75" thickBot="1" x14ac:dyDescent="0.3">
      <c r="A240" s="183"/>
      <c r="B240" s="178"/>
      <c r="C240" s="49"/>
      <c r="D240" s="245"/>
      <c r="E240" s="246"/>
      <c r="F240" s="247" t="s">
        <v>13</v>
      </c>
      <c r="G240" s="51" t="str">
        <f>IF(ISNUMBER(F240),E240*F240,"")</f>
        <v/>
      </c>
      <c r="H240" s="53"/>
      <c r="I240" s="38"/>
      <c r="J240" s="37">
        <v>200</v>
      </c>
    </row>
    <row r="241" spans="1:10" ht="15.75" thickBot="1" x14ac:dyDescent="0.3">
      <c r="A241" s="173" t="s">
        <v>65</v>
      </c>
      <c r="B241" s="176" t="s">
        <v>3041</v>
      </c>
      <c r="C241" s="31"/>
      <c r="D241" s="235" t="s">
        <v>68</v>
      </c>
      <c r="E241" s="238"/>
      <c r="F241" s="252" t="s">
        <v>13</v>
      </c>
      <c r="G241" s="236" t="str">
        <f>IF(ISNUMBER(F241),E241*F241,"")</f>
        <v/>
      </c>
      <c r="H241" s="237"/>
      <c r="I241" s="36"/>
      <c r="J241" s="37">
        <v>400</v>
      </c>
    </row>
    <row r="242" spans="1:10" x14ac:dyDescent="0.25">
      <c r="A242" s="174"/>
      <c r="B242" s="177"/>
      <c r="C242" s="39"/>
      <c r="D242" s="240"/>
      <c r="E242" s="241"/>
      <c r="F242" s="242" t="s">
        <v>13</v>
      </c>
      <c r="G242" s="38" t="str">
        <f>IF(ISNUMBER(F242),E242*F242,"")</f>
        <v/>
      </c>
      <c r="H242" s="42"/>
      <c r="I242" s="38"/>
      <c r="J242" s="37">
        <v>400</v>
      </c>
    </row>
    <row r="243" spans="1:10" x14ac:dyDescent="0.25">
      <c r="A243" s="174"/>
      <c r="B243" s="177"/>
      <c r="C243" s="43" t="s">
        <v>10614</v>
      </c>
      <c r="D243" s="243" t="s">
        <v>2800</v>
      </c>
      <c r="E243" s="244">
        <v>0.15</v>
      </c>
      <c r="F243" s="242">
        <v>23.693000000000001</v>
      </c>
      <c r="G243" s="38">
        <f>IF(ISNUMBER(F243),E243*F243,"")</f>
        <v>3.5539499999999999</v>
      </c>
      <c r="H243" s="46">
        <f>SUM(G243:G247)</f>
        <v>28.218799999999998</v>
      </c>
      <c r="I243" s="47"/>
      <c r="J243" s="37">
        <v>400</v>
      </c>
    </row>
    <row r="244" spans="1:10" x14ac:dyDescent="0.25">
      <c r="A244" s="174"/>
      <c r="B244" s="177"/>
      <c r="C244" s="43" t="s">
        <v>10613</v>
      </c>
      <c r="D244" s="243" t="s">
        <v>2800</v>
      </c>
      <c r="E244" s="244">
        <v>0.3</v>
      </c>
      <c r="F244" s="242">
        <v>30.628</v>
      </c>
      <c r="G244" s="38">
        <f>IF(ISNUMBER(F244),E244*F244,"")</f>
        <v>9.1883999999999997</v>
      </c>
      <c r="H244" s="42"/>
      <c r="I244" s="38"/>
      <c r="J244" s="37">
        <v>400</v>
      </c>
    </row>
    <row r="245" spans="1:10" ht="25.5" x14ac:dyDescent="0.25">
      <c r="A245" s="174"/>
      <c r="B245" s="177"/>
      <c r="C245" s="43" t="s">
        <v>10612</v>
      </c>
      <c r="D245" s="243" t="s">
        <v>1302</v>
      </c>
      <c r="E245" s="244">
        <v>1.5</v>
      </c>
      <c r="F245" s="250">
        <v>7.3055000000000003</v>
      </c>
      <c r="G245" s="38">
        <f>IF(ISNUMBER(F245),E245*F245,"")</f>
        <v>10.95825</v>
      </c>
      <c r="H245" s="42"/>
      <c r="I245" s="38"/>
      <c r="J245" s="37">
        <v>400</v>
      </c>
    </row>
    <row r="246" spans="1:10" x14ac:dyDescent="0.25">
      <c r="A246" s="174"/>
      <c r="B246" s="177"/>
      <c r="C246" s="43" t="s">
        <v>10618</v>
      </c>
      <c r="D246" s="243" t="s">
        <v>1044</v>
      </c>
      <c r="E246" s="244">
        <v>0.1</v>
      </c>
      <c r="F246" s="250">
        <v>18.087999999999997</v>
      </c>
      <c r="G246" s="38">
        <f>IF(ISNUMBER(F246),E246*F246,"")</f>
        <v>1.8087999999999997</v>
      </c>
      <c r="H246" s="42"/>
      <c r="I246" s="38"/>
      <c r="J246" s="37">
        <v>400</v>
      </c>
    </row>
    <row r="247" spans="1:10" ht="25.5" x14ac:dyDescent="0.25">
      <c r="A247" s="174"/>
      <c r="B247" s="177"/>
      <c r="C247" s="43" t="s">
        <v>10615</v>
      </c>
      <c r="D247" s="243" t="s">
        <v>1302</v>
      </c>
      <c r="E247" s="244">
        <v>1.1499999999999999</v>
      </c>
      <c r="F247" s="250">
        <v>2.3559999999999999</v>
      </c>
      <c r="G247" s="38">
        <f>IF(ISNUMBER(F247),E247*F247,"")</f>
        <v>2.7093999999999996</v>
      </c>
      <c r="H247" s="42"/>
      <c r="I247" s="38"/>
      <c r="J247" s="37">
        <v>400</v>
      </c>
    </row>
    <row r="248" spans="1:10" ht="15.75" thickBot="1" x14ac:dyDescent="0.3">
      <c r="A248" s="175"/>
      <c r="B248" s="178"/>
      <c r="C248" s="49"/>
      <c r="D248" s="49"/>
      <c r="E248" s="50"/>
      <c r="F248" s="51" t="s">
        <v>13</v>
      </c>
      <c r="G248" s="51" t="str">
        <f>IF(ISNUMBER(F248),E248*F248,"")</f>
        <v/>
      </c>
      <c r="H248" s="53"/>
      <c r="I248" s="38"/>
      <c r="J248" s="37">
        <v>400</v>
      </c>
    </row>
    <row r="249" spans="1:10" ht="15.75" hidden="1" thickBot="1" x14ac:dyDescent="0.3">
      <c r="A249" s="173" t="s">
        <v>66</v>
      </c>
      <c r="B249" s="176" t="s">
        <v>3067</v>
      </c>
      <c r="C249" s="31"/>
      <c r="D249" s="32" t="s">
        <v>68</v>
      </c>
      <c r="E249" s="33"/>
      <c r="F249" s="54" t="s">
        <v>13</v>
      </c>
      <c r="G249" s="34" t="str">
        <f>IF(ISNUMBER(F249),E249*F249,"")</f>
        <v/>
      </c>
      <c r="H249" s="35"/>
      <c r="I249" s="36"/>
      <c r="J249" s="37">
        <v>0</v>
      </c>
    </row>
    <row r="250" spans="1:10" hidden="1" x14ac:dyDescent="0.25">
      <c r="A250" s="174"/>
      <c r="B250" s="177"/>
      <c r="C250" s="39"/>
      <c r="D250" s="39"/>
      <c r="E250" s="40"/>
      <c r="F250" s="55" t="s">
        <v>13</v>
      </c>
      <c r="G250" s="38" t="str">
        <f>IF(ISNUMBER(F250),E250*F250,"")</f>
        <v/>
      </c>
      <c r="H250" s="42"/>
      <c r="I250" s="38"/>
      <c r="J250" s="37">
        <v>0</v>
      </c>
    </row>
    <row r="251" spans="1:10" hidden="1" x14ac:dyDescent="0.25">
      <c r="A251" s="174"/>
      <c r="B251" s="177"/>
      <c r="C251" s="43" t="s">
        <v>10613</v>
      </c>
      <c r="D251" s="43" t="s">
        <v>2800</v>
      </c>
      <c r="E251" s="44">
        <v>0.4</v>
      </c>
      <c r="F251" s="38">
        <v>30.628</v>
      </c>
      <c r="G251" s="38">
        <f>IF(ISNUMBER(F251),E251*F251,"")</f>
        <v>12.251200000000001</v>
      </c>
      <c r="H251" s="46">
        <f>SUM(G251:G262)</f>
        <v>77.463954749999985</v>
      </c>
      <c r="I251" s="47"/>
      <c r="J251" s="37">
        <v>0</v>
      </c>
    </row>
    <row r="252" spans="1:10" hidden="1" x14ac:dyDescent="0.25">
      <c r="A252" s="174"/>
      <c r="B252" s="177"/>
      <c r="C252" s="43" t="s">
        <v>10614</v>
      </c>
      <c r="D252" s="43" t="s">
        <v>2800</v>
      </c>
      <c r="E252" s="44">
        <v>0.4</v>
      </c>
      <c r="F252" s="38">
        <v>23.693000000000001</v>
      </c>
      <c r="G252" s="38">
        <f>IF(ISNUMBER(F252),E252*F252,"")</f>
        <v>9.4772000000000016</v>
      </c>
      <c r="H252" s="42"/>
      <c r="I252" s="38"/>
      <c r="J252" s="37">
        <v>0</v>
      </c>
    </row>
    <row r="253" spans="1:10" hidden="1" x14ac:dyDescent="0.25">
      <c r="A253" s="174"/>
      <c r="B253" s="177"/>
      <c r="C253" s="43" t="s">
        <v>67</v>
      </c>
      <c r="D253" s="43" t="s">
        <v>68</v>
      </c>
      <c r="E253" s="44">
        <v>1.1000000000000001</v>
      </c>
      <c r="F253" s="38" t="s">
        <v>13</v>
      </c>
      <c r="G253" s="38" t="str">
        <f>IF(ISNUMBER(F253),E253*F253,"")</f>
        <v/>
      </c>
      <c r="H253" s="42"/>
      <c r="I253" s="38"/>
      <c r="J253" s="37">
        <v>0</v>
      </c>
    </row>
    <row r="254" spans="1:10" ht="25.5" hidden="1" x14ac:dyDescent="0.25">
      <c r="A254" s="174"/>
      <c r="B254" s="177"/>
      <c r="C254" s="43" t="s">
        <v>10612</v>
      </c>
      <c r="D254" s="43" t="s">
        <v>1302</v>
      </c>
      <c r="E254" s="44">
        <v>1.6</v>
      </c>
      <c r="F254" s="41">
        <v>7.3055000000000003</v>
      </c>
      <c r="G254" s="38">
        <f>IF(ISNUMBER(F254),E254*F254,"")</f>
        <v>11.688800000000001</v>
      </c>
      <c r="H254" s="42"/>
      <c r="I254" s="38"/>
      <c r="J254" s="37">
        <v>0</v>
      </c>
    </row>
    <row r="255" spans="1:10" ht="38.25" hidden="1" x14ac:dyDescent="0.25">
      <c r="A255" s="174"/>
      <c r="B255" s="177"/>
      <c r="C255" s="43" t="s">
        <v>10834</v>
      </c>
      <c r="D255" s="43" t="s">
        <v>1302</v>
      </c>
      <c r="E255" s="44">
        <v>1.65</v>
      </c>
      <c r="F255" s="41">
        <v>8.8824999999999985</v>
      </c>
      <c r="G255" s="38">
        <f>IF(ISNUMBER(F255),E255*F255,"")</f>
        <v>14.656124999999998</v>
      </c>
      <c r="H255" s="42"/>
      <c r="I255" s="38"/>
      <c r="J255" s="37">
        <v>0</v>
      </c>
    </row>
    <row r="256" spans="1:10" ht="38.25" hidden="1" x14ac:dyDescent="0.25">
      <c r="A256" s="174"/>
      <c r="B256" s="177"/>
      <c r="C256" s="43" t="s">
        <v>10835</v>
      </c>
      <c r="D256" s="43" t="s">
        <v>1302</v>
      </c>
      <c r="E256" s="44">
        <v>0.5</v>
      </c>
      <c r="F256" s="41">
        <v>25.963499999999996</v>
      </c>
      <c r="G256" s="38">
        <f>IF(ISNUMBER(F256),E256*F256,"")</f>
        <v>12.981749999999998</v>
      </c>
      <c r="H256" s="42"/>
      <c r="I256" s="38"/>
      <c r="J256" s="37">
        <v>0</v>
      </c>
    </row>
    <row r="257" spans="1:10" hidden="1" x14ac:dyDescent="0.25">
      <c r="A257" s="174"/>
      <c r="B257" s="177"/>
      <c r="C257" s="43" t="s">
        <v>10773</v>
      </c>
      <c r="D257" s="43" t="s">
        <v>1044</v>
      </c>
      <c r="E257" s="44">
        <v>0.1</v>
      </c>
      <c r="F257" s="41">
        <v>18.401499999999999</v>
      </c>
      <c r="G257" s="38">
        <f>IF(ISNUMBER(F257),E257*F257,"")</f>
        <v>1.84015</v>
      </c>
      <c r="H257" s="42"/>
      <c r="I257" s="38"/>
      <c r="J257" s="37">
        <v>0</v>
      </c>
    </row>
    <row r="258" spans="1:10" hidden="1" x14ac:dyDescent="0.25">
      <c r="A258" s="174"/>
      <c r="B258" s="177"/>
      <c r="C258" s="43" t="s">
        <v>10836</v>
      </c>
      <c r="D258" s="43" t="s">
        <v>2800</v>
      </c>
      <c r="E258" s="44">
        <v>1.5E-3</v>
      </c>
      <c r="F258" s="41">
        <v>26.2865</v>
      </c>
      <c r="G258" s="38">
        <f>IF(ISNUMBER(F258),E258*F258,"")</f>
        <v>3.942975E-2</v>
      </c>
      <c r="H258" s="42"/>
      <c r="I258" s="38"/>
      <c r="J258" s="37">
        <v>0</v>
      </c>
    </row>
    <row r="259" spans="1:10" hidden="1" x14ac:dyDescent="0.25">
      <c r="A259" s="174"/>
      <c r="B259" s="177"/>
      <c r="C259" s="43" t="s">
        <v>10674</v>
      </c>
      <c r="D259" s="43" t="s">
        <v>2800</v>
      </c>
      <c r="E259" s="44">
        <v>0.4</v>
      </c>
      <c r="F259" s="41">
        <v>32.6325</v>
      </c>
      <c r="G259" s="38">
        <f>IF(ISNUMBER(F259),E259*F259,"")</f>
        <v>13.053000000000001</v>
      </c>
      <c r="H259" s="42"/>
      <c r="I259" s="38"/>
      <c r="J259" s="37">
        <v>0</v>
      </c>
    </row>
    <row r="260" spans="1:10" hidden="1" x14ac:dyDescent="0.25">
      <c r="A260" s="174"/>
      <c r="B260" s="177"/>
      <c r="C260" s="43" t="s">
        <v>69</v>
      </c>
      <c r="D260" s="43" t="s">
        <v>70</v>
      </c>
      <c r="E260" s="44">
        <v>2.2499999999999999E-2</v>
      </c>
      <c r="F260" s="41" t="s">
        <v>13</v>
      </c>
      <c r="G260" s="38" t="str">
        <f>IF(ISNUMBER(F260),E260*F260,"")</f>
        <v/>
      </c>
      <c r="H260" s="42"/>
      <c r="I260" s="38"/>
      <c r="J260" s="37">
        <v>0</v>
      </c>
    </row>
    <row r="261" spans="1:10" hidden="1" x14ac:dyDescent="0.25">
      <c r="A261" s="174"/>
      <c r="B261" s="177"/>
      <c r="C261" s="43" t="s">
        <v>10837</v>
      </c>
      <c r="D261" s="43" t="s">
        <v>1044</v>
      </c>
      <c r="E261" s="44">
        <v>0.6</v>
      </c>
      <c r="F261" s="41">
        <v>2.4604999999999997</v>
      </c>
      <c r="G261" s="38">
        <f>IF(ISNUMBER(F261),E261*F261,"")</f>
        <v>1.4762999999999997</v>
      </c>
      <c r="H261" s="42"/>
      <c r="I261" s="38"/>
      <c r="J261" s="37">
        <v>0</v>
      </c>
    </row>
    <row r="262" spans="1:10" hidden="1" x14ac:dyDescent="0.25">
      <c r="A262" s="174"/>
      <c r="B262" s="177"/>
      <c r="C262" s="43" t="s">
        <v>71</v>
      </c>
      <c r="D262" s="43" t="s">
        <v>72</v>
      </c>
      <c r="E262" s="44">
        <v>1.4999999999999999E-2</v>
      </c>
      <c r="F262" s="41" t="s">
        <v>13</v>
      </c>
      <c r="G262" s="38" t="str">
        <f>IF(ISNUMBER(F262),E262*F262,"")</f>
        <v/>
      </c>
      <c r="H262" s="42"/>
      <c r="I262" s="38"/>
      <c r="J262" s="37">
        <v>0</v>
      </c>
    </row>
    <row r="263" spans="1:10" ht="15.75" hidden="1" thickBot="1" x14ac:dyDescent="0.3">
      <c r="A263" s="175"/>
      <c r="B263" s="178"/>
      <c r="C263" s="49"/>
      <c r="D263" s="49"/>
      <c r="E263" s="50"/>
      <c r="F263" s="51" t="s">
        <v>13</v>
      </c>
      <c r="G263" s="51" t="str">
        <f>IF(ISNUMBER(F263),E263*F263,"")</f>
        <v/>
      </c>
      <c r="H263" s="53"/>
      <c r="I263" s="38"/>
      <c r="J263" s="37">
        <v>0</v>
      </c>
    </row>
    <row r="264" spans="1:10" ht="15.75" hidden="1" thickBot="1" x14ac:dyDescent="0.3">
      <c r="A264" s="173" t="s">
        <v>73</v>
      </c>
      <c r="B264" s="176" t="s">
        <v>3072</v>
      </c>
      <c r="C264" s="31"/>
      <c r="D264" s="32" t="s">
        <v>68</v>
      </c>
      <c r="E264" s="33"/>
      <c r="F264" s="54" t="s">
        <v>13</v>
      </c>
      <c r="G264" s="34" t="str">
        <f>IF(ISNUMBER(F264),E264*F264,"")</f>
        <v/>
      </c>
      <c r="H264" s="35"/>
      <c r="I264" s="36"/>
      <c r="J264" s="37">
        <v>0</v>
      </c>
    </row>
    <row r="265" spans="1:10" hidden="1" x14ac:dyDescent="0.25">
      <c r="A265" s="174"/>
      <c r="B265" s="177"/>
      <c r="C265" s="39"/>
      <c r="D265" s="39"/>
      <c r="E265" s="40"/>
      <c r="F265" s="55" t="s">
        <v>13</v>
      </c>
      <c r="G265" s="38" t="str">
        <f>IF(ISNUMBER(F265),E265*F265,"")</f>
        <v/>
      </c>
      <c r="H265" s="42"/>
      <c r="I265" s="38"/>
      <c r="J265" s="37">
        <v>0</v>
      </c>
    </row>
    <row r="266" spans="1:10" hidden="1" x14ac:dyDescent="0.25">
      <c r="A266" s="174"/>
      <c r="B266" s="177"/>
      <c r="C266" s="43" t="s">
        <v>10614</v>
      </c>
      <c r="D266" s="43" t="s">
        <v>2800</v>
      </c>
      <c r="E266" s="44">
        <v>2.5000000000000001E-2</v>
      </c>
      <c r="F266" s="38">
        <v>23.693000000000001</v>
      </c>
      <c r="G266" s="38">
        <f>IF(ISNUMBER(F266),E266*F266,"")</f>
        <v>0.5923250000000001</v>
      </c>
      <c r="H266" s="46">
        <f>SUM(G266:G267)</f>
        <v>2.8905460000000005</v>
      </c>
      <c r="I266" s="47"/>
      <c r="J266" s="37">
        <v>0</v>
      </c>
    </row>
    <row r="267" spans="1:10" hidden="1" x14ac:dyDescent="0.25">
      <c r="A267" s="174"/>
      <c r="B267" s="177"/>
      <c r="C267" s="43" t="s">
        <v>10614</v>
      </c>
      <c r="D267" s="43" t="s">
        <v>2800</v>
      </c>
      <c r="E267" s="44">
        <v>9.7000000000000003E-2</v>
      </c>
      <c r="F267" s="38">
        <v>23.693000000000001</v>
      </c>
      <c r="G267" s="38">
        <f>IF(ISNUMBER(F267),E267*F267,"")</f>
        <v>2.2982210000000003</v>
      </c>
      <c r="H267" s="42"/>
      <c r="I267" s="47"/>
      <c r="J267" s="37">
        <v>0</v>
      </c>
    </row>
    <row r="268" spans="1:10" ht="15.75" hidden="1" thickBot="1" x14ac:dyDescent="0.3">
      <c r="A268" s="175"/>
      <c r="B268" s="178"/>
      <c r="C268" s="49"/>
      <c r="D268" s="49"/>
      <c r="E268" s="50"/>
      <c r="F268" s="51" t="s">
        <v>13</v>
      </c>
      <c r="G268" s="51" t="str">
        <f>IF(ISNUMBER(F268),E268*F268,"")</f>
        <v/>
      </c>
      <c r="H268" s="53"/>
      <c r="I268" s="38"/>
      <c r="J268" s="37">
        <v>0</v>
      </c>
    </row>
    <row r="269" spans="1:10" ht="15.75" hidden="1" thickBot="1" x14ac:dyDescent="0.3">
      <c r="A269" s="173" t="s">
        <v>74</v>
      </c>
      <c r="B269" s="176" t="s">
        <v>3073</v>
      </c>
      <c r="C269" s="31"/>
      <c r="D269" s="32" t="s">
        <v>106</v>
      </c>
      <c r="E269" s="33"/>
      <c r="F269" s="54" t="s">
        <v>13</v>
      </c>
      <c r="G269" s="34" t="str">
        <f>IF(ISNUMBER(F269),E269*F269,"")</f>
        <v/>
      </c>
      <c r="H269" s="35"/>
      <c r="I269" s="36"/>
      <c r="J269" s="37">
        <v>0</v>
      </c>
    </row>
    <row r="270" spans="1:10" hidden="1" x14ac:dyDescent="0.25">
      <c r="A270" s="174"/>
      <c r="B270" s="177"/>
      <c r="C270" s="39"/>
      <c r="D270" s="39"/>
      <c r="E270" s="40"/>
      <c r="F270" s="55" t="s">
        <v>13</v>
      </c>
      <c r="G270" s="38" t="str">
        <f>IF(ISNUMBER(F270),E270*F270,"")</f>
        <v/>
      </c>
      <c r="H270" s="42"/>
      <c r="I270" s="38"/>
      <c r="J270" s="37">
        <v>0</v>
      </c>
    </row>
    <row r="271" spans="1:10" hidden="1" x14ac:dyDescent="0.25">
      <c r="A271" s="174"/>
      <c r="B271" s="177"/>
      <c r="C271" s="43" t="s">
        <v>10762</v>
      </c>
      <c r="D271" s="43" t="s">
        <v>2800</v>
      </c>
      <c r="E271" s="44">
        <v>6.6000000000000003E-2</v>
      </c>
      <c r="F271" s="38">
        <v>24.946999999999999</v>
      </c>
      <c r="G271" s="38">
        <f>IF(ISNUMBER(F271),E271*F271,"")</f>
        <v>1.6465020000000001</v>
      </c>
      <c r="H271" s="46">
        <f>SUM(G271:G275)</f>
        <v>26.183301557308749</v>
      </c>
      <c r="I271" s="47"/>
      <c r="J271" s="37">
        <v>0</v>
      </c>
    </row>
    <row r="272" spans="1:10" hidden="1" x14ac:dyDescent="0.25">
      <c r="A272" s="174"/>
      <c r="B272" s="177"/>
      <c r="C272" s="43" t="s">
        <v>10763</v>
      </c>
      <c r="D272" s="43" t="s">
        <v>2800</v>
      </c>
      <c r="E272" s="44">
        <v>0.23480000000000001</v>
      </c>
      <c r="F272" s="38">
        <v>31.435500000000001</v>
      </c>
      <c r="G272" s="38">
        <f>IF(ISNUMBER(F272),E272*F272,"")</f>
        <v>7.3810554000000002</v>
      </c>
      <c r="H272" s="42"/>
      <c r="I272" s="38"/>
      <c r="J272" s="37">
        <v>0</v>
      </c>
    </row>
    <row r="273" spans="1:10" ht="25.5" hidden="1" x14ac:dyDescent="0.25">
      <c r="A273" s="174"/>
      <c r="B273" s="177"/>
      <c r="C273" s="43" t="s">
        <v>10753</v>
      </c>
      <c r="D273" s="43" t="s">
        <v>2800</v>
      </c>
      <c r="E273" s="44">
        <v>8.3000000000000004E-2</v>
      </c>
      <c r="F273" s="38">
        <v>23.997</v>
      </c>
      <c r="G273" s="38">
        <f>IF(ISNUMBER(F273),E273*F273,"")</f>
        <v>1.991751</v>
      </c>
      <c r="H273" s="42"/>
      <c r="I273" s="38"/>
      <c r="J273" s="37">
        <v>0</v>
      </c>
    </row>
    <row r="274" spans="1:10" ht="25.5" hidden="1" x14ac:dyDescent="0.25">
      <c r="A274" s="174"/>
      <c r="B274" s="177"/>
      <c r="C274" s="43" t="s">
        <v>10754</v>
      </c>
      <c r="D274" s="43" t="s">
        <v>2800</v>
      </c>
      <c r="E274" s="44">
        <v>0.36499999999999999</v>
      </c>
      <c r="F274" s="38">
        <v>30.361999999999998</v>
      </c>
      <c r="G274" s="38">
        <f>IF(ISNUMBER(F274),E274*F274,"")</f>
        <v>11.082129999999999</v>
      </c>
      <c r="H274" s="42"/>
      <c r="I274" s="38"/>
      <c r="J274" s="37">
        <v>0</v>
      </c>
    </row>
    <row r="275" spans="1:10" ht="25.5" hidden="1" x14ac:dyDescent="0.25">
      <c r="A275" s="174"/>
      <c r="B275" s="177"/>
      <c r="C275" s="43" t="s">
        <v>10679</v>
      </c>
      <c r="D275" s="43" t="s">
        <v>2880</v>
      </c>
      <c r="E275" s="44">
        <v>5.1000000000000004E-3</v>
      </c>
      <c r="F275" s="41">
        <v>800.36532496250004</v>
      </c>
      <c r="G275" s="41">
        <f>IF(ISNUMBER(F275),E275*F275,"")</f>
        <v>4.0818631573087503</v>
      </c>
      <c r="H275" s="42"/>
      <c r="I275" s="38"/>
      <c r="J275" s="37">
        <v>0</v>
      </c>
    </row>
    <row r="276" spans="1:10" ht="15.75" hidden="1" thickBot="1" x14ac:dyDescent="0.3">
      <c r="A276" s="175"/>
      <c r="B276" s="178"/>
      <c r="C276" s="49"/>
      <c r="D276" s="49"/>
      <c r="E276" s="50"/>
      <c r="F276" s="51" t="s">
        <v>13</v>
      </c>
      <c r="G276" s="51" t="str">
        <f>IF(ISNUMBER(F276),E276*F276,"")</f>
        <v/>
      </c>
      <c r="H276" s="53"/>
      <c r="I276" s="38"/>
      <c r="J276" s="37">
        <v>0</v>
      </c>
    </row>
    <row r="277" spans="1:10" ht="15.75" hidden="1" thickBot="1" x14ac:dyDescent="0.3">
      <c r="A277" s="173" t="s">
        <v>75</v>
      </c>
      <c r="B277" s="176" t="s">
        <v>3074</v>
      </c>
      <c r="C277" s="31"/>
      <c r="D277" s="32" t="s">
        <v>18</v>
      </c>
      <c r="E277" s="33"/>
      <c r="F277" s="54" t="s">
        <v>13</v>
      </c>
      <c r="G277" s="34" t="str">
        <f>IF(ISNUMBER(F277),E277*F277,"")</f>
        <v/>
      </c>
      <c r="H277" s="35"/>
      <c r="I277" s="36"/>
      <c r="J277" s="37">
        <v>0</v>
      </c>
    </row>
    <row r="278" spans="1:10" hidden="1" x14ac:dyDescent="0.25">
      <c r="A278" s="174"/>
      <c r="B278" s="177"/>
      <c r="C278" s="39"/>
      <c r="D278" s="39"/>
      <c r="E278" s="40"/>
      <c r="F278" s="55" t="s">
        <v>13</v>
      </c>
      <c r="G278" s="38" t="str">
        <f>IF(ISNUMBER(F278),E278*F278,"")</f>
        <v/>
      </c>
      <c r="H278" s="42"/>
      <c r="I278" s="38"/>
      <c r="J278" s="37">
        <v>0</v>
      </c>
    </row>
    <row r="279" spans="1:10" ht="25.5" hidden="1" x14ac:dyDescent="0.25">
      <c r="A279" s="174"/>
      <c r="B279" s="177"/>
      <c r="C279" s="43" t="s">
        <v>10753</v>
      </c>
      <c r="D279" s="43" t="s">
        <v>2800</v>
      </c>
      <c r="E279" s="44">
        <v>0.22009999999999999</v>
      </c>
      <c r="F279" s="41">
        <v>23.997</v>
      </c>
      <c r="G279" s="41">
        <f>IF(ISNUMBER(F279),E279*F279,"")</f>
        <v>5.2817397000000001</v>
      </c>
      <c r="H279" s="46">
        <f>SUM(G279:G281)</f>
        <v>26.503436299999997</v>
      </c>
      <c r="I279" s="47"/>
      <c r="J279" s="37">
        <v>0</v>
      </c>
    </row>
    <row r="280" spans="1:10" ht="25.5" hidden="1" x14ac:dyDescent="0.25">
      <c r="A280" s="174"/>
      <c r="B280" s="177"/>
      <c r="C280" s="43" t="s">
        <v>10827</v>
      </c>
      <c r="D280" s="43" t="s">
        <v>10677</v>
      </c>
      <c r="E280" s="44">
        <v>0.55530000000000002</v>
      </c>
      <c r="F280" s="41">
        <v>26.542999999999999</v>
      </c>
      <c r="G280" s="41">
        <f>IF(ISNUMBER(F280),E280*F280,"")</f>
        <v>14.739327899999999</v>
      </c>
      <c r="H280" s="42"/>
      <c r="I280" s="38"/>
      <c r="J280" s="37">
        <v>0</v>
      </c>
    </row>
    <row r="281" spans="1:10" ht="25.5" hidden="1" x14ac:dyDescent="0.25">
      <c r="A281" s="174"/>
      <c r="B281" s="177"/>
      <c r="C281" s="43" t="s">
        <v>10828</v>
      </c>
      <c r="D281" s="43" t="s">
        <v>1050</v>
      </c>
      <c r="E281" s="44">
        <v>0.2273</v>
      </c>
      <c r="F281" s="38">
        <v>28.518999999999998</v>
      </c>
      <c r="G281" s="41">
        <f>IF(ISNUMBER(F281),E281*F281,"")</f>
        <v>6.4823686999999994</v>
      </c>
      <c r="H281" s="42"/>
      <c r="I281" s="38"/>
      <c r="J281" s="37">
        <v>0</v>
      </c>
    </row>
    <row r="282" spans="1:10" ht="15.75" hidden="1" thickBot="1" x14ac:dyDescent="0.3">
      <c r="A282" s="175"/>
      <c r="B282" s="178"/>
      <c r="C282" s="49"/>
      <c r="D282" s="49"/>
      <c r="E282" s="50"/>
      <c r="F282" s="51" t="s">
        <v>13</v>
      </c>
      <c r="G282" s="51" t="str">
        <f>IF(ISNUMBER(F282),E282*F282,"")</f>
        <v/>
      </c>
      <c r="H282" s="53"/>
      <c r="I282" s="38"/>
      <c r="J282" s="37">
        <v>0</v>
      </c>
    </row>
    <row r="283" spans="1:10" ht="15.75" hidden="1" thickBot="1" x14ac:dyDescent="0.3">
      <c r="A283" s="173" t="s">
        <v>76</v>
      </c>
      <c r="B283" s="176" t="s">
        <v>3075</v>
      </c>
      <c r="C283" s="31"/>
      <c r="D283" s="32" t="s">
        <v>18</v>
      </c>
      <c r="E283" s="33"/>
      <c r="F283" s="54" t="s">
        <v>13</v>
      </c>
      <c r="G283" s="34" t="str">
        <f>IF(ISNUMBER(F283),E283*F283,"")</f>
        <v/>
      </c>
      <c r="H283" s="35"/>
      <c r="I283" s="36"/>
      <c r="J283" s="37">
        <v>0</v>
      </c>
    </row>
    <row r="284" spans="1:10" hidden="1" x14ac:dyDescent="0.25">
      <c r="A284" s="174"/>
      <c r="B284" s="177"/>
      <c r="C284" s="39"/>
      <c r="D284" s="39"/>
      <c r="E284" s="40"/>
      <c r="F284" s="55" t="s">
        <v>13</v>
      </c>
      <c r="G284" s="38" t="str">
        <f>IF(ISNUMBER(F284),E284*F284,"")</f>
        <v/>
      </c>
      <c r="H284" s="42"/>
      <c r="I284" s="38"/>
      <c r="J284" s="37">
        <v>0</v>
      </c>
    </row>
    <row r="285" spans="1:10" ht="25.5" hidden="1" x14ac:dyDescent="0.25">
      <c r="A285" s="174"/>
      <c r="B285" s="177"/>
      <c r="C285" s="43" t="s">
        <v>10753</v>
      </c>
      <c r="D285" s="43" t="s">
        <v>2800</v>
      </c>
      <c r="E285" s="44">
        <v>0.32140000000000002</v>
      </c>
      <c r="F285" s="41">
        <v>23.997</v>
      </c>
      <c r="G285" s="41">
        <f>IF(ISNUMBER(F285),E285*F285,"")</f>
        <v>7.7126358000000002</v>
      </c>
      <c r="H285" s="46">
        <f>SUM(G285:G287)</f>
        <v>38.704662499999998</v>
      </c>
      <c r="I285" s="47"/>
      <c r="J285" s="37">
        <v>0</v>
      </c>
    </row>
    <row r="286" spans="1:10" ht="25.5" hidden="1" x14ac:dyDescent="0.25">
      <c r="A286" s="174"/>
      <c r="B286" s="177"/>
      <c r="C286" s="43" t="s">
        <v>10827</v>
      </c>
      <c r="D286" s="43" t="s">
        <v>10677</v>
      </c>
      <c r="E286" s="44">
        <v>0.81089999999999995</v>
      </c>
      <c r="F286" s="41">
        <v>26.542999999999999</v>
      </c>
      <c r="G286" s="41">
        <f>IF(ISNUMBER(F286),E286*F286,"")</f>
        <v>21.5237187</v>
      </c>
      <c r="H286" s="42"/>
      <c r="I286" s="38"/>
      <c r="J286" s="37">
        <v>0</v>
      </c>
    </row>
    <row r="287" spans="1:10" ht="25.5" hidden="1" x14ac:dyDescent="0.25">
      <c r="A287" s="174"/>
      <c r="B287" s="177"/>
      <c r="C287" s="43" t="s">
        <v>10828</v>
      </c>
      <c r="D287" s="43" t="s">
        <v>1050</v>
      </c>
      <c r="E287" s="44">
        <v>0.33200000000000002</v>
      </c>
      <c r="F287" s="38">
        <v>28.518999999999998</v>
      </c>
      <c r="G287" s="41">
        <f>IF(ISNUMBER(F287),E287*F287,"")</f>
        <v>9.4683080000000004</v>
      </c>
      <c r="H287" s="42"/>
      <c r="I287" s="38"/>
      <c r="J287" s="37">
        <v>0</v>
      </c>
    </row>
    <row r="288" spans="1:10" ht="15.75" hidden="1" thickBot="1" x14ac:dyDescent="0.3">
      <c r="A288" s="175"/>
      <c r="B288" s="178"/>
      <c r="C288" s="49"/>
      <c r="D288" s="49"/>
      <c r="E288" s="50"/>
      <c r="F288" s="51" t="s">
        <v>13</v>
      </c>
      <c r="G288" s="51" t="str">
        <f>IF(ISNUMBER(F288),E288*F288,"")</f>
        <v/>
      </c>
      <c r="H288" s="53"/>
      <c r="I288" s="38"/>
      <c r="J288" s="37">
        <v>0</v>
      </c>
    </row>
    <row r="289" spans="1:10" ht="15.75" hidden="1" thickBot="1" x14ac:dyDescent="0.3">
      <c r="A289" s="173" t="s">
        <v>77</v>
      </c>
      <c r="B289" s="176" t="s">
        <v>3076</v>
      </c>
      <c r="C289" s="31"/>
      <c r="D289" s="32" t="s">
        <v>1788</v>
      </c>
      <c r="E289" s="33"/>
      <c r="F289" s="54" t="s">
        <v>13</v>
      </c>
      <c r="G289" s="34" t="str">
        <f>IF(ISNUMBER(F289),E289*F289,"")</f>
        <v/>
      </c>
      <c r="H289" s="35"/>
      <c r="I289" s="36"/>
      <c r="J289" s="37">
        <v>0</v>
      </c>
    </row>
    <row r="290" spans="1:10" hidden="1" x14ac:dyDescent="0.25">
      <c r="A290" s="174"/>
      <c r="B290" s="177"/>
      <c r="C290" s="39"/>
      <c r="D290" s="39"/>
      <c r="E290" s="40"/>
      <c r="F290" s="55" t="s">
        <v>13</v>
      </c>
      <c r="G290" s="38" t="str">
        <f>IF(ISNUMBER(F290),E290*F290,"")</f>
        <v/>
      </c>
      <c r="H290" s="42"/>
      <c r="I290" s="38"/>
      <c r="J290" s="37">
        <v>0</v>
      </c>
    </row>
    <row r="291" spans="1:10" ht="25.5" hidden="1" x14ac:dyDescent="0.25">
      <c r="A291" s="174"/>
      <c r="B291" s="177"/>
      <c r="C291" s="43" t="s">
        <v>10695</v>
      </c>
      <c r="D291" s="43" t="s">
        <v>2880</v>
      </c>
      <c r="E291" s="44">
        <v>1</v>
      </c>
      <c r="F291" s="38">
        <v>328.49380250000002</v>
      </c>
      <c r="G291" s="41">
        <f>IF(ISNUMBER(F291),E291*F291,"")</f>
        <v>328.49380250000002</v>
      </c>
      <c r="H291" s="46">
        <f>SUM(G291:G300)</f>
        <v>965.58451996225006</v>
      </c>
      <c r="I291" s="47"/>
      <c r="J291" s="37">
        <v>0</v>
      </c>
    </row>
    <row r="292" spans="1:10" ht="25.5" hidden="1" x14ac:dyDescent="0.25">
      <c r="A292" s="174"/>
      <c r="B292" s="177"/>
      <c r="C292" s="43" t="s">
        <v>10647</v>
      </c>
      <c r="D292" s="43" t="s">
        <v>2880</v>
      </c>
      <c r="E292" s="44">
        <v>0.80459999999999998</v>
      </c>
      <c r="F292" s="41">
        <v>199.71849999999998</v>
      </c>
      <c r="G292" s="41">
        <f>IF(ISNUMBER(F292),E292*F292,"")</f>
        <v>160.69350509999998</v>
      </c>
      <c r="H292" s="42"/>
      <c r="I292" s="38"/>
      <c r="J292" s="37">
        <v>0</v>
      </c>
    </row>
    <row r="293" spans="1:10" hidden="1" x14ac:dyDescent="0.25">
      <c r="A293" s="174"/>
      <c r="B293" s="177"/>
      <c r="C293" s="43" t="s">
        <v>10648</v>
      </c>
      <c r="D293" s="43" t="s">
        <v>1044</v>
      </c>
      <c r="E293" s="44">
        <v>273.06299999999999</v>
      </c>
      <c r="F293" s="41">
        <v>0.64600000000000002</v>
      </c>
      <c r="G293" s="41">
        <f>IF(ISNUMBER(F293),E293*F293,"")</f>
        <v>176.398698</v>
      </c>
      <c r="H293" s="42"/>
      <c r="I293" s="38"/>
      <c r="J293" s="37">
        <v>0</v>
      </c>
    </row>
    <row r="294" spans="1:10" ht="25.5" hidden="1" x14ac:dyDescent="0.25">
      <c r="A294" s="174"/>
      <c r="B294" s="177"/>
      <c r="C294" s="43" t="s">
        <v>10662</v>
      </c>
      <c r="D294" s="43" t="s">
        <v>2880</v>
      </c>
      <c r="E294" s="44">
        <v>0.57920000000000005</v>
      </c>
      <c r="F294" s="41">
        <v>194.8355</v>
      </c>
      <c r="G294" s="41">
        <f>IF(ISNUMBER(F294),E294*F294,"")</f>
        <v>112.8487216</v>
      </c>
      <c r="H294" s="42"/>
      <c r="I294" s="38"/>
      <c r="J294" s="37">
        <v>0</v>
      </c>
    </row>
    <row r="295" spans="1:10" hidden="1" x14ac:dyDescent="0.25">
      <c r="A295" s="174"/>
      <c r="B295" s="177"/>
      <c r="C295" s="43" t="s">
        <v>10614</v>
      </c>
      <c r="D295" s="43" t="s">
        <v>2800</v>
      </c>
      <c r="E295" s="44">
        <v>2.3275000000000001</v>
      </c>
      <c r="F295" s="38">
        <v>23.693000000000001</v>
      </c>
      <c r="G295" s="41">
        <f>IF(ISNUMBER(F295),E295*F295,"")</f>
        <v>55.145457500000006</v>
      </c>
      <c r="H295" s="42"/>
      <c r="I295" s="38"/>
      <c r="J295" s="37">
        <v>0</v>
      </c>
    </row>
    <row r="296" spans="1:10" ht="25.5" hidden="1" x14ac:dyDescent="0.25">
      <c r="A296" s="174"/>
      <c r="B296" s="177"/>
      <c r="C296" s="43" t="s">
        <v>10649</v>
      </c>
      <c r="D296" s="43" t="s">
        <v>2800</v>
      </c>
      <c r="E296" s="44">
        <v>1.4695</v>
      </c>
      <c r="F296" s="38">
        <v>25.745000000000001</v>
      </c>
      <c r="G296" s="41">
        <f>IF(ISNUMBER(F296),E296*F296,"")</f>
        <v>37.832277500000004</v>
      </c>
      <c r="H296" s="42"/>
      <c r="I296" s="38"/>
      <c r="J296" s="37">
        <v>0</v>
      </c>
    </row>
    <row r="297" spans="1:10" ht="38.25" hidden="1" x14ac:dyDescent="0.25">
      <c r="A297" s="174"/>
      <c r="B297" s="177"/>
      <c r="C297" s="43" t="s">
        <v>10650</v>
      </c>
      <c r="D297" s="43" t="s">
        <v>1050</v>
      </c>
      <c r="E297" s="44">
        <v>0.75629999999999997</v>
      </c>
      <c r="F297" s="41">
        <v>1.6435</v>
      </c>
      <c r="G297" s="41">
        <f>IF(ISNUMBER(F297),E297*F297,"")</f>
        <v>1.24297905</v>
      </c>
      <c r="H297" s="42"/>
      <c r="I297" s="38"/>
      <c r="J297" s="37">
        <v>0</v>
      </c>
    </row>
    <row r="298" spans="1:10" ht="38.25" hidden="1" x14ac:dyDescent="0.25">
      <c r="A298" s="174"/>
      <c r="B298" s="177"/>
      <c r="C298" s="43" t="s">
        <v>10651</v>
      </c>
      <c r="D298" s="43" t="s">
        <v>10677</v>
      </c>
      <c r="E298" s="44">
        <v>0.71309999999999996</v>
      </c>
      <c r="F298" s="41">
        <v>0.41799999999999998</v>
      </c>
      <c r="G298" s="41">
        <f>IF(ISNUMBER(F298),E298*F298,"")</f>
        <v>0.29807579999999995</v>
      </c>
      <c r="H298" s="42"/>
      <c r="I298" s="38"/>
      <c r="J298" s="37">
        <v>0</v>
      </c>
    </row>
    <row r="299" spans="1:10" ht="51" hidden="1" x14ac:dyDescent="0.25">
      <c r="A299" s="174"/>
      <c r="B299" s="177"/>
      <c r="C299" s="43" t="s">
        <v>10624</v>
      </c>
      <c r="D299" s="43" t="s">
        <v>2880</v>
      </c>
      <c r="E299" s="44">
        <f>1*(E292+E294)</f>
        <v>1.3837999999999999</v>
      </c>
      <c r="F299" s="41">
        <v>8.5522277500000001</v>
      </c>
      <c r="G299" s="41">
        <f>IF(ISNUMBER(F299),E299*F299,"")</f>
        <v>11.83457276045</v>
      </c>
      <c r="H299" s="42"/>
      <c r="I299" s="38"/>
      <c r="J299" s="37">
        <v>0</v>
      </c>
    </row>
    <row r="300" spans="1:10" ht="38.25" hidden="1" x14ac:dyDescent="0.25">
      <c r="A300" s="174"/>
      <c r="B300" s="177"/>
      <c r="C300" s="43" t="s">
        <v>10622</v>
      </c>
      <c r="D300" s="43" t="s">
        <v>10676</v>
      </c>
      <c r="E300" s="44">
        <f>(E292+E294)*20</f>
        <v>27.675999999999998</v>
      </c>
      <c r="F300" s="41">
        <v>2.9193680499999997</v>
      </c>
      <c r="G300" s="41">
        <f>IF(ISNUMBER(F300),E300*F300,"")</f>
        <v>80.796430151799981</v>
      </c>
      <c r="H300" s="42"/>
      <c r="I300" s="38"/>
      <c r="J300" s="37">
        <v>0</v>
      </c>
    </row>
    <row r="301" spans="1:10" hidden="1" x14ac:dyDescent="0.25">
      <c r="A301" s="174"/>
      <c r="B301" s="177"/>
      <c r="C301" s="61"/>
      <c r="D301" s="62"/>
      <c r="E301" s="44"/>
      <c r="F301" s="41" t="s">
        <v>13</v>
      </c>
      <c r="G301" s="41" t="str">
        <f>IF(ISNUMBER(F301),E301*F301,"")</f>
        <v/>
      </c>
      <c r="H301" s="42"/>
      <c r="I301" s="38"/>
      <c r="J301" s="37">
        <v>0</v>
      </c>
    </row>
    <row r="302" spans="1:10" ht="25.5" hidden="1" x14ac:dyDescent="0.25">
      <c r="A302" s="174"/>
      <c r="B302" s="177"/>
      <c r="C302" s="4" t="s">
        <v>78</v>
      </c>
      <c r="D302" s="62"/>
      <c r="E302" s="44"/>
      <c r="F302" s="41" t="s">
        <v>13</v>
      </c>
      <c r="G302" s="41" t="str">
        <f>IF(ISNUMBER(F302),E302*F302,"")</f>
        <v/>
      </c>
      <c r="H302" s="42"/>
      <c r="I302" s="38"/>
      <c r="J302" s="37">
        <v>0</v>
      </c>
    </row>
    <row r="303" spans="1:10" ht="15.75" hidden="1" thickBot="1" x14ac:dyDescent="0.3">
      <c r="A303" s="175"/>
      <c r="B303" s="178"/>
      <c r="C303" s="49"/>
      <c r="D303" s="49"/>
      <c r="E303" s="50"/>
      <c r="F303" s="51" t="s">
        <v>13</v>
      </c>
      <c r="G303" s="51" t="str">
        <f>IF(ISNUMBER(F303),E303*F303,"")</f>
        <v/>
      </c>
      <c r="H303" s="53"/>
      <c r="I303" s="38"/>
      <c r="J303" s="37">
        <v>0</v>
      </c>
    </row>
    <row r="304" spans="1:10" ht="15.75" hidden="1" thickBot="1" x14ac:dyDescent="0.3">
      <c r="A304" s="173" t="s">
        <v>79</v>
      </c>
      <c r="B304" s="176" t="s">
        <v>3077</v>
      </c>
      <c r="C304" s="31"/>
      <c r="D304" s="32" t="s">
        <v>1788</v>
      </c>
      <c r="E304" s="33"/>
      <c r="F304" s="54" t="s">
        <v>13</v>
      </c>
      <c r="G304" s="34" t="str">
        <f>IF(ISNUMBER(F304),E304*F304,"")</f>
        <v/>
      </c>
      <c r="H304" s="35"/>
      <c r="I304" s="36"/>
      <c r="J304" s="37">
        <v>0</v>
      </c>
    </row>
    <row r="305" spans="1:10" hidden="1" x14ac:dyDescent="0.25">
      <c r="A305" s="174"/>
      <c r="B305" s="177"/>
      <c r="C305" s="39"/>
      <c r="D305" s="39"/>
      <c r="E305" s="40"/>
      <c r="F305" s="55" t="s">
        <v>13</v>
      </c>
      <c r="G305" s="38" t="str">
        <f>IF(ISNUMBER(F305),E305*F305,"")</f>
        <v/>
      </c>
      <c r="H305" s="42"/>
      <c r="I305" s="38"/>
      <c r="J305" s="37">
        <v>0</v>
      </c>
    </row>
    <row r="306" spans="1:10" ht="25.5" hidden="1" x14ac:dyDescent="0.25">
      <c r="A306" s="174"/>
      <c r="B306" s="177"/>
      <c r="C306" s="43" t="s">
        <v>10695</v>
      </c>
      <c r="D306" s="43" t="s">
        <v>2880</v>
      </c>
      <c r="E306" s="44">
        <v>1</v>
      </c>
      <c r="F306" s="38">
        <v>328.49380250000002</v>
      </c>
      <c r="G306" s="41">
        <f>IF(ISNUMBER(F306),E306*F306,"")</f>
        <v>328.49380250000002</v>
      </c>
      <c r="H306" s="46">
        <f>SUM(G306:G315)</f>
        <v>1004.8644588216251</v>
      </c>
      <c r="I306" s="47"/>
      <c r="J306" s="37">
        <v>0</v>
      </c>
    </row>
    <row r="307" spans="1:10" ht="25.5" hidden="1" x14ac:dyDescent="0.25">
      <c r="A307" s="174"/>
      <c r="B307" s="177"/>
      <c r="C307" s="43" t="s">
        <v>10647</v>
      </c>
      <c r="D307" s="43" t="s">
        <v>2880</v>
      </c>
      <c r="E307" s="44">
        <v>0.72289999999999999</v>
      </c>
      <c r="F307" s="41">
        <v>199.71849999999998</v>
      </c>
      <c r="G307" s="38">
        <f>IF(ISNUMBER(F307),E307*F307,"")</f>
        <v>144.37650364999999</v>
      </c>
      <c r="H307" s="42"/>
      <c r="I307" s="38"/>
      <c r="J307" s="37">
        <v>0</v>
      </c>
    </row>
    <row r="308" spans="1:10" hidden="1" x14ac:dyDescent="0.25">
      <c r="A308" s="174"/>
      <c r="B308" s="177"/>
      <c r="C308" s="43" t="s">
        <v>10648</v>
      </c>
      <c r="D308" s="43" t="s">
        <v>1044</v>
      </c>
      <c r="E308" s="44">
        <v>362.65789999999998</v>
      </c>
      <c r="F308" s="41">
        <v>0.64600000000000002</v>
      </c>
      <c r="G308" s="38">
        <f>IF(ISNUMBER(F308),E308*F308,"")</f>
        <v>234.27700339999998</v>
      </c>
      <c r="H308" s="42"/>
      <c r="I308" s="38"/>
      <c r="J308" s="37">
        <v>0</v>
      </c>
    </row>
    <row r="309" spans="1:10" ht="25.5" hidden="1" x14ac:dyDescent="0.25">
      <c r="A309" s="174"/>
      <c r="B309" s="177"/>
      <c r="C309" s="43" t="s">
        <v>10662</v>
      </c>
      <c r="D309" s="43" t="s">
        <v>2880</v>
      </c>
      <c r="E309" s="44">
        <v>0.59340000000000004</v>
      </c>
      <c r="F309" s="41">
        <v>194.8355</v>
      </c>
      <c r="G309" s="38">
        <f>IF(ISNUMBER(F309),E309*F309,"")</f>
        <v>115.6153857</v>
      </c>
      <c r="H309" s="42"/>
      <c r="I309" s="38"/>
      <c r="J309" s="37">
        <v>0</v>
      </c>
    </row>
    <row r="310" spans="1:10" hidden="1" x14ac:dyDescent="0.25">
      <c r="A310" s="174"/>
      <c r="B310" s="177"/>
      <c r="C310" s="43" t="s">
        <v>10614</v>
      </c>
      <c r="D310" s="43" t="s">
        <v>2800</v>
      </c>
      <c r="E310" s="44">
        <v>2.3117000000000001</v>
      </c>
      <c r="F310" s="38">
        <v>23.693000000000001</v>
      </c>
      <c r="G310" s="38">
        <f>IF(ISNUMBER(F310),E310*F310,"")</f>
        <v>54.771108100000006</v>
      </c>
      <c r="H310" s="42"/>
      <c r="I310" s="38"/>
      <c r="J310" s="37">
        <v>0</v>
      </c>
    </row>
    <row r="311" spans="1:10" ht="25.5" hidden="1" x14ac:dyDescent="0.25">
      <c r="A311" s="174"/>
      <c r="B311" s="177"/>
      <c r="C311" s="43" t="s">
        <v>10649</v>
      </c>
      <c r="D311" s="43" t="s">
        <v>2800</v>
      </c>
      <c r="E311" s="44">
        <v>1.4637</v>
      </c>
      <c r="F311" s="38">
        <v>25.745000000000001</v>
      </c>
      <c r="G311" s="38">
        <f>IF(ISNUMBER(F311),E311*F311,"")</f>
        <v>37.682956500000003</v>
      </c>
      <c r="H311" s="42"/>
      <c r="I311" s="38"/>
      <c r="J311" s="37">
        <v>0</v>
      </c>
    </row>
    <row r="312" spans="1:10" ht="38.25" hidden="1" x14ac:dyDescent="0.25">
      <c r="A312" s="174"/>
      <c r="B312" s="177"/>
      <c r="C312" s="43" t="s">
        <v>10650</v>
      </c>
      <c r="D312" s="43" t="s">
        <v>1050</v>
      </c>
      <c r="E312" s="44">
        <v>0.75339999999999996</v>
      </c>
      <c r="F312" s="41">
        <v>1.6435</v>
      </c>
      <c r="G312" s="38">
        <f>IF(ISNUMBER(F312),E312*F312,"")</f>
        <v>1.2382128999999999</v>
      </c>
      <c r="H312" s="42"/>
      <c r="I312" s="38"/>
      <c r="J312" s="37">
        <v>0</v>
      </c>
    </row>
    <row r="313" spans="1:10" ht="38.25" hidden="1" x14ac:dyDescent="0.25">
      <c r="A313" s="174"/>
      <c r="B313" s="177"/>
      <c r="C313" s="43" t="s">
        <v>10651</v>
      </c>
      <c r="D313" s="43" t="s">
        <v>10677</v>
      </c>
      <c r="E313" s="44">
        <v>0.71030000000000004</v>
      </c>
      <c r="F313" s="41">
        <v>0.41799999999999998</v>
      </c>
      <c r="G313" s="38">
        <f>IF(ISNUMBER(F313),E313*F313,"")</f>
        <v>0.29690539999999999</v>
      </c>
      <c r="H313" s="42"/>
      <c r="I313" s="38"/>
      <c r="J313" s="37">
        <v>0</v>
      </c>
    </row>
    <row r="314" spans="1:10" ht="51" hidden="1" x14ac:dyDescent="0.25">
      <c r="A314" s="174"/>
      <c r="B314" s="177"/>
      <c r="C314" s="43" t="s">
        <v>10624</v>
      </c>
      <c r="D314" s="43" t="s">
        <v>2880</v>
      </c>
      <c r="E314" s="44">
        <f>1*(E307+E309)</f>
        <v>1.3163</v>
      </c>
      <c r="F314" s="41">
        <v>8.5522277500000001</v>
      </c>
      <c r="G314" s="41">
        <f>IF(ISNUMBER(F314),E314*F314,"")</f>
        <v>11.257297387325</v>
      </c>
      <c r="H314" s="42"/>
      <c r="I314" s="38"/>
      <c r="J314" s="37">
        <v>0</v>
      </c>
    </row>
    <row r="315" spans="1:10" ht="38.25" hidden="1" x14ac:dyDescent="0.25">
      <c r="A315" s="174"/>
      <c r="B315" s="177"/>
      <c r="C315" s="43" t="s">
        <v>10622</v>
      </c>
      <c r="D315" s="43" t="s">
        <v>10676</v>
      </c>
      <c r="E315" s="44">
        <f>(E307+E309)*20</f>
        <v>26.326000000000001</v>
      </c>
      <c r="F315" s="41">
        <v>2.9193680499999997</v>
      </c>
      <c r="G315" s="41">
        <f>IF(ISNUMBER(F315),E315*F315,"")</f>
        <v>76.855283284299986</v>
      </c>
      <c r="H315" s="42"/>
      <c r="I315" s="38"/>
      <c r="J315" s="37">
        <v>0</v>
      </c>
    </row>
    <row r="316" spans="1:10" hidden="1" x14ac:dyDescent="0.25">
      <c r="A316" s="174"/>
      <c r="B316" s="177"/>
      <c r="C316" s="61"/>
      <c r="D316" s="62"/>
      <c r="E316" s="44"/>
      <c r="F316" s="41" t="s">
        <v>13</v>
      </c>
      <c r="G316" s="41" t="str">
        <f>IF(ISNUMBER(F316),E316*F316,"")</f>
        <v/>
      </c>
      <c r="H316" s="42"/>
      <c r="I316" s="38"/>
      <c r="J316" s="37">
        <v>0</v>
      </c>
    </row>
    <row r="317" spans="1:10" ht="25.5" hidden="1" x14ac:dyDescent="0.25">
      <c r="A317" s="174"/>
      <c r="B317" s="177"/>
      <c r="C317" s="4" t="s">
        <v>78</v>
      </c>
      <c r="D317" s="62"/>
      <c r="E317" s="44"/>
      <c r="F317" s="41" t="s">
        <v>13</v>
      </c>
      <c r="G317" s="41" t="str">
        <f>IF(ISNUMBER(F317),E317*F317,"")</f>
        <v/>
      </c>
      <c r="H317" s="42"/>
      <c r="I317" s="38"/>
      <c r="J317" s="37">
        <v>0</v>
      </c>
    </row>
    <row r="318" spans="1:10" ht="15.75" hidden="1" thickBot="1" x14ac:dyDescent="0.3">
      <c r="A318" s="175"/>
      <c r="B318" s="178"/>
      <c r="C318" s="49"/>
      <c r="D318" s="49"/>
      <c r="E318" s="50"/>
      <c r="F318" s="51" t="s">
        <v>13</v>
      </c>
      <c r="G318" s="51" t="str">
        <f>IF(ISNUMBER(F318),E318*F318,"")</f>
        <v/>
      </c>
      <c r="H318" s="53"/>
      <c r="I318" s="38"/>
      <c r="J318" s="37">
        <v>0</v>
      </c>
    </row>
    <row r="319" spans="1:10" ht="15.75" hidden="1" thickBot="1" x14ac:dyDescent="0.3">
      <c r="A319" s="173" t="s">
        <v>80</v>
      </c>
      <c r="B319" s="176" t="s">
        <v>3078</v>
      </c>
      <c r="C319" s="31"/>
      <c r="D319" s="32" t="s">
        <v>3025</v>
      </c>
      <c r="E319" s="33"/>
      <c r="F319" s="54" t="s">
        <v>13</v>
      </c>
      <c r="G319" s="34" t="str">
        <f>IF(ISNUMBER(F319),E319*F319,"")</f>
        <v/>
      </c>
      <c r="H319" s="35"/>
      <c r="I319" s="36"/>
      <c r="J319" s="37">
        <v>0</v>
      </c>
    </row>
    <row r="320" spans="1:10" hidden="1" x14ac:dyDescent="0.25">
      <c r="A320" s="174"/>
      <c r="B320" s="177"/>
      <c r="C320" s="39"/>
      <c r="D320" s="39"/>
      <c r="E320" s="40"/>
      <c r="F320" s="38" t="s">
        <v>13</v>
      </c>
      <c r="G320" s="38" t="str">
        <f>IF(ISNUMBER(F320),E320*F320,"")</f>
        <v/>
      </c>
      <c r="H320" s="42"/>
      <c r="I320" s="38"/>
      <c r="J320" s="37">
        <v>0</v>
      </c>
    </row>
    <row r="321" spans="1:10" ht="38.25" hidden="1" x14ac:dyDescent="0.25">
      <c r="A321" s="174"/>
      <c r="B321" s="177"/>
      <c r="C321" s="43" t="s">
        <v>10838</v>
      </c>
      <c r="D321" s="43" t="s">
        <v>10822</v>
      </c>
      <c r="E321" s="44">
        <v>0.85</v>
      </c>
      <c r="F321" s="38">
        <v>25.289000000000001</v>
      </c>
      <c r="G321" s="38">
        <f>IF(ISNUMBER(F321),E321*F321,"")</f>
        <v>21.495650000000001</v>
      </c>
      <c r="H321" s="46">
        <f>SUM(G321:G323)</f>
        <v>34.403300000000002</v>
      </c>
      <c r="I321" s="47"/>
      <c r="J321" s="37">
        <v>0</v>
      </c>
    </row>
    <row r="322" spans="1:10" hidden="1" x14ac:dyDescent="0.25">
      <c r="A322" s="174"/>
      <c r="B322" s="177"/>
      <c r="C322" s="43" t="s">
        <v>10655</v>
      </c>
      <c r="D322" s="43" t="s">
        <v>2800</v>
      </c>
      <c r="E322" s="44">
        <v>0.2</v>
      </c>
      <c r="F322" s="38">
        <v>24.358000000000001</v>
      </c>
      <c r="G322" s="38">
        <f>IF(ISNUMBER(F322),E322*F322,"")</f>
        <v>4.8716000000000008</v>
      </c>
      <c r="H322" s="42"/>
      <c r="I322" s="38"/>
      <c r="J322" s="37">
        <v>0</v>
      </c>
    </row>
    <row r="323" spans="1:10" ht="25.5" hidden="1" x14ac:dyDescent="0.25">
      <c r="A323" s="174"/>
      <c r="B323" s="177"/>
      <c r="C323" s="43" t="s">
        <v>10612</v>
      </c>
      <c r="D323" s="43" t="s">
        <v>1302</v>
      </c>
      <c r="E323" s="44">
        <v>1.1000000000000001</v>
      </c>
      <c r="F323" s="38">
        <v>7.3055000000000003</v>
      </c>
      <c r="G323" s="38">
        <f>IF(ISNUMBER(F323),E323*F323,"")</f>
        <v>8.0360500000000012</v>
      </c>
      <c r="H323" s="42"/>
      <c r="I323" s="38"/>
      <c r="J323" s="37">
        <v>0</v>
      </c>
    </row>
    <row r="324" spans="1:10" ht="15.75" hidden="1" thickBot="1" x14ac:dyDescent="0.3">
      <c r="A324" s="175"/>
      <c r="B324" s="178"/>
      <c r="C324" s="49"/>
      <c r="D324" s="49"/>
      <c r="E324" s="50"/>
      <c r="F324" s="51" t="s">
        <v>13</v>
      </c>
      <c r="G324" s="51" t="str">
        <f>IF(ISNUMBER(F324),E324*F324,"")</f>
        <v/>
      </c>
      <c r="H324" s="53"/>
      <c r="I324" s="38"/>
      <c r="J324" s="37">
        <v>0</v>
      </c>
    </row>
    <row r="325" spans="1:10" ht="15.75" hidden="1" thickBot="1" x14ac:dyDescent="0.3">
      <c r="A325" s="173" t="s">
        <v>81</v>
      </c>
      <c r="B325" s="176" t="s">
        <v>3079</v>
      </c>
      <c r="C325" s="31"/>
      <c r="D325" s="32" t="s">
        <v>72</v>
      </c>
      <c r="E325" s="33"/>
      <c r="F325" s="54" t="s">
        <v>13</v>
      </c>
      <c r="G325" s="34" t="str">
        <f>IF(ISNUMBER(F325),E325*F325,"")</f>
        <v/>
      </c>
      <c r="H325" s="35"/>
      <c r="I325" s="36"/>
      <c r="J325" s="37">
        <v>0</v>
      </c>
    </row>
    <row r="326" spans="1:10" hidden="1" x14ac:dyDescent="0.25">
      <c r="A326" s="174"/>
      <c r="B326" s="177"/>
      <c r="C326" s="39"/>
      <c r="D326" s="39"/>
      <c r="E326" s="40"/>
      <c r="F326" s="55" t="s">
        <v>13</v>
      </c>
      <c r="G326" s="38" t="str">
        <f>IF(ISNUMBER(F326),E326*F326,"")</f>
        <v/>
      </c>
      <c r="H326" s="42"/>
      <c r="I326" s="38"/>
      <c r="J326" s="37">
        <v>0</v>
      </c>
    </row>
    <row r="327" spans="1:10" ht="25.5" hidden="1" x14ac:dyDescent="0.25">
      <c r="A327" s="174"/>
      <c r="B327" s="177"/>
      <c r="C327" s="43" t="s">
        <v>10839</v>
      </c>
      <c r="D327" s="43" t="s">
        <v>1050</v>
      </c>
      <c r="E327" s="44">
        <v>0.5</v>
      </c>
      <c r="F327" s="41">
        <v>5.6999999999999995E-2</v>
      </c>
      <c r="G327" s="41">
        <f>IF(ISNUMBER(F327),E327*F327,"")</f>
        <v>2.8499999999999998E-2</v>
      </c>
      <c r="H327" s="46">
        <f>SUM(G327:G339)</f>
        <v>24.713608956309013</v>
      </c>
      <c r="I327" s="47"/>
      <c r="J327" s="37">
        <v>0</v>
      </c>
    </row>
    <row r="328" spans="1:10" hidden="1" x14ac:dyDescent="0.25">
      <c r="A328" s="174"/>
      <c r="B328" s="177"/>
      <c r="C328" s="43" t="s">
        <v>10840</v>
      </c>
      <c r="D328" s="43" t="s">
        <v>1044</v>
      </c>
      <c r="E328" s="44">
        <v>0.4</v>
      </c>
      <c r="F328" s="41">
        <v>9.5</v>
      </c>
      <c r="G328" s="41">
        <f>IF(ISNUMBER(F328),E328*F328,"")</f>
        <v>3.8000000000000003</v>
      </c>
      <c r="H328" s="42"/>
      <c r="I328" s="47"/>
      <c r="J328" s="37">
        <v>0</v>
      </c>
    </row>
    <row r="329" spans="1:10" ht="25.5" hidden="1" x14ac:dyDescent="0.25">
      <c r="A329" s="174"/>
      <c r="B329" s="177"/>
      <c r="C329" s="43" t="s">
        <v>10841</v>
      </c>
      <c r="D329" s="43" t="s">
        <v>2880</v>
      </c>
      <c r="E329" s="44">
        <v>0.05</v>
      </c>
      <c r="F329" s="41">
        <v>21.754999999999999</v>
      </c>
      <c r="G329" s="41">
        <f>IF(ISNUMBER(F329),E329*F329,"")</f>
        <v>1.08775</v>
      </c>
      <c r="H329" s="42"/>
      <c r="I329" s="47"/>
      <c r="J329" s="37">
        <v>0</v>
      </c>
    </row>
    <row r="330" spans="1:10" ht="25.5" hidden="1" x14ac:dyDescent="0.25">
      <c r="A330" s="174"/>
      <c r="B330" s="177"/>
      <c r="C330" s="43" t="s">
        <v>10842</v>
      </c>
      <c r="D330" s="43" t="s">
        <v>1044</v>
      </c>
      <c r="E330" s="44">
        <v>0.01</v>
      </c>
      <c r="F330" s="41">
        <v>99.274999999999991</v>
      </c>
      <c r="G330" s="41">
        <f>IF(ISNUMBER(F330),E330*F330,"")</f>
        <v>0.99274999999999991</v>
      </c>
      <c r="H330" s="42"/>
      <c r="I330" s="47"/>
      <c r="J330" s="37">
        <v>0</v>
      </c>
    </row>
    <row r="331" spans="1:10" hidden="1" x14ac:dyDescent="0.25">
      <c r="A331" s="174"/>
      <c r="B331" s="177"/>
      <c r="C331" s="43" t="s">
        <v>10808</v>
      </c>
      <c r="D331" s="43" t="s">
        <v>2800</v>
      </c>
      <c r="E331" s="44">
        <v>0.02</v>
      </c>
      <c r="F331" s="41">
        <v>31.729999999999997</v>
      </c>
      <c r="G331" s="41">
        <f>IF(ISNUMBER(F331),E331*F331,"")</f>
        <v>0.63459999999999994</v>
      </c>
      <c r="H331" s="42"/>
      <c r="I331" s="47"/>
      <c r="J331" s="37">
        <v>0</v>
      </c>
    </row>
    <row r="332" spans="1:10" ht="25.5" hidden="1" x14ac:dyDescent="0.25">
      <c r="A332" s="174"/>
      <c r="B332" s="177"/>
      <c r="C332" s="43" t="s">
        <v>10843</v>
      </c>
      <c r="D332" s="43" t="s">
        <v>2800</v>
      </c>
      <c r="E332" s="44">
        <v>0.1</v>
      </c>
      <c r="F332" s="41">
        <v>23.388999999999999</v>
      </c>
      <c r="G332" s="41">
        <f>IF(ISNUMBER(F332),E332*F332,"")</f>
        <v>2.3389000000000002</v>
      </c>
      <c r="H332" s="42"/>
      <c r="I332" s="47"/>
      <c r="J332" s="37">
        <v>0</v>
      </c>
    </row>
    <row r="333" spans="1:10" ht="25.5" hidden="1" x14ac:dyDescent="0.25">
      <c r="A333" s="174"/>
      <c r="B333" s="177"/>
      <c r="C333" s="43" t="s">
        <v>10825</v>
      </c>
      <c r="D333" s="43" t="s">
        <v>2800</v>
      </c>
      <c r="E333" s="44">
        <v>0.3</v>
      </c>
      <c r="F333" s="41">
        <v>25.383999999999997</v>
      </c>
      <c r="G333" s="41">
        <f>IF(ISNUMBER(F333),E333*F333,"")</f>
        <v>7.6151999999999989</v>
      </c>
      <c r="H333" s="42"/>
      <c r="I333" s="47"/>
      <c r="J333" s="37">
        <v>0</v>
      </c>
    </row>
    <row r="334" spans="1:10" hidden="1" x14ac:dyDescent="0.25">
      <c r="A334" s="174"/>
      <c r="B334" s="177"/>
      <c r="C334" s="43" t="s">
        <v>10673</v>
      </c>
      <c r="D334" s="43" t="s">
        <v>70</v>
      </c>
      <c r="E334" s="44">
        <f>0.0062*3.6</f>
        <v>2.232E-2</v>
      </c>
      <c r="F334" s="41">
        <v>48.221999999999994</v>
      </c>
      <c r="G334" s="41">
        <f>IF(ISNUMBER(F334),E334*F334,"")</f>
        <v>1.0763150399999999</v>
      </c>
      <c r="H334" s="42"/>
      <c r="I334" s="47"/>
      <c r="J334" s="37">
        <v>0</v>
      </c>
    </row>
    <row r="335" spans="1:10" hidden="1" x14ac:dyDescent="0.25">
      <c r="A335" s="174"/>
      <c r="B335" s="177"/>
      <c r="C335" s="43" t="s">
        <v>10844</v>
      </c>
      <c r="D335" s="43" t="s">
        <v>2800</v>
      </c>
      <c r="E335" s="44">
        <v>2.5000000000000001E-2</v>
      </c>
      <c r="F335" s="41">
        <v>25.1845</v>
      </c>
      <c r="G335" s="41">
        <f>IF(ISNUMBER(F335),E335*F335,"")</f>
        <v>0.62961250000000002</v>
      </c>
      <c r="H335" s="42"/>
      <c r="I335" s="47"/>
      <c r="J335" s="37">
        <v>0</v>
      </c>
    </row>
    <row r="336" spans="1:10" hidden="1" x14ac:dyDescent="0.25">
      <c r="A336" s="174"/>
      <c r="B336" s="177"/>
      <c r="C336" s="43" t="s">
        <v>10845</v>
      </c>
      <c r="D336" s="43" t="s">
        <v>1044</v>
      </c>
      <c r="E336" s="44">
        <v>0.33</v>
      </c>
      <c r="F336" s="41">
        <v>8.302999999999999</v>
      </c>
      <c r="G336" s="41">
        <f>IF(ISNUMBER(F336),E336*F336,"")</f>
        <v>2.7399899999999997</v>
      </c>
      <c r="H336" s="42"/>
      <c r="I336" s="38"/>
      <c r="J336" s="37">
        <v>0</v>
      </c>
    </row>
    <row r="337" spans="1:10" hidden="1" x14ac:dyDescent="0.25">
      <c r="A337" s="174"/>
      <c r="B337" s="177"/>
      <c r="C337" s="43" t="s">
        <v>10846</v>
      </c>
      <c r="D337" s="43" t="s">
        <v>1044</v>
      </c>
      <c r="E337" s="44">
        <v>2.5000000000000001E-2</v>
      </c>
      <c r="F337" s="41">
        <v>41.8</v>
      </c>
      <c r="G337" s="41">
        <f>IF(ISNUMBER(F337),E337*F337,"")</f>
        <v>1.0449999999999999</v>
      </c>
      <c r="H337" s="42"/>
      <c r="I337" s="38"/>
      <c r="J337" s="37">
        <v>0</v>
      </c>
    </row>
    <row r="338" spans="1:10" ht="25.5" hidden="1" x14ac:dyDescent="0.25">
      <c r="A338" s="174"/>
      <c r="B338" s="177"/>
      <c r="C338" s="43" t="s">
        <v>82</v>
      </c>
      <c r="D338" s="43" t="s">
        <v>83</v>
      </c>
      <c r="E338" s="44">
        <v>1E-4</v>
      </c>
      <c r="F338" s="41" t="s">
        <v>13</v>
      </c>
      <c r="G338" s="41" t="str">
        <f>IF(ISNUMBER(F338),E338*F338,"")</f>
        <v/>
      </c>
      <c r="H338" s="42"/>
      <c r="I338" s="38"/>
      <c r="J338" s="37">
        <v>0</v>
      </c>
    </row>
    <row r="339" spans="1:10" ht="25.5" hidden="1" x14ac:dyDescent="0.25">
      <c r="A339" s="174"/>
      <c r="B339" s="177"/>
      <c r="C339" s="43" t="s">
        <v>10847</v>
      </c>
      <c r="D339" s="43" t="s">
        <v>1302</v>
      </c>
      <c r="E339" s="44">
        <f>0.27/6.99</f>
        <v>3.8626609442060089E-2</v>
      </c>
      <c r="F339" s="41">
        <v>70.546999999999997</v>
      </c>
      <c r="G339" s="41">
        <f>IF(ISNUMBER(F339),E339*F339,"")</f>
        <v>2.7249914163090132</v>
      </c>
      <c r="H339" s="42"/>
      <c r="I339" s="38"/>
      <c r="J339" s="37">
        <v>0</v>
      </c>
    </row>
    <row r="340" spans="1:10" ht="15.75" hidden="1" thickBot="1" x14ac:dyDescent="0.3">
      <c r="A340" s="175"/>
      <c r="B340" s="178"/>
      <c r="C340" s="49"/>
      <c r="D340" s="49"/>
      <c r="E340" s="50"/>
      <c r="F340" s="51" t="s">
        <v>13</v>
      </c>
      <c r="G340" s="51" t="str">
        <f>IF(ISNUMBER(F340),E340*F340,"")</f>
        <v/>
      </c>
      <c r="H340" s="53"/>
      <c r="I340" s="38"/>
      <c r="J340" s="37">
        <v>0</v>
      </c>
    </row>
    <row r="341" spans="1:10" ht="15.75" hidden="1" thickBot="1" x14ac:dyDescent="0.3">
      <c r="A341" s="173" t="s">
        <v>84</v>
      </c>
      <c r="B341" s="176" t="s">
        <v>3080</v>
      </c>
      <c r="C341" s="31"/>
      <c r="D341" s="32" t="s">
        <v>68</v>
      </c>
      <c r="E341" s="33"/>
      <c r="F341" s="54" t="s">
        <v>13</v>
      </c>
      <c r="G341" s="34" t="str">
        <f>IF(ISNUMBER(F341),E341*F341,"")</f>
        <v/>
      </c>
      <c r="H341" s="35"/>
      <c r="I341" s="36"/>
      <c r="J341" s="37">
        <v>0</v>
      </c>
    </row>
    <row r="342" spans="1:10" hidden="1" x14ac:dyDescent="0.25">
      <c r="A342" s="174"/>
      <c r="B342" s="177"/>
      <c r="C342" s="39"/>
      <c r="D342" s="39"/>
      <c r="E342" s="40"/>
      <c r="F342" s="55" t="s">
        <v>13</v>
      </c>
      <c r="G342" s="38" t="str">
        <f>IF(ISNUMBER(F342),E342*F342,"")</f>
        <v/>
      </c>
      <c r="H342" s="42"/>
      <c r="I342" s="38"/>
      <c r="J342" s="37">
        <v>0</v>
      </c>
    </row>
    <row r="343" spans="1:10" ht="25.5" hidden="1" x14ac:dyDescent="0.25">
      <c r="A343" s="174"/>
      <c r="B343" s="177"/>
      <c r="C343" s="43" t="s">
        <v>10775</v>
      </c>
      <c r="D343" s="43" t="s">
        <v>70</v>
      </c>
      <c r="E343" s="44">
        <v>0.01</v>
      </c>
      <c r="F343" s="41">
        <v>8.5310000000000006</v>
      </c>
      <c r="G343" s="41">
        <f>IF(ISNUMBER(F343),E343*F343,"")</f>
        <v>8.5310000000000011E-2</v>
      </c>
      <c r="H343" s="46">
        <f>SUM(G343:G349)</f>
        <v>172.32960248199998</v>
      </c>
      <c r="I343" s="47"/>
      <c r="J343" s="37">
        <v>0</v>
      </c>
    </row>
    <row r="344" spans="1:10" ht="38.25" hidden="1" x14ac:dyDescent="0.25">
      <c r="A344" s="174"/>
      <c r="B344" s="177"/>
      <c r="C344" s="43" t="s">
        <v>10848</v>
      </c>
      <c r="D344" s="43" t="s">
        <v>1302</v>
      </c>
      <c r="E344" s="44">
        <v>0.47399999999999998</v>
      </c>
      <c r="F344" s="41">
        <v>17.783999999999999</v>
      </c>
      <c r="G344" s="41">
        <f>IF(ISNUMBER(F344),E344*F344,"")</f>
        <v>8.4296159999999993</v>
      </c>
      <c r="H344" s="42"/>
      <c r="I344" s="38"/>
      <c r="J344" s="37">
        <v>0</v>
      </c>
    </row>
    <row r="345" spans="1:10" hidden="1" x14ac:dyDescent="0.25">
      <c r="A345" s="174"/>
      <c r="B345" s="177"/>
      <c r="C345" s="43" t="s">
        <v>10776</v>
      </c>
      <c r="D345" s="43" t="s">
        <v>1044</v>
      </c>
      <c r="E345" s="44">
        <v>4.9000000000000002E-2</v>
      </c>
      <c r="F345" s="41">
        <v>22.704999999999998</v>
      </c>
      <c r="G345" s="41">
        <f>IF(ISNUMBER(F345),E345*F345,"")</f>
        <v>1.1125449999999999</v>
      </c>
      <c r="H345" s="42"/>
      <c r="I345" s="38"/>
      <c r="J345" s="37">
        <v>0</v>
      </c>
    </row>
    <row r="346" spans="1:10" hidden="1" x14ac:dyDescent="0.25">
      <c r="A346" s="174"/>
      <c r="B346" s="177"/>
      <c r="C346" s="43" t="s">
        <v>10655</v>
      </c>
      <c r="D346" s="43" t="s">
        <v>2800</v>
      </c>
      <c r="E346" s="44">
        <v>0.20499999999999999</v>
      </c>
      <c r="F346" s="38">
        <v>24.358000000000001</v>
      </c>
      <c r="G346" s="41">
        <f>IF(ISNUMBER(F346),E346*F346,"")</f>
        <v>4.9933899999999998</v>
      </c>
      <c r="H346" s="42"/>
      <c r="I346" s="38"/>
      <c r="J346" s="37">
        <v>0</v>
      </c>
    </row>
    <row r="347" spans="1:10" hidden="1" x14ac:dyDescent="0.25">
      <c r="A347" s="174"/>
      <c r="B347" s="177"/>
      <c r="C347" s="43" t="s">
        <v>10613</v>
      </c>
      <c r="D347" s="43" t="s">
        <v>2800</v>
      </c>
      <c r="E347" s="44">
        <v>1.1200000000000001</v>
      </c>
      <c r="F347" s="38">
        <v>30.628</v>
      </c>
      <c r="G347" s="41">
        <f>IF(ISNUMBER(F347),E347*F347,"")</f>
        <v>34.303360000000005</v>
      </c>
      <c r="H347" s="42"/>
      <c r="I347" s="38"/>
      <c r="J347" s="37">
        <v>0</v>
      </c>
    </row>
    <row r="348" spans="1:10" ht="25.5" hidden="1" x14ac:dyDescent="0.25">
      <c r="A348" s="174"/>
      <c r="B348" s="177"/>
      <c r="C348" s="43" t="s">
        <v>10682</v>
      </c>
      <c r="D348" s="43" t="s">
        <v>162</v>
      </c>
      <c r="E348" s="44">
        <v>0.626</v>
      </c>
      <c r="F348" s="41">
        <v>104.332705</v>
      </c>
      <c r="G348" s="41">
        <f>IF(ISNUMBER(F348),E348*F348,"")</f>
        <v>65.312273329999996</v>
      </c>
      <c r="H348" s="42"/>
      <c r="I348" s="38"/>
      <c r="J348" s="37">
        <v>0</v>
      </c>
    </row>
    <row r="349" spans="1:10" ht="25.5" hidden="1" x14ac:dyDescent="0.25">
      <c r="A349" s="174"/>
      <c r="B349" s="177"/>
      <c r="C349" s="43" t="s">
        <v>10683</v>
      </c>
      <c r="D349" s="43" t="s">
        <v>1302</v>
      </c>
      <c r="E349" s="44">
        <v>1.8160000000000001</v>
      </c>
      <c r="F349" s="41">
        <v>31.989596999999996</v>
      </c>
      <c r="G349" s="41">
        <f>IF(ISNUMBER(F349),E349*F349,"")</f>
        <v>58.093108151999992</v>
      </c>
      <c r="H349" s="42"/>
      <c r="I349" s="38"/>
      <c r="J349" s="37">
        <v>0</v>
      </c>
    </row>
    <row r="350" spans="1:10" ht="15.75" hidden="1" thickBot="1" x14ac:dyDescent="0.3">
      <c r="A350" s="175"/>
      <c r="B350" s="178"/>
      <c r="C350" s="49"/>
      <c r="D350" s="49"/>
      <c r="E350" s="50"/>
      <c r="F350" s="51" t="s">
        <v>13</v>
      </c>
      <c r="G350" s="51" t="str">
        <f>IF(ISNUMBER(F350),E350*F350,"")</f>
        <v/>
      </c>
      <c r="H350" s="53"/>
      <c r="I350" s="38"/>
      <c r="J350" s="37">
        <v>0</v>
      </c>
    </row>
    <row r="351" spans="1:10" ht="15.75" hidden="1" thickBot="1" x14ac:dyDescent="0.3">
      <c r="A351" s="173" t="s">
        <v>85</v>
      </c>
      <c r="B351" s="176" t="s">
        <v>3081</v>
      </c>
      <c r="C351" s="31"/>
      <c r="D351" s="32" t="s">
        <v>106</v>
      </c>
      <c r="E351" s="33"/>
      <c r="F351" s="54" t="s">
        <v>13</v>
      </c>
      <c r="G351" s="34" t="str">
        <f>IF(ISNUMBER(F351),E351*F351,"")</f>
        <v/>
      </c>
      <c r="H351" s="35"/>
      <c r="I351" s="36"/>
      <c r="J351" s="37">
        <v>0</v>
      </c>
    </row>
    <row r="352" spans="1:10" hidden="1" x14ac:dyDescent="0.25">
      <c r="A352" s="179"/>
      <c r="B352" s="177"/>
      <c r="C352" s="39"/>
      <c r="D352" s="39"/>
      <c r="E352" s="40"/>
      <c r="F352" s="55" t="s">
        <v>13</v>
      </c>
      <c r="G352" s="38" t="str">
        <f>IF(ISNUMBER(F352),E352*F352,"")</f>
        <v/>
      </c>
      <c r="H352" s="42"/>
      <c r="I352" s="38"/>
      <c r="J352" s="37">
        <v>0</v>
      </c>
    </row>
    <row r="353" spans="1:10" hidden="1" x14ac:dyDescent="0.25">
      <c r="A353" s="179"/>
      <c r="B353" s="177"/>
      <c r="C353" s="43" t="s">
        <v>10614</v>
      </c>
      <c r="D353" s="43" t="s">
        <v>2800</v>
      </c>
      <c r="E353" s="44">
        <v>0.4</v>
      </c>
      <c r="F353" s="38">
        <v>23.693000000000001</v>
      </c>
      <c r="G353" s="41">
        <f>IF(ISNUMBER(F353),E353*F353,"")</f>
        <v>9.4772000000000016</v>
      </c>
      <c r="H353" s="46">
        <f>SUM(G353:G361)</f>
        <v>29.072901774999995</v>
      </c>
      <c r="I353" s="47"/>
      <c r="J353" s="37">
        <v>0</v>
      </c>
    </row>
    <row r="354" spans="1:10" hidden="1" x14ac:dyDescent="0.25">
      <c r="A354" s="179"/>
      <c r="B354" s="177"/>
      <c r="C354" s="43" t="s">
        <v>10757</v>
      </c>
      <c r="D354" s="43" t="s">
        <v>2800</v>
      </c>
      <c r="E354" s="44">
        <v>0.3</v>
      </c>
      <c r="F354" s="38">
        <v>31.055499999999995</v>
      </c>
      <c r="G354" s="41">
        <f>IF(ISNUMBER(F354),E354*F354,"")</f>
        <v>9.3166499999999974</v>
      </c>
      <c r="H354" s="42"/>
      <c r="I354" s="38"/>
      <c r="J354" s="37">
        <v>0</v>
      </c>
    </row>
    <row r="355" spans="1:10" ht="25.5" hidden="1" x14ac:dyDescent="0.25">
      <c r="A355" s="179"/>
      <c r="B355" s="177"/>
      <c r="C355" s="43" t="s">
        <v>10647</v>
      </c>
      <c r="D355" s="43" t="s">
        <v>2880</v>
      </c>
      <c r="E355" s="44">
        <v>0.01</v>
      </c>
      <c r="F355" s="41">
        <v>199.71849999999998</v>
      </c>
      <c r="G355" s="41">
        <f>IF(ISNUMBER(F355),E355*F355,"")</f>
        <v>1.9971849999999998</v>
      </c>
      <c r="H355" s="42"/>
      <c r="I355" s="38"/>
      <c r="J355" s="37">
        <v>0</v>
      </c>
    </row>
    <row r="356" spans="1:10" ht="25.5" hidden="1" x14ac:dyDescent="0.25">
      <c r="A356" s="179"/>
      <c r="B356" s="177"/>
      <c r="C356" s="43" t="s">
        <v>10792</v>
      </c>
      <c r="D356" s="43" t="s">
        <v>2880</v>
      </c>
      <c r="E356" s="44">
        <v>0.01</v>
      </c>
      <c r="F356" s="41">
        <v>195.86149999999998</v>
      </c>
      <c r="G356" s="41">
        <f>IF(ISNUMBER(F356),E356*F356,"")</f>
        <v>1.9586149999999998</v>
      </c>
      <c r="H356" s="42"/>
      <c r="I356" s="38"/>
      <c r="J356" s="37">
        <v>0</v>
      </c>
    </row>
    <row r="357" spans="1:10" hidden="1" x14ac:dyDescent="0.25">
      <c r="A357" s="179"/>
      <c r="B357" s="177"/>
      <c r="C357" s="43" t="s">
        <v>10648</v>
      </c>
      <c r="D357" s="43" t="s">
        <v>1044</v>
      </c>
      <c r="E357" s="44">
        <v>2.0099999999999998</v>
      </c>
      <c r="F357" s="41">
        <v>0.64600000000000002</v>
      </c>
      <c r="G357" s="41">
        <f>IF(ISNUMBER(F357),E357*F357,"")</f>
        <v>1.2984599999999999</v>
      </c>
      <c r="H357" s="42"/>
      <c r="I357" s="38"/>
      <c r="J357" s="37">
        <v>0</v>
      </c>
    </row>
    <row r="358" spans="1:10" hidden="1" x14ac:dyDescent="0.25">
      <c r="A358" s="179"/>
      <c r="B358" s="177"/>
      <c r="C358" s="43" t="s">
        <v>86</v>
      </c>
      <c r="D358" s="62" t="s">
        <v>87</v>
      </c>
      <c r="E358" s="44">
        <v>2.5</v>
      </c>
      <c r="F358" s="38" t="s">
        <v>13</v>
      </c>
      <c r="G358" s="41" t="str">
        <f>IF(ISNUMBER(F358),E358*F358,"")</f>
        <v/>
      </c>
      <c r="H358" s="42"/>
      <c r="I358" s="38"/>
      <c r="J358" s="37">
        <v>0</v>
      </c>
    </row>
    <row r="359" spans="1:10" hidden="1" x14ac:dyDescent="0.25">
      <c r="A359" s="179"/>
      <c r="B359" s="177"/>
      <c r="C359" s="43" t="s">
        <v>10785</v>
      </c>
      <c r="D359" s="43" t="s">
        <v>1044</v>
      </c>
      <c r="E359" s="44">
        <v>0.5</v>
      </c>
      <c r="F359" s="41">
        <v>7.3719999999999999</v>
      </c>
      <c r="G359" s="41">
        <f>IF(ISNUMBER(F359),E359*F359,"")</f>
        <v>3.6859999999999999</v>
      </c>
      <c r="H359" s="42"/>
      <c r="I359" s="38"/>
      <c r="J359" s="37">
        <v>0</v>
      </c>
    </row>
    <row r="360" spans="1:10" ht="51" hidden="1" x14ac:dyDescent="0.25">
      <c r="A360" s="179"/>
      <c r="B360" s="177"/>
      <c r="C360" s="43" t="s">
        <v>10624</v>
      </c>
      <c r="D360" s="43" t="s">
        <v>2880</v>
      </c>
      <c r="E360" s="44">
        <f>1*(E355+E356)</f>
        <v>0.02</v>
      </c>
      <c r="F360" s="41">
        <v>8.5522277500000001</v>
      </c>
      <c r="G360" s="41">
        <f>IF(ISNUMBER(F360),E360*F360,"")</f>
        <v>0.17104455500000001</v>
      </c>
      <c r="H360" s="42"/>
      <c r="I360" s="38"/>
      <c r="J360" s="37">
        <v>0</v>
      </c>
    </row>
    <row r="361" spans="1:10" ht="38.25" hidden="1" x14ac:dyDescent="0.25">
      <c r="A361" s="179"/>
      <c r="B361" s="177"/>
      <c r="C361" s="43" t="s">
        <v>10622</v>
      </c>
      <c r="D361" s="43" t="s">
        <v>10676</v>
      </c>
      <c r="E361" s="44">
        <f>(E355+E356)*20</f>
        <v>0.4</v>
      </c>
      <c r="F361" s="41">
        <v>2.9193680499999997</v>
      </c>
      <c r="G361" s="41">
        <f>IF(ISNUMBER(F361),E361*F361,"")</f>
        <v>1.1677472199999999</v>
      </c>
      <c r="H361" s="42"/>
      <c r="I361" s="38"/>
      <c r="J361" s="37">
        <v>0</v>
      </c>
    </row>
    <row r="362" spans="1:10" hidden="1" x14ac:dyDescent="0.25">
      <c r="A362" s="179"/>
      <c r="B362" s="177"/>
      <c r="C362" s="61"/>
      <c r="D362" s="62"/>
      <c r="E362" s="44"/>
      <c r="F362" s="41" t="s">
        <v>13</v>
      </c>
      <c r="G362" s="41" t="str">
        <f>IF(ISNUMBER(F362),E362*F362,"")</f>
        <v/>
      </c>
      <c r="H362" s="42"/>
      <c r="I362" s="38"/>
      <c r="J362" s="37">
        <v>0</v>
      </c>
    </row>
    <row r="363" spans="1:10" ht="25.5" hidden="1" x14ac:dyDescent="0.25">
      <c r="A363" s="179"/>
      <c r="B363" s="177"/>
      <c r="C363" s="4" t="s">
        <v>78</v>
      </c>
      <c r="D363" s="62"/>
      <c r="E363" s="44"/>
      <c r="F363" s="41" t="s">
        <v>13</v>
      </c>
      <c r="G363" s="41" t="str">
        <f>IF(ISNUMBER(F363),E363*F363,"")</f>
        <v/>
      </c>
      <c r="H363" s="42"/>
      <c r="I363" s="38"/>
      <c r="J363" s="37">
        <v>0</v>
      </c>
    </row>
    <row r="364" spans="1:10" ht="15.75" hidden="1" thickBot="1" x14ac:dyDescent="0.3">
      <c r="A364" s="180"/>
      <c r="B364" s="178"/>
      <c r="C364" s="49"/>
      <c r="D364" s="49"/>
      <c r="E364" s="50"/>
      <c r="F364" s="51" t="s">
        <v>13</v>
      </c>
      <c r="G364" s="51" t="str">
        <f>IF(ISNUMBER(F364),E364*F364,"")</f>
        <v/>
      </c>
      <c r="H364" s="53"/>
      <c r="I364" s="38"/>
      <c r="J364" s="37">
        <v>0</v>
      </c>
    </row>
    <row r="365" spans="1:10" ht="15.75" hidden="1" thickBot="1" x14ac:dyDescent="0.3">
      <c r="A365" s="173" t="s">
        <v>88</v>
      </c>
      <c r="B365" s="176" t="s">
        <v>3082</v>
      </c>
      <c r="C365" s="31"/>
      <c r="D365" s="32" t="s">
        <v>68</v>
      </c>
      <c r="E365" s="33"/>
      <c r="F365" s="54" t="s">
        <v>13</v>
      </c>
      <c r="G365" s="34" t="str">
        <f>IF(ISNUMBER(F365),E365*F365,"")</f>
        <v/>
      </c>
      <c r="H365" s="35"/>
      <c r="I365" s="36"/>
      <c r="J365" s="37">
        <v>0</v>
      </c>
    </row>
    <row r="366" spans="1:10" hidden="1" x14ac:dyDescent="0.25">
      <c r="A366" s="174"/>
      <c r="B366" s="177"/>
      <c r="C366" s="39"/>
      <c r="D366" s="39"/>
      <c r="E366" s="40"/>
      <c r="F366" s="55" t="s">
        <v>13</v>
      </c>
      <c r="G366" s="38" t="str">
        <f>IF(ISNUMBER(F366),E366*F366,"")</f>
        <v/>
      </c>
      <c r="H366" s="42"/>
      <c r="I366" s="38"/>
      <c r="J366" s="37">
        <v>0</v>
      </c>
    </row>
    <row r="367" spans="1:10" ht="25.5" hidden="1" x14ac:dyDescent="0.25">
      <c r="A367" s="174"/>
      <c r="B367" s="177"/>
      <c r="C367" s="43" t="s">
        <v>10849</v>
      </c>
      <c r="D367" s="43" t="s">
        <v>1044</v>
      </c>
      <c r="E367" s="44">
        <v>3.4615</v>
      </c>
      <c r="F367" s="41">
        <v>4.0754999999999999</v>
      </c>
      <c r="G367" s="38">
        <f>IF(ISNUMBER(F367),E367*F367,"")</f>
        <v>14.10734325</v>
      </c>
      <c r="H367" s="46">
        <f>SUM(G367:G369)</f>
        <v>36.179319299999996</v>
      </c>
      <c r="I367" s="47"/>
      <c r="J367" s="37">
        <v>0</v>
      </c>
    </row>
    <row r="368" spans="1:10" hidden="1" x14ac:dyDescent="0.25">
      <c r="A368" s="174"/>
      <c r="B368" s="177"/>
      <c r="C368" s="43" t="s">
        <v>10750</v>
      </c>
      <c r="D368" s="43" t="s">
        <v>2800</v>
      </c>
      <c r="E368" s="44">
        <v>0.13619999999999999</v>
      </c>
      <c r="F368" s="38">
        <v>24.358000000000001</v>
      </c>
      <c r="G368" s="38">
        <f>IF(ISNUMBER(F368),E368*F368,"")</f>
        <v>3.3175595999999996</v>
      </c>
      <c r="H368" s="42"/>
      <c r="I368" s="38"/>
      <c r="J368" s="37">
        <v>0</v>
      </c>
    </row>
    <row r="369" spans="1:10" hidden="1" x14ac:dyDescent="0.25">
      <c r="A369" s="174"/>
      <c r="B369" s="177"/>
      <c r="C369" s="43" t="s">
        <v>10850</v>
      </c>
      <c r="D369" s="43" t="s">
        <v>2800</v>
      </c>
      <c r="E369" s="44">
        <v>0.60389999999999999</v>
      </c>
      <c r="F369" s="38">
        <v>31.055499999999995</v>
      </c>
      <c r="G369" s="38">
        <f>IF(ISNUMBER(F369),E369*F369,"")</f>
        <v>18.754416449999997</v>
      </c>
      <c r="H369" s="42"/>
      <c r="I369" s="38"/>
      <c r="J369" s="37">
        <v>0</v>
      </c>
    </row>
    <row r="370" spans="1:10" ht="15.75" hidden="1" thickBot="1" x14ac:dyDescent="0.3">
      <c r="A370" s="175"/>
      <c r="B370" s="178"/>
      <c r="C370" s="49"/>
      <c r="D370" s="49"/>
      <c r="E370" s="50"/>
      <c r="F370" s="51" t="s">
        <v>13</v>
      </c>
      <c r="G370" s="51" t="str">
        <f>IF(ISNUMBER(F370),E370*F370,"")</f>
        <v/>
      </c>
      <c r="H370" s="53"/>
      <c r="I370" s="38"/>
      <c r="J370" s="37">
        <v>0</v>
      </c>
    </row>
    <row r="371" spans="1:10" ht="15.75" hidden="1" thickBot="1" x14ac:dyDescent="0.3">
      <c r="A371" s="173" t="s">
        <v>89</v>
      </c>
      <c r="B371" s="176" t="s">
        <v>3083</v>
      </c>
      <c r="C371" s="31"/>
      <c r="D371" s="32" t="s">
        <v>68</v>
      </c>
      <c r="E371" s="33"/>
      <c r="F371" s="54" t="s">
        <v>13</v>
      </c>
      <c r="G371" s="34" t="str">
        <f>IF(ISNUMBER(F371),E371*F371,"")</f>
        <v/>
      </c>
      <c r="H371" s="35"/>
      <c r="I371" s="36"/>
      <c r="J371" s="37">
        <v>0</v>
      </c>
    </row>
    <row r="372" spans="1:10" hidden="1" x14ac:dyDescent="0.25">
      <c r="A372" s="174"/>
      <c r="B372" s="177"/>
      <c r="C372" s="39"/>
      <c r="D372" s="39"/>
      <c r="E372" s="40"/>
      <c r="F372" s="55" t="s">
        <v>13</v>
      </c>
      <c r="G372" s="38" t="str">
        <f>IF(ISNUMBER(F372),E372*F372,"")</f>
        <v/>
      </c>
      <c r="H372" s="42"/>
      <c r="I372" s="38"/>
      <c r="J372" s="37">
        <v>0</v>
      </c>
    </row>
    <row r="373" spans="1:10" ht="25.5" hidden="1" x14ac:dyDescent="0.25">
      <c r="A373" s="174"/>
      <c r="B373" s="177"/>
      <c r="C373" s="43" t="s">
        <v>10851</v>
      </c>
      <c r="D373" s="43" t="s">
        <v>83</v>
      </c>
      <c r="E373" s="44">
        <v>28.31</v>
      </c>
      <c r="F373" s="41">
        <v>1.0449999999999999</v>
      </c>
      <c r="G373" s="41">
        <f>IF(ISNUMBER(F373),E373*F373,"")</f>
        <v>29.583949999999998</v>
      </c>
      <c r="H373" s="46">
        <f>SUM(G373:G378)</f>
        <v>107.079433858345</v>
      </c>
      <c r="I373" s="47"/>
      <c r="J373" s="37">
        <v>0</v>
      </c>
    </row>
    <row r="374" spans="1:10" ht="25.5" hidden="1" x14ac:dyDescent="0.25">
      <c r="A374" s="174"/>
      <c r="B374" s="177"/>
      <c r="C374" s="43" t="s">
        <v>10777</v>
      </c>
      <c r="D374" s="43" t="s">
        <v>1302</v>
      </c>
      <c r="E374" s="44">
        <v>0.42</v>
      </c>
      <c r="F374" s="41">
        <v>2.0044999999999997</v>
      </c>
      <c r="G374" s="41">
        <f>IF(ISNUMBER(F374),E374*F374,"")</f>
        <v>0.84188999999999981</v>
      </c>
      <c r="H374" s="42"/>
      <c r="I374" s="38"/>
      <c r="J374" s="37">
        <v>0</v>
      </c>
    </row>
    <row r="375" spans="1:10" hidden="1" x14ac:dyDescent="0.25">
      <c r="A375" s="174"/>
      <c r="B375" s="177"/>
      <c r="C375" s="43" t="s">
        <v>10778</v>
      </c>
      <c r="D375" s="43" t="s">
        <v>10818</v>
      </c>
      <c r="E375" s="44">
        <v>5.0000000000000001E-3</v>
      </c>
      <c r="F375" s="41">
        <v>39.833500000000001</v>
      </c>
      <c r="G375" s="41">
        <f>IF(ISNUMBER(F375),E375*F375,"")</f>
        <v>0.1991675</v>
      </c>
      <c r="H375" s="42"/>
      <c r="I375" s="38"/>
      <c r="J375" s="37">
        <v>0</v>
      </c>
    </row>
    <row r="376" spans="1:10" ht="51" hidden="1" x14ac:dyDescent="0.25">
      <c r="A376" s="174"/>
      <c r="B376" s="177"/>
      <c r="C376" s="43" t="s">
        <v>10628</v>
      </c>
      <c r="D376" s="43" t="s">
        <v>2880</v>
      </c>
      <c r="E376" s="44">
        <v>9.1000000000000004E-3</v>
      </c>
      <c r="F376" s="41">
        <v>811.23146795000002</v>
      </c>
      <c r="G376" s="41">
        <f>IF(ISNUMBER(F376),E376*F376,"")</f>
        <v>7.3822063583450008</v>
      </c>
      <c r="H376" s="42"/>
      <c r="I376" s="38"/>
      <c r="J376" s="37">
        <v>0</v>
      </c>
    </row>
    <row r="377" spans="1:10" hidden="1" x14ac:dyDescent="0.25">
      <c r="A377" s="174"/>
      <c r="B377" s="177"/>
      <c r="C377" s="43" t="s">
        <v>10757</v>
      </c>
      <c r="D377" s="43" t="s">
        <v>2800</v>
      </c>
      <c r="E377" s="44">
        <v>1.61</v>
      </c>
      <c r="F377" s="38">
        <v>31.055499999999995</v>
      </c>
      <c r="G377" s="38">
        <f>IF(ISNUMBER(F377),E377*F377,"")</f>
        <v>49.999354999999994</v>
      </c>
      <c r="H377" s="42"/>
      <c r="I377" s="38"/>
      <c r="J377" s="37">
        <v>0</v>
      </c>
    </row>
    <row r="378" spans="1:10" hidden="1" x14ac:dyDescent="0.25">
      <c r="A378" s="174"/>
      <c r="B378" s="177"/>
      <c r="C378" s="43" t="s">
        <v>10614</v>
      </c>
      <c r="D378" s="43" t="s">
        <v>2800</v>
      </c>
      <c r="E378" s="44">
        <v>0.80500000000000005</v>
      </c>
      <c r="F378" s="38">
        <v>23.693000000000001</v>
      </c>
      <c r="G378" s="38">
        <f>IF(ISNUMBER(F378),E378*F378,"")</f>
        <v>19.072865000000004</v>
      </c>
      <c r="H378" s="42"/>
      <c r="I378" s="38"/>
      <c r="J378" s="37">
        <v>0</v>
      </c>
    </row>
    <row r="379" spans="1:10" ht="15.75" hidden="1" thickBot="1" x14ac:dyDescent="0.3">
      <c r="A379" s="175"/>
      <c r="B379" s="178"/>
      <c r="C379" s="49"/>
      <c r="D379" s="49"/>
      <c r="E379" s="50"/>
      <c r="F379" s="51" t="s">
        <v>13</v>
      </c>
      <c r="G379" s="51" t="str">
        <f>IF(ISNUMBER(F379),E379*F379,"")</f>
        <v/>
      </c>
      <c r="H379" s="53"/>
      <c r="I379" s="38"/>
      <c r="J379" s="37">
        <v>0</v>
      </c>
    </row>
    <row r="380" spans="1:10" ht="15.75" hidden="1" thickBot="1" x14ac:dyDescent="0.3">
      <c r="A380" s="173" t="s">
        <v>90</v>
      </c>
      <c r="B380" s="176" t="s">
        <v>3084</v>
      </c>
      <c r="C380" s="31"/>
      <c r="D380" s="32" t="s">
        <v>68</v>
      </c>
      <c r="E380" s="33"/>
      <c r="F380" s="54" t="s">
        <v>13</v>
      </c>
      <c r="G380" s="34" t="str">
        <f>IF(ISNUMBER(F380),E380*F380,"")</f>
        <v/>
      </c>
      <c r="H380" s="35"/>
      <c r="I380" s="36"/>
      <c r="J380" s="37">
        <v>0</v>
      </c>
    </row>
    <row r="381" spans="1:10" hidden="1" x14ac:dyDescent="0.25">
      <c r="A381" s="174"/>
      <c r="B381" s="177"/>
      <c r="C381" s="39"/>
      <c r="D381" s="39"/>
      <c r="E381" s="40"/>
      <c r="F381" s="55" t="s">
        <v>13</v>
      </c>
      <c r="G381" s="38" t="str">
        <f>IF(ISNUMBER(F381),E381*F381,"")</f>
        <v/>
      </c>
      <c r="H381" s="42"/>
      <c r="I381" s="38"/>
      <c r="J381" s="37">
        <v>0</v>
      </c>
    </row>
    <row r="382" spans="1:10" ht="25.5" hidden="1" x14ac:dyDescent="0.25">
      <c r="A382" s="174"/>
      <c r="B382" s="177"/>
      <c r="C382" s="43" t="s">
        <v>10852</v>
      </c>
      <c r="D382" s="43" t="s">
        <v>10818</v>
      </c>
      <c r="E382" s="44">
        <v>2.4799999999999999E-2</v>
      </c>
      <c r="F382" s="41">
        <v>46.321999999999996</v>
      </c>
      <c r="G382" s="41">
        <f>IF(ISNUMBER(F382),E382*F382,"")</f>
        <v>1.1487855999999999</v>
      </c>
      <c r="H382" s="46">
        <f>SUM(G382:G392)</f>
        <v>53.37028085</v>
      </c>
      <c r="I382" s="47"/>
      <c r="J382" s="37">
        <v>0</v>
      </c>
    </row>
    <row r="383" spans="1:10" ht="25.5" hidden="1" x14ac:dyDescent="0.25">
      <c r="A383" s="174"/>
      <c r="B383" s="177"/>
      <c r="C383" s="43" t="s">
        <v>10853</v>
      </c>
      <c r="D383" s="43" t="s">
        <v>162</v>
      </c>
      <c r="E383" s="44">
        <v>1.0529999999999999</v>
      </c>
      <c r="F383" s="41">
        <v>18.012</v>
      </c>
      <c r="G383" s="41">
        <f>IF(ISNUMBER(F383),E383*F383,"")</f>
        <v>18.966635999999998</v>
      </c>
      <c r="H383" s="58"/>
      <c r="I383" s="59"/>
      <c r="J383" s="37">
        <v>0</v>
      </c>
    </row>
    <row r="384" spans="1:10" ht="25.5" hidden="1" x14ac:dyDescent="0.25">
      <c r="A384" s="174"/>
      <c r="B384" s="177"/>
      <c r="C384" s="43" t="s">
        <v>10854</v>
      </c>
      <c r="D384" s="43" t="s">
        <v>1302</v>
      </c>
      <c r="E384" s="44">
        <v>0.76239999999999997</v>
      </c>
      <c r="F384" s="41">
        <v>5.6050000000000004</v>
      </c>
      <c r="G384" s="41">
        <f>IF(ISNUMBER(F384),E384*F384,"")</f>
        <v>4.2732520000000003</v>
      </c>
      <c r="H384" s="58"/>
      <c r="I384" s="59"/>
      <c r="J384" s="37">
        <v>0</v>
      </c>
    </row>
    <row r="385" spans="1:10" ht="25.5" hidden="1" x14ac:dyDescent="0.25">
      <c r="A385" s="174"/>
      <c r="B385" s="177"/>
      <c r="C385" s="43" t="s">
        <v>10855</v>
      </c>
      <c r="D385" s="43" t="s">
        <v>1302</v>
      </c>
      <c r="E385" s="44">
        <v>2.0005999999999999</v>
      </c>
      <c r="F385" s="41">
        <v>6.3650000000000002</v>
      </c>
      <c r="G385" s="41">
        <f>IF(ISNUMBER(F385),E385*F385,"")</f>
        <v>12.733819</v>
      </c>
      <c r="H385" s="58"/>
      <c r="I385" s="59"/>
      <c r="J385" s="37">
        <v>0</v>
      </c>
    </row>
    <row r="386" spans="1:10" ht="25.5" hidden="1" x14ac:dyDescent="0.25">
      <c r="A386" s="174"/>
      <c r="B386" s="177"/>
      <c r="C386" s="43" t="s">
        <v>10856</v>
      </c>
      <c r="D386" s="43" t="s">
        <v>1302</v>
      </c>
      <c r="E386" s="44">
        <v>1.2513000000000001</v>
      </c>
      <c r="F386" s="41">
        <v>0.27549999999999997</v>
      </c>
      <c r="G386" s="41">
        <f>IF(ISNUMBER(F386),E386*F386,"")</f>
        <v>0.34473314999999999</v>
      </c>
      <c r="H386" s="58"/>
      <c r="I386" s="59"/>
      <c r="J386" s="37">
        <v>0</v>
      </c>
    </row>
    <row r="387" spans="1:10" ht="25.5" hidden="1" x14ac:dyDescent="0.25">
      <c r="A387" s="174"/>
      <c r="B387" s="177"/>
      <c r="C387" s="43" t="s">
        <v>10857</v>
      </c>
      <c r="D387" s="43" t="s">
        <v>1302</v>
      </c>
      <c r="E387" s="44">
        <v>0.74070000000000003</v>
      </c>
      <c r="F387" s="41">
        <v>2.4889999999999999</v>
      </c>
      <c r="G387" s="41">
        <f>IF(ISNUMBER(F387),E387*F387,"")</f>
        <v>1.8436022999999999</v>
      </c>
      <c r="H387" s="58"/>
      <c r="I387" s="59"/>
      <c r="J387" s="37">
        <v>0</v>
      </c>
    </row>
    <row r="388" spans="1:10" ht="38.25" hidden="1" x14ac:dyDescent="0.25">
      <c r="A388" s="174"/>
      <c r="B388" s="177"/>
      <c r="C388" s="43" t="s">
        <v>10858</v>
      </c>
      <c r="D388" s="43" t="s">
        <v>1044</v>
      </c>
      <c r="E388" s="44">
        <v>0.54890000000000005</v>
      </c>
      <c r="F388" s="41">
        <v>3.1159999999999997</v>
      </c>
      <c r="G388" s="41">
        <f>IF(ISNUMBER(F388),E388*F388,"")</f>
        <v>1.7103724</v>
      </c>
      <c r="H388" s="58"/>
      <c r="I388" s="59"/>
      <c r="J388" s="37">
        <v>0</v>
      </c>
    </row>
    <row r="389" spans="1:10" ht="25.5" hidden="1" x14ac:dyDescent="0.25">
      <c r="A389" s="174"/>
      <c r="B389" s="177"/>
      <c r="C389" s="43" t="s">
        <v>10859</v>
      </c>
      <c r="D389" s="43" t="s">
        <v>83</v>
      </c>
      <c r="E389" s="44">
        <v>10.093400000000001</v>
      </c>
      <c r="F389" s="41">
        <v>8.5499999999999993E-2</v>
      </c>
      <c r="G389" s="41">
        <f>IF(ISNUMBER(F389),E389*F389,"")</f>
        <v>0.86298569999999997</v>
      </c>
      <c r="H389" s="58"/>
      <c r="I389" s="59"/>
      <c r="J389" s="37">
        <v>0</v>
      </c>
    </row>
    <row r="390" spans="1:10" ht="25.5" hidden="1" x14ac:dyDescent="0.25">
      <c r="A390" s="174"/>
      <c r="B390" s="177"/>
      <c r="C390" s="43" t="s">
        <v>10860</v>
      </c>
      <c r="D390" s="43" t="s">
        <v>83</v>
      </c>
      <c r="E390" s="44">
        <v>0.4803</v>
      </c>
      <c r="F390" s="41">
        <v>0.20899999999999999</v>
      </c>
      <c r="G390" s="41">
        <f>IF(ISNUMBER(F390),E390*F390,"")</f>
        <v>0.10038269999999999</v>
      </c>
      <c r="H390" s="58"/>
      <c r="I390" s="59"/>
      <c r="J390" s="37">
        <v>0</v>
      </c>
    </row>
    <row r="391" spans="1:10" ht="25.5" hidden="1" x14ac:dyDescent="0.25">
      <c r="A391" s="174"/>
      <c r="B391" s="177"/>
      <c r="C391" s="43" t="s">
        <v>10825</v>
      </c>
      <c r="D391" s="43" t="s">
        <v>2800</v>
      </c>
      <c r="E391" s="44">
        <v>0.34399999999999997</v>
      </c>
      <c r="F391" s="38">
        <v>25.383999999999997</v>
      </c>
      <c r="G391" s="41">
        <f>IF(ISNUMBER(F391),E391*F391,"")</f>
        <v>8.7320959999999985</v>
      </c>
      <c r="H391" s="58"/>
      <c r="I391" s="59"/>
      <c r="J391" s="37">
        <v>0</v>
      </c>
    </row>
    <row r="392" spans="1:10" hidden="1" x14ac:dyDescent="0.25">
      <c r="A392" s="174"/>
      <c r="B392" s="177"/>
      <c r="C392" s="43" t="s">
        <v>10614</v>
      </c>
      <c r="D392" s="43" t="s">
        <v>2800</v>
      </c>
      <c r="E392" s="44">
        <v>0.112</v>
      </c>
      <c r="F392" s="38">
        <v>23.693000000000001</v>
      </c>
      <c r="G392" s="41">
        <f>IF(ISNUMBER(F392),E392*F392,"")</f>
        <v>2.6536160000000004</v>
      </c>
      <c r="H392" s="58"/>
      <c r="I392" s="59"/>
      <c r="J392" s="37">
        <v>0</v>
      </c>
    </row>
    <row r="393" spans="1:10" ht="15.75" hidden="1" thickBot="1" x14ac:dyDescent="0.3">
      <c r="A393" s="175"/>
      <c r="B393" s="178"/>
      <c r="C393" s="49"/>
      <c r="D393" s="49"/>
      <c r="E393" s="50"/>
      <c r="F393" s="51" t="s">
        <v>13</v>
      </c>
      <c r="G393" s="51" t="str">
        <f>IF(ISNUMBER(F393),E393*F393,"")</f>
        <v/>
      </c>
      <c r="H393" s="53"/>
      <c r="I393" s="38"/>
      <c r="J393" s="37">
        <v>0</v>
      </c>
    </row>
    <row r="394" spans="1:10" ht="15.75" hidden="1" thickBot="1" x14ac:dyDescent="0.3">
      <c r="A394" s="173" t="s">
        <v>91</v>
      </c>
      <c r="B394" s="176" t="s">
        <v>3085</v>
      </c>
      <c r="C394" s="31"/>
      <c r="D394" s="32" t="s">
        <v>106</v>
      </c>
      <c r="E394" s="33"/>
      <c r="F394" s="54" t="s">
        <v>13</v>
      </c>
      <c r="G394" s="34" t="str">
        <f>IF(ISNUMBER(F394),E394*F394,"")</f>
        <v/>
      </c>
      <c r="H394" s="35"/>
      <c r="I394" s="36"/>
      <c r="J394" s="37">
        <v>0</v>
      </c>
    </row>
    <row r="395" spans="1:10" hidden="1" x14ac:dyDescent="0.25">
      <c r="A395" s="174"/>
      <c r="B395" s="177"/>
      <c r="C395" s="39"/>
      <c r="D395" s="39"/>
      <c r="E395" s="40"/>
      <c r="F395" s="55" t="s">
        <v>13</v>
      </c>
      <c r="G395" s="38" t="str">
        <f>IF(ISNUMBER(F395),E395*F395,"")</f>
        <v/>
      </c>
      <c r="H395" s="42"/>
      <c r="I395" s="38"/>
      <c r="J395" s="37">
        <v>0</v>
      </c>
    </row>
    <row r="396" spans="1:10" hidden="1" x14ac:dyDescent="0.25">
      <c r="A396" s="174"/>
      <c r="B396" s="177"/>
      <c r="C396" s="43" t="s">
        <v>10861</v>
      </c>
      <c r="D396" s="43" t="s">
        <v>83</v>
      </c>
      <c r="E396" s="44">
        <v>11.661</v>
      </c>
      <c r="F396" s="41">
        <v>0.71249999999999991</v>
      </c>
      <c r="G396" s="38">
        <f>IF(ISNUMBER(F396),E396*F396,"")</f>
        <v>8.3084624999999992</v>
      </c>
      <c r="H396" s="46">
        <f>SUM(G396:G399)</f>
        <v>32.256544150570001</v>
      </c>
      <c r="I396" s="47"/>
      <c r="J396" s="37">
        <v>0</v>
      </c>
    </row>
    <row r="397" spans="1:10" ht="51" hidden="1" x14ac:dyDescent="0.25">
      <c r="A397" s="174"/>
      <c r="B397" s="177"/>
      <c r="C397" s="43" t="s">
        <v>10691</v>
      </c>
      <c r="D397" s="43" t="s">
        <v>2880</v>
      </c>
      <c r="E397" s="44">
        <v>5.1999999999999998E-3</v>
      </c>
      <c r="F397" s="41">
        <v>782.54550972499987</v>
      </c>
      <c r="G397" s="38">
        <f>IF(ISNUMBER(F397),E397*F397,"")</f>
        <v>4.0692366505699988</v>
      </c>
      <c r="H397" s="58"/>
      <c r="I397" s="59"/>
      <c r="J397" s="37">
        <v>0</v>
      </c>
    </row>
    <row r="398" spans="1:10" hidden="1" x14ac:dyDescent="0.25">
      <c r="A398" s="174"/>
      <c r="B398" s="177"/>
      <c r="C398" s="43" t="s">
        <v>10757</v>
      </c>
      <c r="D398" s="43" t="s">
        <v>2800</v>
      </c>
      <c r="E398" s="44">
        <v>0.56000000000000005</v>
      </c>
      <c r="F398" s="38">
        <v>31.055499999999995</v>
      </c>
      <c r="G398" s="38">
        <f>IF(ISNUMBER(F398),E398*F398,"")</f>
        <v>17.391079999999999</v>
      </c>
      <c r="H398" s="58"/>
      <c r="I398" s="59"/>
      <c r="J398" s="37">
        <v>0</v>
      </c>
    </row>
    <row r="399" spans="1:10" hidden="1" x14ac:dyDescent="0.25">
      <c r="A399" s="174"/>
      <c r="B399" s="177"/>
      <c r="C399" s="43" t="s">
        <v>10614</v>
      </c>
      <c r="D399" s="43" t="s">
        <v>2800</v>
      </c>
      <c r="E399" s="44">
        <v>0.105</v>
      </c>
      <c r="F399" s="38">
        <v>23.693000000000001</v>
      </c>
      <c r="G399" s="38">
        <f>IF(ISNUMBER(F399),E399*F399,"")</f>
        <v>2.487765</v>
      </c>
      <c r="H399" s="58"/>
      <c r="I399" s="59"/>
      <c r="J399" s="37">
        <v>0</v>
      </c>
    </row>
    <row r="400" spans="1:10" ht="15.75" hidden="1" thickBot="1" x14ac:dyDescent="0.3">
      <c r="A400" s="175"/>
      <c r="B400" s="178"/>
      <c r="C400" s="49"/>
      <c r="D400" s="63"/>
      <c r="E400" s="50"/>
      <c r="F400" s="52" t="s">
        <v>13</v>
      </c>
      <c r="G400" s="52" t="str">
        <f>IF(ISNUMBER(F400),E400*F400,"")</f>
        <v/>
      </c>
      <c r="H400" s="64"/>
      <c r="I400" s="59"/>
      <c r="J400" s="37">
        <v>0</v>
      </c>
    </row>
    <row r="401" spans="1:10" ht="15.75" hidden="1" thickBot="1" x14ac:dyDescent="0.3">
      <c r="A401" s="173" t="s">
        <v>92</v>
      </c>
      <c r="B401" s="176" t="s">
        <v>3086</v>
      </c>
      <c r="C401" s="31"/>
      <c r="D401" s="32" t="s">
        <v>68</v>
      </c>
      <c r="E401" s="33"/>
      <c r="F401" s="54" t="s">
        <v>13</v>
      </c>
      <c r="G401" s="34" t="str">
        <f>IF(ISNUMBER(F401),E401*F401,"")</f>
        <v/>
      </c>
      <c r="H401" s="35"/>
      <c r="I401" s="36"/>
      <c r="J401" s="37">
        <v>0</v>
      </c>
    </row>
    <row r="402" spans="1:10" hidden="1" x14ac:dyDescent="0.25">
      <c r="A402" s="174"/>
      <c r="B402" s="177"/>
      <c r="C402" s="39"/>
      <c r="D402" s="39"/>
      <c r="E402" s="40"/>
      <c r="F402" s="55" t="s">
        <v>13</v>
      </c>
      <c r="G402" s="38" t="str">
        <f>IF(ISNUMBER(F402),E402*F402,"")</f>
        <v/>
      </c>
      <c r="H402" s="42"/>
      <c r="I402" s="38"/>
      <c r="J402" s="37">
        <v>0</v>
      </c>
    </row>
    <row r="403" spans="1:10" ht="25.5" hidden="1" x14ac:dyDescent="0.25">
      <c r="A403" s="174"/>
      <c r="B403" s="177"/>
      <c r="C403" s="43" t="s">
        <v>10852</v>
      </c>
      <c r="D403" s="43" t="s">
        <v>10818</v>
      </c>
      <c r="E403" s="44">
        <v>2.4799999999999999E-2</v>
      </c>
      <c r="F403" s="41">
        <v>46.321999999999996</v>
      </c>
      <c r="G403" s="38">
        <f>IF(ISNUMBER(F403),E403*F403,"")</f>
        <v>1.1487855999999999</v>
      </c>
      <c r="H403" s="46">
        <f>SUM(G403:G413)</f>
        <v>81.171274649999987</v>
      </c>
      <c r="I403" s="47"/>
      <c r="J403" s="37">
        <v>0</v>
      </c>
    </row>
    <row r="404" spans="1:10" ht="25.5" hidden="1" x14ac:dyDescent="0.25">
      <c r="A404" s="174"/>
      <c r="B404" s="177"/>
      <c r="C404" s="43" t="s">
        <v>10853</v>
      </c>
      <c r="D404" s="43" t="s">
        <v>162</v>
      </c>
      <c r="E404" s="44">
        <v>2.1059999999999999</v>
      </c>
      <c r="F404" s="41">
        <v>18.012</v>
      </c>
      <c r="G404" s="38">
        <f>IF(ISNUMBER(F404),E404*F404,"")</f>
        <v>37.933271999999995</v>
      </c>
      <c r="H404" s="42"/>
      <c r="I404" s="38"/>
      <c r="J404" s="37">
        <v>0</v>
      </c>
    </row>
    <row r="405" spans="1:10" ht="25.5" hidden="1" x14ac:dyDescent="0.25">
      <c r="A405" s="174"/>
      <c r="B405" s="177"/>
      <c r="C405" s="43" t="s">
        <v>10854</v>
      </c>
      <c r="D405" s="43" t="s">
        <v>1302</v>
      </c>
      <c r="E405" s="44">
        <v>0.76239999999999997</v>
      </c>
      <c r="F405" s="41">
        <v>5.6050000000000004</v>
      </c>
      <c r="G405" s="38">
        <f>IF(ISNUMBER(F405),E405*F405,"")</f>
        <v>4.2732520000000003</v>
      </c>
      <c r="H405" s="42"/>
      <c r="I405" s="38"/>
      <c r="J405" s="37">
        <v>0</v>
      </c>
    </row>
    <row r="406" spans="1:10" ht="25.5" hidden="1" x14ac:dyDescent="0.25">
      <c r="A406" s="174"/>
      <c r="B406" s="177"/>
      <c r="C406" s="43" t="s">
        <v>10855</v>
      </c>
      <c r="D406" s="43" t="s">
        <v>1302</v>
      </c>
      <c r="E406" s="44">
        <v>2.0005999999999999</v>
      </c>
      <c r="F406" s="41">
        <v>6.3650000000000002</v>
      </c>
      <c r="G406" s="38">
        <f>IF(ISNUMBER(F406),E406*F406,"")</f>
        <v>12.733819</v>
      </c>
      <c r="H406" s="42"/>
      <c r="I406" s="38"/>
      <c r="J406" s="37">
        <v>0</v>
      </c>
    </row>
    <row r="407" spans="1:10" ht="25.5" hidden="1" x14ac:dyDescent="0.25">
      <c r="A407" s="174"/>
      <c r="B407" s="177"/>
      <c r="C407" s="43" t="s">
        <v>10856</v>
      </c>
      <c r="D407" s="43" t="s">
        <v>1302</v>
      </c>
      <c r="E407" s="44">
        <v>2.5026999999999999</v>
      </c>
      <c r="F407" s="41">
        <v>0.27549999999999997</v>
      </c>
      <c r="G407" s="38">
        <f>IF(ISNUMBER(F407),E407*F407,"")</f>
        <v>0.68949384999999985</v>
      </c>
      <c r="H407" s="42"/>
      <c r="I407" s="38"/>
      <c r="J407" s="37">
        <v>0</v>
      </c>
    </row>
    <row r="408" spans="1:10" ht="25.5" hidden="1" x14ac:dyDescent="0.25">
      <c r="A408" s="174"/>
      <c r="B408" s="177"/>
      <c r="C408" s="43" t="s">
        <v>10857</v>
      </c>
      <c r="D408" s="43" t="s">
        <v>1302</v>
      </c>
      <c r="E408" s="44">
        <v>0.74070000000000003</v>
      </c>
      <c r="F408" s="41">
        <v>2.4889999999999999</v>
      </c>
      <c r="G408" s="38">
        <f>IF(ISNUMBER(F408),E408*F408,"")</f>
        <v>1.8436022999999999</v>
      </c>
      <c r="H408" s="42"/>
      <c r="I408" s="38"/>
      <c r="J408" s="37">
        <v>0</v>
      </c>
    </row>
    <row r="409" spans="1:10" ht="38.25" hidden="1" x14ac:dyDescent="0.25">
      <c r="A409" s="174"/>
      <c r="B409" s="177"/>
      <c r="C409" s="43" t="s">
        <v>10858</v>
      </c>
      <c r="D409" s="43" t="s">
        <v>1044</v>
      </c>
      <c r="E409" s="44">
        <v>1.0978000000000001</v>
      </c>
      <c r="F409" s="41">
        <v>3.1159999999999997</v>
      </c>
      <c r="G409" s="38">
        <f>IF(ISNUMBER(F409),E409*F409,"")</f>
        <v>3.4207448</v>
      </c>
      <c r="H409" s="42"/>
      <c r="I409" s="38"/>
      <c r="J409" s="37">
        <v>0</v>
      </c>
    </row>
    <row r="410" spans="1:10" ht="25.5" hidden="1" x14ac:dyDescent="0.25">
      <c r="A410" s="174"/>
      <c r="B410" s="177"/>
      <c r="C410" s="43" t="s">
        <v>10859</v>
      </c>
      <c r="D410" s="43" t="s">
        <v>83</v>
      </c>
      <c r="E410" s="44">
        <v>20.186800000000002</v>
      </c>
      <c r="F410" s="41">
        <v>8.5499999999999993E-2</v>
      </c>
      <c r="G410" s="38">
        <f>IF(ISNUMBER(F410),E410*F410,"")</f>
        <v>1.7259713999999999</v>
      </c>
      <c r="H410" s="42"/>
      <c r="I410" s="38"/>
      <c r="J410" s="37">
        <v>0</v>
      </c>
    </row>
    <row r="411" spans="1:10" ht="25.5" hidden="1" x14ac:dyDescent="0.25">
      <c r="A411" s="174"/>
      <c r="B411" s="177"/>
      <c r="C411" s="43" t="s">
        <v>10860</v>
      </c>
      <c r="D411" s="43" t="s">
        <v>83</v>
      </c>
      <c r="E411" s="44">
        <v>0.4803</v>
      </c>
      <c r="F411" s="41">
        <v>0.20899999999999999</v>
      </c>
      <c r="G411" s="38">
        <f>IF(ISNUMBER(F411),E411*F411,"")</f>
        <v>0.10038269999999999</v>
      </c>
      <c r="H411" s="42"/>
      <c r="I411" s="38"/>
      <c r="J411" s="37">
        <v>0</v>
      </c>
    </row>
    <row r="412" spans="1:10" ht="25.5" hidden="1" x14ac:dyDescent="0.25">
      <c r="A412" s="174"/>
      <c r="B412" s="177"/>
      <c r="C412" s="43" t="s">
        <v>10825</v>
      </c>
      <c r="D412" s="43" t="s">
        <v>2800</v>
      </c>
      <c r="E412" s="44">
        <v>0.52200000000000002</v>
      </c>
      <c r="F412" s="38">
        <v>25.383999999999997</v>
      </c>
      <c r="G412" s="38">
        <f>IF(ISNUMBER(F412),E412*F412,"")</f>
        <v>13.250447999999999</v>
      </c>
      <c r="H412" s="42"/>
      <c r="I412" s="38"/>
      <c r="J412" s="37">
        <v>0</v>
      </c>
    </row>
    <row r="413" spans="1:10" hidden="1" x14ac:dyDescent="0.25">
      <c r="A413" s="174"/>
      <c r="B413" s="177"/>
      <c r="C413" s="43" t="s">
        <v>10614</v>
      </c>
      <c r="D413" s="43" t="s">
        <v>2800</v>
      </c>
      <c r="E413" s="44">
        <v>0.17100000000000001</v>
      </c>
      <c r="F413" s="38">
        <v>23.693000000000001</v>
      </c>
      <c r="G413" s="38">
        <f>IF(ISNUMBER(F413),E413*F413,"")</f>
        <v>4.0515030000000003</v>
      </c>
      <c r="H413" s="42"/>
      <c r="I413" s="38"/>
      <c r="J413" s="37">
        <v>0</v>
      </c>
    </row>
    <row r="414" spans="1:10" ht="15.75" hidden="1" thickBot="1" x14ac:dyDescent="0.3">
      <c r="A414" s="175"/>
      <c r="B414" s="178"/>
      <c r="C414" s="49"/>
      <c r="D414" s="49"/>
      <c r="E414" s="50"/>
      <c r="F414" s="51" t="s">
        <v>13</v>
      </c>
      <c r="G414" s="51" t="str">
        <f>IF(ISNUMBER(F414),E414*F414,"")</f>
        <v/>
      </c>
      <c r="H414" s="53"/>
      <c r="I414" s="38"/>
      <c r="J414" s="37">
        <v>0</v>
      </c>
    </row>
    <row r="415" spans="1:10" ht="15.75" hidden="1" thickBot="1" x14ac:dyDescent="0.3">
      <c r="A415" s="173" t="s">
        <v>93</v>
      </c>
      <c r="B415" s="176" t="s">
        <v>3087</v>
      </c>
      <c r="C415" s="31"/>
      <c r="D415" s="32" t="s">
        <v>68</v>
      </c>
      <c r="E415" s="33"/>
      <c r="F415" s="54" t="s">
        <v>13</v>
      </c>
      <c r="G415" s="34" t="str">
        <f>IF(ISNUMBER(F415),E415*F415,"")</f>
        <v/>
      </c>
      <c r="H415" s="35"/>
      <c r="I415" s="36"/>
      <c r="J415" s="37">
        <v>0</v>
      </c>
    </row>
    <row r="416" spans="1:10" hidden="1" x14ac:dyDescent="0.25">
      <c r="A416" s="174"/>
      <c r="B416" s="177"/>
      <c r="C416" s="39"/>
      <c r="D416" s="39"/>
      <c r="E416" s="40"/>
      <c r="F416" s="55" t="s">
        <v>13</v>
      </c>
      <c r="G416" s="38" t="str">
        <f>IF(ISNUMBER(F416),E416*F416,"")</f>
        <v/>
      </c>
      <c r="H416" s="42"/>
      <c r="I416" s="38"/>
      <c r="J416" s="37">
        <v>0</v>
      </c>
    </row>
    <row r="417" spans="1:10" ht="25.5" hidden="1" x14ac:dyDescent="0.25">
      <c r="A417" s="174"/>
      <c r="B417" s="177"/>
      <c r="C417" s="43" t="s">
        <v>10856</v>
      </c>
      <c r="D417" s="43" t="s">
        <v>1302</v>
      </c>
      <c r="E417" s="44">
        <v>1.2513000000000001</v>
      </c>
      <c r="F417" s="41">
        <v>0.27549999999999997</v>
      </c>
      <c r="G417" s="38">
        <f>IF(ISNUMBER(F417),E417*F417,"")</f>
        <v>0.34473314999999999</v>
      </c>
      <c r="H417" s="46">
        <f>SUM(G417:G420)</f>
        <v>6.8233354166666658</v>
      </c>
      <c r="I417" s="47"/>
      <c r="J417" s="37">
        <v>0</v>
      </c>
    </row>
    <row r="418" spans="1:10" ht="38.25" hidden="1" x14ac:dyDescent="0.25">
      <c r="A418" s="174"/>
      <c r="B418" s="177"/>
      <c r="C418" s="43" t="s">
        <v>10858</v>
      </c>
      <c r="D418" s="43" t="s">
        <v>1044</v>
      </c>
      <c r="E418" s="44">
        <v>0.54890000000000005</v>
      </c>
      <c r="F418" s="41">
        <v>3.1159999999999997</v>
      </c>
      <c r="G418" s="38">
        <f>IF(ISNUMBER(F418),E418*F418,"")</f>
        <v>1.7103724</v>
      </c>
      <c r="H418" s="58"/>
      <c r="I418" s="59"/>
      <c r="J418" s="37">
        <v>0</v>
      </c>
    </row>
    <row r="419" spans="1:10" ht="25.5" hidden="1" x14ac:dyDescent="0.25">
      <c r="A419" s="174"/>
      <c r="B419" s="177"/>
      <c r="C419" s="43" t="s">
        <v>10825</v>
      </c>
      <c r="D419" s="43" t="s">
        <v>2800</v>
      </c>
      <c r="E419" s="44">
        <f>0.344/3</f>
        <v>0.11466666666666665</v>
      </c>
      <c r="F419" s="38">
        <v>25.383999999999997</v>
      </c>
      <c r="G419" s="38">
        <f>IF(ISNUMBER(F419),E419*F419,"")</f>
        <v>2.9106986666666659</v>
      </c>
      <c r="H419" s="58"/>
      <c r="I419" s="59"/>
      <c r="J419" s="37">
        <v>0</v>
      </c>
    </row>
    <row r="420" spans="1:10" hidden="1" x14ac:dyDescent="0.25">
      <c r="A420" s="174"/>
      <c r="B420" s="177"/>
      <c r="C420" s="43" t="s">
        <v>10614</v>
      </c>
      <c r="D420" s="43" t="s">
        <v>2800</v>
      </c>
      <c r="E420" s="44">
        <f>ROUND(0.112*0.7,4)</f>
        <v>7.8399999999999997E-2</v>
      </c>
      <c r="F420" s="38">
        <v>23.693000000000001</v>
      </c>
      <c r="G420" s="38">
        <f>IF(ISNUMBER(F420),E420*F420,"")</f>
        <v>1.8575312000000002</v>
      </c>
      <c r="H420" s="58"/>
      <c r="I420" s="59"/>
      <c r="J420" s="37">
        <v>0</v>
      </c>
    </row>
    <row r="421" spans="1:10" ht="15.75" hidden="1" thickBot="1" x14ac:dyDescent="0.3">
      <c r="A421" s="175"/>
      <c r="B421" s="178"/>
      <c r="C421" s="49"/>
      <c r="D421" s="63"/>
      <c r="E421" s="50"/>
      <c r="F421" s="52" t="s">
        <v>13</v>
      </c>
      <c r="G421" s="52" t="str">
        <f>IF(ISNUMBER(F421),E421*F421,"")</f>
        <v/>
      </c>
      <c r="H421" s="64"/>
      <c r="I421" s="59"/>
      <c r="J421" s="37">
        <v>0</v>
      </c>
    </row>
    <row r="422" spans="1:10" ht="15.75" hidden="1" thickBot="1" x14ac:dyDescent="0.3">
      <c r="A422" s="173" t="s">
        <v>94</v>
      </c>
      <c r="B422" s="176" t="s">
        <v>3088</v>
      </c>
      <c r="C422" s="31"/>
      <c r="D422" s="32" t="s">
        <v>68</v>
      </c>
      <c r="E422" s="33"/>
      <c r="F422" s="54" t="s">
        <v>13</v>
      </c>
      <c r="G422" s="34" t="str">
        <f>IF(ISNUMBER(F422),E422*F422,"")</f>
        <v/>
      </c>
      <c r="H422" s="35"/>
      <c r="I422" s="36"/>
      <c r="J422" s="37">
        <v>0</v>
      </c>
    </row>
    <row r="423" spans="1:10" hidden="1" x14ac:dyDescent="0.25">
      <c r="A423" s="174"/>
      <c r="B423" s="177"/>
      <c r="C423" s="39"/>
      <c r="D423" s="39"/>
      <c r="E423" s="40"/>
      <c r="F423" s="55" t="s">
        <v>13</v>
      </c>
      <c r="G423" s="38" t="str">
        <f>IF(ISNUMBER(F423),E423*F423,"")</f>
        <v/>
      </c>
      <c r="H423" s="42"/>
      <c r="I423" s="38"/>
      <c r="J423" s="37">
        <v>0</v>
      </c>
    </row>
    <row r="424" spans="1:10" ht="25.5" hidden="1" x14ac:dyDescent="0.25">
      <c r="A424" s="174"/>
      <c r="B424" s="177"/>
      <c r="C424" s="43" t="s">
        <v>10777</v>
      </c>
      <c r="D424" s="43" t="s">
        <v>1302</v>
      </c>
      <c r="E424" s="44">
        <v>0.42</v>
      </c>
      <c r="F424" s="41">
        <v>2.0044999999999997</v>
      </c>
      <c r="G424" s="41">
        <f>IF(ISNUMBER(F424),E424*F424,"")</f>
        <v>0.84188999999999981</v>
      </c>
      <c r="H424" s="46">
        <f>SUM(G424:G432)</f>
        <v>105.19025124490999</v>
      </c>
      <c r="I424" s="47"/>
      <c r="J424" s="37">
        <v>0</v>
      </c>
    </row>
    <row r="425" spans="1:10" hidden="1" x14ac:dyDescent="0.25">
      <c r="A425" s="174"/>
      <c r="B425" s="177"/>
      <c r="C425" s="43" t="s">
        <v>10778</v>
      </c>
      <c r="D425" s="43" t="s">
        <v>10818</v>
      </c>
      <c r="E425" s="44">
        <v>5.0000000000000001E-3</v>
      </c>
      <c r="F425" s="41">
        <v>39.833500000000001</v>
      </c>
      <c r="G425" s="41">
        <f>IF(ISNUMBER(F425),E425*F425,"")</f>
        <v>0.1991675</v>
      </c>
      <c r="H425" s="42"/>
      <c r="I425" s="38"/>
      <c r="J425" s="37">
        <v>0</v>
      </c>
    </row>
    <row r="426" spans="1:10" ht="25.5" hidden="1" x14ac:dyDescent="0.25">
      <c r="A426" s="174"/>
      <c r="B426" s="177"/>
      <c r="C426" s="43" t="s">
        <v>10779</v>
      </c>
      <c r="D426" s="43" t="s">
        <v>83</v>
      </c>
      <c r="E426" s="44">
        <v>13.6</v>
      </c>
      <c r="F426" s="41">
        <v>2.5745</v>
      </c>
      <c r="G426" s="41">
        <f>IF(ISNUMBER(F426),E426*F426,"")</f>
        <v>35.013199999999998</v>
      </c>
      <c r="H426" s="42"/>
      <c r="I426" s="38"/>
      <c r="J426" s="37">
        <v>0</v>
      </c>
    </row>
    <row r="427" spans="1:10" ht="51" hidden="1" x14ac:dyDescent="0.25">
      <c r="A427" s="174"/>
      <c r="B427" s="177"/>
      <c r="C427" s="43" t="s">
        <v>10628</v>
      </c>
      <c r="D427" s="43" t="s">
        <v>2880</v>
      </c>
      <c r="E427" s="44">
        <v>1.04E-2</v>
      </c>
      <c r="F427" s="41">
        <v>811.23146795000002</v>
      </c>
      <c r="G427" s="41">
        <f>IF(ISNUMBER(F427),E427*F427,"")</f>
        <v>8.4368072666800007</v>
      </c>
      <c r="H427" s="42"/>
      <c r="I427" s="38"/>
      <c r="J427" s="37">
        <v>0</v>
      </c>
    </row>
    <row r="428" spans="1:10" hidden="1" x14ac:dyDescent="0.25">
      <c r="A428" s="174"/>
      <c r="B428" s="177"/>
      <c r="C428" s="43" t="s">
        <v>10757</v>
      </c>
      <c r="D428" s="43" t="s">
        <v>2800</v>
      </c>
      <c r="E428" s="44">
        <v>0.59</v>
      </c>
      <c r="F428" s="38">
        <v>31.055499999999995</v>
      </c>
      <c r="G428" s="41">
        <f>IF(ISNUMBER(F428),E428*F428,"")</f>
        <v>18.322744999999998</v>
      </c>
      <c r="H428" s="42"/>
      <c r="I428" s="38"/>
      <c r="J428" s="37">
        <v>0</v>
      </c>
    </row>
    <row r="429" spans="1:10" hidden="1" x14ac:dyDescent="0.25">
      <c r="A429" s="174"/>
      <c r="B429" s="177"/>
      <c r="C429" s="43" t="s">
        <v>10614</v>
      </c>
      <c r="D429" s="43" t="s">
        <v>2800</v>
      </c>
      <c r="E429" s="44">
        <v>0.29499999999999998</v>
      </c>
      <c r="F429" s="38">
        <v>23.693000000000001</v>
      </c>
      <c r="G429" s="41">
        <f>IF(ISNUMBER(F429),E429*F429,"")</f>
        <v>6.9894350000000003</v>
      </c>
      <c r="H429" s="42"/>
      <c r="I429" s="38"/>
      <c r="J429" s="37">
        <v>0</v>
      </c>
    </row>
    <row r="430" spans="1:10" ht="51" hidden="1" x14ac:dyDescent="0.25">
      <c r="A430" s="174"/>
      <c r="B430" s="177"/>
      <c r="C430" s="43" t="s">
        <v>10628</v>
      </c>
      <c r="D430" s="43" t="s">
        <v>2880</v>
      </c>
      <c r="E430" s="44">
        <v>1.9400000000000001E-2</v>
      </c>
      <c r="F430" s="41">
        <v>811.23146795000002</v>
      </c>
      <c r="G430" s="41">
        <f>IF(ISNUMBER(F430),E430*F430,"")</f>
        <v>15.737890478230002</v>
      </c>
      <c r="H430" s="42"/>
      <c r="I430" s="38"/>
      <c r="J430" s="37">
        <v>0</v>
      </c>
    </row>
    <row r="431" spans="1:10" hidden="1" x14ac:dyDescent="0.25">
      <c r="A431" s="174"/>
      <c r="B431" s="177"/>
      <c r="C431" s="43" t="s">
        <v>10757</v>
      </c>
      <c r="D431" s="43" t="s">
        <v>2800</v>
      </c>
      <c r="E431" s="44">
        <v>0.45800000000000002</v>
      </c>
      <c r="F431" s="38">
        <v>31.055499999999995</v>
      </c>
      <c r="G431" s="41">
        <f>IF(ISNUMBER(F431),E431*F431,"")</f>
        <v>14.223418999999998</v>
      </c>
      <c r="H431" s="42"/>
      <c r="I431" s="38"/>
      <c r="J431" s="37">
        <v>0</v>
      </c>
    </row>
    <row r="432" spans="1:10" hidden="1" x14ac:dyDescent="0.25">
      <c r="A432" s="174"/>
      <c r="B432" s="177"/>
      <c r="C432" s="43" t="s">
        <v>10614</v>
      </c>
      <c r="D432" s="43" t="s">
        <v>2800</v>
      </c>
      <c r="E432" s="44">
        <v>0.22900000000000001</v>
      </c>
      <c r="F432" s="38">
        <v>23.693000000000001</v>
      </c>
      <c r="G432" s="41">
        <f>IF(ISNUMBER(F432),E432*F432,"")</f>
        <v>5.4256970000000004</v>
      </c>
      <c r="H432" s="42"/>
      <c r="I432" s="38"/>
      <c r="J432" s="37">
        <v>0</v>
      </c>
    </row>
    <row r="433" spans="1:10" ht="15.75" hidden="1" thickBot="1" x14ac:dyDescent="0.3">
      <c r="A433" s="175"/>
      <c r="B433" s="178"/>
      <c r="C433" s="49"/>
      <c r="D433" s="49"/>
      <c r="E433" s="50"/>
      <c r="F433" s="51" t="s">
        <v>13</v>
      </c>
      <c r="G433" s="51" t="str">
        <f>IF(ISNUMBER(F433),E433*F433,"")</f>
        <v/>
      </c>
      <c r="H433" s="53"/>
      <c r="I433" s="38"/>
      <c r="J433" s="37">
        <v>0</v>
      </c>
    </row>
    <row r="434" spans="1:10" ht="15.75" hidden="1" thickBot="1" x14ac:dyDescent="0.3">
      <c r="A434" s="173" t="s">
        <v>95</v>
      </c>
      <c r="B434" s="176" t="s">
        <v>3089</v>
      </c>
      <c r="C434" s="31"/>
      <c r="D434" s="32" t="s">
        <v>68</v>
      </c>
      <c r="E434" s="33"/>
      <c r="F434" s="54" t="s">
        <v>13</v>
      </c>
      <c r="G434" s="34" t="str">
        <f>IF(ISNUMBER(F434),E434*F434,"")</f>
        <v/>
      </c>
      <c r="H434" s="35"/>
      <c r="I434" s="36"/>
      <c r="J434" s="37">
        <v>0</v>
      </c>
    </row>
    <row r="435" spans="1:10" hidden="1" x14ac:dyDescent="0.25">
      <c r="A435" s="174"/>
      <c r="B435" s="177"/>
      <c r="C435" s="39"/>
      <c r="D435" s="39"/>
      <c r="E435" s="40"/>
      <c r="F435" s="55" t="s">
        <v>13</v>
      </c>
      <c r="G435" s="38" t="str">
        <f>IF(ISNUMBER(F435),E435*F435,"")</f>
        <v/>
      </c>
      <c r="H435" s="42"/>
      <c r="I435" s="38"/>
      <c r="J435" s="37">
        <v>0</v>
      </c>
    </row>
    <row r="436" spans="1:10" ht="38.25" hidden="1" x14ac:dyDescent="0.25">
      <c r="A436" s="174"/>
      <c r="B436" s="177"/>
      <c r="C436" s="43" t="s">
        <v>10686</v>
      </c>
      <c r="D436" s="43" t="s">
        <v>2880</v>
      </c>
      <c r="E436" s="44">
        <v>3.3999999999999998E-3</v>
      </c>
      <c r="F436" s="41">
        <v>2464.0896699999994</v>
      </c>
      <c r="G436" s="41">
        <f>IF(ISNUMBER(F436),E436*F436,"")</f>
        <v>8.3779048779999972</v>
      </c>
      <c r="H436" s="46">
        <f>SUM(G436:G438)</f>
        <v>13.551071927999997</v>
      </c>
      <c r="I436" s="47"/>
      <c r="J436" s="37">
        <v>0</v>
      </c>
    </row>
    <row r="437" spans="1:10" hidden="1" x14ac:dyDescent="0.25">
      <c r="A437" s="174"/>
      <c r="B437" s="177"/>
      <c r="C437" s="43" t="s">
        <v>10757</v>
      </c>
      <c r="D437" s="43" t="s">
        <v>2800</v>
      </c>
      <c r="E437" s="44">
        <v>0.1295</v>
      </c>
      <c r="F437" s="38">
        <v>31.055499999999995</v>
      </c>
      <c r="G437" s="41">
        <f>IF(ISNUMBER(F437),E437*F437,"")</f>
        <v>4.0216872499999994</v>
      </c>
      <c r="H437" s="42"/>
      <c r="I437" s="38"/>
      <c r="J437" s="37">
        <v>0</v>
      </c>
    </row>
    <row r="438" spans="1:10" hidden="1" x14ac:dyDescent="0.25">
      <c r="A438" s="174"/>
      <c r="B438" s="177"/>
      <c r="C438" s="43" t="s">
        <v>10614</v>
      </c>
      <c r="D438" s="43" t="s">
        <v>2800</v>
      </c>
      <c r="E438" s="44">
        <v>4.8599999999999997E-2</v>
      </c>
      <c r="F438" s="38">
        <v>23.693000000000001</v>
      </c>
      <c r="G438" s="41">
        <f>IF(ISNUMBER(F438),E438*F438,"")</f>
        <v>1.1514797999999999</v>
      </c>
      <c r="H438" s="42"/>
      <c r="I438" s="38"/>
      <c r="J438" s="37">
        <v>0</v>
      </c>
    </row>
    <row r="439" spans="1:10" ht="15.75" hidden="1" thickBot="1" x14ac:dyDescent="0.3">
      <c r="A439" s="175"/>
      <c r="B439" s="178"/>
      <c r="C439" s="49"/>
      <c r="D439" s="49"/>
      <c r="E439" s="50"/>
      <c r="F439" s="51" t="s">
        <v>13</v>
      </c>
      <c r="G439" s="51" t="str">
        <f>IF(ISNUMBER(F439),E439*F439,"")</f>
        <v/>
      </c>
      <c r="H439" s="53"/>
      <c r="I439" s="38"/>
      <c r="J439" s="37">
        <v>0</v>
      </c>
    </row>
    <row r="440" spans="1:10" ht="15.75" hidden="1" thickBot="1" x14ac:dyDescent="0.3">
      <c r="A440" s="173" t="s">
        <v>96</v>
      </c>
      <c r="B440" s="176" t="s">
        <v>3090</v>
      </c>
      <c r="C440" s="31"/>
      <c r="D440" s="32" t="s">
        <v>68</v>
      </c>
      <c r="E440" s="33"/>
      <c r="F440" s="54" t="s">
        <v>13</v>
      </c>
      <c r="G440" s="34" t="str">
        <f>IF(ISNUMBER(F440),E440*F440,"")</f>
        <v/>
      </c>
      <c r="H440" s="35"/>
      <c r="I440" s="36"/>
      <c r="J440" s="37">
        <v>0</v>
      </c>
    </row>
    <row r="441" spans="1:10" hidden="1" x14ac:dyDescent="0.25">
      <c r="A441" s="174"/>
      <c r="B441" s="177"/>
      <c r="C441" s="39"/>
      <c r="D441" s="39"/>
      <c r="E441" s="40"/>
      <c r="F441" s="55" t="s">
        <v>13</v>
      </c>
      <c r="G441" s="38" t="str">
        <f>IF(ISNUMBER(F441),E441*F441,"")</f>
        <v/>
      </c>
      <c r="H441" s="42"/>
      <c r="I441" s="38"/>
      <c r="J441" s="37">
        <v>0</v>
      </c>
    </row>
    <row r="442" spans="1:10" ht="38.25" hidden="1" x14ac:dyDescent="0.25">
      <c r="A442" s="174"/>
      <c r="B442" s="177"/>
      <c r="C442" s="43" t="s">
        <v>10685</v>
      </c>
      <c r="D442" s="43" t="s">
        <v>2880</v>
      </c>
      <c r="E442" s="44">
        <v>3.7000000000000002E-3</v>
      </c>
      <c r="F442" s="41">
        <v>787.22126342499996</v>
      </c>
      <c r="G442" s="41">
        <f>IF(ISNUMBER(F442),E442*F442,"")</f>
        <v>2.9127186746725</v>
      </c>
      <c r="H442" s="46">
        <f>SUM(G442:G444)</f>
        <v>5.6317697246724991</v>
      </c>
      <c r="I442" s="47"/>
      <c r="J442" s="37">
        <v>0</v>
      </c>
    </row>
    <row r="443" spans="1:10" hidden="1" x14ac:dyDescent="0.25">
      <c r="A443" s="174"/>
      <c r="B443" s="177"/>
      <c r="C443" s="43" t="s">
        <v>10757</v>
      </c>
      <c r="D443" s="43" t="s">
        <v>2800</v>
      </c>
      <c r="E443" s="44">
        <v>6.8099999999999994E-2</v>
      </c>
      <c r="F443" s="38">
        <v>31.055499999999995</v>
      </c>
      <c r="G443" s="38">
        <f>IF(ISNUMBER(F443),E443*F443,"")</f>
        <v>2.1148795499999995</v>
      </c>
      <c r="H443" s="42"/>
      <c r="I443" s="38"/>
      <c r="J443" s="37">
        <v>0</v>
      </c>
    </row>
    <row r="444" spans="1:10" hidden="1" x14ac:dyDescent="0.25">
      <c r="A444" s="174"/>
      <c r="B444" s="177"/>
      <c r="C444" s="43" t="s">
        <v>10614</v>
      </c>
      <c r="D444" s="43" t="s">
        <v>2800</v>
      </c>
      <c r="E444" s="44">
        <v>2.5499999999999998E-2</v>
      </c>
      <c r="F444" s="38">
        <v>23.693000000000001</v>
      </c>
      <c r="G444" s="38">
        <f>IF(ISNUMBER(F444),E444*F444,"")</f>
        <v>0.60417149999999997</v>
      </c>
      <c r="H444" s="42"/>
      <c r="I444" s="38"/>
      <c r="J444" s="37">
        <v>0</v>
      </c>
    </row>
    <row r="445" spans="1:10" ht="15.75" hidden="1" thickBot="1" x14ac:dyDescent="0.3">
      <c r="A445" s="175"/>
      <c r="B445" s="178"/>
      <c r="C445" s="49"/>
      <c r="D445" s="49"/>
      <c r="E445" s="50"/>
      <c r="F445" s="51" t="s">
        <v>13</v>
      </c>
      <c r="G445" s="51" t="str">
        <f>IF(ISNUMBER(F445),E445*F445,"")</f>
        <v/>
      </c>
      <c r="H445" s="53"/>
      <c r="I445" s="38"/>
      <c r="J445" s="37">
        <v>0</v>
      </c>
    </row>
    <row r="446" spans="1:10" ht="15.75" hidden="1" thickBot="1" x14ac:dyDescent="0.3">
      <c r="A446" s="173" t="s">
        <v>97</v>
      </c>
      <c r="B446" s="176" t="s">
        <v>3091</v>
      </c>
      <c r="C446" s="31"/>
      <c r="D446" s="32" t="s">
        <v>68</v>
      </c>
      <c r="E446" s="33"/>
      <c r="F446" s="54" t="s">
        <v>13</v>
      </c>
      <c r="G446" s="34" t="str">
        <f>IF(ISNUMBER(F446),E446*F446,"")</f>
        <v/>
      </c>
      <c r="H446" s="35"/>
      <c r="I446" s="36"/>
      <c r="J446" s="37">
        <v>0</v>
      </c>
    </row>
    <row r="447" spans="1:10" hidden="1" x14ac:dyDescent="0.25">
      <c r="A447" s="179"/>
      <c r="B447" s="177"/>
      <c r="C447" s="39"/>
      <c r="D447" s="39"/>
      <c r="E447" s="40"/>
      <c r="F447" s="55" t="s">
        <v>13</v>
      </c>
      <c r="G447" s="38" t="str">
        <f>IF(ISNUMBER(F447),E447*F447,"")</f>
        <v/>
      </c>
      <c r="H447" s="42"/>
      <c r="I447" s="38"/>
      <c r="J447" s="37">
        <v>0</v>
      </c>
    </row>
    <row r="448" spans="1:10" hidden="1" x14ac:dyDescent="0.25">
      <c r="A448" s="179"/>
      <c r="B448" s="177"/>
      <c r="C448" s="43" t="s">
        <v>10862</v>
      </c>
      <c r="D448" s="43" t="s">
        <v>2800</v>
      </c>
      <c r="E448" s="44">
        <v>0.32979000000000003</v>
      </c>
      <c r="F448" s="38">
        <v>30.837</v>
      </c>
      <c r="G448" s="38">
        <f>IF(ISNUMBER(F448),E448*F448,"")</f>
        <v>10.169734230000001</v>
      </c>
      <c r="H448" s="46">
        <f>SUM(G448:G450)</f>
        <v>12.643994220000002</v>
      </c>
      <c r="I448" s="47"/>
      <c r="J448" s="37">
        <v>0</v>
      </c>
    </row>
    <row r="449" spans="1:10" hidden="1" x14ac:dyDescent="0.25">
      <c r="A449" s="179"/>
      <c r="B449" s="177"/>
      <c r="C449" s="43" t="s">
        <v>10614</v>
      </c>
      <c r="D449" s="43" t="s">
        <v>2800</v>
      </c>
      <c r="E449" s="44">
        <v>0.10443</v>
      </c>
      <c r="F449" s="38">
        <v>23.693000000000001</v>
      </c>
      <c r="G449" s="38">
        <f>IF(ISNUMBER(F449),E449*F449,"")</f>
        <v>2.4742599900000002</v>
      </c>
      <c r="H449" s="42"/>
      <c r="I449" s="38"/>
      <c r="J449" s="37">
        <v>0</v>
      </c>
    </row>
    <row r="450" spans="1:10" hidden="1" x14ac:dyDescent="0.25">
      <c r="A450" s="179"/>
      <c r="B450" s="177"/>
      <c r="C450" s="43" t="s">
        <v>98</v>
      </c>
      <c r="D450" s="43" t="s">
        <v>72</v>
      </c>
      <c r="E450" s="44">
        <f>0.75</f>
        <v>0.75</v>
      </c>
      <c r="F450" s="38" t="s">
        <v>13</v>
      </c>
      <c r="G450" s="38" t="str">
        <f>IF(ISNUMBER(F450),E450*F450,"")</f>
        <v/>
      </c>
      <c r="H450" s="42"/>
      <c r="I450" s="38"/>
      <c r="J450" s="37">
        <v>0</v>
      </c>
    </row>
    <row r="451" spans="1:10" hidden="1" x14ac:dyDescent="0.25">
      <c r="A451" s="179"/>
      <c r="B451" s="177"/>
      <c r="C451" s="43"/>
      <c r="D451" s="43"/>
      <c r="E451" s="44"/>
      <c r="F451" s="38" t="s">
        <v>13</v>
      </c>
      <c r="G451" s="38" t="str">
        <f>IF(ISNUMBER(F451),E451*F451,"")</f>
        <v/>
      </c>
      <c r="H451" s="42"/>
      <c r="I451" s="38"/>
      <c r="J451" s="37">
        <v>0</v>
      </c>
    </row>
    <row r="452" spans="1:10" ht="25.5" hidden="1" x14ac:dyDescent="0.25">
      <c r="A452" s="179"/>
      <c r="B452" s="177"/>
      <c r="C452" s="65" t="s">
        <v>99</v>
      </c>
      <c r="D452" s="65"/>
      <c r="E452" s="66"/>
      <c r="F452" s="41" t="s">
        <v>13</v>
      </c>
      <c r="G452" s="38" t="str">
        <f>IF(ISNUMBER(F452),E452*F452,"")</f>
        <v/>
      </c>
      <c r="H452" s="42"/>
      <c r="I452" s="38"/>
      <c r="J452" s="37">
        <v>0</v>
      </c>
    </row>
    <row r="453" spans="1:10" ht="15.75" hidden="1" thickBot="1" x14ac:dyDescent="0.3">
      <c r="A453" s="180"/>
      <c r="B453" s="178"/>
      <c r="C453" s="49"/>
      <c r="D453" s="49"/>
      <c r="E453" s="50"/>
      <c r="F453" s="51" t="s">
        <v>13</v>
      </c>
      <c r="G453" s="51" t="str">
        <f>IF(ISNUMBER(F453),E453*F453,"")</f>
        <v/>
      </c>
      <c r="H453" s="53"/>
      <c r="I453" s="38"/>
      <c r="J453" s="37">
        <v>0</v>
      </c>
    </row>
    <row r="454" spans="1:10" ht="15.75" hidden="1" thickBot="1" x14ac:dyDescent="0.3">
      <c r="A454" s="173" t="s">
        <v>100</v>
      </c>
      <c r="B454" s="176" t="s">
        <v>3092</v>
      </c>
      <c r="C454" s="31"/>
      <c r="D454" s="32" t="s">
        <v>68</v>
      </c>
      <c r="E454" s="33"/>
      <c r="F454" s="54" t="s">
        <v>13</v>
      </c>
      <c r="G454" s="34" t="str">
        <f>IF(ISNUMBER(F454),E454*F454,"")</f>
        <v/>
      </c>
      <c r="H454" s="35"/>
      <c r="I454" s="36"/>
      <c r="J454" s="37">
        <v>0</v>
      </c>
    </row>
    <row r="455" spans="1:10" hidden="1" x14ac:dyDescent="0.25">
      <c r="A455" s="174"/>
      <c r="B455" s="177"/>
      <c r="C455" s="39"/>
      <c r="D455" s="39"/>
      <c r="E455" s="40"/>
      <c r="F455" s="55" t="s">
        <v>13</v>
      </c>
      <c r="G455" s="38" t="str">
        <f>IF(ISNUMBER(F455),E455*F455,"")</f>
        <v/>
      </c>
      <c r="H455" s="42"/>
      <c r="I455" s="38"/>
      <c r="J455" s="37">
        <v>0</v>
      </c>
    </row>
    <row r="456" spans="1:10" ht="25.5" hidden="1" x14ac:dyDescent="0.25">
      <c r="A456" s="174"/>
      <c r="B456" s="177"/>
      <c r="C456" s="43" t="s">
        <v>10863</v>
      </c>
      <c r="D456" s="43" t="s">
        <v>1044</v>
      </c>
      <c r="E456" s="44">
        <f>1890*0.02</f>
        <v>37.800000000000004</v>
      </c>
      <c r="F456" s="41">
        <v>0.627</v>
      </c>
      <c r="G456" s="38">
        <f>IF(ISNUMBER(F456),E456*F456,"")</f>
        <v>23.700600000000001</v>
      </c>
      <c r="H456" s="46">
        <f>SUM(G456:G459)</f>
        <v>48.551957800000004</v>
      </c>
      <c r="I456" s="47"/>
      <c r="J456" s="37">
        <v>0</v>
      </c>
    </row>
    <row r="457" spans="1:10" hidden="1" x14ac:dyDescent="0.25">
      <c r="A457" s="174"/>
      <c r="B457" s="177"/>
      <c r="C457" s="43" t="s">
        <v>10614</v>
      </c>
      <c r="D457" s="43" t="s">
        <v>2800</v>
      </c>
      <c r="E457" s="44">
        <f>12.59*0.02</f>
        <v>0.25180000000000002</v>
      </c>
      <c r="F457" s="38">
        <v>23.693000000000001</v>
      </c>
      <c r="G457" s="38">
        <f>IF(ISNUMBER(F457),E457*F457,"")</f>
        <v>5.9658974000000011</v>
      </c>
      <c r="H457" s="58"/>
      <c r="I457" s="59"/>
      <c r="J457" s="37">
        <v>0</v>
      </c>
    </row>
    <row r="458" spans="1:10" hidden="1" x14ac:dyDescent="0.25">
      <c r="A458" s="174"/>
      <c r="B458" s="177"/>
      <c r="C458" s="43" t="s">
        <v>10757</v>
      </c>
      <c r="D458" s="43" t="s">
        <v>2800</v>
      </c>
      <c r="E458" s="44">
        <v>0.44019999999999998</v>
      </c>
      <c r="F458" s="38">
        <v>31.055499999999995</v>
      </c>
      <c r="G458" s="38">
        <f>IF(ISNUMBER(F458),E458*F458,"")</f>
        <v>13.670631099999998</v>
      </c>
      <c r="H458" s="42"/>
      <c r="I458" s="38"/>
      <c r="J458" s="37">
        <v>0</v>
      </c>
    </row>
    <row r="459" spans="1:10" hidden="1" x14ac:dyDescent="0.25">
      <c r="A459" s="174"/>
      <c r="B459" s="177"/>
      <c r="C459" s="43" t="s">
        <v>10614</v>
      </c>
      <c r="D459" s="43" t="s">
        <v>2800</v>
      </c>
      <c r="E459" s="44">
        <v>0.22009999999999999</v>
      </c>
      <c r="F459" s="38">
        <v>23.693000000000001</v>
      </c>
      <c r="G459" s="38">
        <f>IF(ISNUMBER(F459),E459*F459,"")</f>
        <v>5.2148292999999999</v>
      </c>
      <c r="H459" s="42"/>
      <c r="I459" s="38"/>
      <c r="J459" s="37">
        <v>0</v>
      </c>
    </row>
    <row r="460" spans="1:10" hidden="1" x14ac:dyDescent="0.25">
      <c r="A460" s="174"/>
      <c r="B460" s="177"/>
      <c r="C460" s="43"/>
      <c r="D460" s="43"/>
      <c r="E460" s="44"/>
      <c r="F460" s="38" t="s">
        <v>13</v>
      </c>
      <c r="G460" s="38" t="str">
        <f>IF(ISNUMBER(F460),E460*F460,"")</f>
        <v/>
      </c>
      <c r="H460" s="42"/>
      <c r="I460" s="38"/>
      <c r="J460" s="37">
        <v>0</v>
      </c>
    </row>
    <row r="461" spans="1:10" ht="51" hidden="1" x14ac:dyDescent="0.25">
      <c r="A461" s="174"/>
      <c r="B461" s="177"/>
      <c r="C461" s="65" t="s">
        <v>101</v>
      </c>
      <c r="D461" s="43"/>
      <c r="E461" s="44"/>
      <c r="F461" s="38" t="s">
        <v>13</v>
      </c>
      <c r="G461" s="38" t="str">
        <f>IF(ISNUMBER(F461),E461*F461,"")</f>
        <v/>
      </c>
      <c r="H461" s="42"/>
      <c r="I461" s="38"/>
      <c r="J461" s="37">
        <v>0</v>
      </c>
    </row>
    <row r="462" spans="1:10" ht="30" hidden="1" x14ac:dyDescent="0.25">
      <c r="A462" s="174"/>
      <c r="B462" s="177"/>
      <c r="C462" s="67" t="s">
        <v>102</v>
      </c>
      <c r="D462" s="43"/>
      <c r="E462" s="44"/>
      <c r="F462" s="38" t="s">
        <v>13</v>
      </c>
      <c r="G462" s="38" t="str">
        <f>IF(ISNUMBER(F462),E462*F462,"")</f>
        <v/>
      </c>
      <c r="H462" s="42"/>
      <c r="I462" s="38"/>
      <c r="J462" s="37">
        <v>0</v>
      </c>
    </row>
    <row r="463" spans="1:10" ht="15.75" hidden="1" thickBot="1" x14ac:dyDescent="0.3">
      <c r="A463" s="175"/>
      <c r="B463" s="178"/>
      <c r="C463" s="49"/>
      <c r="D463" s="49"/>
      <c r="E463" s="50"/>
      <c r="F463" s="51" t="s">
        <v>13</v>
      </c>
      <c r="G463" s="51" t="str">
        <f>IF(ISNUMBER(F463),E463*F463,"")</f>
        <v/>
      </c>
      <c r="H463" s="53"/>
      <c r="I463" s="38"/>
      <c r="J463" s="37">
        <v>0</v>
      </c>
    </row>
    <row r="464" spans="1:10" ht="15.75" hidden="1" thickBot="1" x14ac:dyDescent="0.3">
      <c r="A464" s="173" t="s">
        <v>103</v>
      </c>
      <c r="B464" s="176" t="s">
        <v>3093</v>
      </c>
      <c r="C464" s="31"/>
      <c r="D464" s="32" t="s">
        <v>68</v>
      </c>
      <c r="E464" s="33"/>
      <c r="F464" s="54" t="s">
        <v>13</v>
      </c>
      <c r="G464" s="34" t="str">
        <f>IF(ISNUMBER(F464),E464*F464,"")</f>
        <v/>
      </c>
      <c r="H464" s="35"/>
      <c r="I464" s="36"/>
      <c r="J464" s="37">
        <v>0</v>
      </c>
    </row>
    <row r="465" spans="1:10" hidden="1" x14ac:dyDescent="0.25">
      <c r="A465" s="174"/>
      <c r="B465" s="177"/>
      <c r="C465" s="39"/>
      <c r="D465" s="39"/>
      <c r="E465" s="40"/>
      <c r="F465" s="55" t="s">
        <v>13</v>
      </c>
      <c r="G465" s="38" t="str">
        <f>IF(ISNUMBER(F465),E465*F465,"")</f>
        <v/>
      </c>
      <c r="H465" s="42"/>
      <c r="I465" s="38"/>
      <c r="J465" s="37">
        <v>0</v>
      </c>
    </row>
    <row r="466" spans="1:10" ht="25.5" hidden="1" x14ac:dyDescent="0.25">
      <c r="A466" s="174"/>
      <c r="B466" s="177"/>
      <c r="C466" s="43" t="s">
        <v>10863</v>
      </c>
      <c r="D466" s="43" t="s">
        <v>1044</v>
      </c>
      <c r="E466" s="44">
        <f>1890*0.005</f>
        <v>9.4500000000000011</v>
      </c>
      <c r="F466" s="41">
        <v>0.627</v>
      </c>
      <c r="G466" s="38">
        <f>IF(ISNUMBER(F466),E466*F466,"")</f>
        <v>5.9251500000000004</v>
      </c>
      <c r="H466" s="46">
        <f>SUM(G466:G469)</f>
        <v>17.831513869999998</v>
      </c>
      <c r="I466" s="47"/>
      <c r="J466" s="37">
        <v>0</v>
      </c>
    </row>
    <row r="467" spans="1:10" hidden="1" x14ac:dyDescent="0.25">
      <c r="A467" s="174"/>
      <c r="B467" s="177"/>
      <c r="C467" s="43" t="s">
        <v>10614</v>
      </c>
      <c r="D467" s="43" t="s">
        <v>2800</v>
      </c>
      <c r="E467" s="44">
        <f>12.59*0.005</f>
        <v>6.2950000000000006E-2</v>
      </c>
      <c r="F467" s="38">
        <v>23.693000000000001</v>
      </c>
      <c r="G467" s="38">
        <f>IF(ISNUMBER(F467),E467*F467,"")</f>
        <v>1.4914743500000003</v>
      </c>
      <c r="H467" s="42"/>
      <c r="I467" s="38"/>
      <c r="J467" s="37">
        <v>0</v>
      </c>
    </row>
    <row r="468" spans="1:10" hidden="1" x14ac:dyDescent="0.25">
      <c r="A468" s="174"/>
      <c r="B468" s="177"/>
      <c r="C468" s="43" t="s">
        <v>10757</v>
      </c>
      <c r="D468" s="43" t="s">
        <v>2800</v>
      </c>
      <c r="E468" s="44">
        <f>0.3468*0.7</f>
        <v>0.24275999999999998</v>
      </c>
      <c r="F468" s="38">
        <v>31.055499999999995</v>
      </c>
      <c r="G468" s="38">
        <f>IF(ISNUMBER(F468),E468*F468,"")</f>
        <v>7.5390331799999979</v>
      </c>
      <c r="H468" s="42"/>
      <c r="I468" s="38"/>
      <c r="J468" s="37">
        <v>0</v>
      </c>
    </row>
    <row r="469" spans="1:10" hidden="1" x14ac:dyDescent="0.25">
      <c r="A469" s="174"/>
      <c r="B469" s="177"/>
      <c r="C469" s="43" t="s">
        <v>10614</v>
      </c>
      <c r="D469" s="43" t="s">
        <v>2800</v>
      </c>
      <c r="E469" s="44">
        <f>0.1734*0.7</f>
        <v>0.12137999999999999</v>
      </c>
      <c r="F469" s="38">
        <v>23.693000000000001</v>
      </c>
      <c r="G469" s="38">
        <f>IF(ISNUMBER(F469),E469*F469,"")</f>
        <v>2.8758563399999999</v>
      </c>
      <c r="H469" s="42"/>
      <c r="I469" s="38"/>
      <c r="J469" s="37">
        <v>0</v>
      </c>
    </row>
    <row r="470" spans="1:10" ht="15.75" hidden="1" thickBot="1" x14ac:dyDescent="0.3">
      <c r="A470" s="175"/>
      <c r="B470" s="178"/>
      <c r="C470" s="49"/>
      <c r="D470" s="49"/>
      <c r="E470" s="50"/>
      <c r="F470" s="51" t="s">
        <v>13</v>
      </c>
      <c r="G470" s="51" t="str">
        <f>IF(ISNUMBER(F470),E470*F470,"")</f>
        <v/>
      </c>
      <c r="H470" s="53"/>
      <c r="I470" s="38"/>
      <c r="J470" s="37">
        <v>0</v>
      </c>
    </row>
    <row r="471" spans="1:10" ht="15.75" hidden="1" thickBot="1" x14ac:dyDescent="0.3">
      <c r="A471" s="173" t="s">
        <v>104</v>
      </c>
      <c r="B471" s="176" t="s">
        <v>3094</v>
      </c>
      <c r="C471" s="31"/>
      <c r="D471" s="32" t="s">
        <v>106</v>
      </c>
      <c r="E471" s="33"/>
      <c r="F471" s="54" t="s">
        <v>13</v>
      </c>
      <c r="G471" s="34" t="str">
        <f>IF(ISNUMBER(F471),E471*F471,"")</f>
        <v/>
      </c>
      <c r="H471" s="35"/>
      <c r="I471" s="36"/>
      <c r="J471" s="37">
        <v>0</v>
      </c>
    </row>
    <row r="472" spans="1:10" hidden="1" x14ac:dyDescent="0.25">
      <c r="A472" s="174"/>
      <c r="B472" s="177"/>
      <c r="C472" s="39"/>
      <c r="D472" s="39"/>
      <c r="E472" s="40"/>
      <c r="F472" s="55" t="s">
        <v>13</v>
      </c>
      <c r="G472" s="38" t="str">
        <f>IF(ISNUMBER(F472),E472*F472,"")</f>
        <v/>
      </c>
      <c r="H472" s="42"/>
      <c r="I472" s="38"/>
      <c r="J472" s="37">
        <v>0</v>
      </c>
    </row>
    <row r="473" spans="1:10" hidden="1" x14ac:dyDescent="0.25">
      <c r="A473" s="174"/>
      <c r="B473" s="177"/>
      <c r="C473" s="43" t="s">
        <v>10614</v>
      </c>
      <c r="D473" s="43" t="s">
        <v>2800</v>
      </c>
      <c r="E473" s="44">
        <v>0.6</v>
      </c>
      <c r="F473" s="38">
        <v>23.693000000000001</v>
      </c>
      <c r="G473" s="41">
        <f>IF(ISNUMBER(F473),E473*F473,"")</f>
        <v>14.2158</v>
      </c>
      <c r="H473" s="46">
        <f>SUM(G473:G477)</f>
        <v>19.616301100000001</v>
      </c>
      <c r="I473" s="47"/>
      <c r="J473" s="37">
        <v>0</v>
      </c>
    </row>
    <row r="474" spans="1:10" hidden="1" x14ac:dyDescent="0.25">
      <c r="A474" s="174"/>
      <c r="B474" s="177"/>
      <c r="C474" s="43" t="s">
        <v>10757</v>
      </c>
      <c r="D474" s="43" t="s">
        <v>2800</v>
      </c>
      <c r="E474" s="44">
        <v>0.155</v>
      </c>
      <c r="F474" s="38">
        <v>31.055499999999995</v>
      </c>
      <c r="G474" s="41">
        <f>IF(ISNUMBER(F474),E474*F474,"")</f>
        <v>4.8136024999999991</v>
      </c>
      <c r="H474" s="42"/>
      <c r="I474" s="38"/>
      <c r="J474" s="37">
        <v>0</v>
      </c>
    </row>
    <row r="475" spans="1:10" hidden="1" x14ac:dyDescent="0.25">
      <c r="A475" s="174"/>
      <c r="B475" s="177"/>
      <c r="C475" s="43" t="s">
        <v>105</v>
      </c>
      <c r="D475" s="62" t="s">
        <v>106</v>
      </c>
      <c r="E475" s="44">
        <v>1.05</v>
      </c>
      <c r="F475" s="41" t="s">
        <v>13</v>
      </c>
      <c r="G475" s="41" t="str">
        <f>IF(ISNUMBER(F475),E475*F475,"")</f>
        <v/>
      </c>
      <c r="H475" s="42"/>
      <c r="I475" s="38"/>
      <c r="J475" s="37">
        <v>0</v>
      </c>
    </row>
    <row r="476" spans="1:10" hidden="1" x14ac:dyDescent="0.25">
      <c r="A476" s="174"/>
      <c r="B476" s="177"/>
      <c r="C476" s="43" t="s">
        <v>10864</v>
      </c>
      <c r="D476" s="43" t="s">
        <v>70</v>
      </c>
      <c r="E476" s="44">
        <f>ROUND(1*0.15/(165/18),4)</f>
        <v>1.6400000000000001E-2</v>
      </c>
      <c r="F476" s="41">
        <v>35.786499999999997</v>
      </c>
      <c r="G476" s="41">
        <f>IF(ISNUMBER(F476),E476*F476,"")</f>
        <v>0.58689860000000005</v>
      </c>
      <c r="H476" s="42"/>
      <c r="I476" s="38"/>
      <c r="J476" s="37">
        <v>0</v>
      </c>
    </row>
    <row r="477" spans="1:10" hidden="1" x14ac:dyDescent="0.25">
      <c r="A477" s="174"/>
      <c r="B477" s="177"/>
      <c r="C477" s="43" t="s">
        <v>107</v>
      </c>
      <c r="D477" s="62" t="s">
        <v>108</v>
      </c>
      <c r="E477" s="44">
        <v>0.4</v>
      </c>
      <c r="F477" s="41" t="s">
        <v>13</v>
      </c>
      <c r="G477" s="41" t="str">
        <f>IF(ISNUMBER(F477),E477*F477,"")</f>
        <v/>
      </c>
      <c r="H477" s="42"/>
      <c r="I477" s="38"/>
      <c r="J477" s="37">
        <v>0</v>
      </c>
    </row>
    <row r="478" spans="1:10" hidden="1" x14ac:dyDescent="0.25">
      <c r="A478" s="174"/>
      <c r="B478" s="177"/>
      <c r="C478" s="43"/>
      <c r="D478" s="62"/>
      <c r="E478" s="44"/>
      <c r="F478" s="41" t="s">
        <v>13</v>
      </c>
      <c r="G478" s="41" t="str">
        <f>IF(ISNUMBER(F478),E478*F478,"")</f>
        <v/>
      </c>
      <c r="H478" s="42"/>
      <c r="I478" s="38"/>
      <c r="J478" s="37">
        <v>0</v>
      </c>
    </row>
    <row r="479" spans="1:10" ht="51" hidden="1" x14ac:dyDescent="0.25">
      <c r="A479" s="174"/>
      <c r="B479" s="177"/>
      <c r="C479" s="65" t="s">
        <v>109</v>
      </c>
      <c r="D479" s="62"/>
      <c r="E479" s="44"/>
      <c r="F479" s="41" t="s">
        <v>13</v>
      </c>
      <c r="G479" s="41" t="str">
        <f>IF(ISNUMBER(F479),E479*F479,"")</f>
        <v/>
      </c>
      <c r="H479" s="42"/>
      <c r="I479" s="38"/>
      <c r="J479" s="37">
        <v>0</v>
      </c>
    </row>
    <row r="480" spans="1:10" ht="30" hidden="1" x14ac:dyDescent="0.25">
      <c r="A480" s="174"/>
      <c r="B480" s="177"/>
      <c r="C480" s="68" t="s">
        <v>110</v>
      </c>
      <c r="D480" s="62"/>
      <c r="E480" s="44"/>
      <c r="F480" s="41" t="s">
        <v>13</v>
      </c>
      <c r="G480" s="41" t="str">
        <f>IF(ISNUMBER(F480),E480*F480,"")</f>
        <v/>
      </c>
      <c r="H480" s="42"/>
      <c r="I480" s="38"/>
      <c r="J480" s="37">
        <v>0</v>
      </c>
    </row>
    <row r="481" spans="1:10" ht="30" hidden="1" x14ac:dyDescent="0.25">
      <c r="A481" s="174"/>
      <c r="B481" s="177"/>
      <c r="C481" s="68" t="s">
        <v>111</v>
      </c>
      <c r="D481" s="62"/>
      <c r="E481" s="44"/>
      <c r="F481" s="41" t="s">
        <v>13</v>
      </c>
      <c r="G481" s="41" t="str">
        <f>IF(ISNUMBER(F481),E481*F481,"")</f>
        <v/>
      </c>
      <c r="H481" s="42"/>
      <c r="I481" s="38"/>
      <c r="J481" s="37">
        <v>0</v>
      </c>
    </row>
    <row r="482" spans="1:10" ht="15.75" hidden="1" thickBot="1" x14ac:dyDescent="0.3">
      <c r="A482" s="175"/>
      <c r="B482" s="178"/>
      <c r="C482" s="49"/>
      <c r="D482" s="49"/>
      <c r="E482" s="50"/>
      <c r="F482" s="51" t="s">
        <v>13</v>
      </c>
      <c r="G482" s="51" t="str">
        <f>IF(ISNUMBER(F482),E482*F482,"")</f>
        <v/>
      </c>
      <c r="H482" s="53"/>
      <c r="I482" s="38"/>
      <c r="J482" s="37">
        <v>0</v>
      </c>
    </row>
    <row r="483" spans="1:10" ht="15.75" hidden="1" thickBot="1" x14ac:dyDescent="0.3">
      <c r="A483" s="173" t="s">
        <v>112</v>
      </c>
      <c r="B483" s="176" t="s">
        <v>3095</v>
      </c>
      <c r="C483" s="31"/>
      <c r="D483" s="32" t="s">
        <v>68</v>
      </c>
      <c r="E483" s="33"/>
      <c r="F483" s="54" t="s">
        <v>13</v>
      </c>
      <c r="G483" s="34" t="str">
        <f>IF(ISNUMBER(F483),E483*F483,"")</f>
        <v/>
      </c>
      <c r="H483" s="35"/>
      <c r="I483" s="36"/>
      <c r="J483" s="37">
        <v>0</v>
      </c>
    </row>
    <row r="484" spans="1:10" hidden="1" x14ac:dyDescent="0.25">
      <c r="A484" s="174"/>
      <c r="B484" s="177"/>
      <c r="C484" s="39"/>
      <c r="D484" s="39"/>
      <c r="E484" s="40"/>
      <c r="F484" s="55" t="s">
        <v>13</v>
      </c>
      <c r="G484" s="38" t="str">
        <f>IF(ISNUMBER(F484),E484*F484,"")</f>
        <v/>
      </c>
      <c r="H484" s="42"/>
      <c r="I484" s="38"/>
      <c r="J484" s="37">
        <v>0</v>
      </c>
    </row>
    <row r="485" spans="1:10" hidden="1" x14ac:dyDescent="0.25">
      <c r="A485" s="174"/>
      <c r="B485" s="177"/>
      <c r="C485" s="43" t="s">
        <v>10674</v>
      </c>
      <c r="D485" s="43" t="s">
        <v>2800</v>
      </c>
      <c r="E485" s="44">
        <v>0.1042</v>
      </c>
      <c r="F485" s="38">
        <v>32.6325</v>
      </c>
      <c r="G485" s="41">
        <f>IF(ISNUMBER(F485),E485*F485,"")</f>
        <v>3.4003065000000001</v>
      </c>
      <c r="H485" s="46">
        <f>SUM(G485:G487)</f>
        <v>3.8030875000000002</v>
      </c>
      <c r="I485" s="47"/>
      <c r="J485" s="37">
        <v>0</v>
      </c>
    </row>
    <row r="486" spans="1:10" hidden="1" x14ac:dyDescent="0.25">
      <c r="A486" s="174"/>
      <c r="B486" s="177"/>
      <c r="C486" s="43" t="s">
        <v>10614</v>
      </c>
      <c r="D486" s="43" t="s">
        <v>2800</v>
      </c>
      <c r="E486" s="44">
        <v>1.7000000000000001E-2</v>
      </c>
      <c r="F486" s="38">
        <v>23.693000000000001</v>
      </c>
      <c r="G486" s="41">
        <f>IF(ISNUMBER(F486),E486*F486,"")</f>
        <v>0.40278100000000006</v>
      </c>
      <c r="H486" s="42"/>
      <c r="I486" s="38"/>
      <c r="J486" s="37">
        <v>0</v>
      </c>
    </row>
    <row r="487" spans="1:10" hidden="1" x14ac:dyDescent="0.25">
      <c r="A487" s="174"/>
      <c r="B487" s="177"/>
      <c r="C487" s="43" t="s">
        <v>113</v>
      </c>
      <c r="D487" s="6" t="s">
        <v>70</v>
      </c>
      <c r="E487" s="44">
        <v>0.16</v>
      </c>
      <c r="F487" s="41" t="s">
        <v>13</v>
      </c>
      <c r="G487" s="41" t="str">
        <f>IF(ISNUMBER(F487),E487*F487,"")</f>
        <v/>
      </c>
      <c r="H487" s="42"/>
      <c r="I487" s="38"/>
      <c r="J487" s="37">
        <v>0</v>
      </c>
    </row>
    <row r="488" spans="1:10" ht="15.75" hidden="1" thickBot="1" x14ac:dyDescent="0.3">
      <c r="A488" s="175"/>
      <c r="B488" s="178"/>
      <c r="C488" s="49"/>
      <c r="D488" s="49"/>
      <c r="E488" s="50"/>
      <c r="F488" s="51" t="s">
        <v>13</v>
      </c>
      <c r="G488" s="51" t="str">
        <f>IF(ISNUMBER(F488),E488*F488,"")</f>
        <v/>
      </c>
      <c r="H488" s="53"/>
      <c r="I488" s="38"/>
      <c r="J488" s="37">
        <v>0</v>
      </c>
    </row>
    <row r="489" spans="1:10" ht="15.75" hidden="1" thickBot="1" x14ac:dyDescent="0.3">
      <c r="A489" s="173" t="s">
        <v>114</v>
      </c>
      <c r="B489" s="176" t="s">
        <v>3096</v>
      </c>
      <c r="C489" s="31"/>
      <c r="D489" s="32" t="s">
        <v>68</v>
      </c>
      <c r="E489" s="33"/>
      <c r="F489" s="54" t="s">
        <v>13</v>
      </c>
      <c r="G489" s="34" t="str">
        <f>IF(ISNUMBER(F489),E489*F489,"")</f>
        <v/>
      </c>
      <c r="H489" s="35"/>
      <c r="I489" s="36"/>
      <c r="J489" s="37">
        <v>0</v>
      </c>
    </row>
    <row r="490" spans="1:10" hidden="1" x14ac:dyDescent="0.25">
      <c r="A490" s="174"/>
      <c r="B490" s="177"/>
      <c r="C490" s="39"/>
      <c r="D490" s="39"/>
      <c r="E490" s="40"/>
      <c r="F490" s="55" t="s">
        <v>13</v>
      </c>
      <c r="G490" s="38" t="str">
        <f>IF(ISNUMBER(F490),E490*F490,"")</f>
        <v/>
      </c>
      <c r="H490" s="42"/>
      <c r="I490" s="38"/>
      <c r="J490" s="37">
        <v>0</v>
      </c>
    </row>
    <row r="491" spans="1:10" hidden="1" x14ac:dyDescent="0.25">
      <c r="A491" s="174"/>
      <c r="B491" s="177"/>
      <c r="C491" s="43" t="s">
        <v>10674</v>
      </c>
      <c r="D491" s="43" t="s">
        <v>2800</v>
      </c>
      <c r="E491" s="44">
        <f>2*0.2149</f>
        <v>0.42980000000000002</v>
      </c>
      <c r="F491" s="38">
        <v>32.6325</v>
      </c>
      <c r="G491" s="41">
        <f>IF(ISNUMBER(F491),E491*F491,"")</f>
        <v>14.025448500000001</v>
      </c>
      <c r="H491" s="46">
        <f>SUM(G491:G492)</f>
        <v>14.025448500000001</v>
      </c>
      <c r="I491" s="47"/>
      <c r="J491" s="37">
        <v>0</v>
      </c>
    </row>
    <row r="492" spans="1:10" hidden="1" x14ac:dyDescent="0.25">
      <c r="A492" s="174"/>
      <c r="B492" s="177"/>
      <c r="C492" s="43" t="s">
        <v>115</v>
      </c>
      <c r="D492" s="6" t="s">
        <v>70</v>
      </c>
      <c r="E492" s="44">
        <f>2*(3.6/45)</f>
        <v>0.16</v>
      </c>
      <c r="F492" s="41" t="s">
        <v>13</v>
      </c>
      <c r="G492" s="41" t="str">
        <f>IF(ISNUMBER(F492),E492*F492,"")</f>
        <v/>
      </c>
      <c r="H492" s="42"/>
      <c r="I492" s="38"/>
      <c r="J492" s="37">
        <v>0</v>
      </c>
    </row>
    <row r="493" spans="1:10" hidden="1" x14ac:dyDescent="0.25">
      <c r="A493" s="174"/>
      <c r="B493" s="177"/>
      <c r="C493" s="43"/>
      <c r="D493" s="62"/>
      <c r="E493" s="44"/>
      <c r="F493" s="41" t="s">
        <v>13</v>
      </c>
      <c r="G493" s="41" t="str">
        <f>IF(ISNUMBER(F493),E493*F493,"")</f>
        <v/>
      </c>
      <c r="H493" s="42"/>
      <c r="I493" s="38"/>
      <c r="J493" s="37">
        <v>0</v>
      </c>
    </row>
    <row r="494" spans="1:10" ht="25.5" hidden="1" x14ac:dyDescent="0.25">
      <c r="A494" s="174"/>
      <c r="B494" s="177"/>
      <c r="C494" s="65" t="s">
        <v>116</v>
      </c>
      <c r="D494" s="62"/>
      <c r="E494" s="44"/>
      <c r="F494" s="41" t="s">
        <v>13</v>
      </c>
      <c r="G494" s="41" t="str">
        <f>IF(ISNUMBER(F494),E494*F494,"")</f>
        <v/>
      </c>
      <c r="H494" s="42"/>
      <c r="I494" s="38"/>
      <c r="J494" s="37">
        <v>0</v>
      </c>
    </row>
    <row r="495" spans="1:10" ht="30" hidden="1" x14ac:dyDescent="0.25">
      <c r="A495" s="174"/>
      <c r="B495" s="177"/>
      <c r="C495" s="68" t="s">
        <v>117</v>
      </c>
      <c r="D495" s="62"/>
      <c r="E495" s="44"/>
      <c r="F495" s="41" t="s">
        <v>13</v>
      </c>
      <c r="G495" s="41" t="str">
        <f>IF(ISNUMBER(F495),E495*F495,"")</f>
        <v/>
      </c>
      <c r="H495" s="42"/>
      <c r="I495" s="38"/>
      <c r="J495" s="37">
        <v>0</v>
      </c>
    </row>
    <row r="496" spans="1:10" ht="30.75" hidden="1" thickBot="1" x14ac:dyDescent="0.3">
      <c r="A496" s="175"/>
      <c r="B496" s="178"/>
      <c r="C496" s="69" t="s">
        <v>118</v>
      </c>
      <c r="D496" s="49"/>
      <c r="E496" s="50"/>
      <c r="F496" s="51" t="s">
        <v>13</v>
      </c>
      <c r="G496" s="51" t="str">
        <f>IF(ISNUMBER(F496),E496*F496,"")</f>
        <v/>
      </c>
      <c r="H496" s="53"/>
      <c r="I496" s="38"/>
      <c r="J496" s="37">
        <v>0</v>
      </c>
    </row>
    <row r="497" spans="1:10" ht="15.75" hidden="1" thickBot="1" x14ac:dyDescent="0.3">
      <c r="A497" s="173" t="s">
        <v>119</v>
      </c>
      <c r="B497" s="176" t="s">
        <v>3097</v>
      </c>
      <c r="C497" s="31"/>
      <c r="D497" s="32" t="s">
        <v>68</v>
      </c>
      <c r="E497" s="33"/>
      <c r="F497" s="54" t="s">
        <v>13</v>
      </c>
      <c r="G497" s="34" t="str">
        <f>IF(ISNUMBER(F497),E497*F497,"")</f>
        <v/>
      </c>
      <c r="H497" s="35"/>
      <c r="I497" s="36"/>
      <c r="J497" s="37">
        <v>0</v>
      </c>
    </row>
    <row r="498" spans="1:10" hidden="1" x14ac:dyDescent="0.25">
      <c r="A498" s="174"/>
      <c r="B498" s="177"/>
      <c r="C498" s="39"/>
      <c r="D498" s="39"/>
      <c r="E498" s="40"/>
      <c r="F498" s="55" t="s">
        <v>13</v>
      </c>
      <c r="G498" s="38" t="str">
        <f>IF(ISNUMBER(F498),E498*F498,"")</f>
        <v/>
      </c>
      <c r="H498" s="42"/>
      <c r="I498" s="38"/>
      <c r="J498" s="37">
        <v>0</v>
      </c>
    </row>
    <row r="499" spans="1:10" ht="25.5" hidden="1" x14ac:dyDescent="0.25">
      <c r="A499" s="174"/>
      <c r="B499" s="177"/>
      <c r="C499" s="43" t="s">
        <v>10865</v>
      </c>
      <c r="D499" s="43" t="s">
        <v>83</v>
      </c>
      <c r="E499" s="44">
        <v>0.08</v>
      </c>
      <c r="F499" s="41">
        <v>1.2064999999999999</v>
      </c>
      <c r="G499" s="41">
        <f>IF(ISNUMBER(F499),E499*F499,"")</f>
        <v>9.6519999999999995E-2</v>
      </c>
      <c r="H499" s="46">
        <f>SUM(G499:G502)</f>
        <v>19.615669350000001</v>
      </c>
      <c r="I499" s="47"/>
      <c r="J499" s="37">
        <v>0</v>
      </c>
    </row>
    <row r="500" spans="1:10" hidden="1" x14ac:dyDescent="0.25">
      <c r="A500" s="174"/>
      <c r="B500" s="177"/>
      <c r="C500" s="43" t="s">
        <v>10866</v>
      </c>
      <c r="D500" s="43" t="s">
        <v>1044</v>
      </c>
      <c r="E500" s="44">
        <v>1.339</v>
      </c>
      <c r="F500" s="41">
        <v>6.4409999999999998</v>
      </c>
      <c r="G500" s="41">
        <f>IF(ISNUMBER(F500),E500*F500,"")</f>
        <v>8.6244990000000001</v>
      </c>
      <c r="H500" s="42"/>
      <c r="I500" s="38"/>
      <c r="J500" s="37">
        <v>0</v>
      </c>
    </row>
    <row r="501" spans="1:10" hidden="1" x14ac:dyDescent="0.25">
      <c r="A501" s="174"/>
      <c r="B501" s="177"/>
      <c r="C501" s="43" t="s">
        <v>10674</v>
      </c>
      <c r="D501" s="43" t="s">
        <v>2800</v>
      </c>
      <c r="E501" s="44">
        <v>0.29849999999999999</v>
      </c>
      <c r="F501" s="38">
        <v>32.6325</v>
      </c>
      <c r="G501" s="41">
        <f>IF(ISNUMBER(F501),E501*F501,"")</f>
        <v>9.7408012500000005</v>
      </c>
      <c r="H501" s="42"/>
      <c r="I501" s="38"/>
      <c r="J501" s="37">
        <v>0</v>
      </c>
    </row>
    <row r="502" spans="1:10" hidden="1" x14ac:dyDescent="0.25">
      <c r="A502" s="174"/>
      <c r="B502" s="177"/>
      <c r="C502" s="43" t="s">
        <v>10614</v>
      </c>
      <c r="D502" s="43" t="s">
        <v>2800</v>
      </c>
      <c r="E502" s="44">
        <v>4.87E-2</v>
      </c>
      <c r="F502" s="38">
        <v>23.693000000000001</v>
      </c>
      <c r="G502" s="41">
        <f>IF(ISNUMBER(F502),E502*F502,"")</f>
        <v>1.1538491000000002</v>
      </c>
      <c r="H502" s="42"/>
      <c r="I502" s="38"/>
      <c r="J502" s="37">
        <v>0</v>
      </c>
    </row>
    <row r="503" spans="1:10" ht="15.75" hidden="1" thickBot="1" x14ac:dyDescent="0.3">
      <c r="A503" s="175"/>
      <c r="B503" s="178"/>
      <c r="C503" s="49"/>
      <c r="D503" s="49"/>
      <c r="E503" s="50"/>
      <c r="F503" s="51" t="s">
        <v>13</v>
      </c>
      <c r="G503" s="51" t="str">
        <f>IF(ISNUMBER(F503),E503*F503,"")</f>
        <v/>
      </c>
      <c r="H503" s="53"/>
      <c r="I503" s="38"/>
      <c r="J503" s="37">
        <v>0</v>
      </c>
    </row>
    <row r="504" spans="1:10" ht="15.75" hidden="1" thickBot="1" x14ac:dyDescent="0.3">
      <c r="A504" s="173" t="s">
        <v>120</v>
      </c>
      <c r="B504" s="176" t="s">
        <v>3098</v>
      </c>
      <c r="C504" s="31"/>
      <c r="D504" s="32" t="s">
        <v>68</v>
      </c>
      <c r="E504" s="33"/>
      <c r="F504" s="54" t="s">
        <v>13</v>
      </c>
      <c r="G504" s="34" t="str">
        <f>IF(ISNUMBER(F504),E504*F504,"")</f>
        <v/>
      </c>
      <c r="H504" s="35"/>
      <c r="I504" s="36"/>
      <c r="J504" s="37">
        <v>0</v>
      </c>
    </row>
    <row r="505" spans="1:10" hidden="1" x14ac:dyDescent="0.25">
      <c r="A505" s="174"/>
      <c r="B505" s="177"/>
      <c r="C505" s="39"/>
      <c r="D505" s="39"/>
      <c r="E505" s="40"/>
      <c r="F505" s="55" t="s">
        <v>13</v>
      </c>
      <c r="G505" s="38" t="str">
        <f>IF(ISNUMBER(F505),E505*F505,"")</f>
        <v/>
      </c>
      <c r="H505" s="42"/>
      <c r="I505" s="38"/>
      <c r="J505" s="37">
        <v>0</v>
      </c>
    </row>
    <row r="506" spans="1:10" ht="25.5" hidden="1" x14ac:dyDescent="0.25">
      <c r="A506" s="174"/>
      <c r="B506" s="177"/>
      <c r="C506" s="43" t="s">
        <v>10865</v>
      </c>
      <c r="D506" s="43" t="s">
        <v>83</v>
      </c>
      <c r="E506" s="44">
        <v>8.0199999999999994E-2</v>
      </c>
      <c r="F506" s="41">
        <v>1.2064999999999999</v>
      </c>
      <c r="G506" s="41">
        <f>IF(ISNUMBER(F506),E506*F506,"")</f>
        <v>9.6761299999999981E-2</v>
      </c>
      <c r="H506" s="46">
        <f>SUM(G506:G509)</f>
        <v>19.522632049999999</v>
      </c>
      <c r="I506" s="47"/>
      <c r="J506" s="37">
        <v>0</v>
      </c>
    </row>
    <row r="507" spans="1:10" hidden="1" x14ac:dyDescent="0.25">
      <c r="A507" s="174"/>
      <c r="B507" s="177"/>
      <c r="C507" s="43" t="s">
        <v>10867</v>
      </c>
      <c r="D507" s="43" t="s">
        <v>1044</v>
      </c>
      <c r="E507" s="44">
        <v>1.3389</v>
      </c>
      <c r="F507" s="41">
        <v>3.5814999999999997</v>
      </c>
      <c r="G507" s="41">
        <f>IF(ISNUMBER(F507),E507*F507,"")</f>
        <v>4.7952703499999991</v>
      </c>
      <c r="H507" s="42"/>
      <c r="I507" s="38"/>
      <c r="J507" s="37">
        <v>0</v>
      </c>
    </row>
    <row r="508" spans="1:10" hidden="1" x14ac:dyDescent="0.25">
      <c r="A508" s="174"/>
      <c r="B508" s="177"/>
      <c r="C508" s="43" t="s">
        <v>10674</v>
      </c>
      <c r="D508" s="43" t="s">
        <v>2800</v>
      </c>
      <c r="E508" s="44">
        <v>0.36099999999999999</v>
      </c>
      <c r="F508" s="38">
        <v>32.6325</v>
      </c>
      <c r="G508" s="41">
        <f>IF(ISNUMBER(F508),E508*F508,"")</f>
        <v>11.7803325</v>
      </c>
      <c r="H508" s="42"/>
      <c r="I508" s="38"/>
      <c r="J508" s="37">
        <v>0</v>
      </c>
    </row>
    <row r="509" spans="1:10" hidden="1" x14ac:dyDescent="0.25">
      <c r="A509" s="174"/>
      <c r="B509" s="177"/>
      <c r="C509" s="43" t="s">
        <v>10614</v>
      </c>
      <c r="D509" s="43" t="s">
        <v>2800</v>
      </c>
      <c r="E509" s="44">
        <v>0.1203</v>
      </c>
      <c r="F509" s="38">
        <v>23.693000000000001</v>
      </c>
      <c r="G509" s="41">
        <f>IF(ISNUMBER(F509),E509*F509,"")</f>
        <v>2.8502679000000004</v>
      </c>
      <c r="H509" s="42"/>
      <c r="I509" s="38"/>
      <c r="J509" s="37">
        <v>0</v>
      </c>
    </row>
    <row r="510" spans="1:10" ht="15.75" hidden="1" thickBot="1" x14ac:dyDescent="0.3">
      <c r="A510" s="175"/>
      <c r="B510" s="178"/>
      <c r="C510" s="49"/>
      <c r="D510" s="49"/>
      <c r="E510" s="50"/>
      <c r="F510" s="51" t="s">
        <v>13</v>
      </c>
      <c r="G510" s="51" t="str">
        <f>IF(ISNUMBER(F510),E510*F510,"")</f>
        <v/>
      </c>
      <c r="H510" s="53"/>
      <c r="I510" s="38"/>
      <c r="J510" s="37">
        <v>0</v>
      </c>
    </row>
    <row r="511" spans="1:10" ht="15.75" hidden="1" thickBot="1" x14ac:dyDescent="0.3">
      <c r="A511" s="173" t="s">
        <v>121</v>
      </c>
      <c r="B511" s="176" t="s">
        <v>3099</v>
      </c>
      <c r="C511" s="31"/>
      <c r="D511" s="32" t="s">
        <v>68</v>
      </c>
      <c r="E511" s="33"/>
      <c r="F511" s="54" t="s">
        <v>13</v>
      </c>
      <c r="G511" s="34" t="str">
        <f>IF(ISNUMBER(F511),E511*F511,"")</f>
        <v/>
      </c>
      <c r="H511" s="35"/>
      <c r="I511" s="36"/>
      <c r="J511" s="37">
        <v>0</v>
      </c>
    </row>
    <row r="512" spans="1:10" hidden="1" x14ac:dyDescent="0.25">
      <c r="A512" s="174"/>
      <c r="B512" s="177"/>
      <c r="C512" s="39"/>
      <c r="D512" s="39"/>
      <c r="E512" s="40"/>
      <c r="F512" s="55" t="s">
        <v>13</v>
      </c>
      <c r="G512" s="38" t="str">
        <f>IF(ISNUMBER(F512),E512*F512,"")</f>
        <v/>
      </c>
      <c r="H512" s="42"/>
      <c r="I512" s="38"/>
      <c r="J512" s="37">
        <v>0</v>
      </c>
    </row>
    <row r="513" spans="1:10" hidden="1" x14ac:dyDescent="0.25">
      <c r="A513" s="174"/>
      <c r="B513" s="177"/>
      <c r="C513" s="43" t="s">
        <v>10674</v>
      </c>
      <c r="D513" s="43" t="s">
        <v>2800</v>
      </c>
      <c r="E513" s="44">
        <v>0.16309999999999999</v>
      </c>
      <c r="F513" s="38">
        <v>32.6325</v>
      </c>
      <c r="G513" s="41">
        <f>IF(ISNUMBER(F513),E513*F513,"")</f>
        <v>5.3223607499999996</v>
      </c>
      <c r="H513" s="46">
        <f>SUM(G513:G515)</f>
        <v>13.991809949999999</v>
      </c>
      <c r="I513" s="47"/>
      <c r="J513" s="37">
        <v>0</v>
      </c>
    </row>
    <row r="514" spans="1:10" hidden="1" x14ac:dyDescent="0.25">
      <c r="A514" s="174"/>
      <c r="B514" s="177"/>
      <c r="C514" s="43" t="s">
        <v>10614</v>
      </c>
      <c r="D514" s="43" t="s">
        <v>2800</v>
      </c>
      <c r="E514" s="44">
        <v>5.4399999999999997E-2</v>
      </c>
      <c r="F514" s="38">
        <v>23.693000000000001</v>
      </c>
      <c r="G514" s="41">
        <f>IF(ISNUMBER(F514),E514*F514,"")</f>
        <v>1.2888991999999999</v>
      </c>
      <c r="H514" s="42"/>
      <c r="I514" s="38"/>
      <c r="J514" s="37">
        <v>0</v>
      </c>
    </row>
    <row r="515" spans="1:10" hidden="1" x14ac:dyDescent="0.25">
      <c r="A515" s="174"/>
      <c r="B515" s="177"/>
      <c r="C515" s="43" t="s">
        <v>10868</v>
      </c>
      <c r="D515" s="43" t="s">
        <v>70</v>
      </c>
      <c r="E515" s="44">
        <v>0.22850000000000001</v>
      </c>
      <c r="F515" s="41">
        <v>32.299999999999997</v>
      </c>
      <c r="G515" s="41">
        <f>IF(ISNUMBER(F515),E515*F515,"")</f>
        <v>7.3805499999999995</v>
      </c>
      <c r="H515" s="42"/>
      <c r="I515" s="38"/>
      <c r="J515" s="37">
        <v>0</v>
      </c>
    </row>
    <row r="516" spans="1:10" ht="15.75" hidden="1" thickBot="1" x14ac:dyDescent="0.3">
      <c r="A516" s="175"/>
      <c r="B516" s="178"/>
      <c r="C516" s="49"/>
      <c r="D516" s="49"/>
      <c r="E516" s="50"/>
      <c r="F516" s="51" t="s">
        <v>13</v>
      </c>
      <c r="G516" s="51" t="str">
        <f>IF(ISNUMBER(F516),E516*F516,"")</f>
        <v/>
      </c>
      <c r="H516" s="53"/>
      <c r="I516" s="38"/>
      <c r="J516" s="37">
        <v>0</v>
      </c>
    </row>
    <row r="517" spans="1:10" ht="15.75" hidden="1" thickBot="1" x14ac:dyDescent="0.3">
      <c r="A517" s="173" t="s">
        <v>122</v>
      </c>
      <c r="B517" s="176" t="s">
        <v>3100</v>
      </c>
      <c r="C517" s="31"/>
      <c r="D517" s="32" t="s">
        <v>68</v>
      </c>
      <c r="E517" s="33"/>
      <c r="F517" s="54" t="s">
        <v>13</v>
      </c>
      <c r="G517" s="34" t="str">
        <f>IF(ISNUMBER(F517),E517*F517,"")</f>
        <v/>
      </c>
      <c r="H517" s="35"/>
      <c r="I517" s="36"/>
      <c r="J517" s="37">
        <v>0</v>
      </c>
    </row>
    <row r="518" spans="1:10" hidden="1" x14ac:dyDescent="0.25">
      <c r="A518" s="174"/>
      <c r="B518" s="177"/>
      <c r="C518" s="39"/>
      <c r="D518" s="39"/>
      <c r="E518" s="40"/>
      <c r="F518" s="55" t="s">
        <v>13</v>
      </c>
      <c r="G518" s="38" t="str">
        <f>IF(ISNUMBER(F518),E518*F518,"")</f>
        <v/>
      </c>
      <c r="H518" s="42"/>
      <c r="I518" s="38"/>
      <c r="J518" s="37">
        <v>0</v>
      </c>
    </row>
    <row r="519" spans="1:10" hidden="1" x14ac:dyDescent="0.25">
      <c r="A519" s="174"/>
      <c r="B519" s="177"/>
      <c r="C519" s="43" t="s">
        <v>123</v>
      </c>
      <c r="D519" s="6" t="s">
        <v>70</v>
      </c>
      <c r="E519" s="44">
        <f>ROUND(3*3.6/100,4)</f>
        <v>0.108</v>
      </c>
      <c r="F519" s="41" t="s">
        <v>13</v>
      </c>
      <c r="G519" s="38" t="str">
        <f>IF(ISNUMBER(F519),E519*F519,"")</f>
        <v/>
      </c>
      <c r="H519" s="46">
        <f>SUM(G519:G520)</f>
        <v>23.090757</v>
      </c>
      <c r="I519" s="47"/>
      <c r="J519" s="37">
        <v>0</v>
      </c>
    </row>
    <row r="520" spans="1:10" hidden="1" x14ac:dyDescent="0.25">
      <c r="A520" s="174"/>
      <c r="B520" s="177"/>
      <c r="C520" s="43" t="s">
        <v>10674</v>
      </c>
      <c r="D520" s="43" t="s">
        <v>2800</v>
      </c>
      <c r="E520" s="44">
        <v>0.70760000000000001</v>
      </c>
      <c r="F520" s="38">
        <v>32.6325</v>
      </c>
      <c r="G520" s="38">
        <f>IF(ISNUMBER(F520),E520*F520,"")</f>
        <v>23.090757</v>
      </c>
      <c r="H520" s="42"/>
      <c r="I520" s="38"/>
      <c r="J520" s="37">
        <v>0</v>
      </c>
    </row>
    <row r="521" spans="1:10" hidden="1" x14ac:dyDescent="0.25">
      <c r="A521" s="174"/>
      <c r="B521" s="177"/>
      <c r="C521" s="43"/>
      <c r="D521" s="43"/>
      <c r="E521" s="44"/>
      <c r="F521" s="38" t="s">
        <v>13</v>
      </c>
      <c r="G521" s="38" t="str">
        <f>IF(ISNUMBER(F521),E521*F521,"")</f>
        <v/>
      </c>
      <c r="H521" s="42"/>
      <c r="I521" s="38"/>
      <c r="J521" s="37">
        <v>0</v>
      </c>
    </row>
    <row r="522" spans="1:10" ht="38.25" hidden="1" x14ac:dyDescent="0.25">
      <c r="A522" s="174"/>
      <c r="B522" s="177"/>
      <c r="C522" s="65" t="s">
        <v>124</v>
      </c>
      <c r="D522" s="43"/>
      <c r="E522" s="44"/>
      <c r="F522" s="38" t="s">
        <v>13</v>
      </c>
      <c r="G522" s="38" t="str">
        <f>IF(ISNUMBER(F522),E522*F522,"")</f>
        <v/>
      </c>
      <c r="H522" s="42"/>
      <c r="I522" s="38"/>
      <c r="J522" s="37">
        <v>0</v>
      </c>
    </row>
    <row r="523" spans="1:10" ht="15.75" hidden="1" thickBot="1" x14ac:dyDescent="0.3">
      <c r="A523" s="175"/>
      <c r="B523" s="178"/>
      <c r="C523" s="49"/>
      <c r="D523" s="49"/>
      <c r="E523" s="50"/>
      <c r="F523" s="51" t="s">
        <v>13</v>
      </c>
      <c r="G523" s="51" t="str">
        <f>IF(ISNUMBER(F523),E523*F523,"")</f>
        <v/>
      </c>
      <c r="H523" s="53"/>
      <c r="I523" s="38"/>
      <c r="J523" s="37">
        <v>0</v>
      </c>
    </row>
    <row r="524" spans="1:10" ht="15.75" hidden="1" thickBot="1" x14ac:dyDescent="0.3">
      <c r="A524" s="173" t="s">
        <v>125</v>
      </c>
      <c r="B524" s="176" t="s">
        <v>3101</v>
      </c>
      <c r="C524" s="31"/>
      <c r="D524" s="32" t="s">
        <v>68</v>
      </c>
      <c r="E524" s="33"/>
      <c r="F524" s="54" t="s">
        <v>13</v>
      </c>
      <c r="G524" s="34" t="str">
        <f>IF(ISNUMBER(F524),E524*F524,"")</f>
        <v/>
      </c>
      <c r="H524" s="35"/>
      <c r="I524" s="36"/>
      <c r="J524" s="37">
        <v>0</v>
      </c>
    </row>
    <row r="525" spans="1:10" hidden="1" x14ac:dyDescent="0.25">
      <c r="A525" s="174"/>
      <c r="B525" s="177"/>
      <c r="C525" s="39"/>
      <c r="D525" s="39"/>
      <c r="E525" s="40"/>
      <c r="F525" s="55" t="s">
        <v>13</v>
      </c>
      <c r="G525" s="38" t="str">
        <f>IF(ISNUMBER(F525),E525*F525,"")</f>
        <v/>
      </c>
      <c r="H525" s="42"/>
      <c r="I525" s="38"/>
      <c r="J525" s="37">
        <v>0</v>
      </c>
    </row>
    <row r="526" spans="1:10" hidden="1" x14ac:dyDescent="0.25">
      <c r="A526" s="174"/>
      <c r="B526" s="177"/>
      <c r="C526" s="43" t="s">
        <v>10674</v>
      </c>
      <c r="D526" s="43" t="s">
        <v>2800</v>
      </c>
      <c r="E526" s="44">
        <v>0.57079999999999997</v>
      </c>
      <c r="F526" s="38">
        <v>32.6325</v>
      </c>
      <c r="G526" s="41">
        <f>IF(ISNUMBER(F526),E526*F526,"")</f>
        <v>18.626631</v>
      </c>
      <c r="H526" s="46">
        <f>SUM(G526:G527)</f>
        <v>18.626631</v>
      </c>
      <c r="I526" s="47"/>
      <c r="J526" s="37">
        <v>0</v>
      </c>
    </row>
    <row r="527" spans="1:10" hidden="1" x14ac:dyDescent="0.25">
      <c r="A527" s="174"/>
      <c r="B527" s="177"/>
      <c r="C527" s="43" t="s">
        <v>126</v>
      </c>
      <c r="D527" s="6" t="s">
        <v>70</v>
      </c>
      <c r="E527" s="44">
        <f>ROUND(3*3.6/75,4)</f>
        <v>0.14399999999999999</v>
      </c>
      <c r="F527" s="41" t="s">
        <v>13</v>
      </c>
      <c r="G527" s="41" t="str">
        <f>IF(ISNUMBER(F527),E527*F527,"")</f>
        <v/>
      </c>
      <c r="H527" s="42"/>
      <c r="I527" s="38"/>
      <c r="J527" s="37">
        <v>0</v>
      </c>
    </row>
    <row r="528" spans="1:10" hidden="1" x14ac:dyDescent="0.25">
      <c r="A528" s="174"/>
      <c r="B528" s="177"/>
      <c r="C528" s="43"/>
      <c r="D528" s="6"/>
      <c r="E528" s="44"/>
      <c r="F528" s="41" t="s">
        <v>13</v>
      </c>
      <c r="G528" s="41" t="str">
        <f>IF(ISNUMBER(F528),E528*F528,"")</f>
        <v/>
      </c>
      <c r="H528" s="42"/>
      <c r="I528" s="38"/>
      <c r="J528" s="37">
        <v>0</v>
      </c>
    </row>
    <row r="529" spans="1:10" ht="38.25" hidden="1" x14ac:dyDescent="0.25">
      <c r="A529" s="174"/>
      <c r="B529" s="177"/>
      <c r="C529" s="65" t="s">
        <v>127</v>
      </c>
      <c r="D529" s="6"/>
      <c r="E529" s="44"/>
      <c r="F529" s="41" t="s">
        <v>13</v>
      </c>
      <c r="G529" s="41" t="str">
        <f>IF(ISNUMBER(F529),E529*F529,"")</f>
        <v/>
      </c>
      <c r="H529" s="42"/>
      <c r="I529" s="38"/>
      <c r="J529" s="37">
        <v>0</v>
      </c>
    </row>
    <row r="530" spans="1:10" ht="15.75" hidden="1" thickBot="1" x14ac:dyDescent="0.3">
      <c r="A530" s="175"/>
      <c r="B530" s="178"/>
      <c r="C530" s="49"/>
      <c r="D530" s="49"/>
      <c r="E530" s="50"/>
      <c r="F530" s="51" t="s">
        <v>13</v>
      </c>
      <c r="G530" s="51" t="str">
        <f>IF(ISNUMBER(F530),E530*F530,"")</f>
        <v/>
      </c>
      <c r="H530" s="53"/>
      <c r="I530" s="38"/>
      <c r="J530" s="37">
        <v>0</v>
      </c>
    </row>
    <row r="531" spans="1:10" ht="15.75" hidden="1" thickBot="1" x14ac:dyDescent="0.3">
      <c r="A531" s="173" t="s">
        <v>128</v>
      </c>
      <c r="B531" s="176" t="s">
        <v>3102</v>
      </c>
      <c r="C531" s="31"/>
      <c r="D531" s="32" t="s">
        <v>68</v>
      </c>
      <c r="E531" s="33"/>
      <c r="F531" s="54" t="s">
        <v>13</v>
      </c>
      <c r="G531" s="34" t="str">
        <f>IF(ISNUMBER(F531),E531*F531,"")</f>
        <v/>
      </c>
      <c r="H531" s="35"/>
      <c r="I531" s="36"/>
      <c r="J531" s="37">
        <v>0</v>
      </c>
    </row>
    <row r="532" spans="1:10" hidden="1" x14ac:dyDescent="0.25">
      <c r="A532" s="174"/>
      <c r="B532" s="177"/>
      <c r="C532" s="39"/>
      <c r="D532" s="39"/>
      <c r="E532" s="40"/>
      <c r="F532" s="55" t="s">
        <v>13</v>
      </c>
      <c r="G532" s="38" t="str">
        <f>IF(ISNUMBER(F532),E532*F532,"")</f>
        <v/>
      </c>
      <c r="H532" s="42"/>
      <c r="I532" s="38"/>
      <c r="J532" s="37">
        <v>0</v>
      </c>
    </row>
    <row r="533" spans="1:10" hidden="1" x14ac:dyDescent="0.25">
      <c r="A533" s="174"/>
      <c r="B533" s="177"/>
      <c r="C533" s="43" t="s">
        <v>10674</v>
      </c>
      <c r="D533" s="43" t="s">
        <v>2800</v>
      </c>
      <c r="E533" s="44">
        <v>0.22700000000000001</v>
      </c>
      <c r="F533" s="38">
        <v>32.6325</v>
      </c>
      <c r="G533" s="41">
        <f>IF(ISNUMBER(F533),E533*F533,"")</f>
        <v>7.4075775000000004</v>
      </c>
      <c r="H533" s="46">
        <f>SUM(G533:G535)</f>
        <v>16.581687600000002</v>
      </c>
      <c r="I533" s="47"/>
      <c r="J533" s="37">
        <v>0</v>
      </c>
    </row>
    <row r="534" spans="1:10" hidden="1" x14ac:dyDescent="0.25">
      <c r="A534" s="174"/>
      <c r="B534" s="177"/>
      <c r="C534" s="43" t="s">
        <v>10614</v>
      </c>
      <c r="D534" s="43" t="s">
        <v>2800</v>
      </c>
      <c r="E534" s="44">
        <v>7.5700000000000003E-2</v>
      </c>
      <c r="F534" s="38">
        <v>23.693000000000001</v>
      </c>
      <c r="G534" s="41">
        <f>IF(ISNUMBER(F534),E534*F534,"")</f>
        <v>1.7935601000000001</v>
      </c>
      <c r="H534" s="42"/>
      <c r="I534" s="38"/>
      <c r="J534" s="37">
        <v>0</v>
      </c>
    </row>
    <row r="535" spans="1:10" hidden="1" x14ac:dyDescent="0.25">
      <c r="A535" s="174"/>
      <c r="B535" s="177"/>
      <c r="C535" s="43" t="s">
        <v>10868</v>
      </c>
      <c r="D535" s="43" t="s">
        <v>70</v>
      </c>
      <c r="E535" s="44">
        <v>0.22850000000000001</v>
      </c>
      <c r="F535" s="41">
        <v>32.299999999999997</v>
      </c>
      <c r="G535" s="41">
        <f>IF(ISNUMBER(F535),E535*F535,"")</f>
        <v>7.3805499999999995</v>
      </c>
      <c r="H535" s="42"/>
      <c r="I535" s="38"/>
      <c r="J535" s="37">
        <v>0</v>
      </c>
    </row>
    <row r="536" spans="1:10" ht="15.75" hidden="1" thickBot="1" x14ac:dyDescent="0.3">
      <c r="A536" s="175"/>
      <c r="B536" s="178"/>
      <c r="C536" s="49"/>
      <c r="D536" s="49"/>
      <c r="E536" s="50"/>
      <c r="F536" s="51" t="s">
        <v>13</v>
      </c>
      <c r="G536" s="51" t="str">
        <f>IF(ISNUMBER(F536),E536*F536,"")</f>
        <v/>
      </c>
      <c r="H536" s="53"/>
      <c r="I536" s="38"/>
      <c r="J536" s="37">
        <v>0</v>
      </c>
    </row>
    <row r="537" spans="1:10" ht="15.75" hidden="1" thickBot="1" x14ac:dyDescent="0.3">
      <c r="A537" s="173" t="s">
        <v>129</v>
      </c>
      <c r="B537" s="176" t="s">
        <v>3103</v>
      </c>
      <c r="C537" s="31"/>
      <c r="D537" s="32" t="s">
        <v>68</v>
      </c>
      <c r="E537" s="33"/>
      <c r="F537" s="54" t="s">
        <v>13</v>
      </c>
      <c r="G537" s="34" t="str">
        <f>IF(ISNUMBER(F537),E537*F537,"")</f>
        <v/>
      </c>
      <c r="H537" s="35"/>
      <c r="I537" s="36"/>
      <c r="J537" s="37">
        <v>0</v>
      </c>
    </row>
    <row r="538" spans="1:10" hidden="1" x14ac:dyDescent="0.25">
      <c r="A538" s="174"/>
      <c r="B538" s="177"/>
      <c r="C538" s="39"/>
      <c r="D538" s="39"/>
      <c r="E538" s="40"/>
      <c r="F538" s="55" t="s">
        <v>13</v>
      </c>
      <c r="G538" s="38" t="str">
        <f>IF(ISNUMBER(F538),E538*F538,"")</f>
        <v/>
      </c>
      <c r="H538" s="42"/>
      <c r="I538" s="38"/>
      <c r="J538" s="37">
        <v>0</v>
      </c>
    </row>
    <row r="539" spans="1:10" ht="25.5" hidden="1" x14ac:dyDescent="0.25">
      <c r="A539" s="174"/>
      <c r="B539" s="177"/>
      <c r="C539" s="43" t="s">
        <v>10869</v>
      </c>
      <c r="D539" s="43" t="s">
        <v>162</v>
      </c>
      <c r="E539" s="44">
        <v>1.0798000000000001</v>
      </c>
      <c r="F539" s="41">
        <v>58.605499999999992</v>
      </c>
      <c r="G539" s="41">
        <f>IF(ISNUMBER(F539),E539*F539,"")</f>
        <v>63.282218899999997</v>
      </c>
      <c r="H539" s="46">
        <f>SUM(G539:G543)</f>
        <v>100.3651383</v>
      </c>
      <c r="I539" s="47"/>
      <c r="J539" s="37">
        <v>0</v>
      </c>
    </row>
    <row r="540" spans="1:10" hidden="1" x14ac:dyDescent="0.25">
      <c r="A540" s="174"/>
      <c r="B540" s="177"/>
      <c r="C540" s="43" t="s">
        <v>10870</v>
      </c>
      <c r="D540" s="43" t="s">
        <v>1044</v>
      </c>
      <c r="E540" s="44">
        <v>6.85</v>
      </c>
      <c r="F540" s="41">
        <v>1.0734999999999999</v>
      </c>
      <c r="G540" s="41">
        <f>IF(ISNUMBER(F540),E540*F540,"")</f>
        <v>7.3534749999999987</v>
      </c>
      <c r="H540" s="42"/>
      <c r="I540" s="38"/>
      <c r="J540" s="37">
        <v>0</v>
      </c>
    </row>
    <row r="541" spans="1:10" hidden="1" x14ac:dyDescent="0.25">
      <c r="A541" s="174"/>
      <c r="B541" s="177"/>
      <c r="C541" s="43" t="s">
        <v>10871</v>
      </c>
      <c r="D541" s="43" t="s">
        <v>1044</v>
      </c>
      <c r="E541" s="44">
        <v>0.22</v>
      </c>
      <c r="F541" s="41">
        <v>3.4009999999999998</v>
      </c>
      <c r="G541" s="41">
        <f>IF(ISNUMBER(F541),E541*F541,"")</f>
        <v>0.74822</v>
      </c>
      <c r="H541" s="42"/>
      <c r="I541" s="38"/>
      <c r="J541" s="37">
        <v>0</v>
      </c>
    </row>
    <row r="542" spans="1:10" hidden="1" x14ac:dyDescent="0.25">
      <c r="A542" s="174"/>
      <c r="B542" s="177"/>
      <c r="C542" s="43" t="s">
        <v>10826</v>
      </c>
      <c r="D542" s="43" t="s">
        <v>2800</v>
      </c>
      <c r="E542" s="44">
        <v>0.69699999999999995</v>
      </c>
      <c r="F542" s="38">
        <v>30.912999999999997</v>
      </c>
      <c r="G542" s="41">
        <f>IF(ISNUMBER(F542),E542*F542,"")</f>
        <v>21.546360999999997</v>
      </c>
      <c r="H542" s="42"/>
      <c r="I542" s="38"/>
      <c r="J542" s="37">
        <v>0</v>
      </c>
    </row>
    <row r="543" spans="1:10" hidden="1" x14ac:dyDescent="0.25">
      <c r="A543" s="174"/>
      <c r="B543" s="177"/>
      <c r="C543" s="43" t="s">
        <v>10614</v>
      </c>
      <c r="D543" s="43" t="s">
        <v>2800</v>
      </c>
      <c r="E543" s="44">
        <v>0.31380000000000002</v>
      </c>
      <c r="F543" s="38">
        <v>23.693000000000001</v>
      </c>
      <c r="G543" s="41">
        <f>IF(ISNUMBER(F543),E543*F543,"")</f>
        <v>7.4348634000000011</v>
      </c>
      <c r="H543" s="42"/>
      <c r="I543" s="38"/>
      <c r="J543" s="37">
        <v>0</v>
      </c>
    </row>
    <row r="544" spans="1:10" ht="15.75" hidden="1" thickBot="1" x14ac:dyDescent="0.3">
      <c r="A544" s="175"/>
      <c r="B544" s="178"/>
      <c r="C544" s="49"/>
      <c r="D544" s="49"/>
      <c r="E544" s="50"/>
      <c r="F544" s="51" t="s">
        <v>13</v>
      </c>
      <c r="G544" s="51" t="str">
        <f>IF(ISNUMBER(F544),E544*F544,"")</f>
        <v/>
      </c>
      <c r="H544" s="53"/>
      <c r="I544" s="38"/>
      <c r="J544" s="37">
        <v>0</v>
      </c>
    </row>
    <row r="545" spans="1:10" ht="15.75" hidden="1" thickBot="1" x14ac:dyDescent="0.3">
      <c r="A545" s="173" t="s">
        <v>130</v>
      </c>
      <c r="B545" s="176" t="s">
        <v>3104</v>
      </c>
      <c r="C545" s="31"/>
      <c r="D545" s="32" t="s">
        <v>68</v>
      </c>
      <c r="E545" s="33"/>
      <c r="F545" s="54" t="s">
        <v>13</v>
      </c>
      <c r="G545" s="34" t="str">
        <f>IF(ISNUMBER(F545),E545*F545,"")</f>
        <v/>
      </c>
      <c r="H545" s="35"/>
      <c r="I545" s="36"/>
      <c r="J545" s="37">
        <v>0</v>
      </c>
    </row>
    <row r="546" spans="1:10" hidden="1" x14ac:dyDescent="0.25">
      <c r="A546" s="174"/>
      <c r="B546" s="177"/>
      <c r="C546" s="39"/>
      <c r="D546" s="39"/>
      <c r="E546" s="40"/>
      <c r="F546" s="55" t="s">
        <v>13</v>
      </c>
      <c r="G546" s="38" t="str">
        <f>IF(ISNUMBER(F546),E546*F546,"")</f>
        <v/>
      </c>
      <c r="H546" s="42"/>
      <c r="I546" s="38"/>
      <c r="J546" s="37">
        <v>0</v>
      </c>
    </row>
    <row r="547" spans="1:10" ht="25.5" hidden="1" x14ac:dyDescent="0.25">
      <c r="A547" s="174"/>
      <c r="B547" s="177"/>
      <c r="C547" s="43" t="s">
        <v>10687</v>
      </c>
      <c r="D547" s="43" t="s">
        <v>2880</v>
      </c>
      <c r="E547" s="44">
        <v>5.2999999999999999E-2</v>
      </c>
      <c r="F547" s="41">
        <v>914.74395981249984</v>
      </c>
      <c r="G547" s="41">
        <f>IF(ISNUMBER(F547),E547*F547,"")</f>
        <v>48.481429870062492</v>
      </c>
      <c r="H547" s="46">
        <f>SUM(G547:G551)</f>
        <v>63.54294837006249</v>
      </c>
      <c r="I547" s="47"/>
      <c r="J547" s="37">
        <v>0</v>
      </c>
    </row>
    <row r="548" spans="1:10" hidden="1" x14ac:dyDescent="0.25">
      <c r="A548" s="174"/>
      <c r="B548" s="177"/>
      <c r="C548" s="43" t="s">
        <v>10757</v>
      </c>
      <c r="D548" s="43" t="s">
        <v>2800</v>
      </c>
      <c r="E548" s="44">
        <v>0.27100000000000002</v>
      </c>
      <c r="F548" s="38">
        <v>31.055499999999995</v>
      </c>
      <c r="G548" s="41">
        <f>IF(ISNUMBER(F548),E548*F548,"")</f>
        <v>8.4160404999999994</v>
      </c>
      <c r="H548" s="42"/>
      <c r="I548" s="38"/>
      <c r="J548" s="37">
        <v>0</v>
      </c>
    </row>
    <row r="549" spans="1:10" hidden="1" x14ac:dyDescent="0.25">
      <c r="A549" s="174"/>
      <c r="B549" s="177"/>
      <c r="C549" s="43" t="s">
        <v>10614</v>
      </c>
      <c r="D549" s="43" t="s">
        <v>2800</v>
      </c>
      <c r="E549" s="44">
        <v>0.13600000000000001</v>
      </c>
      <c r="F549" s="38">
        <v>23.693000000000001</v>
      </c>
      <c r="G549" s="41">
        <f>IF(ISNUMBER(F549),E549*F549,"")</f>
        <v>3.2222480000000004</v>
      </c>
      <c r="H549" s="42"/>
      <c r="I549" s="38"/>
      <c r="J549" s="37">
        <v>0</v>
      </c>
    </row>
    <row r="550" spans="1:10" hidden="1" x14ac:dyDescent="0.25">
      <c r="A550" s="174"/>
      <c r="B550" s="177"/>
      <c r="C550" s="43" t="s">
        <v>10648</v>
      </c>
      <c r="D550" s="43" t="s">
        <v>1044</v>
      </c>
      <c r="E550" s="44">
        <v>0.5</v>
      </c>
      <c r="F550" s="41">
        <v>0.64600000000000002</v>
      </c>
      <c r="G550" s="41">
        <f>IF(ISNUMBER(F550),E550*F550,"")</f>
        <v>0.32300000000000001</v>
      </c>
      <c r="H550" s="42"/>
      <c r="I550" s="38"/>
      <c r="J550" s="37">
        <v>0</v>
      </c>
    </row>
    <row r="551" spans="1:10" ht="25.5" hidden="1" x14ac:dyDescent="0.25">
      <c r="A551" s="174"/>
      <c r="B551" s="177"/>
      <c r="C551" s="43" t="s">
        <v>10756</v>
      </c>
      <c r="D551" s="43" t="s">
        <v>70</v>
      </c>
      <c r="E551" s="44">
        <v>0.21</v>
      </c>
      <c r="F551" s="41">
        <v>14.762999999999998</v>
      </c>
      <c r="G551" s="41">
        <f>IF(ISNUMBER(F551),E551*F551,"")</f>
        <v>3.1002299999999994</v>
      </c>
      <c r="H551" s="42"/>
      <c r="I551" s="38"/>
      <c r="J551" s="37">
        <v>0</v>
      </c>
    </row>
    <row r="552" spans="1:10" ht="15.75" hidden="1" thickBot="1" x14ac:dyDescent="0.3">
      <c r="A552" s="175"/>
      <c r="B552" s="178"/>
      <c r="C552" s="49"/>
      <c r="D552" s="49"/>
      <c r="E552" s="50"/>
      <c r="F552" s="51" t="s">
        <v>13</v>
      </c>
      <c r="G552" s="51" t="str">
        <f>IF(ISNUMBER(F552),E552*F552,"")</f>
        <v/>
      </c>
      <c r="H552" s="53"/>
      <c r="I552" s="38"/>
      <c r="J552" s="37">
        <v>0</v>
      </c>
    </row>
    <row r="553" spans="1:10" ht="15.75" hidden="1" thickBot="1" x14ac:dyDescent="0.3">
      <c r="A553" s="173" t="s">
        <v>131</v>
      </c>
      <c r="B553" s="176" t="s">
        <v>3105</v>
      </c>
      <c r="C553" s="31"/>
      <c r="D553" s="32" t="s">
        <v>68</v>
      </c>
      <c r="E553" s="33"/>
      <c r="F553" s="54" t="s">
        <v>13</v>
      </c>
      <c r="G553" s="34" t="str">
        <f>IF(ISNUMBER(F553),E553*F553,"")</f>
        <v/>
      </c>
      <c r="H553" s="35"/>
      <c r="I553" s="36"/>
      <c r="J553" s="37">
        <v>0</v>
      </c>
    </row>
    <row r="554" spans="1:10" hidden="1" x14ac:dyDescent="0.25">
      <c r="A554" s="174"/>
      <c r="B554" s="177"/>
      <c r="C554" s="39"/>
      <c r="D554" s="39"/>
      <c r="E554" s="40"/>
      <c r="F554" s="55" t="s">
        <v>13</v>
      </c>
      <c r="G554" s="38" t="str">
        <f>IF(ISNUMBER(F554),E554*F554,"")</f>
        <v/>
      </c>
      <c r="H554" s="42"/>
      <c r="I554" s="38"/>
      <c r="J554" s="37">
        <v>0</v>
      </c>
    </row>
    <row r="555" spans="1:10" hidden="1" x14ac:dyDescent="0.25">
      <c r="A555" s="174"/>
      <c r="B555" s="177"/>
      <c r="C555" s="43" t="s">
        <v>10648</v>
      </c>
      <c r="D555" s="43" t="s">
        <v>1044</v>
      </c>
      <c r="E555" s="44">
        <v>0.5</v>
      </c>
      <c r="F555" s="41">
        <v>0.64600000000000002</v>
      </c>
      <c r="G555" s="41">
        <f>IF(ISNUMBER(F555),E555*F555,"")</f>
        <v>0.32300000000000001</v>
      </c>
      <c r="H555" s="46">
        <f>SUM(G555:G559)</f>
        <v>40.961320754187497</v>
      </c>
      <c r="I555" s="47"/>
      <c r="J555" s="37">
        <v>0</v>
      </c>
    </row>
    <row r="556" spans="1:10" ht="25.5" hidden="1" x14ac:dyDescent="0.25">
      <c r="A556" s="174"/>
      <c r="B556" s="177"/>
      <c r="C556" s="43" t="s">
        <v>10756</v>
      </c>
      <c r="D556" s="43" t="s">
        <v>70</v>
      </c>
      <c r="E556" s="44">
        <v>0.21</v>
      </c>
      <c r="F556" s="41">
        <v>14.762999999999998</v>
      </c>
      <c r="G556" s="41">
        <f>IF(ISNUMBER(F556),E556*F556,"")</f>
        <v>3.1002299999999994</v>
      </c>
      <c r="H556" s="42"/>
      <c r="I556" s="38"/>
      <c r="J556" s="37">
        <v>0</v>
      </c>
    </row>
    <row r="557" spans="1:10" ht="25.5" hidden="1" x14ac:dyDescent="0.25">
      <c r="A557" s="174"/>
      <c r="B557" s="177"/>
      <c r="C557" s="43" t="s">
        <v>10687</v>
      </c>
      <c r="D557" s="43" t="s">
        <v>2880</v>
      </c>
      <c r="E557" s="44">
        <v>3.1E-2</v>
      </c>
      <c r="F557" s="41">
        <v>914.74395981249984</v>
      </c>
      <c r="G557" s="41">
        <f>IF(ISNUMBER(F557),E557*F557,"")</f>
        <v>28.357062754187496</v>
      </c>
      <c r="H557" s="42"/>
      <c r="I557" s="38"/>
      <c r="J557" s="37">
        <v>0</v>
      </c>
    </row>
    <row r="558" spans="1:10" hidden="1" x14ac:dyDescent="0.25">
      <c r="A558" s="174"/>
      <c r="B558" s="177"/>
      <c r="C558" s="43" t="s">
        <v>10757</v>
      </c>
      <c r="D558" s="43" t="s">
        <v>2800</v>
      </c>
      <c r="E558" s="44">
        <v>0.214</v>
      </c>
      <c r="F558" s="38">
        <v>31.055499999999995</v>
      </c>
      <c r="G558" s="41">
        <f>IF(ISNUMBER(F558),E558*F558,"")</f>
        <v>6.6458769999999987</v>
      </c>
      <c r="H558" s="42"/>
      <c r="I558" s="38"/>
      <c r="J558" s="37">
        <v>0</v>
      </c>
    </row>
    <row r="559" spans="1:10" hidden="1" x14ac:dyDescent="0.25">
      <c r="A559" s="174"/>
      <c r="B559" s="177"/>
      <c r="C559" s="43" t="s">
        <v>10614</v>
      </c>
      <c r="D559" s="43" t="s">
        <v>2800</v>
      </c>
      <c r="E559" s="44">
        <v>0.107</v>
      </c>
      <c r="F559" s="38">
        <v>23.693000000000001</v>
      </c>
      <c r="G559" s="41">
        <f>IF(ISNUMBER(F559),E559*F559,"")</f>
        <v>2.5351509999999999</v>
      </c>
      <c r="H559" s="42"/>
      <c r="I559" s="38"/>
      <c r="J559" s="37">
        <v>0</v>
      </c>
    </row>
    <row r="560" spans="1:10" ht="15.75" hidden="1" thickBot="1" x14ac:dyDescent="0.3">
      <c r="A560" s="175"/>
      <c r="B560" s="178"/>
      <c r="C560" s="49"/>
      <c r="D560" s="49"/>
      <c r="E560" s="50"/>
      <c r="F560" s="51" t="s">
        <v>13</v>
      </c>
      <c r="G560" s="51" t="str">
        <f>IF(ISNUMBER(F560),E560*F560,"")</f>
        <v/>
      </c>
      <c r="H560" s="53"/>
      <c r="I560" s="38"/>
      <c r="J560" s="37">
        <v>0</v>
      </c>
    </row>
    <row r="561" spans="1:10" ht="15.75" hidden="1" thickBot="1" x14ac:dyDescent="0.3">
      <c r="A561" s="173" t="s">
        <v>132</v>
      </c>
      <c r="B561" s="176" t="s">
        <v>3106</v>
      </c>
      <c r="C561" s="31"/>
      <c r="D561" s="32" t="s">
        <v>68</v>
      </c>
      <c r="E561" s="33"/>
      <c r="F561" s="54" t="s">
        <v>13</v>
      </c>
      <c r="G561" s="34" t="str">
        <f>IF(ISNUMBER(F561),E561*F561,"")</f>
        <v/>
      </c>
      <c r="H561" s="35"/>
      <c r="I561" s="36"/>
      <c r="J561" s="37">
        <v>0</v>
      </c>
    </row>
    <row r="562" spans="1:10" hidden="1" x14ac:dyDescent="0.25">
      <c r="A562" s="174"/>
      <c r="B562" s="177"/>
      <c r="C562" s="39"/>
      <c r="D562" s="39"/>
      <c r="E562" s="40"/>
      <c r="F562" s="55" t="s">
        <v>13</v>
      </c>
      <c r="G562" s="38" t="str">
        <f>IF(ISNUMBER(F562),E562*F562,"")</f>
        <v/>
      </c>
      <c r="H562" s="42"/>
      <c r="I562" s="38"/>
      <c r="J562" s="37">
        <v>0</v>
      </c>
    </row>
    <row r="563" spans="1:10" hidden="1" x14ac:dyDescent="0.25">
      <c r="A563" s="174"/>
      <c r="B563" s="177"/>
      <c r="C563" s="43" t="s">
        <v>10872</v>
      </c>
      <c r="D563" s="43" t="s">
        <v>1044</v>
      </c>
      <c r="E563" s="44">
        <v>8.6199999999999992</v>
      </c>
      <c r="F563" s="41">
        <v>1.7765</v>
      </c>
      <c r="G563" s="41">
        <f>IF(ISNUMBER(F563),E563*F563,"")</f>
        <v>15.313429999999999</v>
      </c>
      <c r="H563" s="46">
        <f>SUM(G563:G567)</f>
        <v>66.587856000000002</v>
      </c>
      <c r="I563" s="47"/>
      <c r="J563" s="37">
        <v>0</v>
      </c>
    </row>
    <row r="564" spans="1:10" hidden="1" x14ac:dyDescent="0.25">
      <c r="A564" s="174"/>
      <c r="B564" s="177"/>
      <c r="C564" s="43" t="s">
        <v>10830</v>
      </c>
      <c r="D564" s="43" t="s">
        <v>2800</v>
      </c>
      <c r="E564" s="44">
        <v>1.1879999999999999</v>
      </c>
      <c r="F564" s="38">
        <v>30.912999999999997</v>
      </c>
      <c r="G564" s="41">
        <f>IF(ISNUMBER(F564),E564*F564,"")</f>
        <v>36.724643999999998</v>
      </c>
      <c r="H564" s="42"/>
      <c r="I564" s="38"/>
      <c r="J564" s="37">
        <v>0</v>
      </c>
    </row>
    <row r="565" spans="1:10" hidden="1" x14ac:dyDescent="0.25">
      <c r="A565" s="174"/>
      <c r="B565" s="177"/>
      <c r="C565" s="43" t="s">
        <v>10614</v>
      </c>
      <c r="D565" s="43" t="s">
        <v>2800</v>
      </c>
      <c r="E565" s="44">
        <v>0.59399999999999997</v>
      </c>
      <c r="F565" s="38">
        <v>23.693000000000001</v>
      </c>
      <c r="G565" s="41">
        <f>IF(ISNUMBER(F565),E565*F565,"")</f>
        <v>14.073642</v>
      </c>
      <c r="H565" s="42"/>
      <c r="I565" s="38"/>
      <c r="J565" s="37">
        <v>0</v>
      </c>
    </row>
    <row r="566" spans="1:10" hidden="1" x14ac:dyDescent="0.25">
      <c r="A566" s="174"/>
      <c r="B566" s="177"/>
      <c r="C566" s="43" t="s">
        <v>10871</v>
      </c>
      <c r="D566" s="43" t="s">
        <v>1044</v>
      </c>
      <c r="E566" s="44">
        <v>0.14000000000000001</v>
      </c>
      <c r="F566" s="41">
        <v>3.4009999999999998</v>
      </c>
      <c r="G566" s="41">
        <f>IF(ISNUMBER(F566),E566*F566,"")</f>
        <v>0.47614000000000001</v>
      </c>
      <c r="H566" s="42"/>
      <c r="I566" s="38"/>
      <c r="J566" s="37">
        <v>0</v>
      </c>
    </row>
    <row r="567" spans="1:10" hidden="1" x14ac:dyDescent="0.25">
      <c r="A567" s="174"/>
      <c r="B567" s="177"/>
      <c r="C567" s="43" t="s">
        <v>133</v>
      </c>
      <c r="D567" s="43" t="s">
        <v>68</v>
      </c>
      <c r="E567" s="44">
        <v>1.1599999999999999</v>
      </c>
      <c r="F567" s="41" t="s">
        <v>13</v>
      </c>
      <c r="G567" s="70" t="str">
        <f>IF(ISNUMBER(F567),E567*F567,"")</f>
        <v/>
      </c>
      <c r="H567" s="42"/>
      <c r="I567" s="38"/>
      <c r="J567" s="37">
        <v>0</v>
      </c>
    </row>
    <row r="568" spans="1:10" ht="15.75" hidden="1" thickBot="1" x14ac:dyDescent="0.3">
      <c r="A568" s="175"/>
      <c r="B568" s="178"/>
      <c r="C568" s="49"/>
      <c r="D568" s="49"/>
      <c r="E568" s="50"/>
      <c r="F568" s="51" t="s">
        <v>13</v>
      </c>
      <c r="G568" s="51" t="str">
        <f>IF(ISNUMBER(F568),E568*F568,"")</f>
        <v/>
      </c>
      <c r="H568" s="53"/>
      <c r="I568" s="38"/>
      <c r="J568" s="37">
        <v>0</v>
      </c>
    </row>
    <row r="569" spans="1:10" ht="15.75" hidden="1" thickBot="1" x14ac:dyDescent="0.3">
      <c r="A569" s="173" t="s">
        <v>134</v>
      </c>
      <c r="B569" s="176" t="s">
        <v>3107</v>
      </c>
      <c r="C569" s="31"/>
      <c r="D569" s="32" t="s">
        <v>68</v>
      </c>
      <c r="E569" s="33"/>
      <c r="F569" s="54" t="s">
        <v>13</v>
      </c>
      <c r="G569" s="34" t="str">
        <f>IF(ISNUMBER(F569),E569*F569,"")</f>
        <v/>
      </c>
      <c r="H569" s="35"/>
      <c r="I569" s="36"/>
      <c r="J569" s="37">
        <v>0</v>
      </c>
    </row>
    <row r="570" spans="1:10" hidden="1" x14ac:dyDescent="0.25">
      <c r="A570" s="174"/>
      <c r="B570" s="177"/>
      <c r="C570" s="39"/>
      <c r="D570" s="39"/>
      <c r="E570" s="40"/>
      <c r="F570" s="55" t="s">
        <v>13</v>
      </c>
      <c r="G570" s="38" t="str">
        <f>IF(ISNUMBER(F570),E570*F570,"")</f>
        <v/>
      </c>
      <c r="H570" s="42"/>
      <c r="I570" s="38"/>
      <c r="J570" s="37">
        <v>0</v>
      </c>
    </row>
    <row r="571" spans="1:10" ht="25.5" hidden="1" x14ac:dyDescent="0.25">
      <c r="A571" s="174"/>
      <c r="B571" s="177"/>
      <c r="C571" s="43" t="s">
        <v>135</v>
      </c>
      <c r="D571" s="43" t="s">
        <v>106</v>
      </c>
      <c r="E571" s="44">
        <f>ROUND(1.04/0.07,4)</f>
        <v>14.857100000000001</v>
      </c>
      <c r="F571" s="41" t="s">
        <v>13</v>
      </c>
      <c r="G571" s="41" t="str">
        <f>IF(ISNUMBER(F571),E571*F571,"")</f>
        <v/>
      </c>
      <c r="H571" s="46">
        <f>SUM(G571:G575)</f>
        <v>147.35334099999997</v>
      </c>
      <c r="I571" s="47"/>
      <c r="J571" s="37">
        <v>0</v>
      </c>
    </row>
    <row r="572" spans="1:10" hidden="1" x14ac:dyDescent="0.25">
      <c r="A572" s="174"/>
      <c r="B572" s="177"/>
      <c r="C572" s="43" t="s">
        <v>10872</v>
      </c>
      <c r="D572" s="43" t="s">
        <v>1044</v>
      </c>
      <c r="E572" s="44">
        <f>ROUND(0.8614/0.1,4)</f>
        <v>8.6140000000000008</v>
      </c>
      <c r="F572" s="41">
        <v>1.7765</v>
      </c>
      <c r="G572" s="41">
        <f>IF(ISNUMBER(F572),E572*F572,"")</f>
        <v>15.302771000000002</v>
      </c>
      <c r="H572" s="58"/>
      <c r="I572" s="59"/>
      <c r="J572" s="37">
        <v>0</v>
      </c>
    </row>
    <row r="573" spans="1:10" hidden="1" x14ac:dyDescent="0.25">
      <c r="A573" s="174"/>
      <c r="B573" s="177"/>
      <c r="C573" s="43" t="s">
        <v>10830</v>
      </c>
      <c r="D573" s="43" t="s">
        <v>2800</v>
      </c>
      <c r="E573" s="44">
        <f>0.299/0.1</f>
        <v>2.9899999999999998</v>
      </c>
      <c r="F573" s="38">
        <v>30.912999999999997</v>
      </c>
      <c r="G573" s="41">
        <f>IF(ISNUMBER(F573),E573*F573,"")</f>
        <v>92.42986999999998</v>
      </c>
      <c r="H573" s="42"/>
      <c r="I573" s="38"/>
      <c r="J573" s="37">
        <v>0</v>
      </c>
    </row>
    <row r="574" spans="1:10" hidden="1" x14ac:dyDescent="0.25">
      <c r="A574" s="174"/>
      <c r="B574" s="177"/>
      <c r="C574" s="43" t="s">
        <v>10614</v>
      </c>
      <c r="D574" s="43" t="s">
        <v>2800</v>
      </c>
      <c r="E574" s="44">
        <f>0.15/0.1</f>
        <v>1.4999999999999998</v>
      </c>
      <c r="F574" s="38">
        <v>23.693000000000001</v>
      </c>
      <c r="G574" s="41">
        <f>IF(ISNUMBER(F574),E574*F574,"")</f>
        <v>35.539499999999997</v>
      </c>
      <c r="H574" s="42"/>
      <c r="I574" s="38"/>
      <c r="J574" s="37">
        <v>0</v>
      </c>
    </row>
    <row r="575" spans="1:10" hidden="1" x14ac:dyDescent="0.25">
      <c r="A575" s="174"/>
      <c r="B575" s="177"/>
      <c r="C575" s="43" t="s">
        <v>10871</v>
      </c>
      <c r="D575" s="43" t="s">
        <v>1044</v>
      </c>
      <c r="E575" s="44">
        <f>0.12/0.1</f>
        <v>1.2</v>
      </c>
      <c r="F575" s="41">
        <v>3.4009999999999998</v>
      </c>
      <c r="G575" s="41">
        <f>IF(ISNUMBER(F575),E575*F575,"")</f>
        <v>4.0811999999999999</v>
      </c>
      <c r="H575" s="42"/>
      <c r="I575" s="38"/>
      <c r="J575" s="37">
        <v>0</v>
      </c>
    </row>
    <row r="576" spans="1:10" hidden="1" x14ac:dyDescent="0.25">
      <c r="A576" s="174"/>
      <c r="B576" s="177"/>
      <c r="C576" s="43"/>
      <c r="D576" s="43"/>
      <c r="E576" s="44"/>
      <c r="F576" s="41" t="s">
        <v>13</v>
      </c>
      <c r="G576" s="41" t="str">
        <f>IF(ISNUMBER(F576),E576*F576,"")</f>
        <v/>
      </c>
      <c r="H576" s="42"/>
      <c r="I576" s="38"/>
      <c r="J576" s="37">
        <v>0</v>
      </c>
    </row>
    <row r="577" spans="1:10" ht="25.5" hidden="1" x14ac:dyDescent="0.25">
      <c r="A577" s="174"/>
      <c r="B577" s="177"/>
      <c r="C577" s="4" t="s">
        <v>136</v>
      </c>
      <c r="D577" s="43"/>
      <c r="E577" s="44"/>
      <c r="F577" s="41" t="s">
        <v>13</v>
      </c>
      <c r="G577" s="41" t="str">
        <f>IF(ISNUMBER(F577),E577*F577,"")</f>
        <v/>
      </c>
      <c r="H577" s="42"/>
      <c r="I577" s="38"/>
      <c r="J577" s="37">
        <v>0</v>
      </c>
    </row>
    <row r="578" spans="1:10" ht="15.75" hidden="1" thickBot="1" x14ac:dyDescent="0.3">
      <c r="A578" s="175"/>
      <c r="B578" s="178"/>
      <c r="C578" s="49"/>
      <c r="D578" s="49"/>
      <c r="E578" s="50"/>
      <c r="F578" s="51" t="s">
        <v>13</v>
      </c>
      <c r="G578" s="51" t="str">
        <f>IF(ISNUMBER(F578),E578*F578,"")</f>
        <v/>
      </c>
      <c r="H578" s="53"/>
      <c r="I578" s="38"/>
      <c r="J578" s="37">
        <v>0</v>
      </c>
    </row>
    <row r="579" spans="1:10" ht="15.75" hidden="1" thickBot="1" x14ac:dyDescent="0.3">
      <c r="A579" s="173" t="s">
        <v>137</v>
      </c>
      <c r="B579" s="176" t="s">
        <v>3108</v>
      </c>
      <c r="C579" s="31"/>
      <c r="D579" s="32" t="s">
        <v>68</v>
      </c>
      <c r="E579" s="33"/>
      <c r="F579" s="54" t="s">
        <v>13</v>
      </c>
      <c r="G579" s="34" t="str">
        <f>IF(ISNUMBER(F579),E579*F579,"")</f>
        <v/>
      </c>
      <c r="H579" s="35"/>
      <c r="I579" s="36"/>
      <c r="J579" s="37">
        <v>0</v>
      </c>
    </row>
    <row r="580" spans="1:10" hidden="1" x14ac:dyDescent="0.25">
      <c r="A580" s="174"/>
      <c r="B580" s="177"/>
      <c r="C580" s="39"/>
      <c r="D580" s="39"/>
      <c r="E580" s="40"/>
      <c r="F580" s="55" t="s">
        <v>13</v>
      </c>
      <c r="G580" s="38" t="str">
        <f>IF(ISNUMBER(F580),E580*F580,"")</f>
        <v/>
      </c>
      <c r="H580" s="42"/>
      <c r="I580" s="38"/>
      <c r="J580" s="37">
        <v>0</v>
      </c>
    </row>
    <row r="581" spans="1:10" ht="25.5" hidden="1" x14ac:dyDescent="0.25">
      <c r="A581" s="174"/>
      <c r="B581" s="177"/>
      <c r="C581" s="43" t="s">
        <v>138</v>
      </c>
      <c r="D581" s="43" t="s">
        <v>106</v>
      </c>
      <c r="E581" s="44">
        <f>ROUND(1/0.15,4)</f>
        <v>6.6666999999999996</v>
      </c>
      <c r="F581" s="41" t="s">
        <v>13</v>
      </c>
      <c r="G581" s="41" t="str">
        <f>IF(ISNUMBER(F581),E581*F581,"")</f>
        <v/>
      </c>
      <c r="H581" s="46">
        <f>SUM(G581:G584)</f>
        <v>171.12959710000001</v>
      </c>
      <c r="I581" s="47"/>
      <c r="J581" s="37">
        <v>0</v>
      </c>
    </row>
    <row r="582" spans="1:10" hidden="1" x14ac:dyDescent="0.25">
      <c r="A582" s="174"/>
      <c r="B582" s="177"/>
      <c r="C582" s="43" t="s">
        <v>10872</v>
      </c>
      <c r="D582" s="43" t="s">
        <v>1044</v>
      </c>
      <c r="E582" s="44">
        <f>1.29/0.15</f>
        <v>8.6000000000000014</v>
      </c>
      <c r="F582" s="41">
        <v>1.7765</v>
      </c>
      <c r="G582" s="41">
        <f>IF(ISNUMBER(F582),E582*F582,"")</f>
        <v>15.277900000000002</v>
      </c>
      <c r="H582" s="42"/>
      <c r="I582" s="38"/>
      <c r="J582" s="37">
        <v>0</v>
      </c>
    </row>
    <row r="583" spans="1:10" hidden="1" x14ac:dyDescent="0.25">
      <c r="A583" s="174"/>
      <c r="B583" s="177"/>
      <c r="C583" s="43" t="s">
        <v>10830</v>
      </c>
      <c r="D583" s="43" t="s">
        <v>2800</v>
      </c>
      <c r="E583" s="44">
        <f>ROUND(0.547/0.15,4)</f>
        <v>3.6467000000000001</v>
      </c>
      <c r="F583" s="38">
        <v>30.912999999999997</v>
      </c>
      <c r="G583" s="41">
        <f>IF(ISNUMBER(F583),E583*F583,"")</f>
        <v>112.73043709999999</v>
      </c>
      <c r="H583" s="42"/>
      <c r="I583" s="38"/>
      <c r="J583" s="37">
        <v>0</v>
      </c>
    </row>
    <row r="584" spans="1:10" hidden="1" x14ac:dyDescent="0.25">
      <c r="A584" s="174"/>
      <c r="B584" s="177"/>
      <c r="C584" s="43" t="s">
        <v>10614</v>
      </c>
      <c r="D584" s="43" t="s">
        <v>2800</v>
      </c>
      <c r="E584" s="44">
        <f>ROUND(0.273/0.15,4)</f>
        <v>1.82</v>
      </c>
      <c r="F584" s="38">
        <v>23.693000000000001</v>
      </c>
      <c r="G584" s="41">
        <f>IF(ISNUMBER(F584),E584*F584,"")</f>
        <v>43.121260000000007</v>
      </c>
      <c r="H584" s="42"/>
      <c r="I584" s="38"/>
      <c r="J584" s="37">
        <v>0</v>
      </c>
    </row>
    <row r="585" spans="1:10" hidden="1" x14ac:dyDescent="0.25">
      <c r="A585" s="174"/>
      <c r="B585" s="177"/>
      <c r="C585" s="43"/>
      <c r="D585" s="43"/>
      <c r="E585" s="44"/>
      <c r="F585" s="38" t="s">
        <v>13</v>
      </c>
      <c r="G585" s="41" t="str">
        <f>IF(ISNUMBER(F585),E585*F585,"")</f>
        <v/>
      </c>
      <c r="H585" s="42"/>
      <c r="I585" s="38"/>
      <c r="J585" s="37">
        <v>0</v>
      </c>
    </row>
    <row r="586" spans="1:10" ht="25.5" hidden="1" x14ac:dyDescent="0.25">
      <c r="A586" s="174"/>
      <c r="B586" s="177"/>
      <c r="C586" s="4" t="s">
        <v>139</v>
      </c>
      <c r="D586" s="43"/>
      <c r="E586" s="44"/>
      <c r="F586" s="38" t="s">
        <v>13</v>
      </c>
      <c r="G586" s="41" t="str">
        <f>IF(ISNUMBER(F586),E586*F586,"")</f>
        <v/>
      </c>
      <c r="H586" s="42"/>
      <c r="I586" s="38"/>
      <c r="J586" s="37">
        <v>0</v>
      </c>
    </row>
    <row r="587" spans="1:10" ht="15.75" hidden="1" thickBot="1" x14ac:dyDescent="0.3">
      <c r="A587" s="175"/>
      <c r="B587" s="178"/>
      <c r="C587" s="49"/>
      <c r="D587" s="49"/>
      <c r="E587" s="50"/>
      <c r="F587" s="51" t="s">
        <v>13</v>
      </c>
      <c r="G587" s="51" t="str">
        <f>IF(ISNUMBER(F587),E587*F587,"")</f>
        <v/>
      </c>
      <c r="H587" s="53"/>
      <c r="I587" s="38"/>
      <c r="J587" s="37">
        <v>0</v>
      </c>
    </row>
    <row r="588" spans="1:10" ht="15.75" hidden="1" thickBot="1" x14ac:dyDescent="0.3">
      <c r="A588" s="173" t="s">
        <v>140</v>
      </c>
      <c r="B588" s="176" t="s">
        <v>3109</v>
      </c>
      <c r="C588" s="31"/>
      <c r="D588" s="32" t="s">
        <v>68</v>
      </c>
      <c r="E588" s="33"/>
      <c r="F588" s="54" t="s">
        <v>13</v>
      </c>
      <c r="G588" s="34" t="str">
        <f>IF(ISNUMBER(F588),E588*F588,"")</f>
        <v/>
      </c>
      <c r="H588" s="35"/>
      <c r="I588" s="36"/>
      <c r="J588" s="37">
        <v>0</v>
      </c>
    </row>
    <row r="589" spans="1:10" hidden="1" x14ac:dyDescent="0.25">
      <c r="A589" s="174"/>
      <c r="B589" s="177"/>
      <c r="C589" s="39"/>
      <c r="D589" s="39"/>
      <c r="E589" s="40"/>
      <c r="F589" s="55" t="s">
        <v>13</v>
      </c>
      <c r="G589" s="38" t="str">
        <f>IF(ISNUMBER(F589),E589*F589,"")</f>
        <v/>
      </c>
      <c r="H589" s="42"/>
      <c r="I589" s="38"/>
      <c r="J589" s="37">
        <v>0</v>
      </c>
    </row>
    <row r="590" spans="1:10" hidden="1" x14ac:dyDescent="0.25">
      <c r="A590" s="174"/>
      <c r="B590" s="177"/>
      <c r="C590" s="43" t="s">
        <v>10872</v>
      </c>
      <c r="D590" s="43" t="s">
        <v>1044</v>
      </c>
      <c r="E590" s="44">
        <v>8.6199999999999992</v>
      </c>
      <c r="F590" s="41">
        <v>1.7765</v>
      </c>
      <c r="G590" s="41">
        <f>IF(ISNUMBER(F590),E590*F590,"")</f>
        <v>15.313429999999999</v>
      </c>
      <c r="H590" s="46">
        <f>SUM(G590:G594)</f>
        <v>66.587856000000002</v>
      </c>
      <c r="I590" s="47"/>
      <c r="J590" s="37">
        <v>0</v>
      </c>
    </row>
    <row r="591" spans="1:10" hidden="1" x14ac:dyDescent="0.25">
      <c r="A591" s="174"/>
      <c r="B591" s="177"/>
      <c r="C591" s="43" t="s">
        <v>10830</v>
      </c>
      <c r="D591" s="43" t="s">
        <v>2800</v>
      </c>
      <c r="E591" s="44">
        <v>1.1879999999999999</v>
      </c>
      <c r="F591" s="38">
        <v>30.912999999999997</v>
      </c>
      <c r="G591" s="41">
        <f>IF(ISNUMBER(F591),E591*F591,"")</f>
        <v>36.724643999999998</v>
      </c>
      <c r="H591" s="42"/>
      <c r="I591" s="38"/>
      <c r="J591" s="37">
        <v>0</v>
      </c>
    </row>
    <row r="592" spans="1:10" hidden="1" x14ac:dyDescent="0.25">
      <c r="A592" s="174"/>
      <c r="B592" s="177"/>
      <c r="C592" s="43" t="s">
        <v>10614</v>
      </c>
      <c r="D592" s="43" t="s">
        <v>2800</v>
      </c>
      <c r="E592" s="44">
        <v>0.59399999999999997</v>
      </c>
      <c r="F592" s="38">
        <v>23.693000000000001</v>
      </c>
      <c r="G592" s="41">
        <f>IF(ISNUMBER(F592),E592*F592,"")</f>
        <v>14.073642</v>
      </c>
      <c r="H592" s="42"/>
      <c r="I592" s="38"/>
      <c r="J592" s="37">
        <v>0</v>
      </c>
    </row>
    <row r="593" spans="1:10" hidden="1" x14ac:dyDescent="0.25">
      <c r="A593" s="174"/>
      <c r="B593" s="177"/>
      <c r="C593" s="43" t="s">
        <v>10871</v>
      </c>
      <c r="D593" s="43" t="s">
        <v>1044</v>
      </c>
      <c r="E593" s="44">
        <v>0.14000000000000001</v>
      </c>
      <c r="F593" s="41">
        <v>3.4009999999999998</v>
      </c>
      <c r="G593" s="41">
        <f>IF(ISNUMBER(F593),E593*F593,"")</f>
        <v>0.47614000000000001</v>
      </c>
      <c r="H593" s="42"/>
      <c r="I593" s="38"/>
      <c r="J593" s="37">
        <v>0</v>
      </c>
    </row>
    <row r="594" spans="1:10" hidden="1" x14ac:dyDescent="0.25">
      <c r="A594" s="174"/>
      <c r="B594" s="177"/>
      <c r="C594" s="43" t="s">
        <v>141</v>
      </c>
      <c r="D594" s="43" t="s">
        <v>68</v>
      </c>
      <c r="E594" s="44">
        <v>1.1599999999999999</v>
      </c>
      <c r="F594" s="41" t="s">
        <v>13</v>
      </c>
      <c r="G594" s="70" t="str">
        <f>IF(ISNUMBER(F594),E594*F594,"")</f>
        <v/>
      </c>
      <c r="H594" s="42"/>
      <c r="I594" s="38"/>
      <c r="J594" s="37">
        <v>0</v>
      </c>
    </row>
    <row r="595" spans="1:10" ht="15.75" hidden="1" thickBot="1" x14ac:dyDescent="0.3">
      <c r="A595" s="175"/>
      <c r="B595" s="178"/>
      <c r="C595" s="49"/>
      <c r="D595" s="49"/>
      <c r="E595" s="50"/>
      <c r="F595" s="51" t="s">
        <v>13</v>
      </c>
      <c r="G595" s="51" t="str">
        <f>IF(ISNUMBER(F595),E595*F595,"")</f>
        <v/>
      </c>
      <c r="H595" s="53"/>
      <c r="I595" s="38"/>
      <c r="J595" s="37">
        <v>0</v>
      </c>
    </row>
    <row r="596" spans="1:10" ht="15.75" hidden="1" thickBot="1" x14ac:dyDescent="0.3">
      <c r="A596" s="173" t="s">
        <v>142</v>
      </c>
      <c r="B596" s="176" t="s">
        <v>3110</v>
      </c>
      <c r="C596" s="31"/>
      <c r="D596" s="32" t="s">
        <v>68</v>
      </c>
      <c r="E596" s="33"/>
      <c r="F596" s="54" t="s">
        <v>13</v>
      </c>
      <c r="G596" s="34" t="str">
        <f>IF(ISNUMBER(F596),E596*F596,"")</f>
        <v/>
      </c>
      <c r="H596" s="35"/>
      <c r="I596" s="36"/>
      <c r="J596" s="37">
        <v>0</v>
      </c>
    </row>
    <row r="597" spans="1:10" hidden="1" x14ac:dyDescent="0.25">
      <c r="A597" s="174"/>
      <c r="B597" s="177"/>
      <c r="C597" s="39"/>
      <c r="D597" s="39"/>
      <c r="E597" s="40"/>
      <c r="F597" s="55" t="s">
        <v>13</v>
      </c>
      <c r="G597" s="38" t="str">
        <f>IF(ISNUMBER(F597),E597*F597,"")</f>
        <v/>
      </c>
      <c r="H597" s="42"/>
      <c r="I597" s="38"/>
      <c r="J597" s="37">
        <v>0</v>
      </c>
    </row>
    <row r="598" spans="1:10" ht="25.5" hidden="1" x14ac:dyDescent="0.25">
      <c r="A598" s="174"/>
      <c r="B598" s="177"/>
      <c r="C598" s="43" t="s">
        <v>143</v>
      </c>
      <c r="D598" s="43" t="s">
        <v>106</v>
      </c>
      <c r="E598" s="44">
        <f>ROUND(1.04/0.07,2)</f>
        <v>14.86</v>
      </c>
      <c r="F598" s="41" t="s">
        <v>13</v>
      </c>
      <c r="G598" s="41" t="str">
        <f>IF(ISNUMBER(F598),E598*F598,"")</f>
        <v/>
      </c>
      <c r="H598" s="46">
        <f>SUM(G598:G602)</f>
        <v>147.35334099999997</v>
      </c>
      <c r="I598" s="47"/>
      <c r="J598" s="37">
        <v>0</v>
      </c>
    </row>
    <row r="599" spans="1:10" hidden="1" x14ac:dyDescent="0.25">
      <c r="A599" s="174"/>
      <c r="B599" s="177"/>
      <c r="C599" s="43" t="s">
        <v>10872</v>
      </c>
      <c r="D599" s="43" t="s">
        <v>1044</v>
      </c>
      <c r="E599" s="44">
        <f>ROUND(0.8614/0.1,4)</f>
        <v>8.6140000000000008</v>
      </c>
      <c r="F599" s="41">
        <v>1.7765</v>
      </c>
      <c r="G599" s="41">
        <f>IF(ISNUMBER(F599),E599*F599,"")</f>
        <v>15.302771000000002</v>
      </c>
      <c r="H599" s="42"/>
      <c r="I599" s="38"/>
      <c r="J599" s="37">
        <v>0</v>
      </c>
    </row>
    <row r="600" spans="1:10" hidden="1" x14ac:dyDescent="0.25">
      <c r="A600" s="174"/>
      <c r="B600" s="177"/>
      <c r="C600" s="43" t="s">
        <v>10830</v>
      </c>
      <c r="D600" s="43" t="s">
        <v>2800</v>
      </c>
      <c r="E600" s="44">
        <f>0.299/0.1</f>
        <v>2.9899999999999998</v>
      </c>
      <c r="F600" s="38">
        <v>30.912999999999997</v>
      </c>
      <c r="G600" s="41">
        <f>IF(ISNUMBER(F600),E600*F600,"")</f>
        <v>92.42986999999998</v>
      </c>
      <c r="H600" s="42"/>
      <c r="I600" s="38"/>
      <c r="J600" s="37">
        <v>0</v>
      </c>
    </row>
    <row r="601" spans="1:10" hidden="1" x14ac:dyDescent="0.25">
      <c r="A601" s="174"/>
      <c r="B601" s="177"/>
      <c r="C601" s="43" t="s">
        <v>10614</v>
      </c>
      <c r="D601" s="43" t="s">
        <v>2800</v>
      </c>
      <c r="E601" s="44">
        <f>0.15/0.1</f>
        <v>1.4999999999999998</v>
      </c>
      <c r="F601" s="38">
        <v>23.693000000000001</v>
      </c>
      <c r="G601" s="41">
        <f>IF(ISNUMBER(F601),E601*F601,"")</f>
        <v>35.539499999999997</v>
      </c>
      <c r="H601" s="42"/>
      <c r="I601" s="38"/>
      <c r="J601" s="37">
        <v>0</v>
      </c>
    </row>
    <row r="602" spans="1:10" hidden="1" x14ac:dyDescent="0.25">
      <c r="A602" s="174"/>
      <c r="B602" s="177"/>
      <c r="C602" s="43" t="s">
        <v>10871</v>
      </c>
      <c r="D602" s="43" t="s">
        <v>1044</v>
      </c>
      <c r="E602" s="44">
        <f>0.12/0.1</f>
        <v>1.2</v>
      </c>
      <c r="F602" s="41">
        <v>3.4009999999999998</v>
      </c>
      <c r="G602" s="41">
        <f>IF(ISNUMBER(F602),E602*F602,"")</f>
        <v>4.0811999999999999</v>
      </c>
      <c r="H602" s="42"/>
      <c r="I602" s="38"/>
      <c r="J602" s="37">
        <v>0</v>
      </c>
    </row>
    <row r="603" spans="1:10" hidden="1" x14ac:dyDescent="0.25">
      <c r="A603" s="174"/>
      <c r="B603" s="177"/>
      <c r="C603" s="43"/>
      <c r="D603" s="43"/>
      <c r="E603" s="44"/>
      <c r="F603" s="41" t="s">
        <v>13</v>
      </c>
      <c r="G603" s="41" t="str">
        <f>IF(ISNUMBER(F603),E603*F603,"")</f>
        <v/>
      </c>
      <c r="H603" s="42"/>
      <c r="I603" s="38"/>
      <c r="J603" s="37">
        <v>0</v>
      </c>
    </row>
    <row r="604" spans="1:10" ht="25.5" hidden="1" x14ac:dyDescent="0.25">
      <c r="A604" s="174"/>
      <c r="B604" s="177"/>
      <c r="C604" s="4" t="s">
        <v>136</v>
      </c>
      <c r="D604" s="43"/>
      <c r="E604" s="44"/>
      <c r="F604" s="41" t="s">
        <v>13</v>
      </c>
      <c r="G604" s="41" t="str">
        <f>IF(ISNUMBER(F604),E604*F604,"")</f>
        <v/>
      </c>
      <c r="H604" s="42"/>
      <c r="I604" s="38"/>
      <c r="J604" s="37">
        <v>0</v>
      </c>
    </row>
    <row r="605" spans="1:10" ht="15.75" hidden="1" thickBot="1" x14ac:dyDescent="0.3">
      <c r="A605" s="175"/>
      <c r="B605" s="178"/>
      <c r="C605" s="49"/>
      <c r="D605" s="49"/>
      <c r="E605" s="50"/>
      <c r="F605" s="51" t="s">
        <v>13</v>
      </c>
      <c r="G605" s="51" t="str">
        <f>IF(ISNUMBER(F605),E605*F605,"")</f>
        <v/>
      </c>
      <c r="H605" s="53"/>
      <c r="I605" s="38"/>
      <c r="J605" s="37">
        <v>0</v>
      </c>
    </row>
    <row r="606" spans="1:10" ht="15.75" hidden="1" thickBot="1" x14ac:dyDescent="0.3">
      <c r="A606" s="173" t="s">
        <v>144</v>
      </c>
      <c r="B606" s="176" t="s">
        <v>3111</v>
      </c>
      <c r="C606" s="31"/>
      <c r="D606" s="32" t="s">
        <v>68</v>
      </c>
      <c r="E606" s="33"/>
      <c r="F606" s="54" t="s">
        <v>13</v>
      </c>
      <c r="G606" s="34" t="str">
        <f>IF(ISNUMBER(F606),E606*F606,"")</f>
        <v/>
      </c>
      <c r="H606" s="35"/>
      <c r="I606" s="36"/>
      <c r="J606" s="37">
        <v>0</v>
      </c>
    </row>
    <row r="607" spans="1:10" hidden="1" x14ac:dyDescent="0.25">
      <c r="A607" s="174"/>
      <c r="B607" s="177"/>
      <c r="C607" s="39"/>
      <c r="D607" s="39"/>
      <c r="E607" s="40"/>
      <c r="F607" s="55" t="s">
        <v>13</v>
      </c>
      <c r="G607" s="38" t="str">
        <f>IF(ISNUMBER(F607),E607*F607,"")</f>
        <v/>
      </c>
      <c r="H607" s="42"/>
      <c r="I607" s="38"/>
      <c r="J607" s="37">
        <v>0</v>
      </c>
    </row>
    <row r="608" spans="1:10" ht="25.5" hidden="1" x14ac:dyDescent="0.25">
      <c r="A608" s="174"/>
      <c r="B608" s="177"/>
      <c r="C608" s="43" t="s">
        <v>145</v>
      </c>
      <c r="D608" s="43" t="s">
        <v>106</v>
      </c>
      <c r="E608" s="44">
        <f>ROUND(1/0.15,4)</f>
        <v>6.6666999999999996</v>
      </c>
      <c r="F608" s="41" t="s">
        <v>13</v>
      </c>
      <c r="G608" s="41" t="str">
        <f>IF(ISNUMBER(F608),E608*F608,"")</f>
        <v/>
      </c>
      <c r="H608" s="46">
        <f>SUM(G608:G611)</f>
        <v>171.12959709999998</v>
      </c>
      <c r="I608" s="47"/>
      <c r="J608" s="37">
        <v>0</v>
      </c>
    </row>
    <row r="609" spans="1:10" hidden="1" x14ac:dyDescent="0.25">
      <c r="A609" s="174"/>
      <c r="B609" s="177"/>
      <c r="C609" s="43" t="s">
        <v>10872</v>
      </c>
      <c r="D609" s="43" t="s">
        <v>1044</v>
      </c>
      <c r="E609" s="44">
        <f>ROUND(1.29/0.15,4)</f>
        <v>8.6</v>
      </c>
      <c r="F609" s="41">
        <v>1.7765</v>
      </c>
      <c r="G609" s="41">
        <f>IF(ISNUMBER(F609),E609*F609,"")</f>
        <v>15.277899999999999</v>
      </c>
      <c r="H609" s="42"/>
      <c r="I609" s="38"/>
      <c r="J609" s="37">
        <v>0</v>
      </c>
    </row>
    <row r="610" spans="1:10" hidden="1" x14ac:dyDescent="0.25">
      <c r="A610" s="174"/>
      <c r="B610" s="177"/>
      <c r="C610" s="43" t="s">
        <v>10830</v>
      </c>
      <c r="D610" s="43" t="s">
        <v>2800</v>
      </c>
      <c r="E610" s="44">
        <f>ROUND(0.547/0.15,4)</f>
        <v>3.6467000000000001</v>
      </c>
      <c r="F610" s="38">
        <v>30.912999999999997</v>
      </c>
      <c r="G610" s="41">
        <f>IF(ISNUMBER(F610),E610*F610,"")</f>
        <v>112.73043709999999</v>
      </c>
      <c r="H610" s="42"/>
      <c r="I610" s="38"/>
      <c r="J610" s="37">
        <v>0</v>
      </c>
    </row>
    <row r="611" spans="1:10" hidden="1" x14ac:dyDescent="0.25">
      <c r="A611" s="174"/>
      <c r="B611" s="177"/>
      <c r="C611" s="43" t="s">
        <v>10614</v>
      </c>
      <c r="D611" s="43" t="s">
        <v>2800</v>
      </c>
      <c r="E611" s="44">
        <f>ROUND(0.273/0.15,4)</f>
        <v>1.82</v>
      </c>
      <c r="F611" s="38">
        <v>23.693000000000001</v>
      </c>
      <c r="G611" s="41">
        <f>IF(ISNUMBER(F611),E611*F611,"")</f>
        <v>43.121260000000007</v>
      </c>
      <c r="H611" s="42"/>
      <c r="I611" s="38"/>
      <c r="J611" s="37">
        <v>0</v>
      </c>
    </row>
    <row r="612" spans="1:10" hidden="1" x14ac:dyDescent="0.25">
      <c r="A612" s="174"/>
      <c r="B612" s="177"/>
      <c r="C612" s="43"/>
      <c r="D612" s="43"/>
      <c r="E612" s="44"/>
      <c r="F612" s="38" t="s">
        <v>13</v>
      </c>
      <c r="G612" s="41" t="str">
        <f>IF(ISNUMBER(F612),E612*F612,"")</f>
        <v/>
      </c>
      <c r="H612" s="42"/>
      <c r="I612" s="38"/>
      <c r="J612" s="37">
        <v>0</v>
      </c>
    </row>
    <row r="613" spans="1:10" ht="25.5" hidden="1" x14ac:dyDescent="0.25">
      <c r="A613" s="174"/>
      <c r="B613" s="177"/>
      <c r="C613" s="4" t="s">
        <v>139</v>
      </c>
      <c r="D613" s="43"/>
      <c r="E613" s="44"/>
      <c r="F613" s="38" t="s">
        <v>13</v>
      </c>
      <c r="G613" s="41" t="str">
        <f>IF(ISNUMBER(F613),E613*F613,"")</f>
        <v/>
      </c>
      <c r="H613" s="42"/>
      <c r="I613" s="38"/>
      <c r="J613" s="37">
        <v>0</v>
      </c>
    </row>
    <row r="614" spans="1:10" ht="15.75" hidden="1" thickBot="1" x14ac:dyDescent="0.3">
      <c r="A614" s="175"/>
      <c r="B614" s="178"/>
      <c r="C614" s="49"/>
      <c r="D614" s="49"/>
      <c r="E614" s="50"/>
      <c r="F614" s="51" t="s">
        <v>13</v>
      </c>
      <c r="G614" s="51" t="str">
        <f>IF(ISNUMBER(F614),E614*F614,"")</f>
        <v/>
      </c>
      <c r="H614" s="53"/>
      <c r="I614" s="38"/>
      <c r="J614" s="37">
        <v>0</v>
      </c>
    </row>
    <row r="615" spans="1:10" ht="15.75" hidden="1" thickBot="1" x14ac:dyDescent="0.3">
      <c r="A615" s="173" t="s">
        <v>146</v>
      </c>
      <c r="B615" s="176" t="s">
        <v>3112</v>
      </c>
      <c r="C615" s="31"/>
      <c r="D615" s="32" t="s">
        <v>106</v>
      </c>
      <c r="E615" s="33"/>
      <c r="F615" s="54" t="s">
        <v>13</v>
      </c>
      <c r="G615" s="34" t="str">
        <f>IF(ISNUMBER(F615),E615*F615,"")</f>
        <v/>
      </c>
      <c r="H615" s="35"/>
      <c r="I615" s="36"/>
      <c r="J615" s="37">
        <v>0</v>
      </c>
    </row>
    <row r="616" spans="1:10" hidden="1" x14ac:dyDescent="0.25">
      <c r="A616" s="174"/>
      <c r="B616" s="177"/>
      <c r="C616" s="39"/>
      <c r="D616" s="39"/>
      <c r="E616" s="40"/>
      <c r="F616" s="55" t="s">
        <v>13</v>
      </c>
      <c r="G616" s="38" t="str">
        <f>IF(ISNUMBER(F616),E616*F616,"")</f>
        <v/>
      </c>
      <c r="H616" s="42"/>
      <c r="I616" s="38"/>
      <c r="J616" s="37">
        <v>0</v>
      </c>
    </row>
    <row r="617" spans="1:10" hidden="1" x14ac:dyDescent="0.25">
      <c r="A617" s="174"/>
      <c r="B617" s="177"/>
      <c r="C617" s="43" t="s">
        <v>10873</v>
      </c>
      <c r="D617" s="43" t="s">
        <v>1044</v>
      </c>
      <c r="E617" s="44">
        <v>4.0300000000000002E-2</v>
      </c>
      <c r="F617" s="38">
        <v>46.055999999999997</v>
      </c>
      <c r="G617" s="41">
        <f>IF(ISNUMBER(F617),E617*F617,"")</f>
        <v>1.8560568</v>
      </c>
      <c r="H617" s="46">
        <f>SUM(G617:G619)</f>
        <v>16.576454999999999</v>
      </c>
      <c r="I617" s="47"/>
      <c r="J617" s="37">
        <v>0</v>
      </c>
    </row>
    <row r="618" spans="1:10" hidden="1" x14ac:dyDescent="0.25">
      <c r="A618" s="174"/>
      <c r="B618" s="177"/>
      <c r="C618" s="43" t="s">
        <v>10613</v>
      </c>
      <c r="D618" s="43" t="s">
        <v>2800</v>
      </c>
      <c r="E618" s="44">
        <v>0.36349999999999999</v>
      </c>
      <c r="F618" s="41">
        <v>30.628</v>
      </c>
      <c r="G618" s="41">
        <f>IF(ISNUMBER(F618),E618*F618,"")</f>
        <v>11.133277999999999</v>
      </c>
      <c r="H618" s="42"/>
      <c r="I618" s="38"/>
      <c r="J618" s="37">
        <v>0</v>
      </c>
    </row>
    <row r="619" spans="1:10" hidden="1" x14ac:dyDescent="0.25">
      <c r="A619" s="174"/>
      <c r="B619" s="177"/>
      <c r="C619" s="43" t="s">
        <v>10614</v>
      </c>
      <c r="D619" s="43" t="s">
        <v>2800</v>
      </c>
      <c r="E619" s="44">
        <v>0.15140000000000001</v>
      </c>
      <c r="F619" s="41">
        <v>23.693000000000001</v>
      </c>
      <c r="G619" s="41">
        <f>IF(ISNUMBER(F619),E619*F619,"")</f>
        <v>3.5871202000000002</v>
      </c>
      <c r="H619" s="42"/>
      <c r="I619" s="38"/>
      <c r="J619" s="37">
        <v>0</v>
      </c>
    </row>
    <row r="620" spans="1:10" ht="15.75" hidden="1" thickBot="1" x14ac:dyDescent="0.3">
      <c r="A620" s="175"/>
      <c r="B620" s="178"/>
      <c r="C620" s="49"/>
      <c r="D620" s="49"/>
      <c r="E620" s="50"/>
      <c r="F620" s="51" t="s">
        <v>13</v>
      </c>
      <c r="G620" s="51" t="str">
        <f>IF(ISNUMBER(F620),E620*F620,"")</f>
        <v/>
      </c>
      <c r="H620" s="53"/>
      <c r="I620" s="38"/>
      <c r="J620" s="37">
        <v>0</v>
      </c>
    </row>
    <row r="621" spans="1:10" ht="15.75" hidden="1" thickBot="1" x14ac:dyDescent="0.3">
      <c r="A621" s="173" t="s">
        <v>147</v>
      </c>
      <c r="B621" s="176" t="s">
        <v>3113</v>
      </c>
      <c r="C621" s="31"/>
      <c r="D621" s="32" t="s">
        <v>68</v>
      </c>
      <c r="E621" s="33"/>
      <c r="F621" s="54" t="s">
        <v>13</v>
      </c>
      <c r="G621" s="34" t="str">
        <f>IF(ISNUMBER(F621),E621*F621,"")</f>
        <v/>
      </c>
      <c r="H621" s="35"/>
      <c r="I621" s="36"/>
      <c r="J621" s="37">
        <v>0</v>
      </c>
    </row>
    <row r="622" spans="1:10" hidden="1" x14ac:dyDescent="0.25">
      <c r="A622" s="174"/>
      <c r="B622" s="177"/>
      <c r="C622" s="39"/>
      <c r="D622" s="39"/>
      <c r="E622" s="40"/>
      <c r="F622" s="55" t="s">
        <v>13</v>
      </c>
      <c r="G622" s="38" t="str">
        <f>IF(ISNUMBER(F622),E622*F622,"")</f>
        <v/>
      </c>
      <c r="H622" s="42"/>
      <c r="I622" s="38"/>
      <c r="J622" s="37">
        <v>0</v>
      </c>
    </row>
    <row r="623" spans="1:10" hidden="1" x14ac:dyDescent="0.25">
      <c r="A623" s="174"/>
      <c r="B623" s="177"/>
      <c r="C623" s="43" t="s">
        <v>10872</v>
      </c>
      <c r="D623" s="43" t="s">
        <v>1044</v>
      </c>
      <c r="E623" s="44">
        <v>8.6199999999999992</v>
      </c>
      <c r="F623" s="41">
        <v>1.7765</v>
      </c>
      <c r="G623" s="41">
        <f>IF(ISNUMBER(F623),E623*F623,"")</f>
        <v>15.313429999999999</v>
      </c>
      <c r="H623" s="46">
        <f>SUM(G623:G627)</f>
        <v>66.587856000000002</v>
      </c>
      <c r="I623" s="47"/>
      <c r="J623" s="37">
        <v>0</v>
      </c>
    </row>
    <row r="624" spans="1:10" hidden="1" x14ac:dyDescent="0.25">
      <c r="A624" s="174"/>
      <c r="B624" s="177"/>
      <c r="C624" s="43" t="s">
        <v>10830</v>
      </c>
      <c r="D624" s="43" t="s">
        <v>2800</v>
      </c>
      <c r="E624" s="44">
        <v>1.1879999999999999</v>
      </c>
      <c r="F624" s="38">
        <v>30.912999999999997</v>
      </c>
      <c r="G624" s="41">
        <f>IF(ISNUMBER(F624),E624*F624,"")</f>
        <v>36.724643999999998</v>
      </c>
      <c r="H624" s="42"/>
      <c r="I624" s="38"/>
      <c r="J624" s="37">
        <v>0</v>
      </c>
    </row>
    <row r="625" spans="1:10" hidden="1" x14ac:dyDescent="0.25">
      <c r="A625" s="174"/>
      <c r="B625" s="177"/>
      <c r="C625" s="43" t="s">
        <v>10614</v>
      </c>
      <c r="D625" s="43" t="s">
        <v>2800</v>
      </c>
      <c r="E625" s="44">
        <v>0.59399999999999997</v>
      </c>
      <c r="F625" s="38">
        <v>23.693000000000001</v>
      </c>
      <c r="G625" s="41">
        <f>IF(ISNUMBER(F625),E625*F625,"")</f>
        <v>14.073642</v>
      </c>
      <c r="H625" s="42"/>
      <c r="I625" s="38"/>
      <c r="J625" s="37">
        <v>0</v>
      </c>
    </row>
    <row r="626" spans="1:10" hidden="1" x14ac:dyDescent="0.25">
      <c r="A626" s="174"/>
      <c r="B626" s="177"/>
      <c r="C626" s="43" t="s">
        <v>10871</v>
      </c>
      <c r="D626" s="43" t="s">
        <v>1044</v>
      </c>
      <c r="E626" s="44">
        <v>0.14000000000000001</v>
      </c>
      <c r="F626" s="41">
        <v>3.4009999999999998</v>
      </c>
      <c r="G626" s="41">
        <f>IF(ISNUMBER(F626),E626*F626,"")</f>
        <v>0.47614000000000001</v>
      </c>
      <c r="H626" s="42"/>
      <c r="I626" s="38"/>
      <c r="J626" s="37">
        <v>0</v>
      </c>
    </row>
    <row r="627" spans="1:10" hidden="1" x14ac:dyDescent="0.25">
      <c r="A627" s="174"/>
      <c r="B627" s="177"/>
      <c r="C627" s="43" t="s">
        <v>148</v>
      </c>
      <c r="D627" s="43" t="s">
        <v>68</v>
      </c>
      <c r="E627" s="44">
        <v>1.1599999999999999</v>
      </c>
      <c r="F627" s="41" t="s">
        <v>13</v>
      </c>
      <c r="G627" s="70" t="str">
        <f>IF(ISNUMBER(F627),E627*F627,"")</f>
        <v/>
      </c>
      <c r="H627" s="42"/>
      <c r="I627" s="38"/>
      <c r="J627" s="37">
        <v>0</v>
      </c>
    </row>
    <row r="628" spans="1:10" ht="15.75" hidden="1" thickBot="1" x14ac:dyDescent="0.3">
      <c r="A628" s="175"/>
      <c r="B628" s="178"/>
      <c r="C628" s="49"/>
      <c r="D628" s="49"/>
      <c r="E628" s="50"/>
      <c r="F628" s="51" t="s">
        <v>13</v>
      </c>
      <c r="G628" s="51" t="str">
        <f>IF(ISNUMBER(F628),E628*F628,"")</f>
        <v/>
      </c>
      <c r="H628" s="53"/>
      <c r="I628" s="38"/>
      <c r="J628" s="37">
        <v>0</v>
      </c>
    </row>
    <row r="629" spans="1:10" ht="15.75" hidden="1" thickBot="1" x14ac:dyDescent="0.3">
      <c r="A629" s="173" t="s">
        <v>149</v>
      </c>
      <c r="B629" s="176" t="s">
        <v>3114</v>
      </c>
      <c r="C629" s="31"/>
      <c r="D629" s="32" t="s">
        <v>68</v>
      </c>
      <c r="E629" s="33"/>
      <c r="F629" s="54" t="s">
        <v>13</v>
      </c>
      <c r="G629" s="34" t="str">
        <f>IF(ISNUMBER(F629),E629*F629,"")</f>
        <v/>
      </c>
      <c r="H629" s="35"/>
      <c r="I629" s="36"/>
      <c r="J629" s="37">
        <v>0</v>
      </c>
    </row>
    <row r="630" spans="1:10" hidden="1" x14ac:dyDescent="0.25">
      <c r="A630" s="174"/>
      <c r="B630" s="177"/>
      <c r="C630" s="39"/>
      <c r="D630" s="39"/>
      <c r="E630" s="40"/>
      <c r="F630" s="55" t="s">
        <v>13</v>
      </c>
      <c r="G630" s="38" t="str">
        <f>IF(ISNUMBER(F630),E630*F630,"")</f>
        <v/>
      </c>
      <c r="H630" s="42"/>
      <c r="I630" s="38"/>
      <c r="J630" s="37">
        <v>0</v>
      </c>
    </row>
    <row r="631" spans="1:10" hidden="1" x14ac:dyDescent="0.25">
      <c r="A631" s="174"/>
      <c r="B631" s="177"/>
      <c r="C631" s="43" t="s">
        <v>10872</v>
      </c>
      <c r="D631" s="43" t="s">
        <v>1044</v>
      </c>
      <c r="E631" s="44">
        <v>8.6199999999999992</v>
      </c>
      <c r="F631" s="41">
        <v>1.7765</v>
      </c>
      <c r="G631" s="41">
        <f>IF(ISNUMBER(F631),E631*F631,"")</f>
        <v>15.313429999999999</v>
      </c>
      <c r="H631" s="46">
        <f>SUM(G631:G635)</f>
        <v>66.587856000000002</v>
      </c>
      <c r="I631" s="47"/>
      <c r="J631" s="37">
        <v>0</v>
      </c>
    </row>
    <row r="632" spans="1:10" hidden="1" x14ac:dyDescent="0.25">
      <c r="A632" s="174"/>
      <c r="B632" s="177"/>
      <c r="C632" s="43" t="s">
        <v>10830</v>
      </c>
      <c r="D632" s="43" t="s">
        <v>2800</v>
      </c>
      <c r="E632" s="44">
        <v>1.1879999999999999</v>
      </c>
      <c r="F632" s="38">
        <v>30.912999999999997</v>
      </c>
      <c r="G632" s="41">
        <f>IF(ISNUMBER(F632),E632*F632,"")</f>
        <v>36.724643999999998</v>
      </c>
      <c r="H632" s="42"/>
      <c r="I632" s="38"/>
      <c r="J632" s="37">
        <v>0</v>
      </c>
    </row>
    <row r="633" spans="1:10" hidden="1" x14ac:dyDescent="0.25">
      <c r="A633" s="174"/>
      <c r="B633" s="177"/>
      <c r="C633" s="43" t="s">
        <v>10614</v>
      </c>
      <c r="D633" s="43" t="s">
        <v>2800</v>
      </c>
      <c r="E633" s="44">
        <v>0.59399999999999997</v>
      </c>
      <c r="F633" s="38">
        <v>23.693000000000001</v>
      </c>
      <c r="G633" s="41">
        <f>IF(ISNUMBER(F633),E633*F633,"")</f>
        <v>14.073642</v>
      </c>
      <c r="H633" s="42"/>
      <c r="I633" s="38"/>
      <c r="J633" s="37">
        <v>0</v>
      </c>
    </row>
    <row r="634" spans="1:10" hidden="1" x14ac:dyDescent="0.25">
      <c r="A634" s="174"/>
      <c r="B634" s="177"/>
      <c r="C634" s="43" t="s">
        <v>10871</v>
      </c>
      <c r="D634" s="43" t="s">
        <v>1044</v>
      </c>
      <c r="E634" s="44">
        <v>0.14000000000000001</v>
      </c>
      <c r="F634" s="41">
        <v>3.4009999999999998</v>
      </c>
      <c r="G634" s="41">
        <f>IF(ISNUMBER(F634),E634*F634,"")</f>
        <v>0.47614000000000001</v>
      </c>
      <c r="H634" s="42"/>
      <c r="I634" s="38"/>
      <c r="J634" s="37">
        <v>0</v>
      </c>
    </row>
    <row r="635" spans="1:10" hidden="1" x14ac:dyDescent="0.25">
      <c r="A635" s="174"/>
      <c r="B635" s="177"/>
      <c r="C635" s="43" t="s">
        <v>150</v>
      </c>
      <c r="D635" s="43" t="s">
        <v>68</v>
      </c>
      <c r="E635" s="44">
        <v>1.1599999999999999</v>
      </c>
      <c r="F635" s="41" t="s">
        <v>13</v>
      </c>
      <c r="G635" s="70" t="str">
        <f>IF(ISNUMBER(F635),E635*F635,"")</f>
        <v/>
      </c>
      <c r="H635" s="42"/>
      <c r="I635" s="38"/>
      <c r="J635" s="37">
        <v>0</v>
      </c>
    </row>
    <row r="636" spans="1:10" ht="15.75" hidden="1" thickBot="1" x14ac:dyDescent="0.3">
      <c r="A636" s="175"/>
      <c r="B636" s="178"/>
      <c r="C636" s="49"/>
      <c r="D636" s="49"/>
      <c r="E636" s="50"/>
      <c r="F636" s="51" t="s">
        <v>13</v>
      </c>
      <c r="G636" s="51" t="str">
        <f>IF(ISNUMBER(F636),E636*F636,"")</f>
        <v/>
      </c>
      <c r="H636" s="53"/>
      <c r="I636" s="38"/>
      <c r="J636" s="37">
        <v>0</v>
      </c>
    </row>
    <row r="637" spans="1:10" ht="15.75" hidden="1" thickBot="1" x14ac:dyDescent="0.3">
      <c r="A637" s="173" t="s">
        <v>151</v>
      </c>
      <c r="B637" s="176" t="s">
        <v>3115</v>
      </c>
      <c r="C637" s="31"/>
      <c r="D637" s="32" t="s">
        <v>106</v>
      </c>
      <c r="E637" s="33"/>
      <c r="F637" s="54" t="s">
        <v>13</v>
      </c>
      <c r="G637" s="34" t="str">
        <f>IF(ISNUMBER(F637),E637*F637,"")</f>
        <v/>
      </c>
      <c r="H637" s="35"/>
      <c r="I637" s="36"/>
      <c r="J637" s="37">
        <v>0</v>
      </c>
    </row>
    <row r="638" spans="1:10" hidden="1" x14ac:dyDescent="0.25">
      <c r="A638" s="174"/>
      <c r="B638" s="177"/>
      <c r="C638" s="39"/>
      <c r="D638" s="39"/>
      <c r="E638" s="40"/>
      <c r="F638" s="55" t="s">
        <v>13</v>
      </c>
      <c r="G638" s="38" t="str">
        <f>IF(ISNUMBER(F638),E638*F638,"")</f>
        <v/>
      </c>
      <c r="H638" s="42"/>
      <c r="I638" s="38"/>
      <c r="J638" s="37">
        <v>0</v>
      </c>
    </row>
    <row r="639" spans="1:10" ht="25.5" hidden="1" x14ac:dyDescent="0.25">
      <c r="A639" s="174"/>
      <c r="B639" s="177"/>
      <c r="C639" s="43" t="s">
        <v>10874</v>
      </c>
      <c r="D639" s="43" t="s">
        <v>1302</v>
      </c>
      <c r="E639" s="44">
        <v>1.0349999999999999</v>
      </c>
      <c r="F639" s="38">
        <v>25.65</v>
      </c>
      <c r="G639" s="41">
        <f>IF(ISNUMBER(F639),E639*F639,"")</f>
        <v>26.547749999999997</v>
      </c>
      <c r="H639" s="46">
        <f>SUM(G639:G642)</f>
        <v>43.124204999999996</v>
      </c>
      <c r="I639" s="47"/>
      <c r="J639" s="37">
        <v>0</v>
      </c>
    </row>
    <row r="640" spans="1:10" hidden="1" x14ac:dyDescent="0.25">
      <c r="A640" s="174"/>
      <c r="B640" s="177"/>
      <c r="C640" s="43" t="s">
        <v>10873</v>
      </c>
      <c r="D640" s="43" t="s">
        <v>1044</v>
      </c>
      <c r="E640" s="44">
        <v>4.0300000000000002E-2</v>
      </c>
      <c r="F640" s="38">
        <v>46.055999999999997</v>
      </c>
      <c r="G640" s="41">
        <f>IF(ISNUMBER(F640),E640*F640,"")</f>
        <v>1.8560568</v>
      </c>
      <c r="H640" s="42"/>
      <c r="I640" s="38"/>
      <c r="J640" s="37">
        <v>0</v>
      </c>
    </row>
    <row r="641" spans="1:10" hidden="1" x14ac:dyDescent="0.25">
      <c r="A641" s="174"/>
      <c r="B641" s="177"/>
      <c r="C641" s="43" t="s">
        <v>10613</v>
      </c>
      <c r="D641" s="43" t="s">
        <v>2800</v>
      </c>
      <c r="E641" s="44">
        <v>0.36349999999999999</v>
      </c>
      <c r="F641" s="41">
        <v>30.628</v>
      </c>
      <c r="G641" s="41">
        <f>IF(ISNUMBER(F641),E641*F641,"")</f>
        <v>11.133277999999999</v>
      </c>
      <c r="H641" s="42"/>
      <c r="I641" s="38"/>
      <c r="J641" s="37">
        <v>0</v>
      </c>
    </row>
    <row r="642" spans="1:10" hidden="1" x14ac:dyDescent="0.25">
      <c r="A642" s="174"/>
      <c r="B642" s="177"/>
      <c r="C642" s="43" t="s">
        <v>10614</v>
      </c>
      <c r="D642" s="43" t="s">
        <v>2800</v>
      </c>
      <c r="E642" s="44">
        <v>0.15140000000000001</v>
      </c>
      <c r="F642" s="41">
        <v>23.693000000000001</v>
      </c>
      <c r="G642" s="41">
        <f>IF(ISNUMBER(F642),E642*F642,"")</f>
        <v>3.5871202000000002</v>
      </c>
      <c r="H642" s="42"/>
      <c r="I642" s="38"/>
      <c r="J642" s="37">
        <v>0</v>
      </c>
    </row>
    <row r="643" spans="1:10" ht="15.75" hidden="1" thickBot="1" x14ac:dyDescent="0.3">
      <c r="A643" s="175"/>
      <c r="B643" s="178"/>
      <c r="C643" s="49"/>
      <c r="D643" s="49"/>
      <c r="E643" s="50"/>
      <c r="F643" s="51" t="s">
        <v>13</v>
      </c>
      <c r="G643" s="51" t="str">
        <f>IF(ISNUMBER(F643),E643*F643,"")</f>
        <v/>
      </c>
      <c r="H643" s="53"/>
      <c r="I643" s="38"/>
      <c r="J643" s="37">
        <v>0</v>
      </c>
    </row>
    <row r="644" spans="1:10" ht="15.75" hidden="1" thickBot="1" x14ac:dyDescent="0.3">
      <c r="A644" s="173" t="s">
        <v>152</v>
      </c>
      <c r="B644" s="176" t="s">
        <v>3116</v>
      </c>
      <c r="C644" s="31"/>
      <c r="D644" s="32" t="s">
        <v>106</v>
      </c>
      <c r="E644" s="33"/>
      <c r="F644" s="54" t="s">
        <v>13</v>
      </c>
      <c r="G644" s="34" t="str">
        <f>IF(ISNUMBER(F644),E644*F644,"")</f>
        <v/>
      </c>
      <c r="H644" s="35"/>
      <c r="I644" s="36"/>
      <c r="J644" s="37">
        <v>0</v>
      </c>
    </row>
    <row r="645" spans="1:10" hidden="1" x14ac:dyDescent="0.25">
      <c r="A645" s="174"/>
      <c r="B645" s="177"/>
      <c r="C645" s="39"/>
      <c r="D645" s="39"/>
      <c r="E645" s="40"/>
      <c r="F645" s="55" t="s">
        <v>13</v>
      </c>
      <c r="G645" s="38" t="str">
        <f>IF(ISNUMBER(F645),E645*F645,"")</f>
        <v/>
      </c>
      <c r="H645" s="42"/>
      <c r="I645" s="38"/>
      <c r="J645" s="37">
        <v>0</v>
      </c>
    </row>
    <row r="646" spans="1:10" hidden="1" x14ac:dyDescent="0.25">
      <c r="A646" s="174"/>
      <c r="B646" s="177"/>
      <c r="C646" s="43" t="s">
        <v>10830</v>
      </c>
      <c r="D646" s="43" t="s">
        <v>2800</v>
      </c>
      <c r="E646" s="44">
        <v>2</v>
      </c>
      <c r="F646" s="38">
        <v>30.912999999999997</v>
      </c>
      <c r="G646" s="41">
        <f>IF(ISNUMBER(F646),E646*F646,"")</f>
        <v>61.825999999999993</v>
      </c>
      <c r="H646" s="46">
        <f>SUM(G646:G646)</f>
        <v>61.825999999999993</v>
      </c>
      <c r="I646" s="47"/>
      <c r="J646" s="37">
        <v>0</v>
      </c>
    </row>
    <row r="647" spans="1:10" ht="15.75" hidden="1" thickBot="1" x14ac:dyDescent="0.3">
      <c r="A647" s="175"/>
      <c r="B647" s="178"/>
      <c r="C647" s="49"/>
      <c r="D647" s="49"/>
      <c r="E647" s="50"/>
      <c r="F647" s="51" t="s">
        <v>13</v>
      </c>
      <c r="G647" s="51" t="str">
        <f>IF(ISNUMBER(F647),E647*F647,"")</f>
        <v/>
      </c>
      <c r="H647" s="53"/>
      <c r="I647" s="38"/>
      <c r="J647" s="37">
        <v>0</v>
      </c>
    </row>
    <row r="648" spans="1:10" ht="15.75" hidden="1" thickBot="1" x14ac:dyDescent="0.3">
      <c r="A648" s="173" t="s">
        <v>153</v>
      </c>
      <c r="B648" s="176" t="s">
        <v>3117</v>
      </c>
      <c r="C648" s="31"/>
      <c r="D648" s="32" t="s">
        <v>106</v>
      </c>
      <c r="E648" s="33"/>
      <c r="F648" s="54" t="s">
        <v>13</v>
      </c>
      <c r="G648" s="34" t="str">
        <f>IF(ISNUMBER(F648),E648*F648,"")</f>
        <v/>
      </c>
      <c r="H648" s="35"/>
      <c r="I648" s="36"/>
      <c r="J648" s="37">
        <v>0</v>
      </c>
    </row>
    <row r="649" spans="1:10" hidden="1" x14ac:dyDescent="0.25">
      <c r="A649" s="174"/>
      <c r="B649" s="177"/>
      <c r="C649" s="39"/>
      <c r="D649" s="39"/>
      <c r="E649" s="40"/>
      <c r="F649" s="55" t="s">
        <v>13</v>
      </c>
      <c r="G649" s="38" t="str">
        <f>IF(ISNUMBER(F649),E649*F649,"")</f>
        <v/>
      </c>
      <c r="H649" s="42"/>
      <c r="I649" s="38"/>
      <c r="J649" s="37">
        <v>0</v>
      </c>
    </row>
    <row r="650" spans="1:10" hidden="1" x14ac:dyDescent="0.25">
      <c r="A650" s="174"/>
      <c r="B650" s="177"/>
      <c r="C650" s="43" t="s">
        <v>10830</v>
      </c>
      <c r="D650" s="43" t="s">
        <v>2800</v>
      </c>
      <c r="E650" s="44">
        <v>1.75</v>
      </c>
      <c r="F650" s="38">
        <v>30.912999999999997</v>
      </c>
      <c r="G650" s="41">
        <f>IF(ISNUMBER(F650),E650*F650,"")</f>
        <v>54.097749999999991</v>
      </c>
      <c r="H650" s="46">
        <f>SUM(G650:G650)</f>
        <v>54.097749999999991</v>
      </c>
      <c r="I650" s="47"/>
      <c r="J650" s="37">
        <v>0</v>
      </c>
    </row>
    <row r="651" spans="1:10" ht="15.75" hidden="1" thickBot="1" x14ac:dyDescent="0.3">
      <c r="A651" s="175"/>
      <c r="B651" s="178"/>
      <c r="C651" s="49"/>
      <c r="D651" s="49"/>
      <c r="E651" s="50"/>
      <c r="F651" s="51" t="s">
        <v>13</v>
      </c>
      <c r="G651" s="51" t="str">
        <f>IF(ISNUMBER(F651),E651*F651,"")</f>
        <v/>
      </c>
      <c r="H651" s="53"/>
      <c r="I651" s="38"/>
      <c r="J651" s="37">
        <v>0</v>
      </c>
    </row>
    <row r="652" spans="1:10" ht="15.75" hidden="1" thickBot="1" x14ac:dyDescent="0.3">
      <c r="A652" s="173" t="s">
        <v>154</v>
      </c>
      <c r="B652" s="176" t="s">
        <v>3118</v>
      </c>
      <c r="C652" s="31"/>
      <c r="D652" s="32" t="s">
        <v>106</v>
      </c>
      <c r="E652" s="33"/>
      <c r="F652" s="54" t="s">
        <v>13</v>
      </c>
      <c r="G652" s="34" t="str">
        <f>IF(ISNUMBER(F652),E652*F652,"")</f>
        <v/>
      </c>
      <c r="H652" s="35"/>
      <c r="I652" s="36"/>
      <c r="J652" s="37">
        <v>0</v>
      </c>
    </row>
    <row r="653" spans="1:10" hidden="1" x14ac:dyDescent="0.25">
      <c r="A653" s="174"/>
      <c r="B653" s="177"/>
      <c r="C653" s="39"/>
      <c r="D653" s="39"/>
      <c r="E653" s="40"/>
      <c r="F653" s="55" t="s">
        <v>13</v>
      </c>
      <c r="G653" s="38" t="str">
        <f>IF(ISNUMBER(F653),E653*F653,"")</f>
        <v/>
      </c>
      <c r="H653" s="42"/>
      <c r="I653" s="38"/>
      <c r="J653" s="37">
        <v>0</v>
      </c>
    </row>
    <row r="654" spans="1:10" hidden="1" x14ac:dyDescent="0.25">
      <c r="A654" s="174"/>
      <c r="B654" s="177"/>
      <c r="C654" s="43" t="s">
        <v>10830</v>
      </c>
      <c r="D654" s="43" t="s">
        <v>2800</v>
      </c>
      <c r="E654" s="44">
        <v>1</v>
      </c>
      <c r="F654" s="38">
        <v>30.912999999999997</v>
      </c>
      <c r="G654" s="41">
        <f>IF(ISNUMBER(F654),E654*F654,"")</f>
        <v>30.912999999999997</v>
      </c>
      <c r="H654" s="46">
        <f>SUM(G654:G654)</f>
        <v>30.912999999999997</v>
      </c>
      <c r="I654" s="47"/>
      <c r="J654" s="37">
        <v>0</v>
      </c>
    </row>
    <row r="655" spans="1:10" ht="15.75" hidden="1" thickBot="1" x14ac:dyDescent="0.3">
      <c r="A655" s="175"/>
      <c r="B655" s="178"/>
      <c r="C655" s="49"/>
      <c r="D655" s="49"/>
      <c r="E655" s="50"/>
      <c r="F655" s="51" t="s">
        <v>13</v>
      </c>
      <c r="G655" s="51" t="str">
        <f>IF(ISNUMBER(F655),E655*F655,"")</f>
        <v/>
      </c>
      <c r="H655" s="53"/>
      <c r="I655" s="38"/>
      <c r="J655" s="37">
        <v>0</v>
      </c>
    </row>
    <row r="656" spans="1:10" ht="15.75" hidden="1" thickBot="1" x14ac:dyDescent="0.3">
      <c r="A656" s="173" t="s">
        <v>155</v>
      </c>
      <c r="B656" s="176" t="s">
        <v>3119</v>
      </c>
      <c r="C656" s="31"/>
      <c r="D656" s="32" t="s">
        <v>106</v>
      </c>
      <c r="E656" s="33"/>
      <c r="F656" s="54" t="s">
        <v>13</v>
      </c>
      <c r="G656" s="34" t="str">
        <f>IF(ISNUMBER(F656),E656*F656,"")</f>
        <v/>
      </c>
      <c r="H656" s="35"/>
      <c r="I656" s="36"/>
      <c r="J656" s="37">
        <v>0</v>
      </c>
    </row>
    <row r="657" spans="1:10" hidden="1" x14ac:dyDescent="0.25">
      <c r="A657" s="174"/>
      <c r="B657" s="177"/>
      <c r="C657" s="39"/>
      <c r="D657" s="39"/>
      <c r="E657" s="40"/>
      <c r="F657" s="55" t="s">
        <v>13</v>
      </c>
      <c r="G657" s="38" t="str">
        <f>IF(ISNUMBER(F657),E657*F657,"")</f>
        <v/>
      </c>
      <c r="H657" s="42"/>
      <c r="I657" s="38"/>
      <c r="J657" s="37">
        <v>0</v>
      </c>
    </row>
    <row r="658" spans="1:10" hidden="1" x14ac:dyDescent="0.25">
      <c r="A658" s="174"/>
      <c r="B658" s="177"/>
      <c r="C658" s="43" t="s">
        <v>10830</v>
      </c>
      <c r="D658" s="43" t="s">
        <v>2800</v>
      </c>
      <c r="E658" s="44">
        <v>1.25</v>
      </c>
      <c r="F658" s="38">
        <v>30.912999999999997</v>
      </c>
      <c r="G658" s="41">
        <f>IF(ISNUMBER(F658),E658*F658,"")</f>
        <v>38.641249999999999</v>
      </c>
      <c r="H658" s="46">
        <f>SUM(G658:G658)</f>
        <v>38.641249999999999</v>
      </c>
      <c r="I658" s="47"/>
      <c r="J658" s="37">
        <v>0</v>
      </c>
    </row>
    <row r="659" spans="1:10" ht="15.75" hidden="1" thickBot="1" x14ac:dyDescent="0.3">
      <c r="A659" s="175"/>
      <c r="B659" s="178"/>
      <c r="C659" s="49"/>
      <c r="D659" s="49"/>
      <c r="E659" s="50"/>
      <c r="F659" s="51" t="s">
        <v>13</v>
      </c>
      <c r="G659" s="51" t="str">
        <f>IF(ISNUMBER(F659),E659*F659,"")</f>
        <v/>
      </c>
      <c r="H659" s="53"/>
      <c r="I659" s="38"/>
      <c r="J659" s="37">
        <v>0</v>
      </c>
    </row>
    <row r="660" spans="1:10" ht="15.75" hidden="1" thickBot="1" x14ac:dyDescent="0.3">
      <c r="A660" s="173" t="s">
        <v>156</v>
      </c>
      <c r="B660" s="176" t="s">
        <v>3120</v>
      </c>
      <c r="C660" s="31"/>
      <c r="D660" s="32" t="s">
        <v>18</v>
      </c>
      <c r="E660" s="33"/>
      <c r="F660" s="54" t="s">
        <v>13</v>
      </c>
      <c r="G660" s="34" t="str">
        <f>IF(ISNUMBER(F660),E660*F660,"")</f>
        <v/>
      </c>
      <c r="H660" s="35"/>
      <c r="I660" s="36"/>
      <c r="J660" s="37">
        <v>0</v>
      </c>
    </row>
    <row r="661" spans="1:10" hidden="1" x14ac:dyDescent="0.25">
      <c r="A661" s="174"/>
      <c r="B661" s="177"/>
      <c r="C661" s="39"/>
      <c r="D661" s="39"/>
      <c r="E661" s="40"/>
      <c r="F661" s="55" t="s">
        <v>13</v>
      </c>
      <c r="G661" s="38" t="str">
        <f>IF(ISNUMBER(F661),E661*F661,"")</f>
        <v/>
      </c>
      <c r="H661" s="42"/>
      <c r="I661" s="38"/>
      <c r="J661" s="37">
        <v>0</v>
      </c>
    </row>
    <row r="662" spans="1:10" hidden="1" x14ac:dyDescent="0.25">
      <c r="A662" s="174"/>
      <c r="B662" s="177"/>
      <c r="C662" s="43" t="s">
        <v>10830</v>
      </c>
      <c r="D662" s="43" t="s">
        <v>2800</v>
      </c>
      <c r="E662" s="44">
        <v>3.75</v>
      </c>
      <c r="F662" s="38">
        <v>30.912999999999997</v>
      </c>
      <c r="G662" s="41">
        <f>IF(ISNUMBER(F662),E662*F662,"")</f>
        <v>115.92374999999998</v>
      </c>
      <c r="H662" s="46">
        <f>SUM(G662:G662)</f>
        <v>115.92374999999998</v>
      </c>
      <c r="I662" s="47"/>
      <c r="J662" s="37">
        <v>0</v>
      </c>
    </row>
    <row r="663" spans="1:10" ht="15.75" hidden="1" thickBot="1" x14ac:dyDescent="0.3">
      <c r="A663" s="175"/>
      <c r="B663" s="178"/>
      <c r="C663" s="49"/>
      <c r="D663" s="49"/>
      <c r="E663" s="50"/>
      <c r="F663" s="51" t="s">
        <v>13</v>
      </c>
      <c r="G663" s="51" t="str">
        <f>IF(ISNUMBER(F663),E663*F663,"")</f>
        <v/>
      </c>
      <c r="H663" s="53"/>
      <c r="I663" s="38"/>
      <c r="J663" s="37">
        <v>0</v>
      </c>
    </row>
    <row r="664" spans="1:10" ht="15.75" hidden="1" thickBot="1" x14ac:dyDescent="0.3">
      <c r="A664" s="173" t="s">
        <v>157</v>
      </c>
      <c r="B664" s="176" t="s">
        <v>3121</v>
      </c>
      <c r="C664" s="56"/>
      <c r="D664" s="32" t="s">
        <v>18</v>
      </c>
      <c r="E664" s="33"/>
      <c r="F664" s="54" t="s">
        <v>13</v>
      </c>
      <c r="G664" s="34" t="str">
        <f>IF(ISNUMBER(F664),E664*F664,"")</f>
        <v/>
      </c>
      <c r="H664" s="35"/>
      <c r="I664" s="36"/>
      <c r="J664" s="37">
        <v>0</v>
      </c>
    </row>
    <row r="665" spans="1:10" hidden="1" x14ac:dyDescent="0.25">
      <c r="A665" s="174"/>
      <c r="B665" s="177"/>
      <c r="C665" s="39"/>
      <c r="D665" s="39"/>
      <c r="E665" s="40"/>
      <c r="F665" s="55" t="s">
        <v>13</v>
      </c>
      <c r="G665" s="38" t="str">
        <f>IF(ISNUMBER(F665),E665*F665,"")</f>
        <v/>
      </c>
      <c r="H665" s="42"/>
      <c r="I665" s="38"/>
      <c r="J665" s="37">
        <v>0</v>
      </c>
    </row>
    <row r="666" spans="1:10" hidden="1" x14ac:dyDescent="0.25">
      <c r="A666" s="174"/>
      <c r="B666" s="177"/>
      <c r="C666" s="43" t="s">
        <v>10830</v>
      </c>
      <c r="D666" s="43" t="s">
        <v>2800</v>
      </c>
      <c r="E666" s="44">
        <v>1</v>
      </c>
      <c r="F666" s="38">
        <v>30.912999999999997</v>
      </c>
      <c r="G666" s="41">
        <f>IF(ISNUMBER(F666),E666*F666,"")</f>
        <v>30.912999999999997</v>
      </c>
      <c r="H666" s="46">
        <f>SUM(G666:G666)</f>
        <v>30.912999999999997</v>
      </c>
      <c r="I666" s="47"/>
      <c r="J666" s="37">
        <v>0</v>
      </c>
    </row>
    <row r="667" spans="1:10" ht="15.75" hidden="1" thickBot="1" x14ac:dyDescent="0.3">
      <c r="A667" s="175"/>
      <c r="B667" s="178"/>
      <c r="C667" s="49"/>
      <c r="D667" s="49"/>
      <c r="E667" s="50"/>
      <c r="F667" s="51" t="s">
        <v>13</v>
      </c>
      <c r="G667" s="51" t="str">
        <f>IF(ISNUMBER(F667),E667*F667,"")</f>
        <v/>
      </c>
      <c r="H667" s="53"/>
      <c r="I667" s="38"/>
      <c r="J667" s="37">
        <v>0</v>
      </c>
    </row>
    <row r="668" spans="1:10" ht="15.75" hidden="1" thickBot="1" x14ac:dyDescent="0.3">
      <c r="A668" s="173" t="s">
        <v>158</v>
      </c>
      <c r="B668" s="176" t="s">
        <v>3122</v>
      </c>
      <c r="C668" s="31"/>
      <c r="D668" s="32" t="s">
        <v>68</v>
      </c>
      <c r="E668" s="33"/>
      <c r="F668" s="54" t="s">
        <v>13</v>
      </c>
      <c r="G668" s="34" t="str">
        <f>IF(ISNUMBER(F668),E668*F668,"")</f>
        <v/>
      </c>
      <c r="H668" s="35"/>
      <c r="I668" s="36"/>
      <c r="J668" s="37">
        <v>0</v>
      </c>
    </row>
    <row r="669" spans="1:10" hidden="1" x14ac:dyDescent="0.25">
      <c r="A669" s="174"/>
      <c r="B669" s="177"/>
      <c r="C669" s="39"/>
      <c r="D669" s="39"/>
      <c r="E669" s="40"/>
      <c r="F669" s="55" t="s">
        <v>13</v>
      </c>
      <c r="G669" s="38" t="str">
        <f>IF(ISNUMBER(F669),E669*F669,"")</f>
        <v/>
      </c>
      <c r="H669" s="42"/>
      <c r="I669" s="38"/>
      <c r="J669" s="37">
        <v>0</v>
      </c>
    </row>
    <row r="670" spans="1:10" ht="25.5" hidden="1" x14ac:dyDescent="0.25">
      <c r="A670" s="174"/>
      <c r="B670" s="177"/>
      <c r="C670" s="43" t="s">
        <v>159</v>
      </c>
      <c r="D670" s="43" t="s">
        <v>106</v>
      </c>
      <c r="E670" s="44">
        <f>ROUND(1.04/0.15,4)</f>
        <v>6.9333</v>
      </c>
      <c r="F670" s="41" t="s">
        <v>13</v>
      </c>
      <c r="G670" s="41" t="str">
        <f>IF(ISNUMBER(F670),E670*F670,"")</f>
        <v/>
      </c>
      <c r="H670" s="46">
        <f>SUM(G670:G674)</f>
        <v>98.234589449999987</v>
      </c>
      <c r="I670" s="47"/>
      <c r="J670" s="37">
        <v>0</v>
      </c>
    </row>
    <row r="671" spans="1:10" hidden="1" x14ac:dyDescent="0.25">
      <c r="A671" s="174"/>
      <c r="B671" s="177"/>
      <c r="C671" s="43" t="s">
        <v>10872</v>
      </c>
      <c r="D671" s="43" t="s">
        <v>1044</v>
      </c>
      <c r="E671" s="44">
        <f>ROUND(0.8614/0.15,4)</f>
        <v>5.7427000000000001</v>
      </c>
      <c r="F671" s="41">
        <v>1.7765</v>
      </c>
      <c r="G671" s="41">
        <f>IF(ISNUMBER(F671),E671*F671,"")</f>
        <v>10.20190655</v>
      </c>
      <c r="H671" s="42"/>
      <c r="I671" s="38"/>
      <c r="J671" s="37">
        <v>0</v>
      </c>
    </row>
    <row r="672" spans="1:10" hidden="1" x14ac:dyDescent="0.25">
      <c r="A672" s="174"/>
      <c r="B672" s="177"/>
      <c r="C672" s="43" t="s">
        <v>10830</v>
      </c>
      <c r="D672" s="43" t="s">
        <v>2800</v>
      </c>
      <c r="E672" s="44">
        <f>ROUND(0.299/0.15,4)</f>
        <v>1.9933000000000001</v>
      </c>
      <c r="F672" s="38">
        <v>30.912999999999997</v>
      </c>
      <c r="G672" s="41">
        <f>IF(ISNUMBER(F672),E672*F672,"")</f>
        <v>61.618882899999996</v>
      </c>
      <c r="H672" s="42"/>
      <c r="I672" s="38"/>
      <c r="J672" s="37">
        <v>0</v>
      </c>
    </row>
    <row r="673" spans="1:10" hidden="1" x14ac:dyDescent="0.25">
      <c r="A673" s="174"/>
      <c r="B673" s="177"/>
      <c r="C673" s="43" t="s">
        <v>10614</v>
      </c>
      <c r="D673" s="43" t="s">
        <v>2800</v>
      </c>
      <c r="E673" s="44">
        <f>0.15/0.15</f>
        <v>1</v>
      </c>
      <c r="F673" s="38">
        <v>23.693000000000001</v>
      </c>
      <c r="G673" s="41">
        <f>IF(ISNUMBER(F673),E673*F673,"")</f>
        <v>23.693000000000001</v>
      </c>
      <c r="H673" s="42"/>
      <c r="I673" s="38"/>
      <c r="J673" s="37">
        <v>0</v>
      </c>
    </row>
    <row r="674" spans="1:10" hidden="1" x14ac:dyDescent="0.25">
      <c r="A674" s="174"/>
      <c r="B674" s="177"/>
      <c r="C674" s="43" t="s">
        <v>10871</v>
      </c>
      <c r="D674" s="43" t="s">
        <v>1044</v>
      </c>
      <c r="E674" s="44">
        <f>0.12/0.15</f>
        <v>0.8</v>
      </c>
      <c r="F674" s="41">
        <v>3.4009999999999998</v>
      </c>
      <c r="G674" s="41">
        <f>IF(ISNUMBER(F674),E674*F674,"")</f>
        <v>2.7208000000000001</v>
      </c>
      <c r="H674" s="42"/>
      <c r="I674" s="38"/>
      <c r="J674" s="37">
        <v>0</v>
      </c>
    </row>
    <row r="675" spans="1:10" ht="15.75" hidden="1" thickBot="1" x14ac:dyDescent="0.3">
      <c r="A675" s="175"/>
      <c r="B675" s="178"/>
      <c r="C675" s="49"/>
      <c r="D675" s="49"/>
      <c r="E675" s="50"/>
      <c r="F675" s="52" t="s">
        <v>13</v>
      </c>
      <c r="G675" s="52" t="str">
        <f>IF(ISNUMBER(F675),E675*F675,"")</f>
        <v/>
      </c>
      <c r="H675" s="53"/>
      <c r="I675" s="38"/>
      <c r="J675" s="37">
        <v>0</v>
      </c>
    </row>
    <row r="676" spans="1:10" ht="15.75" hidden="1" thickBot="1" x14ac:dyDescent="0.3">
      <c r="A676" s="173" t="s">
        <v>160</v>
      </c>
      <c r="B676" s="176" t="s">
        <v>3123</v>
      </c>
      <c r="C676" s="31"/>
      <c r="D676" s="32" t="s">
        <v>68</v>
      </c>
      <c r="E676" s="33"/>
      <c r="F676" s="54" t="s">
        <v>13</v>
      </c>
      <c r="G676" s="34" t="str">
        <f>IF(ISNUMBER(F676),E676*F676,"")</f>
        <v/>
      </c>
      <c r="H676" s="35"/>
      <c r="I676" s="36"/>
      <c r="J676" s="37">
        <v>0</v>
      </c>
    </row>
    <row r="677" spans="1:10" hidden="1" x14ac:dyDescent="0.25">
      <c r="A677" s="174"/>
      <c r="B677" s="177"/>
      <c r="C677" s="39"/>
      <c r="D677" s="39"/>
      <c r="E677" s="40"/>
      <c r="F677" s="55" t="s">
        <v>13</v>
      </c>
      <c r="G677" s="38" t="str">
        <f>IF(ISNUMBER(F677),E677*F677,"")</f>
        <v/>
      </c>
      <c r="H677" s="42"/>
      <c r="I677" s="38"/>
      <c r="J677" s="37">
        <v>0</v>
      </c>
    </row>
    <row r="678" spans="1:10" hidden="1" x14ac:dyDescent="0.25">
      <c r="A678" s="174"/>
      <c r="B678" s="177"/>
      <c r="C678" s="43" t="s">
        <v>10875</v>
      </c>
      <c r="D678" s="43" t="s">
        <v>1044</v>
      </c>
      <c r="E678" s="44">
        <f>ROUND(0.5228/(1.5*0.6),4)</f>
        <v>0.58089999999999997</v>
      </c>
      <c r="F678" s="70">
        <v>27.777999999999999</v>
      </c>
      <c r="G678" s="70">
        <f>IF(ISNUMBER(F678),E678*F678,"")</f>
        <v>16.1362402</v>
      </c>
      <c r="H678" s="46">
        <f>SUM(G678:G684)</f>
        <v>145.54905729999999</v>
      </c>
      <c r="I678" s="47"/>
      <c r="J678" s="37">
        <v>0</v>
      </c>
    </row>
    <row r="679" spans="1:10" ht="38.25" hidden="1" x14ac:dyDescent="0.25">
      <c r="A679" s="174"/>
      <c r="B679" s="177"/>
      <c r="C679" s="43" t="s">
        <v>10876</v>
      </c>
      <c r="D679" s="43" t="s">
        <v>83</v>
      </c>
      <c r="E679" s="44">
        <f>ROUND(6/(1.5*0.6),4)</f>
        <v>6.6666999999999996</v>
      </c>
      <c r="F679" s="70">
        <v>1.159</v>
      </c>
      <c r="G679" s="70">
        <f>IF(ISNUMBER(F679),E679*F679,"")</f>
        <v>7.7267052999999999</v>
      </c>
      <c r="H679" s="71"/>
      <c r="I679" s="72"/>
      <c r="J679" s="37">
        <v>0</v>
      </c>
    </row>
    <row r="680" spans="1:10" ht="25.5" hidden="1" x14ac:dyDescent="0.25">
      <c r="A680" s="174"/>
      <c r="B680" s="177"/>
      <c r="C680" s="43" t="s">
        <v>161</v>
      </c>
      <c r="D680" s="43" t="s">
        <v>162</v>
      </c>
      <c r="E680" s="44">
        <f>ROUND(1.005/(1.5*0.6),4)</f>
        <v>1.1167</v>
      </c>
      <c r="F680" s="70" t="s">
        <v>13</v>
      </c>
      <c r="G680" s="70" t="str">
        <f>IF(ISNUMBER(F680),E680*F680,"")</f>
        <v/>
      </c>
      <c r="H680" s="71"/>
      <c r="I680" s="72"/>
      <c r="J680" s="37">
        <v>0</v>
      </c>
    </row>
    <row r="681" spans="1:10" hidden="1" x14ac:dyDescent="0.25">
      <c r="A681" s="174"/>
      <c r="B681" s="177"/>
      <c r="C681" s="43" t="s">
        <v>10877</v>
      </c>
      <c r="D681" s="43" t="s">
        <v>1044</v>
      </c>
      <c r="E681" s="44">
        <f>ROUND(0.0211/(1.5*0.6),4)</f>
        <v>2.3400000000000001E-2</v>
      </c>
      <c r="F681" s="70">
        <v>71.667999999999992</v>
      </c>
      <c r="G681" s="70">
        <f>IF(ISNUMBER(F681),E681*F681,"")</f>
        <v>1.6770311999999998</v>
      </c>
      <c r="H681" s="71"/>
      <c r="I681" s="72"/>
      <c r="J681" s="37">
        <v>0</v>
      </c>
    </row>
    <row r="682" spans="1:10" ht="25.5" hidden="1" x14ac:dyDescent="0.25">
      <c r="A682" s="174"/>
      <c r="B682" s="177"/>
      <c r="C682" s="43" t="s">
        <v>10878</v>
      </c>
      <c r="D682" s="43" t="s">
        <v>83</v>
      </c>
      <c r="E682" s="44">
        <f>ROUND(2/(1.5*0.6),4)</f>
        <v>2.2222</v>
      </c>
      <c r="F682" s="70">
        <v>19.256499999999999</v>
      </c>
      <c r="G682" s="70">
        <f>IF(ISNUMBER(F682),E682*F682,"")</f>
        <v>42.791794299999999</v>
      </c>
      <c r="H682" s="71"/>
      <c r="I682" s="72"/>
      <c r="J682" s="37">
        <v>0</v>
      </c>
    </row>
    <row r="683" spans="1:10" hidden="1" x14ac:dyDescent="0.25">
      <c r="A683" s="174"/>
      <c r="B683" s="177"/>
      <c r="C683" s="43" t="s">
        <v>10830</v>
      </c>
      <c r="D683" s="43" t="s">
        <v>2800</v>
      </c>
      <c r="E683" s="44">
        <f>ROUND(1.4944/(1.5*0.6),4)</f>
        <v>1.6604000000000001</v>
      </c>
      <c r="F683" s="70">
        <v>30.912999999999997</v>
      </c>
      <c r="G683" s="70">
        <f>IF(ISNUMBER(F683),E683*F683,"")</f>
        <v>51.327945199999995</v>
      </c>
      <c r="H683" s="71"/>
      <c r="I683" s="72"/>
      <c r="J683" s="37">
        <v>0</v>
      </c>
    </row>
    <row r="684" spans="1:10" hidden="1" x14ac:dyDescent="0.25">
      <c r="A684" s="174"/>
      <c r="B684" s="177"/>
      <c r="C684" s="43" t="s">
        <v>10614</v>
      </c>
      <c r="D684" s="43" t="s">
        <v>2800</v>
      </c>
      <c r="E684" s="44">
        <f>ROUND(0.9834/(1.5*0.6),4)</f>
        <v>1.0927</v>
      </c>
      <c r="F684" s="70">
        <v>23.693000000000001</v>
      </c>
      <c r="G684" s="70">
        <f>IF(ISNUMBER(F684),E684*F684,"")</f>
        <v>25.889341100000003</v>
      </c>
      <c r="H684" s="71"/>
      <c r="I684" s="72"/>
      <c r="J684" s="37">
        <v>0</v>
      </c>
    </row>
    <row r="685" spans="1:10" ht="15.75" hidden="1" thickBot="1" x14ac:dyDescent="0.3">
      <c r="A685" s="175"/>
      <c r="B685" s="178"/>
      <c r="C685" s="49"/>
      <c r="D685" s="49"/>
      <c r="E685" s="50"/>
      <c r="F685" s="51" t="s">
        <v>13</v>
      </c>
      <c r="G685" s="52" t="str">
        <f>IF(ISNUMBER(F685),E685*F685,"")</f>
        <v/>
      </c>
      <c r="H685" s="53"/>
      <c r="I685" s="38"/>
      <c r="J685" s="37">
        <v>0</v>
      </c>
    </row>
    <row r="686" spans="1:10" ht="15.75" hidden="1" thickBot="1" x14ac:dyDescent="0.3">
      <c r="A686" s="173" t="s">
        <v>163</v>
      </c>
      <c r="B686" s="176" t="s">
        <v>3124</v>
      </c>
      <c r="C686" s="31"/>
      <c r="D686" s="32" t="s">
        <v>68</v>
      </c>
      <c r="E686" s="33"/>
      <c r="F686" s="54" t="s">
        <v>13</v>
      </c>
      <c r="G686" s="34" t="str">
        <f>IF(ISNUMBER(F686),E686*F686,"")</f>
        <v/>
      </c>
      <c r="H686" s="35"/>
      <c r="I686" s="36"/>
      <c r="J686" s="37">
        <v>0</v>
      </c>
    </row>
    <row r="687" spans="1:10" hidden="1" x14ac:dyDescent="0.25">
      <c r="A687" s="174"/>
      <c r="B687" s="177"/>
      <c r="C687" s="39"/>
      <c r="D687" s="39"/>
      <c r="E687" s="40"/>
      <c r="F687" s="55" t="s">
        <v>13</v>
      </c>
      <c r="G687" s="38" t="str">
        <f>IF(ISNUMBER(F687),E687*F687,"")</f>
        <v/>
      </c>
      <c r="H687" s="42"/>
      <c r="I687" s="38"/>
      <c r="J687" s="37">
        <v>0</v>
      </c>
    </row>
    <row r="688" spans="1:10" ht="25.5" hidden="1" x14ac:dyDescent="0.25">
      <c r="A688" s="174"/>
      <c r="B688" s="177"/>
      <c r="C688" s="43" t="s">
        <v>10879</v>
      </c>
      <c r="D688" s="43" t="s">
        <v>1044</v>
      </c>
      <c r="E688" s="44">
        <v>0.53</v>
      </c>
      <c r="F688" s="41">
        <v>56.296999999999997</v>
      </c>
      <c r="G688" s="41">
        <f>IF(ISNUMBER(F688),E688*F688,"")</f>
        <v>29.837409999999998</v>
      </c>
      <c r="H688" s="46">
        <f>SUM(G688:G694)</f>
        <v>128.36960499999998</v>
      </c>
      <c r="I688" s="47"/>
      <c r="J688" s="37">
        <v>0</v>
      </c>
    </row>
    <row r="689" spans="1:10" ht="25.5" hidden="1" x14ac:dyDescent="0.25">
      <c r="A689" s="174"/>
      <c r="B689" s="177"/>
      <c r="C689" s="43" t="s">
        <v>164</v>
      </c>
      <c r="D689" s="43" t="s">
        <v>162</v>
      </c>
      <c r="E689" s="44">
        <v>1.05</v>
      </c>
      <c r="F689" s="41" t="s">
        <v>13</v>
      </c>
      <c r="G689" s="41" t="str">
        <f>IF(ISNUMBER(F689),E689*F689,"")</f>
        <v/>
      </c>
      <c r="H689" s="42"/>
      <c r="I689" s="38"/>
      <c r="J689" s="37">
        <v>0</v>
      </c>
    </row>
    <row r="690" spans="1:10" hidden="1" x14ac:dyDescent="0.25">
      <c r="A690" s="174"/>
      <c r="B690" s="177"/>
      <c r="C690" s="43" t="s">
        <v>10880</v>
      </c>
      <c r="D690" s="43" t="s">
        <v>1044</v>
      </c>
      <c r="E690" s="44">
        <v>0.97</v>
      </c>
      <c r="F690" s="38">
        <v>2.0425</v>
      </c>
      <c r="G690" s="41">
        <f>IF(ISNUMBER(F690),E690*F690,"")</f>
        <v>1.981225</v>
      </c>
      <c r="H690" s="42"/>
      <c r="I690" s="38"/>
      <c r="J690" s="37">
        <v>0</v>
      </c>
    </row>
    <row r="691" spans="1:10" hidden="1" x14ac:dyDescent="0.25">
      <c r="A691" s="174"/>
      <c r="B691" s="177"/>
      <c r="C691" s="43" t="s">
        <v>10830</v>
      </c>
      <c r="D691" s="43" t="s">
        <v>2800</v>
      </c>
      <c r="E691" s="44">
        <v>1.405</v>
      </c>
      <c r="F691" s="38">
        <v>30.912999999999997</v>
      </c>
      <c r="G691" s="41">
        <f>IF(ISNUMBER(F691),E691*F691,"")</f>
        <v>43.432764999999996</v>
      </c>
      <c r="H691" s="42"/>
      <c r="I691" s="38"/>
      <c r="J691" s="37">
        <v>0</v>
      </c>
    </row>
    <row r="692" spans="1:10" hidden="1" x14ac:dyDescent="0.25">
      <c r="A692" s="174"/>
      <c r="B692" s="177"/>
      <c r="C692" s="43" t="s">
        <v>10614</v>
      </c>
      <c r="D692" s="43" t="s">
        <v>2800</v>
      </c>
      <c r="E692" s="44">
        <v>0.70199999999999996</v>
      </c>
      <c r="F692" s="38">
        <v>23.693000000000001</v>
      </c>
      <c r="G692" s="41">
        <f>IF(ISNUMBER(F692),E692*F692,"")</f>
        <v>16.632486</v>
      </c>
      <c r="H692" s="42"/>
      <c r="I692" s="38"/>
      <c r="J692" s="37">
        <v>0</v>
      </c>
    </row>
    <row r="693" spans="1:10" ht="25.5" hidden="1" x14ac:dyDescent="0.25">
      <c r="A693" s="174"/>
      <c r="B693" s="177"/>
      <c r="C693" s="43" t="s">
        <v>10656</v>
      </c>
      <c r="D693" s="43" t="s">
        <v>1050</v>
      </c>
      <c r="E693" s="44">
        <v>8.8999999999999996E-2</v>
      </c>
      <c r="F693" s="38">
        <v>26.884999999999998</v>
      </c>
      <c r="G693" s="41">
        <f>IF(ISNUMBER(F693),E693*F693,"")</f>
        <v>2.3927649999999998</v>
      </c>
      <c r="H693" s="42"/>
      <c r="I693" s="38"/>
      <c r="J693" s="37">
        <v>0</v>
      </c>
    </row>
    <row r="694" spans="1:10" ht="25.5" hidden="1" x14ac:dyDescent="0.25">
      <c r="A694" s="174"/>
      <c r="B694" s="177"/>
      <c r="C694" s="43" t="s">
        <v>10657</v>
      </c>
      <c r="D694" s="43" t="s">
        <v>10677</v>
      </c>
      <c r="E694" s="44">
        <v>1.3160000000000001</v>
      </c>
      <c r="F694" s="41">
        <v>25.906499999999998</v>
      </c>
      <c r="G694" s="41">
        <f>IF(ISNUMBER(F694),E694*F694,"")</f>
        <v>34.092953999999999</v>
      </c>
      <c r="H694" s="42"/>
      <c r="I694" s="38"/>
      <c r="J694" s="37">
        <v>0</v>
      </c>
    </row>
    <row r="695" spans="1:10" ht="15.75" hidden="1" thickBot="1" x14ac:dyDescent="0.3">
      <c r="A695" s="175"/>
      <c r="B695" s="178"/>
      <c r="C695" s="49"/>
      <c r="D695" s="49"/>
      <c r="E695" s="50"/>
      <c r="F695" s="52" t="s">
        <v>13</v>
      </c>
      <c r="G695" s="52" t="str">
        <f>IF(ISNUMBER(F695),E695*F695,"")</f>
        <v/>
      </c>
      <c r="H695" s="53"/>
      <c r="I695" s="38"/>
      <c r="J695" s="37">
        <v>0</v>
      </c>
    </row>
    <row r="696" spans="1:10" ht="15.75" hidden="1" thickBot="1" x14ac:dyDescent="0.3">
      <c r="A696" s="173" t="s">
        <v>165</v>
      </c>
      <c r="B696" s="176" t="s">
        <v>3125</v>
      </c>
      <c r="C696" s="31"/>
      <c r="D696" s="32" t="s">
        <v>68</v>
      </c>
      <c r="E696" s="33"/>
      <c r="F696" s="54" t="s">
        <v>13</v>
      </c>
      <c r="G696" s="34" t="str">
        <f>IF(ISNUMBER(F696),E696*F696,"")</f>
        <v/>
      </c>
      <c r="H696" s="35"/>
      <c r="I696" s="36"/>
      <c r="J696" s="37">
        <v>0</v>
      </c>
    </row>
    <row r="697" spans="1:10" hidden="1" x14ac:dyDescent="0.25">
      <c r="A697" s="174"/>
      <c r="B697" s="177"/>
      <c r="C697" s="39"/>
      <c r="D697" s="39"/>
      <c r="E697" s="40"/>
      <c r="F697" s="55" t="s">
        <v>13</v>
      </c>
      <c r="G697" s="38" t="str">
        <f>IF(ISNUMBER(F697),E697*F697,"")</f>
        <v/>
      </c>
      <c r="H697" s="42"/>
      <c r="I697" s="38"/>
      <c r="J697" s="37">
        <v>0</v>
      </c>
    </row>
    <row r="698" spans="1:10" ht="25.5" hidden="1" x14ac:dyDescent="0.25">
      <c r="A698" s="174"/>
      <c r="B698" s="177"/>
      <c r="C698" s="43" t="s">
        <v>166</v>
      </c>
      <c r="D698" s="43" t="s">
        <v>106</v>
      </c>
      <c r="E698" s="44">
        <f>ROUND(1.04/0.15,4)</f>
        <v>6.9333</v>
      </c>
      <c r="F698" s="41" t="s">
        <v>13</v>
      </c>
      <c r="G698" s="38" t="str">
        <f>IF(ISNUMBER(F698),E698*F698,"")</f>
        <v/>
      </c>
      <c r="H698" s="46">
        <f>SUM(G698:G702)</f>
        <v>98.234589449999987</v>
      </c>
      <c r="I698" s="47"/>
      <c r="J698" s="37">
        <v>0</v>
      </c>
    </row>
    <row r="699" spans="1:10" hidden="1" x14ac:dyDescent="0.25">
      <c r="A699" s="174"/>
      <c r="B699" s="177"/>
      <c r="C699" s="43" t="s">
        <v>10872</v>
      </c>
      <c r="D699" s="43" t="s">
        <v>1044</v>
      </c>
      <c r="E699" s="44">
        <f>ROUND(0.8614/0.15,4)</f>
        <v>5.7427000000000001</v>
      </c>
      <c r="F699" s="41">
        <v>1.7765</v>
      </c>
      <c r="G699" s="41">
        <f>IF(ISNUMBER(F699),E699*F699,"")</f>
        <v>10.20190655</v>
      </c>
      <c r="H699" s="42"/>
      <c r="I699" s="38"/>
      <c r="J699" s="37">
        <v>0</v>
      </c>
    </row>
    <row r="700" spans="1:10" hidden="1" x14ac:dyDescent="0.25">
      <c r="A700" s="174"/>
      <c r="B700" s="177"/>
      <c r="C700" s="43" t="s">
        <v>10830</v>
      </c>
      <c r="D700" s="43" t="s">
        <v>2800</v>
      </c>
      <c r="E700" s="44">
        <f>ROUND(0.299/0.15,4)</f>
        <v>1.9933000000000001</v>
      </c>
      <c r="F700" s="41">
        <v>30.912999999999997</v>
      </c>
      <c r="G700" s="41">
        <f>IF(ISNUMBER(F700),E700*F700,"")</f>
        <v>61.618882899999996</v>
      </c>
      <c r="H700" s="42"/>
      <c r="I700" s="38"/>
      <c r="J700" s="37">
        <v>0</v>
      </c>
    </row>
    <row r="701" spans="1:10" hidden="1" x14ac:dyDescent="0.25">
      <c r="A701" s="174"/>
      <c r="B701" s="177"/>
      <c r="C701" s="43" t="s">
        <v>10614</v>
      </c>
      <c r="D701" s="43" t="s">
        <v>2800</v>
      </c>
      <c r="E701" s="44">
        <f>0.15/0.15</f>
        <v>1</v>
      </c>
      <c r="F701" s="41">
        <v>23.693000000000001</v>
      </c>
      <c r="G701" s="41">
        <f>IF(ISNUMBER(F701),E701*F701,"")</f>
        <v>23.693000000000001</v>
      </c>
      <c r="H701" s="42"/>
      <c r="I701" s="38"/>
      <c r="J701" s="37">
        <v>0</v>
      </c>
    </row>
    <row r="702" spans="1:10" hidden="1" x14ac:dyDescent="0.25">
      <c r="A702" s="174"/>
      <c r="B702" s="177"/>
      <c r="C702" s="43" t="s">
        <v>10871</v>
      </c>
      <c r="D702" s="43" t="s">
        <v>1044</v>
      </c>
      <c r="E702" s="44">
        <f>0.12/0.15</f>
        <v>0.8</v>
      </c>
      <c r="F702" s="41">
        <v>3.4009999999999998</v>
      </c>
      <c r="G702" s="41">
        <f>IF(ISNUMBER(F702),E702*F702,"")</f>
        <v>2.7208000000000001</v>
      </c>
      <c r="H702" s="42"/>
      <c r="I702" s="38"/>
      <c r="J702" s="37">
        <v>0</v>
      </c>
    </row>
    <row r="703" spans="1:10" ht="15.75" hidden="1" thickBot="1" x14ac:dyDescent="0.3">
      <c r="A703" s="175"/>
      <c r="B703" s="178"/>
      <c r="C703" s="49"/>
      <c r="D703" s="49"/>
      <c r="E703" s="50"/>
      <c r="F703" s="52" t="s">
        <v>13</v>
      </c>
      <c r="G703" s="52" t="str">
        <f>IF(ISNUMBER(F703),E703*F703,"")</f>
        <v/>
      </c>
      <c r="H703" s="53"/>
      <c r="I703" s="38"/>
      <c r="J703" s="37">
        <v>0</v>
      </c>
    </row>
    <row r="704" spans="1:10" ht="15.75" hidden="1" thickBot="1" x14ac:dyDescent="0.3">
      <c r="A704" s="173" t="s">
        <v>167</v>
      </c>
      <c r="B704" s="176" t="s">
        <v>3126</v>
      </c>
      <c r="C704" s="31"/>
      <c r="D704" s="32" t="s">
        <v>68</v>
      </c>
      <c r="E704" s="33"/>
      <c r="F704" s="54" t="s">
        <v>13</v>
      </c>
      <c r="G704" s="34" t="str">
        <f>IF(ISNUMBER(F704),E704*F704,"")</f>
        <v/>
      </c>
      <c r="H704" s="35"/>
      <c r="I704" s="36"/>
      <c r="J704" s="37">
        <v>0</v>
      </c>
    </row>
    <row r="705" spans="1:10" hidden="1" x14ac:dyDescent="0.25">
      <c r="A705" s="174"/>
      <c r="B705" s="177"/>
      <c r="C705" s="39"/>
      <c r="D705" s="39"/>
      <c r="E705" s="40"/>
      <c r="F705" s="55" t="s">
        <v>13</v>
      </c>
      <c r="G705" s="38" t="str">
        <f>IF(ISNUMBER(F705),E705*F705,"")</f>
        <v/>
      </c>
      <c r="H705" s="42"/>
      <c r="I705" s="38"/>
      <c r="J705" s="37">
        <v>0</v>
      </c>
    </row>
    <row r="706" spans="1:10" hidden="1" x14ac:dyDescent="0.25">
      <c r="A706" s="174"/>
      <c r="B706" s="177"/>
      <c r="C706" s="43" t="s">
        <v>10875</v>
      </c>
      <c r="D706" s="43" t="s">
        <v>1044</v>
      </c>
      <c r="E706" s="44">
        <f>ROUND(0.5228/(1.5*0.6),4)</f>
        <v>0.58089999999999997</v>
      </c>
      <c r="F706" s="70">
        <v>27.777999999999999</v>
      </c>
      <c r="G706" s="70">
        <f>IF(ISNUMBER(F706),E706*F706,"")</f>
        <v>16.1362402</v>
      </c>
      <c r="H706" s="46">
        <f>SUM(G706:G712)</f>
        <v>145.54905729999999</v>
      </c>
      <c r="I706" s="47"/>
      <c r="J706" s="37">
        <v>0</v>
      </c>
    </row>
    <row r="707" spans="1:10" ht="38.25" hidden="1" x14ac:dyDescent="0.25">
      <c r="A707" s="174"/>
      <c r="B707" s="177"/>
      <c r="C707" s="43" t="s">
        <v>10876</v>
      </c>
      <c r="D707" s="43" t="s">
        <v>83</v>
      </c>
      <c r="E707" s="44">
        <f>ROUND(6/(1.5*0.6),4)</f>
        <v>6.6666999999999996</v>
      </c>
      <c r="F707" s="70">
        <v>1.159</v>
      </c>
      <c r="G707" s="70">
        <f>IF(ISNUMBER(F707),E707*F707,"")</f>
        <v>7.7267052999999999</v>
      </c>
      <c r="H707" s="71"/>
      <c r="I707" s="72"/>
      <c r="J707" s="37">
        <v>0</v>
      </c>
    </row>
    <row r="708" spans="1:10" ht="25.5" hidden="1" x14ac:dyDescent="0.25">
      <c r="A708" s="174"/>
      <c r="B708" s="177"/>
      <c r="C708" s="43" t="s">
        <v>168</v>
      </c>
      <c r="D708" s="43" t="s">
        <v>162</v>
      </c>
      <c r="E708" s="44">
        <f>ROUND(1.005/(1.5*0.6),4)</f>
        <v>1.1167</v>
      </c>
      <c r="F708" s="70" t="s">
        <v>13</v>
      </c>
      <c r="G708" s="70" t="str">
        <f>IF(ISNUMBER(F708),E708*F708,"")</f>
        <v/>
      </c>
      <c r="H708" s="71"/>
      <c r="I708" s="72"/>
      <c r="J708" s="37">
        <v>0</v>
      </c>
    </row>
    <row r="709" spans="1:10" hidden="1" x14ac:dyDescent="0.25">
      <c r="A709" s="174"/>
      <c r="B709" s="177"/>
      <c r="C709" s="43" t="s">
        <v>10877</v>
      </c>
      <c r="D709" s="43" t="s">
        <v>1044</v>
      </c>
      <c r="E709" s="44">
        <f>ROUND(0.0211/(1.5*0.6),4)</f>
        <v>2.3400000000000001E-2</v>
      </c>
      <c r="F709" s="70">
        <v>71.667999999999992</v>
      </c>
      <c r="G709" s="70">
        <f>IF(ISNUMBER(F709),E709*F709,"")</f>
        <v>1.6770311999999998</v>
      </c>
      <c r="H709" s="71"/>
      <c r="I709" s="72"/>
      <c r="J709" s="37">
        <v>0</v>
      </c>
    </row>
    <row r="710" spans="1:10" ht="25.5" hidden="1" x14ac:dyDescent="0.25">
      <c r="A710" s="174"/>
      <c r="B710" s="177"/>
      <c r="C710" s="43" t="s">
        <v>10878</v>
      </c>
      <c r="D710" s="43" t="s">
        <v>83</v>
      </c>
      <c r="E710" s="44">
        <f>ROUND(2/(1.5*0.6),4)</f>
        <v>2.2222</v>
      </c>
      <c r="F710" s="70">
        <v>19.256499999999999</v>
      </c>
      <c r="G710" s="70">
        <f>IF(ISNUMBER(F710),E710*F710,"")</f>
        <v>42.791794299999999</v>
      </c>
      <c r="H710" s="71"/>
      <c r="I710" s="72"/>
      <c r="J710" s="37">
        <v>0</v>
      </c>
    </row>
    <row r="711" spans="1:10" hidden="1" x14ac:dyDescent="0.25">
      <c r="A711" s="174"/>
      <c r="B711" s="177"/>
      <c r="C711" s="43" t="s">
        <v>10830</v>
      </c>
      <c r="D711" s="43" t="s">
        <v>2800</v>
      </c>
      <c r="E711" s="44">
        <f>ROUND(1.4944/(1.5*0.6),4)</f>
        <v>1.6604000000000001</v>
      </c>
      <c r="F711" s="70">
        <v>30.912999999999997</v>
      </c>
      <c r="G711" s="70">
        <f>IF(ISNUMBER(F711),E711*F711,"")</f>
        <v>51.327945199999995</v>
      </c>
      <c r="H711" s="71"/>
      <c r="I711" s="72"/>
      <c r="J711" s="37">
        <v>0</v>
      </c>
    </row>
    <row r="712" spans="1:10" hidden="1" x14ac:dyDescent="0.25">
      <c r="A712" s="174"/>
      <c r="B712" s="177"/>
      <c r="C712" s="43" t="s">
        <v>10614</v>
      </c>
      <c r="D712" s="43" t="s">
        <v>2800</v>
      </c>
      <c r="E712" s="44">
        <f>ROUND(0.9834/(1.5*0.6),4)</f>
        <v>1.0927</v>
      </c>
      <c r="F712" s="70">
        <v>23.693000000000001</v>
      </c>
      <c r="G712" s="70">
        <f>IF(ISNUMBER(F712),E712*F712,"")</f>
        <v>25.889341100000003</v>
      </c>
      <c r="H712" s="71"/>
      <c r="I712" s="72"/>
      <c r="J712" s="37">
        <v>0</v>
      </c>
    </row>
    <row r="713" spans="1:10" ht="15.75" hidden="1" thickBot="1" x14ac:dyDescent="0.3">
      <c r="A713" s="175"/>
      <c r="B713" s="178"/>
      <c r="C713" s="49"/>
      <c r="D713" s="49"/>
      <c r="E713" s="50"/>
      <c r="F713" s="51" t="s">
        <v>13</v>
      </c>
      <c r="G713" s="52" t="str">
        <f>IF(ISNUMBER(F713),E713*F713,"")</f>
        <v/>
      </c>
      <c r="H713" s="53"/>
      <c r="I713" s="38"/>
      <c r="J713" s="37">
        <v>0</v>
      </c>
    </row>
    <row r="714" spans="1:10" ht="15.75" hidden="1" thickBot="1" x14ac:dyDescent="0.3">
      <c r="A714" s="173" t="s">
        <v>169</v>
      </c>
      <c r="B714" s="176" t="s">
        <v>3127</v>
      </c>
      <c r="C714" s="31"/>
      <c r="D714" s="32" t="s">
        <v>68</v>
      </c>
      <c r="E714" s="33"/>
      <c r="F714" s="54" t="s">
        <v>13</v>
      </c>
      <c r="G714" s="34" t="str">
        <f>IF(ISNUMBER(F714),E714*F714,"")</f>
        <v/>
      </c>
      <c r="H714" s="35"/>
      <c r="I714" s="36"/>
      <c r="J714" s="37">
        <v>0</v>
      </c>
    </row>
    <row r="715" spans="1:10" hidden="1" x14ac:dyDescent="0.25">
      <c r="A715" s="174"/>
      <c r="B715" s="177"/>
      <c r="C715" s="39"/>
      <c r="D715" s="39"/>
      <c r="E715" s="40"/>
      <c r="F715" s="55" t="s">
        <v>13</v>
      </c>
      <c r="G715" s="38" t="str">
        <f>IF(ISNUMBER(F715),E715*F715,"")</f>
        <v/>
      </c>
      <c r="H715" s="42"/>
      <c r="I715" s="38"/>
      <c r="J715" s="37">
        <v>0</v>
      </c>
    </row>
    <row r="716" spans="1:10" hidden="1" x14ac:dyDescent="0.25">
      <c r="A716" s="174"/>
      <c r="B716" s="177"/>
      <c r="C716" s="43" t="s">
        <v>10875</v>
      </c>
      <c r="D716" s="43" t="s">
        <v>1044</v>
      </c>
      <c r="E716" s="44">
        <f>ROUND(0.5228/(1.5*0.6),4)</f>
        <v>0.58089999999999997</v>
      </c>
      <c r="F716" s="70">
        <v>27.777999999999999</v>
      </c>
      <c r="G716" s="70">
        <f>IF(ISNUMBER(F716),E716*F716,"")</f>
        <v>16.1362402</v>
      </c>
      <c r="H716" s="46">
        <f>SUM(G716:G721)</f>
        <v>145.54905729999999</v>
      </c>
      <c r="I716" s="47"/>
      <c r="J716" s="37">
        <v>0</v>
      </c>
    </row>
    <row r="717" spans="1:10" ht="38.25" hidden="1" x14ac:dyDescent="0.25">
      <c r="A717" s="174"/>
      <c r="B717" s="177"/>
      <c r="C717" s="43" t="s">
        <v>10876</v>
      </c>
      <c r="D717" s="43" t="s">
        <v>83</v>
      </c>
      <c r="E717" s="44">
        <f>ROUND(6/(1.5*0.6),4)</f>
        <v>6.6666999999999996</v>
      </c>
      <c r="F717" s="70">
        <v>1.159</v>
      </c>
      <c r="G717" s="70">
        <f>IF(ISNUMBER(F717),E717*F717,"")</f>
        <v>7.7267052999999999</v>
      </c>
      <c r="H717" s="71"/>
      <c r="I717" s="72"/>
      <c r="J717" s="37">
        <v>0</v>
      </c>
    </row>
    <row r="718" spans="1:10" hidden="1" x14ac:dyDescent="0.25">
      <c r="A718" s="174"/>
      <c r="B718" s="177"/>
      <c r="C718" s="43" t="s">
        <v>10877</v>
      </c>
      <c r="D718" s="43" t="s">
        <v>1044</v>
      </c>
      <c r="E718" s="44">
        <f>ROUND(0.0211/(1.5*0.6),4)</f>
        <v>2.3400000000000001E-2</v>
      </c>
      <c r="F718" s="70">
        <v>71.667999999999992</v>
      </c>
      <c r="G718" s="70">
        <f>IF(ISNUMBER(F718),E718*F718,"")</f>
        <v>1.6770311999999998</v>
      </c>
      <c r="H718" s="71"/>
      <c r="I718" s="72"/>
      <c r="J718" s="37">
        <v>0</v>
      </c>
    </row>
    <row r="719" spans="1:10" ht="25.5" hidden="1" x14ac:dyDescent="0.25">
      <c r="A719" s="174"/>
      <c r="B719" s="177"/>
      <c r="C719" s="43" t="s">
        <v>10878</v>
      </c>
      <c r="D719" s="43" t="s">
        <v>83</v>
      </c>
      <c r="E719" s="44">
        <f>ROUND(2/(1.5*0.6),4)</f>
        <v>2.2222</v>
      </c>
      <c r="F719" s="70">
        <v>19.256499999999999</v>
      </c>
      <c r="G719" s="70">
        <f>IF(ISNUMBER(F719),E719*F719,"")</f>
        <v>42.791794299999999</v>
      </c>
      <c r="H719" s="71"/>
      <c r="I719" s="72"/>
      <c r="J719" s="37">
        <v>0</v>
      </c>
    </row>
    <row r="720" spans="1:10" hidden="1" x14ac:dyDescent="0.25">
      <c r="A720" s="174"/>
      <c r="B720" s="177"/>
      <c r="C720" s="43" t="s">
        <v>10830</v>
      </c>
      <c r="D720" s="43" t="s">
        <v>2800</v>
      </c>
      <c r="E720" s="44">
        <f>ROUND(1.4944/(1.5*0.6),4)</f>
        <v>1.6604000000000001</v>
      </c>
      <c r="F720" s="70">
        <v>30.912999999999997</v>
      </c>
      <c r="G720" s="70">
        <f>IF(ISNUMBER(F720),E720*F720,"")</f>
        <v>51.327945199999995</v>
      </c>
      <c r="H720" s="71"/>
      <c r="I720" s="72"/>
      <c r="J720" s="37">
        <v>0</v>
      </c>
    </row>
    <row r="721" spans="1:10" hidden="1" x14ac:dyDescent="0.25">
      <c r="A721" s="174"/>
      <c r="B721" s="177"/>
      <c r="C721" s="43" t="s">
        <v>10614</v>
      </c>
      <c r="D721" s="43" t="s">
        <v>2800</v>
      </c>
      <c r="E721" s="44">
        <f>ROUND(0.9834/(1.5*0.6),4)</f>
        <v>1.0927</v>
      </c>
      <c r="F721" s="70">
        <v>23.693000000000001</v>
      </c>
      <c r="G721" s="70">
        <f>IF(ISNUMBER(F721),E721*F721,"")</f>
        <v>25.889341100000003</v>
      </c>
      <c r="H721" s="71"/>
      <c r="I721" s="72"/>
      <c r="J721" s="37">
        <v>0</v>
      </c>
    </row>
    <row r="722" spans="1:10" ht="15.75" hidden="1" thickBot="1" x14ac:dyDescent="0.3">
      <c r="A722" s="175"/>
      <c r="B722" s="178"/>
      <c r="C722" s="49"/>
      <c r="D722" s="49"/>
      <c r="E722" s="50"/>
      <c r="F722" s="51" t="s">
        <v>13</v>
      </c>
      <c r="G722" s="51" t="str">
        <f>IF(ISNUMBER(F722),E722*F722,"")</f>
        <v/>
      </c>
      <c r="H722" s="53"/>
      <c r="I722" s="38"/>
      <c r="J722" s="37">
        <v>0</v>
      </c>
    </row>
    <row r="723" spans="1:10" ht="15.75" hidden="1" thickBot="1" x14ac:dyDescent="0.3">
      <c r="A723" s="173" t="s">
        <v>170</v>
      </c>
      <c r="B723" s="176" t="s">
        <v>3128</v>
      </c>
      <c r="C723" s="31"/>
      <c r="D723" s="32" t="s">
        <v>68</v>
      </c>
      <c r="E723" s="33"/>
      <c r="F723" s="54" t="s">
        <v>13</v>
      </c>
      <c r="G723" s="34" t="str">
        <f>IF(ISNUMBER(F723),E723*F723,"")</f>
        <v/>
      </c>
      <c r="H723" s="35"/>
      <c r="I723" s="36"/>
      <c r="J723" s="37">
        <v>0</v>
      </c>
    </row>
    <row r="724" spans="1:10" hidden="1" x14ac:dyDescent="0.25">
      <c r="A724" s="174"/>
      <c r="B724" s="177"/>
      <c r="C724" s="39"/>
      <c r="D724" s="39"/>
      <c r="E724" s="40"/>
      <c r="F724" s="55" t="s">
        <v>13</v>
      </c>
      <c r="G724" s="38" t="str">
        <f>IF(ISNUMBER(F724),E724*F724,"")</f>
        <v/>
      </c>
      <c r="H724" s="42"/>
      <c r="I724" s="38"/>
      <c r="J724" s="37">
        <v>0</v>
      </c>
    </row>
    <row r="725" spans="1:10" hidden="1" x14ac:dyDescent="0.25">
      <c r="A725" s="174"/>
      <c r="B725" s="177"/>
      <c r="C725" s="43" t="s">
        <v>10872</v>
      </c>
      <c r="D725" s="43" t="s">
        <v>1044</v>
      </c>
      <c r="E725" s="44">
        <f>0.8614</f>
        <v>0.86140000000000005</v>
      </c>
      <c r="F725" s="41">
        <v>1.7765</v>
      </c>
      <c r="G725" s="41">
        <f>IF(ISNUMBER(F725),E725*F725,"")</f>
        <v>1.5302771000000002</v>
      </c>
      <c r="H725" s="46">
        <f>SUM(G725:G728)</f>
        <v>14.735334099999999</v>
      </c>
      <c r="I725" s="47"/>
      <c r="J725" s="37">
        <v>0</v>
      </c>
    </row>
    <row r="726" spans="1:10" hidden="1" x14ac:dyDescent="0.25">
      <c r="A726" s="174"/>
      <c r="B726" s="177"/>
      <c r="C726" s="43" t="s">
        <v>10830</v>
      </c>
      <c r="D726" s="43" t="s">
        <v>2800</v>
      </c>
      <c r="E726" s="44">
        <f>0.299</f>
        <v>0.29899999999999999</v>
      </c>
      <c r="F726" s="38">
        <v>30.912999999999997</v>
      </c>
      <c r="G726" s="41">
        <f>IF(ISNUMBER(F726),E726*F726,"")</f>
        <v>9.2429869999999994</v>
      </c>
      <c r="H726" s="42"/>
      <c r="I726" s="38"/>
      <c r="J726" s="37">
        <v>0</v>
      </c>
    </row>
    <row r="727" spans="1:10" hidden="1" x14ac:dyDescent="0.25">
      <c r="A727" s="174"/>
      <c r="B727" s="177"/>
      <c r="C727" s="43" t="s">
        <v>10614</v>
      </c>
      <c r="D727" s="43" t="s">
        <v>2800</v>
      </c>
      <c r="E727" s="44">
        <f>0.15</f>
        <v>0.15</v>
      </c>
      <c r="F727" s="38">
        <v>23.693000000000001</v>
      </c>
      <c r="G727" s="41">
        <f>IF(ISNUMBER(F727),E727*F727,"")</f>
        <v>3.5539499999999999</v>
      </c>
      <c r="H727" s="42"/>
      <c r="I727" s="38"/>
      <c r="J727" s="37">
        <v>0</v>
      </c>
    </row>
    <row r="728" spans="1:10" hidden="1" x14ac:dyDescent="0.25">
      <c r="A728" s="174"/>
      <c r="B728" s="177"/>
      <c r="C728" s="43" t="s">
        <v>10871</v>
      </c>
      <c r="D728" s="43" t="s">
        <v>1044</v>
      </c>
      <c r="E728" s="44">
        <f>0.12</f>
        <v>0.12</v>
      </c>
      <c r="F728" s="41">
        <v>3.4009999999999998</v>
      </c>
      <c r="G728" s="41">
        <f>IF(ISNUMBER(F728),E728*F728,"")</f>
        <v>0.40811999999999998</v>
      </c>
      <c r="H728" s="42"/>
      <c r="I728" s="38"/>
      <c r="J728" s="37">
        <v>0</v>
      </c>
    </row>
    <row r="729" spans="1:10" ht="15.75" hidden="1" thickBot="1" x14ac:dyDescent="0.3">
      <c r="A729" s="175"/>
      <c r="B729" s="178"/>
      <c r="C729" s="49"/>
      <c r="D729" s="49"/>
      <c r="E729" s="50"/>
      <c r="F729" s="51" t="s">
        <v>13</v>
      </c>
      <c r="G729" s="51" t="str">
        <f>IF(ISNUMBER(F729),E729*F729,"")</f>
        <v/>
      </c>
      <c r="H729" s="53"/>
      <c r="I729" s="38"/>
      <c r="J729" s="37">
        <v>0</v>
      </c>
    </row>
    <row r="730" spans="1:10" ht="15.75" hidden="1" thickBot="1" x14ac:dyDescent="0.3">
      <c r="A730" s="173" t="s">
        <v>171</v>
      </c>
      <c r="B730" s="176" t="s">
        <v>3129</v>
      </c>
      <c r="C730" s="31"/>
      <c r="D730" s="32" t="s">
        <v>68</v>
      </c>
      <c r="E730" s="33"/>
      <c r="F730" s="54" t="s">
        <v>13</v>
      </c>
      <c r="G730" s="34" t="str">
        <f>IF(ISNUMBER(F730),E730*F730,"")</f>
        <v/>
      </c>
      <c r="H730" s="35"/>
      <c r="I730" s="36"/>
      <c r="J730" s="37">
        <v>0</v>
      </c>
    </row>
    <row r="731" spans="1:10" hidden="1" x14ac:dyDescent="0.25">
      <c r="A731" s="174"/>
      <c r="B731" s="177"/>
      <c r="C731" s="39"/>
      <c r="D731" s="39"/>
      <c r="E731" s="40"/>
      <c r="F731" s="55" t="s">
        <v>13</v>
      </c>
      <c r="G731" s="38" t="str">
        <f>IF(ISNUMBER(F731),E731*F731,"")</f>
        <v/>
      </c>
      <c r="H731" s="42"/>
      <c r="I731" s="38"/>
      <c r="J731" s="37">
        <v>0</v>
      </c>
    </row>
    <row r="732" spans="1:10" hidden="1" x14ac:dyDescent="0.25">
      <c r="A732" s="174"/>
      <c r="B732" s="177"/>
      <c r="C732" s="43" t="s">
        <v>10830</v>
      </c>
      <c r="D732" s="43" t="s">
        <v>2800</v>
      </c>
      <c r="E732" s="44">
        <v>1.1879999999999999</v>
      </c>
      <c r="F732" s="38">
        <v>30.912999999999997</v>
      </c>
      <c r="G732" s="41">
        <f>IF(ISNUMBER(F732),E732*F732,"")</f>
        <v>36.724643999999998</v>
      </c>
      <c r="H732" s="46">
        <f>SUM(G732:G734)</f>
        <v>66.111716000000001</v>
      </c>
      <c r="I732" s="47"/>
      <c r="J732" s="37">
        <v>0</v>
      </c>
    </row>
    <row r="733" spans="1:10" hidden="1" x14ac:dyDescent="0.25">
      <c r="A733" s="174"/>
      <c r="B733" s="177"/>
      <c r="C733" s="43" t="s">
        <v>10614</v>
      </c>
      <c r="D733" s="43" t="s">
        <v>2800</v>
      </c>
      <c r="E733" s="44">
        <v>0.59399999999999997</v>
      </c>
      <c r="F733" s="38">
        <v>23.693000000000001</v>
      </c>
      <c r="G733" s="41">
        <f>IF(ISNUMBER(F733),E733*F733,"")</f>
        <v>14.073642</v>
      </c>
      <c r="H733" s="42"/>
      <c r="I733" s="38"/>
      <c r="J733" s="37">
        <v>0</v>
      </c>
    </row>
    <row r="734" spans="1:10" hidden="1" x14ac:dyDescent="0.25">
      <c r="A734" s="174"/>
      <c r="B734" s="177"/>
      <c r="C734" s="43" t="s">
        <v>10872</v>
      </c>
      <c r="D734" s="43" t="s">
        <v>1044</v>
      </c>
      <c r="E734" s="44">
        <v>8.6199999999999992</v>
      </c>
      <c r="F734" s="41">
        <v>1.7765</v>
      </c>
      <c r="G734" s="41">
        <f>IF(ISNUMBER(F734),E734*F734,"")</f>
        <v>15.313429999999999</v>
      </c>
      <c r="H734" s="42"/>
      <c r="I734" s="38"/>
      <c r="J734" s="37">
        <v>0</v>
      </c>
    </row>
    <row r="735" spans="1:10" ht="15.75" hidden="1" thickBot="1" x14ac:dyDescent="0.3">
      <c r="A735" s="175"/>
      <c r="B735" s="178"/>
      <c r="C735" s="49"/>
      <c r="D735" s="49"/>
      <c r="E735" s="50"/>
      <c r="F735" s="51" t="s">
        <v>13</v>
      </c>
      <c r="G735" s="51" t="str">
        <f>IF(ISNUMBER(F735),E735*F735,"")</f>
        <v/>
      </c>
      <c r="H735" s="53"/>
      <c r="I735" s="38"/>
      <c r="J735" s="37">
        <v>0</v>
      </c>
    </row>
    <row r="736" spans="1:10" ht="15.75" hidden="1" thickBot="1" x14ac:dyDescent="0.3">
      <c r="A736" s="173" t="s">
        <v>172</v>
      </c>
      <c r="B736" s="176" t="s">
        <v>3130</v>
      </c>
      <c r="C736" s="31"/>
      <c r="D736" s="32" t="s">
        <v>68</v>
      </c>
      <c r="E736" s="33"/>
      <c r="F736" s="54" t="s">
        <v>13</v>
      </c>
      <c r="G736" s="34" t="str">
        <f>IF(ISNUMBER(F736),E736*F736,"")</f>
        <v/>
      </c>
      <c r="H736" s="35"/>
      <c r="I736" s="36"/>
      <c r="J736" s="37">
        <v>0</v>
      </c>
    </row>
    <row r="737" spans="1:10" hidden="1" x14ac:dyDescent="0.25">
      <c r="A737" s="174"/>
      <c r="B737" s="177"/>
      <c r="C737" s="39"/>
      <c r="D737" s="39"/>
      <c r="E737" s="40"/>
      <c r="F737" s="55" t="s">
        <v>13</v>
      </c>
      <c r="G737" s="38" t="str">
        <f>IF(ISNUMBER(F737),E737*F737,"")</f>
        <v/>
      </c>
      <c r="H737" s="42"/>
      <c r="I737" s="38"/>
      <c r="J737" s="37">
        <v>0</v>
      </c>
    </row>
    <row r="738" spans="1:10" ht="25.5" hidden="1" x14ac:dyDescent="0.25">
      <c r="A738" s="174"/>
      <c r="B738" s="177"/>
      <c r="C738" s="43" t="s">
        <v>173</v>
      </c>
      <c r="D738" s="43" t="s">
        <v>106</v>
      </c>
      <c r="E738" s="44">
        <f>ROUND(1.04/0.15,4)</f>
        <v>6.9333</v>
      </c>
      <c r="F738" s="41" t="s">
        <v>13</v>
      </c>
      <c r="G738" s="41" t="str">
        <f>IF(ISNUMBER(F738),E738*F738,"")</f>
        <v/>
      </c>
      <c r="H738" s="46">
        <f>SUM(G738:G742)</f>
        <v>98.234589449999987</v>
      </c>
      <c r="I738" s="47"/>
      <c r="J738" s="37">
        <v>0</v>
      </c>
    </row>
    <row r="739" spans="1:10" hidden="1" x14ac:dyDescent="0.25">
      <c r="A739" s="174"/>
      <c r="B739" s="177"/>
      <c r="C739" s="43" t="s">
        <v>10872</v>
      </c>
      <c r="D739" s="43" t="s">
        <v>1044</v>
      </c>
      <c r="E739" s="44">
        <f>ROUND(0.8614/0.15,4)</f>
        <v>5.7427000000000001</v>
      </c>
      <c r="F739" s="41">
        <v>1.7765</v>
      </c>
      <c r="G739" s="41">
        <f>IF(ISNUMBER(F739),E739*F739,"")</f>
        <v>10.20190655</v>
      </c>
      <c r="H739" s="42"/>
      <c r="I739" s="38"/>
      <c r="J739" s="37">
        <v>0</v>
      </c>
    </row>
    <row r="740" spans="1:10" hidden="1" x14ac:dyDescent="0.25">
      <c r="A740" s="174"/>
      <c r="B740" s="177"/>
      <c r="C740" s="43" t="s">
        <v>10830</v>
      </c>
      <c r="D740" s="43" t="s">
        <v>2800</v>
      </c>
      <c r="E740" s="44">
        <f>ROUND(0.299/0.15,4)</f>
        <v>1.9933000000000001</v>
      </c>
      <c r="F740" s="38">
        <v>30.912999999999997</v>
      </c>
      <c r="G740" s="41">
        <f>IF(ISNUMBER(F740),E740*F740,"")</f>
        <v>61.618882899999996</v>
      </c>
      <c r="H740" s="42"/>
      <c r="I740" s="38"/>
      <c r="J740" s="37">
        <v>0</v>
      </c>
    </row>
    <row r="741" spans="1:10" hidden="1" x14ac:dyDescent="0.25">
      <c r="A741" s="174"/>
      <c r="B741" s="177"/>
      <c r="C741" s="43" t="s">
        <v>10614</v>
      </c>
      <c r="D741" s="43" t="s">
        <v>2800</v>
      </c>
      <c r="E741" s="44">
        <f>0.15/0.15</f>
        <v>1</v>
      </c>
      <c r="F741" s="38">
        <v>23.693000000000001</v>
      </c>
      <c r="G741" s="41">
        <f>IF(ISNUMBER(F741),E741*F741,"")</f>
        <v>23.693000000000001</v>
      </c>
      <c r="H741" s="42"/>
      <c r="I741" s="38"/>
      <c r="J741" s="37">
        <v>0</v>
      </c>
    </row>
    <row r="742" spans="1:10" hidden="1" x14ac:dyDescent="0.25">
      <c r="A742" s="174"/>
      <c r="B742" s="177"/>
      <c r="C742" s="43" t="s">
        <v>10871</v>
      </c>
      <c r="D742" s="43" t="s">
        <v>1044</v>
      </c>
      <c r="E742" s="44">
        <f>0.12/0.15</f>
        <v>0.8</v>
      </c>
      <c r="F742" s="41">
        <v>3.4009999999999998</v>
      </c>
      <c r="G742" s="41">
        <f>IF(ISNUMBER(F742),E742*F742,"")</f>
        <v>2.7208000000000001</v>
      </c>
      <c r="H742" s="42"/>
      <c r="I742" s="38"/>
      <c r="J742" s="37">
        <v>0</v>
      </c>
    </row>
    <row r="743" spans="1:10" ht="15.75" hidden="1" thickBot="1" x14ac:dyDescent="0.3">
      <c r="A743" s="175"/>
      <c r="B743" s="178"/>
      <c r="C743" s="49"/>
      <c r="D743" s="49"/>
      <c r="E743" s="50"/>
      <c r="F743" s="52" t="s">
        <v>13</v>
      </c>
      <c r="G743" s="52" t="str">
        <f>IF(ISNUMBER(F743),E743*F743,"")</f>
        <v/>
      </c>
      <c r="H743" s="53"/>
      <c r="I743" s="38"/>
      <c r="J743" s="37">
        <v>0</v>
      </c>
    </row>
    <row r="744" spans="1:10" ht="15.75" hidden="1" thickBot="1" x14ac:dyDescent="0.3">
      <c r="A744" s="173" t="s">
        <v>174</v>
      </c>
      <c r="B744" s="176" t="s">
        <v>3143</v>
      </c>
      <c r="C744" s="31"/>
      <c r="D744" s="32" t="s">
        <v>68</v>
      </c>
      <c r="E744" s="33"/>
      <c r="F744" s="54" t="s">
        <v>13</v>
      </c>
      <c r="G744" s="34" t="str">
        <f>IF(ISNUMBER(F744),E744*F744,"")</f>
        <v/>
      </c>
      <c r="H744" s="35"/>
      <c r="I744" s="36"/>
      <c r="J744" s="37">
        <v>0</v>
      </c>
    </row>
    <row r="745" spans="1:10" hidden="1" x14ac:dyDescent="0.25">
      <c r="A745" s="174"/>
      <c r="B745" s="177"/>
      <c r="C745" s="39"/>
      <c r="D745" s="39"/>
      <c r="E745" s="40"/>
      <c r="F745" s="55" t="s">
        <v>13</v>
      </c>
      <c r="G745" s="38" t="str">
        <f>IF(ISNUMBER(F745),E745*F745,"")</f>
        <v/>
      </c>
      <c r="H745" s="42"/>
      <c r="I745" s="38"/>
      <c r="J745" s="37">
        <v>0</v>
      </c>
    </row>
    <row r="746" spans="1:10" ht="25.5" hidden="1" x14ac:dyDescent="0.25">
      <c r="A746" s="174"/>
      <c r="B746" s="177"/>
      <c r="C746" s="43" t="s">
        <v>175</v>
      </c>
      <c r="D746" s="62" t="s">
        <v>68</v>
      </c>
      <c r="E746" s="44">
        <v>1</v>
      </c>
      <c r="F746" s="38" t="s">
        <v>13</v>
      </c>
      <c r="G746" s="41" t="str">
        <f>IF(ISNUMBER(F746),E746*F746,"")</f>
        <v/>
      </c>
      <c r="H746" s="46">
        <f>SUM(G746:G746)</f>
        <v>0</v>
      </c>
      <c r="I746" s="47"/>
      <c r="J746" s="37">
        <v>0</v>
      </c>
    </row>
    <row r="747" spans="1:10" ht="15.75" hidden="1" thickBot="1" x14ac:dyDescent="0.3">
      <c r="A747" s="175"/>
      <c r="B747" s="178"/>
      <c r="C747" s="49"/>
      <c r="D747" s="49"/>
      <c r="E747" s="50"/>
      <c r="F747" s="51" t="s">
        <v>13</v>
      </c>
      <c r="G747" s="51" t="str">
        <f>IF(ISNUMBER(F747),E747*F747,"")</f>
        <v/>
      </c>
      <c r="H747" s="53"/>
      <c r="I747" s="38"/>
      <c r="J747" s="37">
        <v>0</v>
      </c>
    </row>
    <row r="748" spans="1:10" ht="15.75" hidden="1" thickBot="1" x14ac:dyDescent="0.3">
      <c r="A748" s="173" t="s">
        <v>176</v>
      </c>
      <c r="B748" s="176" t="s">
        <v>3144</v>
      </c>
      <c r="C748" s="31"/>
      <c r="D748" s="32" t="s">
        <v>68</v>
      </c>
      <c r="E748" s="33"/>
      <c r="F748" s="54" t="s">
        <v>13</v>
      </c>
      <c r="G748" s="34" t="str">
        <f>IF(ISNUMBER(F748),E748*F748,"")</f>
        <v/>
      </c>
      <c r="H748" s="35"/>
      <c r="I748" s="36"/>
      <c r="J748" s="37">
        <v>0</v>
      </c>
    </row>
    <row r="749" spans="1:10" hidden="1" x14ac:dyDescent="0.25">
      <c r="A749" s="174"/>
      <c r="B749" s="177"/>
      <c r="C749" s="39"/>
      <c r="D749" s="39"/>
      <c r="E749" s="40"/>
      <c r="F749" s="55" t="s">
        <v>13</v>
      </c>
      <c r="G749" s="38" t="str">
        <f>IF(ISNUMBER(F749),E749*F749,"")</f>
        <v/>
      </c>
      <c r="H749" s="42"/>
      <c r="I749" s="38"/>
      <c r="J749" s="37">
        <v>0</v>
      </c>
    </row>
    <row r="750" spans="1:10" ht="25.5" hidden="1" x14ac:dyDescent="0.25">
      <c r="A750" s="174"/>
      <c r="B750" s="177"/>
      <c r="C750" s="43" t="s">
        <v>10881</v>
      </c>
      <c r="D750" s="43" t="s">
        <v>1302</v>
      </c>
      <c r="E750" s="44">
        <f>2*(1.5+0.67)</f>
        <v>4.34</v>
      </c>
      <c r="F750" s="41">
        <v>3.4674999999999998</v>
      </c>
      <c r="G750" s="41">
        <f>IF(ISNUMBER(F750),E750*F750,"")</f>
        <v>15.048949999999998</v>
      </c>
      <c r="H750" s="46">
        <f>SUM(G750:G753)</f>
        <v>69.578949999999992</v>
      </c>
      <c r="I750" s="47"/>
      <c r="J750" s="37">
        <v>0</v>
      </c>
    </row>
    <row r="751" spans="1:10" hidden="1" x14ac:dyDescent="0.25">
      <c r="A751" s="174"/>
      <c r="B751" s="177"/>
      <c r="C751" s="43" t="s">
        <v>177</v>
      </c>
      <c r="D751" s="62" t="s">
        <v>68</v>
      </c>
      <c r="E751" s="44">
        <f>0.36/0.6/0.6</f>
        <v>1</v>
      </c>
      <c r="F751" s="41" t="s">
        <v>13</v>
      </c>
      <c r="G751" s="41" t="str">
        <f>IF(ISNUMBER(F751),E751*F751,"")</f>
        <v/>
      </c>
      <c r="H751" s="42"/>
      <c r="I751" s="38"/>
      <c r="J751" s="37">
        <v>0</v>
      </c>
    </row>
    <row r="752" spans="1:10" hidden="1" x14ac:dyDescent="0.25">
      <c r="A752" s="174"/>
      <c r="B752" s="177"/>
      <c r="C752" s="43" t="s">
        <v>10862</v>
      </c>
      <c r="D752" s="43" t="s">
        <v>2800</v>
      </c>
      <c r="E752" s="44">
        <v>1</v>
      </c>
      <c r="F752" s="38">
        <v>30.837</v>
      </c>
      <c r="G752" s="41">
        <f>IF(ISNUMBER(F752),E752*F752,"")</f>
        <v>30.837</v>
      </c>
      <c r="H752" s="42"/>
      <c r="I752" s="38"/>
      <c r="J752" s="37">
        <v>0</v>
      </c>
    </row>
    <row r="753" spans="1:10" hidden="1" x14ac:dyDescent="0.25">
      <c r="A753" s="174"/>
      <c r="B753" s="177"/>
      <c r="C753" s="43" t="s">
        <v>10614</v>
      </c>
      <c r="D753" s="43" t="s">
        <v>2800</v>
      </c>
      <c r="E753" s="44">
        <v>1</v>
      </c>
      <c r="F753" s="38">
        <v>23.693000000000001</v>
      </c>
      <c r="G753" s="41">
        <f>IF(ISNUMBER(F753),E753*F753,"")</f>
        <v>23.693000000000001</v>
      </c>
      <c r="H753" s="42"/>
      <c r="I753" s="38"/>
      <c r="J753" s="37">
        <v>0</v>
      </c>
    </row>
    <row r="754" spans="1:10" ht="15.75" hidden="1" thickBot="1" x14ac:dyDescent="0.3">
      <c r="A754" s="175"/>
      <c r="B754" s="178"/>
      <c r="C754" s="49"/>
      <c r="D754" s="49"/>
      <c r="E754" s="50"/>
      <c r="F754" s="51" t="s">
        <v>13</v>
      </c>
      <c r="G754" s="51" t="str">
        <f>IF(ISNUMBER(F754),E754*F754,"")</f>
        <v/>
      </c>
      <c r="H754" s="53"/>
      <c r="I754" s="38"/>
      <c r="J754" s="37">
        <v>0</v>
      </c>
    </row>
    <row r="755" spans="1:10" ht="15.75" hidden="1" thickBot="1" x14ac:dyDescent="0.3">
      <c r="A755" s="173" t="s">
        <v>178</v>
      </c>
      <c r="B755" s="176" t="s">
        <v>3145</v>
      </c>
      <c r="C755" s="31"/>
      <c r="D755" s="32" t="s">
        <v>68</v>
      </c>
      <c r="E755" s="33"/>
      <c r="F755" s="54" t="s">
        <v>13</v>
      </c>
      <c r="G755" s="34" t="str">
        <f>IF(ISNUMBER(F755),E755*F755,"")</f>
        <v/>
      </c>
      <c r="H755" s="35"/>
      <c r="I755" s="36"/>
      <c r="J755" s="37">
        <v>0</v>
      </c>
    </row>
    <row r="756" spans="1:10" hidden="1" x14ac:dyDescent="0.25">
      <c r="A756" s="174"/>
      <c r="B756" s="177"/>
      <c r="C756" s="39"/>
      <c r="D756" s="39"/>
      <c r="E756" s="40"/>
      <c r="F756" s="55" t="s">
        <v>13</v>
      </c>
      <c r="G756" s="38" t="str">
        <f>IF(ISNUMBER(F756),E756*F756,"")</f>
        <v/>
      </c>
      <c r="H756" s="42"/>
      <c r="I756" s="38"/>
      <c r="J756" s="37">
        <v>0</v>
      </c>
    </row>
    <row r="757" spans="1:10" ht="38.25" hidden="1" x14ac:dyDescent="0.25">
      <c r="A757" s="174"/>
      <c r="B757" s="177"/>
      <c r="C757" s="43" t="s">
        <v>10882</v>
      </c>
      <c r="D757" s="43" t="s">
        <v>162</v>
      </c>
      <c r="E757" s="44">
        <v>1.0363</v>
      </c>
      <c r="F757" s="41">
        <v>18.05</v>
      </c>
      <c r="G757" s="38">
        <f>IF(ISNUMBER(F757),E757*F757,"")</f>
        <v>18.705214999999999</v>
      </c>
      <c r="H757" s="46">
        <f>SUM(G757:G764)</f>
        <v>53.4154391</v>
      </c>
      <c r="I757" s="47"/>
      <c r="J757" s="37">
        <v>0</v>
      </c>
    </row>
    <row r="758" spans="1:10" ht="38.25" hidden="1" x14ac:dyDescent="0.25">
      <c r="A758" s="174"/>
      <c r="B758" s="177"/>
      <c r="C758" s="43" t="s">
        <v>10883</v>
      </c>
      <c r="D758" s="43" t="s">
        <v>1302</v>
      </c>
      <c r="E758" s="44">
        <v>3.5470000000000002</v>
      </c>
      <c r="F758" s="41">
        <v>4.1229999999999993</v>
      </c>
      <c r="G758" s="38">
        <f>IF(ISNUMBER(F758),E758*F758,"")</f>
        <v>14.624280999999998</v>
      </c>
      <c r="H758" s="42"/>
      <c r="I758" s="38"/>
      <c r="J758" s="37">
        <v>0</v>
      </c>
    </row>
    <row r="759" spans="1:10" ht="38.25" hidden="1" x14ac:dyDescent="0.25">
      <c r="A759" s="174"/>
      <c r="B759" s="177"/>
      <c r="C759" s="43" t="s">
        <v>10884</v>
      </c>
      <c r="D759" s="43" t="s">
        <v>83</v>
      </c>
      <c r="E759" s="44">
        <v>1.2266999999999999</v>
      </c>
      <c r="F759" s="41">
        <v>1.5484999999999998</v>
      </c>
      <c r="G759" s="38">
        <f>IF(ISNUMBER(F759),E759*F759,"")</f>
        <v>1.8995449499999995</v>
      </c>
      <c r="H759" s="42"/>
      <c r="I759" s="38"/>
      <c r="J759" s="37">
        <v>0</v>
      </c>
    </row>
    <row r="760" spans="1:10" ht="25.5" hidden="1" x14ac:dyDescent="0.25">
      <c r="A760" s="174"/>
      <c r="B760" s="177"/>
      <c r="C760" s="43" t="s">
        <v>10860</v>
      </c>
      <c r="D760" s="43" t="s">
        <v>83</v>
      </c>
      <c r="E760" s="44">
        <v>2.2134</v>
      </c>
      <c r="F760" s="41">
        <v>0.20899999999999999</v>
      </c>
      <c r="G760" s="38">
        <f>IF(ISNUMBER(F760),E760*F760,"")</f>
        <v>0.46260059999999997</v>
      </c>
      <c r="H760" s="42"/>
      <c r="I760" s="38"/>
      <c r="J760" s="37">
        <v>0</v>
      </c>
    </row>
    <row r="761" spans="1:10" ht="25.5" hidden="1" x14ac:dyDescent="0.25">
      <c r="A761" s="174"/>
      <c r="B761" s="177"/>
      <c r="C761" s="43" t="s">
        <v>10885</v>
      </c>
      <c r="D761" s="43" t="s">
        <v>10818</v>
      </c>
      <c r="E761" s="44">
        <v>1.23E-2</v>
      </c>
      <c r="F761" s="41">
        <v>23.987499999999997</v>
      </c>
      <c r="G761" s="38">
        <f>IF(ISNUMBER(F761),E761*F761,"")</f>
        <v>0.29504624999999995</v>
      </c>
      <c r="H761" s="42"/>
      <c r="I761" s="38"/>
      <c r="J761" s="37">
        <v>0</v>
      </c>
    </row>
    <row r="762" spans="1:10" ht="25.5" hidden="1" x14ac:dyDescent="0.25">
      <c r="A762" s="174"/>
      <c r="B762" s="177"/>
      <c r="C762" s="43" t="s">
        <v>10886</v>
      </c>
      <c r="D762" s="43" t="s">
        <v>10818</v>
      </c>
      <c r="E762" s="44">
        <v>3.3599999999999998E-2</v>
      </c>
      <c r="F762" s="41">
        <v>41.125499999999995</v>
      </c>
      <c r="G762" s="38">
        <f>IF(ISNUMBER(F762),E762*F762,"")</f>
        <v>1.3818167999999997</v>
      </c>
      <c r="H762" s="42"/>
      <c r="I762" s="38"/>
      <c r="J762" s="37">
        <v>0</v>
      </c>
    </row>
    <row r="763" spans="1:10" ht="25.5" hidden="1" x14ac:dyDescent="0.25">
      <c r="A763" s="174"/>
      <c r="B763" s="177"/>
      <c r="C763" s="43" t="s">
        <v>10887</v>
      </c>
      <c r="D763" s="43" t="s">
        <v>1044</v>
      </c>
      <c r="E763" s="44">
        <v>3.6999999999999998E-2</v>
      </c>
      <c r="F763" s="41">
        <v>22.0685</v>
      </c>
      <c r="G763" s="38">
        <f>IF(ISNUMBER(F763),E763*F763,"")</f>
        <v>0.81653449999999994</v>
      </c>
      <c r="H763" s="42"/>
      <c r="I763" s="38"/>
      <c r="J763" s="37">
        <v>0</v>
      </c>
    </row>
    <row r="764" spans="1:10" ht="25.5" hidden="1" x14ac:dyDescent="0.25">
      <c r="A764" s="174"/>
      <c r="B764" s="177"/>
      <c r="C764" s="43" t="s">
        <v>10825</v>
      </c>
      <c r="D764" s="43" t="s">
        <v>2800</v>
      </c>
      <c r="E764" s="44">
        <v>0.6</v>
      </c>
      <c r="F764" s="38">
        <v>25.383999999999997</v>
      </c>
      <c r="G764" s="38">
        <f>IF(ISNUMBER(F764),E764*F764,"")</f>
        <v>15.230399999999998</v>
      </c>
      <c r="H764" s="42"/>
      <c r="I764" s="38"/>
      <c r="J764" s="37">
        <v>0</v>
      </c>
    </row>
    <row r="765" spans="1:10" ht="15.75" hidden="1" thickBot="1" x14ac:dyDescent="0.3">
      <c r="A765" s="175"/>
      <c r="B765" s="178"/>
      <c r="C765" s="49"/>
      <c r="D765" s="49"/>
      <c r="E765" s="50"/>
      <c r="F765" s="51" t="s">
        <v>13</v>
      </c>
      <c r="G765" s="51" t="str">
        <f>IF(ISNUMBER(F765),E765*F765,"")</f>
        <v/>
      </c>
      <c r="H765" s="53"/>
      <c r="I765" s="38"/>
      <c r="J765" s="37">
        <v>0</v>
      </c>
    </row>
    <row r="766" spans="1:10" ht="15.75" hidden="1" thickBot="1" x14ac:dyDescent="0.3">
      <c r="A766" s="173" t="s">
        <v>179</v>
      </c>
      <c r="B766" s="176" t="s">
        <v>3146</v>
      </c>
      <c r="C766" s="31"/>
      <c r="D766" s="32" t="s">
        <v>68</v>
      </c>
      <c r="E766" s="33"/>
      <c r="F766" s="54" t="s">
        <v>13</v>
      </c>
      <c r="G766" s="34" t="str">
        <f>IF(ISNUMBER(F766),E766*F766,"")</f>
        <v/>
      </c>
      <c r="H766" s="35"/>
      <c r="I766" s="36"/>
      <c r="J766" s="37">
        <v>0</v>
      </c>
    </row>
    <row r="767" spans="1:10" hidden="1" x14ac:dyDescent="0.25">
      <c r="A767" s="174"/>
      <c r="B767" s="177"/>
      <c r="C767" s="39"/>
      <c r="D767" s="39"/>
      <c r="E767" s="40"/>
      <c r="F767" s="55" t="s">
        <v>13</v>
      </c>
      <c r="G767" s="38" t="str">
        <f>IF(ISNUMBER(F767),E767*F767,"")</f>
        <v/>
      </c>
      <c r="H767" s="42"/>
      <c r="I767" s="38"/>
      <c r="J767" s="37">
        <v>0</v>
      </c>
    </row>
    <row r="768" spans="1:10" ht="38.25" hidden="1" x14ac:dyDescent="0.25">
      <c r="A768" s="174"/>
      <c r="B768" s="177"/>
      <c r="C768" s="43" t="s">
        <v>10882</v>
      </c>
      <c r="D768" s="43" t="s">
        <v>162</v>
      </c>
      <c r="E768" s="44">
        <v>1.0363</v>
      </c>
      <c r="F768" s="41">
        <v>18.05</v>
      </c>
      <c r="G768" s="38">
        <f>IF(ISNUMBER(F768),E768*F768,"")</f>
        <v>18.705214999999999</v>
      </c>
      <c r="H768" s="46">
        <f>SUM(G768:G770)</f>
        <v>23.736935599999995</v>
      </c>
      <c r="I768" s="47"/>
      <c r="J768" s="37">
        <v>0</v>
      </c>
    </row>
    <row r="769" spans="1:10" ht="25.5" hidden="1" x14ac:dyDescent="0.25">
      <c r="A769" s="174"/>
      <c r="B769" s="177"/>
      <c r="C769" s="43" t="s">
        <v>10860</v>
      </c>
      <c r="D769" s="43" t="s">
        <v>83</v>
      </c>
      <c r="E769" s="44">
        <v>2.2134</v>
      </c>
      <c r="F769" s="41">
        <v>0.20899999999999999</v>
      </c>
      <c r="G769" s="41">
        <f>IF(ISNUMBER(F769),E769*F769,"")</f>
        <v>0.46260059999999997</v>
      </c>
      <c r="H769" s="57"/>
      <c r="I769" s="47"/>
      <c r="J769" s="37">
        <v>0</v>
      </c>
    </row>
    <row r="770" spans="1:10" ht="25.5" hidden="1" x14ac:dyDescent="0.25">
      <c r="A770" s="174"/>
      <c r="B770" s="177"/>
      <c r="C770" s="43" t="s">
        <v>10825</v>
      </c>
      <c r="D770" s="43" t="s">
        <v>2800</v>
      </c>
      <c r="E770" s="44">
        <f>ROUND(0.6*0.3,4)</f>
        <v>0.18</v>
      </c>
      <c r="F770" s="38">
        <v>25.383999999999997</v>
      </c>
      <c r="G770" s="41">
        <f>IF(ISNUMBER(F770),E770*F770,"")</f>
        <v>4.569119999999999</v>
      </c>
      <c r="H770" s="42"/>
      <c r="I770" s="38"/>
      <c r="J770" s="37">
        <v>0</v>
      </c>
    </row>
    <row r="771" spans="1:10" ht="15.75" hidden="1" thickBot="1" x14ac:dyDescent="0.3">
      <c r="A771" s="175"/>
      <c r="B771" s="178"/>
      <c r="C771" s="49"/>
      <c r="D771" s="49"/>
      <c r="E771" s="50"/>
      <c r="F771" s="51" t="s">
        <v>13</v>
      </c>
      <c r="G771" s="51" t="str">
        <f>IF(ISNUMBER(F771),E771*F771,"")</f>
        <v/>
      </c>
      <c r="H771" s="53"/>
      <c r="I771" s="38"/>
      <c r="J771" s="37">
        <v>0</v>
      </c>
    </row>
    <row r="772" spans="1:10" ht="15.75" hidden="1" thickBot="1" x14ac:dyDescent="0.3">
      <c r="A772" s="173" t="s">
        <v>180</v>
      </c>
      <c r="B772" s="176" t="s">
        <v>3147</v>
      </c>
      <c r="C772" s="31"/>
      <c r="D772" s="32" t="s">
        <v>68</v>
      </c>
      <c r="E772" s="33"/>
      <c r="F772" s="54" t="s">
        <v>13</v>
      </c>
      <c r="G772" s="34" t="str">
        <f>IF(ISNUMBER(F772),E772*F772,"")</f>
        <v/>
      </c>
      <c r="H772" s="35"/>
      <c r="I772" s="36"/>
      <c r="J772" s="37">
        <v>0</v>
      </c>
    </row>
    <row r="773" spans="1:10" hidden="1" x14ac:dyDescent="0.25">
      <c r="A773" s="179"/>
      <c r="B773" s="177"/>
      <c r="C773" s="39"/>
      <c r="D773" s="39"/>
      <c r="E773" s="40"/>
      <c r="F773" s="55" t="s">
        <v>13</v>
      </c>
      <c r="G773" s="38" t="str">
        <f>IF(ISNUMBER(F773),E773*F773,"")</f>
        <v/>
      </c>
      <c r="H773" s="42"/>
      <c r="I773" s="38"/>
      <c r="J773" s="37">
        <v>0</v>
      </c>
    </row>
    <row r="774" spans="1:10" hidden="1" x14ac:dyDescent="0.25">
      <c r="A774" s="179"/>
      <c r="B774" s="177"/>
      <c r="C774" s="43" t="s">
        <v>181</v>
      </c>
      <c r="D774" s="62" t="s">
        <v>68</v>
      </c>
      <c r="E774" s="44">
        <v>1.0363</v>
      </c>
      <c r="F774" s="41" t="s">
        <v>13</v>
      </c>
      <c r="G774" s="38" t="str">
        <f>IF(ISNUMBER(F774),E774*F774,"")</f>
        <v/>
      </c>
      <c r="H774" s="46">
        <f>SUM(G774:G781)</f>
        <v>34.710224099999991</v>
      </c>
      <c r="I774" s="47"/>
      <c r="J774" s="37">
        <v>0</v>
      </c>
    </row>
    <row r="775" spans="1:10" ht="38.25" hidden="1" x14ac:dyDescent="0.25">
      <c r="A775" s="179"/>
      <c r="B775" s="177"/>
      <c r="C775" s="43" t="s">
        <v>10883</v>
      </c>
      <c r="D775" s="43" t="s">
        <v>1302</v>
      </c>
      <c r="E775" s="44">
        <v>3.5470000000000002</v>
      </c>
      <c r="F775" s="41">
        <v>4.1229999999999993</v>
      </c>
      <c r="G775" s="38">
        <f>IF(ISNUMBER(F775),E775*F775,"")</f>
        <v>14.624280999999998</v>
      </c>
      <c r="H775" s="42"/>
      <c r="I775" s="38"/>
      <c r="J775" s="37">
        <v>0</v>
      </c>
    </row>
    <row r="776" spans="1:10" ht="38.25" hidden="1" x14ac:dyDescent="0.25">
      <c r="A776" s="179"/>
      <c r="B776" s="177"/>
      <c r="C776" s="43" t="s">
        <v>10884</v>
      </c>
      <c r="D776" s="43" t="s">
        <v>83</v>
      </c>
      <c r="E776" s="44">
        <v>1.2266999999999999</v>
      </c>
      <c r="F776" s="41">
        <v>1.5484999999999998</v>
      </c>
      <c r="G776" s="38">
        <f>IF(ISNUMBER(F776),E776*F776,"")</f>
        <v>1.8995449499999995</v>
      </c>
      <c r="H776" s="42"/>
      <c r="I776" s="38"/>
      <c r="J776" s="37">
        <v>0</v>
      </c>
    </row>
    <row r="777" spans="1:10" ht="25.5" hidden="1" x14ac:dyDescent="0.25">
      <c r="A777" s="179"/>
      <c r="B777" s="177"/>
      <c r="C777" s="43" t="s">
        <v>10860</v>
      </c>
      <c r="D777" s="43" t="s">
        <v>83</v>
      </c>
      <c r="E777" s="44">
        <v>2.2134</v>
      </c>
      <c r="F777" s="41">
        <v>0.20899999999999999</v>
      </c>
      <c r="G777" s="38">
        <f>IF(ISNUMBER(F777),E777*F777,"")</f>
        <v>0.46260059999999997</v>
      </c>
      <c r="H777" s="42"/>
      <c r="I777" s="38"/>
      <c r="J777" s="37">
        <v>0</v>
      </c>
    </row>
    <row r="778" spans="1:10" ht="25.5" hidden="1" x14ac:dyDescent="0.25">
      <c r="A778" s="179"/>
      <c r="B778" s="177"/>
      <c r="C778" s="43" t="s">
        <v>10885</v>
      </c>
      <c r="D778" s="43" t="s">
        <v>10818</v>
      </c>
      <c r="E778" s="44">
        <v>1.23E-2</v>
      </c>
      <c r="F778" s="41">
        <v>23.987499999999997</v>
      </c>
      <c r="G778" s="38">
        <f>IF(ISNUMBER(F778),E778*F778,"")</f>
        <v>0.29504624999999995</v>
      </c>
      <c r="H778" s="42"/>
      <c r="I778" s="38"/>
      <c r="J778" s="37">
        <v>0</v>
      </c>
    </row>
    <row r="779" spans="1:10" ht="25.5" hidden="1" x14ac:dyDescent="0.25">
      <c r="A779" s="179"/>
      <c r="B779" s="177"/>
      <c r="C779" s="43" t="s">
        <v>10886</v>
      </c>
      <c r="D779" s="43" t="s">
        <v>10818</v>
      </c>
      <c r="E779" s="44">
        <v>3.3599999999999998E-2</v>
      </c>
      <c r="F779" s="41">
        <v>41.125499999999995</v>
      </c>
      <c r="G779" s="38">
        <f>IF(ISNUMBER(F779),E779*F779,"")</f>
        <v>1.3818167999999997</v>
      </c>
      <c r="H779" s="42"/>
      <c r="I779" s="38"/>
      <c r="J779" s="37">
        <v>0</v>
      </c>
    </row>
    <row r="780" spans="1:10" ht="25.5" hidden="1" x14ac:dyDescent="0.25">
      <c r="A780" s="179"/>
      <c r="B780" s="177"/>
      <c r="C780" s="43" t="s">
        <v>10887</v>
      </c>
      <c r="D780" s="43" t="s">
        <v>1044</v>
      </c>
      <c r="E780" s="44">
        <v>3.6999999999999998E-2</v>
      </c>
      <c r="F780" s="41">
        <v>22.0685</v>
      </c>
      <c r="G780" s="38">
        <f>IF(ISNUMBER(F780),E780*F780,"")</f>
        <v>0.81653449999999994</v>
      </c>
      <c r="H780" s="42"/>
      <c r="I780" s="38"/>
      <c r="J780" s="37">
        <v>0</v>
      </c>
    </row>
    <row r="781" spans="1:10" ht="25.5" hidden="1" x14ac:dyDescent="0.25">
      <c r="A781" s="179"/>
      <c r="B781" s="177"/>
      <c r="C781" s="43" t="s">
        <v>10825</v>
      </c>
      <c r="D781" s="43" t="s">
        <v>2800</v>
      </c>
      <c r="E781" s="44">
        <v>0.6</v>
      </c>
      <c r="F781" s="38">
        <v>25.383999999999997</v>
      </c>
      <c r="G781" s="38">
        <f>IF(ISNUMBER(F781),E781*F781,"")</f>
        <v>15.230399999999998</v>
      </c>
      <c r="H781" s="42"/>
      <c r="I781" s="38"/>
      <c r="J781" s="37">
        <v>0</v>
      </c>
    </row>
    <row r="782" spans="1:10" ht="15.75" hidden="1" thickBot="1" x14ac:dyDescent="0.3">
      <c r="A782" s="180"/>
      <c r="B782" s="178"/>
      <c r="C782" s="49"/>
      <c r="D782" s="49"/>
      <c r="E782" s="50"/>
      <c r="F782" s="51" t="s">
        <v>13</v>
      </c>
      <c r="G782" s="51" t="str">
        <f>IF(ISNUMBER(F782),E782*F782,"")</f>
        <v/>
      </c>
      <c r="H782" s="53"/>
      <c r="I782" s="38"/>
      <c r="J782" s="37">
        <v>0</v>
      </c>
    </row>
    <row r="783" spans="1:10" ht="15.75" hidden="1" thickBot="1" x14ac:dyDescent="0.3">
      <c r="A783" s="173" t="s">
        <v>182</v>
      </c>
      <c r="B783" s="176" t="s">
        <v>3148</v>
      </c>
      <c r="C783" s="31"/>
      <c r="D783" s="32" t="s">
        <v>68</v>
      </c>
      <c r="E783" s="33"/>
      <c r="F783" s="54" t="s">
        <v>13</v>
      </c>
      <c r="G783" s="34" t="str">
        <f>IF(ISNUMBER(F783),E783*F783,"")</f>
        <v/>
      </c>
      <c r="H783" s="35"/>
      <c r="I783" s="36"/>
      <c r="J783" s="37">
        <v>0</v>
      </c>
    </row>
    <row r="784" spans="1:10" hidden="1" x14ac:dyDescent="0.25">
      <c r="A784" s="179"/>
      <c r="B784" s="177"/>
      <c r="C784" s="39"/>
      <c r="D784" s="39"/>
      <c r="E784" s="40"/>
      <c r="F784" s="55" t="s">
        <v>13</v>
      </c>
      <c r="G784" s="38" t="str">
        <f>IF(ISNUMBER(F784),E784*F784,"")</f>
        <v/>
      </c>
      <c r="H784" s="42"/>
      <c r="I784" s="38"/>
      <c r="J784" s="37">
        <v>0</v>
      </c>
    </row>
    <row r="785" spans="1:10" ht="25.5" hidden="1" x14ac:dyDescent="0.25">
      <c r="A785" s="179"/>
      <c r="B785" s="177"/>
      <c r="C785" s="43" t="s">
        <v>10829</v>
      </c>
      <c r="D785" s="43" t="s">
        <v>2800</v>
      </c>
      <c r="E785" s="44">
        <v>0.5</v>
      </c>
      <c r="F785" s="41">
        <v>24.4435</v>
      </c>
      <c r="G785" s="38">
        <f>IF(ISNUMBER(F785),E785*F785,"")</f>
        <v>12.22175</v>
      </c>
      <c r="H785" s="46">
        <f>SUM(G785:G788)</f>
        <v>24.91375</v>
      </c>
      <c r="I785" s="47"/>
      <c r="J785" s="37">
        <v>0</v>
      </c>
    </row>
    <row r="786" spans="1:10" ht="25.5" hidden="1" x14ac:dyDescent="0.25">
      <c r="A786" s="179"/>
      <c r="B786" s="177"/>
      <c r="C786" s="43" t="s">
        <v>10825</v>
      </c>
      <c r="D786" s="43" t="s">
        <v>2800</v>
      </c>
      <c r="E786" s="44">
        <v>0.5</v>
      </c>
      <c r="F786" s="41">
        <v>25.383999999999997</v>
      </c>
      <c r="G786" s="38">
        <f>IF(ISNUMBER(F786),E786*F786,"")</f>
        <v>12.691999999999998</v>
      </c>
      <c r="H786" s="42"/>
      <c r="I786" s="38"/>
      <c r="J786" s="37">
        <v>0</v>
      </c>
    </row>
    <row r="787" spans="1:10" hidden="1" x14ac:dyDescent="0.25">
      <c r="A787" s="179"/>
      <c r="B787" s="177"/>
      <c r="C787" s="45" t="s">
        <v>183</v>
      </c>
      <c r="D787" s="43" t="s">
        <v>68</v>
      </c>
      <c r="E787" s="44">
        <v>1</v>
      </c>
      <c r="F787" s="41" t="s">
        <v>13</v>
      </c>
      <c r="G787" s="38" t="str">
        <f>IF(ISNUMBER(F787),E787*F787,"")</f>
        <v/>
      </c>
      <c r="H787" s="42"/>
      <c r="I787" s="38"/>
      <c r="J787" s="37">
        <v>0</v>
      </c>
    </row>
    <row r="788" spans="1:10" hidden="1" x14ac:dyDescent="0.25">
      <c r="A788" s="179"/>
      <c r="B788" s="177"/>
      <c r="C788" s="45" t="s">
        <v>184</v>
      </c>
      <c r="D788" s="43" t="s">
        <v>68</v>
      </c>
      <c r="E788" s="44">
        <v>1</v>
      </c>
      <c r="F788" s="41" t="s">
        <v>13</v>
      </c>
      <c r="G788" s="38" t="str">
        <f>IF(ISNUMBER(F788),E788*F788,"")</f>
        <v/>
      </c>
      <c r="H788" s="42"/>
      <c r="I788" s="38"/>
      <c r="J788" s="37">
        <v>0</v>
      </c>
    </row>
    <row r="789" spans="1:10" ht="15.75" hidden="1" thickBot="1" x14ac:dyDescent="0.3">
      <c r="A789" s="180"/>
      <c r="B789" s="178"/>
      <c r="C789" s="49"/>
      <c r="D789" s="49"/>
      <c r="E789" s="50"/>
      <c r="F789" s="51" t="s">
        <v>13</v>
      </c>
      <c r="G789" s="51" t="str">
        <f>IF(ISNUMBER(F789),E789*F789,"")</f>
        <v/>
      </c>
      <c r="H789" s="53"/>
      <c r="I789" s="38"/>
      <c r="J789" s="37">
        <v>0</v>
      </c>
    </row>
    <row r="790" spans="1:10" ht="15.75" hidden="1" thickBot="1" x14ac:dyDescent="0.3">
      <c r="A790" s="173" t="s">
        <v>185</v>
      </c>
      <c r="B790" s="176" t="s">
        <v>3149</v>
      </c>
      <c r="C790" s="31"/>
      <c r="D790" s="32" t="s">
        <v>68</v>
      </c>
      <c r="E790" s="33"/>
      <c r="F790" s="54" t="s">
        <v>13</v>
      </c>
      <c r="G790" s="34" t="str">
        <f>IF(ISNUMBER(F790),E790*F790,"")</f>
        <v/>
      </c>
      <c r="H790" s="35"/>
      <c r="I790" s="36"/>
      <c r="J790" s="37">
        <v>0</v>
      </c>
    </row>
    <row r="791" spans="1:10" hidden="1" x14ac:dyDescent="0.25">
      <c r="A791" s="174"/>
      <c r="B791" s="177"/>
      <c r="C791" s="39"/>
      <c r="D791" s="39"/>
      <c r="E791" s="40"/>
      <c r="F791" s="55" t="s">
        <v>13</v>
      </c>
      <c r="G791" s="38" t="str">
        <f>IF(ISNUMBER(F791),E791*F791,"")</f>
        <v/>
      </c>
      <c r="H791" s="42"/>
      <c r="I791" s="38"/>
      <c r="J791" s="37">
        <v>0</v>
      </c>
    </row>
    <row r="792" spans="1:10" ht="25.5" hidden="1" x14ac:dyDescent="0.25">
      <c r="A792" s="174"/>
      <c r="B792" s="177"/>
      <c r="C792" s="43" t="s">
        <v>10853</v>
      </c>
      <c r="D792" s="43" t="s">
        <v>162</v>
      </c>
      <c r="E792" s="44">
        <v>1.0838000000000001</v>
      </c>
      <c r="F792" s="41">
        <v>18.012</v>
      </c>
      <c r="G792" s="41">
        <f>IF(ISNUMBER(F792),E792*F792,"")</f>
        <v>19.521405600000001</v>
      </c>
      <c r="H792" s="46">
        <f>SUM(G792:G802)</f>
        <v>67.437692749999997</v>
      </c>
      <c r="I792" s="47"/>
      <c r="J792" s="37">
        <v>0</v>
      </c>
    </row>
    <row r="793" spans="1:10" ht="38.25" hidden="1" x14ac:dyDescent="0.25">
      <c r="A793" s="174"/>
      <c r="B793" s="177"/>
      <c r="C793" s="43" t="s">
        <v>10883</v>
      </c>
      <c r="D793" s="43" t="s">
        <v>1302</v>
      </c>
      <c r="E793" s="44">
        <v>3.5470000000000002</v>
      </c>
      <c r="F793" s="41">
        <v>4.1229999999999993</v>
      </c>
      <c r="G793" s="41">
        <f>IF(ISNUMBER(F793),E793*F793,"")</f>
        <v>14.624280999999998</v>
      </c>
      <c r="H793" s="58"/>
      <c r="I793" s="59"/>
      <c r="J793" s="37">
        <v>0</v>
      </c>
    </row>
    <row r="794" spans="1:10" ht="38.25" hidden="1" x14ac:dyDescent="0.25">
      <c r="A794" s="174"/>
      <c r="B794" s="177"/>
      <c r="C794" s="43" t="s">
        <v>10884</v>
      </c>
      <c r="D794" s="43" t="s">
        <v>83</v>
      </c>
      <c r="E794" s="44">
        <v>1.2266999999999999</v>
      </c>
      <c r="F794" s="41">
        <v>1.5484999999999998</v>
      </c>
      <c r="G794" s="41">
        <f>IF(ISNUMBER(F794),E794*F794,"")</f>
        <v>1.8995449499999995</v>
      </c>
      <c r="H794" s="58"/>
      <c r="I794" s="59"/>
      <c r="J794" s="37">
        <v>0</v>
      </c>
    </row>
    <row r="795" spans="1:10" ht="25.5" hidden="1" x14ac:dyDescent="0.25">
      <c r="A795" s="174"/>
      <c r="B795" s="177"/>
      <c r="C795" s="43" t="s">
        <v>10857</v>
      </c>
      <c r="D795" s="43" t="s">
        <v>1302</v>
      </c>
      <c r="E795" s="44">
        <v>1.4276</v>
      </c>
      <c r="F795" s="41">
        <v>2.4889999999999999</v>
      </c>
      <c r="G795" s="41">
        <f>IF(ISNUMBER(F795),E795*F795,"")</f>
        <v>3.5532963999999998</v>
      </c>
      <c r="H795" s="58"/>
      <c r="I795" s="59"/>
      <c r="J795" s="37">
        <v>0</v>
      </c>
    </row>
    <row r="796" spans="1:10" ht="38.25" hidden="1" x14ac:dyDescent="0.25">
      <c r="A796" s="174"/>
      <c r="B796" s="177"/>
      <c r="C796" s="43" t="s">
        <v>10858</v>
      </c>
      <c r="D796" s="43" t="s">
        <v>1044</v>
      </c>
      <c r="E796" s="44">
        <v>0.69259999999999999</v>
      </c>
      <c r="F796" s="41">
        <v>3.1159999999999997</v>
      </c>
      <c r="G796" s="41">
        <f>IF(ISNUMBER(F796),E796*F796,"")</f>
        <v>2.1581415999999995</v>
      </c>
      <c r="H796" s="58"/>
      <c r="I796" s="59"/>
      <c r="J796" s="37">
        <v>0</v>
      </c>
    </row>
    <row r="797" spans="1:10" ht="25.5" hidden="1" x14ac:dyDescent="0.25">
      <c r="A797" s="174"/>
      <c r="B797" s="177"/>
      <c r="C797" s="43" t="s">
        <v>10859</v>
      </c>
      <c r="D797" s="43" t="s">
        <v>83</v>
      </c>
      <c r="E797" s="44">
        <v>9.6469000000000005</v>
      </c>
      <c r="F797" s="41">
        <v>8.5499999999999993E-2</v>
      </c>
      <c r="G797" s="41">
        <f>IF(ISNUMBER(F797),E797*F797,"")</f>
        <v>0.82480995000000001</v>
      </c>
      <c r="H797" s="58"/>
      <c r="I797" s="59"/>
      <c r="J797" s="37">
        <v>0</v>
      </c>
    </row>
    <row r="798" spans="1:10" ht="25.5" hidden="1" x14ac:dyDescent="0.25">
      <c r="A798" s="174"/>
      <c r="B798" s="177"/>
      <c r="C798" s="43" t="s">
        <v>10860</v>
      </c>
      <c r="D798" s="43" t="s">
        <v>83</v>
      </c>
      <c r="E798" s="44">
        <v>1.2266999999999999</v>
      </c>
      <c r="F798" s="41">
        <v>0.20899999999999999</v>
      </c>
      <c r="G798" s="41">
        <f>IF(ISNUMBER(F798),E798*F798,"")</f>
        <v>0.25638029999999995</v>
      </c>
      <c r="H798" s="58"/>
      <c r="I798" s="59"/>
      <c r="J798" s="37">
        <v>0</v>
      </c>
    </row>
    <row r="799" spans="1:10" ht="25.5" hidden="1" x14ac:dyDescent="0.25">
      <c r="A799" s="174"/>
      <c r="B799" s="177"/>
      <c r="C799" s="43" t="s">
        <v>10885</v>
      </c>
      <c r="D799" s="43" t="s">
        <v>10818</v>
      </c>
      <c r="E799" s="44">
        <v>1.23E-2</v>
      </c>
      <c r="F799" s="41">
        <v>23.987499999999997</v>
      </c>
      <c r="G799" s="41">
        <f>IF(ISNUMBER(F799),E799*F799,"")</f>
        <v>0.29504624999999995</v>
      </c>
      <c r="H799" s="58"/>
      <c r="I799" s="59"/>
      <c r="J799" s="37">
        <v>0</v>
      </c>
    </row>
    <row r="800" spans="1:10" ht="25.5" hidden="1" x14ac:dyDescent="0.25">
      <c r="A800" s="174"/>
      <c r="B800" s="177"/>
      <c r="C800" s="43" t="s">
        <v>10887</v>
      </c>
      <c r="D800" s="43" t="s">
        <v>1044</v>
      </c>
      <c r="E800" s="44">
        <v>3.6999999999999998E-2</v>
      </c>
      <c r="F800" s="41">
        <v>22.0685</v>
      </c>
      <c r="G800" s="41">
        <f>IF(ISNUMBER(F800),E800*F800,"")</f>
        <v>0.81653449999999994</v>
      </c>
      <c r="H800" s="58"/>
      <c r="I800" s="59"/>
      <c r="J800" s="37">
        <v>0</v>
      </c>
    </row>
    <row r="801" spans="1:10" ht="25.5" hidden="1" x14ac:dyDescent="0.25">
      <c r="A801" s="174"/>
      <c r="B801" s="177"/>
      <c r="C801" s="43" t="s">
        <v>10825</v>
      </c>
      <c r="D801" s="43" t="s">
        <v>2800</v>
      </c>
      <c r="E801" s="44">
        <v>0.47860000000000003</v>
      </c>
      <c r="F801" s="38">
        <v>25.383999999999997</v>
      </c>
      <c r="G801" s="41">
        <f>IF(ISNUMBER(F801),E801*F801,"")</f>
        <v>12.1487824</v>
      </c>
      <c r="H801" s="58"/>
      <c r="I801" s="59"/>
      <c r="J801" s="37">
        <v>0</v>
      </c>
    </row>
    <row r="802" spans="1:10" hidden="1" x14ac:dyDescent="0.25">
      <c r="A802" s="174"/>
      <c r="B802" s="177"/>
      <c r="C802" s="43" t="s">
        <v>10614</v>
      </c>
      <c r="D802" s="43" t="s">
        <v>2800</v>
      </c>
      <c r="E802" s="44">
        <v>0.47860000000000003</v>
      </c>
      <c r="F802" s="38">
        <v>23.693000000000001</v>
      </c>
      <c r="G802" s="41">
        <f>IF(ISNUMBER(F802),E802*F802,"")</f>
        <v>11.339469800000002</v>
      </c>
      <c r="H802" s="58"/>
      <c r="I802" s="59"/>
      <c r="J802" s="37">
        <v>0</v>
      </c>
    </row>
    <row r="803" spans="1:10" ht="15.75" hidden="1" thickBot="1" x14ac:dyDescent="0.3">
      <c r="A803" s="175"/>
      <c r="B803" s="178"/>
      <c r="C803" s="49"/>
      <c r="D803" s="49"/>
      <c r="E803" s="50"/>
      <c r="F803" s="51" t="s">
        <v>13</v>
      </c>
      <c r="G803" s="51" t="str">
        <f>IF(ISNUMBER(F803),E803*F803,"")</f>
        <v/>
      </c>
      <c r="H803" s="53"/>
      <c r="I803" s="38"/>
      <c r="J803" s="37">
        <v>0</v>
      </c>
    </row>
    <row r="804" spans="1:10" ht="15.75" hidden="1" thickBot="1" x14ac:dyDescent="0.3">
      <c r="A804" s="173" t="s">
        <v>186</v>
      </c>
      <c r="B804" s="176" t="s">
        <v>3150</v>
      </c>
      <c r="C804" s="31"/>
      <c r="D804" s="32" t="s">
        <v>68</v>
      </c>
      <c r="E804" s="33"/>
      <c r="F804" s="54" t="s">
        <v>13</v>
      </c>
      <c r="G804" s="34" t="str">
        <f>IF(ISNUMBER(F804),E804*F804,"")</f>
        <v/>
      </c>
      <c r="H804" s="35"/>
      <c r="I804" s="36"/>
      <c r="J804" s="37">
        <v>0</v>
      </c>
    </row>
    <row r="805" spans="1:10" hidden="1" x14ac:dyDescent="0.25">
      <c r="A805" s="174"/>
      <c r="B805" s="177"/>
      <c r="C805" s="39"/>
      <c r="D805" s="39"/>
      <c r="E805" s="40"/>
      <c r="F805" s="55" t="s">
        <v>13</v>
      </c>
      <c r="G805" s="38" t="str">
        <f>IF(ISNUMBER(F805),E805*F805,"")</f>
        <v/>
      </c>
      <c r="H805" s="42"/>
      <c r="I805" s="38"/>
      <c r="J805" s="37">
        <v>0</v>
      </c>
    </row>
    <row r="806" spans="1:10" ht="25.5" hidden="1" x14ac:dyDescent="0.25">
      <c r="A806" s="174"/>
      <c r="B806" s="177"/>
      <c r="C806" s="43" t="s">
        <v>10853</v>
      </c>
      <c r="D806" s="43" t="s">
        <v>162</v>
      </c>
      <c r="E806" s="44">
        <v>1.0838000000000001</v>
      </c>
      <c r="F806" s="41">
        <v>18.012</v>
      </c>
      <c r="G806" s="41">
        <f>IF(ISNUMBER(F806),E806*F806,"")</f>
        <v>19.521405600000001</v>
      </c>
      <c r="H806" s="46">
        <f>SUM(G806:G812)</f>
        <v>49.802286050000006</v>
      </c>
      <c r="I806" s="47"/>
      <c r="J806" s="37">
        <v>0</v>
      </c>
    </row>
    <row r="807" spans="1:10" ht="25.5" hidden="1" x14ac:dyDescent="0.25">
      <c r="A807" s="174"/>
      <c r="B807" s="177"/>
      <c r="C807" s="43" t="s">
        <v>10857</v>
      </c>
      <c r="D807" s="43" t="s">
        <v>1302</v>
      </c>
      <c r="E807" s="44">
        <v>1.4276</v>
      </c>
      <c r="F807" s="41">
        <v>2.4889999999999999</v>
      </c>
      <c r="G807" s="41">
        <f>IF(ISNUMBER(F807),E807*F807,"")</f>
        <v>3.5532963999999998</v>
      </c>
      <c r="H807" s="58"/>
      <c r="I807" s="59"/>
      <c r="J807" s="37">
        <v>0</v>
      </c>
    </row>
    <row r="808" spans="1:10" ht="38.25" hidden="1" x14ac:dyDescent="0.25">
      <c r="A808" s="174"/>
      <c r="B808" s="177"/>
      <c r="C808" s="43" t="s">
        <v>10858</v>
      </c>
      <c r="D808" s="43" t="s">
        <v>1044</v>
      </c>
      <c r="E808" s="44">
        <v>0.69259999999999999</v>
      </c>
      <c r="F808" s="41">
        <v>3.1159999999999997</v>
      </c>
      <c r="G808" s="41">
        <f>IF(ISNUMBER(F808),E808*F808,"")</f>
        <v>2.1581415999999995</v>
      </c>
      <c r="H808" s="58"/>
      <c r="I808" s="59"/>
      <c r="J808" s="37">
        <v>0</v>
      </c>
    </row>
    <row r="809" spans="1:10" ht="25.5" hidden="1" x14ac:dyDescent="0.25">
      <c r="A809" s="174"/>
      <c r="B809" s="177"/>
      <c r="C809" s="43" t="s">
        <v>10859</v>
      </c>
      <c r="D809" s="43" t="s">
        <v>83</v>
      </c>
      <c r="E809" s="44">
        <v>9.6469000000000005</v>
      </c>
      <c r="F809" s="41">
        <v>8.5499999999999993E-2</v>
      </c>
      <c r="G809" s="41">
        <f>IF(ISNUMBER(F809),E809*F809,"")</f>
        <v>0.82480995000000001</v>
      </c>
      <c r="H809" s="58"/>
      <c r="I809" s="59"/>
      <c r="J809" s="37">
        <v>0</v>
      </c>
    </row>
    <row r="810" spans="1:10" ht="25.5" hidden="1" x14ac:dyDescent="0.25">
      <c r="A810" s="174"/>
      <c r="B810" s="177"/>
      <c r="C810" s="43" t="s">
        <v>10860</v>
      </c>
      <c r="D810" s="43" t="s">
        <v>83</v>
      </c>
      <c r="E810" s="44">
        <v>1.2266999999999999</v>
      </c>
      <c r="F810" s="41">
        <v>0.20899999999999999</v>
      </c>
      <c r="G810" s="41">
        <f>IF(ISNUMBER(F810),E810*F810,"")</f>
        <v>0.25638029999999995</v>
      </c>
      <c r="H810" s="58"/>
      <c r="I810" s="59"/>
      <c r="J810" s="37">
        <v>0</v>
      </c>
    </row>
    <row r="811" spans="1:10" ht="25.5" hidden="1" x14ac:dyDescent="0.25">
      <c r="A811" s="174"/>
      <c r="B811" s="177"/>
      <c r="C811" s="43" t="s">
        <v>10825</v>
      </c>
      <c r="D811" s="43" t="s">
        <v>2800</v>
      </c>
      <c r="E811" s="44">
        <v>0.47860000000000003</v>
      </c>
      <c r="F811" s="38">
        <v>25.383999999999997</v>
      </c>
      <c r="G811" s="41">
        <f>IF(ISNUMBER(F811),E811*F811,"")</f>
        <v>12.1487824</v>
      </c>
      <c r="H811" s="58"/>
      <c r="I811" s="59"/>
      <c r="J811" s="37">
        <v>0</v>
      </c>
    </row>
    <row r="812" spans="1:10" hidden="1" x14ac:dyDescent="0.25">
      <c r="A812" s="174"/>
      <c r="B812" s="177"/>
      <c r="C812" s="43" t="s">
        <v>10614</v>
      </c>
      <c r="D812" s="43" t="s">
        <v>2800</v>
      </c>
      <c r="E812" s="44">
        <v>0.47860000000000003</v>
      </c>
      <c r="F812" s="38">
        <v>23.693000000000001</v>
      </c>
      <c r="G812" s="41">
        <f>IF(ISNUMBER(F812),E812*F812,"")</f>
        <v>11.339469800000002</v>
      </c>
      <c r="H812" s="58"/>
      <c r="I812" s="59"/>
      <c r="J812" s="37">
        <v>0</v>
      </c>
    </row>
    <row r="813" spans="1:10" ht="15.75" hidden="1" thickBot="1" x14ac:dyDescent="0.3">
      <c r="A813" s="175"/>
      <c r="B813" s="178"/>
      <c r="C813" s="49"/>
      <c r="D813" s="49"/>
      <c r="E813" s="50"/>
      <c r="F813" s="51" t="s">
        <v>13</v>
      </c>
      <c r="G813" s="51" t="str">
        <f>IF(ISNUMBER(F813),E813*F813,"")</f>
        <v/>
      </c>
      <c r="H813" s="53"/>
      <c r="I813" s="38"/>
      <c r="J813" s="37">
        <v>0</v>
      </c>
    </row>
    <row r="814" spans="1:10" ht="15.75" hidden="1" thickBot="1" x14ac:dyDescent="0.3">
      <c r="A814" s="173" t="s">
        <v>187</v>
      </c>
      <c r="B814" s="176" t="s">
        <v>3151</v>
      </c>
      <c r="C814" s="31"/>
      <c r="D814" s="32" t="s">
        <v>68</v>
      </c>
      <c r="E814" s="33"/>
      <c r="F814" s="54" t="s">
        <v>13</v>
      </c>
      <c r="G814" s="34" t="str">
        <f>IF(ISNUMBER(F814),E814*F814,"")</f>
        <v/>
      </c>
      <c r="H814" s="35"/>
      <c r="I814" s="36"/>
      <c r="J814" s="37">
        <v>0</v>
      </c>
    </row>
    <row r="815" spans="1:10" hidden="1" x14ac:dyDescent="0.25">
      <c r="A815" s="174"/>
      <c r="B815" s="177"/>
      <c r="C815" s="39"/>
      <c r="D815" s="39"/>
      <c r="E815" s="40"/>
      <c r="F815" s="55" t="s">
        <v>13</v>
      </c>
      <c r="G815" s="38" t="str">
        <f>IF(ISNUMBER(F815),E815*F815,"")</f>
        <v/>
      </c>
      <c r="H815" s="42"/>
      <c r="I815" s="38"/>
      <c r="J815" s="37">
        <v>0</v>
      </c>
    </row>
    <row r="816" spans="1:10" ht="38.25" hidden="1" x14ac:dyDescent="0.25">
      <c r="A816" s="174"/>
      <c r="B816" s="177"/>
      <c r="C816" s="43" t="s">
        <v>10888</v>
      </c>
      <c r="D816" s="43" t="s">
        <v>162</v>
      </c>
      <c r="E816" s="44">
        <v>1</v>
      </c>
      <c r="F816" s="41">
        <v>126.6635</v>
      </c>
      <c r="G816" s="41">
        <f>IF(ISNUMBER(F816),E816*F816,"")</f>
        <v>126.6635</v>
      </c>
      <c r="H816" s="46">
        <f>SUM(G816:G816)</f>
        <v>126.6635</v>
      </c>
      <c r="I816" s="47"/>
      <c r="J816" s="37">
        <v>0</v>
      </c>
    </row>
    <row r="817" spans="1:10" ht="15.75" hidden="1" thickBot="1" x14ac:dyDescent="0.3">
      <c r="A817" s="175"/>
      <c r="B817" s="178"/>
      <c r="C817" s="49"/>
      <c r="D817" s="49"/>
      <c r="E817" s="50"/>
      <c r="F817" s="51" t="s">
        <v>13</v>
      </c>
      <c r="G817" s="51" t="str">
        <f>IF(ISNUMBER(F817),E817*F817,"")</f>
        <v/>
      </c>
      <c r="H817" s="53"/>
      <c r="I817" s="38"/>
      <c r="J817" s="37">
        <v>0</v>
      </c>
    </row>
    <row r="818" spans="1:10" ht="15.75" hidden="1" thickBot="1" x14ac:dyDescent="0.3">
      <c r="A818" s="173" t="s">
        <v>188</v>
      </c>
      <c r="B818" s="176" t="s">
        <v>3152</v>
      </c>
      <c r="C818" s="31"/>
      <c r="D818" s="32" t="s">
        <v>68</v>
      </c>
      <c r="E818" s="33"/>
      <c r="F818" s="54" t="s">
        <v>13</v>
      </c>
      <c r="G818" s="34" t="str">
        <f>IF(ISNUMBER(F818),E818*F818,"")</f>
        <v/>
      </c>
      <c r="H818" s="35"/>
      <c r="I818" s="36"/>
      <c r="J818" s="37">
        <v>0</v>
      </c>
    </row>
    <row r="819" spans="1:10" hidden="1" x14ac:dyDescent="0.25">
      <c r="A819" s="174"/>
      <c r="B819" s="177"/>
      <c r="C819" s="39"/>
      <c r="D819" s="39"/>
      <c r="E819" s="40"/>
      <c r="F819" s="55" t="s">
        <v>13</v>
      </c>
      <c r="G819" s="38" t="str">
        <f>IF(ISNUMBER(F819),E819*F819,"")</f>
        <v/>
      </c>
      <c r="H819" s="42"/>
      <c r="I819" s="38"/>
      <c r="J819" s="37">
        <v>0</v>
      </c>
    </row>
    <row r="820" spans="1:10" hidden="1" x14ac:dyDescent="0.25">
      <c r="A820" s="174"/>
      <c r="B820" s="177"/>
      <c r="C820" s="43" t="s">
        <v>10750</v>
      </c>
      <c r="D820" s="43" t="s">
        <v>2800</v>
      </c>
      <c r="E820" s="44">
        <f>1.2/4</f>
        <v>0.3</v>
      </c>
      <c r="F820" s="38">
        <v>24.358000000000001</v>
      </c>
      <c r="G820" s="38">
        <f>IF(ISNUMBER(F820),E820*F820,"")</f>
        <v>7.3073999999999995</v>
      </c>
      <c r="H820" s="46">
        <f>SUM(G820:G821)</f>
        <v>35.522399999999998</v>
      </c>
      <c r="I820" s="47"/>
      <c r="J820" s="37">
        <v>0</v>
      </c>
    </row>
    <row r="821" spans="1:10" ht="25.5" hidden="1" x14ac:dyDescent="0.25">
      <c r="A821" s="174"/>
      <c r="B821" s="177"/>
      <c r="C821" s="43" t="s">
        <v>10889</v>
      </c>
      <c r="D821" s="43" t="s">
        <v>83</v>
      </c>
      <c r="E821" s="44">
        <v>1</v>
      </c>
      <c r="F821" s="41">
        <v>28.214999999999996</v>
      </c>
      <c r="G821" s="38">
        <f>IF(ISNUMBER(F821),E821*F821,"")</f>
        <v>28.214999999999996</v>
      </c>
      <c r="H821" s="42"/>
      <c r="I821" s="38"/>
      <c r="J821" s="37">
        <v>0</v>
      </c>
    </row>
    <row r="822" spans="1:10" ht="15.75" hidden="1" thickBot="1" x14ac:dyDescent="0.3">
      <c r="A822" s="175"/>
      <c r="B822" s="178"/>
      <c r="C822" s="49"/>
      <c r="D822" s="49"/>
      <c r="E822" s="50"/>
      <c r="F822" s="51" t="s">
        <v>13</v>
      </c>
      <c r="G822" s="51" t="str">
        <f>IF(ISNUMBER(F822),E822*F822,"")</f>
        <v/>
      </c>
      <c r="H822" s="53"/>
      <c r="I822" s="38"/>
      <c r="J822" s="37">
        <v>0</v>
      </c>
    </row>
    <row r="823" spans="1:10" ht="15.75" hidden="1" thickBot="1" x14ac:dyDescent="0.3">
      <c r="A823" s="173" t="s">
        <v>189</v>
      </c>
      <c r="B823" s="176" t="s">
        <v>3153</v>
      </c>
      <c r="C823" s="31"/>
      <c r="D823" s="32" t="s">
        <v>68</v>
      </c>
      <c r="E823" s="33"/>
      <c r="F823" s="54" t="s">
        <v>13</v>
      </c>
      <c r="G823" s="34" t="str">
        <f>IF(ISNUMBER(F823),E823*F823,"")</f>
        <v/>
      </c>
      <c r="H823" s="35"/>
      <c r="I823" s="36"/>
      <c r="J823" s="37">
        <v>0</v>
      </c>
    </row>
    <row r="824" spans="1:10" hidden="1" x14ac:dyDescent="0.25">
      <c r="A824" s="174"/>
      <c r="B824" s="177"/>
      <c r="C824" s="39"/>
      <c r="D824" s="39"/>
      <c r="E824" s="40"/>
      <c r="F824" s="55" t="s">
        <v>13</v>
      </c>
      <c r="G824" s="38" t="str">
        <f>IF(ISNUMBER(F824),E824*F824,"")</f>
        <v/>
      </c>
      <c r="H824" s="42"/>
      <c r="I824" s="38"/>
      <c r="J824" s="37">
        <v>0</v>
      </c>
    </row>
    <row r="825" spans="1:10" ht="25.5" hidden="1" x14ac:dyDescent="0.25">
      <c r="A825" s="174"/>
      <c r="B825" s="177"/>
      <c r="C825" s="43" t="s">
        <v>10825</v>
      </c>
      <c r="D825" s="43" t="s">
        <v>2800</v>
      </c>
      <c r="E825" s="44">
        <f>ROUND(0.6*0.3,4)</f>
        <v>0.18</v>
      </c>
      <c r="F825" s="38">
        <v>25.383999999999997</v>
      </c>
      <c r="G825" s="38">
        <f>IF(ISNUMBER(F825),E825*F825,"")</f>
        <v>4.569119999999999</v>
      </c>
      <c r="H825" s="46">
        <f>SUM(G825:G825)</f>
        <v>4.569119999999999</v>
      </c>
      <c r="I825" s="47"/>
      <c r="J825" s="37">
        <v>0</v>
      </c>
    </row>
    <row r="826" spans="1:10" ht="15.75" hidden="1" thickBot="1" x14ac:dyDescent="0.3">
      <c r="A826" s="175"/>
      <c r="B826" s="178"/>
      <c r="C826" s="49"/>
      <c r="D826" s="49"/>
      <c r="E826" s="50"/>
      <c r="F826" s="51" t="s">
        <v>13</v>
      </c>
      <c r="G826" s="51" t="str">
        <f>IF(ISNUMBER(F826),E826*F826,"")</f>
        <v/>
      </c>
      <c r="H826" s="53"/>
      <c r="I826" s="38"/>
      <c r="J826" s="37">
        <v>0</v>
      </c>
    </row>
    <row r="827" spans="1:10" ht="15.75" hidden="1" thickBot="1" x14ac:dyDescent="0.3">
      <c r="A827" s="173" t="s">
        <v>190</v>
      </c>
      <c r="B827" s="176" t="s">
        <v>3154</v>
      </c>
      <c r="C827" s="31"/>
      <c r="D827" s="32" t="s">
        <v>68</v>
      </c>
      <c r="E827" s="33"/>
      <c r="F827" s="54" t="s">
        <v>13</v>
      </c>
      <c r="G827" s="34" t="str">
        <f>IF(ISNUMBER(F827),E827*F827,"")</f>
        <v/>
      </c>
      <c r="H827" s="35"/>
      <c r="I827" s="36"/>
      <c r="J827" s="37">
        <v>0</v>
      </c>
    </row>
    <row r="828" spans="1:10" hidden="1" x14ac:dyDescent="0.25">
      <c r="A828" s="174"/>
      <c r="B828" s="177"/>
      <c r="C828" s="39"/>
      <c r="D828" s="39"/>
      <c r="E828" s="40"/>
      <c r="F828" s="55" t="s">
        <v>13</v>
      </c>
      <c r="G828" s="38" t="str">
        <f>IF(ISNUMBER(F828),E828*F828,"")</f>
        <v/>
      </c>
      <c r="H828" s="42"/>
      <c r="I828" s="38"/>
      <c r="J828" s="37">
        <v>0</v>
      </c>
    </row>
    <row r="829" spans="1:10" hidden="1" x14ac:dyDescent="0.25">
      <c r="A829" s="174"/>
      <c r="B829" s="177"/>
      <c r="C829" s="43" t="s">
        <v>10750</v>
      </c>
      <c r="D829" s="43" t="s">
        <v>2800</v>
      </c>
      <c r="E829" s="44">
        <v>1.2</v>
      </c>
      <c r="F829" s="38">
        <v>24.358000000000001</v>
      </c>
      <c r="G829" s="38">
        <f>IF(ISNUMBER(F829),E829*F829,"")</f>
        <v>29.229599999999998</v>
      </c>
      <c r="H829" s="46">
        <f>SUM(G829:G830)</f>
        <v>59.690399999999997</v>
      </c>
      <c r="I829" s="47"/>
      <c r="J829" s="37">
        <v>0</v>
      </c>
    </row>
    <row r="830" spans="1:10" ht="25.5" hidden="1" x14ac:dyDescent="0.25">
      <c r="A830" s="174"/>
      <c r="B830" s="177"/>
      <c r="C830" s="43" t="s">
        <v>10825</v>
      </c>
      <c r="D830" s="43" t="s">
        <v>2800</v>
      </c>
      <c r="E830" s="44">
        <v>1.2</v>
      </c>
      <c r="F830" s="38">
        <v>25.383999999999997</v>
      </c>
      <c r="G830" s="38">
        <f>IF(ISNUMBER(F830),E830*F830,"")</f>
        <v>30.460799999999995</v>
      </c>
      <c r="H830" s="42"/>
      <c r="I830" s="38"/>
      <c r="J830" s="37">
        <v>0</v>
      </c>
    </row>
    <row r="831" spans="1:10" ht="15.75" hidden="1" thickBot="1" x14ac:dyDescent="0.3">
      <c r="A831" s="175"/>
      <c r="B831" s="178"/>
      <c r="C831" s="49"/>
      <c r="D831" s="49"/>
      <c r="E831" s="50"/>
      <c r="F831" s="51" t="s">
        <v>13</v>
      </c>
      <c r="G831" s="51" t="str">
        <f>IF(ISNUMBER(F831),E831*F831,"")</f>
        <v/>
      </c>
      <c r="H831" s="53"/>
      <c r="I831" s="38"/>
      <c r="J831" s="37">
        <v>0</v>
      </c>
    </row>
    <row r="832" spans="1:10" ht="15.75" hidden="1" thickBot="1" x14ac:dyDescent="0.3">
      <c r="A832" s="173" t="s">
        <v>191</v>
      </c>
      <c r="B832" s="176" t="s">
        <v>3155</v>
      </c>
      <c r="C832" s="31"/>
      <c r="D832" s="32" t="s">
        <v>106</v>
      </c>
      <c r="E832" s="33"/>
      <c r="F832" s="54" t="s">
        <v>13</v>
      </c>
      <c r="G832" s="34" t="str">
        <f>IF(ISNUMBER(F832),E832*F832,"")</f>
        <v/>
      </c>
      <c r="H832" s="35"/>
      <c r="I832" s="36"/>
      <c r="J832" s="37">
        <v>0</v>
      </c>
    </row>
    <row r="833" spans="1:10" hidden="1" x14ac:dyDescent="0.25">
      <c r="A833" s="174"/>
      <c r="B833" s="177"/>
      <c r="C833" s="39"/>
      <c r="D833" s="39"/>
      <c r="E833" s="40"/>
      <c r="F833" s="55" t="s">
        <v>13</v>
      </c>
      <c r="G833" s="38" t="str">
        <f>IF(ISNUMBER(F833),E833*F833,"")</f>
        <v/>
      </c>
      <c r="H833" s="42"/>
      <c r="I833" s="38"/>
      <c r="J833" s="37">
        <v>0</v>
      </c>
    </row>
    <row r="834" spans="1:10" ht="38.25" hidden="1" x14ac:dyDescent="0.25">
      <c r="A834" s="174"/>
      <c r="B834" s="177"/>
      <c r="C834" s="43" t="s">
        <v>10890</v>
      </c>
      <c r="D834" s="43" t="s">
        <v>1302</v>
      </c>
      <c r="E834" s="44">
        <v>1.1512</v>
      </c>
      <c r="F834" s="41">
        <v>3.9994999999999998</v>
      </c>
      <c r="G834" s="41">
        <f>IF(ISNUMBER(F834),E834*F834,"")</f>
        <v>4.6042243999999997</v>
      </c>
      <c r="H834" s="46">
        <f>SUM(G834:G837)</f>
        <v>11.4230299</v>
      </c>
      <c r="I834" s="47"/>
      <c r="J834" s="37">
        <v>0</v>
      </c>
    </row>
    <row r="835" spans="1:10" ht="25.5" hidden="1" x14ac:dyDescent="0.25">
      <c r="A835" s="174"/>
      <c r="B835" s="177"/>
      <c r="C835" s="43" t="s">
        <v>10860</v>
      </c>
      <c r="D835" s="43" t="s">
        <v>83</v>
      </c>
      <c r="E835" s="44">
        <v>0.69299999999999995</v>
      </c>
      <c r="F835" s="41">
        <v>0.20899999999999999</v>
      </c>
      <c r="G835" s="41">
        <f>IF(ISNUMBER(F835),E835*F835,"")</f>
        <v>0.14483699999999999</v>
      </c>
      <c r="H835" s="73"/>
      <c r="I835" s="74"/>
      <c r="J835" s="37">
        <v>0</v>
      </c>
    </row>
    <row r="836" spans="1:10" ht="25.5" hidden="1" x14ac:dyDescent="0.25">
      <c r="A836" s="174"/>
      <c r="B836" s="177"/>
      <c r="C836" s="43" t="s">
        <v>10886</v>
      </c>
      <c r="D836" s="43" t="s">
        <v>10818</v>
      </c>
      <c r="E836" s="44">
        <v>3.1800000000000002E-2</v>
      </c>
      <c r="F836" s="41">
        <v>41.125499999999995</v>
      </c>
      <c r="G836" s="41">
        <f>IF(ISNUMBER(F836),E836*F836,"")</f>
        <v>1.3077908999999999</v>
      </c>
      <c r="H836" s="73"/>
      <c r="I836" s="74"/>
      <c r="J836" s="37">
        <v>0</v>
      </c>
    </row>
    <row r="837" spans="1:10" ht="25.5" hidden="1" x14ac:dyDescent="0.25">
      <c r="A837" s="174"/>
      <c r="B837" s="177"/>
      <c r="C837" s="43" t="s">
        <v>10825</v>
      </c>
      <c r="D837" s="43" t="s">
        <v>2800</v>
      </c>
      <c r="E837" s="44">
        <v>0.2114</v>
      </c>
      <c r="F837" s="38">
        <v>25.383999999999997</v>
      </c>
      <c r="G837" s="41">
        <f>IF(ISNUMBER(F837),E837*F837,"")</f>
        <v>5.3661775999999994</v>
      </c>
      <c r="H837" s="73"/>
      <c r="I837" s="74"/>
      <c r="J837" s="37">
        <v>0</v>
      </c>
    </row>
    <row r="838" spans="1:10" ht="15.75" hidden="1" thickBot="1" x14ac:dyDescent="0.3">
      <c r="A838" s="175"/>
      <c r="B838" s="178"/>
      <c r="C838" s="49"/>
      <c r="D838" s="49"/>
      <c r="E838" s="50"/>
      <c r="F838" s="51" t="s">
        <v>13</v>
      </c>
      <c r="G838" s="52" t="str">
        <f>IF(ISNUMBER(F838),E838*F838,"")</f>
        <v/>
      </c>
      <c r="H838" s="53"/>
      <c r="I838" s="38"/>
      <c r="J838" s="37">
        <v>0</v>
      </c>
    </row>
    <row r="839" spans="1:10" ht="15.75" hidden="1" thickBot="1" x14ac:dyDescent="0.3">
      <c r="A839" s="173" t="s">
        <v>192</v>
      </c>
      <c r="B839" s="176" t="s">
        <v>3156</v>
      </c>
      <c r="C839" s="31"/>
      <c r="D839" s="32" t="s">
        <v>68</v>
      </c>
      <c r="E839" s="33"/>
      <c r="F839" s="54" t="s">
        <v>13</v>
      </c>
      <c r="G839" s="34" t="str">
        <f>IF(ISNUMBER(F839),E839*F839,"")</f>
        <v/>
      </c>
      <c r="H839" s="35"/>
      <c r="I839" s="36"/>
      <c r="J839" s="37">
        <v>0</v>
      </c>
    </row>
    <row r="840" spans="1:10" hidden="1" x14ac:dyDescent="0.25">
      <c r="A840" s="174"/>
      <c r="B840" s="177"/>
      <c r="C840" s="39"/>
      <c r="D840" s="39"/>
      <c r="E840" s="40"/>
      <c r="F840" s="55" t="s">
        <v>13</v>
      </c>
      <c r="G840" s="38" t="str">
        <f>IF(ISNUMBER(F840),E840*F840,"")</f>
        <v/>
      </c>
      <c r="H840" s="42"/>
      <c r="I840" s="38"/>
      <c r="J840" s="37">
        <v>0</v>
      </c>
    </row>
    <row r="841" spans="1:10" hidden="1" x14ac:dyDescent="0.25">
      <c r="A841" s="174"/>
      <c r="B841" s="177"/>
      <c r="C841" s="43" t="s">
        <v>10614</v>
      </c>
      <c r="D841" s="43" t="s">
        <v>2800</v>
      </c>
      <c r="E841" s="44">
        <v>0.1</v>
      </c>
      <c r="F841" s="38">
        <v>23.693000000000001</v>
      </c>
      <c r="G841" s="41">
        <f>IF(ISNUMBER(F841),E841*F841,"")</f>
        <v>2.3693000000000004</v>
      </c>
      <c r="H841" s="46">
        <f>SUM(G841:G843)</f>
        <v>10.570650000000001</v>
      </c>
      <c r="I841" s="47"/>
      <c r="J841" s="37">
        <v>0</v>
      </c>
    </row>
    <row r="842" spans="1:10" hidden="1" x14ac:dyDescent="0.25">
      <c r="A842" s="174"/>
      <c r="B842" s="177"/>
      <c r="C842" s="43" t="s">
        <v>10757</v>
      </c>
      <c r="D842" s="43" t="s">
        <v>2800</v>
      </c>
      <c r="E842" s="44">
        <v>0.1</v>
      </c>
      <c r="F842" s="38">
        <v>31.055499999999995</v>
      </c>
      <c r="G842" s="41">
        <f>IF(ISNUMBER(F842),E842*F842,"")</f>
        <v>3.1055499999999996</v>
      </c>
      <c r="H842" s="42"/>
      <c r="I842" s="38"/>
      <c r="J842" s="37">
        <v>0</v>
      </c>
    </row>
    <row r="843" spans="1:10" hidden="1" x14ac:dyDescent="0.25">
      <c r="A843" s="174"/>
      <c r="B843" s="177"/>
      <c r="C843" s="43" t="s">
        <v>10891</v>
      </c>
      <c r="D843" s="43" t="s">
        <v>1044</v>
      </c>
      <c r="E843" s="44">
        <v>0.1</v>
      </c>
      <c r="F843" s="41">
        <v>50.957999999999998</v>
      </c>
      <c r="G843" s="38">
        <f>IF(ISNUMBER(F843),E843*F843,"")</f>
        <v>5.0958000000000006</v>
      </c>
      <c r="H843" s="42"/>
      <c r="I843" s="38"/>
      <c r="J843" s="37">
        <v>0</v>
      </c>
    </row>
    <row r="844" spans="1:10" ht="15.75" hidden="1" thickBot="1" x14ac:dyDescent="0.3">
      <c r="A844" s="175"/>
      <c r="B844" s="178"/>
      <c r="C844" s="49"/>
      <c r="D844" s="49"/>
      <c r="E844" s="50"/>
      <c r="F844" s="51" t="s">
        <v>13</v>
      </c>
      <c r="G844" s="51" t="str">
        <f>IF(ISNUMBER(F844),E844*F844,"")</f>
        <v/>
      </c>
      <c r="H844" s="53"/>
      <c r="I844" s="38"/>
      <c r="J844" s="37">
        <v>0</v>
      </c>
    </row>
    <row r="845" spans="1:10" ht="15.75" hidden="1" thickBot="1" x14ac:dyDescent="0.3">
      <c r="A845" s="173" t="s">
        <v>193</v>
      </c>
      <c r="B845" s="176" t="s">
        <v>3157</v>
      </c>
      <c r="C845" s="31"/>
      <c r="D845" s="32" t="s">
        <v>106</v>
      </c>
      <c r="E845" s="33"/>
      <c r="F845" s="54" t="s">
        <v>13</v>
      </c>
      <c r="G845" s="34" t="str">
        <f>IF(ISNUMBER(F845),E845*F845,"")</f>
        <v/>
      </c>
      <c r="H845" s="35"/>
      <c r="I845" s="36"/>
      <c r="J845" s="37">
        <v>0</v>
      </c>
    </row>
    <row r="846" spans="1:10" hidden="1" x14ac:dyDescent="0.25">
      <c r="A846" s="179"/>
      <c r="B846" s="177"/>
      <c r="C846" s="39"/>
      <c r="D846" s="39"/>
      <c r="E846" s="40"/>
      <c r="F846" s="55" t="s">
        <v>13</v>
      </c>
      <c r="G846" s="38" t="str">
        <f>IF(ISNUMBER(F846),E846*F846,"")</f>
        <v/>
      </c>
      <c r="H846" s="42"/>
      <c r="I846" s="38"/>
      <c r="J846" s="37">
        <v>0</v>
      </c>
    </row>
    <row r="847" spans="1:10" hidden="1" x14ac:dyDescent="0.25">
      <c r="A847" s="179"/>
      <c r="B847" s="177"/>
      <c r="C847" s="43" t="s">
        <v>10831</v>
      </c>
      <c r="D847" s="43" t="s">
        <v>2800</v>
      </c>
      <c r="E847" s="44">
        <v>0.25</v>
      </c>
      <c r="F847" s="38">
        <v>28.6615</v>
      </c>
      <c r="G847" s="41">
        <f>IF(ISNUMBER(F847),E847*F847,"")</f>
        <v>7.165375</v>
      </c>
      <c r="H847" s="46">
        <f>SUM(G847:G848)</f>
        <v>7.165375</v>
      </c>
      <c r="I847" s="47"/>
      <c r="J847" s="37">
        <v>0</v>
      </c>
    </row>
    <row r="848" spans="1:10" hidden="1" x14ac:dyDescent="0.25">
      <c r="A848" s="179"/>
      <c r="B848" s="177"/>
      <c r="C848" s="43" t="s">
        <v>194</v>
      </c>
      <c r="D848" s="62" t="s">
        <v>106</v>
      </c>
      <c r="E848" s="44">
        <v>1.05</v>
      </c>
      <c r="F848" s="41" t="s">
        <v>13</v>
      </c>
      <c r="G848" s="41" t="str">
        <f>IF(ISNUMBER(F848),E848*F848,"")</f>
        <v/>
      </c>
      <c r="H848" s="42"/>
      <c r="I848" s="38"/>
      <c r="J848" s="37">
        <v>0</v>
      </c>
    </row>
    <row r="849" spans="1:10" ht="15.75" hidden="1" thickBot="1" x14ac:dyDescent="0.3">
      <c r="A849" s="180"/>
      <c r="B849" s="178"/>
      <c r="C849" s="49"/>
      <c r="D849" s="63"/>
      <c r="E849" s="50"/>
      <c r="F849" s="52" t="s">
        <v>13</v>
      </c>
      <c r="G849" s="52" t="str">
        <f>IF(ISNUMBER(F849),E849*F849,"")</f>
        <v/>
      </c>
      <c r="H849" s="53"/>
      <c r="I849" s="38"/>
      <c r="J849" s="37">
        <v>0</v>
      </c>
    </row>
    <row r="850" spans="1:10" ht="15.75" hidden="1" thickBot="1" x14ac:dyDescent="0.3">
      <c r="A850" s="173" t="s">
        <v>195</v>
      </c>
      <c r="B850" s="176" t="s">
        <v>3158</v>
      </c>
      <c r="C850" s="31"/>
      <c r="D850" s="32" t="s">
        <v>106</v>
      </c>
      <c r="E850" s="33"/>
      <c r="F850" s="54" t="s">
        <v>13</v>
      </c>
      <c r="G850" s="34" t="str">
        <f>IF(ISNUMBER(F850),E850*F850,"")</f>
        <v/>
      </c>
      <c r="H850" s="35"/>
      <c r="I850" s="36"/>
      <c r="J850" s="37">
        <v>0</v>
      </c>
    </row>
    <row r="851" spans="1:10" hidden="1" x14ac:dyDescent="0.25">
      <c r="A851" s="179"/>
      <c r="B851" s="177"/>
      <c r="C851" s="39"/>
      <c r="D851" s="39"/>
      <c r="E851" s="40"/>
      <c r="F851" s="55" t="s">
        <v>13</v>
      </c>
      <c r="G851" s="38" t="str">
        <f>IF(ISNUMBER(F851),E851*F851,"")</f>
        <v/>
      </c>
      <c r="H851" s="42"/>
      <c r="I851" s="38"/>
      <c r="J851" s="37">
        <v>0</v>
      </c>
    </row>
    <row r="852" spans="1:10" hidden="1" x14ac:dyDescent="0.25">
      <c r="A852" s="179"/>
      <c r="B852" s="177"/>
      <c r="C852" s="43" t="s">
        <v>10831</v>
      </c>
      <c r="D852" s="43" t="s">
        <v>2800</v>
      </c>
      <c r="E852" s="44">
        <v>0.5</v>
      </c>
      <c r="F852" s="38">
        <v>28.6615</v>
      </c>
      <c r="G852" s="41">
        <f>IF(ISNUMBER(F852),E852*F852,"")</f>
        <v>14.33075</v>
      </c>
      <c r="H852" s="46">
        <f>SUM(G852:G854)</f>
        <v>26.005300000000002</v>
      </c>
      <c r="I852" s="47"/>
      <c r="J852" s="37">
        <v>0</v>
      </c>
    </row>
    <row r="853" spans="1:10" hidden="1" x14ac:dyDescent="0.25">
      <c r="A853" s="179"/>
      <c r="B853" s="177"/>
      <c r="C853" s="43" t="s">
        <v>10614</v>
      </c>
      <c r="D853" s="43" t="s">
        <v>2800</v>
      </c>
      <c r="E853" s="44">
        <f>E852/2</f>
        <v>0.25</v>
      </c>
      <c r="F853" s="41">
        <v>23.693000000000001</v>
      </c>
      <c r="G853" s="38">
        <f>IF(ISNUMBER(F853),E853*F853,"")</f>
        <v>5.9232500000000003</v>
      </c>
      <c r="H853" s="42"/>
      <c r="I853" s="38"/>
      <c r="J853" s="37">
        <v>0</v>
      </c>
    </row>
    <row r="854" spans="1:10" hidden="1" x14ac:dyDescent="0.25">
      <c r="A854" s="179"/>
      <c r="B854" s="177"/>
      <c r="C854" s="43" t="s">
        <v>10892</v>
      </c>
      <c r="D854" s="43" t="s">
        <v>1044</v>
      </c>
      <c r="E854" s="44">
        <v>0.6</v>
      </c>
      <c r="F854" s="41">
        <v>9.5854999999999997</v>
      </c>
      <c r="G854" s="38">
        <f>IF(ISNUMBER(F854),E854*F854,"")</f>
        <v>5.7512999999999996</v>
      </c>
      <c r="H854" s="42"/>
      <c r="I854" s="38"/>
      <c r="J854" s="37">
        <v>0</v>
      </c>
    </row>
    <row r="855" spans="1:10" ht="15.75" hidden="1" thickBot="1" x14ac:dyDescent="0.3">
      <c r="A855" s="180"/>
      <c r="B855" s="178"/>
      <c r="C855" s="49"/>
      <c r="D855" s="49"/>
      <c r="E855" s="50"/>
      <c r="F855" s="51" t="s">
        <v>13</v>
      </c>
      <c r="G855" s="51" t="str">
        <f>IF(ISNUMBER(F855),E855*F855,"")</f>
        <v/>
      </c>
      <c r="H855" s="53"/>
      <c r="I855" s="38"/>
      <c r="J855" s="37">
        <v>0</v>
      </c>
    </row>
    <row r="856" spans="1:10" ht="15.75" hidden="1" thickBot="1" x14ac:dyDescent="0.3">
      <c r="A856" s="173" t="s">
        <v>196</v>
      </c>
      <c r="B856" s="176" t="s">
        <v>3159</v>
      </c>
      <c r="C856" s="31"/>
      <c r="D856" s="32" t="s">
        <v>68</v>
      </c>
      <c r="E856" s="33"/>
      <c r="F856" s="54" t="s">
        <v>13</v>
      </c>
      <c r="G856" s="34" t="str">
        <f>IF(ISNUMBER(F856),E856*F856,"")</f>
        <v/>
      </c>
      <c r="H856" s="35"/>
      <c r="I856" s="36"/>
      <c r="J856" s="37">
        <v>0</v>
      </c>
    </row>
    <row r="857" spans="1:10" hidden="1" x14ac:dyDescent="0.25">
      <c r="A857" s="174"/>
      <c r="B857" s="177"/>
      <c r="C857" s="39"/>
      <c r="D857" s="39"/>
      <c r="E857" s="40"/>
      <c r="F857" s="55" t="s">
        <v>13</v>
      </c>
      <c r="G857" s="38" t="str">
        <f>IF(ISNUMBER(F857),E857*F857,"")</f>
        <v/>
      </c>
      <c r="H857" s="42"/>
      <c r="I857" s="38"/>
      <c r="J857" s="37">
        <v>0</v>
      </c>
    </row>
    <row r="858" spans="1:10" hidden="1" x14ac:dyDescent="0.25">
      <c r="A858" s="174"/>
      <c r="B858" s="177"/>
      <c r="C858" s="43" t="s">
        <v>197</v>
      </c>
      <c r="D858" s="62" t="s">
        <v>68</v>
      </c>
      <c r="E858" s="44">
        <v>1</v>
      </c>
      <c r="F858" s="38" t="s">
        <v>13</v>
      </c>
      <c r="G858" s="41" t="str">
        <f>IF(ISNUMBER(F858),E858*F858,"")</f>
        <v/>
      </c>
      <c r="H858" s="46">
        <f>SUM(G858:G860)</f>
        <v>130.88625000000002</v>
      </c>
      <c r="I858" s="47"/>
      <c r="J858" s="37">
        <v>0</v>
      </c>
    </row>
    <row r="859" spans="1:10" hidden="1" x14ac:dyDescent="0.25">
      <c r="A859" s="174"/>
      <c r="B859" s="177"/>
      <c r="C859" s="43" t="s">
        <v>10614</v>
      </c>
      <c r="D859" s="43" t="s">
        <v>2800</v>
      </c>
      <c r="E859" s="44">
        <v>2.5</v>
      </c>
      <c r="F859" s="38">
        <v>23.693000000000001</v>
      </c>
      <c r="G859" s="41">
        <f>IF(ISNUMBER(F859),E859*F859,"")</f>
        <v>59.232500000000002</v>
      </c>
      <c r="H859" s="42"/>
      <c r="I859" s="38"/>
      <c r="J859" s="37">
        <v>0</v>
      </c>
    </row>
    <row r="860" spans="1:10" hidden="1" x14ac:dyDescent="0.25">
      <c r="A860" s="174"/>
      <c r="B860" s="177"/>
      <c r="C860" s="43" t="s">
        <v>10831</v>
      </c>
      <c r="D860" s="43" t="s">
        <v>2800</v>
      </c>
      <c r="E860" s="44">
        <v>2.5</v>
      </c>
      <c r="F860" s="38">
        <v>28.6615</v>
      </c>
      <c r="G860" s="41">
        <f>IF(ISNUMBER(F860),E860*F860,"")</f>
        <v>71.653750000000002</v>
      </c>
      <c r="H860" s="42"/>
      <c r="I860" s="38"/>
      <c r="J860" s="37">
        <v>0</v>
      </c>
    </row>
    <row r="861" spans="1:10" ht="15.75" hidden="1" thickBot="1" x14ac:dyDescent="0.3">
      <c r="A861" s="175"/>
      <c r="B861" s="178"/>
      <c r="C861" s="49"/>
      <c r="D861" s="49"/>
      <c r="E861" s="50"/>
      <c r="F861" s="51" t="s">
        <v>13</v>
      </c>
      <c r="G861" s="51" t="str">
        <f>IF(ISNUMBER(F861),E861*F861,"")</f>
        <v/>
      </c>
      <c r="H861" s="53"/>
      <c r="I861" s="38"/>
      <c r="J861" s="37">
        <v>0</v>
      </c>
    </row>
    <row r="862" spans="1:10" ht="15.75" hidden="1" thickBot="1" x14ac:dyDescent="0.3">
      <c r="A862" s="173" t="s">
        <v>198</v>
      </c>
      <c r="B862" s="176" t="s">
        <v>3160</v>
      </c>
      <c r="C862" s="31"/>
      <c r="D862" s="32" t="s">
        <v>68</v>
      </c>
      <c r="E862" s="33"/>
      <c r="F862" s="54" t="s">
        <v>13</v>
      </c>
      <c r="G862" s="34" t="str">
        <f>IF(ISNUMBER(F862),E862*F862,"")</f>
        <v/>
      </c>
      <c r="H862" s="35"/>
      <c r="I862" s="36"/>
      <c r="J862" s="37">
        <v>0</v>
      </c>
    </row>
    <row r="863" spans="1:10" hidden="1" x14ac:dyDescent="0.25">
      <c r="A863" s="174"/>
      <c r="B863" s="177"/>
      <c r="C863" s="39"/>
      <c r="D863" s="39"/>
      <c r="E863" s="40"/>
      <c r="F863" s="55" t="s">
        <v>13</v>
      </c>
      <c r="G863" s="38" t="str">
        <f>IF(ISNUMBER(F863),E863*F863,"")</f>
        <v/>
      </c>
      <c r="H863" s="42"/>
      <c r="I863" s="38"/>
      <c r="J863" s="37">
        <v>0</v>
      </c>
    </row>
    <row r="864" spans="1:10" hidden="1" x14ac:dyDescent="0.25">
      <c r="A864" s="174"/>
      <c r="B864" s="177"/>
      <c r="C864" s="43" t="s">
        <v>10831</v>
      </c>
      <c r="D864" s="43" t="s">
        <v>2800</v>
      </c>
      <c r="E864" s="44">
        <v>1</v>
      </c>
      <c r="F864" s="38">
        <v>28.6615</v>
      </c>
      <c r="G864" s="41">
        <f>IF(ISNUMBER(F864),E864*F864,"")</f>
        <v>28.6615</v>
      </c>
      <c r="H864" s="46">
        <f>SUM(G864:G865)</f>
        <v>47.832499999999996</v>
      </c>
      <c r="I864" s="47"/>
      <c r="J864" s="37">
        <v>0</v>
      </c>
    </row>
    <row r="865" spans="1:10" hidden="1" x14ac:dyDescent="0.25">
      <c r="A865" s="174"/>
      <c r="B865" s="177"/>
      <c r="C865" s="43" t="s">
        <v>10892</v>
      </c>
      <c r="D865" s="43" t="s">
        <v>1044</v>
      </c>
      <c r="E865" s="44">
        <v>2</v>
      </c>
      <c r="F865" s="41">
        <v>9.5854999999999997</v>
      </c>
      <c r="G865" s="41">
        <f>IF(ISNUMBER(F865),E865*F865,"")</f>
        <v>19.170999999999999</v>
      </c>
      <c r="H865" s="42"/>
      <c r="I865" s="38"/>
      <c r="J865" s="37">
        <v>0</v>
      </c>
    </row>
    <row r="866" spans="1:10" ht="15.75" hidden="1" thickBot="1" x14ac:dyDescent="0.3">
      <c r="A866" s="175"/>
      <c r="B866" s="178"/>
      <c r="C866" s="49"/>
      <c r="D866" s="63"/>
      <c r="E866" s="50"/>
      <c r="F866" s="52" t="s">
        <v>13</v>
      </c>
      <c r="G866" s="52" t="str">
        <f>IF(ISNUMBER(F866),E866*F866,"")</f>
        <v/>
      </c>
      <c r="H866" s="53"/>
      <c r="I866" s="38"/>
      <c r="J866" s="37">
        <v>0</v>
      </c>
    </row>
    <row r="867" spans="1:10" ht="15.75" hidden="1" thickBot="1" x14ac:dyDescent="0.3">
      <c r="A867" s="173" t="s">
        <v>199</v>
      </c>
      <c r="B867" s="176" t="s">
        <v>3161</v>
      </c>
      <c r="C867" s="31"/>
      <c r="D867" s="32" t="s">
        <v>106</v>
      </c>
      <c r="E867" s="33"/>
      <c r="F867" s="54" t="s">
        <v>13</v>
      </c>
      <c r="G867" s="34" t="str">
        <f>IF(ISNUMBER(F867),E867*F867,"")</f>
        <v/>
      </c>
      <c r="H867" s="35"/>
      <c r="I867" s="36"/>
      <c r="J867" s="37">
        <v>0</v>
      </c>
    </row>
    <row r="868" spans="1:10" hidden="1" x14ac:dyDescent="0.25">
      <c r="A868" s="179"/>
      <c r="B868" s="177"/>
      <c r="C868" s="39"/>
      <c r="D868" s="39"/>
      <c r="E868" s="40"/>
      <c r="F868" s="55" t="s">
        <v>13</v>
      </c>
      <c r="G868" s="38" t="str">
        <f>IF(ISNUMBER(F868),E868*F868,"")</f>
        <v/>
      </c>
      <c r="H868" s="42"/>
      <c r="I868" s="38"/>
      <c r="J868" s="37">
        <v>0</v>
      </c>
    </row>
    <row r="869" spans="1:10" hidden="1" x14ac:dyDescent="0.25">
      <c r="A869" s="179"/>
      <c r="B869" s="177"/>
      <c r="C869" s="43" t="s">
        <v>10831</v>
      </c>
      <c r="D869" s="43" t="s">
        <v>2800</v>
      </c>
      <c r="E869" s="44">
        <v>0.3</v>
      </c>
      <c r="F869" s="38">
        <v>28.6615</v>
      </c>
      <c r="G869" s="38">
        <f>IF(ISNUMBER(F869),E869*F869,"")</f>
        <v>8.5984499999999997</v>
      </c>
      <c r="H869" s="46">
        <f>SUM(G869:G871)</f>
        <v>25.088245049999998</v>
      </c>
      <c r="I869" s="47"/>
      <c r="J869" s="37">
        <v>0</v>
      </c>
    </row>
    <row r="870" spans="1:10" hidden="1" x14ac:dyDescent="0.25">
      <c r="A870" s="179"/>
      <c r="B870" s="177"/>
      <c r="C870" s="43" t="s">
        <v>10614</v>
      </c>
      <c r="D870" s="43" t="s">
        <v>2800</v>
      </c>
      <c r="E870" s="44">
        <v>0.3</v>
      </c>
      <c r="F870" s="41">
        <v>23.693000000000001</v>
      </c>
      <c r="G870" s="38">
        <f>IF(ISNUMBER(F870),E870*F870,"")</f>
        <v>7.1078999999999999</v>
      </c>
      <c r="H870" s="42"/>
      <c r="I870" s="38"/>
      <c r="J870" s="37">
        <v>0</v>
      </c>
    </row>
    <row r="871" spans="1:10" hidden="1" x14ac:dyDescent="0.25">
      <c r="A871" s="179"/>
      <c r="B871" s="177"/>
      <c r="C871" s="43" t="s">
        <v>10893</v>
      </c>
      <c r="D871" s="43" t="s">
        <v>83</v>
      </c>
      <c r="E871" s="44">
        <f>ROUND(1/3,4)</f>
        <v>0.33329999999999999</v>
      </c>
      <c r="F871" s="41">
        <v>28.148499999999999</v>
      </c>
      <c r="G871" s="38">
        <f>IF(ISNUMBER(F871),E871*F871,"")</f>
        <v>9.3818950499999989</v>
      </c>
      <c r="H871" s="42"/>
      <c r="I871" s="38"/>
      <c r="J871" s="37">
        <v>0</v>
      </c>
    </row>
    <row r="872" spans="1:10" hidden="1" x14ac:dyDescent="0.25">
      <c r="A872" s="179"/>
      <c r="B872" s="177"/>
      <c r="C872" s="43"/>
      <c r="D872" s="62"/>
      <c r="E872" s="44"/>
      <c r="F872" s="38" t="s">
        <v>13</v>
      </c>
      <c r="G872" s="38" t="str">
        <f>IF(ISNUMBER(F872),E872*F872,"")</f>
        <v/>
      </c>
      <c r="H872" s="42"/>
      <c r="I872" s="38"/>
      <c r="J872" s="37">
        <v>0</v>
      </c>
    </row>
    <row r="873" spans="1:10" ht="25.5" hidden="1" x14ac:dyDescent="0.25">
      <c r="A873" s="179"/>
      <c r="B873" s="177"/>
      <c r="C873" s="5" t="s">
        <v>200</v>
      </c>
      <c r="D873" s="5"/>
      <c r="E873" s="75"/>
      <c r="F873" s="76" t="s">
        <v>13</v>
      </c>
      <c r="G873" s="5" t="str">
        <f>IF(ISNUMBER(F873),E873*F873,"")</f>
        <v/>
      </c>
      <c r="H873" s="77"/>
      <c r="I873" s="5"/>
      <c r="J873" s="37">
        <v>0</v>
      </c>
    </row>
    <row r="874" spans="1:10" ht="15.75" hidden="1" thickBot="1" x14ac:dyDescent="0.3">
      <c r="A874" s="180"/>
      <c r="B874" s="178"/>
      <c r="C874" s="49"/>
      <c r="D874" s="49"/>
      <c r="E874" s="50"/>
      <c r="F874" s="51" t="s">
        <v>13</v>
      </c>
      <c r="G874" s="51" t="str">
        <f>IF(ISNUMBER(F874),E874*F874,"")</f>
        <v/>
      </c>
      <c r="H874" s="53"/>
      <c r="I874" s="38"/>
      <c r="J874" s="37">
        <v>0</v>
      </c>
    </row>
    <row r="875" spans="1:10" ht="15.75" hidden="1" thickBot="1" x14ac:dyDescent="0.3">
      <c r="A875" s="173" t="s">
        <v>201</v>
      </c>
      <c r="B875" s="176" t="s">
        <v>3162</v>
      </c>
      <c r="C875" s="31"/>
      <c r="D875" s="32" t="s">
        <v>68</v>
      </c>
      <c r="E875" s="33"/>
      <c r="F875" s="54" t="s">
        <v>13</v>
      </c>
      <c r="G875" s="34" t="str">
        <f>IF(ISNUMBER(F875),E875*F875,"")</f>
        <v/>
      </c>
      <c r="H875" s="35"/>
      <c r="I875" s="36"/>
      <c r="J875" s="37">
        <v>0</v>
      </c>
    </row>
    <row r="876" spans="1:10" hidden="1" x14ac:dyDescent="0.25">
      <c r="A876" s="179"/>
      <c r="B876" s="177"/>
      <c r="C876" s="39"/>
      <c r="D876" s="39"/>
      <c r="E876" s="40"/>
      <c r="F876" s="55" t="s">
        <v>13</v>
      </c>
      <c r="G876" s="38" t="str">
        <f>IF(ISNUMBER(F876),E876*F876,"")</f>
        <v/>
      </c>
      <c r="H876" s="42"/>
      <c r="I876" s="38"/>
      <c r="J876" s="37">
        <v>0</v>
      </c>
    </row>
    <row r="877" spans="1:10" hidden="1" x14ac:dyDescent="0.25">
      <c r="A877" s="179"/>
      <c r="B877" s="177"/>
      <c r="C877" s="43" t="s">
        <v>10894</v>
      </c>
      <c r="D877" s="43" t="s">
        <v>162</v>
      </c>
      <c r="E877" s="44">
        <v>1</v>
      </c>
      <c r="F877" s="38">
        <v>150.57499999999999</v>
      </c>
      <c r="G877" s="41">
        <f>IF(ISNUMBER(F877),E877*F877,"")</f>
        <v>150.57499999999999</v>
      </c>
      <c r="H877" s="46">
        <f>SUM(G877:G881)</f>
        <v>200.55623850000001</v>
      </c>
      <c r="I877" s="47"/>
      <c r="J877" s="37">
        <v>0</v>
      </c>
    </row>
    <row r="878" spans="1:10" hidden="1" x14ac:dyDescent="0.25">
      <c r="A878" s="179"/>
      <c r="B878" s="177"/>
      <c r="C878" s="43" t="s">
        <v>10895</v>
      </c>
      <c r="D878" s="43" t="s">
        <v>1044</v>
      </c>
      <c r="E878" s="44">
        <v>3.3000000000000002E-2</v>
      </c>
      <c r="F878" s="41">
        <v>20.690999999999999</v>
      </c>
      <c r="G878" s="41">
        <f>IF(ISNUMBER(F878),E878*F878,"")</f>
        <v>0.68280300000000005</v>
      </c>
      <c r="H878" s="42"/>
      <c r="I878" s="38"/>
      <c r="J878" s="37">
        <v>0</v>
      </c>
    </row>
    <row r="879" spans="1:10" hidden="1" x14ac:dyDescent="0.25">
      <c r="A879" s="179"/>
      <c r="B879" s="177"/>
      <c r="C879" s="43" t="s">
        <v>10893</v>
      </c>
      <c r="D879" s="43" t="s">
        <v>83</v>
      </c>
      <c r="E879" s="44">
        <v>0.56499999999999995</v>
      </c>
      <c r="F879" s="41">
        <v>28.148499999999999</v>
      </c>
      <c r="G879" s="41">
        <f>IF(ISNUMBER(F879),E879*F879,"")</f>
        <v>15.903902499999997</v>
      </c>
      <c r="H879" s="42"/>
      <c r="I879" s="38"/>
      <c r="J879" s="37">
        <v>0</v>
      </c>
    </row>
    <row r="880" spans="1:10" hidden="1" x14ac:dyDescent="0.25">
      <c r="A880" s="179"/>
      <c r="B880" s="177"/>
      <c r="C880" s="43" t="s">
        <v>10614</v>
      </c>
      <c r="D880" s="43" t="s">
        <v>2800</v>
      </c>
      <c r="E880" s="44">
        <v>0.628</v>
      </c>
      <c r="F880" s="41">
        <v>23.693000000000001</v>
      </c>
      <c r="G880" s="41">
        <f>IF(ISNUMBER(F880),E880*F880,"")</f>
        <v>14.879204000000001</v>
      </c>
      <c r="H880" s="42"/>
      <c r="I880" s="38"/>
      <c r="J880" s="37">
        <v>0</v>
      </c>
    </row>
    <row r="881" spans="1:10" hidden="1" x14ac:dyDescent="0.25">
      <c r="A881" s="179"/>
      <c r="B881" s="177"/>
      <c r="C881" s="43" t="s">
        <v>10831</v>
      </c>
      <c r="D881" s="43" t="s">
        <v>2800</v>
      </c>
      <c r="E881" s="44">
        <v>0.64600000000000002</v>
      </c>
      <c r="F881" s="41">
        <v>28.6615</v>
      </c>
      <c r="G881" s="41">
        <f>IF(ISNUMBER(F881),E881*F881,"")</f>
        <v>18.515329000000001</v>
      </c>
      <c r="H881" s="42"/>
      <c r="I881" s="38"/>
      <c r="J881" s="37">
        <v>0</v>
      </c>
    </row>
    <row r="882" spans="1:10" ht="15.75" hidden="1" thickBot="1" x14ac:dyDescent="0.3">
      <c r="A882" s="180"/>
      <c r="B882" s="178"/>
      <c r="C882" s="49"/>
      <c r="D882" s="49"/>
      <c r="E882" s="50"/>
      <c r="F882" s="51" t="s">
        <v>13</v>
      </c>
      <c r="G882" s="51" t="str">
        <f>IF(ISNUMBER(F882),E882*F882,"")</f>
        <v/>
      </c>
      <c r="H882" s="53"/>
      <c r="I882" s="38"/>
      <c r="J882" s="37">
        <v>0</v>
      </c>
    </row>
    <row r="883" spans="1:10" ht="15.75" hidden="1" thickBot="1" x14ac:dyDescent="0.3">
      <c r="A883" s="173" t="s">
        <v>202</v>
      </c>
      <c r="B883" s="176" t="s">
        <v>3163</v>
      </c>
      <c r="C883" s="31"/>
      <c r="D883" s="32" t="s">
        <v>68</v>
      </c>
      <c r="E883" s="33"/>
      <c r="F883" s="54" t="s">
        <v>13</v>
      </c>
      <c r="G883" s="34" t="str">
        <f>IF(ISNUMBER(F883),E883*F883,"")</f>
        <v/>
      </c>
      <c r="H883" s="35"/>
      <c r="I883" s="36"/>
      <c r="J883" s="37">
        <v>0</v>
      </c>
    </row>
    <row r="884" spans="1:10" hidden="1" x14ac:dyDescent="0.25">
      <c r="A884" s="179"/>
      <c r="B884" s="177"/>
      <c r="C884" s="39"/>
      <c r="D884" s="39"/>
      <c r="E884" s="40"/>
      <c r="F884" s="55" t="s">
        <v>13</v>
      </c>
      <c r="G884" s="38" t="str">
        <f>IF(ISNUMBER(F884),E884*F884,"")</f>
        <v/>
      </c>
      <c r="H884" s="42"/>
      <c r="I884" s="38"/>
      <c r="J884" s="37">
        <v>0</v>
      </c>
    </row>
    <row r="885" spans="1:10" hidden="1" x14ac:dyDescent="0.25">
      <c r="A885" s="179"/>
      <c r="B885" s="177"/>
      <c r="C885" s="43" t="s">
        <v>10896</v>
      </c>
      <c r="D885" s="43" t="s">
        <v>162</v>
      </c>
      <c r="E885" s="44">
        <v>1</v>
      </c>
      <c r="F885" s="38">
        <v>213.31299999999999</v>
      </c>
      <c r="G885" s="38">
        <f>IF(ISNUMBER(F885),E885*F885,"")</f>
        <v>213.31299999999999</v>
      </c>
      <c r="H885" s="46">
        <f>SUM(G885:G889)</f>
        <v>244.16357549999998</v>
      </c>
      <c r="I885" s="47"/>
      <c r="J885" s="37">
        <v>0</v>
      </c>
    </row>
    <row r="886" spans="1:10" hidden="1" x14ac:dyDescent="0.25">
      <c r="A886" s="179"/>
      <c r="B886" s="177"/>
      <c r="C886" s="43" t="s">
        <v>10895</v>
      </c>
      <c r="D886" s="43" t="s">
        <v>1044</v>
      </c>
      <c r="E886" s="44">
        <v>2.1000000000000001E-2</v>
      </c>
      <c r="F886" s="41">
        <v>20.690999999999999</v>
      </c>
      <c r="G886" s="38">
        <f>IF(ISNUMBER(F886),E886*F886,"")</f>
        <v>0.43451099999999998</v>
      </c>
      <c r="H886" s="42"/>
      <c r="I886" s="38"/>
      <c r="J886" s="37">
        <v>0</v>
      </c>
    </row>
    <row r="887" spans="1:10" hidden="1" x14ac:dyDescent="0.25">
      <c r="A887" s="179"/>
      <c r="B887" s="177"/>
      <c r="C887" s="43" t="s">
        <v>10893</v>
      </c>
      <c r="D887" s="43" t="s">
        <v>83</v>
      </c>
      <c r="E887" s="44">
        <v>0.35699999999999998</v>
      </c>
      <c r="F887" s="41">
        <v>28.148499999999999</v>
      </c>
      <c r="G887" s="38">
        <f>IF(ISNUMBER(F887),E887*F887,"")</f>
        <v>10.049014499999998</v>
      </c>
      <c r="H887" s="42"/>
      <c r="I887" s="38"/>
      <c r="J887" s="37">
        <v>0</v>
      </c>
    </row>
    <row r="888" spans="1:10" hidden="1" x14ac:dyDescent="0.25">
      <c r="A888" s="179"/>
      <c r="B888" s="177"/>
      <c r="C888" s="43" t="s">
        <v>10614</v>
      </c>
      <c r="D888" s="43" t="s">
        <v>2800</v>
      </c>
      <c r="E888" s="44">
        <v>0.38300000000000001</v>
      </c>
      <c r="F888" s="41">
        <v>23.693000000000001</v>
      </c>
      <c r="G888" s="38">
        <f>IF(ISNUMBER(F888),E888*F888,"")</f>
        <v>9.0744190000000007</v>
      </c>
      <c r="H888" s="42"/>
      <c r="I888" s="38"/>
      <c r="J888" s="37">
        <v>0</v>
      </c>
    </row>
    <row r="889" spans="1:10" hidden="1" x14ac:dyDescent="0.25">
      <c r="A889" s="179"/>
      <c r="B889" s="177"/>
      <c r="C889" s="43" t="s">
        <v>10831</v>
      </c>
      <c r="D889" s="43" t="s">
        <v>2800</v>
      </c>
      <c r="E889" s="44">
        <v>0.39400000000000002</v>
      </c>
      <c r="F889" s="41">
        <v>28.6615</v>
      </c>
      <c r="G889" s="38">
        <f>IF(ISNUMBER(F889),E889*F889,"")</f>
        <v>11.292631</v>
      </c>
      <c r="H889" s="42"/>
      <c r="I889" s="38"/>
      <c r="J889" s="37">
        <v>0</v>
      </c>
    </row>
    <row r="890" spans="1:10" ht="15.75" hidden="1" thickBot="1" x14ac:dyDescent="0.3">
      <c r="A890" s="180"/>
      <c r="B890" s="178"/>
      <c r="C890" s="49"/>
      <c r="D890" s="49"/>
      <c r="E890" s="50"/>
      <c r="F890" s="51" t="s">
        <v>13</v>
      </c>
      <c r="G890" s="51" t="str">
        <f>IF(ISNUMBER(F890),E890*F890,"")</f>
        <v/>
      </c>
      <c r="H890" s="53"/>
      <c r="I890" s="38"/>
      <c r="J890" s="37">
        <v>0</v>
      </c>
    </row>
    <row r="891" spans="1:10" ht="15.75" hidden="1" thickBot="1" x14ac:dyDescent="0.3">
      <c r="A891" s="173" t="s">
        <v>203</v>
      </c>
      <c r="B891" s="176" t="s">
        <v>3164</v>
      </c>
      <c r="C891" s="31"/>
      <c r="D891" s="32" t="s">
        <v>68</v>
      </c>
      <c r="E891" s="33"/>
      <c r="F891" s="54" t="s">
        <v>13</v>
      </c>
      <c r="G891" s="34" t="str">
        <f>IF(ISNUMBER(F891),E891*F891,"")</f>
        <v/>
      </c>
      <c r="H891" s="35"/>
      <c r="I891" s="36"/>
      <c r="J891" s="37">
        <v>0</v>
      </c>
    </row>
    <row r="892" spans="1:10" hidden="1" x14ac:dyDescent="0.25">
      <c r="A892" s="174"/>
      <c r="B892" s="177"/>
      <c r="C892" s="39"/>
      <c r="D892" s="39"/>
      <c r="E892" s="40"/>
      <c r="F892" s="55" t="s">
        <v>13</v>
      </c>
      <c r="G892" s="38" t="str">
        <f>IF(ISNUMBER(F892),E892*F892,"")</f>
        <v/>
      </c>
      <c r="H892" s="42"/>
      <c r="I892" s="38"/>
      <c r="J892" s="37">
        <v>0</v>
      </c>
    </row>
    <row r="893" spans="1:10" hidden="1" x14ac:dyDescent="0.25">
      <c r="A893" s="174"/>
      <c r="B893" s="177"/>
      <c r="C893" s="43" t="s">
        <v>10831</v>
      </c>
      <c r="D893" s="43" t="s">
        <v>2800</v>
      </c>
      <c r="E893" s="44">
        <f>2.2/2</f>
        <v>1.1000000000000001</v>
      </c>
      <c r="F893" s="38">
        <v>28.6615</v>
      </c>
      <c r="G893" s="41">
        <f>IF(ISNUMBER(F893),E893*F893,"")</f>
        <v>31.527650000000001</v>
      </c>
      <c r="H893" s="46">
        <f>SUM(G893:G894)</f>
        <v>57.589950000000002</v>
      </c>
      <c r="I893" s="47"/>
      <c r="J893" s="37">
        <v>0</v>
      </c>
    </row>
    <row r="894" spans="1:10" hidden="1" x14ac:dyDescent="0.25">
      <c r="A894" s="174"/>
      <c r="B894" s="177"/>
      <c r="C894" s="43" t="s">
        <v>10614</v>
      </c>
      <c r="D894" s="43" t="s">
        <v>2800</v>
      </c>
      <c r="E894" s="44">
        <f>2.2/2</f>
        <v>1.1000000000000001</v>
      </c>
      <c r="F894" s="38">
        <v>23.693000000000001</v>
      </c>
      <c r="G894" s="41">
        <f>IF(ISNUMBER(F894),E894*F894,"")</f>
        <v>26.062300000000004</v>
      </c>
      <c r="H894" s="42"/>
      <c r="I894" s="38"/>
      <c r="J894" s="37">
        <v>0</v>
      </c>
    </row>
    <row r="895" spans="1:10" ht="15.75" hidden="1" thickBot="1" x14ac:dyDescent="0.3">
      <c r="A895" s="175"/>
      <c r="B895" s="178"/>
      <c r="C895" s="49"/>
      <c r="D895" s="49"/>
      <c r="E895" s="50"/>
      <c r="F895" s="51" t="s">
        <v>13</v>
      </c>
      <c r="G895" s="51" t="str">
        <f>IF(ISNUMBER(F895),E895*F895,"")</f>
        <v/>
      </c>
      <c r="H895" s="53"/>
      <c r="I895" s="38"/>
      <c r="J895" s="37">
        <v>0</v>
      </c>
    </row>
    <row r="896" spans="1:10" ht="15.75" hidden="1" thickBot="1" x14ac:dyDescent="0.3">
      <c r="A896" s="173" t="s">
        <v>204</v>
      </c>
      <c r="B896" s="176" t="s">
        <v>3165</v>
      </c>
      <c r="C896" s="31"/>
      <c r="D896" s="32" t="s">
        <v>18</v>
      </c>
      <c r="E896" s="33"/>
      <c r="F896" s="54" t="s">
        <v>13</v>
      </c>
      <c r="G896" s="34" t="str">
        <f>IF(ISNUMBER(F896),E896*F896,"")</f>
        <v/>
      </c>
      <c r="H896" s="35"/>
      <c r="I896" s="36"/>
      <c r="J896" s="37">
        <v>0</v>
      </c>
    </row>
    <row r="897" spans="1:10" hidden="1" x14ac:dyDescent="0.25">
      <c r="A897" s="174"/>
      <c r="B897" s="177"/>
      <c r="C897" s="39"/>
      <c r="D897" s="39"/>
      <c r="E897" s="40"/>
      <c r="F897" s="55" t="s">
        <v>13</v>
      </c>
      <c r="G897" s="38" t="str">
        <f>IF(ISNUMBER(F897),E897*F897,"")</f>
        <v/>
      </c>
      <c r="H897" s="42"/>
      <c r="I897" s="38"/>
      <c r="J897" s="37">
        <v>0</v>
      </c>
    </row>
    <row r="898" spans="1:10" hidden="1" x14ac:dyDescent="0.25">
      <c r="A898" s="174"/>
      <c r="B898" s="177"/>
      <c r="C898" s="43" t="s">
        <v>10831</v>
      </c>
      <c r="D898" s="43" t="s">
        <v>2800</v>
      </c>
      <c r="E898" s="44">
        <v>1.8180000000000001</v>
      </c>
      <c r="F898" s="38">
        <v>28.6615</v>
      </c>
      <c r="G898" s="41">
        <f>IF(ISNUMBER(F898),E898*F898,"")</f>
        <v>52.106607000000004</v>
      </c>
      <c r="H898" s="46">
        <f>SUM(G898:G901)</f>
        <v>93.972138000000001</v>
      </c>
      <c r="I898" s="47"/>
      <c r="J898" s="37">
        <v>0</v>
      </c>
    </row>
    <row r="899" spans="1:10" hidden="1" x14ac:dyDescent="0.25">
      <c r="A899" s="174"/>
      <c r="B899" s="177"/>
      <c r="C899" s="43" t="s">
        <v>10614</v>
      </c>
      <c r="D899" s="43" t="s">
        <v>2800</v>
      </c>
      <c r="E899" s="44">
        <v>1.7669999999999999</v>
      </c>
      <c r="F899" s="38">
        <v>23.693000000000001</v>
      </c>
      <c r="G899" s="41">
        <f>IF(ISNUMBER(F899),E899*F899,"")</f>
        <v>41.865530999999997</v>
      </c>
      <c r="H899" s="58"/>
      <c r="I899" s="59"/>
      <c r="J899" s="37">
        <v>0</v>
      </c>
    </row>
    <row r="900" spans="1:10" ht="38.25" hidden="1" x14ac:dyDescent="0.25">
      <c r="A900" s="174"/>
      <c r="B900" s="177"/>
      <c r="C900" s="43" t="s">
        <v>205</v>
      </c>
      <c r="D900" s="43" t="s">
        <v>18</v>
      </c>
      <c r="E900" s="44">
        <v>1</v>
      </c>
      <c r="F900" s="38" t="s">
        <v>13</v>
      </c>
      <c r="G900" s="38" t="str">
        <f>IF(ISNUMBER(F900),E900*F900,"")</f>
        <v/>
      </c>
      <c r="H900" s="42"/>
      <c r="I900" s="38"/>
      <c r="J900" s="37">
        <v>0</v>
      </c>
    </row>
    <row r="901" spans="1:10" hidden="1" x14ac:dyDescent="0.25">
      <c r="A901" s="174"/>
      <c r="B901" s="177"/>
      <c r="C901" s="43" t="s">
        <v>206</v>
      </c>
      <c r="D901" s="43" t="s">
        <v>18</v>
      </c>
      <c r="E901" s="44">
        <v>1</v>
      </c>
      <c r="F901" s="38" t="s">
        <v>13</v>
      </c>
      <c r="G901" s="38" t="str">
        <f>IF(ISNUMBER(F901),E901*F901,"")</f>
        <v/>
      </c>
      <c r="H901" s="42"/>
      <c r="I901" s="38"/>
      <c r="J901" s="37">
        <v>0</v>
      </c>
    </row>
    <row r="902" spans="1:10" ht="15.75" hidden="1" thickBot="1" x14ac:dyDescent="0.3">
      <c r="A902" s="175"/>
      <c r="B902" s="178"/>
      <c r="C902" s="49"/>
      <c r="D902" s="49"/>
      <c r="E902" s="50"/>
      <c r="F902" s="51" t="s">
        <v>13</v>
      </c>
      <c r="G902" s="51" t="str">
        <f>IF(ISNUMBER(F902),E902*F902,"")</f>
        <v/>
      </c>
      <c r="H902" s="53"/>
      <c r="I902" s="38"/>
      <c r="J902" s="37">
        <v>0</v>
      </c>
    </row>
    <row r="903" spans="1:10" ht="15.75" hidden="1" thickBot="1" x14ac:dyDescent="0.3">
      <c r="A903" s="173" t="s">
        <v>207</v>
      </c>
      <c r="B903" s="176" t="s">
        <v>3166</v>
      </c>
      <c r="C903" s="31"/>
      <c r="D903" s="32" t="s">
        <v>106</v>
      </c>
      <c r="E903" s="33"/>
      <c r="F903" s="54" t="s">
        <v>13</v>
      </c>
      <c r="G903" s="34" t="str">
        <f>IF(ISNUMBER(F903),E903*F903,"")</f>
        <v/>
      </c>
      <c r="H903" s="35"/>
      <c r="I903" s="36"/>
      <c r="J903" s="37">
        <v>0</v>
      </c>
    </row>
    <row r="904" spans="1:10" hidden="1" x14ac:dyDescent="0.25">
      <c r="A904" s="174"/>
      <c r="B904" s="177"/>
      <c r="C904" s="39"/>
      <c r="D904" s="39"/>
      <c r="E904" s="40"/>
      <c r="F904" s="55" t="s">
        <v>13</v>
      </c>
      <c r="G904" s="38" t="str">
        <f>IF(ISNUMBER(F904),E904*F904,"")</f>
        <v/>
      </c>
      <c r="H904" s="42"/>
      <c r="I904" s="38"/>
      <c r="J904" s="37">
        <v>0</v>
      </c>
    </row>
    <row r="905" spans="1:10" hidden="1" x14ac:dyDescent="0.25">
      <c r="A905" s="174"/>
      <c r="B905" s="177"/>
      <c r="C905" s="43" t="s">
        <v>10750</v>
      </c>
      <c r="D905" s="43" t="s">
        <v>2800</v>
      </c>
      <c r="E905" s="44">
        <f>ROUND(1/3,4)</f>
        <v>0.33329999999999999</v>
      </c>
      <c r="F905" s="38">
        <v>24.358000000000001</v>
      </c>
      <c r="G905" s="41">
        <f>IF(ISNUMBER(F905),E905*F905,"")</f>
        <v>8.1185214000000006</v>
      </c>
      <c r="H905" s="46">
        <f>SUM(G905:G905)</f>
        <v>8.1185214000000006</v>
      </c>
      <c r="I905" s="47"/>
      <c r="J905" s="37">
        <v>0</v>
      </c>
    </row>
    <row r="906" spans="1:10" ht="15.75" hidden="1" thickBot="1" x14ac:dyDescent="0.3">
      <c r="A906" s="175"/>
      <c r="B906" s="178"/>
      <c r="C906" s="49"/>
      <c r="D906" s="49"/>
      <c r="E906" s="50"/>
      <c r="F906" s="51" t="s">
        <v>13</v>
      </c>
      <c r="G906" s="51" t="str">
        <f>IF(ISNUMBER(F906),E906*F906,"")</f>
        <v/>
      </c>
      <c r="H906" s="53"/>
      <c r="I906" s="38"/>
      <c r="J906" s="37">
        <v>0</v>
      </c>
    </row>
    <row r="907" spans="1:10" ht="15.75" hidden="1" thickBot="1" x14ac:dyDescent="0.3">
      <c r="A907" s="173" t="s">
        <v>208</v>
      </c>
      <c r="B907" s="176" t="s">
        <v>209</v>
      </c>
      <c r="C907" s="31"/>
      <c r="D907" s="32" t="s">
        <v>68</v>
      </c>
      <c r="E907" s="33"/>
      <c r="F907" s="54" t="s">
        <v>13</v>
      </c>
      <c r="G907" s="34" t="str">
        <f>IF(ISNUMBER(F907),E907*F907,"")</f>
        <v/>
      </c>
      <c r="H907" s="35"/>
      <c r="I907" s="36"/>
      <c r="J907" s="37">
        <v>0</v>
      </c>
    </row>
    <row r="908" spans="1:10" hidden="1" x14ac:dyDescent="0.25">
      <c r="A908" s="174"/>
      <c r="B908" s="177"/>
      <c r="C908" s="39"/>
      <c r="D908" s="39"/>
      <c r="E908" s="40"/>
      <c r="F908" s="55" t="s">
        <v>13</v>
      </c>
      <c r="G908" s="38" t="str">
        <f>IF(ISNUMBER(F908),E908*F908,"")</f>
        <v/>
      </c>
      <c r="H908" s="42"/>
      <c r="I908" s="38"/>
      <c r="J908" s="37">
        <v>0</v>
      </c>
    </row>
    <row r="909" spans="1:10" hidden="1" x14ac:dyDescent="0.25">
      <c r="A909" s="174"/>
      <c r="B909" s="177"/>
      <c r="C909" s="43" t="s">
        <v>10831</v>
      </c>
      <c r="D909" s="43" t="s">
        <v>2800</v>
      </c>
      <c r="E909" s="44">
        <v>0.15</v>
      </c>
      <c r="F909" s="38">
        <v>28.6615</v>
      </c>
      <c r="G909" s="41">
        <f>IF(ISNUMBER(F909),E909*F909,"")</f>
        <v>4.2992249999999999</v>
      </c>
      <c r="H909" s="46">
        <f>SUM(G909:G910)</f>
        <v>4.2992249999999999</v>
      </c>
      <c r="I909" s="47"/>
      <c r="J909" s="37">
        <v>0</v>
      </c>
    </row>
    <row r="910" spans="1:10" hidden="1" x14ac:dyDescent="0.25">
      <c r="A910" s="174"/>
      <c r="B910" s="177"/>
      <c r="C910" s="43" t="s">
        <v>209</v>
      </c>
      <c r="D910" s="43" t="s">
        <v>68</v>
      </c>
      <c r="E910" s="44">
        <v>1</v>
      </c>
      <c r="F910" s="41" t="s">
        <v>13</v>
      </c>
      <c r="G910" s="38" t="str">
        <f>IF(ISNUMBER(F910),E910*F910,"")</f>
        <v/>
      </c>
      <c r="H910" s="42"/>
      <c r="I910" s="38"/>
      <c r="J910" s="37">
        <v>0</v>
      </c>
    </row>
    <row r="911" spans="1:10" ht="15.75" hidden="1" thickBot="1" x14ac:dyDescent="0.3">
      <c r="A911" s="175"/>
      <c r="B911" s="178"/>
      <c r="C911" s="49"/>
      <c r="D911" s="49"/>
      <c r="E911" s="50"/>
      <c r="F911" s="51" t="s">
        <v>13</v>
      </c>
      <c r="G911" s="51" t="str">
        <f>IF(ISNUMBER(F911),E911*F911,"")</f>
        <v/>
      </c>
      <c r="H911" s="53"/>
      <c r="I911" s="38"/>
      <c r="J911" s="37">
        <v>0</v>
      </c>
    </row>
    <row r="912" spans="1:10" ht="15.75" hidden="1" thickBot="1" x14ac:dyDescent="0.3">
      <c r="A912" s="173" t="s">
        <v>210</v>
      </c>
      <c r="B912" s="176" t="s">
        <v>3173</v>
      </c>
      <c r="C912" s="31"/>
      <c r="D912" s="32" t="s">
        <v>18</v>
      </c>
      <c r="E912" s="33"/>
      <c r="F912" s="54" t="s">
        <v>13</v>
      </c>
      <c r="G912" s="34" t="str">
        <f>IF(ISNUMBER(F912),E912*F912,"")</f>
        <v/>
      </c>
      <c r="H912" s="35"/>
      <c r="I912" s="36"/>
      <c r="J912" s="37">
        <v>0</v>
      </c>
    </row>
    <row r="913" spans="1:10" hidden="1" x14ac:dyDescent="0.25">
      <c r="A913" s="174"/>
      <c r="B913" s="177"/>
      <c r="C913" s="39"/>
      <c r="D913" s="39"/>
      <c r="E913" s="40"/>
      <c r="F913" s="55" t="s">
        <v>13</v>
      </c>
      <c r="G913" s="38" t="str">
        <f>IF(ISNUMBER(F913),E913*F913,"")</f>
        <v/>
      </c>
      <c r="H913" s="42"/>
      <c r="I913" s="38"/>
      <c r="J913" s="37">
        <v>0</v>
      </c>
    </row>
    <row r="914" spans="1:10" ht="25.5" hidden="1" x14ac:dyDescent="0.25">
      <c r="A914" s="174"/>
      <c r="B914" s="177"/>
      <c r="C914" s="43" t="s">
        <v>10754</v>
      </c>
      <c r="D914" s="43" t="s">
        <v>2800</v>
      </c>
      <c r="E914" s="44">
        <v>0.2</v>
      </c>
      <c r="F914" s="38">
        <v>30.361999999999998</v>
      </c>
      <c r="G914" s="41">
        <f>IF(ISNUMBER(F914),E914*F914,"")</f>
        <v>6.0724</v>
      </c>
      <c r="H914" s="46">
        <f>SUM(G914:G916)</f>
        <v>21.338899999999999</v>
      </c>
      <c r="I914" s="47"/>
      <c r="J914" s="37">
        <v>0</v>
      </c>
    </row>
    <row r="915" spans="1:10" ht="25.5" hidden="1" x14ac:dyDescent="0.25">
      <c r="A915" s="174"/>
      <c r="B915" s="177"/>
      <c r="C915" s="43" t="s">
        <v>10897</v>
      </c>
      <c r="D915" s="43" t="s">
        <v>83</v>
      </c>
      <c r="E915" s="44">
        <v>1</v>
      </c>
      <c r="F915" s="41">
        <v>15.266499999999999</v>
      </c>
      <c r="G915" s="70">
        <f>IF(ISNUMBER(F915),E915*F915,"")</f>
        <v>15.266499999999999</v>
      </c>
      <c r="H915" s="42"/>
      <c r="I915" s="38"/>
      <c r="J915" s="37">
        <v>0</v>
      </c>
    </row>
    <row r="916" spans="1:10" ht="25.5" hidden="1" x14ac:dyDescent="0.25">
      <c r="A916" s="174"/>
      <c r="B916" s="177"/>
      <c r="C916" s="43" t="s">
        <v>211</v>
      </c>
      <c r="D916" s="43" t="s">
        <v>18</v>
      </c>
      <c r="E916" s="44">
        <v>1</v>
      </c>
      <c r="F916" s="41" t="s">
        <v>13</v>
      </c>
      <c r="G916" s="38" t="str">
        <f>IF(ISNUMBER(F916),E916*F916,"")</f>
        <v/>
      </c>
      <c r="H916" s="42"/>
      <c r="I916" s="38"/>
      <c r="J916" s="37">
        <v>0</v>
      </c>
    </row>
    <row r="917" spans="1:10" ht="15.75" hidden="1" thickBot="1" x14ac:dyDescent="0.3">
      <c r="A917" s="175"/>
      <c r="B917" s="178"/>
      <c r="C917" s="49"/>
      <c r="D917" s="49"/>
      <c r="E917" s="50"/>
      <c r="F917" s="51" t="s">
        <v>13</v>
      </c>
      <c r="G917" s="51" t="str">
        <f>IF(ISNUMBER(F917),E917*F917,"")</f>
        <v/>
      </c>
      <c r="H917" s="53"/>
      <c r="I917" s="38"/>
      <c r="J917" s="37">
        <v>0</v>
      </c>
    </row>
    <row r="918" spans="1:10" ht="15.75" hidden="1" thickBot="1" x14ac:dyDescent="0.3">
      <c r="A918" s="173" t="s">
        <v>212</v>
      </c>
      <c r="B918" s="176" t="s">
        <v>3174</v>
      </c>
      <c r="C918" s="31"/>
      <c r="D918" s="32" t="s">
        <v>106</v>
      </c>
      <c r="E918" s="33"/>
      <c r="F918" s="54" t="s">
        <v>13</v>
      </c>
      <c r="G918" s="34" t="str">
        <f>IF(ISNUMBER(F918),E918*F918,"")</f>
        <v/>
      </c>
      <c r="H918" s="35"/>
      <c r="I918" s="36"/>
      <c r="J918" s="37">
        <v>0</v>
      </c>
    </row>
    <row r="919" spans="1:10" hidden="1" x14ac:dyDescent="0.25">
      <c r="A919" s="174"/>
      <c r="B919" s="177"/>
      <c r="C919" s="39"/>
      <c r="D919" s="39"/>
      <c r="E919" s="40"/>
      <c r="F919" s="55" t="s">
        <v>13</v>
      </c>
      <c r="G919" s="38" t="str">
        <f>IF(ISNUMBER(F919),E919*F919,"")</f>
        <v/>
      </c>
      <c r="H919" s="42"/>
      <c r="I919" s="38"/>
      <c r="J919" s="37">
        <v>0</v>
      </c>
    </row>
    <row r="920" spans="1:10" ht="25.5" hidden="1" x14ac:dyDescent="0.25">
      <c r="A920" s="174"/>
      <c r="B920" s="177"/>
      <c r="C920" s="43" t="s">
        <v>10898</v>
      </c>
      <c r="D920" s="43" t="s">
        <v>1302</v>
      </c>
      <c r="E920" s="44">
        <v>1.0353000000000001</v>
      </c>
      <c r="F920" s="41">
        <v>28.984500000000001</v>
      </c>
      <c r="G920" s="41">
        <f>IF(ISNUMBER(F920),E920*F920,"")</f>
        <v>30.007652850000003</v>
      </c>
      <c r="H920" s="46">
        <f>SUM(G920:G923)</f>
        <v>51.931084049999996</v>
      </c>
      <c r="I920" s="47"/>
      <c r="J920" s="37">
        <v>0</v>
      </c>
    </row>
    <row r="921" spans="1:10" hidden="1" x14ac:dyDescent="0.25">
      <c r="A921" s="174"/>
      <c r="B921" s="177"/>
      <c r="C921" s="43" t="s">
        <v>10899</v>
      </c>
      <c r="D921" s="43" t="s">
        <v>83</v>
      </c>
      <c r="E921" s="44">
        <v>2.24E-2</v>
      </c>
      <c r="F921" s="41">
        <v>2.2039999999999997</v>
      </c>
      <c r="G921" s="41">
        <f>IF(ISNUMBER(F921),E921*F921,"")</f>
        <v>4.9369599999999993E-2</v>
      </c>
      <c r="H921" s="58"/>
      <c r="I921" s="59"/>
      <c r="J921" s="37">
        <v>0</v>
      </c>
    </row>
    <row r="922" spans="1:10" ht="25.5" hidden="1" x14ac:dyDescent="0.25">
      <c r="A922" s="174"/>
      <c r="B922" s="177"/>
      <c r="C922" s="43" t="s">
        <v>10753</v>
      </c>
      <c r="D922" s="43" t="s">
        <v>2800</v>
      </c>
      <c r="E922" s="44">
        <v>0.40239999999999998</v>
      </c>
      <c r="F922" s="41">
        <v>23.997</v>
      </c>
      <c r="G922" s="41">
        <f>IF(ISNUMBER(F922),E922*F922,"")</f>
        <v>9.656392799999999</v>
      </c>
      <c r="H922" s="58"/>
      <c r="I922" s="59"/>
      <c r="J922" s="37">
        <v>0</v>
      </c>
    </row>
    <row r="923" spans="1:10" ht="25.5" hidden="1" x14ac:dyDescent="0.25">
      <c r="A923" s="174"/>
      <c r="B923" s="177"/>
      <c r="C923" s="43" t="s">
        <v>10754</v>
      </c>
      <c r="D923" s="43" t="s">
        <v>2800</v>
      </c>
      <c r="E923" s="44">
        <v>0.40239999999999998</v>
      </c>
      <c r="F923" s="41">
        <v>30.361999999999998</v>
      </c>
      <c r="G923" s="41">
        <f>IF(ISNUMBER(F923),E923*F923,"")</f>
        <v>12.217668799999998</v>
      </c>
      <c r="H923" s="58"/>
      <c r="I923" s="59"/>
      <c r="J923" s="37">
        <v>0</v>
      </c>
    </row>
    <row r="924" spans="1:10" ht="15.75" hidden="1" thickBot="1" x14ac:dyDescent="0.3">
      <c r="A924" s="175"/>
      <c r="B924" s="178"/>
      <c r="C924" s="49"/>
      <c r="D924" s="49"/>
      <c r="E924" s="50"/>
      <c r="F924" s="51" t="s">
        <v>13</v>
      </c>
      <c r="G924" s="51" t="str">
        <f>IF(ISNUMBER(F924),E924*F924,"")</f>
        <v/>
      </c>
      <c r="H924" s="53"/>
      <c r="I924" s="38"/>
      <c r="J924" s="37">
        <v>0</v>
      </c>
    </row>
    <row r="925" spans="1:10" ht="15.75" hidden="1" thickBot="1" x14ac:dyDescent="0.3">
      <c r="A925" s="173" t="s">
        <v>213</v>
      </c>
      <c r="B925" s="176" t="s">
        <v>3175</v>
      </c>
      <c r="C925" s="31"/>
      <c r="D925" s="32" t="s">
        <v>106</v>
      </c>
      <c r="E925" s="33"/>
      <c r="F925" s="54" t="s">
        <v>13</v>
      </c>
      <c r="G925" s="34" t="str">
        <f>IF(ISNUMBER(F925),E925*F925,"")</f>
        <v/>
      </c>
      <c r="H925" s="35"/>
      <c r="I925" s="36"/>
      <c r="J925" s="37">
        <v>0</v>
      </c>
    </row>
    <row r="926" spans="1:10" hidden="1" x14ac:dyDescent="0.25">
      <c r="A926" s="174"/>
      <c r="B926" s="177"/>
      <c r="C926" s="39"/>
      <c r="D926" s="39"/>
      <c r="E926" s="40"/>
      <c r="F926" s="55" t="s">
        <v>13</v>
      </c>
      <c r="G926" s="38" t="str">
        <f>IF(ISNUMBER(F926),E926*F926,"")</f>
        <v/>
      </c>
      <c r="H926" s="42"/>
      <c r="I926" s="38"/>
      <c r="J926" s="37">
        <v>0</v>
      </c>
    </row>
    <row r="927" spans="1:10" ht="25.5" hidden="1" x14ac:dyDescent="0.25">
      <c r="A927" s="174"/>
      <c r="B927" s="177"/>
      <c r="C927" s="43" t="s">
        <v>10900</v>
      </c>
      <c r="D927" s="43" t="s">
        <v>1302</v>
      </c>
      <c r="E927" s="44">
        <v>1.0349999999999999</v>
      </c>
      <c r="F927" s="41">
        <v>9.3955000000000002</v>
      </c>
      <c r="G927" s="41">
        <f>IF(ISNUMBER(F927),E927*F927,"")</f>
        <v>9.7243424999999988</v>
      </c>
      <c r="H927" s="46">
        <f>SUM(G927:G930)</f>
        <v>17.803854999999999</v>
      </c>
      <c r="I927" s="47"/>
      <c r="J927" s="37">
        <v>0</v>
      </c>
    </row>
    <row r="928" spans="1:10" hidden="1" x14ac:dyDescent="0.25">
      <c r="A928" s="174"/>
      <c r="B928" s="177"/>
      <c r="C928" s="43" t="s">
        <v>10899</v>
      </c>
      <c r="D928" s="43" t="s">
        <v>83</v>
      </c>
      <c r="E928" s="44">
        <v>8.2000000000000007E-3</v>
      </c>
      <c r="F928" s="41">
        <v>2.2039999999999997</v>
      </c>
      <c r="G928" s="41">
        <f>IF(ISNUMBER(F928),E928*F928,"")</f>
        <v>1.80728E-2</v>
      </c>
      <c r="H928" s="42"/>
      <c r="I928" s="38"/>
      <c r="J928" s="37">
        <v>0</v>
      </c>
    </row>
    <row r="929" spans="1:10" ht="25.5" hidden="1" x14ac:dyDescent="0.25">
      <c r="A929" s="174"/>
      <c r="B929" s="177"/>
      <c r="C929" s="43" t="s">
        <v>10753</v>
      </c>
      <c r="D929" s="43" t="s">
        <v>2800</v>
      </c>
      <c r="E929" s="44">
        <v>0.14829999999999999</v>
      </c>
      <c r="F929" s="38">
        <v>23.997</v>
      </c>
      <c r="G929" s="41">
        <f>IF(ISNUMBER(F929),E929*F929,"")</f>
        <v>3.5587550999999995</v>
      </c>
      <c r="H929" s="42"/>
      <c r="I929" s="38"/>
      <c r="J929" s="37">
        <v>0</v>
      </c>
    </row>
    <row r="930" spans="1:10" ht="25.5" hidden="1" x14ac:dyDescent="0.25">
      <c r="A930" s="174"/>
      <c r="B930" s="177"/>
      <c r="C930" s="43" t="s">
        <v>10754</v>
      </c>
      <c r="D930" s="43" t="s">
        <v>2800</v>
      </c>
      <c r="E930" s="44">
        <v>0.14829999999999999</v>
      </c>
      <c r="F930" s="38">
        <v>30.361999999999998</v>
      </c>
      <c r="G930" s="41">
        <f>IF(ISNUMBER(F930),E930*F930,"")</f>
        <v>4.5026845999999994</v>
      </c>
      <c r="H930" s="42"/>
      <c r="I930" s="38"/>
      <c r="J930" s="37">
        <v>0</v>
      </c>
    </row>
    <row r="931" spans="1:10" ht="15.75" hidden="1" thickBot="1" x14ac:dyDescent="0.3">
      <c r="A931" s="175"/>
      <c r="B931" s="178"/>
      <c r="C931" s="49"/>
      <c r="D931" s="49"/>
      <c r="E931" s="50"/>
      <c r="F931" s="51" t="s">
        <v>13</v>
      </c>
      <c r="G931" s="51" t="str">
        <f>IF(ISNUMBER(F931),E931*F931,"")</f>
        <v/>
      </c>
      <c r="H931" s="53"/>
      <c r="I931" s="38"/>
      <c r="J931" s="37">
        <v>0</v>
      </c>
    </row>
    <row r="932" spans="1:10" ht="15.75" hidden="1" thickBot="1" x14ac:dyDescent="0.3">
      <c r="A932" s="173" t="s">
        <v>214</v>
      </c>
      <c r="B932" s="176" t="s">
        <v>3176</v>
      </c>
      <c r="C932" s="31"/>
      <c r="D932" s="32" t="s">
        <v>106</v>
      </c>
      <c r="E932" s="33"/>
      <c r="F932" s="54" t="s">
        <v>13</v>
      </c>
      <c r="G932" s="34" t="str">
        <f>IF(ISNUMBER(F932),E932*F932,"")</f>
        <v/>
      </c>
      <c r="H932" s="35"/>
      <c r="I932" s="36"/>
      <c r="J932" s="37">
        <v>0</v>
      </c>
    </row>
    <row r="933" spans="1:10" hidden="1" x14ac:dyDescent="0.25">
      <c r="A933" s="174"/>
      <c r="B933" s="177"/>
      <c r="C933" s="39"/>
      <c r="D933" s="39"/>
      <c r="E933" s="40"/>
      <c r="F933" s="55" t="s">
        <v>13</v>
      </c>
      <c r="G933" s="38" t="str">
        <f>IF(ISNUMBER(F933),E933*F933,"")</f>
        <v/>
      </c>
      <c r="H933" s="42"/>
      <c r="I933" s="38"/>
      <c r="J933" s="37">
        <v>0</v>
      </c>
    </row>
    <row r="934" spans="1:10" ht="25.5" hidden="1" x14ac:dyDescent="0.25">
      <c r="A934" s="174"/>
      <c r="B934" s="177"/>
      <c r="C934" s="43" t="s">
        <v>10901</v>
      </c>
      <c r="D934" s="43" t="s">
        <v>1302</v>
      </c>
      <c r="E934" s="44">
        <v>1.0353000000000001</v>
      </c>
      <c r="F934" s="41">
        <v>13.233499999999999</v>
      </c>
      <c r="G934" s="41">
        <f>IF(ISNUMBER(F934),E934*F934,"")</f>
        <v>13.700642550000001</v>
      </c>
      <c r="H934" s="46">
        <f>SUM(G934:G937)</f>
        <v>24.035686850000005</v>
      </c>
      <c r="I934" s="47"/>
      <c r="J934" s="37">
        <v>0</v>
      </c>
    </row>
    <row r="935" spans="1:10" hidden="1" x14ac:dyDescent="0.25">
      <c r="A935" s="174"/>
      <c r="B935" s="177"/>
      <c r="C935" s="43" t="s">
        <v>10899</v>
      </c>
      <c r="D935" s="43" t="s">
        <v>83</v>
      </c>
      <c r="E935" s="44">
        <v>1.0500000000000001E-2</v>
      </c>
      <c r="F935" s="41">
        <v>2.2039999999999997</v>
      </c>
      <c r="G935" s="41">
        <f>IF(ISNUMBER(F935),E935*F935,"")</f>
        <v>2.3141999999999999E-2</v>
      </c>
      <c r="H935" s="42"/>
      <c r="I935" s="38"/>
      <c r="J935" s="37">
        <v>0</v>
      </c>
    </row>
    <row r="936" spans="1:10" ht="25.5" hidden="1" x14ac:dyDescent="0.25">
      <c r="A936" s="174"/>
      <c r="B936" s="177"/>
      <c r="C936" s="43" t="s">
        <v>10753</v>
      </c>
      <c r="D936" s="43" t="s">
        <v>2800</v>
      </c>
      <c r="E936" s="44">
        <v>0.18970000000000001</v>
      </c>
      <c r="F936" s="41">
        <v>23.997</v>
      </c>
      <c r="G936" s="41">
        <f>IF(ISNUMBER(F936),E936*F936,"")</f>
        <v>4.5522309000000005</v>
      </c>
      <c r="H936" s="42"/>
      <c r="I936" s="38"/>
      <c r="J936" s="37">
        <v>0</v>
      </c>
    </row>
    <row r="937" spans="1:10" ht="25.5" hidden="1" x14ac:dyDescent="0.25">
      <c r="A937" s="174"/>
      <c r="B937" s="177"/>
      <c r="C937" s="43" t="s">
        <v>10754</v>
      </c>
      <c r="D937" s="43" t="s">
        <v>2800</v>
      </c>
      <c r="E937" s="44">
        <v>0.18970000000000001</v>
      </c>
      <c r="F937" s="41">
        <v>30.361999999999998</v>
      </c>
      <c r="G937" s="41">
        <f>IF(ISNUMBER(F937),E937*F937,"")</f>
        <v>5.7596714000000002</v>
      </c>
      <c r="H937" s="42"/>
      <c r="I937" s="38"/>
      <c r="J937" s="37">
        <v>0</v>
      </c>
    </row>
    <row r="938" spans="1:10" ht="15.75" hidden="1" thickBot="1" x14ac:dyDescent="0.3">
      <c r="A938" s="175"/>
      <c r="B938" s="178"/>
      <c r="C938" s="49"/>
      <c r="D938" s="49"/>
      <c r="E938" s="50"/>
      <c r="F938" s="51" t="s">
        <v>13</v>
      </c>
      <c r="G938" s="51" t="str">
        <f>IF(ISNUMBER(F938),E938*F938,"")</f>
        <v/>
      </c>
      <c r="H938" s="53"/>
      <c r="I938" s="38"/>
      <c r="J938" s="37">
        <v>0</v>
      </c>
    </row>
    <row r="939" spans="1:10" ht="15.75" hidden="1" thickBot="1" x14ac:dyDescent="0.3">
      <c r="A939" s="173" t="s">
        <v>215</v>
      </c>
      <c r="B939" s="176" t="s">
        <v>3177</v>
      </c>
      <c r="C939" s="31"/>
      <c r="D939" s="32" t="s">
        <v>106</v>
      </c>
      <c r="E939" s="33"/>
      <c r="F939" s="54" t="s">
        <v>13</v>
      </c>
      <c r="G939" s="34" t="str">
        <f>IF(ISNUMBER(F939),E939*F939,"")</f>
        <v/>
      </c>
      <c r="H939" s="35"/>
      <c r="I939" s="36"/>
      <c r="J939" s="37">
        <v>0</v>
      </c>
    </row>
    <row r="940" spans="1:10" hidden="1" x14ac:dyDescent="0.25">
      <c r="A940" s="174"/>
      <c r="B940" s="177"/>
      <c r="C940" s="39"/>
      <c r="D940" s="39"/>
      <c r="E940" s="40"/>
      <c r="F940" s="55" t="s">
        <v>13</v>
      </c>
      <c r="G940" s="38" t="str">
        <f>IF(ISNUMBER(F940),E940*F940,"")</f>
        <v/>
      </c>
      <c r="H940" s="42"/>
      <c r="I940" s="38"/>
      <c r="J940" s="37">
        <v>0</v>
      </c>
    </row>
    <row r="941" spans="1:10" ht="25.5" hidden="1" x14ac:dyDescent="0.25">
      <c r="A941" s="174"/>
      <c r="B941" s="177"/>
      <c r="C941" s="43" t="s">
        <v>10902</v>
      </c>
      <c r="D941" s="43" t="s">
        <v>1302</v>
      </c>
      <c r="E941" s="44">
        <v>1.0353000000000001</v>
      </c>
      <c r="F941" s="41">
        <v>24.006499999999999</v>
      </c>
      <c r="G941" s="41">
        <f>IF(ISNUMBER(F941),E941*F941,"")</f>
        <v>24.853929450000003</v>
      </c>
      <c r="H941" s="46">
        <f>SUM(G941:G944)</f>
        <v>40.865964750000003</v>
      </c>
      <c r="I941" s="47"/>
      <c r="J941" s="37">
        <v>0</v>
      </c>
    </row>
    <row r="942" spans="1:10" hidden="1" x14ac:dyDescent="0.25">
      <c r="A942" s="174"/>
      <c r="B942" s="177"/>
      <c r="C942" s="43" t="s">
        <v>10899</v>
      </c>
      <c r="D942" s="43" t="s">
        <v>83</v>
      </c>
      <c r="E942" s="44">
        <v>1.6299999999999999E-2</v>
      </c>
      <c r="F942" s="41">
        <v>2.2039999999999997</v>
      </c>
      <c r="G942" s="41">
        <f>IF(ISNUMBER(F942),E942*F942,"")</f>
        <v>3.592519999999999E-2</v>
      </c>
      <c r="H942" s="58"/>
      <c r="I942" s="59"/>
      <c r="J942" s="37">
        <v>0</v>
      </c>
    </row>
    <row r="943" spans="1:10" ht="25.5" hidden="1" x14ac:dyDescent="0.25">
      <c r="A943" s="174"/>
      <c r="B943" s="177"/>
      <c r="C943" s="43" t="s">
        <v>10753</v>
      </c>
      <c r="D943" s="43" t="s">
        <v>2800</v>
      </c>
      <c r="E943" s="44">
        <v>0.29389999999999999</v>
      </c>
      <c r="F943" s="38">
        <v>23.997</v>
      </c>
      <c r="G943" s="41">
        <f>IF(ISNUMBER(F943),E943*F943,"")</f>
        <v>7.0527182999999996</v>
      </c>
      <c r="H943" s="58"/>
      <c r="I943" s="59"/>
      <c r="J943" s="37">
        <v>0</v>
      </c>
    </row>
    <row r="944" spans="1:10" ht="25.5" hidden="1" x14ac:dyDescent="0.25">
      <c r="A944" s="174"/>
      <c r="B944" s="177"/>
      <c r="C944" s="43" t="s">
        <v>10754</v>
      </c>
      <c r="D944" s="43" t="s">
        <v>2800</v>
      </c>
      <c r="E944" s="44">
        <v>0.29389999999999999</v>
      </c>
      <c r="F944" s="38">
        <v>30.361999999999998</v>
      </c>
      <c r="G944" s="41">
        <f>IF(ISNUMBER(F944),E944*F944,"")</f>
        <v>8.9233917999999992</v>
      </c>
      <c r="H944" s="58"/>
      <c r="I944" s="59"/>
      <c r="J944" s="37">
        <v>0</v>
      </c>
    </row>
    <row r="945" spans="1:10" ht="15.75" hidden="1" thickBot="1" x14ac:dyDescent="0.3">
      <c r="A945" s="175"/>
      <c r="B945" s="178"/>
      <c r="C945" s="49"/>
      <c r="D945" s="49"/>
      <c r="E945" s="50"/>
      <c r="F945" s="51" t="s">
        <v>13</v>
      </c>
      <c r="G945" s="51" t="str">
        <f>IF(ISNUMBER(F945),E945*F945,"")</f>
        <v/>
      </c>
      <c r="H945" s="53"/>
      <c r="I945" s="38"/>
      <c r="J945" s="37">
        <v>0</v>
      </c>
    </row>
    <row r="946" spans="1:10" ht="15.75" hidden="1" thickBot="1" x14ac:dyDescent="0.3">
      <c r="A946" s="173" t="s">
        <v>216</v>
      </c>
      <c r="B946" s="176" t="s">
        <v>3178</v>
      </c>
      <c r="C946" s="31"/>
      <c r="D946" s="32" t="s">
        <v>106</v>
      </c>
      <c r="E946" s="33"/>
      <c r="F946" s="54" t="s">
        <v>13</v>
      </c>
      <c r="G946" s="34" t="str">
        <f>IF(ISNUMBER(F946),E946*F946,"")</f>
        <v/>
      </c>
      <c r="H946" s="35"/>
      <c r="I946" s="36"/>
      <c r="J946" s="37">
        <v>0</v>
      </c>
    </row>
    <row r="947" spans="1:10" hidden="1" x14ac:dyDescent="0.25">
      <c r="A947" s="174"/>
      <c r="B947" s="177"/>
      <c r="C947" s="39"/>
      <c r="D947" s="39"/>
      <c r="E947" s="40"/>
      <c r="F947" s="55" t="s">
        <v>13</v>
      </c>
      <c r="G947" s="38" t="str">
        <f>IF(ISNUMBER(F947),E947*F947,"")</f>
        <v/>
      </c>
      <c r="H947" s="42"/>
      <c r="I947" s="38"/>
      <c r="J947" s="37">
        <v>0</v>
      </c>
    </row>
    <row r="948" spans="1:10" hidden="1" x14ac:dyDescent="0.25">
      <c r="A948" s="174"/>
      <c r="B948" s="177"/>
      <c r="C948" s="43" t="s">
        <v>10903</v>
      </c>
      <c r="D948" s="43" t="s">
        <v>1302</v>
      </c>
      <c r="E948" s="44">
        <v>1.0492999999999999</v>
      </c>
      <c r="F948" s="41">
        <v>4.6360000000000001</v>
      </c>
      <c r="G948" s="41">
        <f>IF(ISNUMBER(F948),E948*F948,"")</f>
        <v>4.8645547999999996</v>
      </c>
      <c r="H948" s="46">
        <f>SUM(G948:G951)</f>
        <v>5.9344732999999996</v>
      </c>
      <c r="I948" s="47"/>
      <c r="J948" s="37">
        <v>0</v>
      </c>
    </row>
    <row r="949" spans="1:10" hidden="1" x14ac:dyDescent="0.25">
      <c r="A949" s="174"/>
      <c r="B949" s="177"/>
      <c r="C949" s="43" t="s">
        <v>10899</v>
      </c>
      <c r="D949" s="43" t="s">
        <v>83</v>
      </c>
      <c r="E949" s="44">
        <v>4.4999999999999997E-3</v>
      </c>
      <c r="F949" s="41">
        <v>2.2039999999999997</v>
      </c>
      <c r="G949" s="41">
        <f>IF(ISNUMBER(F949),E949*F949,"")</f>
        <v>9.917999999999998E-3</v>
      </c>
      <c r="H949" s="42"/>
      <c r="I949" s="38"/>
      <c r="J949" s="37">
        <v>0</v>
      </c>
    </row>
    <row r="950" spans="1:10" ht="25.5" hidden="1" x14ac:dyDescent="0.25">
      <c r="A950" s="174"/>
      <c r="B950" s="177"/>
      <c r="C950" s="43" t="s">
        <v>10753</v>
      </c>
      <c r="D950" s="43" t="s">
        <v>2800</v>
      </c>
      <c r="E950" s="44">
        <v>1.95E-2</v>
      </c>
      <c r="F950" s="38">
        <v>23.997</v>
      </c>
      <c r="G950" s="41">
        <f>IF(ISNUMBER(F950),E950*F950,"")</f>
        <v>0.46794150000000001</v>
      </c>
      <c r="H950" s="42"/>
      <c r="I950" s="38"/>
      <c r="J950" s="37">
        <v>0</v>
      </c>
    </row>
    <row r="951" spans="1:10" ht="25.5" hidden="1" x14ac:dyDescent="0.25">
      <c r="A951" s="174"/>
      <c r="B951" s="177"/>
      <c r="C951" s="43" t="s">
        <v>10754</v>
      </c>
      <c r="D951" s="43" t="s">
        <v>2800</v>
      </c>
      <c r="E951" s="44">
        <v>1.95E-2</v>
      </c>
      <c r="F951" s="38">
        <v>30.361999999999998</v>
      </c>
      <c r="G951" s="41">
        <f>IF(ISNUMBER(F951),E951*F951,"")</f>
        <v>0.592059</v>
      </c>
      <c r="H951" s="42"/>
      <c r="I951" s="38"/>
      <c r="J951" s="37">
        <v>0</v>
      </c>
    </row>
    <row r="952" spans="1:10" ht="15.75" hidden="1" thickBot="1" x14ac:dyDescent="0.3">
      <c r="A952" s="175"/>
      <c r="B952" s="178"/>
      <c r="C952" s="49"/>
      <c r="D952" s="49"/>
      <c r="E952" s="50"/>
      <c r="F952" s="51" t="s">
        <v>13</v>
      </c>
      <c r="G952" s="51" t="str">
        <f>IF(ISNUMBER(F952),E952*F952,"")</f>
        <v/>
      </c>
      <c r="H952" s="53"/>
      <c r="I952" s="38"/>
      <c r="J952" s="37">
        <v>0</v>
      </c>
    </row>
    <row r="953" spans="1:10" ht="15.75" hidden="1" thickBot="1" x14ac:dyDescent="0.3">
      <c r="A953" s="173" t="s">
        <v>217</v>
      </c>
      <c r="B953" s="176" t="s">
        <v>3179</v>
      </c>
      <c r="C953" s="31"/>
      <c r="D953" s="32" t="s">
        <v>106</v>
      </c>
      <c r="E953" s="33"/>
      <c r="F953" s="54" t="s">
        <v>13</v>
      </c>
      <c r="G953" s="34" t="str">
        <f>IF(ISNUMBER(F953),E953*F953,"")</f>
        <v/>
      </c>
      <c r="H953" s="35"/>
      <c r="I953" s="36"/>
      <c r="J953" s="37">
        <v>0</v>
      </c>
    </row>
    <row r="954" spans="1:10" hidden="1" x14ac:dyDescent="0.25">
      <c r="A954" s="174"/>
      <c r="B954" s="177"/>
      <c r="C954" s="39"/>
      <c r="D954" s="39"/>
      <c r="E954" s="40"/>
      <c r="F954" s="55" t="s">
        <v>13</v>
      </c>
      <c r="G954" s="38" t="str">
        <f>IF(ISNUMBER(F954),E954*F954,"")</f>
        <v/>
      </c>
      <c r="H954" s="42"/>
      <c r="I954" s="38"/>
      <c r="J954" s="37">
        <v>0</v>
      </c>
    </row>
    <row r="955" spans="1:10" hidden="1" x14ac:dyDescent="0.25">
      <c r="A955" s="174"/>
      <c r="B955" s="177"/>
      <c r="C955" s="43" t="s">
        <v>10904</v>
      </c>
      <c r="D955" s="43" t="s">
        <v>1302</v>
      </c>
      <c r="E955" s="44">
        <v>1.0609999999999999</v>
      </c>
      <c r="F955" s="41">
        <v>10.003499999999999</v>
      </c>
      <c r="G955" s="41">
        <f>IF(ISNUMBER(F955),E955*F955,"")</f>
        <v>10.613713499999998</v>
      </c>
      <c r="H955" s="46">
        <f>SUM(G955:G957)</f>
        <v>11.700893499999999</v>
      </c>
      <c r="I955" s="47"/>
      <c r="J955" s="37">
        <v>0</v>
      </c>
    </row>
    <row r="956" spans="1:10" ht="25.5" hidden="1" x14ac:dyDescent="0.25">
      <c r="A956" s="174"/>
      <c r="B956" s="177"/>
      <c r="C956" s="43" t="s">
        <v>10753</v>
      </c>
      <c r="D956" s="43" t="s">
        <v>2800</v>
      </c>
      <c r="E956" s="44">
        <v>0.02</v>
      </c>
      <c r="F956" s="38">
        <v>23.997</v>
      </c>
      <c r="G956" s="41">
        <f>IF(ISNUMBER(F956),E956*F956,"")</f>
        <v>0.47994000000000003</v>
      </c>
      <c r="H956" s="42"/>
      <c r="I956" s="38"/>
      <c r="J956" s="37">
        <v>0</v>
      </c>
    </row>
    <row r="957" spans="1:10" ht="25.5" hidden="1" x14ac:dyDescent="0.25">
      <c r="A957" s="174"/>
      <c r="B957" s="177"/>
      <c r="C957" s="43" t="s">
        <v>10754</v>
      </c>
      <c r="D957" s="43" t="s">
        <v>2800</v>
      </c>
      <c r="E957" s="44">
        <v>0.02</v>
      </c>
      <c r="F957" s="38">
        <v>30.361999999999998</v>
      </c>
      <c r="G957" s="41">
        <f>IF(ISNUMBER(F957),E957*F957,"")</f>
        <v>0.60724</v>
      </c>
      <c r="H957" s="42"/>
      <c r="I957" s="38"/>
      <c r="J957" s="37">
        <v>0</v>
      </c>
    </row>
    <row r="958" spans="1:10" ht="15.75" hidden="1" thickBot="1" x14ac:dyDescent="0.3">
      <c r="A958" s="175"/>
      <c r="B958" s="178"/>
      <c r="C958" s="49"/>
      <c r="D958" s="49"/>
      <c r="E958" s="50"/>
      <c r="F958" s="51" t="s">
        <v>13</v>
      </c>
      <c r="G958" s="51" t="str">
        <f>IF(ISNUMBER(F958),E958*F958,"")</f>
        <v/>
      </c>
      <c r="H958" s="53"/>
      <c r="I958" s="38"/>
      <c r="J958" s="37">
        <v>0</v>
      </c>
    </row>
    <row r="959" spans="1:10" ht="15.75" hidden="1" thickBot="1" x14ac:dyDescent="0.3">
      <c r="A959" s="173" t="s">
        <v>218</v>
      </c>
      <c r="B959" s="176" t="s">
        <v>3180</v>
      </c>
      <c r="C959" s="31"/>
      <c r="D959" s="32" t="s">
        <v>106</v>
      </c>
      <c r="E959" s="33"/>
      <c r="F959" s="54" t="s">
        <v>13</v>
      </c>
      <c r="G959" s="34" t="str">
        <f>IF(ISNUMBER(F959),E959*F959,"")</f>
        <v/>
      </c>
      <c r="H959" s="35"/>
      <c r="I959" s="36"/>
      <c r="J959" s="37">
        <v>0</v>
      </c>
    </row>
    <row r="960" spans="1:10" hidden="1" x14ac:dyDescent="0.25">
      <c r="A960" s="174"/>
      <c r="B960" s="177"/>
      <c r="C960" s="39"/>
      <c r="D960" s="39"/>
      <c r="E960" s="40"/>
      <c r="F960" s="55" t="s">
        <v>13</v>
      </c>
      <c r="G960" s="38" t="str">
        <f>IF(ISNUMBER(F960),E960*F960,"")</f>
        <v/>
      </c>
      <c r="H960" s="42"/>
      <c r="I960" s="38"/>
      <c r="J960" s="37">
        <v>0</v>
      </c>
    </row>
    <row r="961" spans="1:10" hidden="1" x14ac:dyDescent="0.25">
      <c r="A961" s="174"/>
      <c r="B961" s="177"/>
      <c r="C961" s="43" t="s">
        <v>10905</v>
      </c>
      <c r="D961" s="43" t="s">
        <v>1302</v>
      </c>
      <c r="E961" s="44">
        <v>1.0609999999999999</v>
      </c>
      <c r="F961" s="41">
        <v>15.712999999999999</v>
      </c>
      <c r="G961" s="41">
        <f>IF(ISNUMBER(F961),E961*F961,"")</f>
        <v>16.671492999999998</v>
      </c>
      <c r="H961" s="46">
        <f>SUM(G961:G964)</f>
        <v>17.993741</v>
      </c>
      <c r="I961" s="47"/>
      <c r="J961" s="37">
        <v>0</v>
      </c>
    </row>
    <row r="962" spans="1:10" hidden="1" x14ac:dyDescent="0.25">
      <c r="A962" s="174"/>
      <c r="B962" s="177"/>
      <c r="C962" s="43" t="s">
        <v>10899</v>
      </c>
      <c r="D962" s="43" t="s">
        <v>83</v>
      </c>
      <c r="E962" s="44">
        <v>8.0000000000000002E-3</v>
      </c>
      <c r="F962" s="41">
        <v>2.2039999999999997</v>
      </c>
      <c r="G962" s="41">
        <f>IF(ISNUMBER(F962),E962*F962,"")</f>
        <v>1.7631999999999998E-2</v>
      </c>
      <c r="H962" s="42"/>
      <c r="I962" s="38"/>
      <c r="J962" s="37">
        <v>0</v>
      </c>
    </row>
    <row r="963" spans="1:10" ht="25.5" hidden="1" x14ac:dyDescent="0.25">
      <c r="A963" s="174"/>
      <c r="B963" s="177"/>
      <c r="C963" s="43" t="s">
        <v>10753</v>
      </c>
      <c r="D963" s="43" t="s">
        <v>2800</v>
      </c>
      <c r="E963" s="44">
        <v>2.4E-2</v>
      </c>
      <c r="F963" s="38">
        <v>23.997</v>
      </c>
      <c r="G963" s="41">
        <f>IF(ISNUMBER(F963),E963*F963,"")</f>
        <v>0.575928</v>
      </c>
      <c r="H963" s="42"/>
      <c r="I963" s="38"/>
      <c r="J963" s="37">
        <v>0</v>
      </c>
    </row>
    <row r="964" spans="1:10" ht="25.5" hidden="1" x14ac:dyDescent="0.25">
      <c r="A964" s="174"/>
      <c r="B964" s="177"/>
      <c r="C964" s="43" t="s">
        <v>10754</v>
      </c>
      <c r="D964" s="43" t="s">
        <v>2800</v>
      </c>
      <c r="E964" s="44">
        <v>2.4E-2</v>
      </c>
      <c r="F964" s="38">
        <v>30.361999999999998</v>
      </c>
      <c r="G964" s="41">
        <f>IF(ISNUMBER(F964),E964*F964,"")</f>
        <v>0.728688</v>
      </c>
      <c r="H964" s="42"/>
      <c r="I964" s="38"/>
      <c r="J964" s="37">
        <v>0</v>
      </c>
    </row>
    <row r="965" spans="1:10" ht="15.75" hidden="1" thickBot="1" x14ac:dyDescent="0.3">
      <c r="A965" s="175"/>
      <c r="B965" s="178"/>
      <c r="C965" s="49"/>
      <c r="D965" s="49"/>
      <c r="E965" s="50"/>
      <c r="F965" s="51" t="s">
        <v>13</v>
      </c>
      <c r="G965" s="51" t="str">
        <f>IF(ISNUMBER(F965),E965*F965,"")</f>
        <v/>
      </c>
      <c r="H965" s="53"/>
      <c r="I965" s="38"/>
      <c r="J965" s="37">
        <v>0</v>
      </c>
    </row>
    <row r="966" spans="1:10" ht="15.75" hidden="1" thickBot="1" x14ac:dyDescent="0.3">
      <c r="A966" s="173" t="s">
        <v>219</v>
      </c>
      <c r="B966" s="176" t="s">
        <v>3181</v>
      </c>
      <c r="C966" s="31"/>
      <c r="D966" s="32" t="s">
        <v>106</v>
      </c>
      <c r="E966" s="33"/>
      <c r="F966" s="54" t="s">
        <v>13</v>
      </c>
      <c r="G966" s="34" t="str">
        <f>IF(ISNUMBER(F966),E966*F966,"")</f>
        <v/>
      </c>
      <c r="H966" s="35"/>
      <c r="I966" s="36"/>
      <c r="J966" s="37">
        <v>0</v>
      </c>
    </row>
    <row r="967" spans="1:10" hidden="1" x14ac:dyDescent="0.25">
      <c r="A967" s="174"/>
      <c r="B967" s="177"/>
      <c r="C967" s="39"/>
      <c r="D967" s="39"/>
      <c r="E967" s="40"/>
      <c r="F967" s="55" t="s">
        <v>13</v>
      </c>
      <c r="G967" s="38" t="str">
        <f>IF(ISNUMBER(F967),E967*F967,"")</f>
        <v/>
      </c>
      <c r="H967" s="42"/>
      <c r="I967" s="38"/>
      <c r="J967" s="37">
        <v>0</v>
      </c>
    </row>
    <row r="968" spans="1:10" hidden="1" x14ac:dyDescent="0.25">
      <c r="A968" s="174"/>
      <c r="B968" s="177"/>
      <c r="C968" s="43" t="s">
        <v>10906</v>
      </c>
      <c r="D968" s="43" t="s">
        <v>1302</v>
      </c>
      <c r="E968" s="44">
        <v>1.0609999999999999</v>
      </c>
      <c r="F968" s="41">
        <v>17.233000000000001</v>
      </c>
      <c r="G968" s="41">
        <f>IF(ISNUMBER(F968),E968*F968,"")</f>
        <v>18.284213000000001</v>
      </c>
      <c r="H968" s="46">
        <f>SUM(G968:G971)</f>
        <v>19.882664000000002</v>
      </c>
      <c r="I968" s="47"/>
      <c r="J968" s="37">
        <v>0</v>
      </c>
    </row>
    <row r="969" spans="1:10" hidden="1" x14ac:dyDescent="0.25">
      <c r="A969" s="174"/>
      <c r="B969" s="177"/>
      <c r="C969" s="43" t="s">
        <v>10899</v>
      </c>
      <c r="D969" s="43" t="s">
        <v>83</v>
      </c>
      <c r="E969" s="44">
        <v>0.01</v>
      </c>
      <c r="F969" s="41">
        <v>2.2039999999999997</v>
      </c>
      <c r="G969" s="41">
        <f>IF(ISNUMBER(F969),E969*F969,"")</f>
        <v>2.2039999999999997E-2</v>
      </c>
      <c r="H969" s="42"/>
      <c r="I969" s="38"/>
      <c r="J969" s="37">
        <v>0</v>
      </c>
    </row>
    <row r="970" spans="1:10" ht="25.5" hidden="1" x14ac:dyDescent="0.25">
      <c r="A970" s="174"/>
      <c r="B970" s="177"/>
      <c r="C970" s="43" t="s">
        <v>10753</v>
      </c>
      <c r="D970" s="43" t="s">
        <v>2800</v>
      </c>
      <c r="E970" s="44">
        <v>2.9000000000000001E-2</v>
      </c>
      <c r="F970" s="38">
        <v>23.997</v>
      </c>
      <c r="G970" s="41">
        <f>IF(ISNUMBER(F970),E970*F970,"")</f>
        <v>0.695913</v>
      </c>
      <c r="H970" s="42"/>
      <c r="I970" s="38"/>
      <c r="J970" s="37">
        <v>0</v>
      </c>
    </row>
    <row r="971" spans="1:10" ht="25.5" hidden="1" x14ac:dyDescent="0.25">
      <c r="A971" s="174"/>
      <c r="B971" s="177"/>
      <c r="C971" s="43" t="s">
        <v>10754</v>
      </c>
      <c r="D971" s="43" t="s">
        <v>2800</v>
      </c>
      <c r="E971" s="44">
        <v>2.9000000000000001E-2</v>
      </c>
      <c r="F971" s="38">
        <v>30.361999999999998</v>
      </c>
      <c r="G971" s="41">
        <f>IF(ISNUMBER(F971),E971*F971,"")</f>
        <v>0.880498</v>
      </c>
      <c r="H971" s="42"/>
      <c r="I971" s="38"/>
      <c r="J971" s="37">
        <v>0</v>
      </c>
    </row>
    <row r="972" spans="1:10" ht="15.75" hidden="1" thickBot="1" x14ac:dyDescent="0.3">
      <c r="A972" s="175"/>
      <c r="B972" s="178"/>
      <c r="C972" s="49"/>
      <c r="D972" s="49"/>
      <c r="E972" s="50"/>
      <c r="F972" s="51" t="s">
        <v>13</v>
      </c>
      <c r="G972" s="51" t="str">
        <f>IF(ISNUMBER(F972),E972*F972,"")</f>
        <v/>
      </c>
      <c r="H972" s="53"/>
      <c r="I972" s="38"/>
      <c r="J972" s="37">
        <v>0</v>
      </c>
    </row>
    <row r="973" spans="1:10" ht="15.75" hidden="1" thickBot="1" x14ac:dyDescent="0.3">
      <c r="A973" s="173" t="s">
        <v>220</v>
      </c>
      <c r="B973" s="176" t="s">
        <v>3182</v>
      </c>
      <c r="C973" s="31"/>
      <c r="D973" s="32" t="s">
        <v>18</v>
      </c>
      <c r="E973" s="33"/>
      <c r="F973" s="54" t="s">
        <v>13</v>
      </c>
      <c r="G973" s="34" t="str">
        <f>IF(ISNUMBER(F973),E973*F973,"")</f>
        <v/>
      </c>
      <c r="H973" s="35"/>
      <c r="I973" s="36"/>
      <c r="J973" s="37">
        <v>0</v>
      </c>
    </row>
    <row r="974" spans="1:10" hidden="1" x14ac:dyDescent="0.25">
      <c r="A974" s="174"/>
      <c r="B974" s="177"/>
      <c r="C974" s="39"/>
      <c r="D974" s="39"/>
      <c r="E974" s="40"/>
      <c r="F974" s="55" t="s">
        <v>13</v>
      </c>
      <c r="G974" s="38" t="str">
        <f>IF(ISNUMBER(F974),E974*F974,"")</f>
        <v/>
      </c>
      <c r="H974" s="42"/>
      <c r="I974" s="38"/>
      <c r="J974" s="37">
        <v>0</v>
      </c>
    </row>
    <row r="975" spans="1:10" ht="25.5" hidden="1" x14ac:dyDescent="0.25">
      <c r="A975" s="174"/>
      <c r="B975" s="177"/>
      <c r="C975" s="43" t="s">
        <v>221</v>
      </c>
      <c r="D975" s="62" t="s">
        <v>87</v>
      </c>
      <c r="E975" s="44">
        <v>1</v>
      </c>
      <c r="F975" s="41" t="s">
        <v>13</v>
      </c>
      <c r="G975" s="41" t="str">
        <f>IF(ISNUMBER(F975),E975*F975,"")</f>
        <v/>
      </c>
      <c r="H975" s="46">
        <f>SUM(G975:G978)</f>
        <v>12.180195100000001</v>
      </c>
      <c r="I975" s="47"/>
      <c r="J975" s="37">
        <v>0</v>
      </c>
    </row>
    <row r="976" spans="1:10" hidden="1" x14ac:dyDescent="0.25">
      <c r="A976" s="174"/>
      <c r="B976" s="177"/>
      <c r="C976" s="43" t="s">
        <v>10907</v>
      </c>
      <c r="D976" s="43" t="s">
        <v>83</v>
      </c>
      <c r="E976" s="44">
        <v>1.06E-2</v>
      </c>
      <c r="F976" s="41">
        <v>14.715499999999999</v>
      </c>
      <c r="G976" s="41">
        <f>IF(ISNUMBER(F976),E976*F976,"")</f>
        <v>0.15598429999999999</v>
      </c>
      <c r="H976" s="42"/>
      <c r="I976" s="38"/>
      <c r="J976" s="37">
        <v>0</v>
      </c>
    </row>
    <row r="977" spans="1:10" ht="25.5" hidden="1" x14ac:dyDescent="0.25">
      <c r="A977" s="174"/>
      <c r="B977" s="177"/>
      <c r="C977" s="43" t="s">
        <v>10754</v>
      </c>
      <c r="D977" s="43" t="s">
        <v>2800</v>
      </c>
      <c r="E977" s="44">
        <v>0.22120000000000001</v>
      </c>
      <c r="F977" s="38">
        <v>30.361999999999998</v>
      </c>
      <c r="G977" s="41">
        <f>IF(ISNUMBER(F977),E977*F977,"")</f>
        <v>6.7160744000000001</v>
      </c>
      <c r="H977" s="42"/>
      <c r="I977" s="38"/>
      <c r="J977" s="37">
        <v>0</v>
      </c>
    </row>
    <row r="978" spans="1:10" ht="25.5" hidden="1" x14ac:dyDescent="0.25">
      <c r="A978" s="174"/>
      <c r="B978" s="177"/>
      <c r="C978" s="43" t="s">
        <v>10753</v>
      </c>
      <c r="D978" s="43" t="s">
        <v>2800</v>
      </c>
      <c r="E978" s="44">
        <v>0.22120000000000001</v>
      </c>
      <c r="F978" s="38">
        <v>23.997</v>
      </c>
      <c r="G978" s="41">
        <f>IF(ISNUMBER(F978),E978*F978,"")</f>
        <v>5.3081364000000004</v>
      </c>
      <c r="H978" s="42"/>
      <c r="I978" s="38"/>
      <c r="J978" s="37">
        <v>0</v>
      </c>
    </row>
    <row r="979" spans="1:10" ht="15.75" hidden="1" thickBot="1" x14ac:dyDescent="0.3">
      <c r="A979" s="175"/>
      <c r="B979" s="178"/>
      <c r="C979" s="49"/>
      <c r="D979" s="49"/>
      <c r="E979" s="50"/>
      <c r="F979" s="51" t="s">
        <v>13</v>
      </c>
      <c r="G979" s="51" t="str">
        <f>IF(ISNUMBER(F979),E979*F979,"")</f>
        <v/>
      </c>
      <c r="H979" s="53"/>
      <c r="I979" s="38"/>
      <c r="J979" s="37">
        <v>0</v>
      </c>
    </row>
    <row r="980" spans="1:10" ht="15.75" hidden="1" thickBot="1" x14ac:dyDescent="0.3">
      <c r="A980" s="173" t="s">
        <v>222</v>
      </c>
      <c r="B980" s="176" t="s">
        <v>3183</v>
      </c>
      <c r="C980" s="31"/>
      <c r="D980" s="32" t="s">
        <v>18</v>
      </c>
      <c r="E980" s="33"/>
      <c r="F980" s="54" t="s">
        <v>13</v>
      </c>
      <c r="G980" s="34" t="str">
        <f>IF(ISNUMBER(F980),E980*F980,"")</f>
        <v/>
      </c>
      <c r="H980" s="35"/>
      <c r="I980" s="36"/>
      <c r="J980" s="37">
        <v>0</v>
      </c>
    </row>
    <row r="981" spans="1:10" hidden="1" x14ac:dyDescent="0.25">
      <c r="A981" s="174"/>
      <c r="B981" s="177"/>
      <c r="C981" s="39"/>
      <c r="D981" s="39"/>
      <c r="E981" s="40"/>
      <c r="F981" s="55" t="s">
        <v>13</v>
      </c>
      <c r="G981" s="38" t="str">
        <f>IF(ISNUMBER(F981),E981*F981,"")</f>
        <v/>
      </c>
      <c r="H981" s="42"/>
      <c r="I981" s="38"/>
      <c r="J981" s="37">
        <v>0</v>
      </c>
    </row>
    <row r="982" spans="1:10" hidden="1" x14ac:dyDescent="0.25">
      <c r="A982" s="174"/>
      <c r="B982" s="177"/>
      <c r="C982" s="43" t="s">
        <v>10908</v>
      </c>
      <c r="D982" s="43" t="s">
        <v>83</v>
      </c>
      <c r="E982" s="44">
        <v>6.6799999999999998E-2</v>
      </c>
      <c r="F982" s="38">
        <v>69.435500000000005</v>
      </c>
      <c r="G982" s="41">
        <f>IF(ISNUMBER(F982),E982*F982,"")</f>
        <v>4.6382914</v>
      </c>
      <c r="H982" s="46">
        <f>SUM(G982:G987)</f>
        <v>129.68576729999998</v>
      </c>
      <c r="I982" s="47"/>
      <c r="J982" s="37">
        <v>0</v>
      </c>
    </row>
    <row r="983" spans="1:10" ht="25.5" hidden="1" x14ac:dyDescent="0.25">
      <c r="A983" s="174"/>
      <c r="B983" s="177"/>
      <c r="C983" s="43" t="s">
        <v>10909</v>
      </c>
      <c r="D983" s="43" t="s">
        <v>83</v>
      </c>
      <c r="E983" s="44">
        <v>1</v>
      </c>
      <c r="F983" s="38">
        <v>90.85799999999999</v>
      </c>
      <c r="G983" s="41">
        <f>IF(ISNUMBER(F983),E983*F983,"")</f>
        <v>90.85799999999999</v>
      </c>
      <c r="H983" s="42"/>
      <c r="I983" s="38"/>
      <c r="J983" s="37">
        <v>0</v>
      </c>
    </row>
    <row r="984" spans="1:10" ht="25.5" hidden="1" x14ac:dyDescent="0.25">
      <c r="A984" s="174"/>
      <c r="B984" s="177"/>
      <c r="C984" s="43" t="s">
        <v>10910</v>
      </c>
      <c r="D984" s="43" t="s">
        <v>83</v>
      </c>
      <c r="E984" s="44">
        <v>0.104</v>
      </c>
      <c r="F984" s="41">
        <v>78.669499999999999</v>
      </c>
      <c r="G984" s="41">
        <f>IF(ISNUMBER(F984),E984*F984,"")</f>
        <v>8.1816279999999999</v>
      </c>
      <c r="H984" s="42"/>
      <c r="I984" s="38"/>
      <c r="J984" s="37">
        <v>0</v>
      </c>
    </row>
    <row r="985" spans="1:10" hidden="1" x14ac:dyDescent="0.25">
      <c r="A985" s="174"/>
      <c r="B985" s="177"/>
      <c r="C985" s="43" t="s">
        <v>10899</v>
      </c>
      <c r="D985" s="43" t="s">
        <v>83</v>
      </c>
      <c r="E985" s="44">
        <v>1.84E-2</v>
      </c>
      <c r="F985" s="41">
        <v>2.2039999999999997</v>
      </c>
      <c r="G985" s="41">
        <f>IF(ISNUMBER(F985),E985*F985,"")</f>
        <v>4.0553599999999995E-2</v>
      </c>
      <c r="H985" s="42"/>
      <c r="I985" s="38"/>
      <c r="J985" s="37">
        <v>0</v>
      </c>
    </row>
    <row r="986" spans="1:10" ht="25.5" hidden="1" x14ac:dyDescent="0.25">
      <c r="A986" s="174"/>
      <c r="B986" s="177"/>
      <c r="C986" s="43" t="s">
        <v>10753</v>
      </c>
      <c r="D986" s="43" t="s">
        <v>2800</v>
      </c>
      <c r="E986" s="44">
        <v>0.47770000000000001</v>
      </c>
      <c r="F986" s="41">
        <v>23.997</v>
      </c>
      <c r="G986" s="41">
        <f>IF(ISNUMBER(F986),E986*F986,"")</f>
        <v>11.4633669</v>
      </c>
      <c r="H986" s="42"/>
      <c r="I986" s="38"/>
      <c r="J986" s="37">
        <v>0</v>
      </c>
    </row>
    <row r="987" spans="1:10" ht="25.5" hidden="1" x14ac:dyDescent="0.25">
      <c r="A987" s="174"/>
      <c r="B987" s="177"/>
      <c r="C987" s="43" t="s">
        <v>10754</v>
      </c>
      <c r="D987" s="43" t="s">
        <v>2800</v>
      </c>
      <c r="E987" s="44">
        <v>0.47770000000000001</v>
      </c>
      <c r="F987" s="41">
        <v>30.361999999999998</v>
      </c>
      <c r="G987" s="41">
        <f>IF(ISNUMBER(F987),E987*F987,"")</f>
        <v>14.5039274</v>
      </c>
      <c r="H987" s="42"/>
      <c r="I987" s="38"/>
      <c r="J987" s="37">
        <v>0</v>
      </c>
    </row>
    <row r="988" spans="1:10" ht="15.75" hidden="1" thickBot="1" x14ac:dyDescent="0.3">
      <c r="A988" s="175"/>
      <c r="B988" s="178"/>
      <c r="C988" s="49"/>
      <c r="D988" s="49"/>
      <c r="E988" s="50"/>
      <c r="F988" s="51" t="s">
        <v>13</v>
      </c>
      <c r="G988" s="51" t="str">
        <f>IF(ISNUMBER(F988),E988*F988,"")</f>
        <v/>
      </c>
      <c r="H988" s="53"/>
      <c r="I988" s="38"/>
      <c r="J988" s="37">
        <v>0</v>
      </c>
    </row>
    <row r="989" spans="1:10" ht="15.75" hidden="1" thickBot="1" x14ac:dyDescent="0.3">
      <c r="A989" s="173" t="s">
        <v>223</v>
      </c>
      <c r="B989" s="176" t="s">
        <v>3184</v>
      </c>
      <c r="C989" s="31"/>
      <c r="D989" s="32" t="s">
        <v>18</v>
      </c>
      <c r="E989" s="33"/>
      <c r="F989" s="54" t="s">
        <v>13</v>
      </c>
      <c r="G989" s="34" t="str">
        <f>IF(ISNUMBER(F989),E989*F989,"")</f>
        <v/>
      </c>
      <c r="H989" s="35"/>
      <c r="I989" s="36"/>
      <c r="J989" s="37">
        <v>0</v>
      </c>
    </row>
    <row r="990" spans="1:10" hidden="1" x14ac:dyDescent="0.25">
      <c r="A990" s="174"/>
      <c r="B990" s="177"/>
      <c r="C990" s="39"/>
      <c r="D990" s="39"/>
      <c r="E990" s="40"/>
      <c r="F990" s="55" t="s">
        <v>13</v>
      </c>
      <c r="G990" s="38" t="str">
        <f>IF(ISNUMBER(F990),E990*F990,"")</f>
        <v/>
      </c>
      <c r="H990" s="42"/>
      <c r="I990" s="38"/>
      <c r="J990" s="37">
        <v>0</v>
      </c>
    </row>
    <row r="991" spans="1:10" hidden="1" x14ac:dyDescent="0.25">
      <c r="A991" s="174"/>
      <c r="B991" s="177"/>
      <c r="C991" s="43" t="s">
        <v>10908</v>
      </c>
      <c r="D991" s="43" t="s">
        <v>83</v>
      </c>
      <c r="E991" s="44">
        <v>6.6799999999999998E-2</v>
      </c>
      <c r="F991" s="38">
        <v>69.435500000000005</v>
      </c>
      <c r="G991" s="38">
        <f>IF(ISNUMBER(F991),E991*F991,"")</f>
        <v>4.6382914</v>
      </c>
      <c r="H991" s="46">
        <f>SUM(G991:G996)</f>
        <v>172.18876730000002</v>
      </c>
      <c r="I991" s="47"/>
      <c r="J991" s="37">
        <v>0</v>
      </c>
    </row>
    <row r="992" spans="1:10" ht="25.5" hidden="1" x14ac:dyDescent="0.25">
      <c r="A992" s="174"/>
      <c r="B992" s="177"/>
      <c r="C992" s="43" t="s">
        <v>10911</v>
      </c>
      <c r="D992" s="43" t="s">
        <v>83</v>
      </c>
      <c r="E992" s="44">
        <v>1</v>
      </c>
      <c r="F992" s="38">
        <v>133.36099999999999</v>
      </c>
      <c r="G992" s="38">
        <f>IF(ISNUMBER(F992),E992*F992,"")</f>
        <v>133.36099999999999</v>
      </c>
      <c r="H992" s="42"/>
      <c r="I992" s="38"/>
      <c r="J992" s="37">
        <v>0</v>
      </c>
    </row>
    <row r="993" spans="1:10" ht="25.5" hidden="1" x14ac:dyDescent="0.25">
      <c r="A993" s="174"/>
      <c r="B993" s="177"/>
      <c r="C993" s="43" t="s">
        <v>10910</v>
      </c>
      <c r="D993" s="43" t="s">
        <v>83</v>
      </c>
      <c r="E993" s="44">
        <v>0.104</v>
      </c>
      <c r="F993" s="41">
        <v>78.669499999999999</v>
      </c>
      <c r="G993" s="38">
        <f>IF(ISNUMBER(F993),E993*F993,"")</f>
        <v>8.1816279999999999</v>
      </c>
      <c r="H993" s="42"/>
      <c r="I993" s="38"/>
      <c r="J993" s="37">
        <v>0</v>
      </c>
    </row>
    <row r="994" spans="1:10" hidden="1" x14ac:dyDescent="0.25">
      <c r="A994" s="174"/>
      <c r="B994" s="177"/>
      <c r="C994" s="43" t="s">
        <v>10899</v>
      </c>
      <c r="D994" s="43" t="s">
        <v>83</v>
      </c>
      <c r="E994" s="44">
        <v>1.84E-2</v>
      </c>
      <c r="F994" s="41">
        <v>2.2039999999999997</v>
      </c>
      <c r="G994" s="38">
        <f>IF(ISNUMBER(F994),E994*F994,"")</f>
        <v>4.0553599999999995E-2</v>
      </c>
      <c r="H994" s="42"/>
      <c r="I994" s="38"/>
      <c r="J994" s="37">
        <v>0</v>
      </c>
    </row>
    <row r="995" spans="1:10" ht="25.5" hidden="1" x14ac:dyDescent="0.25">
      <c r="A995" s="174"/>
      <c r="B995" s="177"/>
      <c r="C995" s="43" t="s">
        <v>10753</v>
      </c>
      <c r="D995" s="43" t="s">
        <v>2800</v>
      </c>
      <c r="E995" s="44">
        <v>0.47770000000000001</v>
      </c>
      <c r="F995" s="41">
        <v>23.997</v>
      </c>
      <c r="G995" s="38">
        <f>IF(ISNUMBER(F995),E995*F995,"")</f>
        <v>11.4633669</v>
      </c>
      <c r="H995" s="42"/>
      <c r="I995" s="38"/>
      <c r="J995" s="37">
        <v>0</v>
      </c>
    </row>
    <row r="996" spans="1:10" ht="25.5" hidden="1" x14ac:dyDescent="0.25">
      <c r="A996" s="174"/>
      <c r="B996" s="177"/>
      <c r="C996" s="43" t="s">
        <v>10754</v>
      </c>
      <c r="D996" s="43" t="s">
        <v>2800</v>
      </c>
      <c r="E996" s="44">
        <v>0.47770000000000001</v>
      </c>
      <c r="F996" s="41">
        <v>30.361999999999998</v>
      </c>
      <c r="G996" s="38">
        <f>IF(ISNUMBER(F996),E996*F996,"")</f>
        <v>14.5039274</v>
      </c>
      <c r="H996" s="42"/>
      <c r="I996" s="38"/>
      <c r="J996" s="37">
        <v>0</v>
      </c>
    </row>
    <row r="997" spans="1:10" ht="15.75" hidden="1" thickBot="1" x14ac:dyDescent="0.3">
      <c r="A997" s="175"/>
      <c r="B997" s="178"/>
      <c r="C997" s="49"/>
      <c r="D997" s="49"/>
      <c r="E997" s="50"/>
      <c r="F997" s="51" t="s">
        <v>13</v>
      </c>
      <c r="G997" s="51" t="str">
        <f>IF(ISNUMBER(F997),E997*F997,"")</f>
        <v/>
      </c>
      <c r="H997" s="53"/>
      <c r="I997" s="38"/>
      <c r="J997" s="37">
        <v>0</v>
      </c>
    </row>
    <row r="998" spans="1:10" ht="15.75" hidden="1" thickBot="1" x14ac:dyDescent="0.3">
      <c r="A998" s="173" t="s">
        <v>224</v>
      </c>
      <c r="B998" s="176" t="s">
        <v>3185</v>
      </c>
      <c r="C998" s="31"/>
      <c r="D998" s="32" t="s">
        <v>18</v>
      </c>
      <c r="E998" s="33"/>
      <c r="F998" s="54" t="s">
        <v>13</v>
      </c>
      <c r="G998" s="34" t="str">
        <f>IF(ISNUMBER(F998),E998*F998,"")</f>
        <v/>
      </c>
      <c r="H998" s="35"/>
      <c r="I998" s="36"/>
      <c r="J998" s="37">
        <v>0</v>
      </c>
    </row>
    <row r="999" spans="1:10" hidden="1" x14ac:dyDescent="0.25">
      <c r="A999" s="174"/>
      <c r="B999" s="177"/>
      <c r="C999" s="39"/>
      <c r="D999" s="39"/>
      <c r="E999" s="40"/>
      <c r="F999" s="55" t="s">
        <v>13</v>
      </c>
      <c r="G999" s="38" t="str">
        <f>IF(ISNUMBER(F999),E999*F999,"")</f>
        <v/>
      </c>
      <c r="H999" s="42"/>
      <c r="I999" s="38"/>
      <c r="J999" s="37">
        <v>0</v>
      </c>
    </row>
    <row r="1000" spans="1:10" ht="25.5" hidden="1" x14ac:dyDescent="0.25">
      <c r="A1000" s="174"/>
      <c r="B1000" s="177"/>
      <c r="C1000" s="43" t="s">
        <v>225</v>
      </c>
      <c r="D1000" s="62" t="s">
        <v>87</v>
      </c>
      <c r="E1000" s="44">
        <v>1</v>
      </c>
      <c r="F1000" s="41" t="s">
        <v>13</v>
      </c>
      <c r="G1000" s="41" t="str">
        <f>IF(ISNUMBER(F1000),E1000*F1000,"")</f>
        <v/>
      </c>
      <c r="H1000" s="46">
        <f>SUM(G1000:G1001)</f>
        <v>3.5539499999999999</v>
      </c>
      <c r="I1000" s="47"/>
      <c r="J1000" s="37">
        <v>0</v>
      </c>
    </row>
    <row r="1001" spans="1:10" hidden="1" x14ac:dyDescent="0.25">
      <c r="A1001" s="174"/>
      <c r="B1001" s="177"/>
      <c r="C1001" s="43" t="s">
        <v>10614</v>
      </c>
      <c r="D1001" s="43" t="s">
        <v>2800</v>
      </c>
      <c r="E1001" s="44">
        <v>0.15</v>
      </c>
      <c r="F1001" s="38">
        <v>23.693000000000001</v>
      </c>
      <c r="G1001" s="41">
        <f>IF(ISNUMBER(F1001),E1001*F1001,"")</f>
        <v>3.5539499999999999</v>
      </c>
      <c r="H1001" s="42"/>
      <c r="I1001" s="38"/>
      <c r="J1001" s="37">
        <v>0</v>
      </c>
    </row>
    <row r="1002" spans="1:10" ht="15.75" hidden="1" thickBot="1" x14ac:dyDescent="0.3">
      <c r="A1002" s="175"/>
      <c r="B1002" s="178"/>
      <c r="C1002" s="49"/>
      <c r="D1002" s="49"/>
      <c r="E1002" s="50"/>
      <c r="F1002" s="51" t="s">
        <v>13</v>
      </c>
      <c r="G1002" s="51" t="str">
        <f>IF(ISNUMBER(F1002),E1002*F1002,"")</f>
        <v/>
      </c>
      <c r="H1002" s="53"/>
      <c r="I1002" s="38"/>
      <c r="J1002" s="37">
        <v>0</v>
      </c>
    </row>
    <row r="1003" spans="1:10" ht="15.75" hidden="1" thickBot="1" x14ac:dyDescent="0.3">
      <c r="A1003" s="173" t="s">
        <v>226</v>
      </c>
      <c r="B1003" s="176" t="s">
        <v>3186</v>
      </c>
      <c r="C1003" s="31"/>
      <c r="D1003" s="32" t="s">
        <v>18</v>
      </c>
      <c r="E1003" s="33"/>
      <c r="F1003" s="54" t="s">
        <v>13</v>
      </c>
      <c r="G1003" s="34" t="str">
        <f>IF(ISNUMBER(F1003),E1003*F1003,"")</f>
        <v/>
      </c>
      <c r="H1003" s="35"/>
      <c r="I1003" s="36"/>
      <c r="J1003" s="37">
        <v>0</v>
      </c>
    </row>
    <row r="1004" spans="1:10" hidden="1" x14ac:dyDescent="0.25">
      <c r="A1004" s="174"/>
      <c r="B1004" s="177"/>
      <c r="C1004" s="39"/>
      <c r="D1004" s="39"/>
      <c r="E1004" s="40"/>
      <c r="F1004" s="55" t="s">
        <v>13</v>
      </c>
      <c r="G1004" s="38" t="str">
        <f>IF(ISNUMBER(F1004),E1004*F1004,"")</f>
        <v/>
      </c>
      <c r="H1004" s="42"/>
      <c r="I1004" s="38"/>
      <c r="J1004" s="37">
        <v>0</v>
      </c>
    </row>
    <row r="1005" spans="1:10" ht="25.5" hidden="1" x14ac:dyDescent="0.25">
      <c r="A1005" s="174"/>
      <c r="B1005" s="177"/>
      <c r="C1005" s="43" t="s">
        <v>227</v>
      </c>
      <c r="D1005" s="62" t="s">
        <v>87</v>
      </c>
      <c r="E1005" s="44">
        <v>1</v>
      </c>
      <c r="F1005" s="41" t="s">
        <v>13</v>
      </c>
      <c r="G1005" s="41" t="str">
        <f>IF(ISNUMBER(F1005),E1005*F1005,"")</f>
        <v/>
      </c>
      <c r="H1005" s="46">
        <f>SUM(G1005:G1006)</f>
        <v>3.5539499999999999</v>
      </c>
      <c r="I1005" s="47"/>
      <c r="J1005" s="37">
        <v>0</v>
      </c>
    </row>
    <row r="1006" spans="1:10" hidden="1" x14ac:dyDescent="0.25">
      <c r="A1006" s="174"/>
      <c r="B1006" s="177"/>
      <c r="C1006" s="43" t="s">
        <v>10614</v>
      </c>
      <c r="D1006" s="43" t="s">
        <v>2800</v>
      </c>
      <c r="E1006" s="44">
        <v>0.15</v>
      </c>
      <c r="F1006" s="38">
        <v>23.693000000000001</v>
      </c>
      <c r="G1006" s="41">
        <f>IF(ISNUMBER(F1006),E1006*F1006,"")</f>
        <v>3.5539499999999999</v>
      </c>
      <c r="H1006" s="42"/>
      <c r="I1006" s="38"/>
      <c r="J1006" s="37">
        <v>0</v>
      </c>
    </row>
    <row r="1007" spans="1:10" ht="15.75" hidden="1" thickBot="1" x14ac:dyDescent="0.3">
      <c r="A1007" s="175"/>
      <c r="B1007" s="178"/>
      <c r="C1007" s="49"/>
      <c r="D1007" s="49"/>
      <c r="E1007" s="50"/>
      <c r="F1007" s="51" t="s">
        <v>13</v>
      </c>
      <c r="G1007" s="51" t="str">
        <f>IF(ISNUMBER(F1007),E1007*F1007,"")</f>
        <v/>
      </c>
      <c r="H1007" s="53"/>
      <c r="I1007" s="38"/>
      <c r="J1007" s="37">
        <v>0</v>
      </c>
    </row>
    <row r="1008" spans="1:10" ht="15.75" hidden="1" thickBot="1" x14ac:dyDescent="0.3">
      <c r="A1008" s="173" t="s">
        <v>228</v>
      </c>
      <c r="B1008" s="176" t="s">
        <v>3187</v>
      </c>
      <c r="C1008" s="31"/>
      <c r="D1008" s="32" t="s">
        <v>18</v>
      </c>
      <c r="E1008" s="33"/>
      <c r="F1008" s="54" t="s">
        <v>13</v>
      </c>
      <c r="G1008" s="34" t="str">
        <f>IF(ISNUMBER(F1008),E1008*F1008,"")</f>
        <v/>
      </c>
      <c r="H1008" s="35"/>
      <c r="I1008" s="36"/>
      <c r="J1008" s="37">
        <v>0</v>
      </c>
    </row>
    <row r="1009" spans="1:10" hidden="1" x14ac:dyDescent="0.25">
      <c r="A1009" s="174"/>
      <c r="B1009" s="177"/>
      <c r="C1009" s="39"/>
      <c r="D1009" s="39"/>
      <c r="E1009" s="40"/>
      <c r="F1009" s="55" t="s">
        <v>13</v>
      </c>
      <c r="G1009" s="38" t="str">
        <f>IF(ISNUMBER(F1009),E1009*F1009,"")</f>
        <v/>
      </c>
      <c r="H1009" s="42"/>
      <c r="I1009" s="38"/>
      <c r="J1009" s="37">
        <v>0</v>
      </c>
    </row>
    <row r="1010" spans="1:10" hidden="1" x14ac:dyDescent="0.25">
      <c r="A1010" s="174"/>
      <c r="B1010" s="177"/>
      <c r="C1010" s="43" t="s">
        <v>10908</v>
      </c>
      <c r="D1010" s="43" t="s">
        <v>83</v>
      </c>
      <c r="E1010" s="44">
        <v>4.8999999999999998E-3</v>
      </c>
      <c r="F1010" s="38">
        <v>69.435500000000005</v>
      </c>
      <c r="G1010" s="41">
        <f>IF(ISNUMBER(F1010),E1010*F1010,"")</f>
        <v>0.34023395000000001</v>
      </c>
      <c r="H1010" s="46">
        <f>SUM(G1010:G1015)</f>
        <v>22.482205999999998</v>
      </c>
      <c r="I1010" s="47"/>
      <c r="J1010" s="37">
        <v>0</v>
      </c>
    </row>
    <row r="1011" spans="1:10" ht="25.5" hidden="1" x14ac:dyDescent="0.25">
      <c r="A1011" s="174"/>
      <c r="B1011" s="177"/>
      <c r="C1011" s="43" t="s">
        <v>10912</v>
      </c>
      <c r="D1011" s="43" t="s">
        <v>83</v>
      </c>
      <c r="E1011" s="44">
        <v>1</v>
      </c>
      <c r="F1011" s="38">
        <v>12.4925</v>
      </c>
      <c r="G1011" s="41">
        <f>IF(ISNUMBER(F1011),E1011*F1011,"")</f>
        <v>12.4925</v>
      </c>
      <c r="H1011" s="42"/>
      <c r="I1011" s="38"/>
      <c r="J1011" s="37">
        <v>0</v>
      </c>
    </row>
    <row r="1012" spans="1:10" ht="25.5" hidden="1" x14ac:dyDescent="0.25">
      <c r="A1012" s="174"/>
      <c r="B1012" s="177"/>
      <c r="C1012" s="43" t="s">
        <v>10910</v>
      </c>
      <c r="D1012" s="43" t="s">
        <v>83</v>
      </c>
      <c r="E1012" s="44">
        <v>7.4999999999999997E-3</v>
      </c>
      <c r="F1012" s="41">
        <v>78.669499999999999</v>
      </c>
      <c r="G1012" s="41">
        <f>IF(ISNUMBER(F1012),E1012*F1012,"")</f>
        <v>0.59002124999999994</v>
      </c>
      <c r="H1012" s="42"/>
      <c r="I1012" s="38"/>
      <c r="J1012" s="37">
        <v>0</v>
      </c>
    </row>
    <row r="1013" spans="1:10" hidden="1" x14ac:dyDescent="0.25">
      <c r="A1013" s="174"/>
      <c r="B1013" s="177"/>
      <c r="C1013" s="43" t="s">
        <v>10899</v>
      </c>
      <c r="D1013" s="43" t="s">
        <v>83</v>
      </c>
      <c r="E1013" s="44">
        <v>3.5999999999999997E-2</v>
      </c>
      <c r="F1013" s="41">
        <v>2.2039999999999997</v>
      </c>
      <c r="G1013" s="41">
        <f>IF(ISNUMBER(F1013),E1013*F1013,"")</f>
        <v>7.9343999999999984E-2</v>
      </c>
      <c r="H1013" s="42"/>
      <c r="I1013" s="38"/>
      <c r="J1013" s="37">
        <v>0</v>
      </c>
    </row>
    <row r="1014" spans="1:10" ht="25.5" hidden="1" x14ac:dyDescent="0.25">
      <c r="A1014" s="174"/>
      <c r="B1014" s="177"/>
      <c r="C1014" s="43" t="s">
        <v>10753</v>
      </c>
      <c r="D1014" s="43" t="s">
        <v>2800</v>
      </c>
      <c r="E1014" s="44">
        <v>0.16520000000000001</v>
      </c>
      <c r="F1014" s="41">
        <v>23.997</v>
      </c>
      <c r="G1014" s="41">
        <f>IF(ISNUMBER(F1014),E1014*F1014,"")</f>
        <v>3.9643044000000005</v>
      </c>
      <c r="H1014" s="42"/>
      <c r="I1014" s="38"/>
      <c r="J1014" s="37">
        <v>0</v>
      </c>
    </row>
    <row r="1015" spans="1:10" ht="25.5" hidden="1" x14ac:dyDescent="0.25">
      <c r="A1015" s="174"/>
      <c r="B1015" s="177"/>
      <c r="C1015" s="43" t="s">
        <v>10754</v>
      </c>
      <c r="D1015" s="43" t="s">
        <v>2800</v>
      </c>
      <c r="E1015" s="44">
        <v>0.16520000000000001</v>
      </c>
      <c r="F1015" s="41">
        <v>30.361999999999998</v>
      </c>
      <c r="G1015" s="41">
        <f>IF(ISNUMBER(F1015),E1015*F1015,"")</f>
        <v>5.0158024000000001</v>
      </c>
      <c r="H1015" s="42"/>
      <c r="I1015" s="38"/>
      <c r="J1015" s="37">
        <v>0</v>
      </c>
    </row>
    <row r="1016" spans="1:10" ht="15.75" hidden="1" thickBot="1" x14ac:dyDescent="0.3">
      <c r="A1016" s="175"/>
      <c r="B1016" s="178"/>
      <c r="C1016" s="49"/>
      <c r="D1016" s="49"/>
      <c r="E1016" s="50"/>
      <c r="F1016" s="51" t="s">
        <v>13</v>
      </c>
      <c r="G1016" s="51" t="str">
        <f>IF(ISNUMBER(F1016),E1016*F1016,"")</f>
        <v/>
      </c>
      <c r="H1016" s="53"/>
      <c r="I1016" s="38"/>
      <c r="J1016" s="37">
        <v>0</v>
      </c>
    </row>
    <row r="1017" spans="1:10" ht="15.75" hidden="1" thickBot="1" x14ac:dyDescent="0.3">
      <c r="A1017" s="173" t="s">
        <v>229</v>
      </c>
      <c r="B1017" s="176" t="s">
        <v>3188</v>
      </c>
      <c r="C1017" s="31"/>
      <c r="D1017" s="32" t="s">
        <v>18</v>
      </c>
      <c r="E1017" s="33"/>
      <c r="F1017" s="54" t="s">
        <v>13</v>
      </c>
      <c r="G1017" s="34" t="str">
        <f>IF(ISNUMBER(F1017),E1017*F1017,"")</f>
        <v/>
      </c>
      <c r="H1017" s="35"/>
      <c r="I1017" s="36"/>
      <c r="J1017" s="37">
        <v>0</v>
      </c>
    </row>
    <row r="1018" spans="1:10" hidden="1" x14ac:dyDescent="0.25">
      <c r="A1018" s="174"/>
      <c r="B1018" s="177"/>
      <c r="C1018" s="39"/>
      <c r="D1018" s="39"/>
      <c r="E1018" s="40"/>
      <c r="F1018" s="55" t="s">
        <v>13</v>
      </c>
      <c r="G1018" s="38" t="str">
        <f>IF(ISNUMBER(F1018),E1018*F1018,"")</f>
        <v/>
      </c>
      <c r="H1018" s="42"/>
      <c r="I1018" s="38"/>
      <c r="J1018" s="37">
        <v>0</v>
      </c>
    </row>
    <row r="1019" spans="1:10" ht="25.5" hidden="1" x14ac:dyDescent="0.25">
      <c r="A1019" s="174"/>
      <c r="B1019" s="177"/>
      <c r="C1019" s="43" t="s">
        <v>230</v>
      </c>
      <c r="D1019" s="62" t="s">
        <v>87</v>
      </c>
      <c r="E1019" s="44">
        <v>1</v>
      </c>
      <c r="F1019" s="41" t="s">
        <v>13</v>
      </c>
      <c r="G1019" s="41" t="str">
        <f>IF(ISNUMBER(F1019),E1019*F1019,"")</f>
        <v/>
      </c>
      <c r="H1019" s="46">
        <f>SUM(G1019:G1020)</f>
        <v>2.3693000000000004</v>
      </c>
      <c r="I1019" s="47"/>
      <c r="J1019" s="37">
        <v>0</v>
      </c>
    </row>
    <row r="1020" spans="1:10" hidden="1" x14ac:dyDescent="0.25">
      <c r="A1020" s="174"/>
      <c r="B1020" s="177"/>
      <c r="C1020" s="43" t="s">
        <v>10614</v>
      </c>
      <c r="D1020" s="43" t="s">
        <v>2800</v>
      </c>
      <c r="E1020" s="44">
        <v>0.1</v>
      </c>
      <c r="F1020" s="38">
        <v>23.693000000000001</v>
      </c>
      <c r="G1020" s="41">
        <f>IF(ISNUMBER(F1020),E1020*F1020,"")</f>
        <v>2.3693000000000004</v>
      </c>
      <c r="H1020" s="42"/>
      <c r="I1020" s="38"/>
      <c r="J1020" s="37">
        <v>0</v>
      </c>
    </row>
    <row r="1021" spans="1:10" ht="15.75" hidden="1" thickBot="1" x14ac:dyDescent="0.3">
      <c r="A1021" s="175"/>
      <c r="B1021" s="178"/>
      <c r="C1021" s="49"/>
      <c r="D1021" s="49"/>
      <c r="E1021" s="50"/>
      <c r="F1021" s="51" t="s">
        <v>13</v>
      </c>
      <c r="G1021" s="51" t="str">
        <f>IF(ISNUMBER(F1021),E1021*F1021,"")</f>
        <v/>
      </c>
      <c r="H1021" s="53"/>
      <c r="I1021" s="38"/>
      <c r="J1021" s="37">
        <v>0</v>
      </c>
    </row>
    <row r="1022" spans="1:10" ht="15.75" hidden="1" thickBot="1" x14ac:dyDescent="0.3">
      <c r="A1022" s="173" t="s">
        <v>231</v>
      </c>
      <c r="B1022" s="176" t="s">
        <v>3189</v>
      </c>
      <c r="C1022" s="31"/>
      <c r="D1022" s="32" t="s">
        <v>18</v>
      </c>
      <c r="E1022" s="33"/>
      <c r="F1022" s="54" t="s">
        <v>13</v>
      </c>
      <c r="G1022" s="34" t="str">
        <f>IF(ISNUMBER(F1022),E1022*F1022,"")</f>
        <v/>
      </c>
      <c r="H1022" s="35"/>
      <c r="I1022" s="36"/>
      <c r="J1022" s="37">
        <v>0</v>
      </c>
    </row>
    <row r="1023" spans="1:10" hidden="1" x14ac:dyDescent="0.25">
      <c r="A1023" s="174"/>
      <c r="B1023" s="177"/>
      <c r="C1023" s="39"/>
      <c r="D1023" s="39"/>
      <c r="E1023" s="40"/>
      <c r="F1023" s="55" t="s">
        <v>13</v>
      </c>
      <c r="G1023" s="38" t="str">
        <f>IF(ISNUMBER(F1023),E1023*F1023,"")</f>
        <v/>
      </c>
      <c r="H1023" s="42"/>
      <c r="I1023" s="38"/>
      <c r="J1023" s="37">
        <v>0</v>
      </c>
    </row>
    <row r="1024" spans="1:10" ht="25.5" hidden="1" x14ac:dyDescent="0.25">
      <c r="A1024" s="174"/>
      <c r="B1024" s="177"/>
      <c r="C1024" s="43" t="s">
        <v>10913</v>
      </c>
      <c r="D1024" s="43" t="s">
        <v>83</v>
      </c>
      <c r="E1024" s="44">
        <v>1</v>
      </c>
      <c r="F1024" s="41">
        <v>194.655</v>
      </c>
      <c r="G1024" s="41">
        <f>IF(ISNUMBER(F1024),E1024*F1024,"")</f>
        <v>194.655</v>
      </c>
      <c r="H1024" s="46">
        <f>SUM(G1024:G1030)</f>
        <v>279.08199589999998</v>
      </c>
      <c r="I1024" s="47"/>
      <c r="J1024" s="37">
        <v>0</v>
      </c>
    </row>
    <row r="1025" spans="1:10" ht="25.5" hidden="1" x14ac:dyDescent="0.25">
      <c r="A1025" s="174"/>
      <c r="B1025" s="177"/>
      <c r="C1025" s="43" t="s">
        <v>211</v>
      </c>
      <c r="D1025" s="43" t="s">
        <v>18</v>
      </c>
      <c r="E1025" s="44">
        <v>1</v>
      </c>
      <c r="F1025" s="41" t="s">
        <v>13</v>
      </c>
      <c r="G1025" s="41" t="str">
        <f>IF(ISNUMBER(F1025),E1025*F1025,"")</f>
        <v/>
      </c>
      <c r="H1025" s="42"/>
      <c r="I1025" s="38"/>
      <c r="J1025" s="37">
        <v>0</v>
      </c>
    </row>
    <row r="1026" spans="1:10" ht="38.25" hidden="1" x14ac:dyDescent="0.25">
      <c r="A1026" s="174"/>
      <c r="B1026" s="177"/>
      <c r="C1026" s="43" t="s">
        <v>10914</v>
      </c>
      <c r="D1026" s="43" t="s">
        <v>83</v>
      </c>
      <c r="E1026" s="44">
        <v>2</v>
      </c>
      <c r="F1026" s="41">
        <v>19.741</v>
      </c>
      <c r="G1026" s="41">
        <f>IF(ISNUMBER(F1026),E1026*F1026,"")</f>
        <v>39.481999999999999</v>
      </c>
      <c r="H1026" s="42"/>
      <c r="I1026" s="38"/>
      <c r="J1026" s="37">
        <v>0</v>
      </c>
    </row>
    <row r="1027" spans="1:10" ht="25.5" hidden="1" x14ac:dyDescent="0.25">
      <c r="A1027" s="174"/>
      <c r="B1027" s="177"/>
      <c r="C1027" s="43" t="s">
        <v>10897</v>
      </c>
      <c r="D1027" s="43" t="s">
        <v>83</v>
      </c>
      <c r="E1027" s="44">
        <v>1</v>
      </c>
      <c r="F1027" s="41">
        <v>15.266499999999999</v>
      </c>
      <c r="G1027" s="70">
        <f>IF(ISNUMBER(F1027),E1027*F1027,"")</f>
        <v>15.266499999999999</v>
      </c>
      <c r="H1027" s="42"/>
      <c r="I1027" s="38"/>
      <c r="J1027" s="37">
        <v>0</v>
      </c>
    </row>
    <row r="1028" spans="1:10" hidden="1" x14ac:dyDescent="0.25">
      <c r="A1028" s="174"/>
      <c r="B1028" s="177"/>
      <c r="C1028" s="43" t="s">
        <v>10877</v>
      </c>
      <c r="D1028" s="43" t="s">
        <v>1044</v>
      </c>
      <c r="E1028" s="44">
        <v>8.8099999999999998E-2</v>
      </c>
      <c r="F1028" s="41">
        <v>71.667999999999992</v>
      </c>
      <c r="G1028" s="41">
        <f>IF(ISNUMBER(F1028),E1028*F1028,"")</f>
        <v>6.3139507999999989</v>
      </c>
      <c r="H1028" s="42"/>
      <c r="I1028" s="38"/>
      <c r="J1028" s="37">
        <v>0</v>
      </c>
    </row>
    <row r="1029" spans="1:10" ht="25.5" hidden="1" x14ac:dyDescent="0.25">
      <c r="A1029" s="174"/>
      <c r="B1029" s="177"/>
      <c r="C1029" s="43" t="s">
        <v>10754</v>
      </c>
      <c r="D1029" s="43" t="s">
        <v>2800</v>
      </c>
      <c r="E1029" s="44">
        <v>0.49680000000000002</v>
      </c>
      <c r="F1029" s="38">
        <v>30.361999999999998</v>
      </c>
      <c r="G1029" s="41">
        <f>IF(ISNUMBER(F1029),E1029*F1029,"")</f>
        <v>15.0838416</v>
      </c>
      <c r="H1029" s="42"/>
      <c r="I1029" s="38"/>
      <c r="J1029" s="37">
        <v>0</v>
      </c>
    </row>
    <row r="1030" spans="1:10" hidden="1" x14ac:dyDescent="0.25">
      <c r="A1030" s="174"/>
      <c r="B1030" s="177"/>
      <c r="C1030" s="43" t="s">
        <v>10614</v>
      </c>
      <c r="D1030" s="43" t="s">
        <v>2800</v>
      </c>
      <c r="E1030" s="44">
        <v>0.34949999999999998</v>
      </c>
      <c r="F1030" s="38">
        <v>23.693000000000001</v>
      </c>
      <c r="G1030" s="41">
        <f>IF(ISNUMBER(F1030),E1030*F1030,"")</f>
        <v>8.2807034999999996</v>
      </c>
      <c r="H1030" s="42"/>
      <c r="I1030" s="38"/>
      <c r="J1030" s="37">
        <v>0</v>
      </c>
    </row>
    <row r="1031" spans="1:10" ht="15.75" hidden="1" thickBot="1" x14ac:dyDescent="0.3">
      <c r="A1031" s="175"/>
      <c r="B1031" s="178"/>
      <c r="C1031" s="49"/>
      <c r="D1031" s="49"/>
      <c r="E1031" s="50"/>
      <c r="F1031" s="51" t="s">
        <v>13</v>
      </c>
      <c r="G1031" s="51" t="str">
        <f>IF(ISNUMBER(F1031),E1031*F1031,"")</f>
        <v/>
      </c>
      <c r="H1031" s="53"/>
      <c r="I1031" s="38"/>
      <c r="J1031" s="37">
        <v>0</v>
      </c>
    </row>
    <row r="1032" spans="1:10" ht="15.75" hidden="1" thickBot="1" x14ac:dyDescent="0.3">
      <c r="A1032" s="173" t="s">
        <v>232</v>
      </c>
      <c r="B1032" s="176" t="s">
        <v>3190</v>
      </c>
      <c r="C1032" s="31"/>
      <c r="D1032" s="32" t="s">
        <v>18</v>
      </c>
      <c r="E1032" s="33"/>
      <c r="F1032" s="54" t="s">
        <v>13</v>
      </c>
      <c r="G1032" s="34" t="str">
        <f>IF(ISNUMBER(F1032),E1032*F1032,"")</f>
        <v/>
      </c>
      <c r="H1032" s="35"/>
      <c r="I1032" s="36"/>
      <c r="J1032" s="37">
        <v>0</v>
      </c>
    </row>
    <row r="1033" spans="1:10" hidden="1" x14ac:dyDescent="0.25">
      <c r="A1033" s="174"/>
      <c r="B1033" s="177"/>
      <c r="C1033" s="39"/>
      <c r="D1033" s="39"/>
      <c r="E1033" s="40"/>
      <c r="F1033" s="55" t="s">
        <v>13</v>
      </c>
      <c r="G1033" s="38" t="str">
        <f>IF(ISNUMBER(F1033),E1033*F1033,"")</f>
        <v/>
      </c>
      <c r="H1033" s="42"/>
      <c r="I1033" s="38"/>
      <c r="J1033" s="37">
        <v>0</v>
      </c>
    </row>
    <row r="1034" spans="1:10" ht="25.5" hidden="1" x14ac:dyDescent="0.25">
      <c r="A1034" s="174"/>
      <c r="B1034" s="177"/>
      <c r="C1034" s="43" t="s">
        <v>233</v>
      </c>
      <c r="D1034" s="62" t="s">
        <v>87</v>
      </c>
      <c r="E1034" s="44">
        <v>1</v>
      </c>
      <c r="F1034" s="41" t="s">
        <v>13</v>
      </c>
      <c r="G1034" s="41" t="str">
        <f>IF(ISNUMBER(F1034),E1034*F1034,"")</f>
        <v/>
      </c>
      <c r="H1034" s="46">
        <f>SUM(G1034:G1039)</f>
        <v>84.426995899999994</v>
      </c>
      <c r="I1034" s="47"/>
      <c r="J1034" s="37">
        <v>0</v>
      </c>
    </row>
    <row r="1035" spans="1:10" ht="38.25" hidden="1" x14ac:dyDescent="0.25">
      <c r="A1035" s="174"/>
      <c r="B1035" s="177"/>
      <c r="C1035" s="43" t="s">
        <v>10914</v>
      </c>
      <c r="D1035" s="43" t="s">
        <v>83</v>
      </c>
      <c r="E1035" s="44">
        <v>2</v>
      </c>
      <c r="F1035" s="41">
        <v>19.741</v>
      </c>
      <c r="G1035" s="41">
        <f>IF(ISNUMBER(F1035),E1035*F1035,"")</f>
        <v>39.481999999999999</v>
      </c>
      <c r="H1035" s="42"/>
      <c r="I1035" s="38"/>
      <c r="J1035" s="37">
        <v>0</v>
      </c>
    </row>
    <row r="1036" spans="1:10" ht="25.5" hidden="1" x14ac:dyDescent="0.25">
      <c r="A1036" s="174"/>
      <c r="B1036" s="177"/>
      <c r="C1036" s="43" t="s">
        <v>10897</v>
      </c>
      <c r="D1036" s="43" t="s">
        <v>83</v>
      </c>
      <c r="E1036" s="44">
        <v>1</v>
      </c>
      <c r="F1036" s="41">
        <v>15.266499999999999</v>
      </c>
      <c r="G1036" s="70">
        <f>IF(ISNUMBER(F1036),E1036*F1036,"")</f>
        <v>15.266499999999999</v>
      </c>
      <c r="H1036" s="42"/>
      <c r="I1036" s="38"/>
      <c r="J1036" s="37">
        <v>0</v>
      </c>
    </row>
    <row r="1037" spans="1:10" hidden="1" x14ac:dyDescent="0.25">
      <c r="A1037" s="174"/>
      <c r="B1037" s="177"/>
      <c r="C1037" s="43" t="s">
        <v>10877</v>
      </c>
      <c r="D1037" s="43" t="s">
        <v>1044</v>
      </c>
      <c r="E1037" s="44">
        <v>8.8099999999999998E-2</v>
      </c>
      <c r="F1037" s="41">
        <v>71.667999999999992</v>
      </c>
      <c r="G1037" s="41">
        <f>IF(ISNUMBER(F1037),E1037*F1037,"")</f>
        <v>6.3139507999999989</v>
      </c>
      <c r="H1037" s="42"/>
      <c r="I1037" s="38"/>
      <c r="J1037" s="37">
        <v>0</v>
      </c>
    </row>
    <row r="1038" spans="1:10" ht="25.5" hidden="1" x14ac:dyDescent="0.25">
      <c r="A1038" s="174"/>
      <c r="B1038" s="177"/>
      <c r="C1038" s="43" t="s">
        <v>10754</v>
      </c>
      <c r="D1038" s="43" t="s">
        <v>2800</v>
      </c>
      <c r="E1038" s="44">
        <v>0.49680000000000002</v>
      </c>
      <c r="F1038" s="38">
        <v>30.361999999999998</v>
      </c>
      <c r="G1038" s="41">
        <f>IF(ISNUMBER(F1038),E1038*F1038,"")</f>
        <v>15.0838416</v>
      </c>
      <c r="H1038" s="42"/>
      <c r="I1038" s="38"/>
      <c r="J1038" s="37">
        <v>0</v>
      </c>
    </row>
    <row r="1039" spans="1:10" hidden="1" x14ac:dyDescent="0.25">
      <c r="A1039" s="174"/>
      <c r="B1039" s="177"/>
      <c r="C1039" s="43" t="s">
        <v>10614</v>
      </c>
      <c r="D1039" s="43" t="s">
        <v>2800</v>
      </c>
      <c r="E1039" s="44">
        <v>0.34949999999999998</v>
      </c>
      <c r="F1039" s="38">
        <v>23.693000000000001</v>
      </c>
      <c r="G1039" s="41">
        <f>IF(ISNUMBER(F1039),E1039*F1039,"")</f>
        <v>8.2807034999999996</v>
      </c>
      <c r="H1039" s="42"/>
      <c r="I1039" s="38"/>
      <c r="J1039" s="37">
        <v>0</v>
      </c>
    </row>
    <row r="1040" spans="1:10" ht="15.75" hidden="1" thickBot="1" x14ac:dyDescent="0.3">
      <c r="A1040" s="175"/>
      <c r="B1040" s="178"/>
      <c r="C1040" s="49"/>
      <c r="D1040" s="49"/>
      <c r="E1040" s="50"/>
      <c r="F1040" s="51" t="s">
        <v>13</v>
      </c>
      <c r="G1040" s="51" t="str">
        <f>IF(ISNUMBER(F1040),E1040*F1040,"")</f>
        <v/>
      </c>
      <c r="H1040" s="53"/>
      <c r="I1040" s="38"/>
      <c r="J1040" s="37">
        <v>0</v>
      </c>
    </row>
    <row r="1041" spans="1:10" ht="15.75" hidden="1" thickBot="1" x14ac:dyDescent="0.3">
      <c r="A1041" s="173" t="s">
        <v>234</v>
      </c>
      <c r="B1041" s="176" t="s">
        <v>3191</v>
      </c>
      <c r="C1041" s="31"/>
      <c r="D1041" s="32" t="s">
        <v>18</v>
      </c>
      <c r="E1041" s="33"/>
      <c r="F1041" s="54" t="s">
        <v>13</v>
      </c>
      <c r="G1041" s="34" t="str">
        <f>IF(ISNUMBER(F1041),E1041*F1041,"")</f>
        <v/>
      </c>
      <c r="H1041" s="35"/>
      <c r="I1041" s="36"/>
      <c r="J1041" s="37">
        <v>0</v>
      </c>
    </row>
    <row r="1042" spans="1:10" hidden="1" x14ac:dyDescent="0.25">
      <c r="A1042" s="174"/>
      <c r="B1042" s="177"/>
      <c r="C1042" s="39"/>
      <c r="D1042" s="39"/>
      <c r="E1042" s="40"/>
      <c r="F1042" s="55" t="s">
        <v>13</v>
      </c>
      <c r="G1042" s="38" t="str">
        <f>IF(ISNUMBER(F1042),E1042*F1042,"")</f>
        <v/>
      </c>
      <c r="H1042" s="42"/>
      <c r="I1042" s="38"/>
      <c r="J1042" s="37">
        <v>0</v>
      </c>
    </row>
    <row r="1043" spans="1:10" hidden="1" x14ac:dyDescent="0.25">
      <c r="A1043" s="174"/>
      <c r="B1043" s="177"/>
      <c r="C1043" s="43" t="s">
        <v>235</v>
      </c>
      <c r="D1043" s="62" t="s">
        <v>87</v>
      </c>
      <c r="E1043" s="44">
        <v>1</v>
      </c>
      <c r="F1043" s="41" t="s">
        <v>13</v>
      </c>
      <c r="G1043" s="41" t="str">
        <f>IF(ISNUMBER(F1043),E1043*F1043,"")</f>
        <v/>
      </c>
      <c r="H1043" s="46">
        <f>SUM(G1043:G1046)</f>
        <v>47.102183699999998</v>
      </c>
      <c r="I1043" s="47"/>
      <c r="J1043" s="37">
        <v>0</v>
      </c>
    </row>
    <row r="1044" spans="1:10" hidden="1" x14ac:dyDescent="0.25">
      <c r="A1044" s="174"/>
      <c r="B1044" s="177"/>
      <c r="C1044" s="43" t="s">
        <v>10875</v>
      </c>
      <c r="D1044" s="43" t="s">
        <v>1044</v>
      </c>
      <c r="E1044" s="44">
        <v>0.52710000000000001</v>
      </c>
      <c r="F1044" s="41">
        <v>27.777999999999999</v>
      </c>
      <c r="G1044" s="41">
        <f>IF(ISNUMBER(F1044),E1044*F1044,"")</f>
        <v>14.641783799999999</v>
      </c>
      <c r="H1044" s="42"/>
      <c r="I1044" s="38"/>
      <c r="J1044" s="37">
        <v>0</v>
      </c>
    </row>
    <row r="1045" spans="1:10" hidden="1" x14ac:dyDescent="0.25">
      <c r="A1045" s="174"/>
      <c r="B1045" s="177"/>
      <c r="C1045" s="43" t="s">
        <v>10614</v>
      </c>
      <c r="D1045" s="43" t="s">
        <v>2800</v>
      </c>
      <c r="E1045" s="44">
        <v>0.26650000000000001</v>
      </c>
      <c r="F1045" s="38">
        <v>23.693000000000001</v>
      </c>
      <c r="G1045" s="41">
        <f>IF(ISNUMBER(F1045),E1045*F1045,"")</f>
        <v>6.3141845000000005</v>
      </c>
      <c r="H1045" s="42"/>
      <c r="I1045" s="38"/>
      <c r="J1045" s="37">
        <v>0</v>
      </c>
    </row>
    <row r="1046" spans="1:10" hidden="1" x14ac:dyDescent="0.25">
      <c r="A1046" s="174"/>
      <c r="B1046" s="177"/>
      <c r="C1046" s="43" t="s">
        <v>10830</v>
      </c>
      <c r="D1046" s="43" t="s">
        <v>2800</v>
      </c>
      <c r="E1046" s="44">
        <v>0.8458</v>
      </c>
      <c r="F1046" s="38">
        <v>30.912999999999997</v>
      </c>
      <c r="G1046" s="41">
        <f>IF(ISNUMBER(F1046),E1046*F1046,"")</f>
        <v>26.146215399999996</v>
      </c>
      <c r="H1046" s="42"/>
      <c r="I1046" s="38"/>
      <c r="J1046" s="37">
        <v>0</v>
      </c>
    </row>
    <row r="1047" spans="1:10" ht="15.75" hidden="1" thickBot="1" x14ac:dyDescent="0.3">
      <c r="A1047" s="175"/>
      <c r="B1047" s="178"/>
      <c r="C1047" s="49"/>
      <c r="D1047" s="49"/>
      <c r="E1047" s="50"/>
      <c r="F1047" s="51" t="s">
        <v>13</v>
      </c>
      <c r="G1047" s="51" t="str">
        <f>IF(ISNUMBER(F1047),E1047*F1047,"")</f>
        <v/>
      </c>
      <c r="H1047" s="53"/>
      <c r="I1047" s="38"/>
      <c r="J1047" s="37">
        <v>0</v>
      </c>
    </row>
    <row r="1048" spans="1:10" ht="15.75" hidden="1" thickBot="1" x14ac:dyDescent="0.3">
      <c r="A1048" s="173" t="s">
        <v>236</v>
      </c>
      <c r="B1048" s="176" t="s">
        <v>3192</v>
      </c>
      <c r="C1048" s="31"/>
      <c r="D1048" s="32" t="s">
        <v>18</v>
      </c>
      <c r="E1048" s="33"/>
      <c r="F1048" s="54" t="s">
        <v>13</v>
      </c>
      <c r="G1048" s="34" t="str">
        <f>IF(ISNUMBER(F1048),E1048*F1048,"")</f>
        <v/>
      </c>
      <c r="H1048" s="35"/>
      <c r="I1048" s="36"/>
      <c r="J1048" s="37">
        <v>0</v>
      </c>
    </row>
    <row r="1049" spans="1:10" hidden="1" x14ac:dyDescent="0.25">
      <c r="A1049" s="174"/>
      <c r="B1049" s="177"/>
      <c r="C1049" s="39"/>
      <c r="D1049" s="39"/>
      <c r="E1049" s="40"/>
      <c r="F1049" s="55" t="s">
        <v>13</v>
      </c>
      <c r="G1049" s="38" t="str">
        <f>IF(ISNUMBER(F1049),E1049*F1049,"")</f>
        <v/>
      </c>
      <c r="H1049" s="42"/>
      <c r="I1049" s="38"/>
      <c r="J1049" s="37">
        <v>0</v>
      </c>
    </row>
    <row r="1050" spans="1:10" ht="38.25" hidden="1" x14ac:dyDescent="0.25">
      <c r="A1050" s="174"/>
      <c r="B1050" s="177"/>
      <c r="C1050" s="43" t="s">
        <v>237</v>
      </c>
      <c r="D1050" s="62" t="s">
        <v>87</v>
      </c>
      <c r="E1050" s="44">
        <v>1</v>
      </c>
      <c r="F1050" s="41" t="s">
        <v>13</v>
      </c>
      <c r="G1050" s="41" t="str">
        <f>IF(ISNUMBER(F1050),E1050*F1050,"")</f>
        <v/>
      </c>
      <c r="H1050" s="46">
        <f>SUM(G1050:G1053)</f>
        <v>26.582470599999997</v>
      </c>
      <c r="I1050" s="47"/>
      <c r="J1050" s="37">
        <v>0</v>
      </c>
    </row>
    <row r="1051" spans="1:10" hidden="1" x14ac:dyDescent="0.25">
      <c r="A1051" s="174"/>
      <c r="B1051" s="177"/>
      <c r="C1051" s="43" t="s">
        <v>10875</v>
      </c>
      <c r="D1051" s="43" t="s">
        <v>1044</v>
      </c>
      <c r="E1051" s="44">
        <v>0.2974</v>
      </c>
      <c r="F1051" s="41">
        <v>27.777999999999999</v>
      </c>
      <c r="G1051" s="41">
        <f>IF(ISNUMBER(F1051),E1051*F1051,"")</f>
        <v>8.2611771999999988</v>
      </c>
      <c r="H1051" s="42"/>
      <c r="I1051" s="38"/>
      <c r="J1051" s="37">
        <v>0</v>
      </c>
    </row>
    <row r="1052" spans="1:10" hidden="1" x14ac:dyDescent="0.25">
      <c r="A1052" s="174"/>
      <c r="B1052" s="177"/>
      <c r="C1052" s="43" t="s">
        <v>10830</v>
      </c>
      <c r="D1052" s="43" t="s">
        <v>2800</v>
      </c>
      <c r="E1052" s="44">
        <v>0.47739999999999999</v>
      </c>
      <c r="F1052" s="38">
        <v>30.912999999999997</v>
      </c>
      <c r="G1052" s="41">
        <f>IF(ISNUMBER(F1052),E1052*F1052,"")</f>
        <v>14.757866199999999</v>
      </c>
      <c r="H1052" s="42"/>
      <c r="I1052" s="38"/>
      <c r="J1052" s="37">
        <v>0</v>
      </c>
    </row>
    <row r="1053" spans="1:10" hidden="1" x14ac:dyDescent="0.25">
      <c r="A1053" s="174"/>
      <c r="B1053" s="177"/>
      <c r="C1053" s="43" t="s">
        <v>10614</v>
      </c>
      <c r="D1053" s="43" t="s">
        <v>2800</v>
      </c>
      <c r="E1053" s="44">
        <v>0.15040000000000001</v>
      </c>
      <c r="F1053" s="38">
        <v>23.693000000000001</v>
      </c>
      <c r="G1053" s="41">
        <f>IF(ISNUMBER(F1053),E1053*F1053,"")</f>
        <v>3.5634272000000005</v>
      </c>
      <c r="H1053" s="42"/>
      <c r="I1053" s="38"/>
      <c r="J1053" s="37">
        <v>0</v>
      </c>
    </row>
    <row r="1054" spans="1:10" ht="15.75" hidden="1" thickBot="1" x14ac:dyDescent="0.3">
      <c r="A1054" s="175"/>
      <c r="B1054" s="178"/>
      <c r="C1054" s="49"/>
      <c r="D1054" s="49"/>
      <c r="E1054" s="50"/>
      <c r="F1054" s="51" t="s">
        <v>13</v>
      </c>
      <c r="G1054" s="51" t="str">
        <f>IF(ISNUMBER(F1054),E1054*F1054,"")</f>
        <v/>
      </c>
      <c r="H1054" s="53"/>
      <c r="I1054" s="38"/>
      <c r="J1054" s="37">
        <v>0</v>
      </c>
    </row>
    <row r="1055" spans="1:10" ht="15.75" hidden="1" thickBot="1" x14ac:dyDescent="0.3">
      <c r="A1055" s="173" t="s">
        <v>238</v>
      </c>
      <c r="B1055" s="176" t="s">
        <v>3193</v>
      </c>
      <c r="C1055" s="31"/>
      <c r="D1055" s="32" t="s">
        <v>18</v>
      </c>
      <c r="E1055" s="33"/>
      <c r="F1055" s="54" t="s">
        <v>13</v>
      </c>
      <c r="G1055" s="34" t="str">
        <f>IF(ISNUMBER(F1055),E1055*F1055,"")</f>
        <v/>
      </c>
      <c r="H1055" s="35"/>
      <c r="I1055" s="36"/>
      <c r="J1055" s="37">
        <v>0</v>
      </c>
    </row>
    <row r="1056" spans="1:10" hidden="1" x14ac:dyDescent="0.25">
      <c r="A1056" s="174"/>
      <c r="B1056" s="177"/>
      <c r="C1056" s="39"/>
      <c r="D1056" s="39"/>
      <c r="E1056" s="40"/>
      <c r="F1056" s="55" t="s">
        <v>13</v>
      </c>
      <c r="G1056" s="38" t="str">
        <f>IF(ISNUMBER(F1056),E1056*F1056,"")</f>
        <v/>
      </c>
      <c r="H1056" s="42"/>
      <c r="I1056" s="38"/>
      <c r="J1056" s="37">
        <v>0</v>
      </c>
    </row>
    <row r="1057" spans="1:10" hidden="1" x14ac:dyDescent="0.25">
      <c r="A1057" s="174"/>
      <c r="B1057" s="177"/>
      <c r="C1057" s="43" t="s">
        <v>239</v>
      </c>
      <c r="D1057" s="62" t="s">
        <v>87</v>
      </c>
      <c r="E1057" s="44">
        <v>1</v>
      </c>
      <c r="F1057" s="41" t="s">
        <v>13</v>
      </c>
      <c r="G1057" s="41" t="str">
        <f>IF(ISNUMBER(F1057),E1057*F1057,"")</f>
        <v/>
      </c>
      <c r="H1057" s="46">
        <f>SUM(G1057:G1060)</f>
        <v>47.102183699999998</v>
      </c>
      <c r="I1057" s="47"/>
      <c r="J1057" s="37">
        <v>0</v>
      </c>
    </row>
    <row r="1058" spans="1:10" hidden="1" x14ac:dyDescent="0.25">
      <c r="A1058" s="174"/>
      <c r="B1058" s="177"/>
      <c r="C1058" s="43" t="s">
        <v>10875</v>
      </c>
      <c r="D1058" s="43" t="s">
        <v>1044</v>
      </c>
      <c r="E1058" s="44">
        <v>0.52710000000000001</v>
      </c>
      <c r="F1058" s="41">
        <v>27.777999999999999</v>
      </c>
      <c r="G1058" s="41">
        <f>IF(ISNUMBER(F1058),E1058*F1058,"")</f>
        <v>14.641783799999999</v>
      </c>
      <c r="H1058" s="42"/>
      <c r="I1058" s="38"/>
      <c r="J1058" s="37">
        <v>0</v>
      </c>
    </row>
    <row r="1059" spans="1:10" hidden="1" x14ac:dyDescent="0.25">
      <c r="A1059" s="174"/>
      <c r="B1059" s="177"/>
      <c r="C1059" s="43" t="s">
        <v>10614</v>
      </c>
      <c r="D1059" s="43" t="s">
        <v>2800</v>
      </c>
      <c r="E1059" s="44">
        <v>0.26650000000000001</v>
      </c>
      <c r="F1059" s="38">
        <v>23.693000000000001</v>
      </c>
      <c r="G1059" s="41">
        <f>IF(ISNUMBER(F1059),E1059*F1059,"")</f>
        <v>6.3141845000000005</v>
      </c>
      <c r="H1059" s="42"/>
      <c r="I1059" s="38"/>
      <c r="J1059" s="37">
        <v>0</v>
      </c>
    </row>
    <row r="1060" spans="1:10" hidden="1" x14ac:dyDescent="0.25">
      <c r="A1060" s="174"/>
      <c r="B1060" s="177"/>
      <c r="C1060" s="43" t="s">
        <v>10830</v>
      </c>
      <c r="D1060" s="43" t="s">
        <v>2800</v>
      </c>
      <c r="E1060" s="44">
        <v>0.8458</v>
      </c>
      <c r="F1060" s="38">
        <v>30.912999999999997</v>
      </c>
      <c r="G1060" s="41">
        <f>IF(ISNUMBER(F1060),E1060*F1060,"")</f>
        <v>26.146215399999996</v>
      </c>
      <c r="H1060" s="42"/>
      <c r="I1060" s="38"/>
      <c r="J1060" s="37">
        <v>0</v>
      </c>
    </row>
    <row r="1061" spans="1:10" ht="15.75" hidden="1" thickBot="1" x14ac:dyDescent="0.3">
      <c r="A1061" s="175"/>
      <c r="B1061" s="178"/>
      <c r="C1061" s="49"/>
      <c r="D1061" s="49"/>
      <c r="E1061" s="50"/>
      <c r="F1061" s="51" t="s">
        <v>13</v>
      </c>
      <c r="G1061" s="51" t="str">
        <f>IF(ISNUMBER(F1061),E1061*F1061,"")</f>
        <v/>
      </c>
      <c r="H1061" s="53"/>
      <c r="I1061" s="38"/>
      <c r="J1061" s="37">
        <v>0</v>
      </c>
    </row>
    <row r="1062" spans="1:10" ht="15.75" hidden="1" thickBot="1" x14ac:dyDescent="0.3">
      <c r="A1062" s="173" t="s">
        <v>240</v>
      </c>
      <c r="B1062" s="176" t="s">
        <v>3194</v>
      </c>
      <c r="C1062" s="31"/>
      <c r="D1062" s="32" t="s">
        <v>18</v>
      </c>
      <c r="E1062" s="33"/>
      <c r="F1062" s="54" t="s">
        <v>13</v>
      </c>
      <c r="G1062" s="34" t="str">
        <f>IF(ISNUMBER(F1062),E1062*F1062,"")</f>
        <v/>
      </c>
      <c r="H1062" s="35"/>
      <c r="I1062" s="36"/>
      <c r="J1062" s="37">
        <v>0</v>
      </c>
    </row>
    <row r="1063" spans="1:10" hidden="1" x14ac:dyDescent="0.25">
      <c r="A1063" s="174"/>
      <c r="B1063" s="177"/>
      <c r="C1063" s="39"/>
      <c r="D1063" s="39"/>
      <c r="E1063" s="40"/>
      <c r="F1063" s="55" t="s">
        <v>13</v>
      </c>
      <c r="G1063" s="38" t="str">
        <f>IF(ISNUMBER(F1063),E1063*F1063,"")</f>
        <v/>
      </c>
      <c r="H1063" s="42"/>
      <c r="I1063" s="38"/>
      <c r="J1063" s="37">
        <v>0</v>
      </c>
    </row>
    <row r="1064" spans="1:10" ht="38.25" hidden="1" x14ac:dyDescent="0.25">
      <c r="A1064" s="174"/>
      <c r="B1064" s="177"/>
      <c r="C1064" s="43" t="s">
        <v>10915</v>
      </c>
      <c r="D1064" s="43" t="s">
        <v>83</v>
      </c>
      <c r="E1064" s="44">
        <v>2</v>
      </c>
      <c r="F1064" s="41">
        <v>14.629999999999999</v>
      </c>
      <c r="G1064" s="41">
        <f>IF(ISNUMBER(F1064),E1064*F1064,"")</f>
        <v>29.259999999999998</v>
      </c>
      <c r="H1064" s="46">
        <f>SUM(G1064:G1067)</f>
        <v>47.65730099999999</v>
      </c>
      <c r="I1064" s="47"/>
      <c r="J1064" s="37">
        <v>0</v>
      </c>
    </row>
    <row r="1065" spans="1:10" hidden="1" x14ac:dyDescent="0.25">
      <c r="A1065" s="174"/>
      <c r="B1065" s="177"/>
      <c r="C1065" s="43" t="s">
        <v>10877</v>
      </c>
      <c r="D1065" s="43" t="s">
        <v>1044</v>
      </c>
      <c r="E1065" s="44">
        <v>3.04E-2</v>
      </c>
      <c r="F1065" s="41">
        <v>71.667999999999992</v>
      </c>
      <c r="G1065" s="41">
        <f>IF(ISNUMBER(F1065),E1065*F1065,"")</f>
        <v>2.1787071999999998</v>
      </c>
      <c r="H1065" s="42"/>
      <c r="I1065" s="38"/>
      <c r="J1065" s="37">
        <v>0</v>
      </c>
    </row>
    <row r="1066" spans="1:10" ht="25.5" hidden="1" x14ac:dyDescent="0.25">
      <c r="A1066" s="174"/>
      <c r="B1066" s="177"/>
      <c r="C1066" s="43" t="s">
        <v>10754</v>
      </c>
      <c r="D1066" s="43" t="s">
        <v>2800</v>
      </c>
      <c r="E1066" s="44">
        <v>0.38700000000000001</v>
      </c>
      <c r="F1066" s="38">
        <v>30.361999999999998</v>
      </c>
      <c r="G1066" s="41">
        <f>IF(ISNUMBER(F1066),E1066*F1066,"")</f>
        <v>11.750093999999999</v>
      </c>
      <c r="H1066" s="42"/>
      <c r="I1066" s="38"/>
      <c r="J1066" s="37">
        <v>0</v>
      </c>
    </row>
    <row r="1067" spans="1:10" hidden="1" x14ac:dyDescent="0.25">
      <c r="A1067" s="174"/>
      <c r="B1067" s="177"/>
      <c r="C1067" s="43" t="s">
        <v>10614</v>
      </c>
      <c r="D1067" s="43" t="s">
        <v>2800</v>
      </c>
      <c r="E1067" s="44">
        <v>0.18859999999999999</v>
      </c>
      <c r="F1067" s="38">
        <v>23.693000000000001</v>
      </c>
      <c r="G1067" s="41">
        <f>IF(ISNUMBER(F1067),E1067*F1067,"")</f>
        <v>4.4684998</v>
      </c>
      <c r="H1067" s="42"/>
      <c r="I1067" s="38"/>
      <c r="J1067" s="37">
        <v>0</v>
      </c>
    </row>
    <row r="1068" spans="1:10" ht="15.75" hidden="1" thickBot="1" x14ac:dyDescent="0.3">
      <c r="A1068" s="175"/>
      <c r="B1068" s="178"/>
      <c r="C1068" s="49"/>
      <c r="D1068" s="63"/>
      <c r="E1068" s="50"/>
      <c r="F1068" s="52" t="s">
        <v>13</v>
      </c>
      <c r="G1068" s="52" t="str">
        <f>IF(ISNUMBER(F1068),E1068*F1068,"")</f>
        <v/>
      </c>
      <c r="H1068" s="53"/>
      <c r="I1068" s="38"/>
      <c r="J1068" s="37">
        <v>0</v>
      </c>
    </row>
    <row r="1069" spans="1:10" ht="15.75" hidden="1" thickBot="1" x14ac:dyDescent="0.3">
      <c r="A1069" s="173" t="s">
        <v>241</v>
      </c>
      <c r="B1069" s="176" t="s">
        <v>3195</v>
      </c>
      <c r="C1069" s="31"/>
      <c r="D1069" s="32" t="s">
        <v>18</v>
      </c>
      <c r="E1069" s="33"/>
      <c r="F1069" s="54" t="s">
        <v>13</v>
      </c>
      <c r="G1069" s="34" t="str">
        <f>IF(ISNUMBER(F1069),E1069*F1069,"")</f>
        <v/>
      </c>
      <c r="H1069" s="35"/>
      <c r="I1069" s="36"/>
      <c r="J1069" s="37">
        <v>0</v>
      </c>
    </row>
    <row r="1070" spans="1:10" hidden="1" x14ac:dyDescent="0.25">
      <c r="A1070" s="174"/>
      <c r="B1070" s="177"/>
      <c r="C1070" s="39"/>
      <c r="D1070" s="39"/>
      <c r="E1070" s="40"/>
      <c r="F1070" s="55" t="s">
        <v>13</v>
      </c>
      <c r="G1070" s="38" t="str">
        <f>IF(ISNUMBER(F1070),E1070*F1070,"")</f>
        <v/>
      </c>
      <c r="H1070" s="42"/>
      <c r="I1070" s="38"/>
      <c r="J1070" s="37">
        <v>0</v>
      </c>
    </row>
    <row r="1071" spans="1:10" ht="38.25" hidden="1" x14ac:dyDescent="0.25">
      <c r="A1071" s="174"/>
      <c r="B1071" s="177"/>
      <c r="C1071" s="43" t="s">
        <v>10915</v>
      </c>
      <c r="D1071" s="43" t="s">
        <v>83</v>
      </c>
      <c r="E1071" s="44">
        <v>2</v>
      </c>
      <c r="F1071" s="41">
        <v>14.629999999999999</v>
      </c>
      <c r="G1071" s="38">
        <f>IF(ISNUMBER(F1071),E1071*F1071,"")</f>
        <v>29.259999999999998</v>
      </c>
      <c r="H1071" s="46">
        <f>SUM(G1071:G1074)</f>
        <v>48.490450999999993</v>
      </c>
      <c r="I1071" s="47"/>
      <c r="J1071" s="37">
        <v>0</v>
      </c>
    </row>
    <row r="1072" spans="1:10" hidden="1" x14ac:dyDescent="0.25">
      <c r="A1072" s="174"/>
      <c r="B1072" s="177"/>
      <c r="C1072" s="43" t="s">
        <v>10916</v>
      </c>
      <c r="D1072" s="43" t="s">
        <v>83</v>
      </c>
      <c r="E1072" s="44">
        <v>3.6499999999999998E-2</v>
      </c>
      <c r="F1072" s="41">
        <v>3.9899999999999998</v>
      </c>
      <c r="G1072" s="38">
        <f>IF(ISNUMBER(F1072),E1072*F1072,"")</f>
        <v>0.14563499999999999</v>
      </c>
      <c r="H1072" s="42"/>
      <c r="I1072" s="38"/>
      <c r="J1072" s="37">
        <v>0</v>
      </c>
    </row>
    <row r="1073" spans="1:10" hidden="1" x14ac:dyDescent="0.25">
      <c r="A1073" s="174"/>
      <c r="B1073" s="177"/>
      <c r="C1073" s="43" t="s">
        <v>10614</v>
      </c>
      <c r="D1073" s="43" t="s">
        <v>2800</v>
      </c>
      <c r="E1073" s="44">
        <f>ROUND(0.3179/2,4)</f>
        <v>0.159</v>
      </c>
      <c r="F1073" s="38">
        <v>23.693000000000001</v>
      </c>
      <c r="G1073" s="41">
        <f>IF(ISNUMBER(F1073),E1073*F1073,"")</f>
        <v>3.7671870000000003</v>
      </c>
      <c r="H1073" s="42"/>
      <c r="I1073" s="38"/>
      <c r="J1073" s="37">
        <v>0</v>
      </c>
    </row>
    <row r="1074" spans="1:10" ht="25.5" hidden="1" x14ac:dyDescent="0.25">
      <c r="A1074" s="174"/>
      <c r="B1074" s="177"/>
      <c r="C1074" s="43" t="s">
        <v>10754</v>
      </c>
      <c r="D1074" s="43" t="s">
        <v>2800</v>
      </c>
      <c r="E1074" s="44">
        <f>1.009/2</f>
        <v>0.50449999999999995</v>
      </c>
      <c r="F1074" s="38">
        <v>30.361999999999998</v>
      </c>
      <c r="G1074" s="41">
        <f>IF(ISNUMBER(F1074),E1074*F1074,"")</f>
        <v>15.317628999999998</v>
      </c>
      <c r="H1074" s="42"/>
      <c r="I1074" s="38"/>
      <c r="J1074" s="37">
        <v>0</v>
      </c>
    </row>
    <row r="1075" spans="1:10" hidden="1" x14ac:dyDescent="0.25">
      <c r="A1075" s="174"/>
      <c r="B1075" s="177"/>
      <c r="C1075" s="43"/>
      <c r="D1075" s="62"/>
      <c r="E1075" s="44"/>
      <c r="F1075" s="41" t="s">
        <v>13</v>
      </c>
      <c r="G1075" s="41" t="str">
        <f>IF(ISNUMBER(F1075),E1075*F1075,"")</f>
        <v/>
      </c>
      <c r="H1075" s="42"/>
      <c r="I1075" s="38"/>
      <c r="J1075" s="37">
        <v>0</v>
      </c>
    </row>
    <row r="1076" spans="1:10" ht="25.5" hidden="1" x14ac:dyDescent="0.25">
      <c r="A1076" s="174"/>
      <c r="B1076" s="177"/>
      <c r="C1076" s="65" t="s">
        <v>242</v>
      </c>
      <c r="D1076" s="62"/>
      <c r="E1076" s="44"/>
      <c r="F1076" s="41" t="s">
        <v>13</v>
      </c>
      <c r="G1076" s="41" t="str">
        <f>IF(ISNUMBER(F1076),E1076*F1076,"")</f>
        <v/>
      </c>
      <c r="H1076" s="42"/>
      <c r="I1076" s="38"/>
      <c r="J1076" s="37">
        <v>0</v>
      </c>
    </row>
    <row r="1077" spans="1:10" ht="15.75" hidden="1" thickBot="1" x14ac:dyDescent="0.3">
      <c r="A1077" s="175"/>
      <c r="B1077" s="178"/>
      <c r="C1077" s="49"/>
      <c r="D1077" s="49"/>
      <c r="E1077" s="50"/>
      <c r="F1077" s="52" t="s">
        <v>13</v>
      </c>
      <c r="G1077" s="52" t="str">
        <f>IF(ISNUMBER(F1077),E1077*F1077,"")</f>
        <v/>
      </c>
      <c r="H1077" s="53"/>
      <c r="I1077" s="38"/>
      <c r="J1077" s="37">
        <v>0</v>
      </c>
    </row>
    <row r="1078" spans="1:10" ht="15.75" hidden="1" thickBot="1" x14ac:dyDescent="0.3">
      <c r="A1078" s="173" t="s">
        <v>243</v>
      </c>
      <c r="B1078" s="176" t="s">
        <v>3196</v>
      </c>
      <c r="C1078" s="31"/>
      <c r="D1078" s="32" t="s">
        <v>18</v>
      </c>
      <c r="E1078" s="33"/>
      <c r="F1078" s="54" t="s">
        <v>13</v>
      </c>
      <c r="G1078" s="34" t="str">
        <f>IF(ISNUMBER(F1078),E1078*F1078,"")</f>
        <v/>
      </c>
      <c r="H1078" s="35"/>
      <c r="I1078" s="36"/>
      <c r="J1078" s="37">
        <v>0</v>
      </c>
    </row>
    <row r="1079" spans="1:10" hidden="1" x14ac:dyDescent="0.25">
      <c r="A1079" s="174"/>
      <c r="B1079" s="177"/>
      <c r="C1079" s="39"/>
      <c r="D1079" s="39"/>
      <c r="E1079" s="40"/>
      <c r="F1079" s="55" t="s">
        <v>13</v>
      </c>
      <c r="G1079" s="38" t="str">
        <f>IF(ISNUMBER(F1079),E1079*F1079,"")</f>
        <v/>
      </c>
      <c r="H1079" s="42"/>
      <c r="I1079" s="38"/>
      <c r="J1079" s="37">
        <v>0</v>
      </c>
    </row>
    <row r="1080" spans="1:10" ht="38.25" hidden="1" x14ac:dyDescent="0.25">
      <c r="A1080" s="174"/>
      <c r="B1080" s="177"/>
      <c r="C1080" s="43" t="s">
        <v>10914</v>
      </c>
      <c r="D1080" s="43" t="s">
        <v>83</v>
      </c>
      <c r="E1080" s="44">
        <v>2</v>
      </c>
      <c r="F1080" s="41">
        <v>19.741</v>
      </c>
      <c r="G1080" s="41">
        <f>IF(ISNUMBER(F1080),E1080*F1080,"")</f>
        <v>39.481999999999999</v>
      </c>
      <c r="H1080" s="46">
        <f>SUM(G1080:G1084)</f>
        <v>84.426995899999994</v>
      </c>
      <c r="I1080" s="47"/>
      <c r="J1080" s="37">
        <v>0</v>
      </c>
    </row>
    <row r="1081" spans="1:10" ht="25.5" hidden="1" x14ac:dyDescent="0.25">
      <c r="A1081" s="174"/>
      <c r="B1081" s="177"/>
      <c r="C1081" s="43" t="s">
        <v>10897</v>
      </c>
      <c r="D1081" s="43" t="s">
        <v>83</v>
      </c>
      <c r="E1081" s="44">
        <v>1</v>
      </c>
      <c r="F1081" s="41">
        <v>15.266499999999999</v>
      </c>
      <c r="G1081" s="70">
        <f>IF(ISNUMBER(F1081),E1081*F1081,"")</f>
        <v>15.266499999999999</v>
      </c>
      <c r="H1081" s="42"/>
      <c r="I1081" s="38"/>
      <c r="J1081" s="37">
        <v>0</v>
      </c>
    </row>
    <row r="1082" spans="1:10" hidden="1" x14ac:dyDescent="0.25">
      <c r="A1082" s="174"/>
      <c r="B1082" s="177"/>
      <c r="C1082" s="43" t="s">
        <v>10877</v>
      </c>
      <c r="D1082" s="43" t="s">
        <v>1044</v>
      </c>
      <c r="E1082" s="44">
        <v>8.8099999999999998E-2</v>
      </c>
      <c r="F1082" s="41">
        <v>71.667999999999992</v>
      </c>
      <c r="G1082" s="41">
        <f>IF(ISNUMBER(F1082),E1082*F1082,"")</f>
        <v>6.3139507999999989</v>
      </c>
      <c r="H1082" s="42"/>
      <c r="I1082" s="38"/>
      <c r="J1082" s="37">
        <v>0</v>
      </c>
    </row>
    <row r="1083" spans="1:10" ht="25.5" hidden="1" x14ac:dyDescent="0.25">
      <c r="A1083" s="174"/>
      <c r="B1083" s="177"/>
      <c r="C1083" s="43" t="s">
        <v>10754</v>
      </c>
      <c r="D1083" s="43" t="s">
        <v>2800</v>
      </c>
      <c r="E1083" s="44">
        <v>0.49680000000000002</v>
      </c>
      <c r="F1083" s="38">
        <v>30.361999999999998</v>
      </c>
      <c r="G1083" s="41">
        <f>IF(ISNUMBER(F1083),E1083*F1083,"")</f>
        <v>15.0838416</v>
      </c>
      <c r="H1083" s="42"/>
      <c r="I1083" s="38"/>
      <c r="J1083" s="37">
        <v>0</v>
      </c>
    </row>
    <row r="1084" spans="1:10" hidden="1" x14ac:dyDescent="0.25">
      <c r="A1084" s="174"/>
      <c r="B1084" s="177"/>
      <c r="C1084" s="43" t="s">
        <v>10614</v>
      </c>
      <c r="D1084" s="43" t="s">
        <v>2800</v>
      </c>
      <c r="E1084" s="44">
        <v>0.34949999999999998</v>
      </c>
      <c r="F1084" s="38">
        <v>23.693000000000001</v>
      </c>
      <c r="G1084" s="41">
        <f>IF(ISNUMBER(F1084),E1084*F1084,"")</f>
        <v>8.2807034999999996</v>
      </c>
      <c r="H1084" s="42"/>
      <c r="I1084" s="38"/>
      <c r="J1084" s="37">
        <v>0</v>
      </c>
    </row>
    <row r="1085" spans="1:10" ht="15.75" hidden="1" thickBot="1" x14ac:dyDescent="0.3">
      <c r="A1085" s="175"/>
      <c r="B1085" s="178"/>
      <c r="C1085" s="49"/>
      <c r="D1085" s="49"/>
      <c r="E1085" s="50"/>
      <c r="F1085" s="51" t="s">
        <v>13</v>
      </c>
      <c r="G1085" s="52" t="str">
        <f>IF(ISNUMBER(F1085),E1085*F1085,"")</f>
        <v/>
      </c>
      <c r="H1085" s="53"/>
      <c r="I1085" s="38"/>
      <c r="J1085" s="37">
        <v>0</v>
      </c>
    </row>
    <row r="1086" spans="1:10" ht="15.75" hidden="1" thickBot="1" x14ac:dyDescent="0.3">
      <c r="A1086" s="173" t="s">
        <v>244</v>
      </c>
      <c r="B1086" s="176" t="s">
        <v>3197</v>
      </c>
      <c r="C1086" s="31"/>
      <c r="D1086" s="32" t="s">
        <v>18</v>
      </c>
      <c r="E1086" s="33"/>
      <c r="F1086" s="54" t="s">
        <v>13</v>
      </c>
      <c r="G1086" s="34" t="str">
        <f>IF(ISNUMBER(F1086),E1086*F1086,"")</f>
        <v/>
      </c>
      <c r="H1086" s="35"/>
      <c r="I1086" s="36"/>
      <c r="J1086" s="37">
        <v>0</v>
      </c>
    </row>
    <row r="1087" spans="1:10" hidden="1" x14ac:dyDescent="0.25">
      <c r="A1087" s="174"/>
      <c r="B1087" s="177"/>
      <c r="C1087" s="39"/>
      <c r="D1087" s="39"/>
      <c r="E1087" s="40"/>
      <c r="F1087" s="55" t="s">
        <v>13</v>
      </c>
      <c r="G1087" s="38" t="str">
        <f>IF(ISNUMBER(F1087),E1087*F1087,"")</f>
        <v/>
      </c>
      <c r="H1087" s="42"/>
      <c r="I1087" s="38"/>
      <c r="J1087" s="37">
        <v>0</v>
      </c>
    </row>
    <row r="1088" spans="1:10" ht="25.5" hidden="1" x14ac:dyDescent="0.25">
      <c r="A1088" s="174"/>
      <c r="B1088" s="177"/>
      <c r="C1088" s="43" t="s">
        <v>10917</v>
      </c>
      <c r="D1088" s="43" t="s">
        <v>83</v>
      </c>
      <c r="E1088" s="44">
        <v>1</v>
      </c>
      <c r="F1088" s="41">
        <v>88.122</v>
      </c>
      <c r="G1088" s="41">
        <f>IF(ISNUMBER(F1088),E1088*F1088,"")</f>
        <v>88.122</v>
      </c>
      <c r="H1088" s="46">
        <f>SUM(G1088:G1092)</f>
        <v>135.779301</v>
      </c>
      <c r="I1088" s="47"/>
      <c r="J1088" s="37">
        <v>0</v>
      </c>
    </row>
    <row r="1089" spans="1:10" ht="38.25" hidden="1" x14ac:dyDescent="0.25">
      <c r="A1089" s="174"/>
      <c r="B1089" s="177"/>
      <c r="C1089" s="43" t="s">
        <v>10915</v>
      </c>
      <c r="D1089" s="43" t="s">
        <v>83</v>
      </c>
      <c r="E1089" s="44">
        <v>2</v>
      </c>
      <c r="F1089" s="41">
        <v>14.629999999999999</v>
      </c>
      <c r="G1089" s="41">
        <f>IF(ISNUMBER(F1089),E1089*F1089,"")</f>
        <v>29.259999999999998</v>
      </c>
      <c r="H1089" s="42"/>
      <c r="I1089" s="38"/>
      <c r="J1089" s="37">
        <v>0</v>
      </c>
    </row>
    <row r="1090" spans="1:10" hidden="1" x14ac:dyDescent="0.25">
      <c r="A1090" s="174"/>
      <c r="B1090" s="177"/>
      <c r="C1090" s="43" t="s">
        <v>10877</v>
      </c>
      <c r="D1090" s="43" t="s">
        <v>1044</v>
      </c>
      <c r="E1090" s="44">
        <v>3.04E-2</v>
      </c>
      <c r="F1090" s="41">
        <v>71.667999999999992</v>
      </c>
      <c r="G1090" s="41">
        <f>IF(ISNUMBER(F1090),E1090*F1090,"")</f>
        <v>2.1787071999999998</v>
      </c>
      <c r="H1090" s="42"/>
      <c r="I1090" s="38"/>
      <c r="J1090" s="37">
        <v>0</v>
      </c>
    </row>
    <row r="1091" spans="1:10" ht="25.5" hidden="1" x14ac:dyDescent="0.25">
      <c r="A1091" s="174"/>
      <c r="B1091" s="177"/>
      <c r="C1091" s="43" t="s">
        <v>10754</v>
      </c>
      <c r="D1091" s="43" t="s">
        <v>2800</v>
      </c>
      <c r="E1091" s="44">
        <v>0.38700000000000001</v>
      </c>
      <c r="F1091" s="38">
        <v>30.361999999999998</v>
      </c>
      <c r="G1091" s="41">
        <f>IF(ISNUMBER(F1091),E1091*F1091,"")</f>
        <v>11.750093999999999</v>
      </c>
      <c r="H1091" s="42"/>
      <c r="I1091" s="38"/>
      <c r="J1091" s="37">
        <v>0</v>
      </c>
    </row>
    <row r="1092" spans="1:10" hidden="1" x14ac:dyDescent="0.25">
      <c r="A1092" s="174"/>
      <c r="B1092" s="177"/>
      <c r="C1092" s="43" t="s">
        <v>10614</v>
      </c>
      <c r="D1092" s="43" t="s">
        <v>2800</v>
      </c>
      <c r="E1092" s="44">
        <v>0.18859999999999999</v>
      </c>
      <c r="F1092" s="38">
        <v>23.693000000000001</v>
      </c>
      <c r="G1092" s="41">
        <f>IF(ISNUMBER(F1092),E1092*F1092,"")</f>
        <v>4.4684998</v>
      </c>
      <c r="H1092" s="42"/>
      <c r="I1092" s="38"/>
      <c r="J1092" s="37">
        <v>0</v>
      </c>
    </row>
    <row r="1093" spans="1:10" ht="15.75" hidden="1" thickBot="1" x14ac:dyDescent="0.3">
      <c r="A1093" s="175"/>
      <c r="B1093" s="178"/>
      <c r="C1093" s="49"/>
      <c r="D1093" s="49"/>
      <c r="E1093" s="50"/>
      <c r="F1093" s="51" t="s">
        <v>13</v>
      </c>
      <c r="G1093" s="51" t="str">
        <f>IF(ISNUMBER(F1093),E1093*F1093,"")</f>
        <v/>
      </c>
      <c r="H1093" s="53"/>
      <c r="I1093" s="38"/>
      <c r="J1093" s="37">
        <v>0</v>
      </c>
    </row>
    <row r="1094" spans="1:10" ht="15.75" hidden="1" thickBot="1" x14ac:dyDescent="0.3">
      <c r="A1094" s="173" t="s">
        <v>245</v>
      </c>
      <c r="B1094" s="176" t="s">
        <v>3198</v>
      </c>
      <c r="C1094" s="31"/>
      <c r="D1094" s="32" t="s">
        <v>18</v>
      </c>
      <c r="E1094" s="33"/>
      <c r="F1094" s="54" t="s">
        <v>13</v>
      </c>
      <c r="G1094" s="34" t="str">
        <f>IF(ISNUMBER(F1094),E1094*F1094,"")</f>
        <v/>
      </c>
      <c r="H1094" s="35"/>
      <c r="I1094" s="36"/>
      <c r="J1094" s="37">
        <v>0</v>
      </c>
    </row>
    <row r="1095" spans="1:10" hidden="1" x14ac:dyDescent="0.25">
      <c r="A1095" s="174"/>
      <c r="B1095" s="177"/>
      <c r="C1095" s="39"/>
      <c r="D1095" s="39"/>
      <c r="E1095" s="40"/>
      <c r="F1095" s="55" t="s">
        <v>13</v>
      </c>
      <c r="G1095" s="38" t="str">
        <f>IF(ISNUMBER(F1095),E1095*F1095,"")</f>
        <v/>
      </c>
      <c r="H1095" s="42"/>
      <c r="I1095" s="38"/>
      <c r="J1095" s="37">
        <v>0</v>
      </c>
    </row>
    <row r="1096" spans="1:10" ht="25.5" hidden="1" x14ac:dyDescent="0.25">
      <c r="A1096" s="174"/>
      <c r="B1096" s="177"/>
      <c r="C1096" s="43" t="s">
        <v>10918</v>
      </c>
      <c r="D1096" s="43" t="s">
        <v>83</v>
      </c>
      <c r="E1096" s="44">
        <v>1</v>
      </c>
      <c r="F1096" s="41">
        <v>338.90300000000002</v>
      </c>
      <c r="G1096" s="41">
        <f>IF(ISNUMBER(F1096),E1096*F1096,"")</f>
        <v>338.90300000000002</v>
      </c>
      <c r="H1096" s="46">
        <f>SUM(G1096:G1100)</f>
        <v>387.39345100000003</v>
      </c>
      <c r="I1096" s="47"/>
      <c r="J1096" s="37">
        <v>0</v>
      </c>
    </row>
    <row r="1097" spans="1:10" ht="38.25" hidden="1" x14ac:dyDescent="0.25">
      <c r="A1097" s="174"/>
      <c r="B1097" s="177"/>
      <c r="C1097" s="43" t="s">
        <v>10915</v>
      </c>
      <c r="D1097" s="43" t="s">
        <v>83</v>
      </c>
      <c r="E1097" s="44">
        <v>2</v>
      </c>
      <c r="F1097" s="41">
        <v>14.629999999999999</v>
      </c>
      <c r="G1097" s="38">
        <f>IF(ISNUMBER(F1097),E1097*F1097,"")</f>
        <v>29.259999999999998</v>
      </c>
      <c r="H1097" s="42"/>
      <c r="I1097" s="38"/>
      <c r="J1097" s="37">
        <v>0</v>
      </c>
    </row>
    <row r="1098" spans="1:10" hidden="1" x14ac:dyDescent="0.25">
      <c r="A1098" s="174"/>
      <c r="B1098" s="177"/>
      <c r="C1098" s="43" t="s">
        <v>10916</v>
      </c>
      <c r="D1098" s="43" t="s">
        <v>83</v>
      </c>
      <c r="E1098" s="44">
        <v>3.6499999999999998E-2</v>
      </c>
      <c r="F1098" s="41">
        <v>3.9899999999999998</v>
      </c>
      <c r="G1098" s="38">
        <f>IF(ISNUMBER(F1098),E1098*F1098,"")</f>
        <v>0.14563499999999999</v>
      </c>
      <c r="H1098" s="42"/>
      <c r="I1098" s="38"/>
      <c r="J1098" s="37">
        <v>0</v>
      </c>
    </row>
    <row r="1099" spans="1:10" hidden="1" x14ac:dyDescent="0.25">
      <c r="A1099" s="174"/>
      <c r="B1099" s="177"/>
      <c r="C1099" s="43" t="s">
        <v>10614</v>
      </c>
      <c r="D1099" s="43" t="s">
        <v>2800</v>
      </c>
      <c r="E1099" s="44">
        <f>ROUND(0.3179/2,4)</f>
        <v>0.159</v>
      </c>
      <c r="F1099" s="38">
        <v>23.693000000000001</v>
      </c>
      <c r="G1099" s="41">
        <f>IF(ISNUMBER(F1099),E1099*F1099,"")</f>
        <v>3.7671870000000003</v>
      </c>
      <c r="H1099" s="42"/>
      <c r="I1099" s="38"/>
      <c r="J1099" s="37">
        <v>0</v>
      </c>
    </row>
    <row r="1100" spans="1:10" ht="25.5" hidden="1" x14ac:dyDescent="0.25">
      <c r="A1100" s="174"/>
      <c r="B1100" s="177"/>
      <c r="C1100" s="43" t="s">
        <v>10754</v>
      </c>
      <c r="D1100" s="43" t="s">
        <v>2800</v>
      </c>
      <c r="E1100" s="44">
        <f>1.009/2</f>
        <v>0.50449999999999995</v>
      </c>
      <c r="F1100" s="38">
        <v>30.361999999999998</v>
      </c>
      <c r="G1100" s="41">
        <f>IF(ISNUMBER(F1100),E1100*F1100,"")</f>
        <v>15.317628999999998</v>
      </c>
      <c r="H1100" s="42"/>
      <c r="I1100" s="38"/>
      <c r="J1100" s="37">
        <v>0</v>
      </c>
    </row>
    <row r="1101" spans="1:10" hidden="1" x14ac:dyDescent="0.25">
      <c r="A1101" s="174"/>
      <c r="B1101" s="177"/>
      <c r="C1101" s="43"/>
      <c r="D1101" s="62"/>
      <c r="E1101" s="44"/>
      <c r="F1101" s="41" t="s">
        <v>13</v>
      </c>
      <c r="G1101" s="41" t="str">
        <f>IF(ISNUMBER(F1101),E1101*F1101,"")</f>
        <v/>
      </c>
      <c r="H1101" s="42"/>
      <c r="I1101" s="38"/>
      <c r="J1101" s="37">
        <v>0</v>
      </c>
    </row>
    <row r="1102" spans="1:10" ht="25.5" hidden="1" x14ac:dyDescent="0.25">
      <c r="A1102" s="174"/>
      <c r="B1102" s="177"/>
      <c r="C1102" s="65" t="s">
        <v>242</v>
      </c>
      <c r="D1102" s="62"/>
      <c r="E1102" s="44"/>
      <c r="F1102" s="41" t="s">
        <v>13</v>
      </c>
      <c r="G1102" s="41" t="str">
        <f>IF(ISNUMBER(F1102),E1102*F1102,"")</f>
        <v/>
      </c>
      <c r="H1102" s="42"/>
      <c r="I1102" s="38"/>
      <c r="J1102" s="37">
        <v>0</v>
      </c>
    </row>
    <row r="1103" spans="1:10" ht="15.75" hidden="1" thickBot="1" x14ac:dyDescent="0.3">
      <c r="A1103" s="175"/>
      <c r="B1103" s="178"/>
      <c r="C1103" s="49"/>
      <c r="D1103" s="63"/>
      <c r="E1103" s="50"/>
      <c r="F1103" s="52" t="s">
        <v>13</v>
      </c>
      <c r="G1103" s="52" t="str">
        <f>IF(ISNUMBER(F1103),E1103*F1103,"")</f>
        <v/>
      </c>
      <c r="H1103" s="53"/>
      <c r="I1103" s="38"/>
      <c r="J1103" s="37">
        <v>0</v>
      </c>
    </row>
    <row r="1104" spans="1:10" ht="15.75" hidden="1" thickBot="1" x14ac:dyDescent="0.3">
      <c r="A1104" s="173" t="s">
        <v>246</v>
      </c>
      <c r="B1104" s="176" t="s">
        <v>3199</v>
      </c>
      <c r="C1104" s="31"/>
      <c r="D1104" s="32" t="s">
        <v>18</v>
      </c>
      <c r="E1104" s="33"/>
      <c r="F1104" s="54" t="s">
        <v>13</v>
      </c>
      <c r="G1104" s="34" t="str">
        <f>IF(ISNUMBER(F1104),E1104*F1104,"")</f>
        <v/>
      </c>
      <c r="H1104" s="35"/>
      <c r="I1104" s="36"/>
      <c r="J1104" s="37">
        <v>0</v>
      </c>
    </row>
    <row r="1105" spans="1:10" hidden="1" x14ac:dyDescent="0.25">
      <c r="A1105" s="174"/>
      <c r="B1105" s="177"/>
      <c r="C1105" s="39"/>
      <c r="D1105" s="39"/>
      <c r="E1105" s="40"/>
      <c r="F1105" s="55" t="s">
        <v>13</v>
      </c>
      <c r="G1105" s="38" t="str">
        <f>IF(ISNUMBER(F1105),E1105*F1105,"")</f>
        <v/>
      </c>
      <c r="H1105" s="42"/>
      <c r="I1105" s="38"/>
      <c r="J1105" s="37">
        <v>0</v>
      </c>
    </row>
    <row r="1106" spans="1:10" ht="25.5" hidden="1" x14ac:dyDescent="0.25">
      <c r="A1106" s="174"/>
      <c r="B1106" s="177"/>
      <c r="C1106" s="43" t="s">
        <v>247</v>
      </c>
      <c r="D1106" s="62" t="s">
        <v>87</v>
      </c>
      <c r="E1106" s="44">
        <v>1</v>
      </c>
      <c r="F1106" s="41" t="s">
        <v>13</v>
      </c>
      <c r="G1106" s="41" t="str">
        <f>IF(ISNUMBER(F1106),E1106*F1106,"")</f>
        <v/>
      </c>
      <c r="H1106" s="46">
        <f>SUM(G1106:G1110)</f>
        <v>94.455440999999993</v>
      </c>
      <c r="I1106" s="47"/>
      <c r="J1106" s="37">
        <v>0</v>
      </c>
    </row>
    <row r="1107" spans="1:10" ht="38.25" hidden="1" x14ac:dyDescent="0.25">
      <c r="A1107" s="174"/>
      <c r="B1107" s="177"/>
      <c r="C1107" s="43" t="s">
        <v>10915</v>
      </c>
      <c r="D1107" s="43" t="s">
        <v>83</v>
      </c>
      <c r="E1107" s="44">
        <v>4</v>
      </c>
      <c r="F1107" s="41">
        <v>14.629999999999999</v>
      </c>
      <c r="G1107" s="41">
        <f>IF(ISNUMBER(F1107),E1107*F1107,"")</f>
        <v>58.519999999999996</v>
      </c>
      <c r="H1107" s="42"/>
      <c r="I1107" s="38"/>
      <c r="J1107" s="37">
        <v>0</v>
      </c>
    </row>
    <row r="1108" spans="1:10" hidden="1" x14ac:dyDescent="0.25">
      <c r="A1108" s="174"/>
      <c r="B1108" s="177"/>
      <c r="C1108" s="43" t="s">
        <v>10877</v>
      </c>
      <c r="D1108" s="43" t="s">
        <v>1044</v>
      </c>
      <c r="E1108" s="44">
        <v>3.9E-2</v>
      </c>
      <c r="F1108" s="41">
        <v>71.667999999999992</v>
      </c>
      <c r="G1108" s="41">
        <f>IF(ISNUMBER(F1108),E1108*F1108,"")</f>
        <v>2.7950519999999996</v>
      </c>
      <c r="H1108" s="42"/>
      <c r="I1108" s="38"/>
      <c r="J1108" s="37">
        <v>0</v>
      </c>
    </row>
    <row r="1109" spans="1:10" ht="25.5" hidden="1" x14ac:dyDescent="0.25">
      <c r="A1109" s="174"/>
      <c r="B1109" s="177"/>
      <c r="C1109" s="43" t="s">
        <v>10754</v>
      </c>
      <c r="D1109" s="43" t="s">
        <v>2800</v>
      </c>
      <c r="E1109" s="44">
        <v>0.8226</v>
      </c>
      <c r="F1109" s="38">
        <v>30.361999999999998</v>
      </c>
      <c r="G1109" s="41">
        <f>IF(ISNUMBER(F1109),E1109*F1109,"")</f>
        <v>24.9757812</v>
      </c>
      <c r="H1109" s="42"/>
      <c r="I1109" s="38"/>
      <c r="J1109" s="37">
        <v>0</v>
      </c>
    </row>
    <row r="1110" spans="1:10" hidden="1" x14ac:dyDescent="0.25">
      <c r="A1110" s="174"/>
      <c r="B1110" s="177"/>
      <c r="C1110" s="43" t="s">
        <v>10614</v>
      </c>
      <c r="D1110" s="43" t="s">
        <v>2800</v>
      </c>
      <c r="E1110" s="44">
        <v>0.34460000000000002</v>
      </c>
      <c r="F1110" s="38">
        <v>23.693000000000001</v>
      </c>
      <c r="G1110" s="41">
        <f>IF(ISNUMBER(F1110),E1110*F1110,"")</f>
        <v>8.1646078000000006</v>
      </c>
      <c r="H1110" s="42"/>
      <c r="I1110" s="38"/>
      <c r="J1110" s="37">
        <v>0</v>
      </c>
    </row>
    <row r="1111" spans="1:10" ht="15.75" hidden="1" thickBot="1" x14ac:dyDescent="0.3">
      <c r="A1111" s="175"/>
      <c r="B1111" s="178"/>
      <c r="C1111" s="49"/>
      <c r="D1111" s="49"/>
      <c r="E1111" s="50"/>
      <c r="F1111" s="51" t="s">
        <v>13</v>
      </c>
      <c r="G1111" s="51" t="str">
        <f>IF(ISNUMBER(F1111),E1111*F1111,"")</f>
        <v/>
      </c>
      <c r="H1111" s="53"/>
      <c r="I1111" s="38"/>
      <c r="J1111" s="37">
        <v>0</v>
      </c>
    </row>
    <row r="1112" spans="1:10" ht="15.75" hidden="1" thickBot="1" x14ac:dyDescent="0.3">
      <c r="A1112" s="173" t="s">
        <v>248</v>
      </c>
      <c r="B1112" s="176" t="s">
        <v>3200</v>
      </c>
      <c r="C1112" s="31"/>
      <c r="D1112" s="32" t="s">
        <v>18</v>
      </c>
      <c r="E1112" s="33"/>
      <c r="F1112" s="54" t="s">
        <v>13</v>
      </c>
      <c r="G1112" s="34" t="str">
        <f>IF(ISNUMBER(F1112),E1112*F1112,"")</f>
        <v/>
      </c>
      <c r="H1112" s="35"/>
      <c r="I1112" s="36"/>
      <c r="J1112" s="37">
        <v>0</v>
      </c>
    </row>
    <row r="1113" spans="1:10" hidden="1" x14ac:dyDescent="0.25">
      <c r="A1113" s="174"/>
      <c r="B1113" s="177"/>
      <c r="C1113" s="39"/>
      <c r="D1113" s="39"/>
      <c r="E1113" s="40"/>
      <c r="F1113" s="55" t="s">
        <v>13</v>
      </c>
      <c r="G1113" s="38" t="str">
        <f>IF(ISNUMBER(F1113),E1113*F1113,"")</f>
        <v/>
      </c>
      <c r="H1113" s="42"/>
      <c r="I1113" s="38"/>
      <c r="J1113" s="37">
        <v>0</v>
      </c>
    </row>
    <row r="1114" spans="1:10" ht="25.5" hidden="1" x14ac:dyDescent="0.25">
      <c r="A1114" s="174"/>
      <c r="B1114" s="177"/>
      <c r="C1114" s="43" t="s">
        <v>249</v>
      </c>
      <c r="D1114" s="62" t="s">
        <v>87</v>
      </c>
      <c r="E1114" s="44">
        <v>1</v>
      </c>
      <c r="F1114" s="41" t="s">
        <v>13</v>
      </c>
      <c r="G1114" s="41" t="str">
        <f>IF(ISNUMBER(F1114),E1114*F1114,"")</f>
        <v/>
      </c>
      <c r="H1114" s="46">
        <f>SUM(G1114:G1115)</f>
        <v>2.42896</v>
      </c>
      <c r="I1114" s="47"/>
      <c r="J1114" s="37">
        <v>0</v>
      </c>
    </row>
    <row r="1115" spans="1:10" ht="25.5" hidden="1" x14ac:dyDescent="0.25">
      <c r="A1115" s="174"/>
      <c r="B1115" s="177"/>
      <c r="C1115" s="43" t="s">
        <v>10754</v>
      </c>
      <c r="D1115" s="43" t="s">
        <v>2800</v>
      </c>
      <c r="E1115" s="44">
        <v>0.08</v>
      </c>
      <c r="F1115" s="38">
        <v>30.361999999999998</v>
      </c>
      <c r="G1115" s="41">
        <f>IF(ISNUMBER(F1115),E1115*F1115,"")</f>
        <v>2.42896</v>
      </c>
      <c r="H1115" s="42"/>
      <c r="I1115" s="38"/>
      <c r="J1115" s="37">
        <v>0</v>
      </c>
    </row>
    <row r="1116" spans="1:10" ht="15.75" hidden="1" thickBot="1" x14ac:dyDescent="0.3">
      <c r="A1116" s="175"/>
      <c r="B1116" s="178"/>
      <c r="C1116" s="78"/>
      <c r="D1116" s="49"/>
      <c r="E1116" s="50"/>
      <c r="F1116" s="51" t="s">
        <v>13</v>
      </c>
      <c r="G1116" s="51" t="str">
        <f>IF(ISNUMBER(F1116),E1116*F1116,"")</f>
        <v/>
      </c>
      <c r="H1116" s="53"/>
      <c r="I1116" s="38"/>
      <c r="J1116" s="37">
        <v>0</v>
      </c>
    </row>
    <row r="1117" spans="1:10" ht="15.75" hidden="1" thickBot="1" x14ac:dyDescent="0.3">
      <c r="A1117" s="173" t="s">
        <v>250</v>
      </c>
      <c r="B1117" s="176" t="s">
        <v>3201</v>
      </c>
      <c r="C1117" s="31"/>
      <c r="D1117" s="32" t="s">
        <v>18</v>
      </c>
      <c r="E1117" s="33"/>
      <c r="F1117" s="54" t="s">
        <v>13</v>
      </c>
      <c r="G1117" s="34" t="str">
        <f>IF(ISNUMBER(F1117),E1117*F1117,"")</f>
        <v/>
      </c>
      <c r="H1117" s="35"/>
      <c r="I1117" s="36"/>
      <c r="J1117" s="37">
        <v>0</v>
      </c>
    </row>
    <row r="1118" spans="1:10" hidden="1" x14ac:dyDescent="0.25">
      <c r="A1118" s="174"/>
      <c r="B1118" s="177"/>
      <c r="C1118" s="39"/>
      <c r="D1118" s="39"/>
      <c r="E1118" s="40"/>
      <c r="F1118" s="55" t="s">
        <v>13</v>
      </c>
      <c r="G1118" s="38" t="str">
        <f>IF(ISNUMBER(F1118),E1118*F1118,"")</f>
        <v/>
      </c>
      <c r="H1118" s="42"/>
      <c r="I1118" s="38"/>
      <c r="J1118" s="37">
        <v>0</v>
      </c>
    </row>
    <row r="1119" spans="1:10" ht="25.5" hidden="1" x14ac:dyDescent="0.25">
      <c r="A1119" s="174"/>
      <c r="B1119" s="177"/>
      <c r="C1119" s="43" t="s">
        <v>251</v>
      </c>
      <c r="D1119" s="62" t="s">
        <v>87</v>
      </c>
      <c r="E1119" s="44">
        <v>1</v>
      </c>
      <c r="F1119" s="41" t="s">
        <v>13</v>
      </c>
      <c r="G1119" s="41" t="str">
        <f>IF(ISNUMBER(F1119),E1119*F1119,"")</f>
        <v/>
      </c>
      <c r="H1119" s="46">
        <f>SUM(G1119:G1120)</f>
        <v>2.42896</v>
      </c>
      <c r="I1119" s="47"/>
      <c r="J1119" s="37">
        <v>0</v>
      </c>
    </row>
    <row r="1120" spans="1:10" ht="25.5" hidden="1" x14ac:dyDescent="0.25">
      <c r="A1120" s="174"/>
      <c r="B1120" s="177"/>
      <c r="C1120" s="43" t="s">
        <v>10754</v>
      </c>
      <c r="D1120" s="43" t="s">
        <v>2800</v>
      </c>
      <c r="E1120" s="44">
        <v>0.08</v>
      </c>
      <c r="F1120" s="38">
        <v>30.361999999999998</v>
      </c>
      <c r="G1120" s="41">
        <f>IF(ISNUMBER(F1120),E1120*F1120,"")</f>
        <v>2.42896</v>
      </c>
      <c r="H1120" s="42"/>
      <c r="I1120" s="38"/>
      <c r="J1120" s="37">
        <v>0</v>
      </c>
    </row>
    <row r="1121" spans="1:10" ht="15.75" hidden="1" thickBot="1" x14ac:dyDescent="0.3">
      <c r="A1121" s="175"/>
      <c r="B1121" s="178"/>
      <c r="C1121" s="49"/>
      <c r="D1121" s="49"/>
      <c r="E1121" s="50"/>
      <c r="F1121" s="51" t="s">
        <v>13</v>
      </c>
      <c r="G1121" s="51" t="str">
        <f>IF(ISNUMBER(F1121),E1121*F1121,"")</f>
        <v/>
      </c>
      <c r="H1121" s="53"/>
      <c r="I1121" s="38"/>
      <c r="J1121" s="37">
        <v>0</v>
      </c>
    </row>
    <row r="1122" spans="1:10" ht="15.75" hidden="1" thickBot="1" x14ac:dyDescent="0.3">
      <c r="A1122" s="173" t="s">
        <v>252</v>
      </c>
      <c r="B1122" s="176" t="s">
        <v>3202</v>
      </c>
      <c r="C1122" s="31"/>
      <c r="D1122" s="32" t="s">
        <v>18</v>
      </c>
      <c r="E1122" s="33"/>
      <c r="F1122" s="54" t="s">
        <v>13</v>
      </c>
      <c r="G1122" s="34" t="str">
        <f>IF(ISNUMBER(F1122),E1122*F1122,"")</f>
        <v/>
      </c>
      <c r="H1122" s="35"/>
      <c r="I1122" s="36"/>
      <c r="J1122" s="37">
        <v>0</v>
      </c>
    </row>
    <row r="1123" spans="1:10" hidden="1" x14ac:dyDescent="0.25">
      <c r="A1123" s="174"/>
      <c r="B1123" s="177"/>
      <c r="C1123" s="39"/>
      <c r="D1123" s="39"/>
      <c r="E1123" s="40"/>
      <c r="F1123" s="55" t="s">
        <v>13</v>
      </c>
      <c r="G1123" s="38" t="str">
        <f>IF(ISNUMBER(F1123),E1123*F1123,"")</f>
        <v/>
      </c>
      <c r="H1123" s="42"/>
      <c r="I1123" s="38"/>
      <c r="J1123" s="37">
        <v>0</v>
      </c>
    </row>
    <row r="1124" spans="1:10" ht="25.5" hidden="1" x14ac:dyDescent="0.25">
      <c r="A1124" s="174"/>
      <c r="B1124" s="177"/>
      <c r="C1124" s="43" t="s">
        <v>253</v>
      </c>
      <c r="D1124" s="62" t="s">
        <v>87</v>
      </c>
      <c r="E1124" s="44">
        <v>1</v>
      </c>
      <c r="F1124" s="41" t="s">
        <v>13</v>
      </c>
      <c r="G1124" s="41" t="str">
        <f>IF(ISNUMBER(F1124),E1124*F1124,"")</f>
        <v/>
      </c>
      <c r="H1124" s="46">
        <f>SUM(G1124:G1126)</f>
        <v>27.179499999999997</v>
      </c>
      <c r="I1124" s="47"/>
      <c r="J1124" s="37">
        <v>0</v>
      </c>
    </row>
    <row r="1125" spans="1:10" ht="25.5" hidden="1" x14ac:dyDescent="0.25">
      <c r="A1125" s="174"/>
      <c r="B1125" s="177"/>
      <c r="C1125" s="43" t="s">
        <v>10754</v>
      </c>
      <c r="D1125" s="43" t="s">
        <v>2800</v>
      </c>
      <c r="E1125" s="44">
        <v>0.5</v>
      </c>
      <c r="F1125" s="38">
        <v>30.361999999999998</v>
      </c>
      <c r="G1125" s="41">
        <f>IF(ISNUMBER(F1125),E1125*F1125,"")</f>
        <v>15.180999999999999</v>
      </c>
      <c r="H1125" s="42"/>
      <c r="I1125" s="38"/>
      <c r="J1125" s="37">
        <v>0</v>
      </c>
    </row>
    <row r="1126" spans="1:10" ht="25.5" hidden="1" x14ac:dyDescent="0.25">
      <c r="A1126" s="174"/>
      <c r="B1126" s="177"/>
      <c r="C1126" s="43" t="s">
        <v>10753</v>
      </c>
      <c r="D1126" s="43" t="s">
        <v>2800</v>
      </c>
      <c r="E1126" s="44">
        <v>0.5</v>
      </c>
      <c r="F1126" s="38">
        <v>23.997</v>
      </c>
      <c r="G1126" s="41">
        <f>IF(ISNUMBER(F1126),E1126*F1126,"")</f>
        <v>11.9985</v>
      </c>
      <c r="H1126" s="42"/>
      <c r="I1126" s="38"/>
      <c r="J1126" s="37">
        <v>0</v>
      </c>
    </row>
    <row r="1127" spans="1:10" ht="15.75" hidden="1" thickBot="1" x14ac:dyDescent="0.3">
      <c r="A1127" s="175"/>
      <c r="B1127" s="178"/>
      <c r="C1127" s="49"/>
      <c r="D1127" s="49"/>
      <c r="E1127" s="50"/>
      <c r="F1127" s="51" t="s">
        <v>13</v>
      </c>
      <c r="G1127" s="51" t="str">
        <f>IF(ISNUMBER(F1127),E1127*F1127,"")</f>
        <v/>
      </c>
      <c r="H1127" s="53"/>
      <c r="I1127" s="38"/>
      <c r="J1127" s="37">
        <v>0</v>
      </c>
    </row>
    <row r="1128" spans="1:10" ht="15.75" hidden="1" thickBot="1" x14ac:dyDescent="0.3">
      <c r="A1128" s="173" t="s">
        <v>254</v>
      </c>
      <c r="B1128" s="176" t="s">
        <v>3203</v>
      </c>
      <c r="C1128" s="31"/>
      <c r="D1128" s="32" t="s">
        <v>18</v>
      </c>
      <c r="E1128" s="33"/>
      <c r="F1128" s="54" t="s">
        <v>13</v>
      </c>
      <c r="G1128" s="34" t="str">
        <f>IF(ISNUMBER(F1128),E1128*F1128,"")</f>
        <v/>
      </c>
      <c r="H1128" s="35"/>
      <c r="I1128" s="36"/>
      <c r="J1128" s="37">
        <v>0</v>
      </c>
    </row>
    <row r="1129" spans="1:10" hidden="1" x14ac:dyDescent="0.25">
      <c r="A1129" s="174"/>
      <c r="B1129" s="177"/>
      <c r="C1129" s="39"/>
      <c r="D1129" s="39"/>
      <c r="E1129" s="40"/>
      <c r="F1129" s="55" t="s">
        <v>13</v>
      </c>
      <c r="G1129" s="38" t="str">
        <f>IF(ISNUMBER(F1129),E1129*F1129,"")</f>
        <v/>
      </c>
      <c r="H1129" s="42"/>
      <c r="I1129" s="38"/>
      <c r="J1129" s="37">
        <v>0</v>
      </c>
    </row>
    <row r="1130" spans="1:10" ht="25.5" hidden="1" x14ac:dyDescent="0.25">
      <c r="A1130" s="174"/>
      <c r="B1130" s="177"/>
      <c r="C1130" s="43" t="s">
        <v>10754</v>
      </c>
      <c r="D1130" s="43" t="s">
        <v>2800</v>
      </c>
      <c r="E1130" s="44">
        <v>0.31619999999999998</v>
      </c>
      <c r="F1130" s="38">
        <v>30.361999999999998</v>
      </c>
      <c r="G1130" s="41">
        <f>IF(ISNUMBER(F1130),E1130*F1130,"")</f>
        <v>9.6004643999999981</v>
      </c>
      <c r="H1130" s="46">
        <f>SUM(G1130:G1131)</f>
        <v>11.990565599999998</v>
      </c>
      <c r="I1130" s="47"/>
      <c r="J1130" s="37">
        <v>0</v>
      </c>
    </row>
    <row r="1131" spans="1:10" ht="25.5" hidden="1" x14ac:dyDescent="0.25">
      <c r="A1131" s="174"/>
      <c r="B1131" s="177"/>
      <c r="C1131" s="43" t="s">
        <v>10753</v>
      </c>
      <c r="D1131" s="43" t="s">
        <v>2800</v>
      </c>
      <c r="E1131" s="44">
        <v>9.9599999999999994E-2</v>
      </c>
      <c r="F1131" s="38">
        <v>23.997</v>
      </c>
      <c r="G1131" s="41">
        <f>IF(ISNUMBER(F1131),E1131*F1131,"")</f>
        <v>2.3901011999999997</v>
      </c>
      <c r="H1131" s="58"/>
      <c r="I1131" s="59"/>
      <c r="J1131" s="37">
        <v>0</v>
      </c>
    </row>
    <row r="1132" spans="1:10" ht="15.75" hidden="1" thickBot="1" x14ac:dyDescent="0.3">
      <c r="A1132" s="175"/>
      <c r="B1132" s="178"/>
      <c r="C1132" s="49"/>
      <c r="D1132" s="49"/>
      <c r="E1132" s="50"/>
      <c r="F1132" s="51" t="s">
        <v>13</v>
      </c>
      <c r="G1132" s="51" t="str">
        <f>IF(ISNUMBER(F1132),E1132*F1132,"")</f>
        <v/>
      </c>
      <c r="H1132" s="53"/>
      <c r="I1132" s="38"/>
      <c r="J1132" s="37">
        <v>0</v>
      </c>
    </row>
    <row r="1133" spans="1:10" ht="15.75" hidden="1" thickBot="1" x14ac:dyDescent="0.3">
      <c r="A1133" s="173" t="s">
        <v>255</v>
      </c>
      <c r="B1133" s="176" t="s">
        <v>3204</v>
      </c>
      <c r="C1133" s="31"/>
      <c r="D1133" s="32" t="s">
        <v>18</v>
      </c>
      <c r="E1133" s="33"/>
      <c r="F1133" s="54" t="s">
        <v>13</v>
      </c>
      <c r="G1133" s="34" t="str">
        <f>IF(ISNUMBER(F1133),E1133*F1133,"")</f>
        <v/>
      </c>
      <c r="H1133" s="35"/>
      <c r="I1133" s="36"/>
      <c r="J1133" s="37">
        <v>0</v>
      </c>
    </row>
    <row r="1134" spans="1:10" hidden="1" x14ac:dyDescent="0.25">
      <c r="A1134" s="174"/>
      <c r="B1134" s="177"/>
      <c r="C1134" s="39"/>
      <c r="D1134" s="39"/>
      <c r="E1134" s="40"/>
      <c r="F1134" s="55" t="s">
        <v>13</v>
      </c>
      <c r="G1134" s="38" t="str">
        <f>IF(ISNUMBER(F1134),E1134*F1134,"")</f>
        <v/>
      </c>
      <c r="H1134" s="42"/>
      <c r="I1134" s="38"/>
      <c r="J1134" s="37">
        <v>0</v>
      </c>
    </row>
    <row r="1135" spans="1:10" hidden="1" x14ac:dyDescent="0.25">
      <c r="A1135" s="174"/>
      <c r="B1135" s="177"/>
      <c r="C1135" s="43" t="s">
        <v>10919</v>
      </c>
      <c r="D1135" s="43" t="s">
        <v>83</v>
      </c>
      <c r="E1135" s="44">
        <v>1</v>
      </c>
      <c r="F1135" s="41">
        <v>34.076499999999996</v>
      </c>
      <c r="G1135" s="41">
        <f>IF(ISNUMBER(F1135),E1135*F1135,"")</f>
        <v>34.076499999999996</v>
      </c>
      <c r="H1135" s="46">
        <f>SUM(G1135:G1138)</f>
        <v>39.885274999999993</v>
      </c>
      <c r="I1135" s="47"/>
      <c r="J1135" s="37">
        <v>0</v>
      </c>
    </row>
    <row r="1136" spans="1:10" hidden="1" x14ac:dyDescent="0.25">
      <c r="A1136" s="174"/>
      <c r="B1136" s="177"/>
      <c r="C1136" s="43" t="s">
        <v>10916</v>
      </c>
      <c r="D1136" s="43" t="s">
        <v>83</v>
      </c>
      <c r="E1136" s="44">
        <v>1.7500000000000002E-2</v>
      </c>
      <c r="F1136" s="41">
        <v>3.9899999999999998</v>
      </c>
      <c r="G1136" s="41">
        <f>IF(ISNUMBER(F1136),E1136*F1136,"")</f>
        <v>6.9824999999999998E-2</v>
      </c>
      <c r="H1136" s="42"/>
      <c r="I1136" s="38"/>
      <c r="J1136" s="37">
        <v>0</v>
      </c>
    </row>
    <row r="1137" spans="1:10" ht="25.5" hidden="1" x14ac:dyDescent="0.25">
      <c r="A1137" s="174"/>
      <c r="B1137" s="177"/>
      <c r="C1137" s="43" t="s">
        <v>10754</v>
      </c>
      <c r="D1137" s="43" t="s">
        <v>2800</v>
      </c>
      <c r="E1137" s="44">
        <v>0.15</v>
      </c>
      <c r="F1137" s="38">
        <v>30.361999999999998</v>
      </c>
      <c r="G1137" s="41">
        <f>IF(ISNUMBER(F1137),E1137*F1137,"")</f>
        <v>4.5542999999999996</v>
      </c>
      <c r="H1137" s="42"/>
      <c r="I1137" s="38"/>
      <c r="J1137" s="37">
        <v>0</v>
      </c>
    </row>
    <row r="1138" spans="1:10" hidden="1" x14ac:dyDescent="0.25">
      <c r="A1138" s="174"/>
      <c r="B1138" s="177"/>
      <c r="C1138" s="43" t="s">
        <v>10614</v>
      </c>
      <c r="D1138" s="43" t="s">
        <v>2800</v>
      </c>
      <c r="E1138" s="44">
        <v>0.05</v>
      </c>
      <c r="F1138" s="38">
        <v>23.693000000000001</v>
      </c>
      <c r="G1138" s="41">
        <f>IF(ISNUMBER(F1138),E1138*F1138,"")</f>
        <v>1.1846500000000002</v>
      </c>
      <c r="H1138" s="42"/>
      <c r="I1138" s="38"/>
      <c r="J1138" s="37">
        <v>0</v>
      </c>
    </row>
    <row r="1139" spans="1:10" ht="15.75" hidden="1" thickBot="1" x14ac:dyDescent="0.3">
      <c r="A1139" s="175"/>
      <c r="B1139" s="178"/>
      <c r="C1139" s="49"/>
      <c r="D1139" s="49"/>
      <c r="E1139" s="50"/>
      <c r="F1139" s="51" t="s">
        <v>13</v>
      </c>
      <c r="G1139" s="51" t="str">
        <f>IF(ISNUMBER(F1139),E1139*F1139,"")</f>
        <v/>
      </c>
      <c r="H1139" s="53"/>
      <c r="I1139" s="38"/>
      <c r="J1139" s="37">
        <v>0</v>
      </c>
    </row>
    <row r="1140" spans="1:10" ht="15.75" hidden="1" thickBot="1" x14ac:dyDescent="0.3">
      <c r="A1140" s="173" t="s">
        <v>256</v>
      </c>
      <c r="B1140" s="176" t="s">
        <v>3205</v>
      </c>
      <c r="C1140" s="31"/>
      <c r="D1140" s="32" t="s">
        <v>18</v>
      </c>
      <c r="E1140" s="33"/>
      <c r="F1140" s="54" t="s">
        <v>13</v>
      </c>
      <c r="G1140" s="34" t="str">
        <f>IF(ISNUMBER(F1140),E1140*F1140,"")</f>
        <v/>
      </c>
      <c r="H1140" s="35"/>
      <c r="I1140" s="36"/>
      <c r="J1140" s="37">
        <v>0</v>
      </c>
    </row>
    <row r="1141" spans="1:10" hidden="1" x14ac:dyDescent="0.25">
      <c r="A1141" s="174"/>
      <c r="B1141" s="177"/>
      <c r="C1141" s="39"/>
      <c r="D1141" s="39"/>
      <c r="E1141" s="40"/>
      <c r="F1141" s="55" t="s">
        <v>13</v>
      </c>
      <c r="G1141" s="38" t="str">
        <f>IF(ISNUMBER(F1141),E1141*F1141,"")</f>
        <v/>
      </c>
      <c r="H1141" s="42"/>
      <c r="I1141" s="38"/>
      <c r="J1141" s="37">
        <v>0</v>
      </c>
    </row>
    <row r="1142" spans="1:10" ht="25.5" hidden="1" x14ac:dyDescent="0.25">
      <c r="A1142" s="174"/>
      <c r="B1142" s="177"/>
      <c r="C1142" s="43" t="s">
        <v>257</v>
      </c>
      <c r="D1142" s="62" t="s">
        <v>87</v>
      </c>
      <c r="E1142" s="44">
        <v>1</v>
      </c>
      <c r="F1142" s="41" t="s">
        <v>13</v>
      </c>
      <c r="G1142" s="41" t="str">
        <f>IF(ISNUMBER(F1142),E1142*F1142,"")</f>
        <v/>
      </c>
      <c r="H1142" s="46">
        <f>SUM(G1142:G1145)</f>
        <v>10.475775399999998</v>
      </c>
      <c r="I1142" s="47"/>
      <c r="J1142" s="37">
        <v>0</v>
      </c>
    </row>
    <row r="1143" spans="1:10" hidden="1" x14ac:dyDescent="0.25">
      <c r="A1143" s="174"/>
      <c r="B1143" s="177"/>
      <c r="C1143" s="43" t="s">
        <v>10916</v>
      </c>
      <c r="D1143" s="43" t="s">
        <v>83</v>
      </c>
      <c r="E1143" s="44">
        <v>3.32E-2</v>
      </c>
      <c r="F1143" s="41">
        <v>3.9899999999999998</v>
      </c>
      <c r="G1143" s="41">
        <f>IF(ISNUMBER(F1143),E1143*F1143,"")</f>
        <v>0.132468</v>
      </c>
      <c r="H1143" s="42"/>
      <c r="I1143" s="38"/>
      <c r="J1143" s="37">
        <v>0</v>
      </c>
    </row>
    <row r="1144" spans="1:10" hidden="1" x14ac:dyDescent="0.25">
      <c r="A1144" s="174"/>
      <c r="B1144" s="177"/>
      <c r="C1144" s="43" t="s">
        <v>10614</v>
      </c>
      <c r="D1144" s="43" t="s">
        <v>2800</v>
      </c>
      <c r="E1144" s="44">
        <v>8.6199999999999999E-2</v>
      </c>
      <c r="F1144" s="38">
        <v>23.693000000000001</v>
      </c>
      <c r="G1144" s="41">
        <f>IF(ISNUMBER(F1144),E1144*F1144,"")</f>
        <v>2.0423366000000001</v>
      </c>
      <c r="H1144" s="42"/>
      <c r="I1144" s="38"/>
      <c r="J1144" s="37">
        <v>0</v>
      </c>
    </row>
    <row r="1145" spans="1:10" ht="25.5" hidden="1" x14ac:dyDescent="0.25">
      <c r="A1145" s="174"/>
      <c r="B1145" s="177"/>
      <c r="C1145" s="43" t="s">
        <v>10754</v>
      </c>
      <c r="D1145" s="43" t="s">
        <v>2800</v>
      </c>
      <c r="E1145" s="44">
        <v>0.27339999999999998</v>
      </c>
      <c r="F1145" s="38">
        <v>30.361999999999998</v>
      </c>
      <c r="G1145" s="41">
        <f>IF(ISNUMBER(F1145),E1145*F1145,"")</f>
        <v>8.3009707999999982</v>
      </c>
      <c r="H1145" s="42"/>
      <c r="I1145" s="38"/>
      <c r="J1145" s="37">
        <v>0</v>
      </c>
    </row>
    <row r="1146" spans="1:10" ht="15.75" hidden="1" thickBot="1" x14ac:dyDescent="0.3">
      <c r="A1146" s="175"/>
      <c r="B1146" s="178"/>
      <c r="C1146" s="49"/>
      <c r="D1146" s="49"/>
      <c r="E1146" s="50"/>
      <c r="F1146" s="51" t="s">
        <v>13</v>
      </c>
      <c r="G1146" s="51" t="str">
        <f>IF(ISNUMBER(F1146),E1146*F1146,"")</f>
        <v/>
      </c>
      <c r="H1146" s="53"/>
      <c r="I1146" s="38"/>
      <c r="J1146" s="37">
        <v>0</v>
      </c>
    </row>
    <row r="1147" spans="1:10" ht="15.75" hidden="1" thickBot="1" x14ac:dyDescent="0.3">
      <c r="A1147" s="173" t="s">
        <v>258</v>
      </c>
      <c r="B1147" s="176" t="s">
        <v>3206</v>
      </c>
      <c r="C1147" s="31"/>
      <c r="D1147" s="32" t="s">
        <v>18</v>
      </c>
      <c r="E1147" s="33"/>
      <c r="F1147" s="54" t="s">
        <v>13</v>
      </c>
      <c r="G1147" s="34" t="str">
        <f>IF(ISNUMBER(F1147),E1147*F1147,"")</f>
        <v/>
      </c>
      <c r="H1147" s="35"/>
      <c r="I1147" s="36"/>
      <c r="J1147" s="37">
        <v>0</v>
      </c>
    </row>
    <row r="1148" spans="1:10" hidden="1" x14ac:dyDescent="0.25">
      <c r="A1148" s="174"/>
      <c r="B1148" s="177"/>
      <c r="C1148" s="39"/>
      <c r="D1148" s="39"/>
      <c r="E1148" s="40"/>
      <c r="F1148" s="55" t="s">
        <v>13</v>
      </c>
      <c r="G1148" s="38" t="str">
        <f>IF(ISNUMBER(F1148),E1148*F1148,"")</f>
        <v/>
      </c>
      <c r="H1148" s="42"/>
      <c r="I1148" s="38"/>
      <c r="J1148" s="37">
        <v>0</v>
      </c>
    </row>
    <row r="1149" spans="1:10" hidden="1" x14ac:dyDescent="0.25">
      <c r="A1149" s="174"/>
      <c r="B1149" s="177"/>
      <c r="C1149" s="43" t="s">
        <v>10920</v>
      </c>
      <c r="D1149" s="43" t="s">
        <v>83</v>
      </c>
      <c r="E1149" s="44">
        <v>1</v>
      </c>
      <c r="F1149" s="41">
        <v>135.755</v>
      </c>
      <c r="G1149" s="41">
        <f>IF(ISNUMBER(F1149),E1149*F1149,"")</f>
        <v>135.755</v>
      </c>
      <c r="H1149" s="46">
        <f>SUM(G1149:G1152)</f>
        <v>146.23077539999997</v>
      </c>
      <c r="I1149" s="47"/>
      <c r="J1149" s="37">
        <v>0</v>
      </c>
    </row>
    <row r="1150" spans="1:10" hidden="1" x14ac:dyDescent="0.25">
      <c r="A1150" s="174"/>
      <c r="B1150" s="177"/>
      <c r="C1150" s="43" t="s">
        <v>10916</v>
      </c>
      <c r="D1150" s="43" t="s">
        <v>83</v>
      </c>
      <c r="E1150" s="44">
        <v>3.32E-2</v>
      </c>
      <c r="F1150" s="41">
        <v>3.9899999999999998</v>
      </c>
      <c r="G1150" s="41">
        <f>IF(ISNUMBER(F1150),E1150*F1150,"")</f>
        <v>0.132468</v>
      </c>
      <c r="H1150" s="42"/>
      <c r="I1150" s="38"/>
      <c r="J1150" s="37">
        <v>0</v>
      </c>
    </row>
    <row r="1151" spans="1:10" ht="25.5" hidden="1" x14ac:dyDescent="0.25">
      <c r="A1151" s="174"/>
      <c r="B1151" s="177"/>
      <c r="C1151" s="43" t="s">
        <v>10754</v>
      </c>
      <c r="D1151" s="43" t="s">
        <v>2800</v>
      </c>
      <c r="E1151" s="44">
        <v>0.27339999999999998</v>
      </c>
      <c r="F1151" s="38">
        <v>30.361999999999998</v>
      </c>
      <c r="G1151" s="41">
        <f>IF(ISNUMBER(F1151),E1151*F1151,"")</f>
        <v>8.3009707999999982</v>
      </c>
      <c r="H1151" s="42"/>
      <c r="I1151" s="38"/>
      <c r="J1151" s="37">
        <v>0</v>
      </c>
    </row>
    <row r="1152" spans="1:10" hidden="1" x14ac:dyDescent="0.25">
      <c r="A1152" s="174"/>
      <c r="B1152" s="177"/>
      <c r="C1152" s="43" t="s">
        <v>10614</v>
      </c>
      <c r="D1152" s="43" t="s">
        <v>2800</v>
      </c>
      <c r="E1152" s="44">
        <v>8.6199999999999999E-2</v>
      </c>
      <c r="F1152" s="38">
        <v>23.693000000000001</v>
      </c>
      <c r="G1152" s="41">
        <f>IF(ISNUMBER(F1152),E1152*F1152,"")</f>
        <v>2.0423366000000001</v>
      </c>
      <c r="H1152" s="42"/>
      <c r="I1152" s="38"/>
      <c r="J1152" s="37">
        <v>0</v>
      </c>
    </row>
    <row r="1153" spans="1:10" ht="15.75" hidden="1" thickBot="1" x14ac:dyDescent="0.3">
      <c r="A1153" s="175"/>
      <c r="B1153" s="178"/>
      <c r="C1153" s="49"/>
      <c r="D1153" s="49"/>
      <c r="E1153" s="50"/>
      <c r="F1153" s="51" t="s">
        <v>13</v>
      </c>
      <c r="G1153" s="51" t="str">
        <f>IF(ISNUMBER(F1153),E1153*F1153,"")</f>
        <v/>
      </c>
      <c r="H1153" s="53"/>
      <c r="I1153" s="38"/>
      <c r="J1153" s="37">
        <v>0</v>
      </c>
    </row>
    <row r="1154" spans="1:10" ht="15.75" hidden="1" thickBot="1" x14ac:dyDescent="0.3">
      <c r="A1154" s="173" t="s">
        <v>259</v>
      </c>
      <c r="B1154" s="176" t="s">
        <v>3207</v>
      </c>
      <c r="C1154" s="31"/>
      <c r="D1154" s="32" t="s">
        <v>18</v>
      </c>
      <c r="E1154" s="33"/>
      <c r="F1154" s="54" t="s">
        <v>13</v>
      </c>
      <c r="G1154" s="34" t="str">
        <f>IF(ISNUMBER(F1154),E1154*F1154,"")</f>
        <v/>
      </c>
      <c r="H1154" s="35"/>
      <c r="I1154" s="36"/>
      <c r="J1154" s="37">
        <v>0</v>
      </c>
    </row>
    <row r="1155" spans="1:10" hidden="1" x14ac:dyDescent="0.25">
      <c r="A1155" s="174"/>
      <c r="B1155" s="177"/>
      <c r="C1155" s="39"/>
      <c r="D1155" s="39"/>
      <c r="E1155" s="40"/>
      <c r="F1155" s="55" t="s">
        <v>13</v>
      </c>
      <c r="G1155" s="38" t="str">
        <f>IF(ISNUMBER(F1155),E1155*F1155,"")</f>
        <v/>
      </c>
      <c r="H1155" s="42"/>
      <c r="I1155" s="38"/>
      <c r="J1155" s="37">
        <v>0</v>
      </c>
    </row>
    <row r="1156" spans="1:10" hidden="1" x14ac:dyDescent="0.25">
      <c r="A1156" s="174"/>
      <c r="B1156" s="177"/>
      <c r="C1156" s="43" t="s">
        <v>10916</v>
      </c>
      <c r="D1156" s="43" t="s">
        <v>83</v>
      </c>
      <c r="E1156" s="44">
        <v>3.32E-2</v>
      </c>
      <c r="F1156" s="41">
        <v>3.9899999999999998</v>
      </c>
      <c r="G1156" s="41">
        <f>IF(ISNUMBER(F1156),E1156*F1156,"")</f>
        <v>0.132468</v>
      </c>
      <c r="H1156" s="46">
        <f>SUM(G1156:G1159)</f>
        <v>154.2487754</v>
      </c>
      <c r="I1156" s="47"/>
      <c r="J1156" s="37">
        <v>0</v>
      </c>
    </row>
    <row r="1157" spans="1:10" hidden="1" x14ac:dyDescent="0.25">
      <c r="A1157" s="174"/>
      <c r="B1157" s="177"/>
      <c r="C1157" s="43" t="s">
        <v>10614</v>
      </c>
      <c r="D1157" s="43" t="s">
        <v>2800</v>
      </c>
      <c r="E1157" s="44">
        <v>8.6199999999999999E-2</v>
      </c>
      <c r="F1157" s="38">
        <v>23.693000000000001</v>
      </c>
      <c r="G1157" s="41">
        <f>IF(ISNUMBER(F1157),E1157*F1157,"")</f>
        <v>2.0423366000000001</v>
      </c>
      <c r="H1157" s="58"/>
      <c r="I1157" s="59"/>
      <c r="J1157" s="37">
        <v>0</v>
      </c>
    </row>
    <row r="1158" spans="1:10" ht="25.5" hidden="1" x14ac:dyDescent="0.25">
      <c r="A1158" s="174"/>
      <c r="B1158" s="177"/>
      <c r="C1158" s="43" t="s">
        <v>10754</v>
      </c>
      <c r="D1158" s="43" t="s">
        <v>2800</v>
      </c>
      <c r="E1158" s="44">
        <v>0.27339999999999998</v>
      </c>
      <c r="F1158" s="38">
        <v>30.361999999999998</v>
      </c>
      <c r="G1158" s="41">
        <f>IF(ISNUMBER(F1158),E1158*F1158,"")</f>
        <v>8.3009707999999982</v>
      </c>
      <c r="H1158" s="42"/>
      <c r="I1158" s="38"/>
      <c r="J1158" s="37">
        <v>0</v>
      </c>
    </row>
    <row r="1159" spans="1:10" hidden="1" x14ac:dyDescent="0.25">
      <c r="A1159" s="174"/>
      <c r="B1159" s="177"/>
      <c r="C1159" s="43" t="s">
        <v>10921</v>
      </c>
      <c r="D1159" s="43" t="s">
        <v>83</v>
      </c>
      <c r="E1159" s="44">
        <v>1</v>
      </c>
      <c r="F1159" s="41">
        <v>143.773</v>
      </c>
      <c r="G1159" s="38">
        <f>IF(ISNUMBER(F1159),E1159*F1159,"")</f>
        <v>143.773</v>
      </c>
      <c r="H1159" s="42"/>
      <c r="I1159" s="38"/>
      <c r="J1159" s="37">
        <v>0</v>
      </c>
    </row>
    <row r="1160" spans="1:10" ht="15.75" hidden="1" thickBot="1" x14ac:dyDescent="0.3">
      <c r="A1160" s="175"/>
      <c r="B1160" s="178"/>
      <c r="C1160" s="49"/>
      <c r="D1160" s="49"/>
      <c r="E1160" s="50"/>
      <c r="F1160" s="51" t="s">
        <v>13</v>
      </c>
      <c r="G1160" s="51" t="str">
        <f>IF(ISNUMBER(F1160),E1160*F1160,"")</f>
        <v/>
      </c>
      <c r="H1160" s="53"/>
      <c r="I1160" s="38"/>
      <c r="J1160" s="37">
        <v>0</v>
      </c>
    </row>
    <row r="1161" spans="1:10" ht="15.75" hidden="1" thickBot="1" x14ac:dyDescent="0.3">
      <c r="A1161" s="173" t="s">
        <v>260</v>
      </c>
      <c r="B1161" s="176" t="s">
        <v>3208</v>
      </c>
      <c r="C1161" s="31"/>
      <c r="D1161" s="32" t="s">
        <v>18</v>
      </c>
      <c r="E1161" s="33"/>
      <c r="F1161" s="54" t="s">
        <v>13</v>
      </c>
      <c r="G1161" s="34" t="str">
        <f>IF(ISNUMBER(F1161),E1161*F1161,"")</f>
        <v/>
      </c>
      <c r="H1161" s="35"/>
      <c r="I1161" s="36"/>
      <c r="J1161" s="37">
        <v>0</v>
      </c>
    </row>
    <row r="1162" spans="1:10" hidden="1" x14ac:dyDescent="0.25">
      <c r="A1162" s="174"/>
      <c r="B1162" s="177"/>
      <c r="C1162" s="39"/>
      <c r="D1162" s="39"/>
      <c r="E1162" s="40"/>
      <c r="F1162" s="55" t="s">
        <v>13</v>
      </c>
      <c r="G1162" s="38" t="str">
        <f>IF(ISNUMBER(F1162),E1162*F1162,"")</f>
        <v/>
      </c>
      <c r="H1162" s="42"/>
      <c r="I1162" s="38"/>
      <c r="J1162" s="37">
        <v>0</v>
      </c>
    </row>
    <row r="1163" spans="1:10" hidden="1" x14ac:dyDescent="0.25">
      <c r="A1163" s="174"/>
      <c r="B1163" s="177"/>
      <c r="C1163" s="43" t="s">
        <v>261</v>
      </c>
      <c r="D1163" s="62" t="s">
        <v>87</v>
      </c>
      <c r="E1163" s="44">
        <v>1</v>
      </c>
      <c r="F1163" s="41" t="s">
        <v>13</v>
      </c>
      <c r="G1163" s="41" t="str">
        <f>IF(ISNUMBER(F1163),E1163*F1163,"")</f>
        <v/>
      </c>
      <c r="H1163" s="46">
        <f>SUM(G1163:G1166)</f>
        <v>6.3890178999999989</v>
      </c>
      <c r="I1163" s="47"/>
      <c r="J1163" s="37">
        <v>0</v>
      </c>
    </row>
    <row r="1164" spans="1:10" hidden="1" x14ac:dyDescent="0.25">
      <c r="A1164" s="174"/>
      <c r="B1164" s="177"/>
      <c r="C1164" s="43" t="s">
        <v>10916</v>
      </c>
      <c r="D1164" s="43" t="s">
        <v>83</v>
      </c>
      <c r="E1164" s="44">
        <v>2.1000000000000001E-2</v>
      </c>
      <c r="F1164" s="41">
        <v>3.9899999999999998</v>
      </c>
      <c r="G1164" s="41">
        <f>IF(ISNUMBER(F1164),E1164*F1164,"")</f>
        <v>8.3790000000000003E-2</v>
      </c>
      <c r="H1164" s="42"/>
      <c r="I1164" s="38"/>
      <c r="J1164" s="37">
        <v>0</v>
      </c>
    </row>
    <row r="1165" spans="1:10" ht="25.5" hidden="1" x14ac:dyDescent="0.25">
      <c r="A1165" s="174"/>
      <c r="B1165" s="177"/>
      <c r="C1165" s="43" t="s">
        <v>10754</v>
      </c>
      <c r="D1165" s="43" t="s">
        <v>2800</v>
      </c>
      <c r="E1165" s="44">
        <v>0.16669999999999999</v>
      </c>
      <c r="F1165" s="38">
        <v>30.361999999999998</v>
      </c>
      <c r="G1165" s="41">
        <f>IF(ISNUMBER(F1165),E1165*F1165,"")</f>
        <v>5.0613453999999996</v>
      </c>
      <c r="H1165" s="42"/>
      <c r="I1165" s="38"/>
      <c r="J1165" s="37">
        <v>0</v>
      </c>
    </row>
    <row r="1166" spans="1:10" hidden="1" x14ac:dyDescent="0.25">
      <c r="A1166" s="174"/>
      <c r="B1166" s="177"/>
      <c r="C1166" s="43" t="s">
        <v>10614</v>
      </c>
      <c r="D1166" s="43" t="s">
        <v>2800</v>
      </c>
      <c r="E1166" s="44">
        <v>5.2499999999999998E-2</v>
      </c>
      <c r="F1166" s="38">
        <v>23.693000000000001</v>
      </c>
      <c r="G1166" s="41">
        <f>IF(ISNUMBER(F1166),E1166*F1166,"")</f>
        <v>1.2438825</v>
      </c>
      <c r="H1166" s="42"/>
      <c r="I1166" s="38"/>
      <c r="J1166" s="37">
        <v>0</v>
      </c>
    </row>
    <row r="1167" spans="1:10" ht="15.75" hidden="1" thickBot="1" x14ac:dyDescent="0.3">
      <c r="A1167" s="175"/>
      <c r="B1167" s="178"/>
      <c r="C1167" s="49"/>
      <c r="D1167" s="49"/>
      <c r="E1167" s="50"/>
      <c r="F1167" s="51" t="s">
        <v>13</v>
      </c>
      <c r="G1167" s="51" t="str">
        <f>IF(ISNUMBER(F1167),E1167*F1167,"")</f>
        <v/>
      </c>
      <c r="H1167" s="53"/>
      <c r="I1167" s="38"/>
      <c r="J1167" s="37">
        <v>0</v>
      </c>
    </row>
    <row r="1168" spans="1:10" ht="15.75" hidden="1" thickBot="1" x14ac:dyDescent="0.3">
      <c r="A1168" s="173" t="s">
        <v>262</v>
      </c>
      <c r="B1168" s="176" t="s">
        <v>3209</v>
      </c>
      <c r="C1168" s="31"/>
      <c r="D1168" s="32" t="s">
        <v>18</v>
      </c>
      <c r="E1168" s="33"/>
      <c r="F1168" s="54" t="s">
        <v>13</v>
      </c>
      <c r="G1168" s="34" t="str">
        <f>IF(ISNUMBER(F1168),E1168*F1168,"")</f>
        <v/>
      </c>
      <c r="H1168" s="35"/>
      <c r="I1168" s="36"/>
      <c r="J1168" s="37">
        <v>0</v>
      </c>
    </row>
    <row r="1169" spans="1:10" hidden="1" x14ac:dyDescent="0.25">
      <c r="A1169" s="174"/>
      <c r="B1169" s="177"/>
      <c r="C1169" s="39"/>
      <c r="D1169" s="39"/>
      <c r="E1169" s="40"/>
      <c r="F1169" s="55" t="s">
        <v>13</v>
      </c>
      <c r="G1169" s="38" t="str">
        <f>IF(ISNUMBER(F1169),E1169*F1169,"")</f>
        <v/>
      </c>
      <c r="H1169" s="42"/>
      <c r="I1169" s="38"/>
      <c r="J1169" s="37">
        <v>0</v>
      </c>
    </row>
    <row r="1170" spans="1:10" ht="25.5" hidden="1" x14ac:dyDescent="0.25">
      <c r="A1170" s="174"/>
      <c r="B1170" s="177"/>
      <c r="C1170" s="43" t="s">
        <v>263</v>
      </c>
      <c r="D1170" s="62" t="s">
        <v>87</v>
      </c>
      <c r="E1170" s="44">
        <v>1</v>
      </c>
      <c r="F1170" s="41" t="s">
        <v>13</v>
      </c>
      <c r="G1170" s="41" t="str">
        <f>IF(ISNUMBER(F1170),E1170*F1170,"")</f>
        <v/>
      </c>
      <c r="H1170" s="46">
        <f>SUM(G1170:G1173)</f>
        <v>6.3890178999999989</v>
      </c>
      <c r="I1170" s="47"/>
      <c r="J1170" s="37">
        <v>0</v>
      </c>
    </row>
    <row r="1171" spans="1:10" hidden="1" x14ac:dyDescent="0.25">
      <c r="A1171" s="174"/>
      <c r="B1171" s="177"/>
      <c r="C1171" s="43" t="s">
        <v>10916</v>
      </c>
      <c r="D1171" s="43" t="s">
        <v>83</v>
      </c>
      <c r="E1171" s="44">
        <v>2.1000000000000001E-2</v>
      </c>
      <c r="F1171" s="41">
        <v>3.9899999999999998</v>
      </c>
      <c r="G1171" s="41">
        <f>IF(ISNUMBER(F1171),E1171*F1171,"")</f>
        <v>8.3790000000000003E-2</v>
      </c>
      <c r="H1171" s="42"/>
      <c r="I1171" s="38"/>
      <c r="J1171" s="37">
        <v>0</v>
      </c>
    </row>
    <row r="1172" spans="1:10" ht="25.5" hidden="1" x14ac:dyDescent="0.25">
      <c r="A1172" s="174"/>
      <c r="B1172" s="177"/>
      <c r="C1172" s="43" t="s">
        <v>10754</v>
      </c>
      <c r="D1172" s="43" t="s">
        <v>2800</v>
      </c>
      <c r="E1172" s="44">
        <v>0.16669999999999999</v>
      </c>
      <c r="F1172" s="38">
        <v>30.361999999999998</v>
      </c>
      <c r="G1172" s="41">
        <f>IF(ISNUMBER(F1172),E1172*F1172,"")</f>
        <v>5.0613453999999996</v>
      </c>
      <c r="H1172" s="42"/>
      <c r="I1172" s="38"/>
      <c r="J1172" s="37">
        <v>0</v>
      </c>
    </row>
    <row r="1173" spans="1:10" hidden="1" x14ac:dyDescent="0.25">
      <c r="A1173" s="174"/>
      <c r="B1173" s="177"/>
      <c r="C1173" s="43" t="s">
        <v>10614</v>
      </c>
      <c r="D1173" s="43" t="s">
        <v>2800</v>
      </c>
      <c r="E1173" s="44">
        <v>5.2499999999999998E-2</v>
      </c>
      <c r="F1173" s="38">
        <v>23.693000000000001</v>
      </c>
      <c r="G1173" s="41">
        <f>IF(ISNUMBER(F1173),E1173*F1173,"")</f>
        <v>1.2438825</v>
      </c>
      <c r="H1173" s="42"/>
      <c r="I1173" s="38"/>
      <c r="J1173" s="37">
        <v>0</v>
      </c>
    </row>
    <row r="1174" spans="1:10" ht="15.75" hidden="1" thickBot="1" x14ac:dyDescent="0.3">
      <c r="A1174" s="175"/>
      <c r="B1174" s="178"/>
      <c r="C1174" s="49"/>
      <c r="D1174" s="49"/>
      <c r="E1174" s="50"/>
      <c r="F1174" s="51" t="s">
        <v>13</v>
      </c>
      <c r="G1174" s="51" t="str">
        <f>IF(ISNUMBER(F1174),E1174*F1174,"")</f>
        <v/>
      </c>
      <c r="H1174" s="53"/>
      <c r="I1174" s="38"/>
      <c r="J1174" s="37">
        <v>0</v>
      </c>
    </row>
    <row r="1175" spans="1:10" ht="15.75" hidden="1" thickBot="1" x14ac:dyDescent="0.3">
      <c r="A1175" s="173" t="s">
        <v>264</v>
      </c>
      <c r="B1175" s="176" t="s">
        <v>3210</v>
      </c>
      <c r="C1175" s="31"/>
      <c r="D1175" s="32" t="s">
        <v>18</v>
      </c>
      <c r="E1175" s="33"/>
      <c r="F1175" s="54" t="s">
        <v>13</v>
      </c>
      <c r="G1175" s="34" t="str">
        <f>IF(ISNUMBER(F1175),E1175*F1175,"")</f>
        <v/>
      </c>
      <c r="H1175" s="35"/>
      <c r="I1175" s="36"/>
      <c r="J1175" s="37">
        <v>0</v>
      </c>
    </row>
    <row r="1176" spans="1:10" hidden="1" x14ac:dyDescent="0.25">
      <c r="A1176" s="174"/>
      <c r="B1176" s="177"/>
      <c r="C1176" s="39"/>
      <c r="D1176" s="39"/>
      <c r="E1176" s="40"/>
      <c r="F1176" s="55" t="s">
        <v>13</v>
      </c>
      <c r="G1176" s="38" t="str">
        <f>IF(ISNUMBER(F1176),E1176*F1176,"")</f>
        <v/>
      </c>
      <c r="H1176" s="42"/>
      <c r="I1176" s="38"/>
      <c r="J1176" s="37">
        <v>0</v>
      </c>
    </row>
    <row r="1177" spans="1:10" ht="25.5" hidden="1" x14ac:dyDescent="0.25">
      <c r="A1177" s="174"/>
      <c r="B1177" s="177"/>
      <c r="C1177" s="43" t="s">
        <v>265</v>
      </c>
      <c r="D1177" s="62" t="s">
        <v>87</v>
      </c>
      <c r="E1177" s="44">
        <v>1</v>
      </c>
      <c r="F1177" s="41" t="s">
        <v>13</v>
      </c>
      <c r="G1177" s="41" t="str">
        <f>IF(ISNUMBER(F1177),E1177*F1177,"")</f>
        <v/>
      </c>
      <c r="H1177" s="46">
        <f>SUM(G1177:G1180)</f>
        <v>3.7164399000000001</v>
      </c>
      <c r="I1177" s="47"/>
      <c r="J1177" s="37">
        <v>0</v>
      </c>
    </row>
    <row r="1178" spans="1:10" hidden="1" x14ac:dyDescent="0.25">
      <c r="A1178" s="174"/>
      <c r="B1178" s="177"/>
      <c r="C1178" s="43" t="s">
        <v>10916</v>
      </c>
      <c r="D1178" s="43" t="s">
        <v>83</v>
      </c>
      <c r="E1178" s="44">
        <v>2.1000000000000001E-2</v>
      </c>
      <c r="F1178" s="41">
        <v>3.9899999999999998</v>
      </c>
      <c r="G1178" s="41">
        <f>IF(ISNUMBER(F1178),E1178*F1178,"")</f>
        <v>8.3790000000000003E-2</v>
      </c>
      <c r="H1178" s="42"/>
      <c r="I1178" s="38"/>
      <c r="J1178" s="37">
        <v>0</v>
      </c>
    </row>
    <row r="1179" spans="1:10" ht="25.5" hidden="1" x14ac:dyDescent="0.25">
      <c r="A1179" s="174"/>
      <c r="B1179" s="177"/>
      <c r="C1179" s="43" t="s">
        <v>10754</v>
      </c>
      <c r="D1179" s="43" t="s">
        <v>2800</v>
      </c>
      <c r="E1179" s="44">
        <v>9.6000000000000002E-2</v>
      </c>
      <c r="F1179" s="38">
        <v>30.361999999999998</v>
      </c>
      <c r="G1179" s="41">
        <f>IF(ISNUMBER(F1179),E1179*F1179,"")</f>
        <v>2.914752</v>
      </c>
      <c r="H1179" s="42"/>
      <c r="I1179" s="38"/>
      <c r="J1179" s="37">
        <v>0</v>
      </c>
    </row>
    <row r="1180" spans="1:10" hidden="1" x14ac:dyDescent="0.25">
      <c r="A1180" s="174"/>
      <c r="B1180" s="177"/>
      <c r="C1180" s="43" t="s">
        <v>10614</v>
      </c>
      <c r="D1180" s="43" t="s">
        <v>2800</v>
      </c>
      <c r="E1180" s="44">
        <v>3.0300000000000001E-2</v>
      </c>
      <c r="F1180" s="38">
        <v>23.693000000000001</v>
      </c>
      <c r="G1180" s="41">
        <f>IF(ISNUMBER(F1180),E1180*F1180,"")</f>
        <v>0.71789790000000009</v>
      </c>
      <c r="H1180" s="42"/>
      <c r="I1180" s="38"/>
      <c r="J1180" s="37">
        <v>0</v>
      </c>
    </row>
    <row r="1181" spans="1:10" ht="15.75" hidden="1" thickBot="1" x14ac:dyDescent="0.3">
      <c r="A1181" s="175"/>
      <c r="B1181" s="178"/>
      <c r="C1181" s="49"/>
      <c r="D1181" s="49"/>
      <c r="E1181" s="50"/>
      <c r="F1181" s="51" t="s">
        <v>13</v>
      </c>
      <c r="G1181" s="51" t="str">
        <f>IF(ISNUMBER(F1181),E1181*F1181,"")</f>
        <v/>
      </c>
      <c r="H1181" s="53"/>
      <c r="I1181" s="38"/>
      <c r="J1181" s="37">
        <v>0</v>
      </c>
    </row>
    <row r="1182" spans="1:10" ht="15.75" hidden="1" thickBot="1" x14ac:dyDescent="0.3">
      <c r="A1182" s="173" t="s">
        <v>266</v>
      </c>
      <c r="B1182" s="176" t="s">
        <v>3211</v>
      </c>
      <c r="C1182" s="31"/>
      <c r="D1182" s="32" t="s">
        <v>18</v>
      </c>
      <c r="E1182" s="33"/>
      <c r="F1182" s="54" t="s">
        <v>13</v>
      </c>
      <c r="G1182" s="34" t="str">
        <f>IF(ISNUMBER(F1182),E1182*F1182,"")</f>
        <v/>
      </c>
      <c r="H1182" s="35"/>
      <c r="I1182" s="36"/>
      <c r="J1182" s="37">
        <v>0</v>
      </c>
    </row>
    <row r="1183" spans="1:10" hidden="1" x14ac:dyDescent="0.25">
      <c r="A1183" s="174"/>
      <c r="B1183" s="177"/>
      <c r="C1183" s="39"/>
      <c r="D1183" s="39"/>
      <c r="E1183" s="40"/>
      <c r="F1183" s="55" t="s">
        <v>13</v>
      </c>
      <c r="G1183" s="38" t="str">
        <f>IF(ISNUMBER(F1183),E1183*F1183,"")</f>
        <v/>
      </c>
      <c r="H1183" s="42"/>
      <c r="I1183" s="38"/>
      <c r="J1183" s="37">
        <v>0</v>
      </c>
    </row>
    <row r="1184" spans="1:10" ht="25.5" hidden="1" x14ac:dyDescent="0.25">
      <c r="A1184" s="174"/>
      <c r="B1184" s="177"/>
      <c r="C1184" s="43" t="s">
        <v>267</v>
      </c>
      <c r="D1184" s="62" t="s">
        <v>87</v>
      </c>
      <c r="E1184" s="44">
        <v>1</v>
      </c>
      <c r="F1184" s="41" t="s">
        <v>13</v>
      </c>
      <c r="G1184" s="41" t="str">
        <f>IF(ISNUMBER(F1184),E1184*F1184,"")</f>
        <v/>
      </c>
      <c r="H1184" s="46">
        <f>SUM(G1184:G1187)</f>
        <v>3.7164399000000001</v>
      </c>
      <c r="I1184" s="47"/>
      <c r="J1184" s="37">
        <v>0</v>
      </c>
    </row>
    <row r="1185" spans="1:10" hidden="1" x14ac:dyDescent="0.25">
      <c r="A1185" s="174"/>
      <c r="B1185" s="177"/>
      <c r="C1185" s="43" t="s">
        <v>10916</v>
      </c>
      <c r="D1185" s="43" t="s">
        <v>83</v>
      </c>
      <c r="E1185" s="44">
        <v>2.1000000000000001E-2</v>
      </c>
      <c r="F1185" s="41">
        <v>3.9899999999999998</v>
      </c>
      <c r="G1185" s="41">
        <f>IF(ISNUMBER(F1185),E1185*F1185,"")</f>
        <v>8.3790000000000003E-2</v>
      </c>
      <c r="H1185" s="42"/>
      <c r="I1185" s="38"/>
      <c r="J1185" s="37">
        <v>0</v>
      </c>
    </row>
    <row r="1186" spans="1:10" ht="25.5" hidden="1" x14ac:dyDescent="0.25">
      <c r="A1186" s="174"/>
      <c r="B1186" s="177"/>
      <c r="C1186" s="43" t="s">
        <v>10754</v>
      </c>
      <c r="D1186" s="43" t="s">
        <v>2800</v>
      </c>
      <c r="E1186" s="44">
        <v>9.6000000000000002E-2</v>
      </c>
      <c r="F1186" s="38">
        <v>30.361999999999998</v>
      </c>
      <c r="G1186" s="41">
        <f>IF(ISNUMBER(F1186),E1186*F1186,"")</f>
        <v>2.914752</v>
      </c>
      <c r="H1186" s="42"/>
      <c r="I1186" s="38"/>
      <c r="J1186" s="37">
        <v>0</v>
      </c>
    </row>
    <row r="1187" spans="1:10" hidden="1" x14ac:dyDescent="0.25">
      <c r="A1187" s="174"/>
      <c r="B1187" s="177"/>
      <c r="C1187" s="43" t="s">
        <v>10614</v>
      </c>
      <c r="D1187" s="43" t="s">
        <v>2800</v>
      </c>
      <c r="E1187" s="44">
        <v>3.0300000000000001E-2</v>
      </c>
      <c r="F1187" s="38">
        <v>23.693000000000001</v>
      </c>
      <c r="G1187" s="41">
        <f>IF(ISNUMBER(F1187),E1187*F1187,"")</f>
        <v>0.71789790000000009</v>
      </c>
      <c r="H1187" s="42"/>
      <c r="I1187" s="38"/>
      <c r="J1187" s="37">
        <v>0</v>
      </c>
    </row>
    <row r="1188" spans="1:10" ht="15.75" hidden="1" thickBot="1" x14ac:dyDescent="0.3">
      <c r="A1188" s="175"/>
      <c r="B1188" s="178"/>
      <c r="C1188" s="49"/>
      <c r="D1188" s="49"/>
      <c r="E1188" s="50"/>
      <c r="F1188" s="51" t="s">
        <v>13</v>
      </c>
      <c r="G1188" s="51" t="str">
        <f>IF(ISNUMBER(F1188),E1188*F1188,"")</f>
        <v/>
      </c>
      <c r="H1188" s="53"/>
      <c r="I1188" s="38"/>
      <c r="J1188" s="37">
        <v>0</v>
      </c>
    </row>
    <row r="1189" spans="1:10" ht="15.75" hidden="1" thickBot="1" x14ac:dyDescent="0.3">
      <c r="A1189" s="173" t="s">
        <v>268</v>
      </c>
      <c r="B1189" s="176" t="s">
        <v>3212</v>
      </c>
      <c r="C1189" s="31"/>
      <c r="D1189" s="32" t="s">
        <v>18</v>
      </c>
      <c r="E1189" s="33"/>
      <c r="F1189" s="54" t="s">
        <v>13</v>
      </c>
      <c r="G1189" s="34" t="str">
        <f>IF(ISNUMBER(F1189),E1189*F1189,"")</f>
        <v/>
      </c>
      <c r="H1189" s="35"/>
      <c r="I1189" s="36"/>
      <c r="J1189" s="37">
        <v>0</v>
      </c>
    </row>
    <row r="1190" spans="1:10" hidden="1" x14ac:dyDescent="0.25">
      <c r="A1190" s="174"/>
      <c r="B1190" s="177"/>
      <c r="C1190" s="39"/>
      <c r="D1190" s="39"/>
      <c r="E1190" s="40"/>
      <c r="F1190" s="55" t="s">
        <v>13</v>
      </c>
      <c r="G1190" s="38" t="str">
        <f>IF(ISNUMBER(F1190),E1190*F1190,"")</f>
        <v/>
      </c>
      <c r="H1190" s="42"/>
      <c r="I1190" s="38"/>
      <c r="J1190" s="37">
        <v>0</v>
      </c>
    </row>
    <row r="1191" spans="1:10" ht="25.5" hidden="1" x14ac:dyDescent="0.25">
      <c r="A1191" s="174"/>
      <c r="B1191" s="177"/>
      <c r="C1191" s="43" t="s">
        <v>269</v>
      </c>
      <c r="D1191" s="62" t="s">
        <v>87</v>
      </c>
      <c r="E1191" s="44">
        <v>1</v>
      </c>
      <c r="F1191" s="41" t="s">
        <v>13</v>
      </c>
      <c r="G1191" s="41" t="str">
        <f>IF(ISNUMBER(F1191),E1191*F1191,"")</f>
        <v/>
      </c>
      <c r="H1191" s="46">
        <f>SUM(G1191:G1194)</f>
        <v>3.7164399000000001</v>
      </c>
      <c r="I1191" s="47"/>
      <c r="J1191" s="37">
        <v>0</v>
      </c>
    </row>
    <row r="1192" spans="1:10" hidden="1" x14ac:dyDescent="0.25">
      <c r="A1192" s="174"/>
      <c r="B1192" s="177"/>
      <c r="C1192" s="43" t="s">
        <v>10916</v>
      </c>
      <c r="D1192" s="43" t="s">
        <v>83</v>
      </c>
      <c r="E1192" s="44">
        <v>2.1000000000000001E-2</v>
      </c>
      <c r="F1192" s="41">
        <v>3.9899999999999998</v>
      </c>
      <c r="G1192" s="41">
        <f>IF(ISNUMBER(F1192),E1192*F1192,"")</f>
        <v>8.3790000000000003E-2</v>
      </c>
      <c r="H1192" s="42"/>
      <c r="I1192" s="38"/>
      <c r="J1192" s="37">
        <v>0</v>
      </c>
    </row>
    <row r="1193" spans="1:10" ht="25.5" hidden="1" x14ac:dyDescent="0.25">
      <c r="A1193" s="174"/>
      <c r="B1193" s="177"/>
      <c r="C1193" s="43" t="s">
        <v>10754</v>
      </c>
      <c r="D1193" s="43" t="s">
        <v>2800</v>
      </c>
      <c r="E1193" s="44">
        <v>9.6000000000000002E-2</v>
      </c>
      <c r="F1193" s="38">
        <v>30.361999999999998</v>
      </c>
      <c r="G1193" s="41">
        <f>IF(ISNUMBER(F1193),E1193*F1193,"")</f>
        <v>2.914752</v>
      </c>
      <c r="H1193" s="42"/>
      <c r="I1193" s="38"/>
      <c r="J1193" s="37">
        <v>0</v>
      </c>
    </row>
    <row r="1194" spans="1:10" hidden="1" x14ac:dyDescent="0.25">
      <c r="A1194" s="174"/>
      <c r="B1194" s="177"/>
      <c r="C1194" s="43" t="s">
        <v>10614</v>
      </c>
      <c r="D1194" s="43" t="s">
        <v>2800</v>
      </c>
      <c r="E1194" s="44">
        <v>3.0300000000000001E-2</v>
      </c>
      <c r="F1194" s="38">
        <v>23.693000000000001</v>
      </c>
      <c r="G1194" s="41">
        <f>IF(ISNUMBER(F1194),E1194*F1194,"")</f>
        <v>0.71789790000000009</v>
      </c>
      <c r="H1194" s="42"/>
      <c r="I1194" s="38"/>
      <c r="J1194" s="37">
        <v>0</v>
      </c>
    </row>
    <row r="1195" spans="1:10" ht="15.75" hidden="1" thickBot="1" x14ac:dyDescent="0.3">
      <c r="A1195" s="175"/>
      <c r="B1195" s="178"/>
      <c r="C1195" s="49"/>
      <c r="D1195" s="49"/>
      <c r="E1195" s="50"/>
      <c r="F1195" s="51" t="s">
        <v>13</v>
      </c>
      <c r="G1195" s="51" t="str">
        <f>IF(ISNUMBER(F1195),E1195*F1195,"")</f>
        <v/>
      </c>
      <c r="H1195" s="53"/>
      <c r="I1195" s="38"/>
      <c r="J1195" s="37">
        <v>0</v>
      </c>
    </row>
    <row r="1196" spans="1:10" ht="15.75" hidden="1" thickBot="1" x14ac:dyDescent="0.3">
      <c r="A1196" s="173" t="s">
        <v>270</v>
      </c>
      <c r="B1196" s="176" t="s">
        <v>3213</v>
      </c>
      <c r="C1196" s="31"/>
      <c r="D1196" s="32" t="s">
        <v>18</v>
      </c>
      <c r="E1196" s="33"/>
      <c r="F1196" s="54" t="s">
        <v>13</v>
      </c>
      <c r="G1196" s="34" t="str">
        <f>IF(ISNUMBER(F1196),E1196*F1196,"")</f>
        <v/>
      </c>
      <c r="H1196" s="35"/>
      <c r="I1196" s="36"/>
      <c r="J1196" s="37">
        <v>0</v>
      </c>
    </row>
    <row r="1197" spans="1:10" hidden="1" x14ac:dyDescent="0.25">
      <c r="A1197" s="174"/>
      <c r="B1197" s="177"/>
      <c r="C1197" s="39"/>
      <c r="D1197" s="39"/>
      <c r="E1197" s="40"/>
      <c r="F1197" s="55" t="s">
        <v>13</v>
      </c>
      <c r="G1197" s="38" t="str">
        <f>IF(ISNUMBER(F1197),E1197*F1197,"")</f>
        <v/>
      </c>
      <c r="H1197" s="42"/>
      <c r="I1197" s="38"/>
      <c r="J1197" s="37">
        <v>0</v>
      </c>
    </row>
    <row r="1198" spans="1:10" ht="25.5" hidden="1" x14ac:dyDescent="0.25">
      <c r="A1198" s="174"/>
      <c r="B1198" s="177"/>
      <c r="C1198" s="43" t="s">
        <v>10922</v>
      </c>
      <c r="D1198" s="43" t="s">
        <v>83</v>
      </c>
      <c r="E1198" s="44">
        <v>1</v>
      </c>
      <c r="F1198" s="41">
        <v>154.13749999999999</v>
      </c>
      <c r="G1198" s="41">
        <f>IF(ISNUMBER(F1198),E1198*F1198,"")</f>
        <v>154.13749999999999</v>
      </c>
      <c r="H1198" s="46">
        <f>SUM(G1198:G1201)</f>
        <v>157.85393989999997</v>
      </c>
      <c r="I1198" s="47"/>
      <c r="J1198" s="37">
        <v>0</v>
      </c>
    </row>
    <row r="1199" spans="1:10" hidden="1" x14ac:dyDescent="0.25">
      <c r="A1199" s="174"/>
      <c r="B1199" s="177"/>
      <c r="C1199" s="43" t="s">
        <v>10916</v>
      </c>
      <c r="D1199" s="43" t="s">
        <v>83</v>
      </c>
      <c r="E1199" s="44">
        <v>2.1000000000000001E-2</v>
      </c>
      <c r="F1199" s="41">
        <v>3.9899999999999998</v>
      </c>
      <c r="G1199" s="41">
        <f>IF(ISNUMBER(F1199),E1199*F1199,"")</f>
        <v>8.3790000000000003E-2</v>
      </c>
      <c r="H1199" s="42"/>
      <c r="I1199" s="38"/>
      <c r="J1199" s="37">
        <v>0</v>
      </c>
    </row>
    <row r="1200" spans="1:10" ht="25.5" hidden="1" x14ac:dyDescent="0.25">
      <c r="A1200" s="174"/>
      <c r="B1200" s="177"/>
      <c r="C1200" s="43" t="s">
        <v>10754</v>
      </c>
      <c r="D1200" s="43" t="s">
        <v>2800</v>
      </c>
      <c r="E1200" s="44">
        <v>9.6000000000000002E-2</v>
      </c>
      <c r="F1200" s="38">
        <v>30.361999999999998</v>
      </c>
      <c r="G1200" s="41">
        <f>IF(ISNUMBER(F1200),E1200*F1200,"")</f>
        <v>2.914752</v>
      </c>
      <c r="H1200" s="42"/>
      <c r="I1200" s="38"/>
      <c r="J1200" s="37">
        <v>0</v>
      </c>
    </row>
    <row r="1201" spans="1:10" hidden="1" x14ac:dyDescent="0.25">
      <c r="A1201" s="174"/>
      <c r="B1201" s="177"/>
      <c r="C1201" s="43" t="s">
        <v>10614</v>
      </c>
      <c r="D1201" s="43" t="s">
        <v>2800</v>
      </c>
      <c r="E1201" s="44">
        <v>3.0300000000000001E-2</v>
      </c>
      <c r="F1201" s="38">
        <v>23.693000000000001</v>
      </c>
      <c r="G1201" s="41">
        <f>IF(ISNUMBER(F1201),E1201*F1201,"")</f>
        <v>0.71789790000000009</v>
      </c>
      <c r="H1201" s="42"/>
      <c r="I1201" s="38"/>
      <c r="J1201" s="37">
        <v>0</v>
      </c>
    </row>
    <row r="1202" spans="1:10" ht="15.75" hidden="1" thickBot="1" x14ac:dyDescent="0.3">
      <c r="A1202" s="175"/>
      <c r="B1202" s="178"/>
      <c r="C1202" s="49"/>
      <c r="D1202" s="49"/>
      <c r="E1202" s="50"/>
      <c r="F1202" s="51" t="s">
        <v>13</v>
      </c>
      <c r="G1202" s="51" t="str">
        <f>IF(ISNUMBER(F1202),E1202*F1202,"")</f>
        <v/>
      </c>
      <c r="H1202" s="53"/>
      <c r="I1202" s="38"/>
      <c r="J1202" s="37">
        <v>0</v>
      </c>
    </row>
    <row r="1203" spans="1:10" ht="15.75" hidden="1" thickBot="1" x14ac:dyDescent="0.3">
      <c r="A1203" s="173" t="s">
        <v>271</v>
      </c>
      <c r="B1203" s="176" t="s">
        <v>3214</v>
      </c>
      <c r="C1203" s="31"/>
      <c r="D1203" s="32" t="s">
        <v>18</v>
      </c>
      <c r="E1203" s="33"/>
      <c r="F1203" s="54" t="s">
        <v>13</v>
      </c>
      <c r="G1203" s="34" t="str">
        <f>IF(ISNUMBER(F1203),E1203*F1203,"")</f>
        <v/>
      </c>
      <c r="H1203" s="35"/>
      <c r="I1203" s="36"/>
      <c r="J1203" s="37">
        <v>0</v>
      </c>
    </row>
    <row r="1204" spans="1:10" hidden="1" x14ac:dyDescent="0.25">
      <c r="A1204" s="174"/>
      <c r="B1204" s="177"/>
      <c r="C1204" s="39"/>
      <c r="D1204" s="39"/>
      <c r="E1204" s="40"/>
      <c r="F1204" s="55" t="s">
        <v>13</v>
      </c>
      <c r="G1204" s="38" t="str">
        <f>IF(ISNUMBER(F1204),E1204*F1204,"")</f>
        <v/>
      </c>
      <c r="H1204" s="42"/>
      <c r="I1204" s="38"/>
      <c r="J1204" s="37">
        <v>0</v>
      </c>
    </row>
    <row r="1205" spans="1:10" ht="25.5" hidden="1" x14ac:dyDescent="0.25">
      <c r="A1205" s="174"/>
      <c r="B1205" s="177"/>
      <c r="C1205" s="43" t="s">
        <v>272</v>
      </c>
      <c r="D1205" s="62" t="s">
        <v>87</v>
      </c>
      <c r="E1205" s="44">
        <v>1</v>
      </c>
      <c r="F1205" s="41" t="s">
        <v>13</v>
      </c>
      <c r="G1205" s="41" t="str">
        <f>IF(ISNUMBER(F1205),E1205*F1205,"")</f>
        <v/>
      </c>
      <c r="H1205" s="46">
        <f>SUM(G1205:G1208)</f>
        <v>4.4874599000000002</v>
      </c>
      <c r="I1205" s="47"/>
      <c r="J1205" s="37">
        <v>0</v>
      </c>
    </row>
    <row r="1206" spans="1:10" hidden="1" x14ac:dyDescent="0.25">
      <c r="A1206" s="174"/>
      <c r="B1206" s="177"/>
      <c r="C1206" s="43" t="s">
        <v>10916</v>
      </c>
      <c r="D1206" s="43" t="s">
        <v>83</v>
      </c>
      <c r="E1206" s="44">
        <v>2.1000000000000001E-2</v>
      </c>
      <c r="F1206" s="41">
        <v>3.9899999999999998</v>
      </c>
      <c r="G1206" s="41">
        <f>IF(ISNUMBER(F1206),E1206*F1206,"")</f>
        <v>8.3790000000000003E-2</v>
      </c>
      <c r="H1206" s="42"/>
      <c r="I1206" s="38"/>
      <c r="J1206" s="37">
        <v>0</v>
      </c>
    </row>
    <row r="1207" spans="1:10" ht="25.5" hidden="1" x14ac:dyDescent="0.25">
      <c r="A1207" s="174"/>
      <c r="B1207" s="177"/>
      <c r="C1207" s="43" t="s">
        <v>10754</v>
      </c>
      <c r="D1207" s="43" t="s">
        <v>2800</v>
      </c>
      <c r="E1207" s="44">
        <v>0.1164</v>
      </c>
      <c r="F1207" s="38">
        <v>30.361999999999998</v>
      </c>
      <c r="G1207" s="41">
        <f>IF(ISNUMBER(F1207),E1207*F1207,"")</f>
        <v>3.5341367999999997</v>
      </c>
      <c r="H1207" s="42"/>
      <c r="I1207" s="38"/>
      <c r="J1207" s="37">
        <v>0</v>
      </c>
    </row>
    <row r="1208" spans="1:10" hidden="1" x14ac:dyDescent="0.25">
      <c r="A1208" s="174"/>
      <c r="B1208" s="177"/>
      <c r="C1208" s="43" t="s">
        <v>10614</v>
      </c>
      <c r="D1208" s="43" t="s">
        <v>2800</v>
      </c>
      <c r="E1208" s="44">
        <v>3.6700000000000003E-2</v>
      </c>
      <c r="F1208" s="38">
        <v>23.693000000000001</v>
      </c>
      <c r="G1208" s="41">
        <f>IF(ISNUMBER(F1208),E1208*F1208,"")</f>
        <v>0.86953310000000017</v>
      </c>
      <c r="H1208" s="42"/>
      <c r="I1208" s="38"/>
      <c r="J1208" s="37">
        <v>0</v>
      </c>
    </row>
    <row r="1209" spans="1:10" ht="15.75" hidden="1" thickBot="1" x14ac:dyDescent="0.3">
      <c r="A1209" s="175"/>
      <c r="B1209" s="178"/>
      <c r="C1209" s="49"/>
      <c r="D1209" s="49"/>
      <c r="E1209" s="50"/>
      <c r="F1209" s="51" t="s">
        <v>13</v>
      </c>
      <c r="G1209" s="51" t="str">
        <f>IF(ISNUMBER(F1209),E1209*F1209,"")</f>
        <v/>
      </c>
      <c r="H1209" s="53"/>
      <c r="I1209" s="38"/>
      <c r="J1209" s="37">
        <v>0</v>
      </c>
    </row>
    <row r="1210" spans="1:10" ht="15.75" hidden="1" thickBot="1" x14ac:dyDescent="0.3">
      <c r="A1210" s="173" t="s">
        <v>273</v>
      </c>
      <c r="B1210" s="176" t="s">
        <v>3215</v>
      </c>
      <c r="C1210" s="31"/>
      <c r="D1210" s="32" t="s">
        <v>18</v>
      </c>
      <c r="E1210" s="33"/>
      <c r="F1210" s="54" t="s">
        <v>13</v>
      </c>
      <c r="G1210" s="34" t="str">
        <f>IF(ISNUMBER(F1210),E1210*F1210,"")</f>
        <v/>
      </c>
      <c r="H1210" s="35"/>
      <c r="I1210" s="36"/>
      <c r="J1210" s="37">
        <v>0</v>
      </c>
    </row>
    <row r="1211" spans="1:10" hidden="1" x14ac:dyDescent="0.25">
      <c r="A1211" s="174"/>
      <c r="B1211" s="177"/>
      <c r="C1211" s="39"/>
      <c r="D1211" s="39"/>
      <c r="E1211" s="40"/>
      <c r="F1211" s="55" t="s">
        <v>13</v>
      </c>
      <c r="G1211" s="38" t="str">
        <f>IF(ISNUMBER(F1211),E1211*F1211,"")</f>
        <v/>
      </c>
      <c r="H1211" s="42"/>
      <c r="I1211" s="38"/>
      <c r="J1211" s="37">
        <v>0</v>
      </c>
    </row>
    <row r="1212" spans="1:10" hidden="1" x14ac:dyDescent="0.25">
      <c r="A1212" s="174"/>
      <c r="B1212" s="177"/>
      <c r="C1212" s="43" t="s">
        <v>10916</v>
      </c>
      <c r="D1212" s="43" t="s">
        <v>83</v>
      </c>
      <c r="E1212" s="44">
        <v>2.1000000000000001E-2</v>
      </c>
      <c r="F1212" s="41">
        <v>3.9899999999999998</v>
      </c>
      <c r="G1212" s="41">
        <f>IF(ISNUMBER(F1212),E1212*F1212,"")</f>
        <v>8.3790000000000003E-2</v>
      </c>
      <c r="H1212" s="46">
        <f>SUM(G1212:G1215)</f>
        <v>67.499128299999995</v>
      </c>
      <c r="I1212" s="47"/>
      <c r="J1212" s="37">
        <v>0</v>
      </c>
    </row>
    <row r="1213" spans="1:10" ht="25.5" hidden="1" x14ac:dyDescent="0.25">
      <c r="A1213" s="174"/>
      <c r="B1213" s="177"/>
      <c r="C1213" s="43" t="s">
        <v>10754</v>
      </c>
      <c r="D1213" s="43" t="s">
        <v>2800</v>
      </c>
      <c r="E1213" s="44">
        <v>0.1525</v>
      </c>
      <c r="F1213" s="38">
        <v>30.361999999999998</v>
      </c>
      <c r="G1213" s="41">
        <f>IF(ISNUMBER(F1213),E1213*F1213,"")</f>
        <v>4.6302049999999992</v>
      </c>
      <c r="H1213" s="42"/>
      <c r="I1213" s="38"/>
      <c r="J1213" s="37">
        <v>0</v>
      </c>
    </row>
    <row r="1214" spans="1:10" hidden="1" x14ac:dyDescent="0.25">
      <c r="A1214" s="174"/>
      <c r="B1214" s="177"/>
      <c r="C1214" s="43" t="s">
        <v>10614</v>
      </c>
      <c r="D1214" s="43" t="s">
        <v>2800</v>
      </c>
      <c r="E1214" s="44">
        <v>4.8099999999999997E-2</v>
      </c>
      <c r="F1214" s="38">
        <v>23.693000000000001</v>
      </c>
      <c r="G1214" s="41">
        <f>IF(ISNUMBER(F1214),E1214*F1214,"")</f>
        <v>1.1396333000000001</v>
      </c>
      <c r="H1214" s="42"/>
      <c r="I1214" s="38"/>
      <c r="J1214" s="37">
        <v>0</v>
      </c>
    </row>
    <row r="1215" spans="1:10" ht="38.25" hidden="1" x14ac:dyDescent="0.25">
      <c r="A1215" s="174"/>
      <c r="B1215" s="177"/>
      <c r="C1215" s="43" t="s">
        <v>10923</v>
      </c>
      <c r="D1215" s="43" t="s">
        <v>83</v>
      </c>
      <c r="E1215" s="44">
        <v>1</v>
      </c>
      <c r="F1215" s="41">
        <v>61.645499999999998</v>
      </c>
      <c r="G1215" s="38">
        <f>IF(ISNUMBER(F1215),E1215*F1215,"")</f>
        <v>61.645499999999998</v>
      </c>
      <c r="H1215" s="42"/>
      <c r="I1215" s="38"/>
      <c r="J1215" s="37">
        <v>0</v>
      </c>
    </row>
    <row r="1216" spans="1:10" ht="15.75" hidden="1" thickBot="1" x14ac:dyDescent="0.3">
      <c r="A1216" s="175"/>
      <c r="B1216" s="178"/>
      <c r="C1216" s="49"/>
      <c r="D1216" s="49"/>
      <c r="E1216" s="50"/>
      <c r="F1216" s="51" t="s">
        <v>13</v>
      </c>
      <c r="G1216" s="51" t="str">
        <f>IF(ISNUMBER(F1216),E1216*F1216,"")</f>
        <v/>
      </c>
      <c r="H1216" s="53"/>
      <c r="I1216" s="38"/>
      <c r="J1216" s="37">
        <v>0</v>
      </c>
    </row>
    <row r="1217" spans="1:10" ht="15.75" hidden="1" thickBot="1" x14ac:dyDescent="0.3">
      <c r="A1217" s="173" t="s">
        <v>274</v>
      </c>
      <c r="B1217" s="176" t="s">
        <v>3216</v>
      </c>
      <c r="C1217" s="31"/>
      <c r="D1217" s="32" t="s">
        <v>18</v>
      </c>
      <c r="E1217" s="33"/>
      <c r="F1217" s="54" t="s">
        <v>13</v>
      </c>
      <c r="G1217" s="34" t="str">
        <f>IF(ISNUMBER(F1217),E1217*F1217,"")</f>
        <v/>
      </c>
      <c r="H1217" s="35"/>
      <c r="I1217" s="36"/>
      <c r="J1217" s="37">
        <v>0</v>
      </c>
    </row>
    <row r="1218" spans="1:10" hidden="1" x14ac:dyDescent="0.25">
      <c r="A1218" s="174"/>
      <c r="B1218" s="177"/>
      <c r="C1218" s="39"/>
      <c r="D1218" s="39"/>
      <c r="E1218" s="40"/>
      <c r="F1218" s="55" t="s">
        <v>13</v>
      </c>
      <c r="G1218" s="38" t="str">
        <f>IF(ISNUMBER(F1218),E1218*F1218,"")</f>
        <v/>
      </c>
      <c r="H1218" s="42"/>
      <c r="I1218" s="38"/>
      <c r="J1218" s="37">
        <v>0</v>
      </c>
    </row>
    <row r="1219" spans="1:10" ht="25.5" hidden="1" x14ac:dyDescent="0.25">
      <c r="A1219" s="174"/>
      <c r="B1219" s="177"/>
      <c r="C1219" s="43" t="s">
        <v>275</v>
      </c>
      <c r="D1219" s="62" t="s">
        <v>87</v>
      </c>
      <c r="E1219" s="44">
        <v>1</v>
      </c>
      <c r="F1219" s="41" t="s">
        <v>13</v>
      </c>
      <c r="G1219" s="41" t="str">
        <f>IF(ISNUMBER(F1219),E1219*F1219,"")</f>
        <v/>
      </c>
      <c r="H1219" s="46">
        <f>SUM(G1219:G1221)</f>
        <v>27.179499999999997</v>
      </c>
      <c r="I1219" s="47"/>
      <c r="J1219" s="37">
        <v>0</v>
      </c>
    </row>
    <row r="1220" spans="1:10" ht="25.5" hidden="1" x14ac:dyDescent="0.25">
      <c r="A1220" s="174"/>
      <c r="B1220" s="177"/>
      <c r="C1220" s="43" t="s">
        <v>10753</v>
      </c>
      <c r="D1220" s="43" t="s">
        <v>2800</v>
      </c>
      <c r="E1220" s="44">
        <v>0.5</v>
      </c>
      <c r="F1220" s="38">
        <v>23.997</v>
      </c>
      <c r="G1220" s="41">
        <f>IF(ISNUMBER(F1220),E1220*F1220,"")</f>
        <v>11.9985</v>
      </c>
      <c r="H1220" s="42"/>
      <c r="I1220" s="38"/>
      <c r="J1220" s="37">
        <v>0</v>
      </c>
    </row>
    <row r="1221" spans="1:10" ht="25.5" hidden="1" x14ac:dyDescent="0.25">
      <c r="A1221" s="174"/>
      <c r="B1221" s="177"/>
      <c r="C1221" s="43" t="s">
        <v>10754</v>
      </c>
      <c r="D1221" s="43" t="s">
        <v>2800</v>
      </c>
      <c r="E1221" s="44">
        <v>0.5</v>
      </c>
      <c r="F1221" s="38">
        <v>30.361999999999998</v>
      </c>
      <c r="G1221" s="41">
        <f>IF(ISNUMBER(F1221),E1221*F1221,"")</f>
        <v>15.180999999999999</v>
      </c>
      <c r="H1221" s="42"/>
      <c r="I1221" s="38"/>
      <c r="J1221" s="37">
        <v>0</v>
      </c>
    </row>
    <row r="1222" spans="1:10" ht="15.75" hidden="1" thickBot="1" x14ac:dyDescent="0.3">
      <c r="A1222" s="175"/>
      <c r="B1222" s="178"/>
      <c r="C1222" s="49"/>
      <c r="D1222" s="49"/>
      <c r="E1222" s="50"/>
      <c r="F1222" s="51" t="s">
        <v>13</v>
      </c>
      <c r="G1222" s="51" t="str">
        <f>IF(ISNUMBER(F1222),E1222*F1222,"")</f>
        <v/>
      </c>
      <c r="H1222" s="53"/>
      <c r="I1222" s="38"/>
      <c r="J1222" s="37">
        <v>0</v>
      </c>
    </row>
    <row r="1223" spans="1:10" ht="15.75" hidden="1" thickBot="1" x14ac:dyDescent="0.3">
      <c r="A1223" s="173" t="s">
        <v>276</v>
      </c>
      <c r="B1223" s="176" t="s">
        <v>3217</v>
      </c>
      <c r="C1223" s="31"/>
      <c r="D1223" s="32" t="s">
        <v>18</v>
      </c>
      <c r="E1223" s="33"/>
      <c r="F1223" s="54" t="s">
        <v>13</v>
      </c>
      <c r="G1223" s="34" t="str">
        <f>IF(ISNUMBER(F1223),E1223*F1223,"")</f>
        <v/>
      </c>
      <c r="H1223" s="35"/>
      <c r="I1223" s="36"/>
      <c r="J1223" s="37">
        <v>0</v>
      </c>
    </row>
    <row r="1224" spans="1:10" hidden="1" x14ac:dyDescent="0.25">
      <c r="A1224" s="174"/>
      <c r="B1224" s="177"/>
      <c r="C1224" s="39"/>
      <c r="D1224" s="39"/>
      <c r="E1224" s="40"/>
      <c r="F1224" s="55" t="s">
        <v>13</v>
      </c>
      <c r="G1224" s="38" t="str">
        <f>IF(ISNUMBER(F1224),E1224*F1224,"")</f>
        <v/>
      </c>
      <c r="H1224" s="42"/>
      <c r="I1224" s="38"/>
      <c r="J1224" s="37">
        <v>0</v>
      </c>
    </row>
    <row r="1225" spans="1:10" hidden="1" x14ac:dyDescent="0.25">
      <c r="A1225" s="174"/>
      <c r="B1225" s="177"/>
      <c r="C1225" s="43" t="s">
        <v>277</v>
      </c>
      <c r="D1225" s="62" t="s">
        <v>83</v>
      </c>
      <c r="E1225" s="44">
        <v>1</v>
      </c>
      <c r="F1225" s="41" t="s">
        <v>13</v>
      </c>
      <c r="G1225" s="41" t="str">
        <f>IF(ISNUMBER(F1225),E1225*F1225,"")</f>
        <v/>
      </c>
      <c r="H1225" s="46">
        <f>SUM(G1225:G1227)</f>
        <v>27.179499999999997</v>
      </c>
      <c r="I1225" s="47"/>
      <c r="J1225" s="37">
        <v>0</v>
      </c>
    </row>
    <row r="1226" spans="1:10" ht="25.5" hidden="1" x14ac:dyDescent="0.25">
      <c r="A1226" s="174"/>
      <c r="B1226" s="177"/>
      <c r="C1226" s="43" t="s">
        <v>10753</v>
      </c>
      <c r="D1226" s="43" t="s">
        <v>2800</v>
      </c>
      <c r="E1226" s="44">
        <v>0.5</v>
      </c>
      <c r="F1226" s="38">
        <v>23.997</v>
      </c>
      <c r="G1226" s="41">
        <f>IF(ISNUMBER(F1226),E1226*F1226,"")</f>
        <v>11.9985</v>
      </c>
      <c r="H1226" s="42"/>
      <c r="I1226" s="38"/>
      <c r="J1226" s="37">
        <v>0</v>
      </c>
    </row>
    <row r="1227" spans="1:10" ht="25.5" hidden="1" x14ac:dyDescent="0.25">
      <c r="A1227" s="174"/>
      <c r="B1227" s="177"/>
      <c r="C1227" s="43" t="s">
        <v>10754</v>
      </c>
      <c r="D1227" s="43" t="s">
        <v>2800</v>
      </c>
      <c r="E1227" s="44">
        <v>0.5</v>
      </c>
      <c r="F1227" s="38">
        <v>30.361999999999998</v>
      </c>
      <c r="G1227" s="41">
        <f>IF(ISNUMBER(F1227),E1227*F1227,"")</f>
        <v>15.180999999999999</v>
      </c>
      <c r="H1227" s="42"/>
      <c r="I1227" s="38"/>
      <c r="J1227" s="37">
        <v>0</v>
      </c>
    </row>
    <row r="1228" spans="1:10" ht="15.75" hidden="1" thickBot="1" x14ac:dyDescent="0.3">
      <c r="A1228" s="175"/>
      <c r="B1228" s="178"/>
      <c r="C1228" s="49"/>
      <c r="D1228" s="49"/>
      <c r="E1228" s="50"/>
      <c r="F1228" s="51" t="s">
        <v>13</v>
      </c>
      <c r="G1228" s="51" t="str">
        <f>IF(ISNUMBER(F1228),E1228*F1228,"")</f>
        <v/>
      </c>
      <c r="H1228" s="53"/>
      <c r="I1228" s="38"/>
      <c r="J1228" s="37">
        <v>0</v>
      </c>
    </row>
    <row r="1229" spans="1:10" ht="15.75" hidden="1" thickBot="1" x14ac:dyDescent="0.3">
      <c r="A1229" s="173" t="s">
        <v>278</v>
      </c>
      <c r="B1229" s="176" t="s">
        <v>3218</v>
      </c>
      <c r="C1229" s="31"/>
      <c r="D1229" s="32" t="s">
        <v>18</v>
      </c>
      <c r="E1229" s="33"/>
      <c r="F1229" s="54" t="s">
        <v>13</v>
      </c>
      <c r="G1229" s="34" t="str">
        <f>IF(ISNUMBER(F1229),E1229*F1229,"")</f>
        <v/>
      </c>
      <c r="H1229" s="35"/>
      <c r="I1229" s="36"/>
      <c r="J1229" s="37">
        <v>0</v>
      </c>
    </row>
    <row r="1230" spans="1:10" hidden="1" x14ac:dyDescent="0.25">
      <c r="A1230" s="174"/>
      <c r="B1230" s="177"/>
      <c r="C1230" s="39"/>
      <c r="D1230" s="39"/>
      <c r="E1230" s="40"/>
      <c r="F1230" s="55" t="s">
        <v>13</v>
      </c>
      <c r="G1230" s="38" t="str">
        <f>IF(ISNUMBER(F1230),E1230*F1230,"")</f>
        <v/>
      </c>
      <c r="H1230" s="42"/>
      <c r="I1230" s="38"/>
      <c r="J1230" s="37">
        <v>0</v>
      </c>
    </row>
    <row r="1231" spans="1:10" ht="25.5" hidden="1" x14ac:dyDescent="0.25">
      <c r="A1231" s="174"/>
      <c r="B1231" s="177"/>
      <c r="C1231" s="43" t="s">
        <v>279</v>
      </c>
      <c r="D1231" s="62" t="s">
        <v>87</v>
      </c>
      <c r="E1231" s="44">
        <v>1</v>
      </c>
      <c r="F1231" s="41" t="s">
        <v>13</v>
      </c>
      <c r="G1231" s="41" t="str">
        <f>IF(ISNUMBER(F1231),E1231*F1231,"")</f>
        <v/>
      </c>
      <c r="H1231" s="46">
        <f>SUM(G1231:G1233)</f>
        <v>27.179499999999997</v>
      </c>
      <c r="I1231" s="47"/>
      <c r="J1231" s="37">
        <v>0</v>
      </c>
    </row>
    <row r="1232" spans="1:10" ht="25.5" hidden="1" x14ac:dyDescent="0.25">
      <c r="A1232" s="174"/>
      <c r="B1232" s="177"/>
      <c r="C1232" s="43" t="s">
        <v>10753</v>
      </c>
      <c r="D1232" s="43" t="s">
        <v>2800</v>
      </c>
      <c r="E1232" s="44">
        <v>0.5</v>
      </c>
      <c r="F1232" s="38">
        <v>23.997</v>
      </c>
      <c r="G1232" s="41">
        <f>IF(ISNUMBER(F1232),E1232*F1232,"")</f>
        <v>11.9985</v>
      </c>
      <c r="H1232" s="42"/>
      <c r="I1232" s="38"/>
      <c r="J1232" s="37">
        <v>0</v>
      </c>
    </row>
    <row r="1233" spans="1:10" ht="25.5" hidden="1" x14ac:dyDescent="0.25">
      <c r="A1233" s="174"/>
      <c r="B1233" s="177"/>
      <c r="C1233" s="43" t="s">
        <v>10754</v>
      </c>
      <c r="D1233" s="43" t="s">
        <v>2800</v>
      </c>
      <c r="E1233" s="44">
        <v>0.5</v>
      </c>
      <c r="F1233" s="38">
        <v>30.361999999999998</v>
      </c>
      <c r="G1233" s="41">
        <f>IF(ISNUMBER(F1233),E1233*F1233,"")</f>
        <v>15.180999999999999</v>
      </c>
      <c r="H1233" s="42"/>
      <c r="I1233" s="38"/>
      <c r="J1233" s="37">
        <v>0</v>
      </c>
    </row>
    <row r="1234" spans="1:10" ht="15.75" hidden="1" thickBot="1" x14ac:dyDescent="0.3">
      <c r="A1234" s="175"/>
      <c r="B1234" s="178"/>
      <c r="C1234" s="49"/>
      <c r="D1234" s="49"/>
      <c r="E1234" s="50"/>
      <c r="F1234" s="51" t="s">
        <v>13</v>
      </c>
      <c r="G1234" s="51" t="str">
        <f>IF(ISNUMBER(F1234),E1234*F1234,"")</f>
        <v/>
      </c>
      <c r="H1234" s="53"/>
      <c r="I1234" s="38"/>
      <c r="J1234" s="37">
        <v>0</v>
      </c>
    </row>
    <row r="1235" spans="1:10" ht="15.75" hidden="1" thickBot="1" x14ac:dyDescent="0.3">
      <c r="A1235" s="173" t="s">
        <v>280</v>
      </c>
      <c r="B1235" s="176" t="s">
        <v>3219</v>
      </c>
      <c r="C1235" s="31"/>
      <c r="D1235" s="32" t="s">
        <v>18</v>
      </c>
      <c r="E1235" s="33"/>
      <c r="F1235" s="54" t="s">
        <v>13</v>
      </c>
      <c r="G1235" s="34" t="str">
        <f>IF(ISNUMBER(F1235),E1235*F1235,"")</f>
        <v/>
      </c>
      <c r="H1235" s="35"/>
      <c r="I1235" s="36"/>
      <c r="J1235" s="37">
        <v>0</v>
      </c>
    </row>
    <row r="1236" spans="1:10" hidden="1" x14ac:dyDescent="0.25">
      <c r="A1236" s="174"/>
      <c r="B1236" s="177"/>
      <c r="C1236" s="39"/>
      <c r="D1236" s="39"/>
      <c r="E1236" s="40"/>
      <c r="F1236" s="55" t="s">
        <v>13</v>
      </c>
      <c r="G1236" s="38" t="str">
        <f>IF(ISNUMBER(F1236),E1236*F1236,"")</f>
        <v/>
      </c>
      <c r="H1236" s="42"/>
      <c r="I1236" s="38"/>
      <c r="J1236" s="37">
        <v>0</v>
      </c>
    </row>
    <row r="1237" spans="1:10" hidden="1" x14ac:dyDescent="0.25">
      <c r="A1237" s="174"/>
      <c r="B1237" s="177"/>
      <c r="C1237" s="43" t="s">
        <v>277</v>
      </c>
      <c r="D1237" s="62" t="s">
        <v>87</v>
      </c>
      <c r="E1237" s="44">
        <v>1</v>
      </c>
      <c r="F1237" s="41" t="s">
        <v>13</v>
      </c>
      <c r="G1237" s="41" t="str">
        <f>IF(ISNUMBER(F1237),E1237*F1237,"")</f>
        <v/>
      </c>
      <c r="H1237" s="46">
        <f>SUM(G1237:G1239)</f>
        <v>27.179499999999997</v>
      </c>
      <c r="I1237" s="47"/>
      <c r="J1237" s="37">
        <v>0</v>
      </c>
    </row>
    <row r="1238" spans="1:10" ht="25.5" hidden="1" x14ac:dyDescent="0.25">
      <c r="A1238" s="174"/>
      <c r="B1238" s="177"/>
      <c r="C1238" s="43" t="s">
        <v>10753</v>
      </c>
      <c r="D1238" s="43" t="s">
        <v>2800</v>
      </c>
      <c r="E1238" s="44">
        <v>0.5</v>
      </c>
      <c r="F1238" s="38">
        <v>23.997</v>
      </c>
      <c r="G1238" s="41">
        <f>IF(ISNUMBER(F1238),E1238*F1238,"")</f>
        <v>11.9985</v>
      </c>
      <c r="H1238" s="42"/>
      <c r="I1238" s="38"/>
      <c r="J1238" s="37">
        <v>0</v>
      </c>
    </row>
    <row r="1239" spans="1:10" ht="25.5" hidden="1" x14ac:dyDescent="0.25">
      <c r="A1239" s="174"/>
      <c r="B1239" s="177"/>
      <c r="C1239" s="43" t="s">
        <v>10754</v>
      </c>
      <c r="D1239" s="43" t="s">
        <v>2800</v>
      </c>
      <c r="E1239" s="44">
        <v>0.5</v>
      </c>
      <c r="F1239" s="38">
        <v>30.361999999999998</v>
      </c>
      <c r="G1239" s="41">
        <f>IF(ISNUMBER(F1239),E1239*F1239,"")</f>
        <v>15.180999999999999</v>
      </c>
      <c r="H1239" s="42"/>
      <c r="I1239" s="38"/>
      <c r="J1239" s="37">
        <v>0</v>
      </c>
    </row>
    <row r="1240" spans="1:10" ht="15.75" hidden="1" thickBot="1" x14ac:dyDescent="0.3">
      <c r="A1240" s="175"/>
      <c r="B1240" s="178"/>
      <c r="C1240" s="49"/>
      <c r="D1240" s="49"/>
      <c r="E1240" s="50"/>
      <c r="F1240" s="51" t="s">
        <v>13</v>
      </c>
      <c r="G1240" s="51" t="str">
        <f>IF(ISNUMBER(F1240),E1240*F1240,"")</f>
        <v/>
      </c>
      <c r="H1240" s="53"/>
      <c r="I1240" s="38"/>
      <c r="J1240" s="37">
        <v>0</v>
      </c>
    </row>
    <row r="1241" spans="1:10" ht="15.75" hidden="1" thickBot="1" x14ac:dyDescent="0.3">
      <c r="A1241" s="173" t="s">
        <v>281</v>
      </c>
      <c r="B1241" s="176" t="s">
        <v>3220</v>
      </c>
      <c r="C1241" s="31"/>
      <c r="D1241" s="32" t="s">
        <v>18</v>
      </c>
      <c r="E1241" s="33"/>
      <c r="F1241" s="54" t="s">
        <v>13</v>
      </c>
      <c r="G1241" s="34" t="str">
        <f>IF(ISNUMBER(F1241),E1241*F1241,"")</f>
        <v/>
      </c>
      <c r="H1241" s="35"/>
      <c r="I1241" s="36"/>
      <c r="J1241" s="37">
        <v>0</v>
      </c>
    </row>
    <row r="1242" spans="1:10" hidden="1" x14ac:dyDescent="0.25">
      <c r="A1242" s="174"/>
      <c r="B1242" s="177"/>
      <c r="C1242" s="39"/>
      <c r="D1242" s="39"/>
      <c r="E1242" s="40"/>
      <c r="F1242" s="55" t="s">
        <v>13</v>
      </c>
      <c r="G1242" s="38" t="str">
        <f>IF(ISNUMBER(F1242),E1242*F1242,"")</f>
        <v/>
      </c>
      <c r="H1242" s="42"/>
      <c r="I1242" s="38"/>
      <c r="J1242" s="37">
        <v>0</v>
      </c>
    </row>
    <row r="1243" spans="1:10" hidden="1" x14ac:dyDescent="0.25">
      <c r="A1243" s="174"/>
      <c r="B1243" s="177"/>
      <c r="C1243" s="43" t="s">
        <v>10924</v>
      </c>
      <c r="D1243" s="43" t="s">
        <v>83</v>
      </c>
      <c r="E1243" s="44">
        <v>1</v>
      </c>
      <c r="F1243" s="41">
        <v>33.933999999999997</v>
      </c>
      <c r="G1243" s="41">
        <f>IF(ISNUMBER(F1243),E1243*F1243,"")</f>
        <v>33.933999999999997</v>
      </c>
      <c r="H1243" s="46">
        <f>SUM(G1243:G1246)</f>
        <v>40.7068844</v>
      </c>
      <c r="I1243" s="47"/>
      <c r="J1243" s="37">
        <v>0</v>
      </c>
    </row>
    <row r="1244" spans="1:10" hidden="1" x14ac:dyDescent="0.25">
      <c r="A1244" s="174"/>
      <c r="B1244" s="177"/>
      <c r="C1244" s="43" t="s">
        <v>10916</v>
      </c>
      <c r="D1244" s="43" t="s">
        <v>83</v>
      </c>
      <c r="E1244" s="44">
        <v>4.8000000000000001E-2</v>
      </c>
      <c r="F1244" s="41">
        <v>3.9899999999999998</v>
      </c>
      <c r="G1244" s="41">
        <f>IF(ISNUMBER(F1244),E1244*F1244,"")</f>
        <v>0.19152</v>
      </c>
      <c r="H1244" s="42"/>
      <c r="I1244" s="38"/>
      <c r="J1244" s="37">
        <v>0</v>
      </c>
    </row>
    <row r="1245" spans="1:10" ht="25.5" hidden="1" x14ac:dyDescent="0.25">
      <c r="A1245" s="174"/>
      <c r="B1245" s="177"/>
      <c r="C1245" s="43" t="s">
        <v>10754</v>
      </c>
      <c r="D1245" s="43" t="s">
        <v>2800</v>
      </c>
      <c r="E1245" s="44">
        <v>0.17399999999999999</v>
      </c>
      <c r="F1245" s="38">
        <v>30.361999999999998</v>
      </c>
      <c r="G1245" s="41">
        <f>IF(ISNUMBER(F1245),E1245*F1245,"")</f>
        <v>5.2829879999999996</v>
      </c>
      <c r="H1245" s="42"/>
      <c r="I1245" s="38"/>
      <c r="J1245" s="37">
        <v>0</v>
      </c>
    </row>
    <row r="1246" spans="1:10" hidden="1" x14ac:dyDescent="0.25">
      <c r="A1246" s="174"/>
      <c r="B1246" s="177"/>
      <c r="C1246" s="43" t="s">
        <v>10614</v>
      </c>
      <c r="D1246" s="43" t="s">
        <v>2800</v>
      </c>
      <c r="E1246" s="44">
        <v>5.4800000000000001E-2</v>
      </c>
      <c r="F1246" s="38">
        <v>23.693000000000001</v>
      </c>
      <c r="G1246" s="41">
        <f>IF(ISNUMBER(F1246),E1246*F1246,"")</f>
        <v>1.2983764000000002</v>
      </c>
      <c r="H1246" s="42"/>
      <c r="I1246" s="38"/>
      <c r="J1246" s="37">
        <v>0</v>
      </c>
    </row>
    <row r="1247" spans="1:10" ht="15.75" hidden="1" thickBot="1" x14ac:dyDescent="0.3">
      <c r="A1247" s="175"/>
      <c r="B1247" s="178"/>
      <c r="C1247" s="49"/>
      <c r="D1247" s="49"/>
      <c r="E1247" s="50"/>
      <c r="F1247" s="51" t="s">
        <v>13</v>
      </c>
      <c r="G1247" s="51" t="str">
        <f>IF(ISNUMBER(F1247),E1247*F1247,"")</f>
        <v/>
      </c>
      <c r="H1247" s="53"/>
      <c r="I1247" s="38"/>
      <c r="J1247" s="37">
        <v>0</v>
      </c>
    </row>
    <row r="1248" spans="1:10" ht="15.75" hidden="1" thickBot="1" x14ac:dyDescent="0.3">
      <c r="A1248" s="173" t="s">
        <v>282</v>
      </c>
      <c r="B1248" s="176" t="s">
        <v>3221</v>
      </c>
      <c r="C1248" s="31"/>
      <c r="D1248" s="32" t="s">
        <v>18</v>
      </c>
      <c r="E1248" s="33"/>
      <c r="F1248" s="54" t="s">
        <v>13</v>
      </c>
      <c r="G1248" s="34" t="str">
        <f>IF(ISNUMBER(F1248),E1248*F1248,"")</f>
        <v/>
      </c>
      <c r="H1248" s="35"/>
      <c r="I1248" s="36"/>
      <c r="J1248" s="37">
        <v>0</v>
      </c>
    </row>
    <row r="1249" spans="1:10" hidden="1" x14ac:dyDescent="0.25">
      <c r="A1249" s="174"/>
      <c r="B1249" s="177"/>
      <c r="C1249" s="39"/>
      <c r="D1249" s="39"/>
      <c r="E1249" s="40"/>
      <c r="F1249" s="55" t="s">
        <v>13</v>
      </c>
      <c r="G1249" s="38" t="str">
        <f>IF(ISNUMBER(F1249),E1249*F1249,"")</f>
        <v/>
      </c>
      <c r="H1249" s="42"/>
      <c r="I1249" s="38"/>
      <c r="J1249" s="37">
        <v>0</v>
      </c>
    </row>
    <row r="1250" spans="1:10" hidden="1" x14ac:dyDescent="0.25">
      <c r="A1250" s="174"/>
      <c r="B1250" s="177"/>
      <c r="C1250" s="43" t="s">
        <v>10916</v>
      </c>
      <c r="D1250" s="43" t="s">
        <v>83</v>
      </c>
      <c r="E1250" s="44">
        <v>3.32E-2</v>
      </c>
      <c r="F1250" s="41">
        <v>3.9899999999999998</v>
      </c>
      <c r="G1250" s="41">
        <f>IF(ISNUMBER(F1250),E1250*F1250,"")</f>
        <v>0.132468</v>
      </c>
      <c r="H1250" s="46">
        <f>SUM(G1250:G1253)</f>
        <v>47.494854800000006</v>
      </c>
      <c r="I1250" s="47"/>
      <c r="J1250" s="37">
        <v>0</v>
      </c>
    </row>
    <row r="1251" spans="1:10" ht="25.5" hidden="1" x14ac:dyDescent="0.25">
      <c r="A1251" s="174"/>
      <c r="B1251" s="177"/>
      <c r="C1251" s="43" t="s">
        <v>10925</v>
      </c>
      <c r="D1251" s="43" t="s">
        <v>83</v>
      </c>
      <c r="E1251" s="44">
        <v>1</v>
      </c>
      <c r="F1251" s="41">
        <v>42.702500000000001</v>
      </c>
      <c r="G1251" s="41">
        <f>IF(ISNUMBER(F1251),E1251*F1251,"")</f>
        <v>42.702500000000001</v>
      </c>
      <c r="H1251" s="42"/>
      <c r="I1251" s="38"/>
      <c r="J1251" s="37">
        <v>0</v>
      </c>
    </row>
    <row r="1252" spans="1:10" ht="25.5" hidden="1" x14ac:dyDescent="0.25">
      <c r="A1252" s="174"/>
      <c r="B1252" s="177"/>
      <c r="C1252" s="43" t="s">
        <v>10754</v>
      </c>
      <c r="D1252" s="43" t="s">
        <v>2800</v>
      </c>
      <c r="E1252" s="44">
        <v>0.1232</v>
      </c>
      <c r="F1252" s="38">
        <v>30.361999999999998</v>
      </c>
      <c r="G1252" s="41">
        <f>IF(ISNUMBER(F1252),E1252*F1252,"")</f>
        <v>3.7405984000000001</v>
      </c>
      <c r="H1252" s="42"/>
      <c r="I1252" s="38"/>
      <c r="J1252" s="37">
        <v>0</v>
      </c>
    </row>
    <row r="1253" spans="1:10" hidden="1" x14ac:dyDescent="0.25">
      <c r="A1253" s="174"/>
      <c r="B1253" s="177"/>
      <c r="C1253" s="43" t="s">
        <v>10614</v>
      </c>
      <c r="D1253" s="43" t="s">
        <v>2800</v>
      </c>
      <c r="E1253" s="44">
        <v>3.8800000000000001E-2</v>
      </c>
      <c r="F1253" s="38">
        <v>23.693000000000001</v>
      </c>
      <c r="G1253" s="41">
        <f>IF(ISNUMBER(F1253),E1253*F1253,"")</f>
        <v>0.91928840000000012</v>
      </c>
      <c r="H1253" s="42"/>
      <c r="I1253" s="38"/>
      <c r="J1253" s="37">
        <v>0</v>
      </c>
    </row>
    <row r="1254" spans="1:10" ht="15.75" hidden="1" thickBot="1" x14ac:dyDescent="0.3">
      <c r="A1254" s="175"/>
      <c r="B1254" s="178"/>
      <c r="C1254" s="49"/>
      <c r="D1254" s="49"/>
      <c r="E1254" s="50"/>
      <c r="F1254" s="51" t="s">
        <v>13</v>
      </c>
      <c r="G1254" s="51" t="str">
        <f>IF(ISNUMBER(F1254),E1254*F1254,"")</f>
        <v/>
      </c>
      <c r="H1254" s="53"/>
      <c r="I1254" s="38"/>
      <c r="J1254" s="37">
        <v>0</v>
      </c>
    </row>
    <row r="1255" spans="1:10" ht="15.75" hidden="1" thickBot="1" x14ac:dyDescent="0.3">
      <c r="A1255" s="173" t="s">
        <v>283</v>
      </c>
      <c r="B1255" s="176" t="s">
        <v>3222</v>
      </c>
      <c r="C1255" s="31"/>
      <c r="D1255" s="32" t="s">
        <v>18</v>
      </c>
      <c r="E1255" s="33"/>
      <c r="F1255" s="54" t="s">
        <v>13</v>
      </c>
      <c r="G1255" s="34" t="str">
        <f>IF(ISNUMBER(F1255),E1255*F1255,"")</f>
        <v/>
      </c>
      <c r="H1255" s="35"/>
      <c r="I1255" s="36"/>
      <c r="J1255" s="37">
        <v>0</v>
      </c>
    </row>
    <row r="1256" spans="1:10" hidden="1" x14ac:dyDescent="0.25">
      <c r="A1256" s="174"/>
      <c r="B1256" s="177"/>
      <c r="C1256" s="39"/>
      <c r="D1256" s="39"/>
      <c r="E1256" s="40"/>
      <c r="F1256" s="55" t="s">
        <v>13</v>
      </c>
      <c r="G1256" s="38" t="str">
        <f>IF(ISNUMBER(F1256),E1256*F1256,"")</f>
        <v/>
      </c>
      <c r="H1256" s="42"/>
      <c r="I1256" s="38"/>
      <c r="J1256" s="37">
        <v>0</v>
      </c>
    </row>
    <row r="1257" spans="1:10" ht="25.5" hidden="1" x14ac:dyDescent="0.25">
      <c r="A1257" s="174"/>
      <c r="B1257" s="177"/>
      <c r="C1257" s="43" t="s">
        <v>10926</v>
      </c>
      <c r="D1257" s="43" t="s">
        <v>83</v>
      </c>
      <c r="E1257" s="44">
        <v>1</v>
      </c>
      <c r="F1257" s="41">
        <v>301.76749999999998</v>
      </c>
      <c r="G1257" s="38">
        <f>IF(ISNUMBER(F1257),E1257*F1257,"")</f>
        <v>301.76749999999998</v>
      </c>
      <c r="H1257" s="46">
        <f>SUM(G1257:G1260)</f>
        <v>352.32667670000001</v>
      </c>
      <c r="I1257" s="47"/>
      <c r="J1257" s="37">
        <v>0</v>
      </c>
    </row>
    <row r="1258" spans="1:10" hidden="1" x14ac:dyDescent="0.25">
      <c r="A1258" s="174"/>
      <c r="B1258" s="177"/>
      <c r="C1258" s="43" t="s">
        <v>10907</v>
      </c>
      <c r="D1258" s="43" t="s">
        <v>83</v>
      </c>
      <c r="E1258" s="44">
        <v>1.9199999999999998E-2</v>
      </c>
      <c r="F1258" s="41">
        <v>14.715499999999999</v>
      </c>
      <c r="G1258" s="38">
        <f>IF(ISNUMBER(F1258),E1258*F1258,"")</f>
        <v>0.28253759999999994</v>
      </c>
      <c r="H1258" s="42"/>
      <c r="I1258" s="38"/>
      <c r="J1258" s="37">
        <v>0</v>
      </c>
    </row>
    <row r="1259" spans="1:10" ht="25.5" hidden="1" x14ac:dyDescent="0.25">
      <c r="A1259" s="174"/>
      <c r="B1259" s="177"/>
      <c r="C1259" s="43" t="s">
        <v>10753</v>
      </c>
      <c r="D1259" s="43" t="s">
        <v>2800</v>
      </c>
      <c r="E1259" s="44">
        <v>0.92490000000000006</v>
      </c>
      <c r="F1259" s="38">
        <v>23.997</v>
      </c>
      <c r="G1259" s="38">
        <f>IF(ISNUMBER(F1259),E1259*F1259,"")</f>
        <v>22.194825300000002</v>
      </c>
      <c r="H1259" s="42"/>
      <c r="I1259" s="38"/>
      <c r="J1259" s="37">
        <v>0</v>
      </c>
    </row>
    <row r="1260" spans="1:10" ht="25.5" hidden="1" x14ac:dyDescent="0.25">
      <c r="A1260" s="174"/>
      <c r="B1260" s="177"/>
      <c r="C1260" s="43" t="s">
        <v>10754</v>
      </c>
      <c r="D1260" s="43" t="s">
        <v>2800</v>
      </c>
      <c r="E1260" s="44">
        <v>0.92490000000000006</v>
      </c>
      <c r="F1260" s="38">
        <v>30.361999999999998</v>
      </c>
      <c r="G1260" s="41">
        <f>IF(ISNUMBER(F1260),E1260*F1260,"")</f>
        <v>28.081813799999999</v>
      </c>
      <c r="H1260" s="42"/>
      <c r="I1260" s="38"/>
      <c r="J1260" s="37">
        <v>0</v>
      </c>
    </row>
    <row r="1261" spans="1:10" ht="15.75" hidden="1" thickBot="1" x14ac:dyDescent="0.3">
      <c r="A1261" s="175"/>
      <c r="B1261" s="178"/>
      <c r="C1261" s="49"/>
      <c r="D1261" s="49"/>
      <c r="E1261" s="50"/>
      <c r="F1261" s="51" t="s">
        <v>13</v>
      </c>
      <c r="G1261" s="51" t="str">
        <f>IF(ISNUMBER(F1261),E1261*F1261,"")</f>
        <v/>
      </c>
      <c r="H1261" s="53"/>
      <c r="I1261" s="38"/>
      <c r="J1261" s="37">
        <v>0</v>
      </c>
    </row>
    <row r="1262" spans="1:10" ht="15.75" hidden="1" thickBot="1" x14ac:dyDescent="0.3">
      <c r="A1262" s="173" t="s">
        <v>284</v>
      </c>
      <c r="B1262" s="176" t="s">
        <v>3223</v>
      </c>
      <c r="C1262" s="31"/>
      <c r="D1262" s="32" t="s">
        <v>18</v>
      </c>
      <c r="E1262" s="33"/>
      <c r="F1262" s="54" t="s">
        <v>13</v>
      </c>
      <c r="G1262" s="34" t="str">
        <f>IF(ISNUMBER(F1262),E1262*F1262,"")</f>
        <v/>
      </c>
      <c r="H1262" s="35"/>
      <c r="I1262" s="36"/>
      <c r="J1262" s="37">
        <v>0</v>
      </c>
    </row>
    <row r="1263" spans="1:10" hidden="1" x14ac:dyDescent="0.25">
      <c r="A1263" s="174"/>
      <c r="B1263" s="177"/>
      <c r="C1263" s="39"/>
      <c r="D1263" s="39"/>
      <c r="E1263" s="40"/>
      <c r="F1263" s="55" t="s">
        <v>13</v>
      </c>
      <c r="G1263" s="38" t="str">
        <f>IF(ISNUMBER(F1263),E1263*F1263,"")</f>
        <v/>
      </c>
      <c r="H1263" s="42"/>
      <c r="I1263" s="38"/>
      <c r="J1263" s="37">
        <v>0</v>
      </c>
    </row>
    <row r="1264" spans="1:10" hidden="1" x14ac:dyDescent="0.25">
      <c r="A1264" s="174"/>
      <c r="B1264" s="177"/>
      <c r="C1264" s="43" t="s">
        <v>10763</v>
      </c>
      <c r="D1264" s="43" t="s">
        <v>2800</v>
      </c>
      <c r="E1264" s="44">
        <v>0.28999999999999998</v>
      </c>
      <c r="F1264" s="38">
        <v>31.435500000000001</v>
      </c>
      <c r="G1264" s="38">
        <f>IF(ISNUMBER(F1264),E1264*F1264,"")</f>
        <v>9.1162949999999991</v>
      </c>
      <c r="H1264" s="46">
        <f>SUM(G1264:G1266)</f>
        <v>16.350924999999997</v>
      </c>
      <c r="I1264" s="47"/>
      <c r="J1264" s="37">
        <v>0</v>
      </c>
    </row>
    <row r="1265" spans="1:10" hidden="1" x14ac:dyDescent="0.25">
      <c r="A1265" s="174"/>
      <c r="B1265" s="177"/>
      <c r="C1265" s="43" t="s">
        <v>10762</v>
      </c>
      <c r="D1265" s="43" t="s">
        <v>2800</v>
      </c>
      <c r="E1265" s="44">
        <v>0.28999999999999998</v>
      </c>
      <c r="F1265" s="38">
        <v>24.946999999999999</v>
      </c>
      <c r="G1265" s="38">
        <f>IF(ISNUMBER(F1265),E1265*F1265,"")</f>
        <v>7.2346299999999992</v>
      </c>
      <c r="H1265" s="42"/>
      <c r="I1265" s="38"/>
      <c r="J1265" s="37">
        <v>0</v>
      </c>
    </row>
    <row r="1266" spans="1:10" ht="25.5" hidden="1" x14ac:dyDescent="0.25">
      <c r="A1266" s="174"/>
      <c r="B1266" s="177"/>
      <c r="C1266" s="43" t="s">
        <v>285</v>
      </c>
      <c r="D1266" s="43" t="s">
        <v>87</v>
      </c>
      <c r="E1266" s="44">
        <v>1</v>
      </c>
      <c r="F1266" s="41" t="s">
        <v>13</v>
      </c>
      <c r="G1266" s="38" t="str">
        <f>IF(ISNUMBER(F1266),E1266*F1266,"")</f>
        <v/>
      </c>
      <c r="H1266" s="42"/>
      <c r="I1266" s="38"/>
      <c r="J1266" s="37">
        <v>0</v>
      </c>
    </row>
    <row r="1267" spans="1:10" ht="15.75" hidden="1" thickBot="1" x14ac:dyDescent="0.3">
      <c r="A1267" s="175"/>
      <c r="B1267" s="178"/>
      <c r="C1267" s="49"/>
      <c r="D1267" s="49"/>
      <c r="E1267" s="50"/>
      <c r="F1267" s="51" t="s">
        <v>13</v>
      </c>
      <c r="G1267" s="51" t="str">
        <f>IF(ISNUMBER(F1267),E1267*F1267,"")</f>
        <v/>
      </c>
      <c r="H1267" s="53"/>
      <c r="I1267" s="38"/>
      <c r="J1267" s="37">
        <v>0</v>
      </c>
    </row>
    <row r="1268" spans="1:10" ht="15.75" hidden="1" thickBot="1" x14ac:dyDescent="0.3">
      <c r="A1268" s="173" t="s">
        <v>286</v>
      </c>
      <c r="B1268" s="176" t="s">
        <v>3224</v>
      </c>
      <c r="C1268" s="31"/>
      <c r="D1268" s="32" t="s">
        <v>18</v>
      </c>
      <c r="E1268" s="33"/>
      <c r="F1268" s="54" t="s">
        <v>13</v>
      </c>
      <c r="G1268" s="34" t="str">
        <f>IF(ISNUMBER(F1268),E1268*F1268,"")</f>
        <v/>
      </c>
      <c r="H1268" s="35"/>
      <c r="I1268" s="36"/>
      <c r="J1268" s="37">
        <v>0</v>
      </c>
    </row>
    <row r="1269" spans="1:10" hidden="1" x14ac:dyDescent="0.25">
      <c r="A1269" s="174"/>
      <c r="B1269" s="177"/>
      <c r="C1269" s="39"/>
      <c r="D1269" s="39"/>
      <c r="E1269" s="40"/>
      <c r="F1269" s="55" t="s">
        <v>13</v>
      </c>
      <c r="G1269" s="38" t="str">
        <f>IF(ISNUMBER(F1269),E1269*F1269,"")</f>
        <v/>
      </c>
      <c r="H1269" s="42"/>
      <c r="I1269" s="38"/>
      <c r="J1269" s="37">
        <v>0</v>
      </c>
    </row>
    <row r="1270" spans="1:10" ht="25.5" hidden="1" x14ac:dyDescent="0.25">
      <c r="A1270" s="174"/>
      <c r="B1270" s="177"/>
      <c r="C1270" s="43" t="s">
        <v>287</v>
      </c>
      <c r="D1270" s="62" t="s">
        <v>87</v>
      </c>
      <c r="E1270" s="44">
        <v>1</v>
      </c>
      <c r="F1270" s="41" t="s">
        <v>13</v>
      </c>
      <c r="G1270" s="41" t="str">
        <f>IF(ISNUMBER(F1270),E1270*F1270,"")</f>
        <v/>
      </c>
      <c r="H1270" s="46">
        <f>SUM(G1270:G1273)</f>
        <v>58.111499999999992</v>
      </c>
      <c r="I1270" s="47"/>
      <c r="J1270" s="37">
        <v>0</v>
      </c>
    </row>
    <row r="1271" spans="1:10" ht="38.25" hidden="1" x14ac:dyDescent="0.25">
      <c r="A1271" s="174"/>
      <c r="B1271" s="177"/>
      <c r="C1271" s="43" t="s">
        <v>10927</v>
      </c>
      <c r="D1271" s="43" t="s">
        <v>83</v>
      </c>
      <c r="E1271" s="44">
        <v>6</v>
      </c>
      <c r="F1271" s="41">
        <v>0.5605</v>
      </c>
      <c r="G1271" s="41">
        <f>IF(ISNUMBER(F1271),E1271*F1271,"")</f>
        <v>3.363</v>
      </c>
      <c r="H1271" s="42"/>
      <c r="I1271" s="38"/>
      <c r="J1271" s="37">
        <v>0</v>
      </c>
    </row>
    <row r="1272" spans="1:10" hidden="1" x14ac:dyDescent="0.25">
      <c r="A1272" s="174"/>
      <c r="B1272" s="177"/>
      <c r="C1272" s="43" t="s">
        <v>10757</v>
      </c>
      <c r="D1272" s="43" t="s">
        <v>2800</v>
      </c>
      <c r="E1272" s="44">
        <v>1</v>
      </c>
      <c r="F1272" s="38">
        <v>31.055499999999995</v>
      </c>
      <c r="G1272" s="41">
        <f>IF(ISNUMBER(F1272),E1272*F1272,"")</f>
        <v>31.055499999999995</v>
      </c>
      <c r="H1272" s="42"/>
      <c r="I1272" s="38"/>
      <c r="J1272" s="37">
        <v>0</v>
      </c>
    </row>
    <row r="1273" spans="1:10" hidden="1" x14ac:dyDescent="0.25">
      <c r="A1273" s="174"/>
      <c r="B1273" s="177"/>
      <c r="C1273" s="43" t="s">
        <v>10614</v>
      </c>
      <c r="D1273" s="43" t="s">
        <v>2800</v>
      </c>
      <c r="E1273" s="44">
        <v>1</v>
      </c>
      <c r="F1273" s="38">
        <v>23.693000000000001</v>
      </c>
      <c r="G1273" s="41">
        <f>IF(ISNUMBER(F1273),E1273*F1273,"")</f>
        <v>23.693000000000001</v>
      </c>
      <c r="H1273" s="42"/>
      <c r="I1273" s="38"/>
      <c r="J1273" s="37">
        <v>0</v>
      </c>
    </row>
    <row r="1274" spans="1:10" ht="15.75" hidden="1" thickBot="1" x14ac:dyDescent="0.3">
      <c r="A1274" s="175"/>
      <c r="B1274" s="178"/>
      <c r="C1274" s="49"/>
      <c r="D1274" s="49"/>
      <c r="E1274" s="50"/>
      <c r="F1274" s="51" t="s">
        <v>13</v>
      </c>
      <c r="G1274" s="51" t="str">
        <f>IF(ISNUMBER(F1274),E1274*F1274,"")</f>
        <v/>
      </c>
      <c r="H1274" s="53"/>
      <c r="I1274" s="38"/>
      <c r="J1274" s="37">
        <v>0</v>
      </c>
    </row>
    <row r="1275" spans="1:10" ht="15.75" hidden="1" thickBot="1" x14ac:dyDescent="0.3">
      <c r="A1275" s="173" t="s">
        <v>288</v>
      </c>
      <c r="B1275" s="176" t="s">
        <v>3225</v>
      </c>
      <c r="C1275" s="31"/>
      <c r="D1275" s="32" t="s">
        <v>18</v>
      </c>
      <c r="E1275" s="33"/>
      <c r="F1275" s="54" t="s">
        <v>13</v>
      </c>
      <c r="G1275" s="34" t="str">
        <f>IF(ISNUMBER(F1275),E1275*F1275,"")</f>
        <v/>
      </c>
      <c r="H1275" s="35"/>
      <c r="I1275" s="36"/>
      <c r="J1275" s="37">
        <v>0</v>
      </c>
    </row>
    <row r="1276" spans="1:10" hidden="1" x14ac:dyDescent="0.25">
      <c r="A1276" s="174"/>
      <c r="B1276" s="177"/>
      <c r="C1276" s="39"/>
      <c r="D1276" s="39"/>
      <c r="E1276" s="40"/>
      <c r="F1276" s="55" t="s">
        <v>13</v>
      </c>
      <c r="G1276" s="38" t="str">
        <f>IF(ISNUMBER(F1276),E1276*F1276,"")</f>
        <v/>
      </c>
      <c r="H1276" s="42"/>
      <c r="I1276" s="38"/>
      <c r="J1276" s="37">
        <v>0</v>
      </c>
    </row>
    <row r="1277" spans="1:10" ht="25.5" hidden="1" x14ac:dyDescent="0.25">
      <c r="A1277" s="174"/>
      <c r="B1277" s="177"/>
      <c r="C1277" s="43" t="s">
        <v>289</v>
      </c>
      <c r="D1277" s="62" t="s">
        <v>87</v>
      </c>
      <c r="E1277" s="44">
        <v>1</v>
      </c>
      <c r="F1277" s="41" t="s">
        <v>13</v>
      </c>
      <c r="G1277" s="41" t="str">
        <f>IF(ISNUMBER(F1277),E1277*F1277,"")</f>
        <v/>
      </c>
      <c r="H1277" s="46">
        <f>SUM(G1277:G1280)</f>
        <v>58.111499999999992</v>
      </c>
      <c r="I1277" s="47"/>
      <c r="J1277" s="37">
        <v>0</v>
      </c>
    </row>
    <row r="1278" spans="1:10" ht="38.25" hidden="1" x14ac:dyDescent="0.25">
      <c r="A1278" s="174"/>
      <c r="B1278" s="177"/>
      <c r="C1278" s="43" t="s">
        <v>10927</v>
      </c>
      <c r="D1278" s="43" t="s">
        <v>83</v>
      </c>
      <c r="E1278" s="44">
        <v>6</v>
      </c>
      <c r="F1278" s="41">
        <v>0.5605</v>
      </c>
      <c r="G1278" s="41">
        <f>IF(ISNUMBER(F1278),E1278*F1278,"")</f>
        <v>3.363</v>
      </c>
      <c r="H1278" s="42"/>
      <c r="I1278" s="38"/>
      <c r="J1278" s="37">
        <v>0</v>
      </c>
    </row>
    <row r="1279" spans="1:10" hidden="1" x14ac:dyDescent="0.25">
      <c r="A1279" s="174"/>
      <c r="B1279" s="177"/>
      <c r="C1279" s="43" t="s">
        <v>10757</v>
      </c>
      <c r="D1279" s="43" t="s">
        <v>2800</v>
      </c>
      <c r="E1279" s="44">
        <v>1</v>
      </c>
      <c r="F1279" s="38">
        <v>31.055499999999995</v>
      </c>
      <c r="G1279" s="41">
        <f>IF(ISNUMBER(F1279),E1279*F1279,"")</f>
        <v>31.055499999999995</v>
      </c>
      <c r="H1279" s="42"/>
      <c r="I1279" s="38"/>
      <c r="J1279" s="37">
        <v>0</v>
      </c>
    </row>
    <row r="1280" spans="1:10" hidden="1" x14ac:dyDescent="0.25">
      <c r="A1280" s="174"/>
      <c r="B1280" s="177"/>
      <c r="C1280" s="43" t="s">
        <v>10614</v>
      </c>
      <c r="D1280" s="43" t="s">
        <v>2800</v>
      </c>
      <c r="E1280" s="44">
        <v>1</v>
      </c>
      <c r="F1280" s="38">
        <v>23.693000000000001</v>
      </c>
      <c r="G1280" s="41">
        <f>IF(ISNUMBER(F1280),E1280*F1280,"")</f>
        <v>23.693000000000001</v>
      </c>
      <c r="H1280" s="42"/>
      <c r="I1280" s="38"/>
      <c r="J1280" s="37">
        <v>0</v>
      </c>
    </row>
    <row r="1281" spans="1:10" ht="15.75" hidden="1" thickBot="1" x14ac:dyDescent="0.3">
      <c r="A1281" s="175"/>
      <c r="B1281" s="178"/>
      <c r="C1281" s="49"/>
      <c r="D1281" s="49"/>
      <c r="E1281" s="50"/>
      <c r="F1281" s="51" t="s">
        <v>13</v>
      </c>
      <c r="G1281" s="51" t="str">
        <f>IF(ISNUMBER(F1281),E1281*F1281,"")</f>
        <v/>
      </c>
      <c r="H1281" s="53"/>
      <c r="I1281" s="38"/>
      <c r="J1281" s="37">
        <v>0</v>
      </c>
    </row>
    <row r="1282" spans="1:10" ht="15.75" hidden="1" thickBot="1" x14ac:dyDescent="0.3">
      <c r="A1282" s="173" t="s">
        <v>290</v>
      </c>
      <c r="B1282" s="176" t="s">
        <v>3226</v>
      </c>
      <c r="C1282" s="31"/>
      <c r="D1282" s="32" t="s">
        <v>18</v>
      </c>
      <c r="E1282" s="33"/>
      <c r="F1282" s="54" t="s">
        <v>13</v>
      </c>
      <c r="G1282" s="34" t="str">
        <f>IF(ISNUMBER(F1282),E1282*F1282,"")</f>
        <v/>
      </c>
      <c r="H1282" s="35"/>
      <c r="I1282" s="36"/>
      <c r="J1282" s="37">
        <v>0</v>
      </c>
    </row>
    <row r="1283" spans="1:10" hidden="1" x14ac:dyDescent="0.25">
      <c r="A1283" s="174"/>
      <c r="B1283" s="177"/>
      <c r="C1283" s="39"/>
      <c r="D1283" s="39"/>
      <c r="E1283" s="40"/>
      <c r="F1283" s="55" t="s">
        <v>13</v>
      </c>
      <c r="G1283" s="38" t="str">
        <f>IF(ISNUMBER(F1283),E1283*F1283,"")</f>
        <v/>
      </c>
      <c r="H1283" s="42"/>
      <c r="I1283" s="38"/>
      <c r="J1283" s="37">
        <v>0</v>
      </c>
    </row>
    <row r="1284" spans="1:10" ht="25.5" hidden="1" x14ac:dyDescent="0.25">
      <c r="A1284" s="174"/>
      <c r="B1284" s="177"/>
      <c r="C1284" s="43" t="s">
        <v>291</v>
      </c>
      <c r="D1284" s="62" t="s">
        <v>87</v>
      </c>
      <c r="E1284" s="44">
        <v>1</v>
      </c>
      <c r="F1284" s="41" t="s">
        <v>13</v>
      </c>
      <c r="G1284" s="41" t="str">
        <f>IF(ISNUMBER(F1284),E1284*F1284,"")</f>
        <v/>
      </c>
      <c r="H1284" s="46">
        <f>SUM(G1284:G1287)</f>
        <v>58.111499999999992</v>
      </c>
      <c r="I1284" s="47"/>
      <c r="J1284" s="37">
        <v>0</v>
      </c>
    </row>
    <row r="1285" spans="1:10" ht="38.25" hidden="1" x14ac:dyDescent="0.25">
      <c r="A1285" s="174"/>
      <c r="B1285" s="177"/>
      <c r="C1285" s="43" t="s">
        <v>10927</v>
      </c>
      <c r="D1285" s="43" t="s">
        <v>83</v>
      </c>
      <c r="E1285" s="44">
        <v>6</v>
      </c>
      <c r="F1285" s="41">
        <v>0.5605</v>
      </c>
      <c r="G1285" s="41">
        <f>IF(ISNUMBER(F1285),E1285*F1285,"")</f>
        <v>3.363</v>
      </c>
      <c r="H1285" s="42"/>
      <c r="I1285" s="38"/>
      <c r="J1285" s="37">
        <v>0</v>
      </c>
    </row>
    <row r="1286" spans="1:10" hidden="1" x14ac:dyDescent="0.25">
      <c r="A1286" s="174"/>
      <c r="B1286" s="177"/>
      <c r="C1286" s="43" t="s">
        <v>10757</v>
      </c>
      <c r="D1286" s="43" t="s">
        <v>2800</v>
      </c>
      <c r="E1286" s="44">
        <v>1</v>
      </c>
      <c r="F1286" s="38">
        <v>31.055499999999995</v>
      </c>
      <c r="G1286" s="41">
        <f>IF(ISNUMBER(F1286),E1286*F1286,"")</f>
        <v>31.055499999999995</v>
      </c>
      <c r="H1286" s="42"/>
      <c r="I1286" s="38"/>
      <c r="J1286" s="37">
        <v>0</v>
      </c>
    </row>
    <row r="1287" spans="1:10" hidden="1" x14ac:dyDescent="0.25">
      <c r="A1287" s="174"/>
      <c r="B1287" s="177"/>
      <c r="C1287" s="43" t="s">
        <v>10614</v>
      </c>
      <c r="D1287" s="43" t="s">
        <v>2800</v>
      </c>
      <c r="E1287" s="44">
        <v>1</v>
      </c>
      <c r="F1287" s="38">
        <v>23.693000000000001</v>
      </c>
      <c r="G1287" s="41">
        <f>IF(ISNUMBER(F1287),E1287*F1287,"")</f>
        <v>23.693000000000001</v>
      </c>
      <c r="H1287" s="42"/>
      <c r="I1287" s="38"/>
      <c r="J1287" s="37">
        <v>0</v>
      </c>
    </row>
    <row r="1288" spans="1:10" ht="15.75" hidden="1" thickBot="1" x14ac:dyDescent="0.3">
      <c r="A1288" s="175"/>
      <c r="B1288" s="178"/>
      <c r="C1288" s="49"/>
      <c r="D1288" s="49"/>
      <c r="E1288" s="50"/>
      <c r="F1288" s="51" t="s">
        <v>13</v>
      </c>
      <c r="G1288" s="51" t="str">
        <f>IF(ISNUMBER(F1288),E1288*F1288,"")</f>
        <v/>
      </c>
      <c r="H1288" s="53"/>
      <c r="I1288" s="38"/>
      <c r="J1288" s="37">
        <v>0</v>
      </c>
    </row>
    <row r="1289" spans="1:10" ht="15.75" hidden="1" thickBot="1" x14ac:dyDescent="0.3">
      <c r="A1289" s="173" t="s">
        <v>292</v>
      </c>
      <c r="B1289" s="176" t="s">
        <v>3227</v>
      </c>
      <c r="C1289" s="31"/>
      <c r="D1289" s="32" t="s">
        <v>18</v>
      </c>
      <c r="E1289" s="33"/>
      <c r="F1289" s="54" t="s">
        <v>13</v>
      </c>
      <c r="G1289" s="34" t="str">
        <f>IF(ISNUMBER(F1289),E1289*F1289,"")</f>
        <v/>
      </c>
      <c r="H1289" s="35"/>
      <c r="I1289" s="36"/>
      <c r="J1289" s="37">
        <v>0</v>
      </c>
    </row>
    <row r="1290" spans="1:10" hidden="1" x14ac:dyDescent="0.25">
      <c r="A1290" s="174"/>
      <c r="B1290" s="177"/>
      <c r="C1290" s="39"/>
      <c r="D1290" s="39"/>
      <c r="E1290" s="40"/>
      <c r="F1290" s="55" t="s">
        <v>13</v>
      </c>
      <c r="G1290" s="38" t="str">
        <f>IF(ISNUMBER(F1290),E1290*F1290,"")</f>
        <v/>
      </c>
      <c r="H1290" s="42"/>
      <c r="I1290" s="38"/>
      <c r="J1290" s="37">
        <v>0</v>
      </c>
    </row>
    <row r="1291" spans="1:10" hidden="1" x14ac:dyDescent="0.25">
      <c r="A1291" s="174"/>
      <c r="B1291" s="177"/>
      <c r="C1291" s="43" t="s">
        <v>10757</v>
      </c>
      <c r="D1291" s="43" t="s">
        <v>2800</v>
      </c>
      <c r="E1291" s="44">
        <v>1</v>
      </c>
      <c r="F1291" s="38">
        <v>31.055499999999995</v>
      </c>
      <c r="G1291" s="41">
        <f>IF(ISNUMBER(F1291),E1291*F1291,"")</f>
        <v>31.055499999999995</v>
      </c>
      <c r="H1291" s="46">
        <f>SUM(G1291:G1294)</f>
        <v>58.111499999999992</v>
      </c>
      <c r="I1291" s="47"/>
      <c r="J1291" s="37">
        <v>0</v>
      </c>
    </row>
    <row r="1292" spans="1:10" hidden="1" x14ac:dyDescent="0.25">
      <c r="A1292" s="174"/>
      <c r="B1292" s="177"/>
      <c r="C1292" s="43" t="s">
        <v>10614</v>
      </c>
      <c r="D1292" s="43" t="s">
        <v>2800</v>
      </c>
      <c r="E1292" s="44">
        <v>1</v>
      </c>
      <c r="F1292" s="38">
        <v>23.693000000000001</v>
      </c>
      <c r="G1292" s="41">
        <f>IF(ISNUMBER(F1292),E1292*F1292,"")</f>
        <v>23.693000000000001</v>
      </c>
      <c r="H1292" s="42"/>
      <c r="I1292" s="38"/>
      <c r="J1292" s="37">
        <v>0</v>
      </c>
    </row>
    <row r="1293" spans="1:10" ht="25.5" hidden="1" x14ac:dyDescent="0.25">
      <c r="A1293" s="174"/>
      <c r="B1293" s="177"/>
      <c r="C1293" s="43" t="s">
        <v>293</v>
      </c>
      <c r="D1293" s="43" t="s">
        <v>18</v>
      </c>
      <c r="E1293" s="44">
        <v>1</v>
      </c>
      <c r="F1293" s="41" t="s">
        <v>13</v>
      </c>
      <c r="G1293" s="38" t="str">
        <f>IF(ISNUMBER(F1293),E1293*F1293,"")</f>
        <v/>
      </c>
      <c r="H1293" s="42"/>
      <c r="I1293" s="38"/>
      <c r="J1293" s="37">
        <v>0</v>
      </c>
    </row>
    <row r="1294" spans="1:10" ht="38.25" hidden="1" x14ac:dyDescent="0.25">
      <c r="A1294" s="174"/>
      <c r="B1294" s="177"/>
      <c r="C1294" s="43" t="s">
        <v>10927</v>
      </c>
      <c r="D1294" s="43" t="s">
        <v>83</v>
      </c>
      <c r="E1294" s="44">
        <v>6</v>
      </c>
      <c r="F1294" s="41">
        <v>0.5605</v>
      </c>
      <c r="G1294" s="41">
        <f>IF(ISNUMBER(F1294),E1294*F1294,"")</f>
        <v>3.363</v>
      </c>
      <c r="H1294" s="42"/>
      <c r="I1294" s="38"/>
      <c r="J1294" s="37">
        <v>0</v>
      </c>
    </row>
    <row r="1295" spans="1:10" ht="15.75" hidden="1" thickBot="1" x14ac:dyDescent="0.3">
      <c r="A1295" s="175"/>
      <c r="B1295" s="178"/>
      <c r="C1295" s="49"/>
      <c r="D1295" s="49"/>
      <c r="E1295" s="50"/>
      <c r="F1295" s="51" t="s">
        <v>13</v>
      </c>
      <c r="G1295" s="51" t="str">
        <f>IF(ISNUMBER(F1295),E1295*F1295,"")</f>
        <v/>
      </c>
      <c r="H1295" s="53"/>
      <c r="I1295" s="38"/>
      <c r="J1295" s="37">
        <v>0</v>
      </c>
    </row>
    <row r="1296" spans="1:10" ht="15.75" hidden="1" thickBot="1" x14ac:dyDescent="0.3">
      <c r="A1296" s="173" t="s">
        <v>294</v>
      </c>
      <c r="B1296" s="176" t="s">
        <v>3228</v>
      </c>
      <c r="C1296" s="31"/>
      <c r="D1296" s="32" t="s">
        <v>18</v>
      </c>
      <c r="E1296" s="33"/>
      <c r="F1296" s="54" t="s">
        <v>13</v>
      </c>
      <c r="G1296" s="34" t="str">
        <f>IF(ISNUMBER(F1296),E1296*F1296,"")</f>
        <v/>
      </c>
      <c r="H1296" s="35"/>
      <c r="I1296" s="36"/>
      <c r="J1296" s="37">
        <v>0</v>
      </c>
    </row>
    <row r="1297" spans="1:10" hidden="1" x14ac:dyDescent="0.25">
      <c r="A1297" s="174"/>
      <c r="B1297" s="177"/>
      <c r="C1297" s="39"/>
      <c r="D1297" s="39"/>
      <c r="E1297" s="40"/>
      <c r="F1297" s="55" t="s">
        <v>13</v>
      </c>
      <c r="G1297" s="38" t="str">
        <f>IF(ISNUMBER(F1297),E1297*F1297,"")</f>
        <v/>
      </c>
      <c r="H1297" s="42"/>
      <c r="I1297" s="38"/>
      <c r="J1297" s="37">
        <v>0</v>
      </c>
    </row>
    <row r="1298" spans="1:10" ht="25.5" hidden="1" x14ac:dyDescent="0.25">
      <c r="A1298" s="174"/>
      <c r="B1298" s="177"/>
      <c r="C1298" s="43" t="s">
        <v>295</v>
      </c>
      <c r="D1298" s="62" t="s">
        <v>87</v>
      </c>
      <c r="E1298" s="44">
        <v>1</v>
      </c>
      <c r="F1298" s="41" t="s">
        <v>13</v>
      </c>
      <c r="G1298" s="41" t="str">
        <f>IF(ISNUMBER(F1298),E1298*F1298,"")</f>
        <v/>
      </c>
      <c r="H1298" s="46">
        <f>SUM(G1298:G1302)</f>
        <v>47.65730099999999</v>
      </c>
      <c r="I1298" s="47"/>
      <c r="J1298" s="37">
        <v>0</v>
      </c>
    </row>
    <row r="1299" spans="1:10" ht="38.25" hidden="1" x14ac:dyDescent="0.25">
      <c r="A1299" s="174"/>
      <c r="B1299" s="177"/>
      <c r="C1299" s="43" t="s">
        <v>10915</v>
      </c>
      <c r="D1299" s="43" t="s">
        <v>83</v>
      </c>
      <c r="E1299" s="44">
        <v>2</v>
      </c>
      <c r="F1299" s="41">
        <v>14.629999999999999</v>
      </c>
      <c r="G1299" s="41">
        <f>IF(ISNUMBER(F1299),E1299*F1299,"")</f>
        <v>29.259999999999998</v>
      </c>
      <c r="H1299" s="42"/>
      <c r="I1299" s="38"/>
      <c r="J1299" s="37">
        <v>0</v>
      </c>
    </row>
    <row r="1300" spans="1:10" hidden="1" x14ac:dyDescent="0.25">
      <c r="A1300" s="174"/>
      <c r="B1300" s="177"/>
      <c r="C1300" s="43" t="s">
        <v>10877</v>
      </c>
      <c r="D1300" s="43" t="s">
        <v>1044</v>
      </c>
      <c r="E1300" s="44">
        <v>3.04E-2</v>
      </c>
      <c r="F1300" s="41">
        <v>71.667999999999992</v>
      </c>
      <c r="G1300" s="41">
        <f>IF(ISNUMBER(F1300),E1300*F1300,"")</f>
        <v>2.1787071999999998</v>
      </c>
      <c r="H1300" s="42"/>
      <c r="I1300" s="38"/>
      <c r="J1300" s="37">
        <v>0</v>
      </c>
    </row>
    <row r="1301" spans="1:10" ht="25.5" hidden="1" x14ac:dyDescent="0.25">
      <c r="A1301" s="174"/>
      <c r="B1301" s="177"/>
      <c r="C1301" s="43" t="s">
        <v>10754</v>
      </c>
      <c r="D1301" s="43" t="s">
        <v>2800</v>
      </c>
      <c r="E1301" s="44">
        <v>0.38700000000000001</v>
      </c>
      <c r="F1301" s="38">
        <v>30.361999999999998</v>
      </c>
      <c r="G1301" s="41">
        <f>IF(ISNUMBER(F1301),E1301*F1301,"")</f>
        <v>11.750093999999999</v>
      </c>
      <c r="H1301" s="42"/>
      <c r="I1301" s="38"/>
      <c r="J1301" s="37">
        <v>0</v>
      </c>
    </row>
    <row r="1302" spans="1:10" hidden="1" x14ac:dyDescent="0.25">
      <c r="A1302" s="174"/>
      <c r="B1302" s="177"/>
      <c r="C1302" s="43" t="s">
        <v>10614</v>
      </c>
      <c r="D1302" s="43" t="s">
        <v>2800</v>
      </c>
      <c r="E1302" s="44">
        <v>0.18859999999999999</v>
      </c>
      <c r="F1302" s="38">
        <v>23.693000000000001</v>
      </c>
      <c r="G1302" s="41">
        <f>IF(ISNUMBER(F1302),E1302*F1302,"")</f>
        <v>4.4684998</v>
      </c>
      <c r="H1302" s="42"/>
      <c r="I1302" s="38"/>
      <c r="J1302" s="37">
        <v>0</v>
      </c>
    </row>
    <row r="1303" spans="1:10" ht="15.75" hidden="1" thickBot="1" x14ac:dyDescent="0.3">
      <c r="A1303" s="175"/>
      <c r="B1303" s="178"/>
      <c r="C1303" s="49"/>
      <c r="D1303" s="49"/>
      <c r="E1303" s="50"/>
      <c r="F1303" s="51" t="s">
        <v>13</v>
      </c>
      <c r="G1303" s="51" t="str">
        <f>IF(ISNUMBER(F1303),E1303*F1303,"")</f>
        <v/>
      </c>
      <c r="H1303" s="53"/>
      <c r="I1303" s="38"/>
      <c r="J1303" s="37">
        <v>0</v>
      </c>
    </row>
    <row r="1304" spans="1:10" ht="15.75" hidden="1" thickBot="1" x14ac:dyDescent="0.3">
      <c r="A1304" s="173" t="s">
        <v>296</v>
      </c>
      <c r="B1304" s="176" t="s">
        <v>3229</v>
      </c>
      <c r="C1304" s="31"/>
      <c r="D1304" s="32" t="s">
        <v>18</v>
      </c>
      <c r="E1304" s="33"/>
      <c r="F1304" s="54" t="s">
        <v>13</v>
      </c>
      <c r="G1304" s="34" t="str">
        <f>IF(ISNUMBER(F1304),E1304*F1304,"")</f>
        <v/>
      </c>
      <c r="H1304" s="35"/>
      <c r="I1304" s="36"/>
      <c r="J1304" s="37">
        <v>0</v>
      </c>
    </row>
    <row r="1305" spans="1:10" hidden="1" x14ac:dyDescent="0.25">
      <c r="A1305" s="174"/>
      <c r="B1305" s="177"/>
      <c r="C1305" s="39"/>
      <c r="D1305" s="39"/>
      <c r="E1305" s="40"/>
      <c r="F1305" s="55" t="s">
        <v>13</v>
      </c>
      <c r="G1305" s="38" t="str">
        <f>IF(ISNUMBER(F1305),E1305*F1305,"")</f>
        <v/>
      </c>
      <c r="H1305" s="42"/>
      <c r="I1305" s="38"/>
      <c r="J1305" s="37">
        <v>0</v>
      </c>
    </row>
    <row r="1306" spans="1:10" ht="25.5" hidden="1" x14ac:dyDescent="0.25">
      <c r="A1306" s="174"/>
      <c r="B1306" s="177"/>
      <c r="C1306" s="43" t="s">
        <v>10754</v>
      </c>
      <c r="D1306" s="43" t="s">
        <v>2800</v>
      </c>
      <c r="E1306" s="44">
        <v>1.4666999999999999</v>
      </c>
      <c r="F1306" s="38">
        <v>30.361999999999998</v>
      </c>
      <c r="G1306" s="41">
        <f>IF(ISNUMBER(F1306),E1306*F1306,"")</f>
        <v>44.531945399999991</v>
      </c>
      <c r="H1306" s="46">
        <f>SUM(G1306:G1311)</f>
        <v>153.95912229999999</v>
      </c>
      <c r="I1306" s="47"/>
      <c r="J1306" s="37">
        <v>0</v>
      </c>
    </row>
    <row r="1307" spans="1:10" hidden="1" x14ac:dyDescent="0.25">
      <c r="A1307" s="174"/>
      <c r="B1307" s="177"/>
      <c r="C1307" s="43" t="s">
        <v>10614</v>
      </c>
      <c r="D1307" s="43" t="s">
        <v>2800</v>
      </c>
      <c r="E1307" s="44">
        <v>0.65169999999999995</v>
      </c>
      <c r="F1307" s="38">
        <v>23.693000000000001</v>
      </c>
      <c r="G1307" s="41">
        <f>IF(ISNUMBER(F1307),E1307*F1307,"")</f>
        <v>15.440728099999999</v>
      </c>
      <c r="H1307" s="42"/>
      <c r="I1307" s="38"/>
      <c r="J1307" s="37">
        <v>0</v>
      </c>
    </row>
    <row r="1308" spans="1:10" ht="25.5" hidden="1" x14ac:dyDescent="0.25">
      <c r="A1308" s="174"/>
      <c r="B1308" s="177"/>
      <c r="C1308" s="43" t="s">
        <v>295</v>
      </c>
      <c r="D1308" s="62" t="s">
        <v>87</v>
      </c>
      <c r="E1308" s="44">
        <v>1</v>
      </c>
      <c r="F1308" s="41" t="s">
        <v>13</v>
      </c>
      <c r="G1308" s="41" t="str">
        <f>IF(ISNUMBER(F1308),E1308*F1308,"")</f>
        <v/>
      </c>
      <c r="H1308" s="42"/>
      <c r="I1308" s="38"/>
      <c r="J1308" s="37">
        <v>0</v>
      </c>
    </row>
    <row r="1309" spans="1:10" ht="38.25" hidden="1" x14ac:dyDescent="0.25">
      <c r="A1309" s="174"/>
      <c r="B1309" s="177"/>
      <c r="C1309" s="43" t="s">
        <v>10915</v>
      </c>
      <c r="D1309" s="43" t="s">
        <v>83</v>
      </c>
      <c r="E1309" s="44">
        <v>6</v>
      </c>
      <c r="F1309" s="41">
        <v>14.629999999999999</v>
      </c>
      <c r="G1309" s="41">
        <f>IF(ISNUMBER(F1309),E1309*F1309,"")</f>
        <v>87.78</v>
      </c>
      <c r="H1309" s="42"/>
      <c r="I1309" s="38"/>
      <c r="J1309" s="37">
        <v>0</v>
      </c>
    </row>
    <row r="1310" spans="1:10" hidden="1" x14ac:dyDescent="0.25">
      <c r="A1310" s="174"/>
      <c r="B1310" s="177"/>
      <c r="C1310" s="43" t="s">
        <v>10877</v>
      </c>
      <c r="D1310" s="43" t="s">
        <v>1044</v>
      </c>
      <c r="E1310" s="44">
        <v>8.6599999999999996E-2</v>
      </c>
      <c r="F1310" s="41">
        <v>71.667999999999992</v>
      </c>
      <c r="G1310" s="41">
        <f>IF(ISNUMBER(F1310),E1310*F1310,"")</f>
        <v>6.2064487999999987</v>
      </c>
      <c r="H1310" s="42"/>
      <c r="I1310" s="38"/>
      <c r="J1310" s="37">
        <v>0</v>
      </c>
    </row>
    <row r="1311" spans="1:10" ht="25.5" hidden="1" x14ac:dyDescent="0.25">
      <c r="A1311" s="174"/>
      <c r="B1311" s="177"/>
      <c r="C1311" s="43" t="s">
        <v>297</v>
      </c>
      <c r="D1311" s="43" t="s">
        <v>18</v>
      </c>
      <c r="E1311" s="44">
        <v>1</v>
      </c>
      <c r="F1311" s="41" t="s">
        <v>13</v>
      </c>
      <c r="G1311" s="38" t="str">
        <f>IF(ISNUMBER(F1311),E1311*F1311,"")</f>
        <v/>
      </c>
      <c r="H1311" s="42"/>
      <c r="I1311" s="38"/>
      <c r="J1311" s="37">
        <v>0</v>
      </c>
    </row>
    <row r="1312" spans="1:10" ht="15.75" hidden="1" thickBot="1" x14ac:dyDescent="0.3">
      <c r="A1312" s="175"/>
      <c r="B1312" s="178"/>
      <c r="C1312" s="49"/>
      <c r="D1312" s="49"/>
      <c r="E1312" s="50"/>
      <c r="F1312" s="52" t="s">
        <v>13</v>
      </c>
      <c r="G1312" s="51" t="str">
        <f>IF(ISNUMBER(F1312),E1312*F1312,"")</f>
        <v/>
      </c>
      <c r="H1312" s="53"/>
      <c r="I1312" s="38"/>
      <c r="J1312" s="37">
        <v>0</v>
      </c>
    </row>
    <row r="1313" spans="1:10" ht="15.75" hidden="1" thickBot="1" x14ac:dyDescent="0.3">
      <c r="A1313" s="173" t="s">
        <v>298</v>
      </c>
      <c r="B1313" s="176" t="s">
        <v>3230</v>
      </c>
      <c r="C1313" s="31"/>
      <c r="D1313" s="32" t="s">
        <v>18</v>
      </c>
      <c r="E1313" s="33"/>
      <c r="F1313" s="54" t="s">
        <v>13</v>
      </c>
      <c r="G1313" s="34" t="str">
        <f>IF(ISNUMBER(F1313),E1313*F1313,"")</f>
        <v/>
      </c>
      <c r="H1313" s="35"/>
      <c r="I1313" s="36"/>
      <c r="J1313" s="37">
        <v>0</v>
      </c>
    </row>
    <row r="1314" spans="1:10" hidden="1" x14ac:dyDescent="0.25">
      <c r="A1314" s="174"/>
      <c r="B1314" s="177"/>
      <c r="C1314" s="39"/>
      <c r="D1314" s="39"/>
      <c r="E1314" s="40"/>
      <c r="F1314" s="55" t="s">
        <v>13</v>
      </c>
      <c r="G1314" s="38" t="str">
        <f>IF(ISNUMBER(F1314),E1314*F1314,"")</f>
        <v/>
      </c>
      <c r="H1314" s="42"/>
      <c r="I1314" s="38"/>
      <c r="J1314" s="37">
        <v>0</v>
      </c>
    </row>
    <row r="1315" spans="1:10" hidden="1" x14ac:dyDescent="0.25">
      <c r="A1315" s="174"/>
      <c r="B1315" s="177"/>
      <c r="C1315" s="43" t="s">
        <v>299</v>
      </c>
      <c r="D1315" s="62" t="s">
        <v>87</v>
      </c>
      <c r="E1315" s="44">
        <v>1</v>
      </c>
      <c r="F1315" s="41" t="s">
        <v>13</v>
      </c>
      <c r="G1315" s="41" t="str">
        <f>IF(ISNUMBER(F1315),E1315*F1315,"")</f>
        <v/>
      </c>
      <c r="H1315" s="46">
        <f>SUM(G1315:G1317)</f>
        <v>11.960287199999998</v>
      </c>
      <c r="I1315" s="47"/>
      <c r="J1315" s="37">
        <v>0</v>
      </c>
    </row>
    <row r="1316" spans="1:10" ht="25.5" hidden="1" x14ac:dyDescent="0.25">
      <c r="A1316" s="174"/>
      <c r="B1316" s="177"/>
      <c r="C1316" s="43" t="s">
        <v>10754</v>
      </c>
      <c r="D1316" s="43" t="s">
        <v>2800</v>
      </c>
      <c r="E1316" s="44">
        <v>0.31619999999999998</v>
      </c>
      <c r="F1316" s="38">
        <v>30.361999999999998</v>
      </c>
      <c r="G1316" s="41">
        <f>IF(ISNUMBER(F1316),E1316*F1316,"")</f>
        <v>9.6004643999999981</v>
      </c>
      <c r="H1316" s="42"/>
      <c r="I1316" s="38"/>
      <c r="J1316" s="37">
        <v>0</v>
      </c>
    </row>
    <row r="1317" spans="1:10" hidden="1" x14ac:dyDescent="0.25">
      <c r="A1317" s="174"/>
      <c r="B1317" s="177"/>
      <c r="C1317" s="43" t="s">
        <v>10614</v>
      </c>
      <c r="D1317" s="43" t="s">
        <v>2800</v>
      </c>
      <c r="E1317" s="44">
        <v>9.9599999999999994E-2</v>
      </c>
      <c r="F1317" s="38">
        <v>23.693000000000001</v>
      </c>
      <c r="G1317" s="41">
        <f>IF(ISNUMBER(F1317),E1317*F1317,"")</f>
        <v>2.3598227999999999</v>
      </c>
      <c r="H1317" s="42"/>
      <c r="I1317" s="38"/>
      <c r="J1317" s="37">
        <v>0</v>
      </c>
    </row>
    <row r="1318" spans="1:10" ht="15.75" hidden="1" thickBot="1" x14ac:dyDescent="0.3">
      <c r="A1318" s="175"/>
      <c r="B1318" s="178"/>
      <c r="C1318" s="49"/>
      <c r="D1318" s="49"/>
      <c r="E1318" s="50"/>
      <c r="F1318" s="51" t="s">
        <v>13</v>
      </c>
      <c r="G1318" s="51" t="str">
        <f>IF(ISNUMBER(F1318),E1318*F1318,"")</f>
        <v/>
      </c>
      <c r="H1318" s="53"/>
      <c r="I1318" s="38"/>
      <c r="J1318" s="37">
        <v>0</v>
      </c>
    </row>
    <row r="1319" spans="1:10" ht="15.75" hidden="1" thickBot="1" x14ac:dyDescent="0.3">
      <c r="A1319" s="173" t="s">
        <v>300</v>
      </c>
      <c r="B1319" s="176" t="s">
        <v>3231</v>
      </c>
      <c r="C1319" s="31"/>
      <c r="D1319" s="32" t="s">
        <v>18</v>
      </c>
      <c r="E1319" s="33"/>
      <c r="F1319" s="54" t="s">
        <v>13</v>
      </c>
      <c r="G1319" s="34" t="str">
        <f>IF(ISNUMBER(F1319),E1319*F1319,"")</f>
        <v/>
      </c>
      <c r="H1319" s="35"/>
      <c r="I1319" s="36"/>
      <c r="J1319" s="37">
        <v>0</v>
      </c>
    </row>
    <row r="1320" spans="1:10" hidden="1" x14ac:dyDescent="0.25">
      <c r="A1320" s="174"/>
      <c r="B1320" s="177"/>
      <c r="C1320" s="39"/>
      <c r="D1320" s="39"/>
      <c r="E1320" s="40"/>
      <c r="F1320" s="55" t="s">
        <v>13</v>
      </c>
      <c r="G1320" s="38" t="str">
        <f>IF(ISNUMBER(F1320),E1320*F1320,"")</f>
        <v/>
      </c>
      <c r="H1320" s="42"/>
      <c r="I1320" s="38"/>
      <c r="J1320" s="37">
        <v>0</v>
      </c>
    </row>
    <row r="1321" spans="1:10" hidden="1" x14ac:dyDescent="0.25">
      <c r="A1321" s="174"/>
      <c r="B1321" s="177"/>
      <c r="C1321" s="43" t="s">
        <v>301</v>
      </c>
      <c r="D1321" s="62" t="s">
        <v>87</v>
      </c>
      <c r="E1321" s="44">
        <v>1</v>
      </c>
      <c r="F1321" s="41" t="s">
        <v>13</v>
      </c>
      <c r="G1321" s="41" t="str">
        <f>IF(ISNUMBER(F1321),E1321*F1321,"")</f>
        <v/>
      </c>
      <c r="H1321" s="46">
        <f>SUM(G1321:G1323)</f>
        <v>11.960287199999998</v>
      </c>
      <c r="I1321" s="47"/>
      <c r="J1321" s="37">
        <v>0</v>
      </c>
    </row>
    <row r="1322" spans="1:10" ht="25.5" hidden="1" x14ac:dyDescent="0.25">
      <c r="A1322" s="174"/>
      <c r="B1322" s="177"/>
      <c r="C1322" s="43" t="s">
        <v>10754</v>
      </c>
      <c r="D1322" s="43" t="s">
        <v>2800</v>
      </c>
      <c r="E1322" s="44">
        <v>0.31619999999999998</v>
      </c>
      <c r="F1322" s="38">
        <v>30.361999999999998</v>
      </c>
      <c r="G1322" s="41">
        <f>IF(ISNUMBER(F1322),E1322*F1322,"")</f>
        <v>9.6004643999999981</v>
      </c>
      <c r="H1322" s="42"/>
      <c r="I1322" s="38"/>
      <c r="J1322" s="37">
        <v>0</v>
      </c>
    </row>
    <row r="1323" spans="1:10" hidden="1" x14ac:dyDescent="0.25">
      <c r="A1323" s="174"/>
      <c r="B1323" s="177"/>
      <c r="C1323" s="43" t="s">
        <v>10614</v>
      </c>
      <c r="D1323" s="43" t="s">
        <v>2800</v>
      </c>
      <c r="E1323" s="44">
        <v>9.9599999999999994E-2</v>
      </c>
      <c r="F1323" s="38">
        <v>23.693000000000001</v>
      </c>
      <c r="G1323" s="41">
        <f>IF(ISNUMBER(F1323),E1323*F1323,"")</f>
        <v>2.3598227999999999</v>
      </c>
      <c r="H1323" s="42"/>
      <c r="I1323" s="38"/>
      <c r="J1323" s="37">
        <v>0</v>
      </c>
    </row>
    <row r="1324" spans="1:10" ht="15.75" hidden="1" thickBot="1" x14ac:dyDescent="0.3">
      <c r="A1324" s="175"/>
      <c r="B1324" s="178"/>
      <c r="C1324" s="49"/>
      <c r="D1324" s="49"/>
      <c r="E1324" s="50"/>
      <c r="F1324" s="51" t="s">
        <v>13</v>
      </c>
      <c r="G1324" s="51" t="str">
        <f>IF(ISNUMBER(F1324),E1324*F1324,"")</f>
        <v/>
      </c>
      <c r="H1324" s="53"/>
      <c r="I1324" s="38"/>
      <c r="J1324" s="37">
        <v>0</v>
      </c>
    </row>
    <row r="1325" spans="1:10" ht="15.75" hidden="1" thickBot="1" x14ac:dyDescent="0.3">
      <c r="A1325" s="173" t="s">
        <v>302</v>
      </c>
      <c r="B1325" s="176" t="s">
        <v>3232</v>
      </c>
      <c r="C1325" s="31"/>
      <c r="D1325" s="32" t="s">
        <v>18</v>
      </c>
      <c r="E1325" s="33"/>
      <c r="F1325" s="54" t="s">
        <v>13</v>
      </c>
      <c r="G1325" s="34" t="str">
        <f>IF(ISNUMBER(F1325),E1325*F1325,"")</f>
        <v/>
      </c>
      <c r="H1325" s="35"/>
      <c r="I1325" s="36"/>
      <c r="J1325" s="37">
        <v>0</v>
      </c>
    </row>
    <row r="1326" spans="1:10" hidden="1" x14ac:dyDescent="0.25">
      <c r="A1326" s="174"/>
      <c r="B1326" s="177"/>
      <c r="C1326" s="39"/>
      <c r="D1326" s="39"/>
      <c r="E1326" s="40"/>
      <c r="F1326" s="55" t="s">
        <v>13</v>
      </c>
      <c r="G1326" s="38" t="str">
        <f>IF(ISNUMBER(F1326),E1326*F1326,"")</f>
        <v/>
      </c>
      <c r="H1326" s="42"/>
      <c r="I1326" s="38"/>
      <c r="J1326" s="37">
        <v>0</v>
      </c>
    </row>
    <row r="1327" spans="1:10" ht="25.5" hidden="1" x14ac:dyDescent="0.25">
      <c r="A1327" s="174"/>
      <c r="B1327" s="177"/>
      <c r="C1327" s="43" t="s">
        <v>303</v>
      </c>
      <c r="D1327" s="62" t="s">
        <v>87</v>
      </c>
      <c r="E1327" s="44">
        <v>1</v>
      </c>
      <c r="F1327" s="41" t="s">
        <v>13</v>
      </c>
      <c r="G1327" s="41" t="str">
        <f>IF(ISNUMBER(F1327),E1327*F1327,"")</f>
        <v/>
      </c>
      <c r="H1327" s="46">
        <f>SUM(G1327:G1329)</f>
        <v>11.960287199999998</v>
      </c>
      <c r="I1327" s="47"/>
      <c r="J1327" s="37">
        <v>0</v>
      </c>
    </row>
    <row r="1328" spans="1:10" ht="25.5" hidden="1" x14ac:dyDescent="0.25">
      <c r="A1328" s="174"/>
      <c r="B1328" s="177"/>
      <c r="C1328" s="43" t="s">
        <v>10754</v>
      </c>
      <c r="D1328" s="43" t="s">
        <v>2800</v>
      </c>
      <c r="E1328" s="44">
        <v>0.31619999999999998</v>
      </c>
      <c r="F1328" s="38">
        <v>30.361999999999998</v>
      </c>
      <c r="G1328" s="41">
        <f>IF(ISNUMBER(F1328),E1328*F1328,"")</f>
        <v>9.6004643999999981</v>
      </c>
      <c r="H1328" s="42"/>
      <c r="I1328" s="38"/>
      <c r="J1328" s="37">
        <v>0</v>
      </c>
    </row>
    <row r="1329" spans="1:10" hidden="1" x14ac:dyDescent="0.25">
      <c r="A1329" s="174"/>
      <c r="B1329" s="177"/>
      <c r="C1329" s="43" t="s">
        <v>10614</v>
      </c>
      <c r="D1329" s="43" t="s">
        <v>2800</v>
      </c>
      <c r="E1329" s="44">
        <v>9.9599999999999994E-2</v>
      </c>
      <c r="F1329" s="38">
        <v>23.693000000000001</v>
      </c>
      <c r="G1329" s="41">
        <f>IF(ISNUMBER(F1329),E1329*F1329,"")</f>
        <v>2.3598227999999999</v>
      </c>
      <c r="H1329" s="42"/>
      <c r="I1329" s="38"/>
      <c r="J1329" s="37">
        <v>0</v>
      </c>
    </row>
    <row r="1330" spans="1:10" ht="15.75" hidden="1" thickBot="1" x14ac:dyDescent="0.3">
      <c r="A1330" s="175"/>
      <c r="B1330" s="178"/>
      <c r="C1330" s="49"/>
      <c r="D1330" s="49"/>
      <c r="E1330" s="50"/>
      <c r="F1330" s="51" t="s">
        <v>13</v>
      </c>
      <c r="G1330" s="51" t="str">
        <f>IF(ISNUMBER(F1330),E1330*F1330,"")</f>
        <v/>
      </c>
      <c r="H1330" s="53"/>
      <c r="I1330" s="38"/>
      <c r="J1330" s="37">
        <v>0</v>
      </c>
    </row>
    <row r="1331" spans="1:10" ht="15.75" hidden="1" thickBot="1" x14ac:dyDescent="0.3">
      <c r="A1331" s="173" t="s">
        <v>304</v>
      </c>
      <c r="B1331" s="176" t="s">
        <v>3233</v>
      </c>
      <c r="C1331" s="31"/>
      <c r="D1331" s="32" t="s">
        <v>18</v>
      </c>
      <c r="E1331" s="33"/>
      <c r="F1331" s="54" t="s">
        <v>13</v>
      </c>
      <c r="G1331" s="34" t="str">
        <f>IF(ISNUMBER(F1331),E1331*F1331,"")</f>
        <v/>
      </c>
      <c r="H1331" s="35"/>
      <c r="I1331" s="36"/>
      <c r="J1331" s="37">
        <v>0</v>
      </c>
    </row>
    <row r="1332" spans="1:10" hidden="1" x14ac:dyDescent="0.25">
      <c r="A1332" s="174"/>
      <c r="B1332" s="177"/>
      <c r="C1332" s="39"/>
      <c r="D1332" s="39"/>
      <c r="E1332" s="40"/>
      <c r="F1332" s="55" t="s">
        <v>13</v>
      </c>
      <c r="G1332" s="38" t="str">
        <f>IF(ISNUMBER(F1332),E1332*F1332,"")</f>
        <v/>
      </c>
      <c r="H1332" s="42"/>
      <c r="I1332" s="38"/>
      <c r="J1332" s="37">
        <v>0</v>
      </c>
    </row>
    <row r="1333" spans="1:10" ht="25.5" hidden="1" x14ac:dyDescent="0.25">
      <c r="A1333" s="174"/>
      <c r="B1333" s="177"/>
      <c r="C1333" s="43" t="s">
        <v>305</v>
      </c>
      <c r="D1333" s="62" t="s">
        <v>87</v>
      </c>
      <c r="E1333" s="44">
        <v>1</v>
      </c>
      <c r="F1333" s="41" t="s">
        <v>13</v>
      </c>
      <c r="G1333" s="41" t="str">
        <f>IF(ISNUMBER(F1333),E1333*F1333,"")</f>
        <v/>
      </c>
      <c r="H1333" s="46">
        <f>SUM(G1333:G1335)</f>
        <v>23.917538199999999</v>
      </c>
      <c r="I1333" s="47"/>
      <c r="J1333" s="37">
        <v>0</v>
      </c>
    </row>
    <row r="1334" spans="1:10" ht="25.5" hidden="1" x14ac:dyDescent="0.25">
      <c r="A1334" s="174"/>
      <c r="B1334" s="177"/>
      <c r="C1334" s="43" t="s">
        <v>10754</v>
      </c>
      <c r="D1334" s="43" t="s">
        <v>2800</v>
      </c>
      <c r="E1334" s="44">
        <v>0.63229999999999997</v>
      </c>
      <c r="F1334" s="38">
        <v>30.361999999999998</v>
      </c>
      <c r="G1334" s="41">
        <f>IF(ISNUMBER(F1334),E1334*F1334,"")</f>
        <v>19.197892599999999</v>
      </c>
      <c r="H1334" s="42"/>
      <c r="I1334" s="38"/>
      <c r="J1334" s="37">
        <v>0</v>
      </c>
    </row>
    <row r="1335" spans="1:10" hidden="1" x14ac:dyDescent="0.25">
      <c r="A1335" s="174"/>
      <c r="B1335" s="177"/>
      <c r="C1335" s="43" t="s">
        <v>10614</v>
      </c>
      <c r="D1335" s="43" t="s">
        <v>2800</v>
      </c>
      <c r="E1335" s="44">
        <v>0.19919999999999999</v>
      </c>
      <c r="F1335" s="38">
        <v>23.693000000000001</v>
      </c>
      <c r="G1335" s="41">
        <f>IF(ISNUMBER(F1335),E1335*F1335,"")</f>
        <v>4.7196455999999998</v>
      </c>
      <c r="H1335" s="42"/>
      <c r="I1335" s="38"/>
      <c r="J1335" s="37">
        <v>0</v>
      </c>
    </row>
    <row r="1336" spans="1:10" ht="15.75" hidden="1" thickBot="1" x14ac:dyDescent="0.3">
      <c r="A1336" s="175"/>
      <c r="B1336" s="178"/>
      <c r="C1336" s="49"/>
      <c r="D1336" s="49"/>
      <c r="E1336" s="50"/>
      <c r="F1336" s="51" t="s">
        <v>13</v>
      </c>
      <c r="G1336" s="51" t="str">
        <f>IF(ISNUMBER(F1336),E1336*F1336,"")</f>
        <v/>
      </c>
      <c r="H1336" s="53"/>
      <c r="I1336" s="38"/>
      <c r="J1336" s="37">
        <v>0</v>
      </c>
    </row>
    <row r="1337" spans="1:10" ht="15.75" hidden="1" thickBot="1" x14ac:dyDescent="0.3">
      <c r="A1337" s="173" t="s">
        <v>306</v>
      </c>
      <c r="B1337" s="176" t="s">
        <v>3234</v>
      </c>
      <c r="C1337" s="31"/>
      <c r="D1337" s="32" t="s">
        <v>18</v>
      </c>
      <c r="E1337" s="33"/>
      <c r="F1337" s="54" t="s">
        <v>13</v>
      </c>
      <c r="G1337" s="34" t="str">
        <f>IF(ISNUMBER(F1337),E1337*F1337,"")</f>
        <v/>
      </c>
      <c r="H1337" s="35"/>
      <c r="I1337" s="36"/>
      <c r="J1337" s="37">
        <v>0</v>
      </c>
    </row>
    <row r="1338" spans="1:10" hidden="1" x14ac:dyDescent="0.25">
      <c r="A1338" s="174"/>
      <c r="B1338" s="177"/>
      <c r="C1338" s="39"/>
      <c r="D1338" s="39"/>
      <c r="E1338" s="40"/>
      <c r="F1338" s="55" t="s">
        <v>13</v>
      </c>
      <c r="G1338" s="38" t="str">
        <f>IF(ISNUMBER(F1338),E1338*F1338,"")</f>
        <v/>
      </c>
      <c r="H1338" s="42"/>
      <c r="I1338" s="38"/>
      <c r="J1338" s="37">
        <v>0</v>
      </c>
    </row>
    <row r="1339" spans="1:10" hidden="1" x14ac:dyDescent="0.25">
      <c r="A1339" s="174"/>
      <c r="B1339" s="177"/>
      <c r="C1339" s="43" t="s">
        <v>10762</v>
      </c>
      <c r="D1339" s="43" t="s">
        <v>2800</v>
      </c>
      <c r="E1339" s="44">
        <v>0.14499999999999999</v>
      </c>
      <c r="F1339" s="38">
        <v>24.946999999999999</v>
      </c>
      <c r="G1339" s="41">
        <f>IF(ISNUMBER(F1339),E1339*F1339,"")</f>
        <v>3.6173149999999996</v>
      </c>
      <c r="H1339" s="46">
        <f>SUM(G1339:G1342)</f>
        <v>11.489291292466248</v>
      </c>
      <c r="I1339" s="47"/>
      <c r="J1339" s="37">
        <v>0</v>
      </c>
    </row>
    <row r="1340" spans="1:10" hidden="1" x14ac:dyDescent="0.25">
      <c r="A1340" s="174"/>
      <c r="B1340" s="177"/>
      <c r="C1340" s="43" t="s">
        <v>10763</v>
      </c>
      <c r="D1340" s="43" t="s">
        <v>2800</v>
      </c>
      <c r="E1340" s="44">
        <v>0.14499999999999999</v>
      </c>
      <c r="F1340" s="38">
        <v>31.435500000000001</v>
      </c>
      <c r="G1340" s="41">
        <f>IF(ISNUMBER(F1340),E1340*F1340,"")</f>
        <v>4.5581474999999996</v>
      </c>
      <c r="H1340" s="42"/>
      <c r="I1340" s="38"/>
      <c r="J1340" s="37">
        <v>0</v>
      </c>
    </row>
    <row r="1341" spans="1:10" ht="25.5" hidden="1" x14ac:dyDescent="0.25">
      <c r="A1341" s="174"/>
      <c r="B1341" s="177"/>
      <c r="C1341" s="43" t="s">
        <v>10679</v>
      </c>
      <c r="D1341" s="43" t="s">
        <v>2880</v>
      </c>
      <c r="E1341" s="44">
        <v>8.9999999999999998E-4</v>
      </c>
      <c r="F1341" s="41">
        <v>800.36532496250004</v>
      </c>
      <c r="G1341" s="41">
        <f>IF(ISNUMBER(F1341),E1341*F1341,"")</f>
        <v>0.72032879246625003</v>
      </c>
      <c r="H1341" s="42"/>
      <c r="I1341" s="38"/>
      <c r="J1341" s="37">
        <v>0</v>
      </c>
    </row>
    <row r="1342" spans="1:10" ht="25.5" hidden="1" x14ac:dyDescent="0.25">
      <c r="A1342" s="174"/>
      <c r="B1342" s="177"/>
      <c r="C1342" s="43" t="s">
        <v>10928</v>
      </c>
      <c r="D1342" s="43" t="s">
        <v>83</v>
      </c>
      <c r="E1342" s="44">
        <v>1</v>
      </c>
      <c r="F1342" s="41">
        <v>2.5934999999999997</v>
      </c>
      <c r="G1342" s="38">
        <f>IF(ISNUMBER(F1342),E1342*F1342,"")</f>
        <v>2.5934999999999997</v>
      </c>
      <c r="H1342" s="42"/>
      <c r="I1342" s="38"/>
      <c r="J1342" s="37">
        <v>0</v>
      </c>
    </row>
    <row r="1343" spans="1:10" ht="15.75" hidden="1" thickBot="1" x14ac:dyDescent="0.3">
      <c r="A1343" s="175"/>
      <c r="B1343" s="178"/>
      <c r="C1343" s="49"/>
      <c r="D1343" s="49"/>
      <c r="E1343" s="50"/>
      <c r="F1343" s="51" t="s">
        <v>13</v>
      </c>
      <c r="G1343" s="51" t="str">
        <f>IF(ISNUMBER(F1343),E1343*F1343,"")</f>
        <v/>
      </c>
      <c r="H1343" s="53"/>
      <c r="I1343" s="38"/>
      <c r="J1343" s="37">
        <v>0</v>
      </c>
    </row>
    <row r="1344" spans="1:10" ht="15.75" hidden="1" thickBot="1" x14ac:dyDescent="0.3">
      <c r="A1344" s="173" t="s">
        <v>307</v>
      </c>
      <c r="B1344" s="176" t="s">
        <v>3235</v>
      </c>
      <c r="C1344" s="31"/>
      <c r="D1344" s="32" t="s">
        <v>18</v>
      </c>
      <c r="E1344" s="33"/>
      <c r="F1344" s="54" t="s">
        <v>13</v>
      </c>
      <c r="G1344" s="34" t="str">
        <f>IF(ISNUMBER(F1344),E1344*F1344,"")</f>
        <v/>
      </c>
      <c r="H1344" s="35"/>
      <c r="I1344" s="36"/>
      <c r="J1344" s="37">
        <v>0</v>
      </c>
    </row>
    <row r="1345" spans="1:10" hidden="1" x14ac:dyDescent="0.25">
      <c r="A1345" s="174"/>
      <c r="B1345" s="177"/>
      <c r="C1345" s="39"/>
      <c r="D1345" s="39"/>
      <c r="E1345" s="40"/>
      <c r="F1345" s="55" t="s">
        <v>13</v>
      </c>
      <c r="G1345" s="38" t="str">
        <f>IF(ISNUMBER(F1345),E1345*F1345,"")</f>
        <v/>
      </c>
      <c r="H1345" s="42"/>
      <c r="I1345" s="38"/>
      <c r="J1345" s="37">
        <v>0</v>
      </c>
    </row>
    <row r="1346" spans="1:10" hidden="1" x14ac:dyDescent="0.25">
      <c r="A1346" s="174"/>
      <c r="B1346" s="177"/>
      <c r="C1346" s="43" t="s">
        <v>10762</v>
      </c>
      <c r="D1346" s="43" t="s">
        <v>2800</v>
      </c>
      <c r="E1346" s="44">
        <v>0.14499999999999999</v>
      </c>
      <c r="F1346" s="38">
        <v>24.946999999999999</v>
      </c>
      <c r="G1346" s="41">
        <f>IF(ISNUMBER(F1346),E1346*F1346,"")</f>
        <v>3.6173149999999996</v>
      </c>
      <c r="H1346" s="46">
        <f>SUM(G1346:G1348)</f>
        <v>8.1754624999999983</v>
      </c>
      <c r="I1346" s="47"/>
      <c r="J1346" s="37">
        <v>0</v>
      </c>
    </row>
    <row r="1347" spans="1:10" hidden="1" x14ac:dyDescent="0.25">
      <c r="A1347" s="174"/>
      <c r="B1347" s="177"/>
      <c r="C1347" s="43" t="s">
        <v>10763</v>
      </c>
      <c r="D1347" s="43" t="s">
        <v>2800</v>
      </c>
      <c r="E1347" s="44">
        <v>0.14499999999999999</v>
      </c>
      <c r="F1347" s="38">
        <v>31.435500000000001</v>
      </c>
      <c r="G1347" s="41">
        <f>IF(ISNUMBER(F1347),E1347*F1347,"")</f>
        <v>4.5581474999999996</v>
      </c>
      <c r="H1347" s="42"/>
      <c r="I1347" s="38"/>
      <c r="J1347" s="37">
        <v>0</v>
      </c>
    </row>
    <row r="1348" spans="1:10" hidden="1" x14ac:dyDescent="0.25">
      <c r="A1348" s="174"/>
      <c r="B1348" s="177"/>
      <c r="C1348" s="43" t="s">
        <v>308</v>
      </c>
      <c r="D1348" s="43" t="s">
        <v>18</v>
      </c>
      <c r="E1348" s="44">
        <v>1</v>
      </c>
      <c r="F1348" s="41" t="s">
        <v>13</v>
      </c>
      <c r="G1348" s="38" t="str">
        <f>IF(ISNUMBER(F1348),E1348*F1348,"")</f>
        <v/>
      </c>
      <c r="H1348" s="42"/>
      <c r="I1348" s="38"/>
      <c r="J1348" s="37">
        <v>0</v>
      </c>
    </row>
    <row r="1349" spans="1:10" ht="15.75" hidden="1" thickBot="1" x14ac:dyDescent="0.3">
      <c r="A1349" s="175"/>
      <c r="B1349" s="178"/>
      <c r="C1349" s="49"/>
      <c r="D1349" s="49"/>
      <c r="E1349" s="50"/>
      <c r="F1349" s="51" t="s">
        <v>13</v>
      </c>
      <c r="G1349" s="51" t="str">
        <f>IF(ISNUMBER(F1349),E1349*F1349,"")</f>
        <v/>
      </c>
      <c r="H1349" s="53"/>
      <c r="I1349" s="38"/>
      <c r="J1349" s="37">
        <v>0</v>
      </c>
    </row>
    <row r="1350" spans="1:10" ht="15.75" hidden="1" thickBot="1" x14ac:dyDescent="0.3">
      <c r="A1350" s="173" t="s">
        <v>309</v>
      </c>
      <c r="B1350" s="176" t="s">
        <v>3236</v>
      </c>
      <c r="C1350" s="31"/>
      <c r="D1350" s="32" t="s">
        <v>18</v>
      </c>
      <c r="E1350" s="33"/>
      <c r="F1350" s="54" t="s">
        <v>13</v>
      </c>
      <c r="G1350" s="34" t="str">
        <f>IF(ISNUMBER(F1350),E1350*F1350,"")</f>
        <v/>
      </c>
      <c r="H1350" s="35"/>
      <c r="I1350" s="36"/>
      <c r="J1350" s="37">
        <v>0</v>
      </c>
    </row>
    <row r="1351" spans="1:10" hidden="1" x14ac:dyDescent="0.25">
      <c r="A1351" s="174"/>
      <c r="B1351" s="177"/>
      <c r="C1351" s="39"/>
      <c r="D1351" s="39"/>
      <c r="E1351" s="40"/>
      <c r="F1351" s="55" t="s">
        <v>13</v>
      </c>
      <c r="G1351" s="38" t="str">
        <f>IF(ISNUMBER(F1351),E1351*F1351,"")</f>
        <v/>
      </c>
      <c r="H1351" s="42"/>
      <c r="I1351" s="38"/>
      <c r="J1351" s="37">
        <v>0</v>
      </c>
    </row>
    <row r="1352" spans="1:10" hidden="1" x14ac:dyDescent="0.25">
      <c r="A1352" s="174"/>
      <c r="B1352" s="177"/>
      <c r="C1352" s="43" t="s">
        <v>10762</v>
      </c>
      <c r="D1352" s="43" t="s">
        <v>2800</v>
      </c>
      <c r="E1352" s="44">
        <v>0.16900000000000001</v>
      </c>
      <c r="F1352" s="38">
        <v>24.946999999999999</v>
      </c>
      <c r="G1352" s="41">
        <f>IF(ISNUMBER(F1352),E1352*F1352,"")</f>
        <v>4.216043</v>
      </c>
      <c r="H1352" s="46">
        <f>SUM(G1352:G1355)</f>
        <v>15.638080889954999</v>
      </c>
      <c r="I1352" s="47"/>
      <c r="J1352" s="37">
        <v>0</v>
      </c>
    </row>
    <row r="1353" spans="1:10" hidden="1" x14ac:dyDescent="0.25">
      <c r="A1353" s="174"/>
      <c r="B1353" s="177"/>
      <c r="C1353" s="43" t="s">
        <v>10763</v>
      </c>
      <c r="D1353" s="43" t="s">
        <v>2800</v>
      </c>
      <c r="E1353" s="44">
        <v>0.16900000000000001</v>
      </c>
      <c r="F1353" s="38">
        <v>31.435500000000001</v>
      </c>
      <c r="G1353" s="41">
        <f>IF(ISNUMBER(F1353),E1353*F1353,"")</f>
        <v>5.3125995000000001</v>
      </c>
      <c r="H1353" s="42"/>
      <c r="I1353" s="38"/>
      <c r="J1353" s="37">
        <v>0</v>
      </c>
    </row>
    <row r="1354" spans="1:10" ht="25.5" hidden="1" x14ac:dyDescent="0.25">
      <c r="A1354" s="174"/>
      <c r="B1354" s="177"/>
      <c r="C1354" s="43" t="s">
        <v>10679</v>
      </c>
      <c r="D1354" s="43" t="s">
        <v>2880</v>
      </c>
      <c r="E1354" s="44">
        <v>1.1999999999999999E-3</v>
      </c>
      <c r="F1354" s="41">
        <v>800.36532496250004</v>
      </c>
      <c r="G1354" s="41">
        <f>IF(ISNUMBER(F1354),E1354*F1354,"")</f>
        <v>0.96043838995499997</v>
      </c>
      <c r="H1354" s="42"/>
      <c r="I1354" s="38"/>
      <c r="J1354" s="37">
        <v>0</v>
      </c>
    </row>
    <row r="1355" spans="1:10" ht="25.5" hidden="1" x14ac:dyDescent="0.25">
      <c r="A1355" s="174"/>
      <c r="B1355" s="177"/>
      <c r="C1355" s="43" t="s">
        <v>10929</v>
      </c>
      <c r="D1355" s="43" t="s">
        <v>83</v>
      </c>
      <c r="E1355" s="44">
        <v>1</v>
      </c>
      <c r="F1355" s="41">
        <v>5.149</v>
      </c>
      <c r="G1355" s="38">
        <f>IF(ISNUMBER(F1355),E1355*F1355,"")</f>
        <v>5.149</v>
      </c>
      <c r="H1355" s="42"/>
      <c r="I1355" s="38"/>
      <c r="J1355" s="37">
        <v>0</v>
      </c>
    </row>
    <row r="1356" spans="1:10" ht="15.75" hidden="1" thickBot="1" x14ac:dyDescent="0.3">
      <c r="A1356" s="175"/>
      <c r="B1356" s="178"/>
      <c r="C1356" s="49"/>
      <c r="D1356" s="49"/>
      <c r="E1356" s="50"/>
      <c r="F1356" s="51" t="s">
        <v>13</v>
      </c>
      <c r="G1356" s="51" t="str">
        <f>IF(ISNUMBER(F1356),E1356*F1356,"")</f>
        <v/>
      </c>
      <c r="H1356" s="53"/>
      <c r="I1356" s="38"/>
      <c r="J1356" s="37">
        <v>0</v>
      </c>
    </row>
    <row r="1357" spans="1:10" ht="15.75" hidden="1" thickBot="1" x14ac:dyDescent="0.3">
      <c r="A1357" s="173" t="s">
        <v>310</v>
      </c>
      <c r="B1357" s="176" t="s">
        <v>3237</v>
      </c>
      <c r="C1357" s="31"/>
      <c r="D1357" s="32" t="s">
        <v>18</v>
      </c>
      <c r="E1357" s="33"/>
      <c r="F1357" s="54" t="s">
        <v>13</v>
      </c>
      <c r="G1357" s="34" t="str">
        <f>IF(ISNUMBER(F1357),E1357*F1357,"")</f>
        <v/>
      </c>
      <c r="H1357" s="35"/>
      <c r="I1357" s="36"/>
      <c r="J1357" s="37">
        <v>0</v>
      </c>
    </row>
    <row r="1358" spans="1:10" hidden="1" x14ac:dyDescent="0.25">
      <c r="A1358" s="174"/>
      <c r="B1358" s="177"/>
      <c r="C1358" s="39"/>
      <c r="D1358" s="39"/>
      <c r="E1358" s="40"/>
      <c r="F1358" s="55" t="s">
        <v>13</v>
      </c>
      <c r="G1358" s="38" t="str">
        <f>IF(ISNUMBER(F1358),E1358*F1358,"")</f>
        <v/>
      </c>
      <c r="H1358" s="42"/>
      <c r="I1358" s="38"/>
      <c r="J1358" s="37">
        <v>0</v>
      </c>
    </row>
    <row r="1359" spans="1:10" hidden="1" x14ac:dyDescent="0.25">
      <c r="A1359" s="174"/>
      <c r="B1359" s="177"/>
      <c r="C1359" s="43" t="s">
        <v>10762</v>
      </c>
      <c r="D1359" s="43" t="s">
        <v>2800</v>
      </c>
      <c r="E1359" s="44">
        <v>0.16900000000000001</v>
      </c>
      <c r="F1359" s="38">
        <v>24.946999999999999</v>
      </c>
      <c r="G1359" s="41">
        <f>IF(ISNUMBER(F1359),E1359*F1359,"")</f>
        <v>4.216043</v>
      </c>
      <c r="H1359" s="46">
        <f>SUM(G1359:G1361)</f>
        <v>9.5286425000000001</v>
      </c>
      <c r="I1359" s="47"/>
      <c r="J1359" s="37">
        <v>0</v>
      </c>
    </row>
    <row r="1360" spans="1:10" hidden="1" x14ac:dyDescent="0.25">
      <c r="A1360" s="174"/>
      <c r="B1360" s="177"/>
      <c r="C1360" s="43" t="s">
        <v>10763</v>
      </c>
      <c r="D1360" s="43" t="s">
        <v>2800</v>
      </c>
      <c r="E1360" s="44">
        <v>0.16900000000000001</v>
      </c>
      <c r="F1360" s="38">
        <v>31.435500000000001</v>
      </c>
      <c r="G1360" s="41">
        <f>IF(ISNUMBER(F1360),E1360*F1360,"")</f>
        <v>5.3125995000000001</v>
      </c>
      <c r="H1360" s="42"/>
      <c r="I1360" s="38"/>
      <c r="J1360" s="37">
        <v>0</v>
      </c>
    </row>
    <row r="1361" spans="1:10" hidden="1" x14ac:dyDescent="0.25">
      <c r="A1361" s="174"/>
      <c r="B1361" s="177"/>
      <c r="C1361" s="43" t="s">
        <v>311</v>
      </c>
      <c r="D1361" s="43" t="s">
        <v>18</v>
      </c>
      <c r="E1361" s="44">
        <v>1</v>
      </c>
      <c r="F1361" s="41" t="s">
        <v>13</v>
      </c>
      <c r="G1361" s="38" t="str">
        <f>IF(ISNUMBER(F1361),E1361*F1361,"")</f>
        <v/>
      </c>
      <c r="H1361" s="42"/>
      <c r="I1361" s="38"/>
      <c r="J1361" s="37">
        <v>0</v>
      </c>
    </row>
    <row r="1362" spans="1:10" ht="15.75" hidden="1" thickBot="1" x14ac:dyDescent="0.3">
      <c r="A1362" s="175"/>
      <c r="B1362" s="178"/>
      <c r="C1362" s="49"/>
      <c r="D1362" s="49"/>
      <c r="E1362" s="50"/>
      <c r="F1362" s="51" t="s">
        <v>13</v>
      </c>
      <c r="G1362" s="51" t="str">
        <f>IF(ISNUMBER(F1362),E1362*F1362,"")</f>
        <v/>
      </c>
      <c r="H1362" s="53"/>
      <c r="I1362" s="38"/>
      <c r="J1362" s="37">
        <v>0</v>
      </c>
    </row>
    <row r="1363" spans="1:10" ht="15.75" hidden="1" thickBot="1" x14ac:dyDescent="0.3">
      <c r="A1363" s="173" t="s">
        <v>312</v>
      </c>
      <c r="B1363" s="176" t="s">
        <v>3238</v>
      </c>
      <c r="C1363" s="31"/>
      <c r="D1363" s="32" t="s">
        <v>18</v>
      </c>
      <c r="E1363" s="33"/>
      <c r="F1363" s="54" t="s">
        <v>13</v>
      </c>
      <c r="G1363" s="34" t="str">
        <f>IF(ISNUMBER(F1363),E1363*F1363,"")</f>
        <v/>
      </c>
      <c r="H1363" s="35"/>
      <c r="I1363" s="36"/>
      <c r="J1363" s="37">
        <v>0</v>
      </c>
    </row>
    <row r="1364" spans="1:10" hidden="1" x14ac:dyDescent="0.25">
      <c r="A1364" s="174"/>
      <c r="B1364" s="177"/>
      <c r="C1364" s="39"/>
      <c r="D1364" s="39"/>
      <c r="E1364" s="40"/>
      <c r="F1364" s="55" t="s">
        <v>13</v>
      </c>
      <c r="G1364" s="38" t="str">
        <f>IF(ISNUMBER(F1364),E1364*F1364,"")</f>
        <v/>
      </c>
      <c r="H1364" s="42"/>
      <c r="I1364" s="38"/>
      <c r="J1364" s="37">
        <v>0</v>
      </c>
    </row>
    <row r="1365" spans="1:10" hidden="1" x14ac:dyDescent="0.25">
      <c r="A1365" s="174"/>
      <c r="B1365" s="177"/>
      <c r="C1365" s="43" t="s">
        <v>10762</v>
      </c>
      <c r="D1365" s="43" t="s">
        <v>2800</v>
      </c>
      <c r="E1365" s="44">
        <v>0.34599999999999997</v>
      </c>
      <c r="F1365" s="38">
        <v>24.946999999999999</v>
      </c>
      <c r="G1365" s="41">
        <f>IF(ISNUMBER(F1365),E1365*F1365,"")</f>
        <v>8.6316619999999986</v>
      </c>
      <c r="H1365" s="46">
        <f>SUM(G1365:G1367)</f>
        <v>19.508344999999998</v>
      </c>
      <c r="I1365" s="47"/>
      <c r="J1365" s="37">
        <v>0</v>
      </c>
    </row>
    <row r="1366" spans="1:10" hidden="1" x14ac:dyDescent="0.25">
      <c r="A1366" s="174"/>
      <c r="B1366" s="177"/>
      <c r="C1366" s="43" t="s">
        <v>10763</v>
      </c>
      <c r="D1366" s="43" t="s">
        <v>2800</v>
      </c>
      <c r="E1366" s="44">
        <v>0.34599999999999997</v>
      </c>
      <c r="F1366" s="38">
        <v>31.435500000000001</v>
      </c>
      <c r="G1366" s="41">
        <f>IF(ISNUMBER(F1366),E1366*F1366,"")</f>
        <v>10.876683</v>
      </c>
      <c r="H1366" s="42"/>
      <c r="I1366" s="38"/>
      <c r="J1366" s="37">
        <v>0</v>
      </c>
    </row>
    <row r="1367" spans="1:10" hidden="1" x14ac:dyDescent="0.25">
      <c r="A1367" s="174"/>
      <c r="B1367" s="177"/>
      <c r="C1367" s="43" t="s">
        <v>313</v>
      </c>
      <c r="D1367" s="43" t="s">
        <v>106</v>
      </c>
      <c r="E1367" s="44">
        <v>1</v>
      </c>
      <c r="F1367" s="41" t="s">
        <v>13</v>
      </c>
      <c r="G1367" s="41" t="str">
        <f>IF(ISNUMBER(F1367),E1367*F1367,"")</f>
        <v/>
      </c>
      <c r="H1367" s="42"/>
      <c r="I1367" s="38"/>
      <c r="J1367" s="37">
        <v>0</v>
      </c>
    </row>
    <row r="1368" spans="1:10" ht="15.75" hidden="1" thickBot="1" x14ac:dyDescent="0.3">
      <c r="A1368" s="175"/>
      <c r="B1368" s="178"/>
      <c r="C1368" s="49"/>
      <c r="D1368" s="49"/>
      <c r="E1368" s="50"/>
      <c r="F1368" s="51" t="s">
        <v>13</v>
      </c>
      <c r="G1368" s="51" t="str">
        <f>IF(ISNUMBER(F1368),E1368*F1368,"")</f>
        <v/>
      </c>
      <c r="H1368" s="53"/>
      <c r="I1368" s="38"/>
      <c r="J1368" s="37">
        <v>0</v>
      </c>
    </row>
    <row r="1369" spans="1:10" ht="15.75" hidden="1" thickBot="1" x14ac:dyDescent="0.3">
      <c r="A1369" s="173" t="s">
        <v>314</v>
      </c>
      <c r="B1369" s="176" t="s">
        <v>3239</v>
      </c>
      <c r="C1369" s="31"/>
      <c r="D1369" s="32" t="s">
        <v>18</v>
      </c>
      <c r="E1369" s="33"/>
      <c r="F1369" s="54" t="s">
        <v>13</v>
      </c>
      <c r="G1369" s="34" t="str">
        <f>IF(ISNUMBER(F1369),E1369*F1369,"")</f>
        <v/>
      </c>
      <c r="H1369" s="35"/>
      <c r="I1369" s="36"/>
      <c r="J1369" s="37">
        <v>0</v>
      </c>
    </row>
    <row r="1370" spans="1:10" hidden="1" x14ac:dyDescent="0.25">
      <c r="A1370" s="174"/>
      <c r="B1370" s="177"/>
      <c r="C1370" s="39"/>
      <c r="D1370" s="39"/>
      <c r="E1370" s="40"/>
      <c r="F1370" s="55" t="s">
        <v>13</v>
      </c>
      <c r="G1370" s="38" t="str">
        <f>IF(ISNUMBER(F1370),E1370*F1370,"")</f>
        <v/>
      </c>
      <c r="H1370" s="42"/>
      <c r="I1370" s="38"/>
      <c r="J1370" s="37">
        <v>0</v>
      </c>
    </row>
    <row r="1371" spans="1:10" hidden="1" x14ac:dyDescent="0.25">
      <c r="A1371" s="174"/>
      <c r="B1371" s="177"/>
      <c r="C1371" s="43" t="s">
        <v>10762</v>
      </c>
      <c r="D1371" s="43" t="s">
        <v>2800</v>
      </c>
      <c r="E1371" s="44">
        <v>0.34599999999999997</v>
      </c>
      <c r="F1371" s="38">
        <v>24.946999999999999</v>
      </c>
      <c r="G1371" s="41">
        <f>IF(ISNUMBER(F1371),E1371*F1371,"")</f>
        <v>8.6316619999999986</v>
      </c>
      <c r="H1371" s="46">
        <f>SUM(G1371:G1374)</f>
        <v>19.508344999999998</v>
      </c>
      <c r="I1371" s="47"/>
      <c r="J1371" s="37">
        <v>0</v>
      </c>
    </row>
    <row r="1372" spans="1:10" hidden="1" x14ac:dyDescent="0.25">
      <c r="A1372" s="174"/>
      <c r="B1372" s="177"/>
      <c r="C1372" s="43" t="s">
        <v>10763</v>
      </c>
      <c r="D1372" s="43" t="s">
        <v>2800</v>
      </c>
      <c r="E1372" s="44">
        <v>0.34599999999999997</v>
      </c>
      <c r="F1372" s="38">
        <v>31.435500000000001</v>
      </c>
      <c r="G1372" s="41">
        <f>IF(ISNUMBER(F1372),E1372*F1372,"")</f>
        <v>10.876683</v>
      </c>
      <c r="H1372" s="42"/>
      <c r="I1372" s="38"/>
      <c r="J1372" s="37">
        <v>0</v>
      </c>
    </row>
    <row r="1373" spans="1:10" hidden="1" x14ac:dyDescent="0.25">
      <c r="A1373" s="174"/>
      <c r="B1373" s="177"/>
      <c r="C1373" s="43" t="s">
        <v>315</v>
      </c>
      <c r="D1373" s="43" t="s">
        <v>106</v>
      </c>
      <c r="E1373" s="44">
        <v>1</v>
      </c>
      <c r="F1373" s="41" t="s">
        <v>13</v>
      </c>
      <c r="G1373" s="41" t="str">
        <f>IF(ISNUMBER(F1373),E1373*F1373,"")</f>
        <v/>
      </c>
      <c r="H1373" s="42"/>
      <c r="I1373" s="38"/>
      <c r="J1373" s="37">
        <v>0</v>
      </c>
    </row>
    <row r="1374" spans="1:10" hidden="1" x14ac:dyDescent="0.25">
      <c r="A1374" s="174"/>
      <c r="B1374" s="177"/>
      <c r="C1374" s="43" t="s">
        <v>316</v>
      </c>
      <c r="D1374" s="43" t="s">
        <v>18</v>
      </c>
      <c r="E1374" s="44">
        <v>2</v>
      </c>
      <c r="F1374" s="41" t="s">
        <v>13</v>
      </c>
      <c r="G1374" s="41" t="str">
        <f>IF(ISNUMBER(F1374),E1374*F1374,"")</f>
        <v/>
      </c>
      <c r="H1374" s="42"/>
      <c r="I1374" s="38"/>
      <c r="J1374" s="37">
        <v>0</v>
      </c>
    </row>
    <row r="1375" spans="1:10" ht="15.75" hidden="1" thickBot="1" x14ac:dyDescent="0.3">
      <c r="A1375" s="175"/>
      <c r="B1375" s="178"/>
      <c r="C1375" s="49"/>
      <c r="D1375" s="49"/>
      <c r="E1375" s="50"/>
      <c r="F1375" s="51" t="s">
        <v>13</v>
      </c>
      <c r="G1375" s="51" t="str">
        <f>IF(ISNUMBER(F1375),E1375*F1375,"")</f>
        <v/>
      </c>
      <c r="H1375" s="53"/>
      <c r="I1375" s="38"/>
      <c r="J1375" s="37">
        <v>0</v>
      </c>
    </row>
    <row r="1376" spans="1:10" ht="15.75" hidden="1" thickBot="1" x14ac:dyDescent="0.3">
      <c r="A1376" s="173" t="s">
        <v>317</v>
      </c>
      <c r="B1376" s="176" t="s">
        <v>3240</v>
      </c>
      <c r="C1376" s="31"/>
      <c r="D1376" s="32" t="s">
        <v>18</v>
      </c>
      <c r="E1376" s="33"/>
      <c r="F1376" s="54" t="s">
        <v>13</v>
      </c>
      <c r="G1376" s="34" t="str">
        <f>IF(ISNUMBER(F1376),E1376*F1376,"")</f>
        <v/>
      </c>
      <c r="H1376" s="35"/>
      <c r="I1376" s="36"/>
      <c r="J1376" s="37">
        <v>0</v>
      </c>
    </row>
    <row r="1377" spans="1:10" hidden="1" x14ac:dyDescent="0.25">
      <c r="A1377" s="174"/>
      <c r="B1377" s="177"/>
      <c r="C1377" s="39"/>
      <c r="D1377" s="39"/>
      <c r="E1377" s="40"/>
      <c r="F1377" s="55" t="s">
        <v>13</v>
      </c>
      <c r="G1377" s="38" t="str">
        <f>IF(ISNUMBER(F1377),E1377*F1377,"")</f>
        <v/>
      </c>
      <c r="H1377" s="42"/>
      <c r="I1377" s="38"/>
      <c r="J1377" s="37">
        <v>0</v>
      </c>
    </row>
    <row r="1378" spans="1:10" hidden="1" x14ac:dyDescent="0.25">
      <c r="A1378" s="174"/>
      <c r="B1378" s="177"/>
      <c r="C1378" s="43" t="s">
        <v>10763</v>
      </c>
      <c r="D1378" s="43" t="s">
        <v>2800</v>
      </c>
      <c r="E1378" s="44">
        <v>0.34599999999999997</v>
      </c>
      <c r="F1378" s="38">
        <v>31.435500000000001</v>
      </c>
      <c r="G1378" s="41">
        <f>IF(ISNUMBER(F1378),E1378*F1378,"")</f>
        <v>10.876683</v>
      </c>
      <c r="H1378" s="46">
        <f>SUM(G1378:G1380)</f>
        <v>97.943460999999985</v>
      </c>
      <c r="I1378" s="47"/>
      <c r="J1378" s="37">
        <v>0</v>
      </c>
    </row>
    <row r="1379" spans="1:10" hidden="1" x14ac:dyDescent="0.25">
      <c r="A1379" s="174"/>
      <c r="B1379" s="177"/>
      <c r="C1379" s="43" t="s">
        <v>10614</v>
      </c>
      <c r="D1379" s="43" t="s">
        <v>2800</v>
      </c>
      <c r="E1379" s="44">
        <v>0.34599999999999997</v>
      </c>
      <c r="F1379" s="38">
        <v>23.693000000000001</v>
      </c>
      <c r="G1379" s="41">
        <f>IF(ISNUMBER(F1379),E1379*F1379,"")</f>
        <v>8.1977779999999996</v>
      </c>
      <c r="H1379" s="42"/>
      <c r="I1379" s="38"/>
      <c r="J1379" s="37">
        <v>0</v>
      </c>
    </row>
    <row r="1380" spans="1:10" ht="25.5" hidden="1" x14ac:dyDescent="0.25">
      <c r="A1380" s="174"/>
      <c r="B1380" s="177"/>
      <c r="C1380" s="43" t="s">
        <v>10930</v>
      </c>
      <c r="D1380" s="43" t="s">
        <v>83</v>
      </c>
      <c r="E1380" s="44">
        <v>1</v>
      </c>
      <c r="F1380" s="41">
        <v>78.868999999999986</v>
      </c>
      <c r="G1380" s="38">
        <f>IF(ISNUMBER(F1380),E1380*F1380,"")</f>
        <v>78.868999999999986</v>
      </c>
      <c r="H1380" s="42"/>
      <c r="I1380" s="38"/>
      <c r="J1380" s="37">
        <v>0</v>
      </c>
    </row>
    <row r="1381" spans="1:10" ht="15.75" hidden="1" thickBot="1" x14ac:dyDescent="0.3">
      <c r="A1381" s="175"/>
      <c r="B1381" s="178"/>
      <c r="C1381" s="49"/>
      <c r="D1381" s="49"/>
      <c r="E1381" s="50"/>
      <c r="F1381" s="51" t="s">
        <v>13</v>
      </c>
      <c r="G1381" s="51" t="str">
        <f>IF(ISNUMBER(F1381),E1381*F1381,"")</f>
        <v/>
      </c>
      <c r="H1381" s="53"/>
      <c r="I1381" s="38"/>
      <c r="J1381" s="37">
        <v>0</v>
      </c>
    </row>
    <row r="1382" spans="1:10" ht="15.75" hidden="1" thickBot="1" x14ac:dyDescent="0.3">
      <c r="A1382" s="173" t="s">
        <v>318</v>
      </c>
      <c r="B1382" s="176" t="s">
        <v>3241</v>
      </c>
      <c r="C1382" s="31"/>
      <c r="D1382" s="32" t="s">
        <v>18</v>
      </c>
      <c r="E1382" s="33"/>
      <c r="F1382" s="54" t="s">
        <v>13</v>
      </c>
      <c r="G1382" s="34" t="str">
        <f>IF(ISNUMBER(F1382),E1382*F1382,"")</f>
        <v/>
      </c>
      <c r="H1382" s="35"/>
      <c r="I1382" s="36"/>
      <c r="J1382" s="37">
        <v>0</v>
      </c>
    </row>
    <row r="1383" spans="1:10" hidden="1" x14ac:dyDescent="0.25">
      <c r="A1383" s="174"/>
      <c r="B1383" s="177"/>
      <c r="C1383" s="39"/>
      <c r="D1383" s="39"/>
      <c r="E1383" s="40"/>
      <c r="F1383" s="55" t="s">
        <v>13</v>
      </c>
      <c r="G1383" s="38" t="str">
        <f>IF(ISNUMBER(F1383),E1383*F1383,"")</f>
        <v/>
      </c>
      <c r="H1383" s="42"/>
      <c r="I1383" s="38"/>
      <c r="J1383" s="37">
        <v>0</v>
      </c>
    </row>
    <row r="1384" spans="1:10" hidden="1" x14ac:dyDescent="0.25">
      <c r="A1384" s="174"/>
      <c r="B1384" s="177"/>
      <c r="C1384" s="43" t="s">
        <v>10763</v>
      </c>
      <c r="D1384" s="43" t="s">
        <v>2800</v>
      </c>
      <c r="E1384" s="44">
        <v>0.34599999999999997</v>
      </c>
      <c r="F1384" s="38">
        <v>31.435500000000001</v>
      </c>
      <c r="G1384" s="38">
        <f>IF(ISNUMBER(F1384),E1384*F1384,"")</f>
        <v>10.876683</v>
      </c>
      <c r="H1384" s="46">
        <f>SUM(G1384:G1386)</f>
        <v>19.508344999999998</v>
      </c>
      <c r="I1384" s="47"/>
      <c r="J1384" s="37">
        <v>0</v>
      </c>
    </row>
    <row r="1385" spans="1:10" hidden="1" x14ac:dyDescent="0.25">
      <c r="A1385" s="174"/>
      <c r="B1385" s="177"/>
      <c r="C1385" s="43" t="s">
        <v>10762</v>
      </c>
      <c r="D1385" s="43" t="s">
        <v>2800</v>
      </c>
      <c r="E1385" s="44">
        <v>0.34599999999999997</v>
      </c>
      <c r="F1385" s="38">
        <v>24.946999999999999</v>
      </c>
      <c r="G1385" s="38">
        <f>IF(ISNUMBER(F1385),E1385*F1385,"")</f>
        <v>8.6316619999999986</v>
      </c>
      <c r="H1385" s="42"/>
      <c r="I1385" s="38"/>
      <c r="J1385" s="37">
        <v>0</v>
      </c>
    </row>
    <row r="1386" spans="1:10" ht="25.5" hidden="1" x14ac:dyDescent="0.25">
      <c r="A1386" s="174"/>
      <c r="B1386" s="177"/>
      <c r="C1386" s="43" t="s">
        <v>319</v>
      </c>
      <c r="D1386" s="62" t="s">
        <v>18</v>
      </c>
      <c r="E1386" s="44">
        <v>1</v>
      </c>
      <c r="F1386" s="41" t="s">
        <v>13</v>
      </c>
      <c r="G1386" s="38" t="str">
        <f>IF(ISNUMBER(F1386),E1386*F1386,"")</f>
        <v/>
      </c>
      <c r="H1386" s="42"/>
      <c r="I1386" s="38"/>
      <c r="J1386" s="37">
        <v>0</v>
      </c>
    </row>
    <row r="1387" spans="1:10" ht="15.75" hidden="1" thickBot="1" x14ac:dyDescent="0.3">
      <c r="A1387" s="175"/>
      <c r="B1387" s="178"/>
      <c r="C1387" s="49"/>
      <c r="D1387" s="63"/>
      <c r="E1387" s="50"/>
      <c r="F1387" s="52" t="s">
        <v>13</v>
      </c>
      <c r="G1387" s="51" t="str">
        <f>IF(ISNUMBER(F1387),E1387*F1387,"")</f>
        <v/>
      </c>
      <c r="H1387" s="53"/>
      <c r="I1387" s="38"/>
      <c r="J1387" s="37">
        <v>0</v>
      </c>
    </row>
    <row r="1388" spans="1:10" ht="15.75" hidden="1" thickBot="1" x14ac:dyDescent="0.3">
      <c r="A1388" s="173" t="s">
        <v>320</v>
      </c>
      <c r="B1388" s="176" t="s">
        <v>3242</v>
      </c>
      <c r="C1388" s="31"/>
      <c r="D1388" s="32" t="s">
        <v>106</v>
      </c>
      <c r="E1388" s="33"/>
      <c r="F1388" s="54" t="s">
        <v>13</v>
      </c>
      <c r="G1388" s="34" t="str">
        <f>IF(ISNUMBER(F1388),E1388*F1388,"")</f>
        <v/>
      </c>
      <c r="H1388" s="35"/>
      <c r="I1388" s="36"/>
      <c r="J1388" s="37">
        <v>0</v>
      </c>
    </row>
    <row r="1389" spans="1:10" hidden="1" x14ac:dyDescent="0.25">
      <c r="A1389" s="174"/>
      <c r="B1389" s="177"/>
      <c r="C1389" s="39"/>
      <c r="D1389" s="39"/>
      <c r="E1389" s="40"/>
      <c r="F1389" s="55" t="s">
        <v>13</v>
      </c>
      <c r="G1389" s="38" t="str">
        <f>IF(ISNUMBER(F1389),E1389*F1389,"")</f>
        <v/>
      </c>
      <c r="H1389" s="42"/>
      <c r="I1389" s="38"/>
      <c r="J1389" s="37">
        <v>0</v>
      </c>
    </row>
    <row r="1390" spans="1:10" ht="25.5" hidden="1" x14ac:dyDescent="0.25">
      <c r="A1390" s="174"/>
      <c r="B1390" s="177"/>
      <c r="C1390" s="43" t="s">
        <v>321</v>
      </c>
      <c r="D1390" s="43" t="s">
        <v>106</v>
      </c>
      <c r="E1390" s="44">
        <v>1.1499999999999999</v>
      </c>
      <c r="F1390" s="41" t="s">
        <v>13</v>
      </c>
      <c r="G1390" s="41" t="str">
        <f>IF(ISNUMBER(F1390),E1390*F1390,"")</f>
        <v/>
      </c>
      <c r="H1390" s="46">
        <f>SUM(G1390:G1392)</f>
        <v>10.148849999999999</v>
      </c>
      <c r="I1390" s="47"/>
      <c r="J1390" s="37">
        <v>0</v>
      </c>
    </row>
    <row r="1391" spans="1:10" hidden="1" x14ac:dyDescent="0.25">
      <c r="A1391" s="174"/>
      <c r="B1391" s="177"/>
      <c r="C1391" s="43" t="s">
        <v>10762</v>
      </c>
      <c r="D1391" s="43" t="s">
        <v>2800</v>
      </c>
      <c r="E1391" s="44">
        <v>0.18</v>
      </c>
      <c r="F1391" s="38">
        <v>24.946999999999999</v>
      </c>
      <c r="G1391" s="41">
        <f>IF(ISNUMBER(F1391),E1391*F1391,"")</f>
        <v>4.4904599999999997</v>
      </c>
      <c r="H1391" s="42"/>
      <c r="I1391" s="38"/>
      <c r="J1391" s="37">
        <v>0</v>
      </c>
    </row>
    <row r="1392" spans="1:10" hidden="1" x14ac:dyDescent="0.25">
      <c r="A1392" s="174"/>
      <c r="B1392" s="177"/>
      <c r="C1392" s="43" t="s">
        <v>10763</v>
      </c>
      <c r="D1392" s="43" t="s">
        <v>2800</v>
      </c>
      <c r="E1392" s="44">
        <v>0.18</v>
      </c>
      <c r="F1392" s="38">
        <v>31.435500000000001</v>
      </c>
      <c r="G1392" s="41">
        <f>IF(ISNUMBER(F1392),E1392*F1392,"")</f>
        <v>5.6583899999999998</v>
      </c>
      <c r="H1392" s="42"/>
      <c r="I1392" s="38"/>
      <c r="J1392" s="37">
        <v>0</v>
      </c>
    </row>
    <row r="1393" spans="1:10" ht="15.75" hidden="1" thickBot="1" x14ac:dyDescent="0.3">
      <c r="A1393" s="175"/>
      <c r="B1393" s="178"/>
      <c r="C1393" s="49"/>
      <c r="D1393" s="49"/>
      <c r="E1393" s="50"/>
      <c r="F1393" s="51" t="s">
        <v>13</v>
      </c>
      <c r="G1393" s="51" t="str">
        <f>IF(ISNUMBER(F1393),E1393*F1393,"")</f>
        <v/>
      </c>
      <c r="H1393" s="53"/>
      <c r="I1393" s="38"/>
      <c r="J1393" s="37">
        <v>0</v>
      </c>
    </row>
    <row r="1394" spans="1:10" ht="15.75" hidden="1" thickBot="1" x14ac:dyDescent="0.3">
      <c r="A1394" s="173" t="s">
        <v>322</v>
      </c>
      <c r="B1394" s="176" t="s">
        <v>3243</v>
      </c>
      <c r="C1394" s="31"/>
      <c r="D1394" s="32" t="s">
        <v>18</v>
      </c>
      <c r="E1394" s="33"/>
      <c r="F1394" s="54" t="s">
        <v>13</v>
      </c>
      <c r="G1394" s="34" t="str">
        <f>IF(ISNUMBER(F1394),E1394*F1394,"")</f>
        <v/>
      </c>
      <c r="H1394" s="35"/>
      <c r="I1394" s="36"/>
      <c r="J1394" s="37">
        <v>0</v>
      </c>
    </row>
    <row r="1395" spans="1:10" hidden="1" x14ac:dyDescent="0.25">
      <c r="A1395" s="174"/>
      <c r="B1395" s="177"/>
      <c r="C1395" s="39"/>
      <c r="D1395" s="39"/>
      <c r="E1395" s="40"/>
      <c r="F1395" s="55" t="s">
        <v>13</v>
      </c>
      <c r="G1395" s="38" t="str">
        <f>IF(ISNUMBER(F1395),E1395*F1395,"")</f>
        <v/>
      </c>
      <c r="H1395" s="42"/>
      <c r="I1395" s="38"/>
      <c r="J1395" s="37">
        <v>0</v>
      </c>
    </row>
    <row r="1396" spans="1:10" hidden="1" x14ac:dyDescent="0.25">
      <c r="A1396" s="174"/>
      <c r="B1396" s="177"/>
      <c r="C1396" s="43" t="s">
        <v>10762</v>
      </c>
      <c r="D1396" s="43" t="s">
        <v>2800</v>
      </c>
      <c r="E1396" s="44">
        <v>0.52539999999999998</v>
      </c>
      <c r="F1396" s="38">
        <v>24.946999999999999</v>
      </c>
      <c r="G1396" s="41">
        <f>IF(ISNUMBER(F1396),E1396*F1396,"")</f>
        <v>13.107153799999999</v>
      </c>
      <c r="H1396" s="46">
        <f>SUM(G1396:G1399)</f>
        <v>48.233865499999993</v>
      </c>
      <c r="I1396" s="47"/>
      <c r="J1396" s="37">
        <v>0</v>
      </c>
    </row>
    <row r="1397" spans="1:10" hidden="1" x14ac:dyDescent="0.25">
      <c r="A1397" s="174"/>
      <c r="B1397" s="177"/>
      <c r="C1397" s="43" t="s">
        <v>10763</v>
      </c>
      <c r="D1397" s="43" t="s">
        <v>2800</v>
      </c>
      <c r="E1397" s="44">
        <v>0.52539999999999998</v>
      </c>
      <c r="F1397" s="38">
        <v>31.435500000000001</v>
      </c>
      <c r="G1397" s="41">
        <f>IF(ISNUMBER(F1397),E1397*F1397,"")</f>
        <v>16.516211699999999</v>
      </c>
      <c r="H1397" s="42"/>
      <c r="I1397" s="38"/>
      <c r="J1397" s="37">
        <v>0</v>
      </c>
    </row>
    <row r="1398" spans="1:10" ht="38.25" hidden="1" x14ac:dyDescent="0.25">
      <c r="A1398" s="174"/>
      <c r="B1398" s="177"/>
      <c r="C1398" s="43" t="s">
        <v>10931</v>
      </c>
      <c r="D1398" s="43" t="s">
        <v>83</v>
      </c>
      <c r="E1398" s="44">
        <v>2</v>
      </c>
      <c r="F1398" s="41">
        <v>0.38949999999999996</v>
      </c>
      <c r="G1398" s="41">
        <f>IF(ISNUMBER(F1398),E1398*F1398,"")</f>
        <v>0.77899999999999991</v>
      </c>
      <c r="H1398" s="42"/>
      <c r="I1398" s="38"/>
      <c r="J1398" s="37">
        <v>0</v>
      </c>
    </row>
    <row r="1399" spans="1:10" ht="25.5" hidden="1" x14ac:dyDescent="0.25">
      <c r="A1399" s="174"/>
      <c r="B1399" s="177"/>
      <c r="C1399" s="43" t="s">
        <v>10932</v>
      </c>
      <c r="D1399" s="43" t="s">
        <v>83</v>
      </c>
      <c r="E1399" s="44">
        <v>1</v>
      </c>
      <c r="F1399" s="41">
        <v>17.831499999999998</v>
      </c>
      <c r="G1399" s="38">
        <f>IF(ISNUMBER(F1399),E1399*F1399,"")</f>
        <v>17.831499999999998</v>
      </c>
      <c r="H1399" s="42"/>
      <c r="I1399" s="38"/>
      <c r="J1399" s="37">
        <v>0</v>
      </c>
    </row>
    <row r="1400" spans="1:10" ht="15.75" hidden="1" thickBot="1" x14ac:dyDescent="0.3">
      <c r="A1400" s="175"/>
      <c r="B1400" s="178"/>
      <c r="C1400" s="49"/>
      <c r="D1400" s="49"/>
      <c r="E1400" s="50"/>
      <c r="F1400" s="51" t="s">
        <v>13</v>
      </c>
      <c r="G1400" s="51" t="str">
        <f>IF(ISNUMBER(F1400),E1400*F1400,"")</f>
        <v/>
      </c>
      <c r="H1400" s="53"/>
      <c r="I1400" s="38"/>
      <c r="J1400" s="37">
        <v>0</v>
      </c>
    </row>
    <row r="1401" spans="1:10" ht="15.75" hidden="1" thickBot="1" x14ac:dyDescent="0.3">
      <c r="A1401" s="173" t="s">
        <v>323</v>
      </c>
      <c r="B1401" s="176" t="s">
        <v>3244</v>
      </c>
      <c r="C1401" s="31"/>
      <c r="D1401" s="32" t="s">
        <v>106</v>
      </c>
      <c r="E1401" s="33"/>
      <c r="F1401" s="54" t="s">
        <v>13</v>
      </c>
      <c r="G1401" s="34" t="str">
        <f>IF(ISNUMBER(F1401),E1401*F1401,"")</f>
        <v/>
      </c>
      <c r="H1401" s="35"/>
      <c r="I1401" s="36"/>
      <c r="J1401" s="37">
        <v>0</v>
      </c>
    </row>
    <row r="1402" spans="1:10" hidden="1" x14ac:dyDescent="0.25">
      <c r="A1402" s="174"/>
      <c r="B1402" s="177"/>
      <c r="C1402" s="39"/>
      <c r="D1402" s="39"/>
      <c r="E1402" s="40"/>
      <c r="F1402" s="55" t="s">
        <v>13</v>
      </c>
      <c r="G1402" s="38" t="str">
        <f>IF(ISNUMBER(F1402),E1402*F1402,"")</f>
        <v/>
      </c>
      <c r="H1402" s="42"/>
      <c r="I1402" s="38"/>
      <c r="J1402" s="37">
        <v>0</v>
      </c>
    </row>
    <row r="1403" spans="1:10" hidden="1" x14ac:dyDescent="0.25">
      <c r="A1403" s="174"/>
      <c r="B1403" s="177"/>
      <c r="C1403" s="43" t="s">
        <v>10763</v>
      </c>
      <c r="D1403" s="43" t="s">
        <v>2800</v>
      </c>
      <c r="E1403" s="44">
        <v>0.45</v>
      </c>
      <c r="F1403" s="38">
        <v>31.435500000000001</v>
      </c>
      <c r="G1403" s="38">
        <f>IF(ISNUMBER(F1403),E1403*F1403,"")</f>
        <v>14.145975</v>
      </c>
      <c r="H1403" s="46">
        <f>SUM(G1403:G1414)</f>
        <v>26.437002800000002</v>
      </c>
      <c r="I1403" s="47"/>
      <c r="J1403" s="37">
        <v>0</v>
      </c>
    </row>
    <row r="1404" spans="1:10" hidden="1" x14ac:dyDescent="0.25">
      <c r="A1404" s="174"/>
      <c r="B1404" s="177"/>
      <c r="C1404" s="43" t="s">
        <v>10762</v>
      </c>
      <c r="D1404" s="43" t="s">
        <v>2800</v>
      </c>
      <c r="E1404" s="44">
        <v>0.45</v>
      </c>
      <c r="F1404" s="38">
        <v>24.946999999999999</v>
      </c>
      <c r="G1404" s="38">
        <f>IF(ISNUMBER(F1404),E1404*F1404,"")</f>
        <v>11.226150000000001</v>
      </c>
      <c r="H1404" s="42"/>
      <c r="I1404" s="38"/>
      <c r="J1404" s="37">
        <v>0</v>
      </c>
    </row>
    <row r="1405" spans="1:10" ht="25.5" hidden="1" x14ac:dyDescent="0.25">
      <c r="A1405" s="174"/>
      <c r="B1405" s="177"/>
      <c r="C1405" s="43" t="s">
        <v>324</v>
      </c>
      <c r="D1405" s="43" t="s">
        <v>87</v>
      </c>
      <c r="E1405" s="44">
        <v>0.67</v>
      </c>
      <c r="F1405" s="38" t="s">
        <v>13</v>
      </c>
      <c r="G1405" s="38" t="str">
        <f>IF(ISNUMBER(F1405),E1405*F1405,"")</f>
        <v/>
      </c>
      <c r="H1405" s="79"/>
      <c r="I1405" s="1"/>
      <c r="J1405" s="37">
        <v>0</v>
      </c>
    </row>
    <row r="1406" spans="1:10" ht="25.5" hidden="1" x14ac:dyDescent="0.25">
      <c r="A1406" s="174"/>
      <c r="B1406" s="177"/>
      <c r="C1406" s="43" t="s">
        <v>325</v>
      </c>
      <c r="D1406" s="43" t="s">
        <v>106</v>
      </c>
      <c r="E1406" s="44">
        <v>1.05</v>
      </c>
      <c r="F1406" s="41" t="s">
        <v>13</v>
      </c>
      <c r="G1406" s="38" t="str">
        <f>IF(ISNUMBER(F1406),E1406*F1406,"")</f>
        <v/>
      </c>
      <c r="H1406" s="42"/>
      <c r="I1406" s="38"/>
      <c r="J1406" s="37">
        <v>0</v>
      </c>
    </row>
    <row r="1407" spans="1:10" hidden="1" x14ac:dyDescent="0.25">
      <c r="A1407" s="174"/>
      <c r="B1407" s="177"/>
      <c r="C1407" s="43" t="s">
        <v>326</v>
      </c>
      <c r="D1407" s="43" t="s">
        <v>106</v>
      </c>
      <c r="E1407" s="44">
        <v>0.8</v>
      </c>
      <c r="F1407" s="38" t="s">
        <v>13</v>
      </c>
      <c r="G1407" s="38" t="str">
        <f>IF(ISNUMBER(F1407),E1407*F1407,"")</f>
        <v/>
      </c>
      <c r="H1407" s="42"/>
      <c r="I1407" s="38"/>
      <c r="J1407" s="37">
        <v>0</v>
      </c>
    </row>
    <row r="1408" spans="1:10" hidden="1" x14ac:dyDescent="0.25">
      <c r="A1408" s="174"/>
      <c r="B1408" s="177"/>
      <c r="C1408" s="43" t="s">
        <v>10933</v>
      </c>
      <c r="D1408" s="43" t="s">
        <v>83</v>
      </c>
      <c r="E1408" s="44">
        <v>4.0033000000000003</v>
      </c>
      <c r="F1408" s="41">
        <v>0.26600000000000001</v>
      </c>
      <c r="G1408" s="38">
        <f>IF(ISNUMBER(F1408),E1408*F1408,"")</f>
        <v>1.0648778000000001</v>
      </c>
      <c r="H1408" s="42"/>
      <c r="I1408" s="38"/>
      <c r="J1408" s="37">
        <v>0</v>
      </c>
    </row>
    <row r="1409" spans="1:10" hidden="1" x14ac:dyDescent="0.25">
      <c r="A1409" s="174"/>
      <c r="B1409" s="177"/>
      <c r="C1409" s="43" t="s">
        <v>327</v>
      </c>
      <c r="D1409" s="43" t="s">
        <v>87</v>
      </c>
      <c r="E1409" s="44">
        <v>4.0033000000000003</v>
      </c>
      <c r="F1409" s="38" t="s">
        <v>13</v>
      </c>
      <c r="G1409" s="38" t="str">
        <f>IF(ISNUMBER(F1409),E1409*F1409,"")</f>
        <v/>
      </c>
      <c r="H1409" s="42"/>
      <c r="I1409" s="38"/>
      <c r="J1409" s="37">
        <v>0</v>
      </c>
    </row>
    <row r="1410" spans="1:10" hidden="1" x14ac:dyDescent="0.25">
      <c r="A1410" s="174"/>
      <c r="B1410" s="177"/>
      <c r="C1410" s="43" t="s">
        <v>328</v>
      </c>
      <c r="D1410" s="43" t="s">
        <v>87</v>
      </c>
      <c r="E1410" s="44">
        <v>0.67</v>
      </c>
      <c r="F1410" s="38" t="s">
        <v>13</v>
      </c>
      <c r="G1410" s="38" t="str">
        <f>IF(ISNUMBER(F1410),E1410*F1410,"")</f>
        <v/>
      </c>
      <c r="H1410" s="42"/>
      <c r="I1410" s="38"/>
      <c r="J1410" s="37">
        <v>0</v>
      </c>
    </row>
    <row r="1411" spans="1:10" hidden="1" x14ac:dyDescent="0.25">
      <c r="A1411" s="174"/>
      <c r="B1411" s="177"/>
      <c r="C1411" s="43" t="s">
        <v>329</v>
      </c>
      <c r="D1411" s="43" t="s">
        <v>87</v>
      </c>
      <c r="E1411" s="44">
        <v>0.67</v>
      </c>
      <c r="F1411" s="38" t="s">
        <v>13</v>
      </c>
      <c r="G1411" s="38" t="str">
        <f>IF(ISNUMBER(F1411),E1411*F1411,"")</f>
        <v/>
      </c>
      <c r="H1411" s="42"/>
      <c r="I1411" s="38"/>
      <c r="J1411" s="37">
        <v>0</v>
      </c>
    </row>
    <row r="1412" spans="1:10" hidden="1" x14ac:dyDescent="0.25">
      <c r="A1412" s="174"/>
      <c r="B1412" s="177"/>
      <c r="C1412" s="43" t="s">
        <v>330</v>
      </c>
      <c r="D1412" s="43" t="s">
        <v>18</v>
      </c>
      <c r="E1412" s="44">
        <v>2.67</v>
      </c>
      <c r="F1412" s="38" t="s">
        <v>13</v>
      </c>
      <c r="G1412" s="38" t="str">
        <f>IF(ISNUMBER(F1412),E1412*F1412,"")</f>
        <v/>
      </c>
      <c r="H1412" s="42"/>
      <c r="I1412" s="38"/>
      <c r="J1412" s="37">
        <v>0</v>
      </c>
    </row>
    <row r="1413" spans="1:10" hidden="1" x14ac:dyDescent="0.25">
      <c r="A1413" s="174"/>
      <c r="B1413" s="177"/>
      <c r="C1413" s="43" t="s">
        <v>331</v>
      </c>
      <c r="D1413" s="43" t="s">
        <v>87</v>
      </c>
      <c r="E1413" s="44">
        <v>0.66669999999999996</v>
      </c>
      <c r="F1413" s="38" t="s">
        <v>13</v>
      </c>
      <c r="G1413" s="38" t="str">
        <f>IF(ISNUMBER(F1413),E1413*F1413,"")</f>
        <v/>
      </c>
      <c r="H1413" s="42"/>
      <c r="I1413" s="38"/>
      <c r="J1413" s="37">
        <v>0</v>
      </c>
    </row>
    <row r="1414" spans="1:10" ht="25.5" hidden="1" x14ac:dyDescent="0.25">
      <c r="A1414" s="174"/>
      <c r="B1414" s="177"/>
      <c r="C1414" s="43" t="s">
        <v>332</v>
      </c>
      <c r="D1414" s="43" t="s">
        <v>106</v>
      </c>
      <c r="E1414" s="44">
        <v>1.05</v>
      </c>
      <c r="F1414" s="41" t="s">
        <v>13</v>
      </c>
      <c r="G1414" s="38" t="str">
        <f>IF(ISNUMBER(F1414),E1414*F1414,"")</f>
        <v/>
      </c>
      <c r="H1414" s="42"/>
      <c r="I1414" s="38"/>
      <c r="J1414" s="37">
        <v>0</v>
      </c>
    </row>
    <row r="1415" spans="1:10" ht="15.75" hidden="1" thickBot="1" x14ac:dyDescent="0.3">
      <c r="A1415" s="175"/>
      <c r="B1415" s="178"/>
      <c r="C1415" s="49"/>
      <c r="D1415" s="49"/>
      <c r="E1415" s="50"/>
      <c r="F1415" s="51" t="s">
        <v>13</v>
      </c>
      <c r="G1415" s="51" t="str">
        <f>IF(ISNUMBER(F1415),E1415*F1415,"")</f>
        <v/>
      </c>
      <c r="H1415" s="53"/>
      <c r="I1415" s="38"/>
      <c r="J1415" s="37">
        <v>0</v>
      </c>
    </row>
    <row r="1416" spans="1:10" ht="15.75" hidden="1" thickBot="1" x14ac:dyDescent="0.3">
      <c r="A1416" s="173" t="s">
        <v>333</v>
      </c>
      <c r="B1416" s="176" t="s">
        <v>3245</v>
      </c>
      <c r="C1416" s="31"/>
      <c r="D1416" s="32" t="s">
        <v>106</v>
      </c>
      <c r="E1416" s="33"/>
      <c r="F1416" s="54" t="s">
        <v>13</v>
      </c>
      <c r="G1416" s="34" t="str">
        <f>IF(ISNUMBER(F1416),E1416*F1416,"")</f>
        <v/>
      </c>
      <c r="H1416" s="35"/>
      <c r="I1416" s="36"/>
      <c r="J1416" s="37">
        <v>0</v>
      </c>
    </row>
    <row r="1417" spans="1:10" hidden="1" x14ac:dyDescent="0.25">
      <c r="A1417" s="174"/>
      <c r="B1417" s="177"/>
      <c r="C1417" s="39"/>
      <c r="D1417" s="39"/>
      <c r="E1417" s="40"/>
      <c r="F1417" s="55" t="s">
        <v>13</v>
      </c>
      <c r="G1417" s="38" t="str">
        <f>IF(ISNUMBER(F1417),E1417*F1417,"")</f>
        <v/>
      </c>
      <c r="H1417" s="42"/>
      <c r="I1417" s="38"/>
      <c r="J1417" s="37">
        <v>0</v>
      </c>
    </row>
    <row r="1418" spans="1:10" hidden="1" x14ac:dyDescent="0.25">
      <c r="A1418" s="174"/>
      <c r="B1418" s="177"/>
      <c r="C1418" s="43" t="s">
        <v>10763</v>
      </c>
      <c r="D1418" s="43" t="s">
        <v>2800</v>
      </c>
      <c r="E1418" s="44">
        <v>0.6</v>
      </c>
      <c r="F1418" s="38">
        <v>31.435500000000001</v>
      </c>
      <c r="G1418" s="38">
        <f>IF(ISNUMBER(F1418),E1418*F1418,"")</f>
        <v>18.8613</v>
      </c>
      <c r="H1418" s="46">
        <f>SUM(G1418:G1429)</f>
        <v>35.249062199999997</v>
      </c>
      <c r="I1418" s="47"/>
      <c r="J1418" s="37">
        <v>0</v>
      </c>
    </row>
    <row r="1419" spans="1:10" hidden="1" x14ac:dyDescent="0.25">
      <c r="A1419" s="174"/>
      <c r="B1419" s="177"/>
      <c r="C1419" s="43" t="s">
        <v>10762</v>
      </c>
      <c r="D1419" s="43" t="s">
        <v>2800</v>
      </c>
      <c r="E1419" s="44">
        <v>0.6</v>
      </c>
      <c r="F1419" s="38">
        <v>24.946999999999999</v>
      </c>
      <c r="G1419" s="38">
        <f>IF(ISNUMBER(F1419),E1419*F1419,"")</f>
        <v>14.9682</v>
      </c>
      <c r="H1419" s="42"/>
      <c r="I1419" s="38"/>
      <c r="J1419" s="37">
        <v>0</v>
      </c>
    </row>
    <row r="1420" spans="1:10" ht="25.5" hidden="1" x14ac:dyDescent="0.25">
      <c r="A1420" s="174"/>
      <c r="B1420" s="177"/>
      <c r="C1420" s="43" t="s">
        <v>324</v>
      </c>
      <c r="D1420" s="43" t="s">
        <v>87</v>
      </c>
      <c r="E1420" s="44">
        <v>1.3332999999999999</v>
      </c>
      <c r="F1420" s="38" t="s">
        <v>13</v>
      </c>
      <c r="G1420" s="38" t="str">
        <f>IF(ISNUMBER(F1420),E1420*F1420,"")</f>
        <v/>
      </c>
      <c r="H1420" s="79"/>
      <c r="I1420" s="1"/>
      <c r="J1420" s="37">
        <v>0</v>
      </c>
    </row>
    <row r="1421" spans="1:10" ht="25.5" hidden="1" x14ac:dyDescent="0.25">
      <c r="A1421" s="174"/>
      <c r="B1421" s="177"/>
      <c r="C1421" s="43" t="s">
        <v>334</v>
      </c>
      <c r="D1421" s="43" t="s">
        <v>106</v>
      </c>
      <c r="E1421" s="44">
        <v>1.05</v>
      </c>
      <c r="F1421" s="41" t="s">
        <v>13</v>
      </c>
      <c r="G1421" s="38" t="str">
        <f>IF(ISNUMBER(F1421),E1421*F1421,"")</f>
        <v/>
      </c>
      <c r="H1421" s="42"/>
      <c r="I1421" s="38"/>
      <c r="J1421" s="37">
        <v>0</v>
      </c>
    </row>
    <row r="1422" spans="1:10" hidden="1" x14ac:dyDescent="0.25">
      <c r="A1422" s="174"/>
      <c r="B1422" s="177"/>
      <c r="C1422" s="43" t="s">
        <v>326</v>
      </c>
      <c r="D1422" s="43" t="s">
        <v>106</v>
      </c>
      <c r="E1422" s="44">
        <v>1.6</v>
      </c>
      <c r="F1422" s="38" t="s">
        <v>13</v>
      </c>
      <c r="G1422" s="38" t="str">
        <f>IF(ISNUMBER(F1422),E1422*F1422,"")</f>
        <v/>
      </c>
      <c r="H1422" s="42"/>
      <c r="I1422" s="38"/>
      <c r="J1422" s="37">
        <v>0</v>
      </c>
    </row>
    <row r="1423" spans="1:10" hidden="1" x14ac:dyDescent="0.25">
      <c r="A1423" s="174"/>
      <c r="B1423" s="177"/>
      <c r="C1423" s="43" t="s">
        <v>10933</v>
      </c>
      <c r="D1423" s="43" t="s">
        <v>83</v>
      </c>
      <c r="E1423" s="44">
        <v>5.3367000000000004</v>
      </c>
      <c r="F1423" s="41">
        <v>0.26600000000000001</v>
      </c>
      <c r="G1423" s="38">
        <f>IF(ISNUMBER(F1423),E1423*F1423,"")</f>
        <v>1.4195622000000001</v>
      </c>
      <c r="H1423" s="42"/>
      <c r="I1423" s="38"/>
      <c r="J1423" s="37">
        <v>0</v>
      </c>
    </row>
    <row r="1424" spans="1:10" hidden="1" x14ac:dyDescent="0.25">
      <c r="A1424" s="174"/>
      <c r="B1424" s="177"/>
      <c r="C1424" s="43" t="s">
        <v>327</v>
      </c>
      <c r="D1424" s="43" t="s">
        <v>87</v>
      </c>
      <c r="E1424" s="44">
        <v>5.34</v>
      </c>
      <c r="F1424" s="38" t="s">
        <v>13</v>
      </c>
      <c r="G1424" s="38" t="str">
        <f>IF(ISNUMBER(F1424),E1424*F1424,"")</f>
        <v/>
      </c>
      <c r="H1424" s="42"/>
      <c r="I1424" s="38"/>
      <c r="J1424" s="37">
        <v>0</v>
      </c>
    </row>
    <row r="1425" spans="1:10" hidden="1" x14ac:dyDescent="0.25">
      <c r="A1425" s="174"/>
      <c r="B1425" s="177"/>
      <c r="C1425" s="43" t="s">
        <v>335</v>
      </c>
      <c r="D1425" s="43" t="s">
        <v>87</v>
      </c>
      <c r="E1425" s="44">
        <v>0.67</v>
      </c>
      <c r="F1425" s="38" t="s">
        <v>13</v>
      </c>
      <c r="G1425" s="38" t="str">
        <f>IF(ISNUMBER(F1425),E1425*F1425,"")</f>
        <v/>
      </c>
      <c r="H1425" s="42"/>
      <c r="I1425" s="38"/>
      <c r="J1425" s="37">
        <v>0</v>
      </c>
    </row>
    <row r="1426" spans="1:10" hidden="1" x14ac:dyDescent="0.25">
      <c r="A1426" s="174"/>
      <c r="B1426" s="177"/>
      <c r="C1426" s="43" t="s">
        <v>329</v>
      </c>
      <c r="D1426" s="43" t="s">
        <v>87</v>
      </c>
      <c r="E1426" s="44">
        <v>1.3332999999999999</v>
      </c>
      <c r="F1426" s="38" t="s">
        <v>13</v>
      </c>
      <c r="G1426" s="38" t="str">
        <f>IF(ISNUMBER(F1426),E1426*F1426,"")</f>
        <v/>
      </c>
      <c r="H1426" s="42"/>
      <c r="I1426" s="38"/>
      <c r="J1426" s="37">
        <v>0</v>
      </c>
    </row>
    <row r="1427" spans="1:10" hidden="1" x14ac:dyDescent="0.25">
      <c r="A1427" s="174"/>
      <c r="B1427" s="177"/>
      <c r="C1427" s="43" t="s">
        <v>330</v>
      </c>
      <c r="D1427" s="43" t="s">
        <v>18</v>
      </c>
      <c r="E1427" s="44">
        <v>2.67</v>
      </c>
      <c r="F1427" s="38" t="s">
        <v>13</v>
      </c>
      <c r="G1427" s="38" t="str">
        <f>IF(ISNUMBER(F1427),E1427*F1427,"")</f>
        <v/>
      </c>
      <c r="H1427" s="42"/>
      <c r="I1427" s="38"/>
      <c r="J1427" s="37">
        <v>0</v>
      </c>
    </row>
    <row r="1428" spans="1:10" hidden="1" x14ac:dyDescent="0.25">
      <c r="A1428" s="174"/>
      <c r="B1428" s="177"/>
      <c r="C1428" s="43" t="s">
        <v>336</v>
      </c>
      <c r="D1428" s="43" t="s">
        <v>87</v>
      </c>
      <c r="E1428" s="44">
        <v>0.67</v>
      </c>
      <c r="F1428" s="38" t="s">
        <v>13</v>
      </c>
      <c r="G1428" s="38" t="str">
        <f>IF(ISNUMBER(F1428),E1428*F1428,"")</f>
        <v/>
      </c>
      <c r="H1428" s="42"/>
      <c r="I1428" s="38"/>
      <c r="J1428" s="37">
        <v>0</v>
      </c>
    </row>
    <row r="1429" spans="1:10" ht="25.5" hidden="1" x14ac:dyDescent="0.25">
      <c r="A1429" s="174"/>
      <c r="B1429" s="177"/>
      <c r="C1429" s="43" t="s">
        <v>337</v>
      </c>
      <c r="D1429" s="43" t="s">
        <v>106</v>
      </c>
      <c r="E1429" s="44">
        <v>1.05</v>
      </c>
      <c r="F1429" s="41" t="s">
        <v>13</v>
      </c>
      <c r="G1429" s="38" t="str">
        <f>IF(ISNUMBER(F1429),E1429*F1429,"")</f>
        <v/>
      </c>
      <c r="H1429" s="42"/>
      <c r="I1429" s="38"/>
      <c r="J1429" s="37">
        <v>0</v>
      </c>
    </row>
    <row r="1430" spans="1:10" ht="15.75" hidden="1" thickBot="1" x14ac:dyDescent="0.3">
      <c r="A1430" s="175"/>
      <c r="B1430" s="178"/>
      <c r="C1430" s="49"/>
      <c r="D1430" s="49"/>
      <c r="E1430" s="50"/>
      <c r="F1430" s="51" t="s">
        <v>13</v>
      </c>
      <c r="G1430" s="51" t="str">
        <f>IF(ISNUMBER(F1430),E1430*F1430,"")</f>
        <v/>
      </c>
      <c r="H1430" s="53"/>
      <c r="I1430" s="38"/>
      <c r="J1430" s="37">
        <v>0</v>
      </c>
    </row>
    <row r="1431" spans="1:10" ht="15.75" hidden="1" thickBot="1" x14ac:dyDescent="0.3">
      <c r="A1431" s="173" t="s">
        <v>338</v>
      </c>
      <c r="B1431" s="176" t="s">
        <v>3246</v>
      </c>
      <c r="C1431" s="31"/>
      <c r="D1431" s="32" t="s">
        <v>106</v>
      </c>
      <c r="E1431" s="33"/>
      <c r="F1431" s="54" t="s">
        <v>13</v>
      </c>
      <c r="G1431" s="34" t="str">
        <f>IF(ISNUMBER(F1431),E1431*F1431,"")</f>
        <v/>
      </c>
      <c r="H1431" s="35"/>
      <c r="I1431" s="36"/>
      <c r="J1431" s="37">
        <v>0</v>
      </c>
    </row>
    <row r="1432" spans="1:10" hidden="1" x14ac:dyDescent="0.25">
      <c r="A1432" s="174"/>
      <c r="B1432" s="177"/>
      <c r="C1432" s="39"/>
      <c r="D1432" s="39"/>
      <c r="E1432" s="40"/>
      <c r="F1432" s="55" t="s">
        <v>13</v>
      </c>
      <c r="G1432" s="38" t="str">
        <f>IF(ISNUMBER(F1432),E1432*F1432,"")</f>
        <v/>
      </c>
      <c r="H1432" s="42"/>
      <c r="I1432" s="38"/>
      <c r="J1432" s="37">
        <v>0</v>
      </c>
    </row>
    <row r="1433" spans="1:10" hidden="1" x14ac:dyDescent="0.25">
      <c r="A1433" s="174"/>
      <c r="B1433" s="177"/>
      <c r="C1433" s="43" t="s">
        <v>10763</v>
      </c>
      <c r="D1433" s="43" t="s">
        <v>2800</v>
      </c>
      <c r="E1433" s="44">
        <v>0.5</v>
      </c>
      <c r="F1433" s="38">
        <v>31.435500000000001</v>
      </c>
      <c r="G1433" s="38">
        <f>IF(ISNUMBER(F1433),E1433*F1433,"")</f>
        <v>15.717750000000001</v>
      </c>
      <c r="H1433" s="46">
        <f>SUM(G1433:G1444)</f>
        <v>29.610812200000002</v>
      </c>
      <c r="I1433" s="47"/>
      <c r="J1433" s="37">
        <v>0</v>
      </c>
    </row>
    <row r="1434" spans="1:10" hidden="1" x14ac:dyDescent="0.25">
      <c r="A1434" s="174"/>
      <c r="B1434" s="177"/>
      <c r="C1434" s="43" t="s">
        <v>10762</v>
      </c>
      <c r="D1434" s="43" t="s">
        <v>2800</v>
      </c>
      <c r="E1434" s="44">
        <v>0.5</v>
      </c>
      <c r="F1434" s="38">
        <v>24.946999999999999</v>
      </c>
      <c r="G1434" s="38">
        <f>IF(ISNUMBER(F1434),E1434*F1434,"")</f>
        <v>12.4735</v>
      </c>
      <c r="H1434" s="42"/>
      <c r="I1434" s="38"/>
      <c r="J1434" s="37">
        <v>0</v>
      </c>
    </row>
    <row r="1435" spans="1:10" ht="25.5" hidden="1" x14ac:dyDescent="0.25">
      <c r="A1435" s="174"/>
      <c r="B1435" s="177"/>
      <c r="C1435" s="43" t="s">
        <v>324</v>
      </c>
      <c r="D1435" s="43" t="s">
        <v>87</v>
      </c>
      <c r="E1435" s="44">
        <v>1.3332999999999999</v>
      </c>
      <c r="F1435" s="38" t="s">
        <v>13</v>
      </c>
      <c r="G1435" s="38" t="str">
        <f>IF(ISNUMBER(F1435),E1435*F1435,"")</f>
        <v/>
      </c>
      <c r="H1435" s="79"/>
      <c r="I1435" s="1"/>
      <c r="J1435" s="37">
        <v>0</v>
      </c>
    </row>
    <row r="1436" spans="1:10" ht="25.5" hidden="1" x14ac:dyDescent="0.25">
      <c r="A1436" s="174"/>
      <c r="B1436" s="177"/>
      <c r="C1436" s="43" t="s">
        <v>339</v>
      </c>
      <c r="D1436" s="43" t="s">
        <v>106</v>
      </c>
      <c r="E1436" s="44">
        <v>1.05</v>
      </c>
      <c r="F1436" s="41" t="s">
        <v>13</v>
      </c>
      <c r="G1436" s="38" t="str">
        <f>IF(ISNUMBER(F1436),E1436*F1436,"")</f>
        <v/>
      </c>
      <c r="H1436" s="42"/>
      <c r="I1436" s="38"/>
      <c r="J1436" s="37">
        <v>0</v>
      </c>
    </row>
    <row r="1437" spans="1:10" hidden="1" x14ac:dyDescent="0.25">
      <c r="A1437" s="174"/>
      <c r="B1437" s="177"/>
      <c r="C1437" s="43" t="s">
        <v>326</v>
      </c>
      <c r="D1437" s="43" t="s">
        <v>106</v>
      </c>
      <c r="E1437" s="44">
        <v>1.6</v>
      </c>
      <c r="F1437" s="38" t="s">
        <v>13</v>
      </c>
      <c r="G1437" s="38" t="str">
        <f>IF(ISNUMBER(F1437),E1437*F1437,"")</f>
        <v/>
      </c>
      <c r="H1437" s="42"/>
      <c r="I1437" s="38"/>
      <c r="J1437" s="37">
        <v>0</v>
      </c>
    </row>
    <row r="1438" spans="1:10" hidden="1" x14ac:dyDescent="0.25">
      <c r="A1438" s="174"/>
      <c r="B1438" s="177"/>
      <c r="C1438" s="43" t="s">
        <v>10933</v>
      </c>
      <c r="D1438" s="43" t="s">
        <v>83</v>
      </c>
      <c r="E1438" s="44">
        <v>5.3367000000000004</v>
      </c>
      <c r="F1438" s="41">
        <v>0.26600000000000001</v>
      </c>
      <c r="G1438" s="38">
        <f>IF(ISNUMBER(F1438),E1438*F1438,"")</f>
        <v>1.4195622000000001</v>
      </c>
      <c r="H1438" s="42"/>
      <c r="I1438" s="38"/>
      <c r="J1438" s="37">
        <v>0</v>
      </c>
    </row>
    <row r="1439" spans="1:10" hidden="1" x14ac:dyDescent="0.25">
      <c r="A1439" s="174"/>
      <c r="B1439" s="177"/>
      <c r="C1439" s="43" t="s">
        <v>327</v>
      </c>
      <c r="D1439" s="43" t="s">
        <v>87</v>
      </c>
      <c r="E1439" s="44">
        <v>5.34</v>
      </c>
      <c r="F1439" s="38" t="s">
        <v>13</v>
      </c>
      <c r="G1439" s="38" t="str">
        <f>IF(ISNUMBER(F1439),E1439*F1439,"")</f>
        <v/>
      </c>
      <c r="H1439" s="42"/>
      <c r="I1439" s="38"/>
      <c r="J1439" s="37">
        <v>0</v>
      </c>
    </row>
    <row r="1440" spans="1:10" hidden="1" x14ac:dyDescent="0.25">
      <c r="A1440" s="174"/>
      <c r="B1440" s="177"/>
      <c r="C1440" s="43" t="s">
        <v>340</v>
      </c>
      <c r="D1440" s="43" t="s">
        <v>87</v>
      </c>
      <c r="E1440" s="44">
        <v>0.67</v>
      </c>
      <c r="F1440" s="38" t="s">
        <v>13</v>
      </c>
      <c r="G1440" s="38" t="str">
        <f>IF(ISNUMBER(F1440),E1440*F1440,"")</f>
        <v/>
      </c>
      <c r="H1440" s="42"/>
      <c r="I1440" s="38"/>
      <c r="J1440" s="37">
        <v>0</v>
      </c>
    </row>
    <row r="1441" spans="1:10" hidden="1" x14ac:dyDescent="0.25">
      <c r="A1441" s="174"/>
      <c r="B1441" s="177"/>
      <c r="C1441" s="43" t="s">
        <v>329</v>
      </c>
      <c r="D1441" s="43" t="s">
        <v>87</v>
      </c>
      <c r="E1441" s="44">
        <v>1.3332999999999999</v>
      </c>
      <c r="F1441" s="38" t="s">
        <v>13</v>
      </c>
      <c r="G1441" s="38" t="str">
        <f>IF(ISNUMBER(F1441),E1441*F1441,"")</f>
        <v/>
      </c>
      <c r="H1441" s="42"/>
      <c r="I1441" s="38"/>
      <c r="J1441" s="37">
        <v>0</v>
      </c>
    </row>
    <row r="1442" spans="1:10" hidden="1" x14ac:dyDescent="0.25">
      <c r="A1442" s="174"/>
      <c r="B1442" s="177"/>
      <c r="C1442" s="43" t="s">
        <v>330</v>
      </c>
      <c r="D1442" s="43" t="s">
        <v>18</v>
      </c>
      <c r="E1442" s="44">
        <v>2.67</v>
      </c>
      <c r="F1442" s="38" t="s">
        <v>13</v>
      </c>
      <c r="G1442" s="38" t="str">
        <f>IF(ISNUMBER(F1442),E1442*F1442,"")</f>
        <v/>
      </c>
      <c r="H1442" s="42"/>
      <c r="I1442" s="38"/>
      <c r="J1442" s="37">
        <v>0</v>
      </c>
    </row>
    <row r="1443" spans="1:10" hidden="1" x14ac:dyDescent="0.25">
      <c r="A1443" s="174"/>
      <c r="B1443" s="177"/>
      <c r="C1443" s="43" t="s">
        <v>331</v>
      </c>
      <c r="D1443" s="43" t="s">
        <v>87</v>
      </c>
      <c r="E1443" s="44">
        <v>0.67</v>
      </c>
      <c r="F1443" s="38" t="s">
        <v>13</v>
      </c>
      <c r="G1443" s="38" t="str">
        <f>IF(ISNUMBER(F1443),E1443*F1443,"")</f>
        <v/>
      </c>
      <c r="H1443" s="42"/>
      <c r="I1443" s="38"/>
      <c r="J1443" s="37">
        <v>0</v>
      </c>
    </row>
    <row r="1444" spans="1:10" ht="25.5" hidden="1" x14ac:dyDescent="0.25">
      <c r="A1444" s="174"/>
      <c r="B1444" s="177"/>
      <c r="C1444" s="43" t="s">
        <v>337</v>
      </c>
      <c r="D1444" s="43" t="s">
        <v>106</v>
      </c>
      <c r="E1444" s="44">
        <v>1.05</v>
      </c>
      <c r="F1444" s="41" t="s">
        <v>13</v>
      </c>
      <c r="G1444" s="38" t="str">
        <f>IF(ISNUMBER(F1444),E1444*F1444,"")</f>
        <v/>
      </c>
      <c r="H1444" s="42"/>
      <c r="I1444" s="38"/>
      <c r="J1444" s="37">
        <v>0</v>
      </c>
    </row>
    <row r="1445" spans="1:10" ht="15.75" hidden="1" thickBot="1" x14ac:dyDescent="0.3">
      <c r="A1445" s="175"/>
      <c r="B1445" s="178"/>
      <c r="C1445" s="49"/>
      <c r="D1445" s="49"/>
      <c r="E1445" s="50"/>
      <c r="F1445" s="51" t="s">
        <v>13</v>
      </c>
      <c r="G1445" s="51" t="str">
        <f>IF(ISNUMBER(F1445),E1445*F1445,"")</f>
        <v/>
      </c>
      <c r="H1445" s="53"/>
      <c r="I1445" s="38"/>
      <c r="J1445" s="37">
        <v>0</v>
      </c>
    </row>
    <row r="1446" spans="1:10" ht="15.75" hidden="1" thickBot="1" x14ac:dyDescent="0.3">
      <c r="A1446" s="173" t="s">
        <v>341</v>
      </c>
      <c r="B1446" s="176" t="s">
        <v>3247</v>
      </c>
      <c r="C1446" s="31"/>
      <c r="D1446" s="32" t="s">
        <v>106</v>
      </c>
      <c r="E1446" s="33"/>
      <c r="F1446" s="54" t="s">
        <v>13</v>
      </c>
      <c r="G1446" s="34" t="str">
        <f>IF(ISNUMBER(F1446),E1446*F1446,"")</f>
        <v/>
      </c>
      <c r="H1446" s="35"/>
      <c r="I1446" s="36"/>
      <c r="J1446" s="37">
        <v>0</v>
      </c>
    </row>
    <row r="1447" spans="1:10" hidden="1" x14ac:dyDescent="0.25">
      <c r="A1447" s="174"/>
      <c r="B1447" s="177"/>
      <c r="C1447" s="39"/>
      <c r="D1447" s="39"/>
      <c r="E1447" s="40"/>
      <c r="F1447" s="55" t="s">
        <v>13</v>
      </c>
      <c r="G1447" s="38" t="str">
        <f>IF(ISNUMBER(F1447),E1447*F1447,"")</f>
        <v/>
      </c>
      <c r="H1447" s="42"/>
      <c r="I1447" s="38"/>
      <c r="J1447" s="37">
        <v>0</v>
      </c>
    </row>
    <row r="1448" spans="1:10" hidden="1" x14ac:dyDescent="0.25">
      <c r="A1448" s="174"/>
      <c r="B1448" s="177"/>
      <c r="C1448" s="43" t="s">
        <v>10763</v>
      </c>
      <c r="D1448" s="43" t="s">
        <v>2800</v>
      </c>
      <c r="E1448" s="44">
        <v>0.65</v>
      </c>
      <c r="F1448" s="38">
        <v>31.435500000000001</v>
      </c>
      <c r="G1448" s="38">
        <f>IF(ISNUMBER(F1448),E1448*F1448,"")</f>
        <v>20.433075000000002</v>
      </c>
      <c r="H1448" s="46">
        <f>SUM(G1448:G1459)</f>
        <v>38.068187200000004</v>
      </c>
      <c r="I1448" s="47"/>
      <c r="J1448" s="37">
        <v>0</v>
      </c>
    </row>
    <row r="1449" spans="1:10" hidden="1" x14ac:dyDescent="0.25">
      <c r="A1449" s="174"/>
      <c r="B1449" s="177"/>
      <c r="C1449" s="43" t="s">
        <v>10762</v>
      </c>
      <c r="D1449" s="43" t="s">
        <v>2800</v>
      </c>
      <c r="E1449" s="44">
        <v>0.65</v>
      </c>
      <c r="F1449" s="38">
        <v>24.946999999999999</v>
      </c>
      <c r="G1449" s="38">
        <f>IF(ISNUMBER(F1449),E1449*F1449,"")</f>
        <v>16.21555</v>
      </c>
      <c r="H1449" s="42"/>
      <c r="I1449" s="38"/>
      <c r="J1449" s="37">
        <v>0</v>
      </c>
    </row>
    <row r="1450" spans="1:10" ht="25.5" hidden="1" x14ac:dyDescent="0.25">
      <c r="A1450" s="174"/>
      <c r="B1450" s="177"/>
      <c r="C1450" s="43" t="s">
        <v>324</v>
      </c>
      <c r="D1450" s="43" t="s">
        <v>87</v>
      </c>
      <c r="E1450" s="44">
        <v>1.3332999999999999</v>
      </c>
      <c r="F1450" s="38" t="s">
        <v>13</v>
      </c>
      <c r="G1450" s="38" t="str">
        <f>IF(ISNUMBER(F1450),E1450*F1450,"")</f>
        <v/>
      </c>
      <c r="H1450" s="79"/>
      <c r="I1450" s="1"/>
      <c r="J1450" s="37">
        <v>0</v>
      </c>
    </row>
    <row r="1451" spans="1:10" ht="25.5" hidden="1" x14ac:dyDescent="0.25">
      <c r="A1451" s="174"/>
      <c r="B1451" s="177"/>
      <c r="C1451" s="43" t="s">
        <v>342</v>
      </c>
      <c r="D1451" s="43" t="s">
        <v>106</v>
      </c>
      <c r="E1451" s="44">
        <v>1.05</v>
      </c>
      <c r="F1451" s="41" t="s">
        <v>13</v>
      </c>
      <c r="G1451" s="38" t="str">
        <f>IF(ISNUMBER(F1451),E1451*F1451,"")</f>
        <v/>
      </c>
      <c r="H1451" s="42"/>
      <c r="I1451" s="38"/>
      <c r="J1451" s="37">
        <v>0</v>
      </c>
    </row>
    <row r="1452" spans="1:10" hidden="1" x14ac:dyDescent="0.25">
      <c r="A1452" s="174"/>
      <c r="B1452" s="177"/>
      <c r="C1452" s="43" t="s">
        <v>326</v>
      </c>
      <c r="D1452" s="43" t="s">
        <v>106</v>
      </c>
      <c r="E1452" s="44">
        <v>1.6</v>
      </c>
      <c r="F1452" s="38" t="s">
        <v>13</v>
      </c>
      <c r="G1452" s="38" t="str">
        <f>IF(ISNUMBER(F1452),E1452*F1452,"")</f>
        <v/>
      </c>
      <c r="H1452" s="42"/>
      <c r="I1452" s="38"/>
      <c r="J1452" s="37">
        <v>0</v>
      </c>
    </row>
    <row r="1453" spans="1:10" hidden="1" x14ac:dyDescent="0.25">
      <c r="A1453" s="174"/>
      <c r="B1453" s="177"/>
      <c r="C1453" s="43" t="s">
        <v>10933</v>
      </c>
      <c r="D1453" s="43" t="s">
        <v>83</v>
      </c>
      <c r="E1453" s="44">
        <v>5.3367000000000004</v>
      </c>
      <c r="F1453" s="41">
        <v>0.26600000000000001</v>
      </c>
      <c r="G1453" s="38">
        <f>IF(ISNUMBER(F1453),E1453*F1453,"")</f>
        <v>1.4195622000000001</v>
      </c>
      <c r="H1453" s="42"/>
      <c r="I1453" s="38"/>
      <c r="J1453" s="37">
        <v>0</v>
      </c>
    </row>
    <row r="1454" spans="1:10" hidden="1" x14ac:dyDescent="0.25">
      <c r="A1454" s="174"/>
      <c r="B1454" s="177"/>
      <c r="C1454" s="43" t="s">
        <v>327</v>
      </c>
      <c r="D1454" s="43" t="s">
        <v>87</v>
      </c>
      <c r="E1454" s="44">
        <v>5.34</v>
      </c>
      <c r="F1454" s="38" t="s">
        <v>13</v>
      </c>
      <c r="G1454" s="38" t="str">
        <f>IF(ISNUMBER(F1454),E1454*F1454,"")</f>
        <v/>
      </c>
      <c r="H1454" s="42"/>
      <c r="I1454" s="38"/>
      <c r="J1454" s="37">
        <v>0</v>
      </c>
    </row>
    <row r="1455" spans="1:10" hidden="1" x14ac:dyDescent="0.25">
      <c r="A1455" s="174"/>
      <c r="B1455" s="177"/>
      <c r="C1455" s="43" t="s">
        <v>343</v>
      </c>
      <c r="D1455" s="43" t="s">
        <v>87</v>
      </c>
      <c r="E1455" s="44">
        <v>0.67</v>
      </c>
      <c r="F1455" s="38" t="s">
        <v>13</v>
      </c>
      <c r="G1455" s="38" t="str">
        <f>IF(ISNUMBER(F1455),E1455*F1455,"")</f>
        <v/>
      </c>
      <c r="H1455" s="42"/>
      <c r="I1455" s="38"/>
      <c r="J1455" s="37">
        <v>0</v>
      </c>
    </row>
    <row r="1456" spans="1:10" hidden="1" x14ac:dyDescent="0.25">
      <c r="A1456" s="174"/>
      <c r="B1456" s="177"/>
      <c r="C1456" s="43" t="s">
        <v>329</v>
      </c>
      <c r="D1456" s="43" t="s">
        <v>87</v>
      </c>
      <c r="E1456" s="44">
        <v>1.3332999999999999</v>
      </c>
      <c r="F1456" s="38" t="s">
        <v>13</v>
      </c>
      <c r="G1456" s="38" t="str">
        <f>IF(ISNUMBER(F1456),E1456*F1456,"")</f>
        <v/>
      </c>
      <c r="H1456" s="42"/>
      <c r="I1456" s="38"/>
      <c r="J1456" s="37">
        <v>0</v>
      </c>
    </row>
    <row r="1457" spans="1:10" hidden="1" x14ac:dyDescent="0.25">
      <c r="A1457" s="174"/>
      <c r="B1457" s="177"/>
      <c r="C1457" s="43" t="s">
        <v>330</v>
      </c>
      <c r="D1457" s="43" t="s">
        <v>18</v>
      </c>
      <c r="E1457" s="44">
        <v>2.67</v>
      </c>
      <c r="F1457" s="38" t="s">
        <v>13</v>
      </c>
      <c r="G1457" s="38" t="str">
        <f>IF(ISNUMBER(F1457),E1457*F1457,"")</f>
        <v/>
      </c>
      <c r="H1457" s="42"/>
      <c r="I1457" s="38"/>
      <c r="J1457" s="37">
        <v>0</v>
      </c>
    </row>
    <row r="1458" spans="1:10" hidden="1" x14ac:dyDescent="0.25">
      <c r="A1458" s="174"/>
      <c r="B1458" s="177"/>
      <c r="C1458" s="43" t="s">
        <v>336</v>
      </c>
      <c r="D1458" s="43" t="s">
        <v>87</v>
      </c>
      <c r="E1458" s="44">
        <v>0.67</v>
      </c>
      <c r="F1458" s="38" t="s">
        <v>13</v>
      </c>
      <c r="G1458" s="38" t="str">
        <f>IF(ISNUMBER(F1458),E1458*F1458,"")</f>
        <v/>
      </c>
      <c r="H1458" s="42"/>
      <c r="I1458" s="38"/>
      <c r="J1458" s="37">
        <v>0</v>
      </c>
    </row>
    <row r="1459" spans="1:10" ht="25.5" hidden="1" x14ac:dyDescent="0.25">
      <c r="A1459" s="174"/>
      <c r="B1459" s="177"/>
      <c r="C1459" s="43" t="s">
        <v>344</v>
      </c>
      <c r="D1459" s="43" t="s">
        <v>106</v>
      </c>
      <c r="E1459" s="44">
        <v>1.05</v>
      </c>
      <c r="F1459" s="41" t="s">
        <v>13</v>
      </c>
      <c r="G1459" s="38" t="str">
        <f>IF(ISNUMBER(F1459),E1459*F1459,"")</f>
        <v/>
      </c>
      <c r="H1459" s="42"/>
      <c r="I1459" s="38"/>
      <c r="J1459" s="37">
        <v>0</v>
      </c>
    </row>
    <row r="1460" spans="1:10" ht="15.75" hidden="1" thickBot="1" x14ac:dyDescent="0.3">
      <c r="A1460" s="175"/>
      <c r="B1460" s="178"/>
      <c r="C1460" s="49"/>
      <c r="D1460" s="49"/>
      <c r="E1460" s="50"/>
      <c r="F1460" s="51" t="s">
        <v>13</v>
      </c>
      <c r="G1460" s="51" t="str">
        <f>IF(ISNUMBER(F1460),E1460*F1460,"")</f>
        <v/>
      </c>
      <c r="H1460" s="53"/>
      <c r="I1460" s="38"/>
      <c r="J1460" s="37">
        <v>0</v>
      </c>
    </row>
    <row r="1461" spans="1:10" ht="15.75" hidden="1" thickBot="1" x14ac:dyDescent="0.3">
      <c r="A1461" s="173" t="s">
        <v>345</v>
      </c>
      <c r="B1461" s="176" t="s">
        <v>3248</v>
      </c>
      <c r="C1461" s="31"/>
      <c r="D1461" s="32" t="s">
        <v>106</v>
      </c>
      <c r="E1461" s="33"/>
      <c r="F1461" s="54" t="s">
        <v>13</v>
      </c>
      <c r="G1461" s="34" t="str">
        <f>IF(ISNUMBER(F1461),E1461*F1461,"")</f>
        <v/>
      </c>
      <c r="H1461" s="35"/>
      <c r="I1461" s="36"/>
      <c r="J1461" s="37">
        <v>0</v>
      </c>
    </row>
    <row r="1462" spans="1:10" hidden="1" x14ac:dyDescent="0.25">
      <c r="A1462" s="174"/>
      <c r="B1462" s="177"/>
      <c r="C1462" s="39"/>
      <c r="D1462" s="39"/>
      <c r="E1462" s="40"/>
      <c r="F1462" s="55" t="s">
        <v>13</v>
      </c>
      <c r="G1462" s="38" t="str">
        <f>IF(ISNUMBER(F1462),E1462*F1462,"")</f>
        <v/>
      </c>
      <c r="H1462" s="42"/>
      <c r="I1462" s="38"/>
      <c r="J1462" s="37">
        <v>0</v>
      </c>
    </row>
    <row r="1463" spans="1:10" hidden="1" x14ac:dyDescent="0.25">
      <c r="A1463" s="174"/>
      <c r="B1463" s="177"/>
      <c r="C1463" s="43" t="s">
        <v>10763</v>
      </c>
      <c r="D1463" s="43" t="s">
        <v>2800</v>
      </c>
      <c r="E1463" s="44">
        <v>0.55000000000000004</v>
      </c>
      <c r="F1463" s="38">
        <v>31.435500000000001</v>
      </c>
      <c r="G1463" s="38">
        <f>IF(ISNUMBER(F1463),E1463*F1463,"")</f>
        <v>17.289525000000001</v>
      </c>
      <c r="H1463" s="46">
        <f>SUM(G1463:G1474)</f>
        <v>32.429937200000005</v>
      </c>
      <c r="I1463" s="47"/>
      <c r="J1463" s="37">
        <v>0</v>
      </c>
    </row>
    <row r="1464" spans="1:10" hidden="1" x14ac:dyDescent="0.25">
      <c r="A1464" s="174"/>
      <c r="B1464" s="177"/>
      <c r="C1464" s="43" t="s">
        <v>10762</v>
      </c>
      <c r="D1464" s="43" t="s">
        <v>2800</v>
      </c>
      <c r="E1464" s="44">
        <v>0.55000000000000004</v>
      </c>
      <c r="F1464" s="38">
        <v>24.946999999999999</v>
      </c>
      <c r="G1464" s="38">
        <f>IF(ISNUMBER(F1464),E1464*F1464,"")</f>
        <v>13.72085</v>
      </c>
      <c r="H1464" s="42"/>
      <c r="I1464" s="38"/>
      <c r="J1464" s="37">
        <v>0</v>
      </c>
    </row>
    <row r="1465" spans="1:10" ht="25.5" hidden="1" x14ac:dyDescent="0.25">
      <c r="A1465" s="174"/>
      <c r="B1465" s="177"/>
      <c r="C1465" s="43" t="s">
        <v>324</v>
      </c>
      <c r="D1465" s="43" t="s">
        <v>87</v>
      </c>
      <c r="E1465" s="44">
        <v>1.3332999999999999</v>
      </c>
      <c r="F1465" s="38" t="s">
        <v>13</v>
      </c>
      <c r="G1465" s="38" t="str">
        <f>IF(ISNUMBER(F1465),E1465*F1465,"")</f>
        <v/>
      </c>
      <c r="H1465" s="79"/>
      <c r="I1465" s="1"/>
      <c r="J1465" s="37">
        <v>0</v>
      </c>
    </row>
    <row r="1466" spans="1:10" ht="25.5" hidden="1" x14ac:dyDescent="0.25">
      <c r="A1466" s="174"/>
      <c r="B1466" s="177"/>
      <c r="C1466" s="43" t="s">
        <v>346</v>
      </c>
      <c r="D1466" s="43" t="s">
        <v>106</v>
      </c>
      <c r="E1466" s="44">
        <v>1.05</v>
      </c>
      <c r="F1466" s="41" t="s">
        <v>13</v>
      </c>
      <c r="G1466" s="38" t="str">
        <f>IF(ISNUMBER(F1466),E1466*F1466,"")</f>
        <v/>
      </c>
      <c r="H1466" s="42"/>
      <c r="I1466" s="38"/>
      <c r="J1466" s="37">
        <v>0</v>
      </c>
    </row>
    <row r="1467" spans="1:10" hidden="1" x14ac:dyDescent="0.25">
      <c r="A1467" s="174"/>
      <c r="B1467" s="177"/>
      <c r="C1467" s="43" t="s">
        <v>326</v>
      </c>
      <c r="D1467" s="43" t="s">
        <v>106</v>
      </c>
      <c r="E1467" s="44">
        <v>1.6</v>
      </c>
      <c r="F1467" s="38" t="s">
        <v>13</v>
      </c>
      <c r="G1467" s="38" t="str">
        <f>IF(ISNUMBER(F1467),E1467*F1467,"")</f>
        <v/>
      </c>
      <c r="H1467" s="42"/>
      <c r="I1467" s="38"/>
      <c r="J1467" s="37">
        <v>0</v>
      </c>
    </row>
    <row r="1468" spans="1:10" hidden="1" x14ac:dyDescent="0.25">
      <c r="A1468" s="174"/>
      <c r="B1468" s="177"/>
      <c r="C1468" s="43" t="s">
        <v>10933</v>
      </c>
      <c r="D1468" s="43" t="s">
        <v>83</v>
      </c>
      <c r="E1468" s="44">
        <v>5.3367000000000004</v>
      </c>
      <c r="F1468" s="41">
        <v>0.26600000000000001</v>
      </c>
      <c r="G1468" s="38">
        <f>IF(ISNUMBER(F1468),E1468*F1468,"")</f>
        <v>1.4195622000000001</v>
      </c>
      <c r="H1468" s="42"/>
      <c r="I1468" s="38"/>
      <c r="J1468" s="37">
        <v>0</v>
      </c>
    </row>
    <row r="1469" spans="1:10" hidden="1" x14ac:dyDescent="0.25">
      <c r="A1469" s="174"/>
      <c r="B1469" s="177"/>
      <c r="C1469" s="43" t="s">
        <v>327</v>
      </c>
      <c r="D1469" s="43" t="s">
        <v>87</v>
      </c>
      <c r="E1469" s="44">
        <v>5.34</v>
      </c>
      <c r="F1469" s="38" t="s">
        <v>13</v>
      </c>
      <c r="G1469" s="38" t="str">
        <f>IF(ISNUMBER(F1469),E1469*F1469,"")</f>
        <v/>
      </c>
      <c r="H1469" s="42"/>
      <c r="I1469" s="38"/>
      <c r="J1469" s="37">
        <v>0</v>
      </c>
    </row>
    <row r="1470" spans="1:10" hidden="1" x14ac:dyDescent="0.25">
      <c r="A1470" s="174"/>
      <c r="B1470" s="177"/>
      <c r="C1470" s="43" t="s">
        <v>347</v>
      </c>
      <c r="D1470" s="43" t="s">
        <v>87</v>
      </c>
      <c r="E1470" s="44">
        <v>0.67</v>
      </c>
      <c r="F1470" s="38" t="s">
        <v>13</v>
      </c>
      <c r="G1470" s="38" t="str">
        <f>IF(ISNUMBER(F1470),E1470*F1470,"")</f>
        <v/>
      </c>
      <c r="H1470" s="42"/>
      <c r="I1470" s="38"/>
      <c r="J1470" s="37">
        <v>0</v>
      </c>
    </row>
    <row r="1471" spans="1:10" hidden="1" x14ac:dyDescent="0.25">
      <c r="A1471" s="174"/>
      <c r="B1471" s="177"/>
      <c r="C1471" s="43" t="s">
        <v>329</v>
      </c>
      <c r="D1471" s="43" t="s">
        <v>87</v>
      </c>
      <c r="E1471" s="44">
        <v>1.3332999999999999</v>
      </c>
      <c r="F1471" s="38" t="s">
        <v>13</v>
      </c>
      <c r="G1471" s="38" t="str">
        <f>IF(ISNUMBER(F1471),E1471*F1471,"")</f>
        <v/>
      </c>
      <c r="H1471" s="42"/>
      <c r="I1471" s="38"/>
      <c r="J1471" s="37">
        <v>0</v>
      </c>
    </row>
    <row r="1472" spans="1:10" hidden="1" x14ac:dyDescent="0.25">
      <c r="A1472" s="174"/>
      <c r="B1472" s="177"/>
      <c r="C1472" s="43" t="s">
        <v>330</v>
      </c>
      <c r="D1472" s="43" t="s">
        <v>18</v>
      </c>
      <c r="E1472" s="44">
        <v>2.67</v>
      </c>
      <c r="F1472" s="38" t="s">
        <v>13</v>
      </c>
      <c r="G1472" s="38" t="str">
        <f>IF(ISNUMBER(F1472),E1472*F1472,"")</f>
        <v/>
      </c>
      <c r="H1472" s="42"/>
      <c r="I1472" s="38"/>
      <c r="J1472" s="37">
        <v>0</v>
      </c>
    </row>
    <row r="1473" spans="1:10" hidden="1" x14ac:dyDescent="0.25">
      <c r="A1473" s="174"/>
      <c r="B1473" s="177"/>
      <c r="C1473" s="43" t="s">
        <v>331</v>
      </c>
      <c r="D1473" s="43" t="s">
        <v>87</v>
      </c>
      <c r="E1473" s="44">
        <v>0.67</v>
      </c>
      <c r="F1473" s="38" t="s">
        <v>13</v>
      </c>
      <c r="G1473" s="38" t="str">
        <f>IF(ISNUMBER(F1473),E1473*F1473,"")</f>
        <v/>
      </c>
      <c r="H1473" s="42"/>
      <c r="I1473" s="38"/>
      <c r="J1473" s="37">
        <v>0</v>
      </c>
    </row>
    <row r="1474" spans="1:10" ht="25.5" hidden="1" x14ac:dyDescent="0.25">
      <c r="A1474" s="174"/>
      <c r="B1474" s="177"/>
      <c r="C1474" s="43" t="s">
        <v>344</v>
      </c>
      <c r="D1474" s="43" t="s">
        <v>106</v>
      </c>
      <c r="E1474" s="44">
        <v>1.05</v>
      </c>
      <c r="F1474" s="41" t="s">
        <v>13</v>
      </c>
      <c r="G1474" s="38" t="str">
        <f>IF(ISNUMBER(F1474),E1474*F1474,"")</f>
        <v/>
      </c>
      <c r="H1474" s="42"/>
      <c r="I1474" s="38"/>
      <c r="J1474" s="37">
        <v>0</v>
      </c>
    </row>
    <row r="1475" spans="1:10" ht="15.75" hidden="1" thickBot="1" x14ac:dyDescent="0.3">
      <c r="A1475" s="175"/>
      <c r="B1475" s="178"/>
      <c r="C1475" s="49"/>
      <c r="D1475" s="49"/>
      <c r="E1475" s="50"/>
      <c r="F1475" s="51" t="s">
        <v>13</v>
      </c>
      <c r="G1475" s="51" t="str">
        <f>IF(ISNUMBER(F1475),E1475*F1475,"")</f>
        <v/>
      </c>
      <c r="H1475" s="53"/>
      <c r="I1475" s="38"/>
      <c r="J1475" s="37">
        <v>0</v>
      </c>
    </row>
    <row r="1476" spans="1:10" ht="15.75" hidden="1" thickBot="1" x14ac:dyDescent="0.3">
      <c r="A1476" s="173" t="s">
        <v>348</v>
      </c>
      <c r="B1476" s="176" t="s">
        <v>3249</v>
      </c>
      <c r="C1476" s="31"/>
      <c r="D1476" s="32" t="s">
        <v>106</v>
      </c>
      <c r="E1476" s="33"/>
      <c r="F1476" s="54" t="s">
        <v>13</v>
      </c>
      <c r="G1476" s="34" t="str">
        <f>IF(ISNUMBER(F1476),E1476*F1476,"")</f>
        <v/>
      </c>
      <c r="H1476" s="35"/>
      <c r="I1476" s="36"/>
      <c r="J1476" s="37">
        <v>0</v>
      </c>
    </row>
    <row r="1477" spans="1:10" hidden="1" x14ac:dyDescent="0.25">
      <c r="A1477" s="174"/>
      <c r="B1477" s="177"/>
      <c r="C1477" s="39"/>
      <c r="D1477" s="39"/>
      <c r="E1477" s="40"/>
      <c r="F1477" s="55" t="s">
        <v>13</v>
      </c>
      <c r="G1477" s="38" t="str">
        <f>IF(ISNUMBER(F1477),E1477*F1477,"")</f>
        <v/>
      </c>
      <c r="H1477" s="42"/>
      <c r="I1477" s="38"/>
      <c r="J1477" s="37">
        <v>0</v>
      </c>
    </row>
    <row r="1478" spans="1:10" hidden="1" x14ac:dyDescent="0.25">
      <c r="A1478" s="174"/>
      <c r="B1478" s="177"/>
      <c r="C1478" s="43" t="s">
        <v>10763</v>
      </c>
      <c r="D1478" s="43" t="s">
        <v>2800</v>
      </c>
      <c r="E1478" s="44">
        <v>0.55000000000000004</v>
      </c>
      <c r="F1478" s="38">
        <v>31.435500000000001</v>
      </c>
      <c r="G1478" s="38">
        <f>IF(ISNUMBER(F1478),E1478*F1478,"")</f>
        <v>17.289525000000001</v>
      </c>
      <c r="H1478" s="46">
        <f>SUM(G1478:G1489)</f>
        <v>32.429937200000005</v>
      </c>
      <c r="I1478" s="47"/>
      <c r="J1478" s="37">
        <v>0</v>
      </c>
    </row>
    <row r="1479" spans="1:10" hidden="1" x14ac:dyDescent="0.25">
      <c r="A1479" s="174"/>
      <c r="B1479" s="177"/>
      <c r="C1479" s="43" t="s">
        <v>10762</v>
      </c>
      <c r="D1479" s="43" t="s">
        <v>2800</v>
      </c>
      <c r="E1479" s="44">
        <v>0.55000000000000004</v>
      </c>
      <c r="F1479" s="38">
        <v>24.946999999999999</v>
      </c>
      <c r="G1479" s="38">
        <f>IF(ISNUMBER(F1479),E1479*F1479,"")</f>
        <v>13.72085</v>
      </c>
      <c r="H1479" s="42"/>
      <c r="I1479" s="38"/>
      <c r="J1479" s="37">
        <v>0</v>
      </c>
    </row>
    <row r="1480" spans="1:10" ht="25.5" hidden="1" x14ac:dyDescent="0.25">
      <c r="A1480" s="174"/>
      <c r="B1480" s="177"/>
      <c r="C1480" s="43" t="s">
        <v>324</v>
      </c>
      <c r="D1480" s="43" t="s">
        <v>87</v>
      </c>
      <c r="E1480" s="44">
        <v>1.3332999999999999</v>
      </c>
      <c r="F1480" s="38" t="s">
        <v>13</v>
      </c>
      <c r="G1480" s="38" t="str">
        <f>IF(ISNUMBER(F1480),E1480*F1480,"")</f>
        <v/>
      </c>
      <c r="H1480" s="79"/>
      <c r="I1480" s="1"/>
      <c r="J1480" s="37">
        <v>0</v>
      </c>
    </row>
    <row r="1481" spans="1:10" ht="25.5" hidden="1" x14ac:dyDescent="0.25">
      <c r="A1481" s="174"/>
      <c r="B1481" s="177"/>
      <c r="C1481" s="43" t="s">
        <v>349</v>
      </c>
      <c r="D1481" s="43" t="s">
        <v>106</v>
      </c>
      <c r="E1481" s="44">
        <v>1.05</v>
      </c>
      <c r="F1481" s="41" t="s">
        <v>13</v>
      </c>
      <c r="G1481" s="38" t="str">
        <f>IF(ISNUMBER(F1481),E1481*F1481,"")</f>
        <v/>
      </c>
      <c r="H1481" s="42"/>
      <c r="I1481" s="38"/>
      <c r="J1481" s="37">
        <v>0</v>
      </c>
    </row>
    <row r="1482" spans="1:10" hidden="1" x14ac:dyDescent="0.25">
      <c r="A1482" s="174"/>
      <c r="B1482" s="177"/>
      <c r="C1482" s="43" t="s">
        <v>326</v>
      </c>
      <c r="D1482" s="43" t="s">
        <v>106</v>
      </c>
      <c r="E1482" s="44">
        <v>1.6</v>
      </c>
      <c r="F1482" s="38" t="s">
        <v>13</v>
      </c>
      <c r="G1482" s="38" t="str">
        <f>IF(ISNUMBER(F1482),E1482*F1482,"")</f>
        <v/>
      </c>
      <c r="H1482" s="42"/>
      <c r="I1482" s="38"/>
      <c r="J1482" s="37">
        <v>0</v>
      </c>
    </row>
    <row r="1483" spans="1:10" hidden="1" x14ac:dyDescent="0.25">
      <c r="A1483" s="174"/>
      <c r="B1483" s="177"/>
      <c r="C1483" s="43" t="s">
        <v>10933</v>
      </c>
      <c r="D1483" s="43" t="s">
        <v>83</v>
      </c>
      <c r="E1483" s="44">
        <v>5.3367000000000004</v>
      </c>
      <c r="F1483" s="41">
        <v>0.26600000000000001</v>
      </c>
      <c r="G1483" s="38">
        <f>IF(ISNUMBER(F1483),E1483*F1483,"")</f>
        <v>1.4195622000000001</v>
      </c>
      <c r="H1483" s="42"/>
      <c r="I1483" s="38"/>
      <c r="J1483" s="37">
        <v>0</v>
      </c>
    </row>
    <row r="1484" spans="1:10" hidden="1" x14ac:dyDescent="0.25">
      <c r="A1484" s="174"/>
      <c r="B1484" s="177"/>
      <c r="C1484" s="43" t="s">
        <v>327</v>
      </c>
      <c r="D1484" s="43" t="s">
        <v>87</v>
      </c>
      <c r="E1484" s="44">
        <v>5.34</v>
      </c>
      <c r="F1484" s="38" t="s">
        <v>13</v>
      </c>
      <c r="G1484" s="38" t="str">
        <f>IF(ISNUMBER(F1484),E1484*F1484,"")</f>
        <v/>
      </c>
      <c r="H1484" s="42"/>
      <c r="I1484" s="38"/>
      <c r="J1484" s="37">
        <v>0</v>
      </c>
    </row>
    <row r="1485" spans="1:10" hidden="1" x14ac:dyDescent="0.25">
      <c r="A1485" s="174"/>
      <c r="B1485" s="177"/>
      <c r="C1485" s="43" t="s">
        <v>350</v>
      </c>
      <c r="D1485" s="43" t="s">
        <v>87</v>
      </c>
      <c r="E1485" s="44">
        <v>0.67</v>
      </c>
      <c r="F1485" s="38" t="s">
        <v>13</v>
      </c>
      <c r="G1485" s="38" t="str">
        <f>IF(ISNUMBER(F1485),E1485*F1485,"")</f>
        <v/>
      </c>
      <c r="H1485" s="42"/>
      <c r="I1485" s="38"/>
      <c r="J1485" s="37">
        <v>0</v>
      </c>
    </row>
    <row r="1486" spans="1:10" hidden="1" x14ac:dyDescent="0.25">
      <c r="A1486" s="174"/>
      <c r="B1486" s="177"/>
      <c r="C1486" s="43" t="s">
        <v>329</v>
      </c>
      <c r="D1486" s="43" t="s">
        <v>87</v>
      </c>
      <c r="E1486" s="44">
        <v>1.3332999999999999</v>
      </c>
      <c r="F1486" s="38" t="s">
        <v>13</v>
      </c>
      <c r="G1486" s="38" t="str">
        <f>IF(ISNUMBER(F1486),E1486*F1486,"")</f>
        <v/>
      </c>
      <c r="H1486" s="42"/>
      <c r="I1486" s="38"/>
      <c r="J1486" s="37">
        <v>0</v>
      </c>
    </row>
    <row r="1487" spans="1:10" hidden="1" x14ac:dyDescent="0.25">
      <c r="A1487" s="174"/>
      <c r="B1487" s="177"/>
      <c r="C1487" s="43" t="s">
        <v>330</v>
      </c>
      <c r="D1487" s="43" t="s">
        <v>18</v>
      </c>
      <c r="E1487" s="44">
        <v>2.67</v>
      </c>
      <c r="F1487" s="38" t="s">
        <v>13</v>
      </c>
      <c r="G1487" s="38" t="str">
        <f>IF(ISNUMBER(F1487),E1487*F1487,"")</f>
        <v/>
      </c>
      <c r="H1487" s="42"/>
      <c r="I1487" s="38"/>
      <c r="J1487" s="37">
        <v>0</v>
      </c>
    </row>
    <row r="1488" spans="1:10" hidden="1" x14ac:dyDescent="0.25">
      <c r="A1488" s="174"/>
      <c r="B1488" s="177"/>
      <c r="C1488" s="43" t="s">
        <v>331</v>
      </c>
      <c r="D1488" s="43" t="s">
        <v>87</v>
      </c>
      <c r="E1488" s="44">
        <v>0.67</v>
      </c>
      <c r="F1488" s="38" t="s">
        <v>13</v>
      </c>
      <c r="G1488" s="38" t="str">
        <f>IF(ISNUMBER(F1488),E1488*F1488,"")</f>
        <v/>
      </c>
      <c r="H1488" s="42"/>
      <c r="I1488" s="38"/>
      <c r="J1488" s="37">
        <v>0</v>
      </c>
    </row>
    <row r="1489" spans="1:10" ht="25.5" hidden="1" x14ac:dyDescent="0.25">
      <c r="A1489" s="174"/>
      <c r="B1489" s="177"/>
      <c r="C1489" s="43" t="s">
        <v>351</v>
      </c>
      <c r="D1489" s="43" t="s">
        <v>106</v>
      </c>
      <c r="E1489" s="44">
        <v>1.05</v>
      </c>
      <c r="F1489" s="41" t="s">
        <v>13</v>
      </c>
      <c r="G1489" s="38" t="str">
        <f>IF(ISNUMBER(F1489),E1489*F1489,"")</f>
        <v/>
      </c>
      <c r="H1489" s="42"/>
      <c r="I1489" s="38"/>
      <c r="J1489" s="37">
        <v>0</v>
      </c>
    </row>
    <row r="1490" spans="1:10" ht="15.75" hidden="1" thickBot="1" x14ac:dyDescent="0.3">
      <c r="A1490" s="175"/>
      <c r="B1490" s="178"/>
      <c r="C1490" s="49"/>
      <c r="D1490" s="49"/>
      <c r="E1490" s="50"/>
      <c r="F1490" s="51" t="s">
        <v>13</v>
      </c>
      <c r="G1490" s="51" t="str">
        <f>IF(ISNUMBER(F1490),E1490*F1490,"")</f>
        <v/>
      </c>
      <c r="H1490" s="53"/>
      <c r="I1490" s="38"/>
      <c r="J1490" s="37">
        <v>0</v>
      </c>
    </row>
    <row r="1491" spans="1:10" ht="15.75" hidden="1" thickBot="1" x14ac:dyDescent="0.3">
      <c r="A1491" s="173" t="s">
        <v>352</v>
      </c>
      <c r="B1491" s="176" t="s">
        <v>3250</v>
      </c>
      <c r="C1491" s="31"/>
      <c r="D1491" s="32" t="s">
        <v>106</v>
      </c>
      <c r="E1491" s="33"/>
      <c r="F1491" s="54" t="s">
        <v>13</v>
      </c>
      <c r="G1491" s="34" t="str">
        <f>IF(ISNUMBER(F1491),E1491*F1491,"")</f>
        <v/>
      </c>
      <c r="H1491" s="35"/>
      <c r="I1491" s="36"/>
      <c r="J1491" s="37">
        <v>0</v>
      </c>
    </row>
    <row r="1492" spans="1:10" hidden="1" x14ac:dyDescent="0.25">
      <c r="A1492" s="179"/>
      <c r="B1492" s="177"/>
      <c r="C1492" s="39"/>
      <c r="D1492" s="39"/>
      <c r="E1492" s="40"/>
      <c r="F1492" s="55" t="s">
        <v>13</v>
      </c>
      <c r="G1492" s="38" t="str">
        <f>IF(ISNUMBER(F1492),E1492*F1492,"")</f>
        <v/>
      </c>
      <c r="H1492" s="42"/>
      <c r="I1492" s="38"/>
      <c r="J1492" s="37">
        <v>0</v>
      </c>
    </row>
    <row r="1493" spans="1:10" hidden="1" x14ac:dyDescent="0.25">
      <c r="A1493" s="179"/>
      <c r="B1493" s="177"/>
      <c r="C1493" s="43" t="s">
        <v>10763</v>
      </c>
      <c r="D1493" s="43" t="s">
        <v>2800</v>
      </c>
      <c r="E1493" s="44">
        <v>0.45</v>
      </c>
      <c r="F1493" s="38">
        <v>31.435500000000001</v>
      </c>
      <c r="G1493" s="38">
        <f>IF(ISNUMBER(F1493),E1493*F1493,"")</f>
        <v>14.145975</v>
      </c>
      <c r="H1493" s="46">
        <f>SUM(G1493:G1504)</f>
        <v>26.437002800000002</v>
      </c>
      <c r="I1493" s="47"/>
      <c r="J1493" s="37">
        <v>0</v>
      </c>
    </row>
    <row r="1494" spans="1:10" hidden="1" x14ac:dyDescent="0.25">
      <c r="A1494" s="179"/>
      <c r="B1494" s="177"/>
      <c r="C1494" s="43" t="s">
        <v>10762</v>
      </c>
      <c r="D1494" s="43" t="s">
        <v>2800</v>
      </c>
      <c r="E1494" s="44">
        <v>0.45</v>
      </c>
      <c r="F1494" s="38">
        <v>24.946999999999999</v>
      </c>
      <c r="G1494" s="38">
        <f>IF(ISNUMBER(F1494),E1494*F1494,"")</f>
        <v>11.226150000000001</v>
      </c>
      <c r="H1494" s="42"/>
      <c r="I1494" s="38"/>
      <c r="J1494" s="37">
        <v>0</v>
      </c>
    </row>
    <row r="1495" spans="1:10" ht="25.5" hidden="1" x14ac:dyDescent="0.25">
      <c r="A1495" s="179"/>
      <c r="B1495" s="177"/>
      <c r="C1495" s="43" t="s">
        <v>324</v>
      </c>
      <c r="D1495" s="43" t="s">
        <v>87</v>
      </c>
      <c r="E1495" s="44">
        <v>0.67</v>
      </c>
      <c r="F1495" s="38" t="s">
        <v>13</v>
      </c>
      <c r="G1495" s="38" t="str">
        <f>IF(ISNUMBER(F1495),E1495*F1495,"")</f>
        <v/>
      </c>
      <c r="H1495" s="79"/>
      <c r="I1495" s="1"/>
      <c r="J1495" s="37">
        <v>0</v>
      </c>
    </row>
    <row r="1496" spans="1:10" ht="25.5" hidden="1" x14ac:dyDescent="0.25">
      <c r="A1496" s="179"/>
      <c r="B1496" s="177"/>
      <c r="C1496" s="43" t="s">
        <v>353</v>
      </c>
      <c r="D1496" s="43" t="s">
        <v>106</v>
      </c>
      <c r="E1496" s="44">
        <v>1.05</v>
      </c>
      <c r="F1496" s="41" t="s">
        <v>13</v>
      </c>
      <c r="G1496" s="38" t="str">
        <f>IF(ISNUMBER(F1496),E1496*F1496,"")</f>
        <v/>
      </c>
      <c r="H1496" s="42"/>
      <c r="I1496" s="38"/>
      <c r="J1496" s="37">
        <v>0</v>
      </c>
    </row>
    <row r="1497" spans="1:10" hidden="1" x14ac:dyDescent="0.25">
      <c r="A1497" s="179"/>
      <c r="B1497" s="177"/>
      <c r="C1497" s="43" t="s">
        <v>326</v>
      </c>
      <c r="D1497" s="43" t="s">
        <v>106</v>
      </c>
      <c r="E1497" s="44">
        <v>0.8</v>
      </c>
      <c r="F1497" s="38" t="s">
        <v>13</v>
      </c>
      <c r="G1497" s="38" t="str">
        <f>IF(ISNUMBER(F1497),E1497*F1497,"")</f>
        <v/>
      </c>
      <c r="H1497" s="42"/>
      <c r="I1497" s="38"/>
      <c r="J1497" s="37">
        <v>0</v>
      </c>
    </row>
    <row r="1498" spans="1:10" hidden="1" x14ac:dyDescent="0.25">
      <c r="A1498" s="179"/>
      <c r="B1498" s="177"/>
      <c r="C1498" s="43" t="s">
        <v>10933</v>
      </c>
      <c r="D1498" s="43" t="s">
        <v>83</v>
      </c>
      <c r="E1498" s="44">
        <v>4.0033000000000003</v>
      </c>
      <c r="F1498" s="41">
        <v>0.26600000000000001</v>
      </c>
      <c r="G1498" s="38">
        <f>IF(ISNUMBER(F1498),E1498*F1498,"")</f>
        <v>1.0648778000000001</v>
      </c>
      <c r="H1498" s="42"/>
      <c r="I1498" s="38"/>
      <c r="J1498" s="37">
        <v>0</v>
      </c>
    </row>
    <row r="1499" spans="1:10" hidden="1" x14ac:dyDescent="0.25">
      <c r="A1499" s="179"/>
      <c r="B1499" s="177"/>
      <c r="C1499" s="43" t="s">
        <v>327</v>
      </c>
      <c r="D1499" s="43" t="s">
        <v>87</v>
      </c>
      <c r="E1499" s="44">
        <v>4.0033000000000003</v>
      </c>
      <c r="F1499" s="38" t="s">
        <v>13</v>
      </c>
      <c r="G1499" s="38" t="str">
        <f>IF(ISNUMBER(F1499),E1499*F1499,"")</f>
        <v/>
      </c>
      <c r="H1499" s="42"/>
      <c r="I1499" s="38"/>
      <c r="J1499" s="37">
        <v>0</v>
      </c>
    </row>
    <row r="1500" spans="1:10" hidden="1" x14ac:dyDescent="0.25">
      <c r="A1500" s="179"/>
      <c r="B1500" s="177"/>
      <c r="C1500" s="43" t="s">
        <v>354</v>
      </c>
      <c r="D1500" s="43" t="s">
        <v>87</v>
      </c>
      <c r="E1500" s="44">
        <v>0.67</v>
      </c>
      <c r="F1500" s="38" t="s">
        <v>13</v>
      </c>
      <c r="G1500" s="38" t="str">
        <f>IF(ISNUMBER(F1500),E1500*F1500,"")</f>
        <v/>
      </c>
      <c r="H1500" s="42"/>
      <c r="I1500" s="38"/>
      <c r="J1500" s="37">
        <v>0</v>
      </c>
    </row>
    <row r="1501" spans="1:10" hidden="1" x14ac:dyDescent="0.25">
      <c r="A1501" s="179"/>
      <c r="B1501" s="177"/>
      <c r="C1501" s="43" t="s">
        <v>329</v>
      </c>
      <c r="D1501" s="43" t="s">
        <v>87</v>
      </c>
      <c r="E1501" s="44">
        <v>1.05</v>
      </c>
      <c r="F1501" s="38" t="s">
        <v>13</v>
      </c>
      <c r="G1501" s="38" t="str">
        <f>IF(ISNUMBER(F1501),E1501*F1501,"")</f>
        <v/>
      </c>
      <c r="H1501" s="42"/>
      <c r="I1501" s="38"/>
      <c r="J1501" s="37">
        <v>0</v>
      </c>
    </row>
    <row r="1502" spans="1:10" hidden="1" x14ac:dyDescent="0.25">
      <c r="A1502" s="179"/>
      <c r="B1502" s="177"/>
      <c r="C1502" s="43" t="s">
        <v>330</v>
      </c>
      <c r="D1502" s="43" t="s">
        <v>18</v>
      </c>
      <c r="E1502" s="44">
        <v>2.67</v>
      </c>
      <c r="F1502" s="38" t="s">
        <v>13</v>
      </c>
      <c r="G1502" s="38" t="str">
        <f>IF(ISNUMBER(F1502),E1502*F1502,"")</f>
        <v/>
      </c>
      <c r="H1502" s="42"/>
      <c r="I1502" s="38"/>
      <c r="J1502" s="37">
        <v>0</v>
      </c>
    </row>
    <row r="1503" spans="1:10" hidden="1" x14ac:dyDescent="0.25">
      <c r="A1503" s="179"/>
      <c r="B1503" s="177"/>
      <c r="C1503" s="43" t="s">
        <v>331</v>
      </c>
      <c r="D1503" s="43" t="s">
        <v>87</v>
      </c>
      <c r="E1503" s="44">
        <v>0.66669999999999996</v>
      </c>
      <c r="F1503" s="38" t="s">
        <v>13</v>
      </c>
      <c r="G1503" s="38" t="str">
        <f>IF(ISNUMBER(F1503),E1503*F1503,"")</f>
        <v/>
      </c>
      <c r="H1503" s="42"/>
      <c r="I1503" s="38"/>
      <c r="J1503" s="37">
        <v>0</v>
      </c>
    </row>
    <row r="1504" spans="1:10" ht="25.5" hidden="1" x14ac:dyDescent="0.25">
      <c r="A1504" s="179"/>
      <c r="B1504" s="177"/>
      <c r="C1504" s="43" t="s">
        <v>355</v>
      </c>
      <c r="D1504" s="43" t="s">
        <v>106</v>
      </c>
      <c r="E1504" s="44">
        <v>1.05</v>
      </c>
      <c r="F1504" s="41" t="s">
        <v>13</v>
      </c>
      <c r="G1504" s="38" t="str">
        <f>IF(ISNUMBER(F1504),E1504*F1504,"")</f>
        <v/>
      </c>
      <c r="H1504" s="42"/>
      <c r="I1504" s="38"/>
      <c r="J1504" s="37">
        <v>0</v>
      </c>
    </row>
    <row r="1505" spans="1:10" ht="15.75" hidden="1" thickBot="1" x14ac:dyDescent="0.3">
      <c r="A1505" s="180"/>
      <c r="B1505" s="178"/>
      <c r="C1505" s="49"/>
      <c r="D1505" s="49"/>
      <c r="E1505" s="50"/>
      <c r="F1505" s="51" t="s">
        <v>13</v>
      </c>
      <c r="G1505" s="51" t="str">
        <f>IF(ISNUMBER(F1505),E1505*F1505,"")</f>
        <v/>
      </c>
      <c r="H1505" s="53"/>
      <c r="I1505" s="38"/>
      <c r="J1505" s="37">
        <v>0</v>
      </c>
    </row>
    <row r="1506" spans="1:10" ht="15.75" hidden="1" thickBot="1" x14ac:dyDescent="0.3">
      <c r="A1506" s="173" t="s">
        <v>356</v>
      </c>
      <c r="B1506" s="176" t="s">
        <v>3251</v>
      </c>
      <c r="C1506" s="31"/>
      <c r="D1506" s="32" t="s">
        <v>106</v>
      </c>
      <c r="E1506" s="33"/>
      <c r="F1506" s="54" t="s">
        <v>13</v>
      </c>
      <c r="G1506" s="34" t="str">
        <f>IF(ISNUMBER(F1506),E1506*F1506,"")</f>
        <v/>
      </c>
      <c r="H1506" s="35"/>
      <c r="I1506" s="36"/>
      <c r="J1506" s="37">
        <v>0</v>
      </c>
    </row>
    <row r="1507" spans="1:10" hidden="1" x14ac:dyDescent="0.25">
      <c r="A1507" s="174"/>
      <c r="B1507" s="177"/>
      <c r="C1507" s="39"/>
      <c r="D1507" s="39"/>
      <c r="E1507" s="40"/>
      <c r="F1507" s="55" t="s">
        <v>13</v>
      </c>
      <c r="G1507" s="38" t="str">
        <f>IF(ISNUMBER(F1507),E1507*F1507,"")</f>
        <v/>
      </c>
      <c r="H1507" s="42"/>
      <c r="I1507" s="38"/>
      <c r="J1507" s="37">
        <v>0</v>
      </c>
    </row>
    <row r="1508" spans="1:10" hidden="1" x14ac:dyDescent="0.25">
      <c r="A1508" s="174"/>
      <c r="B1508" s="177"/>
      <c r="C1508" s="43" t="s">
        <v>357</v>
      </c>
      <c r="D1508" s="43" t="s">
        <v>106</v>
      </c>
      <c r="E1508" s="44">
        <v>1.05</v>
      </c>
      <c r="F1508" s="38" t="s">
        <v>13</v>
      </c>
      <c r="G1508" s="41" t="str">
        <f>IF(ISNUMBER(F1508),E1508*F1508,"")</f>
        <v/>
      </c>
      <c r="H1508" s="46">
        <f>SUM(G1508:G1510)</f>
        <v>42.286874999999995</v>
      </c>
      <c r="I1508" s="47"/>
      <c r="J1508" s="37">
        <v>0</v>
      </c>
    </row>
    <row r="1509" spans="1:10" hidden="1" x14ac:dyDescent="0.25">
      <c r="A1509" s="174"/>
      <c r="B1509" s="177"/>
      <c r="C1509" s="43" t="s">
        <v>10763</v>
      </c>
      <c r="D1509" s="43" t="s">
        <v>2800</v>
      </c>
      <c r="E1509" s="44">
        <v>0.75</v>
      </c>
      <c r="F1509" s="38">
        <v>31.435500000000001</v>
      </c>
      <c r="G1509" s="41">
        <f>IF(ISNUMBER(F1509),E1509*F1509,"")</f>
        <v>23.576625</v>
      </c>
      <c r="H1509" s="42"/>
      <c r="I1509" s="38"/>
      <c r="J1509" s="37">
        <v>0</v>
      </c>
    </row>
    <row r="1510" spans="1:10" hidden="1" x14ac:dyDescent="0.25">
      <c r="A1510" s="174"/>
      <c r="B1510" s="177"/>
      <c r="C1510" s="43" t="s">
        <v>10762</v>
      </c>
      <c r="D1510" s="43" t="s">
        <v>2800</v>
      </c>
      <c r="E1510" s="44">
        <v>0.75</v>
      </c>
      <c r="F1510" s="38">
        <v>24.946999999999999</v>
      </c>
      <c r="G1510" s="41">
        <f>IF(ISNUMBER(F1510),E1510*F1510,"")</f>
        <v>18.710249999999998</v>
      </c>
      <c r="H1510" s="42"/>
      <c r="I1510" s="38"/>
      <c r="J1510" s="37">
        <v>0</v>
      </c>
    </row>
    <row r="1511" spans="1:10" ht="15.75" hidden="1" thickBot="1" x14ac:dyDescent="0.3">
      <c r="A1511" s="175"/>
      <c r="B1511" s="178"/>
      <c r="C1511" s="49"/>
      <c r="D1511" s="49"/>
      <c r="E1511" s="50"/>
      <c r="F1511" s="51" t="s">
        <v>13</v>
      </c>
      <c r="G1511" s="51" t="str">
        <f>IF(ISNUMBER(F1511),E1511*F1511,"")</f>
        <v/>
      </c>
      <c r="H1511" s="53"/>
      <c r="I1511" s="38"/>
      <c r="J1511" s="37">
        <v>0</v>
      </c>
    </row>
    <row r="1512" spans="1:10" ht="15.75" hidden="1" thickBot="1" x14ac:dyDescent="0.3">
      <c r="A1512" s="173" t="s">
        <v>358</v>
      </c>
      <c r="B1512" s="176" t="s">
        <v>3252</v>
      </c>
      <c r="C1512" s="31"/>
      <c r="D1512" s="32" t="s">
        <v>106</v>
      </c>
      <c r="E1512" s="33"/>
      <c r="F1512" s="54" t="s">
        <v>13</v>
      </c>
      <c r="G1512" s="34" t="str">
        <f>IF(ISNUMBER(F1512),E1512*F1512,"")</f>
        <v/>
      </c>
      <c r="H1512" s="35"/>
      <c r="I1512" s="36"/>
      <c r="J1512" s="37">
        <v>0</v>
      </c>
    </row>
    <row r="1513" spans="1:10" hidden="1" x14ac:dyDescent="0.25">
      <c r="A1513" s="174"/>
      <c r="B1513" s="177"/>
      <c r="C1513" s="39"/>
      <c r="D1513" s="39"/>
      <c r="E1513" s="40"/>
      <c r="F1513" s="55" t="s">
        <v>13</v>
      </c>
      <c r="G1513" s="38" t="str">
        <f>IF(ISNUMBER(F1513),E1513*F1513,"")</f>
        <v/>
      </c>
      <c r="H1513" s="42"/>
      <c r="I1513" s="38"/>
      <c r="J1513" s="37">
        <v>0</v>
      </c>
    </row>
    <row r="1514" spans="1:10" hidden="1" x14ac:dyDescent="0.25">
      <c r="A1514" s="174"/>
      <c r="B1514" s="177"/>
      <c r="C1514" s="43" t="s">
        <v>359</v>
      </c>
      <c r="D1514" s="43" t="s">
        <v>106</v>
      </c>
      <c r="E1514" s="44">
        <v>1.05</v>
      </c>
      <c r="F1514" s="38" t="s">
        <v>13</v>
      </c>
      <c r="G1514" s="41" t="str">
        <f>IF(ISNUMBER(F1514),E1514*F1514,"")</f>
        <v/>
      </c>
      <c r="H1514" s="46">
        <f>SUM(G1514:G1516)</f>
        <v>42.286874999999995</v>
      </c>
      <c r="I1514" s="47"/>
      <c r="J1514" s="37">
        <v>0</v>
      </c>
    </row>
    <row r="1515" spans="1:10" hidden="1" x14ac:dyDescent="0.25">
      <c r="A1515" s="174"/>
      <c r="B1515" s="177"/>
      <c r="C1515" s="43" t="s">
        <v>10763</v>
      </c>
      <c r="D1515" s="43" t="s">
        <v>2800</v>
      </c>
      <c r="E1515" s="44">
        <v>0.75</v>
      </c>
      <c r="F1515" s="38">
        <v>31.435500000000001</v>
      </c>
      <c r="G1515" s="41">
        <f>IF(ISNUMBER(F1515),E1515*F1515,"")</f>
        <v>23.576625</v>
      </c>
      <c r="H1515" s="42"/>
      <c r="I1515" s="38"/>
      <c r="J1515" s="37">
        <v>0</v>
      </c>
    </row>
    <row r="1516" spans="1:10" hidden="1" x14ac:dyDescent="0.25">
      <c r="A1516" s="174"/>
      <c r="B1516" s="177"/>
      <c r="C1516" s="43" t="s">
        <v>10762</v>
      </c>
      <c r="D1516" s="43" t="s">
        <v>2800</v>
      </c>
      <c r="E1516" s="44">
        <v>0.75</v>
      </c>
      <c r="F1516" s="38">
        <v>24.946999999999999</v>
      </c>
      <c r="G1516" s="41">
        <f>IF(ISNUMBER(F1516),E1516*F1516,"")</f>
        <v>18.710249999999998</v>
      </c>
      <c r="H1516" s="42"/>
      <c r="I1516" s="38"/>
      <c r="J1516" s="37">
        <v>0</v>
      </c>
    </row>
    <row r="1517" spans="1:10" ht="15.75" hidden="1" thickBot="1" x14ac:dyDescent="0.3">
      <c r="A1517" s="175"/>
      <c r="B1517" s="178"/>
      <c r="C1517" s="49"/>
      <c r="D1517" s="49"/>
      <c r="E1517" s="50"/>
      <c r="F1517" s="51" t="s">
        <v>13</v>
      </c>
      <c r="G1517" s="51" t="str">
        <f>IF(ISNUMBER(F1517),E1517*F1517,"")</f>
        <v/>
      </c>
      <c r="H1517" s="53"/>
      <c r="I1517" s="38"/>
      <c r="J1517" s="37">
        <v>0</v>
      </c>
    </row>
    <row r="1518" spans="1:10" ht="15.75" hidden="1" thickBot="1" x14ac:dyDescent="0.3">
      <c r="A1518" s="173" t="s">
        <v>360</v>
      </c>
      <c r="B1518" s="176" t="s">
        <v>3253</v>
      </c>
      <c r="C1518" s="31"/>
      <c r="D1518" s="32" t="s">
        <v>106</v>
      </c>
      <c r="E1518" s="33"/>
      <c r="F1518" s="54" t="s">
        <v>13</v>
      </c>
      <c r="G1518" s="34" t="str">
        <f>IF(ISNUMBER(F1518),E1518*F1518,"")</f>
        <v/>
      </c>
      <c r="H1518" s="35"/>
      <c r="I1518" s="36"/>
      <c r="J1518" s="37">
        <v>0</v>
      </c>
    </row>
    <row r="1519" spans="1:10" hidden="1" x14ac:dyDescent="0.25">
      <c r="A1519" s="174"/>
      <c r="B1519" s="177"/>
      <c r="C1519" s="39"/>
      <c r="D1519" s="39"/>
      <c r="E1519" s="40"/>
      <c r="F1519" s="55" t="s">
        <v>13</v>
      </c>
      <c r="G1519" s="38" t="str">
        <f>IF(ISNUMBER(F1519),E1519*F1519,"")</f>
        <v/>
      </c>
      <c r="H1519" s="42"/>
      <c r="I1519" s="38"/>
      <c r="J1519" s="37">
        <v>0</v>
      </c>
    </row>
    <row r="1520" spans="1:10" hidden="1" x14ac:dyDescent="0.25">
      <c r="A1520" s="174"/>
      <c r="B1520" s="177"/>
      <c r="C1520" s="43" t="s">
        <v>361</v>
      </c>
      <c r="D1520" s="43" t="s">
        <v>106</v>
      </c>
      <c r="E1520" s="44">
        <v>1.05</v>
      </c>
      <c r="F1520" s="38" t="s">
        <v>13</v>
      </c>
      <c r="G1520" s="41" t="str">
        <f>IF(ISNUMBER(F1520),E1520*F1520,"")</f>
        <v/>
      </c>
      <c r="H1520" s="46">
        <f>SUM(G1520:G1522)</f>
        <v>28.19125</v>
      </c>
      <c r="I1520" s="47"/>
      <c r="J1520" s="37">
        <v>0</v>
      </c>
    </row>
    <row r="1521" spans="1:10" hidden="1" x14ac:dyDescent="0.25">
      <c r="A1521" s="174"/>
      <c r="B1521" s="177"/>
      <c r="C1521" s="43" t="s">
        <v>10763</v>
      </c>
      <c r="D1521" s="43" t="s">
        <v>2800</v>
      </c>
      <c r="E1521" s="44">
        <v>0.5</v>
      </c>
      <c r="F1521" s="38">
        <v>31.435500000000001</v>
      </c>
      <c r="G1521" s="41">
        <f>IF(ISNUMBER(F1521),E1521*F1521,"")</f>
        <v>15.717750000000001</v>
      </c>
      <c r="H1521" s="42"/>
      <c r="I1521" s="38"/>
      <c r="J1521" s="37">
        <v>0</v>
      </c>
    </row>
    <row r="1522" spans="1:10" hidden="1" x14ac:dyDescent="0.25">
      <c r="A1522" s="174"/>
      <c r="B1522" s="177"/>
      <c r="C1522" s="43" t="s">
        <v>10762</v>
      </c>
      <c r="D1522" s="43" t="s">
        <v>2800</v>
      </c>
      <c r="E1522" s="44">
        <v>0.5</v>
      </c>
      <c r="F1522" s="38">
        <v>24.946999999999999</v>
      </c>
      <c r="G1522" s="41">
        <f>IF(ISNUMBER(F1522),E1522*F1522,"")</f>
        <v>12.4735</v>
      </c>
      <c r="H1522" s="42"/>
      <c r="I1522" s="38"/>
      <c r="J1522" s="37">
        <v>0</v>
      </c>
    </row>
    <row r="1523" spans="1:10" ht="15.75" hidden="1" thickBot="1" x14ac:dyDescent="0.3">
      <c r="A1523" s="175"/>
      <c r="B1523" s="178"/>
      <c r="C1523" s="49"/>
      <c r="D1523" s="49"/>
      <c r="E1523" s="50"/>
      <c r="F1523" s="51" t="s">
        <v>13</v>
      </c>
      <c r="G1523" s="51" t="str">
        <f>IF(ISNUMBER(F1523),E1523*F1523,"")</f>
        <v/>
      </c>
      <c r="H1523" s="53"/>
      <c r="I1523" s="38"/>
      <c r="J1523" s="37">
        <v>0</v>
      </c>
    </row>
    <row r="1524" spans="1:10" ht="15.75" hidden="1" thickBot="1" x14ac:dyDescent="0.3">
      <c r="A1524" s="173" t="s">
        <v>362</v>
      </c>
      <c r="B1524" s="176" t="s">
        <v>3254</v>
      </c>
      <c r="C1524" s="31"/>
      <c r="D1524" s="32" t="s">
        <v>106</v>
      </c>
      <c r="E1524" s="33"/>
      <c r="F1524" s="54" t="s">
        <v>13</v>
      </c>
      <c r="G1524" s="34" t="str">
        <f>IF(ISNUMBER(F1524),E1524*F1524,"")</f>
        <v/>
      </c>
      <c r="H1524" s="35"/>
      <c r="I1524" s="36"/>
      <c r="J1524" s="37">
        <v>0</v>
      </c>
    </row>
    <row r="1525" spans="1:10" hidden="1" x14ac:dyDescent="0.25">
      <c r="A1525" s="174"/>
      <c r="B1525" s="177"/>
      <c r="C1525" s="39"/>
      <c r="D1525" s="39"/>
      <c r="E1525" s="40"/>
      <c r="F1525" s="55" t="s">
        <v>13</v>
      </c>
      <c r="G1525" s="38" t="str">
        <f>IF(ISNUMBER(F1525),E1525*F1525,"")</f>
        <v/>
      </c>
      <c r="H1525" s="42"/>
      <c r="I1525" s="38"/>
      <c r="J1525" s="37">
        <v>0</v>
      </c>
    </row>
    <row r="1526" spans="1:10" hidden="1" x14ac:dyDescent="0.25">
      <c r="A1526" s="174"/>
      <c r="B1526" s="177"/>
      <c r="C1526" s="43" t="s">
        <v>363</v>
      </c>
      <c r="D1526" s="43" t="s">
        <v>106</v>
      </c>
      <c r="E1526" s="44">
        <v>1.05</v>
      </c>
      <c r="F1526" s="38" t="s">
        <v>13</v>
      </c>
      <c r="G1526" s="41" t="str">
        <f>IF(ISNUMBER(F1526),E1526*F1526,"")</f>
        <v/>
      </c>
      <c r="H1526" s="46">
        <f>SUM(G1526:G1528)</f>
        <v>42.286874999999995</v>
      </c>
      <c r="I1526" s="47"/>
      <c r="J1526" s="37">
        <v>0</v>
      </c>
    </row>
    <row r="1527" spans="1:10" hidden="1" x14ac:dyDescent="0.25">
      <c r="A1527" s="174"/>
      <c r="B1527" s="177"/>
      <c r="C1527" s="43" t="s">
        <v>10763</v>
      </c>
      <c r="D1527" s="43" t="s">
        <v>2800</v>
      </c>
      <c r="E1527" s="44">
        <v>0.75</v>
      </c>
      <c r="F1527" s="38">
        <v>31.435500000000001</v>
      </c>
      <c r="G1527" s="41">
        <f>IF(ISNUMBER(F1527),E1527*F1527,"")</f>
        <v>23.576625</v>
      </c>
      <c r="H1527" s="42"/>
      <c r="I1527" s="38"/>
      <c r="J1527" s="37">
        <v>0</v>
      </c>
    </row>
    <row r="1528" spans="1:10" hidden="1" x14ac:dyDescent="0.25">
      <c r="A1528" s="174"/>
      <c r="B1528" s="177"/>
      <c r="C1528" s="43" t="s">
        <v>10762</v>
      </c>
      <c r="D1528" s="43" t="s">
        <v>2800</v>
      </c>
      <c r="E1528" s="44">
        <v>0.75</v>
      </c>
      <c r="F1528" s="38">
        <v>24.946999999999999</v>
      </c>
      <c r="G1528" s="41">
        <f>IF(ISNUMBER(F1528),E1528*F1528,"")</f>
        <v>18.710249999999998</v>
      </c>
      <c r="H1528" s="42"/>
      <c r="I1528" s="38"/>
      <c r="J1528" s="37">
        <v>0</v>
      </c>
    </row>
    <row r="1529" spans="1:10" ht="15.75" hidden="1" thickBot="1" x14ac:dyDescent="0.3">
      <c r="A1529" s="175"/>
      <c r="B1529" s="178"/>
      <c r="C1529" s="49"/>
      <c r="D1529" s="49"/>
      <c r="E1529" s="50"/>
      <c r="F1529" s="51" t="s">
        <v>13</v>
      </c>
      <c r="G1529" s="51" t="str">
        <f>IF(ISNUMBER(F1529),E1529*F1529,"")</f>
        <v/>
      </c>
      <c r="H1529" s="53"/>
      <c r="I1529" s="38"/>
      <c r="J1529" s="37">
        <v>0</v>
      </c>
    </row>
    <row r="1530" spans="1:10" ht="15.75" hidden="1" thickBot="1" x14ac:dyDescent="0.3">
      <c r="A1530" s="173" t="s">
        <v>364</v>
      </c>
      <c r="B1530" s="176" t="s">
        <v>3255</v>
      </c>
      <c r="C1530" s="31"/>
      <c r="D1530" s="32" t="s">
        <v>106</v>
      </c>
      <c r="E1530" s="33"/>
      <c r="F1530" s="54" t="s">
        <v>13</v>
      </c>
      <c r="G1530" s="34" t="str">
        <f>IF(ISNUMBER(F1530),E1530*F1530,"")</f>
        <v/>
      </c>
      <c r="H1530" s="35"/>
      <c r="I1530" s="36"/>
      <c r="J1530" s="37">
        <v>0</v>
      </c>
    </row>
    <row r="1531" spans="1:10" hidden="1" x14ac:dyDescent="0.25">
      <c r="A1531" s="174"/>
      <c r="B1531" s="177"/>
      <c r="C1531" s="39"/>
      <c r="D1531" s="39"/>
      <c r="E1531" s="40"/>
      <c r="F1531" s="55" t="s">
        <v>13</v>
      </c>
      <c r="G1531" s="38" t="str">
        <f>IF(ISNUMBER(F1531),E1531*F1531,"")</f>
        <v/>
      </c>
      <c r="H1531" s="42"/>
      <c r="I1531" s="38"/>
      <c r="J1531" s="37">
        <v>0</v>
      </c>
    </row>
    <row r="1532" spans="1:10" hidden="1" x14ac:dyDescent="0.25">
      <c r="A1532" s="174"/>
      <c r="B1532" s="177"/>
      <c r="C1532" s="43" t="s">
        <v>365</v>
      </c>
      <c r="D1532" s="43" t="s">
        <v>106</v>
      </c>
      <c r="E1532" s="44">
        <v>1.05</v>
      </c>
      <c r="F1532" s="38" t="s">
        <v>13</v>
      </c>
      <c r="G1532" s="41" t="str">
        <f>IF(ISNUMBER(F1532),E1532*F1532,"")</f>
        <v/>
      </c>
      <c r="H1532" s="46">
        <f>SUM(G1532:G1534)</f>
        <v>28.19125</v>
      </c>
      <c r="I1532" s="47"/>
      <c r="J1532" s="37">
        <v>0</v>
      </c>
    </row>
    <row r="1533" spans="1:10" hidden="1" x14ac:dyDescent="0.25">
      <c r="A1533" s="174"/>
      <c r="B1533" s="177"/>
      <c r="C1533" s="43" t="s">
        <v>10763</v>
      </c>
      <c r="D1533" s="43" t="s">
        <v>2800</v>
      </c>
      <c r="E1533" s="44">
        <v>0.5</v>
      </c>
      <c r="F1533" s="38">
        <v>31.435500000000001</v>
      </c>
      <c r="G1533" s="41">
        <f>IF(ISNUMBER(F1533),E1533*F1533,"")</f>
        <v>15.717750000000001</v>
      </c>
      <c r="H1533" s="42"/>
      <c r="I1533" s="38"/>
      <c r="J1533" s="37">
        <v>0</v>
      </c>
    </row>
    <row r="1534" spans="1:10" hidden="1" x14ac:dyDescent="0.25">
      <c r="A1534" s="174"/>
      <c r="B1534" s="177"/>
      <c r="C1534" s="43" t="s">
        <v>10762</v>
      </c>
      <c r="D1534" s="43" t="s">
        <v>2800</v>
      </c>
      <c r="E1534" s="44">
        <v>0.5</v>
      </c>
      <c r="F1534" s="38">
        <v>24.946999999999999</v>
      </c>
      <c r="G1534" s="41">
        <f>IF(ISNUMBER(F1534),E1534*F1534,"")</f>
        <v>12.4735</v>
      </c>
      <c r="H1534" s="42"/>
      <c r="I1534" s="38"/>
      <c r="J1534" s="37">
        <v>0</v>
      </c>
    </row>
    <row r="1535" spans="1:10" ht="15.75" hidden="1" thickBot="1" x14ac:dyDescent="0.3">
      <c r="A1535" s="175"/>
      <c r="B1535" s="178"/>
      <c r="C1535" s="49"/>
      <c r="D1535" s="49"/>
      <c r="E1535" s="50"/>
      <c r="F1535" s="51" t="s">
        <v>13</v>
      </c>
      <c r="G1535" s="51" t="str">
        <f>IF(ISNUMBER(F1535),E1535*F1535,"")</f>
        <v/>
      </c>
      <c r="H1535" s="53"/>
      <c r="I1535" s="38"/>
      <c r="J1535" s="37">
        <v>0</v>
      </c>
    </row>
    <row r="1536" spans="1:10" ht="15.75" hidden="1" thickBot="1" x14ac:dyDescent="0.3">
      <c r="A1536" s="173" t="s">
        <v>366</v>
      </c>
      <c r="B1536" s="176" t="s">
        <v>3256</v>
      </c>
      <c r="C1536" s="31"/>
      <c r="D1536" s="32" t="s">
        <v>106</v>
      </c>
      <c r="E1536" s="33"/>
      <c r="F1536" s="54" t="s">
        <v>13</v>
      </c>
      <c r="G1536" s="34" t="str">
        <f>IF(ISNUMBER(F1536),E1536*F1536,"")</f>
        <v/>
      </c>
      <c r="H1536" s="35"/>
      <c r="I1536" s="36"/>
      <c r="J1536" s="37">
        <v>0</v>
      </c>
    </row>
    <row r="1537" spans="1:10" hidden="1" x14ac:dyDescent="0.25">
      <c r="A1537" s="174"/>
      <c r="B1537" s="177"/>
      <c r="C1537" s="39"/>
      <c r="D1537" s="39"/>
      <c r="E1537" s="40"/>
      <c r="F1537" s="55" t="s">
        <v>13</v>
      </c>
      <c r="G1537" s="38" t="str">
        <f>IF(ISNUMBER(F1537),E1537*F1537,"")</f>
        <v/>
      </c>
      <c r="H1537" s="42"/>
      <c r="I1537" s="38"/>
      <c r="J1537" s="37">
        <v>0</v>
      </c>
    </row>
    <row r="1538" spans="1:10" ht="25.5" hidden="1" x14ac:dyDescent="0.25">
      <c r="A1538" s="174"/>
      <c r="B1538" s="177"/>
      <c r="C1538" s="43" t="s">
        <v>10934</v>
      </c>
      <c r="D1538" s="43" t="s">
        <v>1302</v>
      </c>
      <c r="E1538" s="44">
        <v>1.1000000000000001</v>
      </c>
      <c r="F1538" s="41">
        <v>9.7564999999999991</v>
      </c>
      <c r="G1538" s="41">
        <f>IF(ISNUMBER(F1538),E1538*F1538,"")</f>
        <v>10.732149999999999</v>
      </c>
      <c r="H1538" s="46">
        <f>SUM(G1538:G1541)</f>
        <v>27.378027199999998</v>
      </c>
      <c r="I1538" s="47"/>
      <c r="J1538" s="37">
        <v>0</v>
      </c>
    </row>
    <row r="1539" spans="1:10" hidden="1" x14ac:dyDescent="0.25">
      <c r="A1539" s="174"/>
      <c r="B1539" s="177"/>
      <c r="C1539" s="43" t="s">
        <v>10763</v>
      </c>
      <c r="D1539" s="43" t="s">
        <v>2800</v>
      </c>
      <c r="E1539" s="44">
        <v>0.105</v>
      </c>
      <c r="F1539" s="38">
        <v>31.435500000000001</v>
      </c>
      <c r="G1539" s="41">
        <f>IF(ISNUMBER(F1539),E1539*F1539,"")</f>
        <v>3.3007274999999998</v>
      </c>
      <c r="H1539" s="42"/>
      <c r="I1539" s="38"/>
      <c r="J1539" s="37">
        <v>0</v>
      </c>
    </row>
    <row r="1540" spans="1:10" hidden="1" x14ac:dyDescent="0.25">
      <c r="A1540" s="174"/>
      <c r="B1540" s="177"/>
      <c r="C1540" s="43" t="s">
        <v>10762</v>
      </c>
      <c r="D1540" s="43" t="s">
        <v>2800</v>
      </c>
      <c r="E1540" s="44">
        <v>0.105</v>
      </c>
      <c r="F1540" s="38">
        <v>24.946999999999999</v>
      </c>
      <c r="G1540" s="41">
        <f>IF(ISNUMBER(F1540),E1540*F1540,"")</f>
        <v>2.6194349999999997</v>
      </c>
      <c r="H1540" s="42"/>
      <c r="I1540" s="38"/>
      <c r="J1540" s="37">
        <v>0</v>
      </c>
    </row>
    <row r="1541" spans="1:10" ht="63.75" hidden="1" x14ac:dyDescent="0.25">
      <c r="A1541" s="174"/>
      <c r="B1541" s="177"/>
      <c r="C1541" s="43" t="s">
        <v>10681</v>
      </c>
      <c r="D1541" s="43" t="s">
        <v>1302</v>
      </c>
      <c r="E1541" s="44">
        <v>1</v>
      </c>
      <c r="F1541" s="41">
        <v>10.725714699999999</v>
      </c>
      <c r="G1541" s="38">
        <f>IF(ISNUMBER(F1541),E1541*F1541,"")</f>
        <v>10.725714699999999</v>
      </c>
      <c r="H1541" s="42"/>
      <c r="I1541" s="38"/>
      <c r="J1541" s="37">
        <v>0</v>
      </c>
    </row>
    <row r="1542" spans="1:10" ht="15.75" hidden="1" thickBot="1" x14ac:dyDescent="0.3">
      <c r="A1542" s="175"/>
      <c r="B1542" s="178"/>
      <c r="C1542" s="49"/>
      <c r="D1542" s="49"/>
      <c r="E1542" s="50"/>
      <c r="F1542" s="51" t="s">
        <v>13</v>
      </c>
      <c r="G1542" s="51" t="str">
        <f>IF(ISNUMBER(F1542),E1542*F1542,"")</f>
        <v/>
      </c>
      <c r="H1542" s="53"/>
      <c r="I1542" s="38"/>
      <c r="J1542" s="37">
        <v>0</v>
      </c>
    </row>
    <row r="1543" spans="1:10" ht="15.75" hidden="1" thickBot="1" x14ac:dyDescent="0.3">
      <c r="A1543" s="173" t="s">
        <v>367</v>
      </c>
      <c r="B1543" s="176" t="s">
        <v>3257</v>
      </c>
      <c r="C1543" s="31"/>
      <c r="D1543" s="32" t="s">
        <v>106</v>
      </c>
      <c r="E1543" s="33"/>
      <c r="F1543" s="54" t="s">
        <v>13</v>
      </c>
      <c r="G1543" s="34" t="str">
        <f>IF(ISNUMBER(F1543),E1543*F1543,"")</f>
        <v/>
      </c>
      <c r="H1543" s="35"/>
      <c r="I1543" s="36"/>
      <c r="J1543" s="37">
        <v>0</v>
      </c>
    </row>
    <row r="1544" spans="1:10" hidden="1" x14ac:dyDescent="0.25">
      <c r="A1544" s="174"/>
      <c r="B1544" s="177"/>
      <c r="C1544" s="39"/>
      <c r="D1544" s="39"/>
      <c r="E1544" s="40"/>
      <c r="F1544" s="55" t="s">
        <v>13</v>
      </c>
      <c r="G1544" s="38" t="str">
        <f>IF(ISNUMBER(F1544),E1544*F1544,"")</f>
        <v/>
      </c>
      <c r="H1544" s="42"/>
      <c r="I1544" s="38"/>
      <c r="J1544" s="37">
        <v>0</v>
      </c>
    </row>
    <row r="1545" spans="1:10" hidden="1" x14ac:dyDescent="0.25">
      <c r="A1545" s="174"/>
      <c r="B1545" s="177"/>
      <c r="C1545" s="43" t="s">
        <v>10763</v>
      </c>
      <c r="D1545" s="43" t="s">
        <v>2800</v>
      </c>
      <c r="E1545" s="44">
        <v>9.0999999999999998E-2</v>
      </c>
      <c r="F1545" s="38">
        <v>31.435500000000001</v>
      </c>
      <c r="G1545" s="38">
        <f>IF(ISNUMBER(F1545),E1545*F1545,"")</f>
        <v>2.8606305000000001</v>
      </c>
      <c r="H1545" s="46">
        <f>SUM(G1545:G1548)</f>
        <v>21.436822200000002</v>
      </c>
      <c r="I1545" s="47"/>
      <c r="J1545" s="37">
        <v>0</v>
      </c>
    </row>
    <row r="1546" spans="1:10" hidden="1" x14ac:dyDescent="0.25">
      <c r="A1546" s="174"/>
      <c r="B1546" s="177"/>
      <c r="C1546" s="43" t="s">
        <v>10762</v>
      </c>
      <c r="D1546" s="43" t="s">
        <v>2800</v>
      </c>
      <c r="E1546" s="44">
        <v>9.0999999999999998E-2</v>
      </c>
      <c r="F1546" s="38">
        <v>24.946999999999999</v>
      </c>
      <c r="G1546" s="38">
        <f>IF(ISNUMBER(F1546),E1546*F1546,"")</f>
        <v>2.2701769999999999</v>
      </c>
      <c r="H1546" s="42"/>
      <c r="I1546" s="38"/>
      <c r="J1546" s="37">
        <v>0</v>
      </c>
    </row>
    <row r="1547" spans="1:10" ht="25.5" hidden="1" x14ac:dyDescent="0.25">
      <c r="A1547" s="174"/>
      <c r="B1547" s="177"/>
      <c r="C1547" s="43" t="s">
        <v>10935</v>
      </c>
      <c r="D1547" s="43" t="s">
        <v>1302</v>
      </c>
      <c r="E1547" s="44">
        <v>1.1000000000000001</v>
      </c>
      <c r="F1547" s="41">
        <v>5.0729999999999995</v>
      </c>
      <c r="G1547" s="38">
        <f>IF(ISNUMBER(F1547),E1547*F1547,"")</f>
        <v>5.5803000000000003</v>
      </c>
      <c r="H1547" s="42"/>
      <c r="I1547" s="38"/>
      <c r="J1547" s="37">
        <v>0</v>
      </c>
    </row>
    <row r="1548" spans="1:10" ht="63.75" hidden="1" x14ac:dyDescent="0.25">
      <c r="A1548" s="174"/>
      <c r="B1548" s="177"/>
      <c r="C1548" s="43" t="s">
        <v>10681</v>
      </c>
      <c r="D1548" s="43" t="s">
        <v>1302</v>
      </c>
      <c r="E1548" s="44">
        <v>1</v>
      </c>
      <c r="F1548" s="41">
        <v>10.725714699999999</v>
      </c>
      <c r="G1548" s="38">
        <f>IF(ISNUMBER(F1548),E1548*F1548,"")</f>
        <v>10.725714699999999</v>
      </c>
      <c r="H1548" s="42"/>
      <c r="I1548" s="38"/>
      <c r="J1548" s="37">
        <v>0</v>
      </c>
    </row>
    <row r="1549" spans="1:10" ht="15.75" hidden="1" thickBot="1" x14ac:dyDescent="0.3">
      <c r="A1549" s="175"/>
      <c r="B1549" s="178"/>
      <c r="C1549" s="49"/>
      <c r="D1549" s="49"/>
      <c r="E1549" s="50"/>
      <c r="F1549" s="51" t="s">
        <v>13</v>
      </c>
      <c r="G1549" s="51" t="str">
        <f>IF(ISNUMBER(F1549),E1549*F1549,"")</f>
        <v/>
      </c>
      <c r="H1549" s="53"/>
      <c r="I1549" s="38"/>
      <c r="J1549" s="37">
        <v>0</v>
      </c>
    </row>
    <row r="1550" spans="1:10" ht="15.75" hidden="1" thickBot="1" x14ac:dyDescent="0.3">
      <c r="A1550" s="173" t="s">
        <v>368</v>
      </c>
      <c r="B1550" s="176" t="s">
        <v>3258</v>
      </c>
      <c r="C1550" s="31"/>
      <c r="D1550" s="32" t="s">
        <v>106</v>
      </c>
      <c r="E1550" s="33"/>
      <c r="F1550" s="54" t="s">
        <v>13</v>
      </c>
      <c r="G1550" s="34" t="str">
        <f>IF(ISNUMBER(F1550),E1550*F1550,"")</f>
        <v/>
      </c>
      <c r="H1550" s="35"/>
      <c r="I1550" s="36"/>
      <c r="J1550" s="37">
        <v>0</v>
      </c>
    </row>
    <row r="1551" spans="1:10" hidden="1" x14ac:dyDescent="0.25">
      <c r="A1551" s="174"/>
      <c r="B1551" s="177"/>
      <c r="C1551" s="39"/>
      <c r="D1551" s="39"/>
      <c r="E1551" s="40"/>
      <c r="F1551" s="55" t="s">
        <v>13</v>
      </c>
      <c r="G1551" s="38" t="str">
        <f>IF(ISNUMBER(F1551),E1551*F1551,"")</f>
        <v/>
      </c>
      <c r="H1551" s="42"/>
      <c r="I1551" s="38"/>
      <c r="J1551" s="37">
        <v>0</v>
      </c>
    </row>
    <row r="1552" spans="1:10" ht="38.25" hidden="1" x14ac:dyDescent="0.25">
      <c r="A1552" s="174"/>
      <c r="B1552" s="177"/>
      <c r="C1552" s="43" t="s">
        <v>10936</v>
      </c>
      <c r="D1552" s="43" t="s">
        <v>1302</v>
      </c>
      <c r="E1552" s="44">
        <v>1.1000000000000001</v>
      </c>
      <c r="F1552" s="41">
        <v>11.1625</v>
      </c>
      <c r="G1552" s="38">
        <f>IF(ISNUMBER(F1552),E1552*F1552,"")</f>
        <v>12.27875</v>
      </c>
      <c r="H1552" s="46">
        <f>SUM(G1552:G1555)</f>
        <v>16.316107500000001</v>
      </c>
      <c r="I1552" s="47"/>
      <c r="J1552" s="37">
        <v>0</v>
      </c>
    </row>
    <row r="1553" spans="1:10" ht="25.5" hidden="1" x14ac:dyDescent="0.25">
      <c r="A1553" s="174"/>
      <c r="B1553" s="177"/>
      <c r="C1553" s="43" t="s">
        <v>10661</v>
      </c>
      <c r="D1553" s="43" t="s">
        <v>1044</v>
      </c>
      <c r="E1553" s="44">
        <v>1.8E-3</v>
      </c>
      <c r="F1553" s="41">
        <v>19</v>
      </c>
      <c r="G1553" s="38">
        <f>IF(ISNUMBER(F1553),E1553*F1553,"")</f>
        <v>3.4200000000000001E-2</v>
      </c>
      <c r="H1553" s="42"/>
      <c r="I1553" s="38"/>
      <c r="J1553" s="37">
        <v>0</v>
      </c>
    </row>
    <row r="1554" spans="1:10" hidden="1" x14ac:dyDescent="0.25">
      <c r="A1554" s="174"/>
      <c r="B1554" s="177"/>
      <c r="C1554" s="43" t="s">
        <v>10762</v>
      </c>
      <c r="D1554" s="43" t="s">
        <v>2800</v>
      </c>
      <c r="E1554" s="44">
        <v>7.0999999999999994E-2</v>
      </c>
      <c r="F1554" s="38">
        <v>24.946999999999999</v>
      </c>
      <c r="G1554" s="38">
        <f>IF(ISNUMBER(F1554),E1554*F1554,"")</f>
        <v>1.7712369999999997</v>
      </c>
      <c r="H1554" s="42"/>
      <c r="I1554" s="38"/>
      <c r="J1554" s="37">
        <v>0</v>
      </c>
    </row>
    <row r="1555" spans="1:10" hidden="1" x14ac:dyDescent="0.25">
      <c r="A1555" s="174"/>
      <c r="B1555" s="177"/>
      <c r="C1555" s="43" t="s">
        <v>10763</v>
      </c>
      <c r="D1555" s="43" t="s">
        <v>2800</v>
      </c>
      <c r="E1555" s="44">
        <v>7.0999999999999994E-2</v>
      </c>
      <c r="F1555" s="38">
        <v>31.435500000000001</v>
      </c>
      <c r="G1555" s="38">
        <f>IF(ISNUMBER(F1555),E1555*F1555,"")</f>
        <v>2.2319204999999998</v>
      </c>
      <c r="H1555" s="42"/>
      <c r="I1555" s="38"/>
      <c r="J1555" s="37">
        <v>0</v>
      </c>
    </row>
    <row r="1556" spans="1:10" ht="15.75" hidden="1" thickBot="1" x14ac:dyDescent="0.3">
      <c r="A1556" s="175"/>
      <c r="B1556" s="178"/>
      <c r="C1556" s="49"/>
      <c r="D1556" s="49"/>
      <c r="E1556" s="50"/>
      <c r="F1556" s="51" t="s">
        <v>13</v>
      </c>
      <c r="G1556" s="51" t="str">
        <f>IF(ISNUMBER(F1556),E1556*F1556,"")</f>
        <v/>
      </c>
      <c r="H1556" s="53"/>
      <c r="I1556" s="38"/>
      <c r="J1556" s="37">
        <v>0</v>
      </c>
    </row>
    <row r="1557" spans="1:10" ht="15.75" hidden="1" thickBot="1" x14ac:dyDescent="0.3">
      <c r="A1557" s="173" t="s">
        <v>369</v>
      </c>
      <c r="B1557" s="176" t="s">
        <v>3259</v>
      </c>
      <c r="C1557" s="31"/>
      <c r="D1557" s="32" t="s">
        <v>106</v>
      </c>
      <c r="E1557" s="33"/>
      <c r="F1557" s="54" t="s">
        <v>13</v>
      </c>
      <c r="G1557" s="34" t="str">
        <f>IF(ISNUMBER(F1557),E1557*F1557,"")</f>
        <v/>
      </c>
      <c r="H1557" s="35"/>
      <c r="I1557" s="36"/>
      <c r="J1557" s="37">
        <v>0</v>
      </c>
    </row>
    <row r="1558" spans="1:10" hidden="1" x14ac:dyDescent="0.25">
      <c r="A1558" s="174"/>
      <c r="B1558" s="177"/>
      <c r="C1558" s="39"/>
      <c r="D1558" s="39"/>
      <c r="E1558" s="40"/>
      <c r="F1558" s="55" t="s">
        <v>13</v>
      </c>
      <c r="G1558" s="38" t="str">
        <f>IF(ISNUMBER(F1558),E1558*F1558,"")</f>
        <v/>
      </c>
      <c r="H1558" s="42"/>
      <c r="I1558" s="38"/>
      <c r="J1558" s="37">
        <v>0</v>
      </c>
    </row>
    <row r="1559" spans="1:10" ht="38.25" hidden="1" x14ac:dyDescent="0.25">
      <c r="A1559" s="174"/>
      <c r="B1559" s="177"/>
      <c r="C1559" s="43" t="s">
        <v>10937</v>
      </c>
      <c r="D1559" s="43" t="s">
        <v>1302</v>
      </c>
      <c r="E1559" s="44">
        <v>1.1000000000000001</v>
      </c>
      <c r="F1559" s="41">
        <v>8.5120000000000005</v>
      </c>
      <c r="G1559" s="41">
        <f>IF(ISNUMBER(F1559),E1559*F1559,"")</f>
        <v>9.3632000000000009</v>
      </c>
      <c r="H1559" s="46">
        <f>SUM(G1559:G1562)</f>
        <v>13.4005575</v>
      </c>
      <c r="I1559" s="47"/>
      <c r="J1559" s="37">
        <v>0</v>
      </c>
    </row>
    <row r="1560" spans="1:10" ht="25.5" hidden="1" x14ac:dyDescent="0.25">
      <c r="A1560" s="174"/>
      <c r="B1560" s="177"/>
      <c r="C1560" s="43" t="s">
        <v>10661</v>
      </c>
      <c r="D1560" s="43" t="s">
        <v>1044</v>
      </c>
      <c r="E1560" s="44">
        <v>1.8E-3</v>
      </c>
      <c r="F1560" s="41">
        <v>19</v>
      </c>
      <c r="G1560" s="41">
        <f>IF(ISNUMBER(F1560),E1560*F1560,"")</f>
        <v>3.4200000000000001E-2</v>
      </c>
      <c r="H1560" s="42"/>
      <c r="I1560" s="38"/>
      <c r="J1560" s="37">
        <v>0</v>
      </c>
    </row>
    <row r="1561" spans="1:10" hidden="1" x14ac:dyDescent="0.25">
      <c r="A1561" s="174"/>
      <c r="B1561" s="177"/>
      <c r="C1561" s="43" t="s">
        <v>10762</v>
      </c>
      <c r="D1561" s="43" t="s">
        <v>2800</v>
      </c>
      <c r="E1561" s="44">
        <v>7.0999999999999994E-2</v>
      </c>
      <c r="F1561" s="38">
        <v>24.946999999999999</v>
      </c>
      <c r="G1561" s="41">
        <f>IF(ISNUMBER(F1561),E1561*F1561,"")</f>
        <v>1.7712369999999997</v>
      </c>
      <c r="H1561" s="42"/>
      <c r="I1561" s="38"/>
      <c r="J1561" s="37">
        <v>0</v>
      </c>
    </row>
    <row r="1562" spans="1:10" hidden="1" x14ac:dyDescent="0.25">
      <c r="A1562" s="174"/>
      <c r="B1562" s="177"/>
      <c r="C1562" s="43" t="s">
        <v>10763</v>
      </c>
      <c r="D1562" s="43" t="s">
        <v>2800</v>
      </c>
      <c r="E1562" s="44">
        <v>7.0999999999999994E-2</v>
      </c>
      <c r="F1562" s="38">
        <v>31.435500000000001</v>
      </c>
      <c r="G1562" s="41">
        <f>IF(ISNUMBER(F1562),E1562*F1562,"")</f>
        <v>2.2319204999999998</v>
      </c>
      <c r="H1562" s="42"/>
      <c r="I1562" s="38"/>
      <c r="J1562" s="37">
        <v>0</v>
      </c>
    </row>
    <row r="1563" spans="1:10" ht="15.75" hidden="1" thickBot="1" x14ac:dyDescent="0.3">
      <c r="A1563" s="175"/>
      <c r="B1563" s="178"/>
      <c r="C1563" s="49"/>
      <c r="D1563" s="49"/>
      <c r="E1563" s="50"/>
      <c r="F1563" s="51" t="s">
        <v>13</v>
      </c>
      <c r="G1563" s="51" t="str">
        <f>IF(ISNUMBER(F1563),E1563*F1563,"")</f>
        <v/>
      </c>
      <c r="H1563" s="53"/>
      <c r="I1563" s="38"/>
      <c r="J1563" s="37">
        <v>0</v>
      </c>
    </row>
    <row r="1564" spans="1:10" ht="15.75" hidden="1" thickBot="1" x14ac:dyDescent="0.3">
      <c r="A1564" s="173" t="s">
        <v>370</v>
      </c>
      <c r="B1564" s="176" t="s">
        <v>3260</v>
      </c>
      <c r="C1564" s="31"/>
      <c r="D1564" s="32" t="s">
        <v>106</v>
      </c>
      <c r="E1564" s="33"/>
      <c r="F1564" s="54" t="s">
        <v>13</v>
      </c>
      <c r="G1564" s="34" t="str">
        <f>IF(ISNUMBER(F1564),E1564*F1564,"")</f>
        <v/>
      </c>
      <c r="H1564" s="35"/>
      <c r="I1564" s="36"/>
      <c r="J1564" s="37">
        <v>0</v>
      </c>
    </row>
    <row r="1565" spans="1:10" hidden="1" x14ac:dyDescent="0.25">
      <c r="A1565" s="174"/>
      <c r="B1565" s="177"/>
      <c r="C1565" s="39"/>
      <c r="D1565" s="39"/>
      <c r="E1565" s="40"/>
      <c r="F1565" s="55" t="s">
        <v>13</v>
      </c>
      <c r="G1565" s="38" t="str">
        <f>IF(ISNUMBER(F1565),E1565*F1565,"")</f>
        <v/>
      </c>
      <c r="H1565" s="42"/>
      <c r="I1565" s="38"/>
      <c r="J1565" s="37">
        <v>0</v>
      </c>
    </row>
    <row r="1566" spans="1:10" hidden="1" x14ac:dyDescent="0.25">
      <c r="A1566" s="174"/>
      <c r="B1566" s="177"/>
      <c r="C1566" s="43" t="s">
        <v>371</v>
      </c>
      <c r="D1566" s="43" t="s">
        <v>106</v>
      </c>
      <c r="E1566" s="44">
        <v>1.05</v>
      </c>
      <c r="F1566" s="41" t="s">
        <v>13</v>
      </c>
      <c r="G1566" s="41" t="str">
        <f>IF(ISNUMBER(F1566),E1566*F1566,"")</f>
        <v/>
      </c>
      <c r="H1566" s="46">
        <f>SUM(G1566:G1577)</f>
        <v>26.080562799999999</v>
      </c>
      <c r="I1566" s="47"/>
      <c r="J1566" s="37">
        <v>0</v>
      </c>
    </row>
    <row r="1567" spans="1:10" hidden="1" x14ac:dyDescent="0.25">
      <c r="A1567" s="174"/>
      <c r="B1567" s="177"/>
      <c r="C1567" s="43" t="s">
        <v>10762</v>
      </c>
      <c r="D1567" s="43" t="s">
        <v>2800</v>
      </c>
      <c r="E1567" s="44">
        <v>0.45</v>
      </c>
      <c r="F1567" s="38">
        <v>24.946999999999999</v>
      </c>
      <c r="G1567" s="41">
        <f>IF(ISNUMBER(F1567),E1567*F1567,"")</f>
        <v>11.226150000000001</v>
      </c>
      <c r="H1567" s="42"/>
      <c r="I1567" s="38"/>
      <c r="J1567" s="37">
        <v>0</v>
      </c>
    </row>
    <row r="1568" spans="1:10" hidden="1" x14ac:dyDescent="0.25">
      <c r="A1568" s="174"/>
      <c r="B1568" s="177"/>
      <c r="C1568" s="43" t="s">
        <v>10763</v>
      </c>
      <c r="D1568" s="43" t="s">
        <v>2800</v>
      </c>
      <c r="E1568" s="44">
        <v>0.45</v>
      </c>
      <c r="F1568" s="38">
        <v>31.435500000000001</v>
      </c>
      <c r="G1568" s="41">
        <f>IF(ISNUMBER(F1568),E1568*F1568,"")</f>
        <v>14.145975</v>
      </c>
      <c r="H1568" s="42"/>
      <c r="I1568" s="38"/>
      <c r="J1568" s="37">
        <v>0</v>
      </c>
    </row>
    <row r="1569" spans="1:10" ht="25.5" hidden="1" x14ac:dyDescent="0.25">
      <c r="A1569" s="174"/>
      <c r="B1569" s="177"/>
      <c r="C1569" s="43" t="s">
        <v>324</v>
      </c>
      <c r="D1569" s="43" t="s">
        <v>87</v>
      </c>
      <c r="E1569" s="44">
        <v>0.67</v>
      </c>
      <c r="F1569" s="38" t="s">
        <v>13</v>
      </c>
      <c r="G1569" s="41" t="str">
        <f>IF(ISNUMBER(F1569),E1569*F1569,"")</f>
        <v/>
      </c>
      <c r="H1569" s="42"/>
      <c r="I1569" s="38"/>
      <c r="J1569" s="37">
        <v>0</v>
      </c>
    </row>
    <row r="1570" spans="1:10" hidden="1" x14ac:dyDescent="0.25">
      <c r="A1570" s="174"/>
      <c r="B1570" s="177"/>
      <c r="C1570" s="43" t="s">
        <v>372</v>
      </c>
      <c r="D1570" s="43" t="s">
        <v>87</v>
      </c>
      <c r="E1570" s="44">
        <v>0.67</v>
      </c>
      <c r="F1570" s="38" t="s">
        <v>13</v>
      </c>
      <c r="G1570" s="41" t="str">
        <f>IF(ISNUMBER(F1570),E1570*F1570,"")</f>
        <v/>
      </c>
      <c r="H1570" s="42"/>
      <c r="I1570" s="38"/>
      <c r="J1570" s="37">
        <v>0</v>
      </c>
    </row>
    <row r="1571" spans="1:10" hidden="1" x14ac:dyDescent="0.25">
      <c r="A1571" s="174"/>
      <c r="B1571" s="177"/>
      <c r="C1571" s="43" t="s">
        <v>326</v>
      </c>
      <c r="D1571" s="43" t="s">
        <v>106</v>
      </c>
      <c r="E1571" s="44">
        <v>0.8</v>
      </c>
      <c r="F1571" s="38" t="s">
        <v>13</v>
      </c>
      <c r="G1571" s="41" t="str">
        <f>IF(ISNUMBER(F1571),E1571*F1571,"")</f>
        <v/>
      </c>
      <c r="H1571" s="42"/>
      <c r="I1571" s="38"/>
      <c r="J1571" s="37">
        <v>0</v>
      </c>
    </row>
    <row r="1572" spans="1:10" hidden="1" x14ac:dyDescent="0.25">
      <c r="A1572" s="174"/>
      <c r="B1572" s="177"/>
      <c r="C1572" s="43" t="s">
        <v>10933</v>
      </c>
      <c r="D1572" s="43" t="s">
        <v>83</v>
      </c>
      <c r="E1572" s="44">
        <v>2.6633</v>
      </c>
      <c r="F1572" s="41">
        <v>0.26600000000000001</v>
      </c>
      <c r="G1572" s="41">
        <f>IF(ISNUMBER(F1572),E1572*F1572,"")</f>
        <v>0.70843780000000001</v>
      </c>
      <c r="H1572" s="42"/>
      <c r="I1572" s="38"/>
      <c r="J1572" s="37">
        <v>0</v>
      </c>
    </row>
    <row r="1573" spans="1:10" hidden="1" x14ac:dyDescent="0.25">
      <c r="A1573" s="174"/>
      <c r="B1573" s="177"/>
      <c r="C1573" s="43" t="s">
        <v>327</v>
      </c>
      <c r="D1573" s="43" t="s">
        <v>87</v>
      </c>
      <c r="E1573" s="44">
        <v>2.6633</v>
      </c>
      <c r="F1573" s="38" t="s">
        <v>13</v>
      </c>
      <c r="G1573" s="41" t="str">
        <f>IF(ISNUMBER(F1573),E1573*F1573,"")</f>
        <v/>
      </c>
      <c r="H1573" s="42"/>
      <c r="I1573" s="38"/>
      <c r="J1573" s="37">
        <v>0</v>
      </c>
    </row>
    <row r="1574" spans="1:10" hidden="1" x14ac:dyDescent="0.25">
      <c r="A1574" s="174"/>
      <c r="B1574" s="177"/>
      <c r="C1574" s="43" t="s">
        <v>329</v>
      </c>
      <c r="D1574" s="43" t="s">
        <v>87</v>
      </c>
      <c r="E1574" s="44">
        <v>0.67</v>
      </c>
      <c r="F1574" s="38" t="s">
        <v>13</v>
      </c>
      <c r="G1574" s="41" t="str">
        <f>IF(ISNUMBER(F1574),E1574*F1574,"")</f>
        <v/>
      </c>
      <c r="H1574" s="42"/>
      <c r="I1574" s="38"/>
      <c r="J1574" s="37">
        <v>0</v>
      </c>
    </row>
    <row r="1575" spans="1:10" hidden="1" x14ac:dyDescent="0.25">
      <c r="A1575" s="174"/>
      <c r="B1575" s="177"/>
      <c r="C1575" s="43" t="s">
        <v>330</v>
      </c>
      <c r="D1575" s="43" t="s">
        <v>18</v>
      </c>
      <c r="E1575" s="44">
        <v>1.33</v>
      </c>
      <c r="F1575" s="38" t="s">
        <v>13</v>
      </c>
      <c r="G1575" s="41" t="str">
        <f>IF(ISNUMBER(F1575),E1575*F1575,"")</f>
        <v/>
      </c>
      <c r="H1575" s="42"/>
      <c r="I1575" s="38"/>
      <c r="J1575" s="37">
        <v>0</v>
      </c>
    </row>
    <row r="1576" spans="1:10" hidden="1" x14ac:dyDescent="0.25">
      <c r="A1576" s="174"/>
      <c r="B1576" s="177"/>
      <c r="C1576" s="43" t="s">
        <v>373</v>
      </c>
      <c r="D1576" s="43" t="s">
        <v>87</v>
      </c>
      <c r="E1576" s="44">
        <v>0.33329999999999999</v>
      </c>
      <c r="F1576" s="38" t="s">
        <v>13</v>
      </c>
      <c r="G1576" s="41" t="str">
        <f>IF(ISNUMBER(F1576),E1576*F1576,"")</f>
        <v/>
      </c>
      <c r="H1576" s="42"/>
      <c r="I1576" s="38"/>
      <c r="J1576" s="37">
        <v>0</v>
      </c>
    </row>
    <row r="1577" spans="1:10" hidden="1" x14ac:dyDescent="0.25">
      <c r="A1577" s="174"/>
      <c r="B1577" s="177"/>
      <c r="C1577" s="43" t="s">
        <v>374</v>
      </c>
      <c r="D1577" s="43" t="s">
        <v>106</v>
      </c>
      <c r="E1577" s="44">
        <v>1.05</v>
      </c>
      <c r="F1577" s="38" t="s">
        <v>13</v>
      </c>
      <c r="G1577" s="41" t="str">
        <f>IF(ISNUMBER(F1577),E1577*F1577,"")</f>
        <v/>
      </c>
      <c r="H1577" s="42"/>
      <c r="I1577" s="38"/>
      <c r="J1577" s="37">
        <v>0</v>
      </c>
    </row>
    <row r="1578" spans="1:10" ht="15.75" hidden="1" thickBot="1" x14ac:dyDescent="0.3">
      <c r="A1578" s="175"/>
      <c r="B1578" s="178"/>
      <c r="C1578" s="49"/>
      <c r="D1578" s="49"/>
      <c r="E1578" s="50"/>
      <c r="F1578" s="51" t="s">
        <v>13</v>
      </c>
      <c r="G1578" s="51" t="str">
        <f>IF(ISNUMBER(F1578),E1578*F1578,"")</f>
        <v/>
      </c>
      <c r="H1578" s="53"/>
      <c r="I1578" s="38"/>
      <c r="J1578" s="37">
        <v>0</v>
      </c>
    </row>
    <row r="1579" spans="1:10" ht="15.75" hidden="1" thickBot="1" x14ac:dyDescent="0.3">
      <c r="A1579" s="173" t="s">
        <v>375</v>
      </c>
      <c r="B1579" s="176" t="s">
        <v>3261</v>
      </c>
      <c r="C1579" s="31"/>
      <c r="D1579" s="32" t="s">
        <v>18</v>
      </c>
      <c r="E1579" s="33"/>
      <c r="F1579" s="54" t="s">
        <v>13</v>
      </c>
      <c r="G1579" s="34" t="str">
        <f>IF(ISNUMBER(F1579),E1579*F1579,"")</f>
        <v/>
      </c>
      <c r="H1579" s="35"/>
      <c r="I1579" s="36"/>
      <c r="J1579" s="37">
        <v>0</v>
      </c>
    </row>
    <row r="1580" spans="1:10" hidden="1" x14ac:dyDescent="0.25">
      <c r="A1580" s="174"/>
      <c r="B1580" s="177"/>
      <c r="C1580" s="39"/>
      <c r="D1580" s="39"/>
      <c r="E1580" s="40"/>
      <c r="F1580" s="55" t="s">
        <v>13</v>
      </c>
      <c r="G1580" s="38" t="str">
        <f>IF(ISNUMBER(F1580),E1580*F1580,"")</f>
        <v/>
      </c>
      <c r="H1580" s="42"/>
      <c r="I1580" s="38"/>
      <c r="J1580" s="37">
        <v>0</v>
      </c>
    </row>
    <row r="1581" spans="1:10" ht="25.5" hidden="1" x14ac:dyDescent="0.25">
      <c r="A1581" s="174"/>
      <c r="B1581" s="177"/>
      <c r="C1581" s="43" t="s">
        <v>10938</v>
      </c>
      <c r="D1581" s="43" t="s">
        <v>83</v>
      </c>
      <c r="E1581" s="44">
        <v>1</v>
      </c>
      <c r="F1581" s="41">
        <v>4.0279999999999996</v>
      </c>
      <c r="G1581" s="41">
        <f>IF(ISNUMBER(F1581),E1581*F1581,"")</f>
        <v>4.0279999999999996</v>
      </c>
      <c r="H1581" s="46">
        <f>SUM(G1581:G1584)</f>
        <v>11.248807499999998</v>
      </c>
      <c r="I1581" s="47"/>
      <c r="J1581" s="37">
        <v>0</v>
      </c>
    </row>
    <row r="1582" spans="1:10" ht="38.25" hidden="1" x14ac:dyDescent="0.25">
      <c r="A1582" s="174"/>
      <c r="B1582" s="177"/>
      <c r="C1582" s="43" t="s">
        <v>10939</v>
      </c>
      <c r="D1582" s="43" t="s">
        <v>83</v>
      </c>
      <c r="E1582" s="44">
        <v>1</v>
      </c>
      <c r="F1582" s="41">
        <v>2.09</v>
      </c>
      <c r="G1582" s="41">
        <f>IF(ISNUMBER(F1582),E1582*F1582,"")</f>
        <v>2.09</v>
      </c>
      <c r="H1582" s="42"/>
      <c r="I1582" s="38"/>
      <c r="J1582" s="37">
        <v>0</v>
      </c>
    </row>
    <row r="1583" spans="1:10" hidden="1" x14ac:dyDescent="0.25">
      <c r="A1583" s="174"/>
      <c r="B1583" s="177"/>
      <c r="C1583" s="43" t="s">
        <v>10762</v>
      </c>
      <c r="D1583" s="43" t="s">
        <v>2800</v>
      </c>
      <c r="E1583" s="44">
        <v>9.0999999999999998E-2</v>
      </c>
      <c r="F1583" s="38">
        <v>24.946999999999999</v>
      </c>
      <c r="G1583" s="41">
        <f>IF(ISNUMBER(F1583),E1583*F1583,"")</f>
        <v>2.2701769999999999</v>
      </c>
      <c r="H1583" s="42"/>
      <c r="I1583" s="38"/>
      <c r="J1583" s="37">
        <v>0</v>
      </c>
    </row>
    <row r="1584" spans="1:10" hidden="1" x14ac:dyDescent="0.25">
      <c r="A1584" s="174"/>
      <c r="B1584" s="177"/>
      <c r="C1584" s="43" t="s">
        <v>10763</v>
      </c>
      <c r="D1584" s="43" t="s">
        <v>2800</v>
      </c>
      <c r="E1584" s="44">
        <v>9.0999999999999998E-2</v>
      </c>
      <c r="F1584" s="38">
        <v>31.435500000000001</v>
      </c>
      <c r="G1584" s="41">
        <f>IF(ISNUMBER(F1584),E1584*F1584,"")</f>
        <v>2.8606305000000001</v>
      </c>
      <c r="H1584" s="42"/>
      <c r="I1584" s="38"/>
      <c r="J1584" s="37">
        <v>0</v>
      </c>
    </row>
    <row r="1585" spans="1:10" ht="15.75" hidden="1" thickBot="1" x14ac:dyDescent="0.3">
      <c r="A1585" s="175"/>
      <c r="B1585" s="178"/>
      <c r="C1585" s="49"/>
      <c r="D1585" s="49"/>
      <c r="E1585" s="50"/>
      <c r="F1585" s="51" t="s">
        <v>13</v>
      </c>
      <c r="G1585" s="51" t="str">
        <f>IF(ISNUMBER(F1585),E1585*F1585,"")</f>
        <v/>
      </c>
      <c r="H1585" s="53"/>
      <c r="I1585" s="38"/>
      <c r="J1585" s="37">
        <v>0</v>
      </c>
    </row>
    <row r="1586" spans="1:10" ht="15.75" hidden="1" thickBot="1" x14ac:dyDescent="0.3">
      <c r="A1586" s="173" t="s">
        <v>376</v>
      </c>
      <c r="B1586" s="176" t="s">
        <v>3262</v>
      </c>
      <c r="C1586" s="31"/>
      <c r="D1586" s="32" t="s">
        <v>18</v>
      </c>
      <c r="E1586" s="33"/>
      <c r="F1586" s="54" t="s">
        <v>13</v>
      </c>
      <c r="G1586" s="34" t="str">
        <f>IF(ISNUMBER(F1586),E1586*F1586,"")</f>
        <v/>
      </c>
      <c r="H1586" s="35"/>
      <c r="I1586" s="36"/>
      <c r="J1586" s="37">
        <v>0</v>
      </c>
    </row>
    <row r="1587" spans="1:10" hidden="1" x14ac:dyDescent="0.25">
      <c r="A1587" s="174"/>
      <c r="B1587" s="177"/>
      <c r="C1587" s="39"/>
      <c r="D1587" s="39"/>
      <c r="E1587" s="40"/>
      <c r="F1587" s="55" t="s">
        <v>13</v>
      </c>
      <c r="G1587" s="38" t="str">
        <f>IF(ISNUMBER(F1587),E1587*F1587,"")</f>
        <v/>
      </c>
      <c r="H1587" s="42"/>
      <c r="I1587" s="38"/>
      <c r="J1587" s="37">
        <v>0</v>
      </c>
    </row>
    <row r="1588" spans="1:10" ht="25.5" hidden="1" x14ac:dyDescent="0.25">
      <c r="A1588" s="174"/>
      <c r="B1588" s="177"/>
      <c r="C1588" s="43" t="s">
        <v>10940</v>
      </c>
      <c r="D1588" s="43" t="s">
        <v>83</v>
      </c>
      <c r="E1588" s="44">
        <v>1</v>
      </c>
      <c r="F1588" s="41">
        <v>8.1794999999999991</v>
      </c>
      <c r="G1588" s="38">
        <f>IF(ISNUMBER(F1588),E1588*F1588,"")</f>
        <v>8.1794999999999991</v>
      </c>
      <c r="H1588" s="46">
        <f>SUM(G1588:G1591)</f>
        <v>17.632427499999999</v>
      </c>
      <c r="I1588" s="47"/>
      <c r="J1588" s="37">
        <v>0</v>
      </c>
    </row>
    <row r="1589" spans="1:10" ht="38.25" hidden="1" x14ac:dyDescent="0.25">
      <c r="A1589" s="174"/>
      <c r="B1589" s="177"/>
      <c r="C1589" s="43" t="s">
        <v>10941</v>
      </c>
      <c r="D1589" s="43" t="s">
        <v>83</v>
      </c>
      <c r="E1589" s="44">
        <v>1</v>
      </c>
      <c r="F1589" s="41">
        <v>3.42</v>
      </c>
      <c r="G1589" s="41">
        <f>IF(ISNUMBER(F1589),E1589*F1589,"")</f>
        <v>3.42</v>
      </c>
      <c r="H1589" s="42"/>
      <c r="I1589" s="38"/>
      <c r="J1589" s="37">
        <v>0</v>
      </c>
    </row>
    <row r="1590" spans="1:10" hidden="1" x14ac:dyDescent="0.25">
      <c r="A1590" s="174"/>
      <c r="B1590" s="177"/>
      <c r="C1590" s="43" t="s">
        <v>10762</v>
      </c>
      <c r="D1590" s="43" t="s">
        <v>2800</v>
      </c>
      <c r="E1590" s="44">
        <v>0.107</v>
      </c>
      <c r="F1590" s="38">
        <v>24.946999999999999</v>
      </c>
      <c r="G1590" s="41">
        <f>IF(ISNUMBER(F1590),E1590*F1590,"")</f>
        <v>2.6693289999999998</v>
      </c>
      <c r="H1590" s="42"/>
      <c r="I1590" s="38"/>
      <c r="J1590" s="37">
        <v>0</v>
      </c>
    </row>
    <row r="1591" spans="1:10" hidden="1" x14ac:dyDescent="0.25">
      <c r="A1591" s="174"/>
      <c r="B1591" s="177"/>
      <c r="C1591" s="43" t="s">
        <v>10763</v>
      </c>
      <c r="D1591" s="43" t="s">
        <v>2800</v>
      </c>
      <c r="E1591" s="44">
        <v>0.107</v>
      </c>
      <c r="F1591" s="38">
        <v>31.435500000000001</v>
      </c>
      <c r="G1591" s="41">
        <f>IF(ISNUMBER(F1591),E1591*F1591,"")</f>
        <v>3.3635985000000002</v>
      </c>
      <c r="H1591" s="42"/>
      <c r="I1591" s="38"/>
      <c r="J1591" s="37">
        <v>0</v>
      </c>
    </row>
    <row r="1592" spans="1:10" ht="15.75" hidden="1" thickBot="1" x14ac:dyDescent="0.3">
      <c r="A1592" s="175"/>
      <c r="B1592" s="178"/>
      <c r="C1592" s="49"/>
      <c r="D1592" s="49"/>
      <c r="E1592" s="50"/>
      <c r="F1592" s="51" t="s">
        <v>13</v>
      </c>
      <c r="G1592" s="51" t="str">
        <f>IF(ISNUMBER(F1592),E1592*F1592,"")</f>
        <v/>
      </c>
      <c r="H1592" s="53"/>
      <c r="I1592" s="38"/>
      <c r="J1592" s="37">
        <v>0</v>
      </c>
    </row>
    <row r="1593" spans="1:10" ht="15.75" hidden="1" thickBot="1" x14ac:dyDescent="0.3">
      <c r="A1593" s="173" t="s">
        <v>377</v>
      </c>
      <c r="B1593" s="176" t="s">
        <v>3263</v>
      </c>
      <c r="C1593" s="31"/>
      <c r="D1593" s="32" t="s">
        <v>18</v>
      </c>
      <c r="E1593" s="33"/>
      <c r="F1593" s="54" t="s">
        <v>13</v>
      </c>
      <c r="G1593" s="34" t="str">
        <f>IF(ISNUMBER(F1593),E1593*F1593,"")</f>
        <v/>
      </c>
      <c r="H1593" s="35"/>
      <c r="I1593" s="36"/>
      <c r="J1593" s="37">
        <v>0</v>
      </c>
    </row>
    <row r="1594" spans="1:10" hidden="1" x14ac:dyDescent="0.25">
      <c r="A1594" s="174"/>
      <c r="B1594" s="177"/>
      <c r="C1594" s="39"/>
      <c r="D1594" s="39"/>
      <c r="E1594" s="40"/>
      <c r="F1594" s="55" t="s">
        <v>13</v>
      </c>
      <c r="G1594" s="38" t="str">
        <f>IF(ISNUMBER(F1594),E1594*F1594,"")</f>
        <v/>
      </c>
      <c r="H1594" s="42"/>
      <c r="I1594" s="38"/>
      <c r="J1594" s="37">
        <v>0</v>
      </c>
    </row>
    <row r="1595" spans="1:10" hidden="1" x14ac:dyDescent="0.25">
      <c r="A1595" s="174"/>
      <c r="B1595" s="177"/>
      <c r="C1595" s="43" t="s">
        <v>378</v>
      </c>
      <c r="D1595" s="43" t="s">
        <v>18</v>
      </c>
      <c r="E1595" s="44">
        <v>1</v>
      </c>
      <c r="F1595" s="41" t="s">
        <v>13</v>
      </c>
      <c r="G1595" s="38" t="str">
        <f>IF(ISNUMBER(F1595),E1595*F1595,"")</f>
        <v/>
      </c>
      <c r="H1595" s="46">
        <f>SUM(G1595:G1598)</f>
        <v>9.4529274999999995</v>
      </c>
      <c r="I1595" s="47"/>
      <c r="J1595" s="37">
        <v>0</v>
      </c>
    </row>
    <row r="1596" spans="1:10" ht="38.25" hidden="1" x14ac:dyDescent="0.25">
      <c r="A1596" s="174"/>
      <c r="B1596" s="177"/>
      <c r="C1596" s="43" t="s">
        <v>10941</v>
      </c>
      <c r="D1596" s="43" t="s">
        <v>83</v>
      </c>
      <c r="E1596" s="44">
        <v>1</v>
      </c>
      <c r="F1596" s="41">
        <v>3.42</v>
      </c>
      <c r="G1596" s="41">
        <f>IF(ISNUMBER(F1596),E1596*F1596,"")</f>
        <v>3.42</v>
      </c>
      <c r="H1596" s="42"/>
      <c r="I1596" s="38"/>
      <c r="J1596" s="37">
        <v>0</v>
      </c>
    </row>
    <row r="1597" spans="1:10" hidden="1" x14ac:dyDescent="0.25">
      <c r="A1597" s="174"/>
      <c r="B1597" s="177"/>
      <c r="C1597" s="43" t="s">
        <v>10762</v>
      </c>
      <c r="D1597" s="43" t="s">
        <v>2800</v>
      </c>
      <c r="E1597" s="44">
        <v>0.107</v>
      </c>
      <c r="F1597" s="38">
        <v>24.946999999999999</v>
      </c>
      <c r="G1597" s="41">
        <f>IF(ISNUMBER(F1597),E1597*F1597,"")</f>
        <v>2.6693289999999998</v>
      </c>
      <c r="H1597" s="42"/>
      <c r="I1597" s="38"/>
      <c r="J1597" s="37">
        <v>0</v>
      </c>
    </row>
    <row r="1598" spans="1:10" hidden="1" x14ac:dyDescent="0.25">
      <c r="A1598" s="174"/>
      <c r="B1598" s="177"/>
      <c r="C1598" s="43" t="s">
        <v>10763</v>
      </c>
      <c r="D1598" s="43" t="s">
        <v>2800</v>
      </c>
      <c r="E1598" s="44">
        <v>0.107</v>
      </c>
      <c r="F1598" s="38">
        <v>31.435500000000001</v>
      </c>
      <c r="G1598" s="41">
        <f>IF(ISNUMBER(F1598),E1598*F1598,"")</f>
        <v>3.3635985000000002</v>
      </c>
      <c r="H1598" s="42"/>
      <c r="I1598" s="38"/>
      <c r="J1598" s="37">
        <v>0</v>
      </c>
    </row>
    <row r="1599" spans="1:10" ht="15.75" hidden="1" thickBot="1" x14ac:dyDescent="0.3">
      <c r="A1599" s="175"/>
      <c r="B1599" s="178"/>
      <c r="C1599" s="49"/>
      <c r="D1599" s="49"/>
      <c r="E1599" s="50"/>
      <c r="F1599" s="51" t="s">
        <v>13</v>
      </c>
      <c r="G1599" s="51" t="str">
        <f>IF(ISNUMBER(F1599),E1599*F1599,"")</f>
        <v/>
      </c>
      <c r="H1599" s="53"/>
      <c r="I1599" s="38"/>
      <c r="J1599" s="37">
        <v>0</v>
      </c>
    </row>
    <row r="1600" spans="1:10" ht="15.75" hidden="1" thickBot="1" x14ac:dyDescent="0.3">
      <c r="A1600" s="173" t="s">
        <v>379</v>
      </c>
      <c r="B1600" s="176" t="s">
        <v>3264</v>
      </c>
      <c r="C1600" s="31"/>
      <c r="D1600" s="32" t="s">
        <v>18</v>
      </c>
      <c r="E1600" s="33"/>
      <c r="F1600" s="54" t="s">
        <v>13</v>
      </c>
      <c r="G1600" s="34" t="str">
        <f>IF(ISNUMBER(F1600),E1600*F1600,"")</f>
        <v/>
      </c>
      <c r="H1600" s="35"/>
      <c r="I1600" s="36"/>
      <c r="J1600" s="37">
        <v>0</v>
      </c>
    </row>
    <row r="1601" spans="1:10" hidden="1" x14ac:dyDescent="0.25">
      <c r="A1601" s="174"/>
      <c r="B1601" s="177"/>
      <c r="C1601" s="39"/>
      <c r="D1601" s="39"/>
      <c r="E1601" s="40"/>
      <c r="F1601" s="55" t="s">
        <v>13</v>
      </c>
      <c r="G1601" s="38" t="str">
        <f>IF(ISNUMBER(F1601),E1601*F1601,"")</f>
        <v/>
      </c>
      <c r="H1601" s="42"/>
      <c r="I1601" s="38"/>
      <c r="J1601" s="37">
        <v>0</v>
      </c>
    </row>
    <row r="1602" spans="1:10" hidden="1" x14ac:dyDescent="0.25">
      <c r="A1602" s="174"/>
      <c r="B1602" s="177"/>
      <c r="C1602" s="43" t="s">
        <v>10763</v>
      </c>
      <c r="D1602" s="43" t="s">
        <v>2800</v>
      </c>
      <c r="E1602" s="44">
        <f>0.3/2</f>
        <v>0.15</v>
      </c>
      <c r="F1602" s="38">
        <v>31.435500000000001</v>
      </c>
      <c r="G1602" s="41">
        <f>IF(ISNUMBER(F1602),E1602*F1602,"")</f>
        <v>4.715325</v>
      </c>
      <c r="H1602" s="46">
        <f>SUM(G1602:G1605)</f>
        <v>8.457374999999999</v>
      </c>
      <c r="I1602" s="47"/>
      <c r="J1602" s="37">
        <v>0</v>
      </c>
    </row>
    <row r="1603" spans="1:10" hidden="1" x14ac:dyDescent="0.25">
      <c r="A1603" s="174"/>
      <c r="B1603" s="177"/>
      <c r="C1603" s="43" t="s">
        <v>10762</v>
      </c>
      <c r="D1603" s="43" t="s">
        <v>2800</v>
      </c>
      <c r="E1603" s="44">
        <f>0.3/2</f>
        <v>0.15</v>
      </c>
      <c r="F1603" s="38">
        <v>24.946999999999999</v>
      </c>
      <c r="G1603" s="41">
        <f>IF(ISNUMBER(F1603),E1603*F1603,"")</f>
        <v>3.7420499999999999</v>
      </c>
      <c r="H1603" s="42"/>
      <c r="I1603" s="38"/>
      <c r="J1603" s="37">
        <v>0</v>
      </c>
    </row>
    <row r="1604" spans="1:10" ht="25.5" hidden="1" x14ac:dyDescent="0.25">
      <c r="A1604" s="174"/>
      <c r="B1604" s="177"/>
      <c r="C1604" s="43" t="s">
        <v>380</v>
      </c>
      <c r="D1604" s="43" t="s">
        <v>18</v>
      </c>
      <c r="E1604" s="44">
        <v>1</v>
      </c>
      <c r="F1604" s="41" t="s">
        <v>13</v>
      </c>
      <c r="G1604" s="41" t="str">
        <f>IF(ISNUMBER(F1604),E1604*F1604,"")</f>
        <v/>
      </c>
      <c r="H1604" s="42"/>
      <c r="I1604" s="38"/>
      <c r="J1604" s="37">
        <v>0</v>
      </c>
    </row>
    <row r="1605" spans="1:10" ht="25.5" hidden="1" x14ac:dyDescent="0.25">
      <c r="A1605" s="174"/>
      <c r="B1605" s="177"/>
      <c r="C1605" s="43" t="s">
        <v>381</v>
      </c>
      <c r="D1605" s="43" t="s">
        <v>18</v>
      </c>
      <c r="E1605" s="44">
        <v>1</v>
      </c>
      <c r="F1605" s="41" t="s">
        <v>13</v>
      </c>
      <c r="G1605" s="38" t="str">
        <f>IF(ISNUMBER(F1605),E1605*F1605,"")</f>
        <v/>
      </c>
      <c r="H1605" s="42"/>
      <c r="I1605" s="38"/>
      <c r="J1605" s="37">
        <v>0</v>
      </c>
    </row>
    <row r="1606" spans="1:10" ht="15.75" hidden="1" thickBot="1" x14ac:dyDescent="0.3">
      <c r="A1606" s="175"/>
      <c r="B1606" s="178"/>
      <c r="C1606" s="49"/>
      <c r="D1606" s="49"/>
      <c r="E1606" s="50"/>
      <c r="F1606" s="51" t="s">
        <v>13</v>
      </c>
      <c r="G1606" s="51" t="str">
        <f>IF(ISNUMBER(F1606),E1606*F1606,"")</f>
        <v/>
      </c>
      <c r="H1606" s="53"/>
      <c r="I1606" s="38"/>
      <c r="J1606" s="37">
        <v>0</v>
      </c>
    </row>
    <row r="1607" spans="1:10" ht="15.75" hidden="1" thickBot="1" x14ac:dyDescent="0.3">
      <c r="A1607" s="173" t="s">
        <v>382</v>
      </c>
      <c r="B1607" s="176" t="s">
        <v>3265</v>
      </c>
      <c r="C1607" s="31"/>
      <c r="D1607" s="32" t="s">
        <v>18</v>
      </c>
      <c r="E1607" s="33"/>
      <c r="F1607" s="54" t="s">
        <v>13</v>
      </c>
      <c r="G1607" s="34" t="str">
        <f>IF(ISNUMBER(F1607),E1607*F1607,"")</f>
        <v/>
      </c>
      <c r="H1607" s="35"/>
      <c r="I1607" s="36"/>
      <c r="J1607" s="37">
        <v>0</v>
      </c>
    </row>
    <row r="1608" spans="1:10" hidden="1" x14ac:dyDescent="0.25">
      <c r="A1608" s="174"/>
      <c r="B1608" s="177"/>
      <c r="C1608" s="39"/>
      <c r="D1608" s="39"/>
      <c r="E1608" s="40"/>
      <c r="F1608" s="55" t="s">
        <v>13</v>
      </c>
      <c r="G1608" s="38" t="str">
        <f>IF(ISNUMBER(F1608),E1608*F1608,"")</f>
        <v/>
      </c>
      <c r="H1608" s="42"/>
      <c r="I1608" s="38"/>
      <c r="J1608" s="37">
        <v>0</v>
      </c>
    </row>
    <row r="1609" spans="1:10" hidden="1" x14ac:dyDescent="0.25">
      <c r="A1609" s="174"/>
      <c r="B1609" s="177"/>
      <c r="C1609" s="43" t="s">
        <v>10763</v>
      </c>
      <c r="D1609" s="43" t="s">
        <v>2800</v>
      </c>
      <c r="E1609" s="44">
        <v>0.1</v>
      </c>
      <c r="F1609" s="38">
        <v>31.435500000000001</v>
      </c>
      <c r="G1609" s="41">
        <f>IF(ISNUMBER(F1609),E1609*F1609,"")</f>
        <v>3.1435500000000003</v>
      </c>
      <c r="H1609" s="46">
        <f>SUM(G1609:G1610)</f>
        <v>3.1435500000000003</v>
      </c>
      <c r="I1609" s="47"/>
      <c r="J1609" s="37">
        <v>0</v>
      </c>
    </row>
    <row r="1610" spans="1:10" hidden="1" x14ac:dyDescent="0.25">
      <c r="A1610" s="174"/>
      <c r="B1610" s="177"/>
      <c r="C1610" s="43" t="s">
        <v>383</v>
      </c>
      <c r="D1610" s="43" t="s">
        <v>18</v>
      </c>
      <c r="E1610" s="44">
        <v>1</v>
      </c>
      <c r="F1610" s="41" t="s">
        <v>13</v>
      </c>
      <c r="G1610" s="38" t="str">
        <f>IF(ISNUMBER(F1610),E1610*F1610,"")</f>
        <v/>
      </c>
      <c r="H1610" s="42"/>
      <c r="I1610" s="38"/>
      <c r="J1610" s="37">
        <v>0</v>
      </c>
    </row>
    <row r="1611" spans="1:10" ht="15.75" hidden="1" thickBot="1" x14ac:dyDescent="0.3">
      <c r="A1611" s="175"/>
      <c r="B1611" s="178"/>
      <c r="C1611" s="49"/>
      <c r="D1611" s="49"/>
      <c r="E1611" s="50"/>
      <c r="F1611" s="51" t="s">
        <v>13</v>
      </c>
      <c r="G1611" s="51" t="str">
        <f>IF(ISNUMBER(F1611),E1611*F1611,"")</f>
        <v/>
      </c>
      <c r="H1611" s="53"/>
      <c r="I1611" s="38"/>
      <c r="J1611" s="37">
        <v>0</v>
      </c>
    </row>
    <row r="1612" spans="1:10" ht="15.75" hidden="1" thickBot="1" x14ac:dyDescent="0.3">
      <c r="A1612" s="173" t="s">
        <v>384</v>
      </c>
      <c r="B1612" s="176" t="s">
        <v>3266</v>
      </c>
      <c r="C1612" s="31"/>
      <c r="D1612" s="32" t="s">
        <v>18</v>
      </c>
      <c r="E1612" s="33"/>
      <c r="F1612" s="54" t="s">
        <v>13</v>
      </c>
      <c r="G1612" s="34" t="str">
        <f>IF(ISNUMBER(F1612),E1612*F1612,"")</f>
        <v/>
      </c>
      <c r="H1612" s="35"/>
      <c r="I1612" s="36"/>
      <c r="J1612" s="37">
        <v>0</v>
      </c>
    </row>
    <row r="1613" spans="1:10" hidden="1" x14ac:dyDescent="0.25">
      <c r="A1613" s="174"/>
      <c r="B1613" s="177"/>
      <c r="C1613" s="39"/>
      <c r="D1613" s="39"/>
      <c r="E1613" s="40"/>
      <c r="F1613" s="55" t="s">
        <v>13</v>
      </c>
      <c r="G1613" s="38" t="str">
        <f>IF(ISNUMBER(F1613),E1613*F1613,"")</f>
        <v/>
      </c>
      <c r="H1613" s="42"/>
      <c r="I1613" s="38"/>
      <c r="J1613" s="37">
        <v>0</v>
      </c>
    </row>
    <row r="1614" spans="1:10" hidden="1" x14ac:dyDescent="0.25">
      <c r="A1614" s="174"/>
      <c r="B1614" s="177"/>
      <c r="C1614" s="43" t="s">
        <v>10942</v>
      </c>
      <c r="D1614" s="43" t="s">
        <v>83</v>
      </c>
      <c r="E1614" s="44">
        <v>1</v>
      </c>
      <c r="F1614" s="41">
        <v>12.378499999999999</v>
      </c>
      <c r="G1614" s="38">
        <f>IF(ISNUMBER(F1614),E1614*F1614,"")</f>
        <v>12.378499999999999</v>
      </c>
      <c r="H1614" s="46">
        <f>SUM(G1614:G1616)</f>
        <v>30.251752499999998</v>
      </c>
      <c r="I1614" s="47"/>
      <c r="J1614" s="37">
        <v>0</v>
      </c>
    </row>
    <row r="1615" spans="1:10" hidden="1" x14ac:dyDescent="0.25">
      <c r="A1615" s="174"/>
      <c r="B1615" s="177"/>
      <c r="C1615" s="43" t="s">
        <v>10762</v>
      </c>
      <c r="D1615" s="43" t="s">
        <v>2800</v>
      </c>
      <c r="E1615" s="44">
        <v>0.317</v>
      </c>
      <c r="F1615" s="38">
        <v>24.946999999999999</v>
      </c>
      <c r="G1615" s="41">
        <f>IF(ISNUMBER(F1615),E1615*F1615,"")</f>
        <v>7.9081989999999998</v>
      </c>
      <c r="H1615" s="42"/>
      <c r="I1615" s="38"/>
      <c r="J1615" s="37">
        <v>0</v>
      </c>
    </row>
    <row r="1616" spans="1:10" hidden="1" x14ac:dyDescent="0.25">
      <c r="A1616" s="174"/>
      <c r="B1616" s="177"/>
      <c r="C1616" s="43" t="s">
        <v>10763</v>
      </c>
      <c r="D1616" s="43" t="s">
        <v>2800</v>
      </c>
      <c r="E1616" s="44">
        <v>0.317</v>
      </c>
      <c r="F1616" s="38">
        <v>31.435500000000001</v>
      </c>
      <c r="G1616" s="41">
        <f>IF(ISNUMBER(F1616),E1616*F1616,"")</f>
        <v>9.9650534999999998</v>
      </c>
      <c r="H1616" s="42"/>
      <c r="I1616" s="38"/>
      <c r="J1616" s="37">
        <v>0</v>
      </c>
    </row>
    <row r="1617" spans="1:10" ht="15.75" hidden="1" thickBot="1" x14ac:dyDescent="0.3">
      <c r="A1617" s="175"/>
      <c r="B1617" s="178"/>
      <c r="C1617" s="49"/>
      <c r="D1617" s="49"/>
      <c r="E1617" s="50"/>
      <c r="F1617" s="51" t="s">
        <v>13</v>
      </c>
      <c r="G1617" s="51" t="str">
        <f>IF(ISNUMBER(F1617),E1617*F1617,"")</f>
        <v/>
      </c>
      <c r="H1617" s="53"/>
      <c r="I1617" s="38"/>
      <c r="J1617" s="37">
        <v>0</v>
      </c>
    </row>
    <row r="1618" spans="1:10" ht="15.75" hidden="1" thickBot="1" x14ac:dyDescent="0.3">
      <c r="A1618" s="173" t="s">
        <v>385</v>
      </c>
      <c r="B1618" s="176" t="s">
        <v>3267</v>
      </c>
      <c r="C1618" s="31"/>
      <c r="D1618" s="32" t="s">
        <v>18</v>
      </c>
      <c r="E1618" s="33"/>
      <c r="F1618" s="54" t="s">
        <v>13</v>
      </c>
      <c r="G1618" s="34" t="str">
        <f>IF(ISNUMBER(F1618),E1618*F1618,"")</f>
        <v/>
      </c>
      <c r="H1618" s="35"/>
      <c r="I1618" s="36"/>
      <c r="J1618" s="37">
        <v>0</v>
      </c>
    </row>
    <row r="1619" spans="1:10" hidden="1" x14ac:dyDescent="0.25">
      <c r="A1619" s="174"/>
      <c r="B1619" s="177"/>
      <c r="C1619" s="39"/>
      <c r="D1619" s="39"/>
      <c r="E1619" s="40"/>
      <c r="F1619" s="55" t="s">
        <v>13</v>
      </c>
      <c r="G1619" s="38" t="str">
        <f>IF(ISNUMBER(F1619),E1619*F1619,"")</f>
        <v/>
      </c>
      <c r="H1619" s="42"/>
      <c r="I1619" s="38"/>
      <c r="J1619" s="37">
        <v>0</v>
      </c>
    </row>
    <row r="1620" spans="1:10" hidden="1" x14ac:dyDescent="0.25">
      <c r="A1620" s="174"/>
      <c r="B1620" s="177"/>
      <c r="C1620" s="43" t="s">
        <v>10943</v>
      </c>
      <c r="D1620" s="43" t="s">
        <v>83</v>
      </c>
      <c r="E1620" s="44">
        <v>1</v>
      </c>
      <c r="F1620" s="41">
        <v>9.5</v>
      </c>
      <c r="G1620" s="38">
        <f>IF(ISNUMBER(F1620),E1620*F1620,"")</f>
        <v>9.5</v>
      </c>
      <c r="H1620" s="46">
        <f>SUM(G1620:G1622)</f>
        <v>22.580739999999999</v>
      </c>
      <c r="I1620" s="47"/>
      <c r="J1620" s="37">
        <v>0</v>
      </c>
    </row>
    <row r="1621" spans="1:10" hidden="1" x14ac:dyDescent="0.25">
      <c r="A1621" s="174"/>
      <c r="B1621" s="177"/>
      <c r="C1621" s="43" t="s">
        <v>10762</v>
      </c>
      <c r="D1621" s="43" t="s">
        <v>2800</v>
      </c>
      <c r="E1621" s="44">
        <v>0.23200000000000001</v>
      </c>
      <c r="F1621" s="38">
        <v>24.946999999999999</v>
      </c>
      <c r="G1621" s="41">
        <f>IF(ISNUMBER(F1621),E1621*F1621,"")</f>
        <v>5.7877039999999997</v>
      </c>
      <c r="H1621" s="42"/>
      <c r="I1621" s="38"/>
      <c r="J1621" s="37">
        <v>0</v>
      </c>
    </row>
    <row r="1622" spans="1:10" hidden="1" x14ac:dyDescent="0.25">
      <c r="A1622" s="174"/>
      <c r="B1622" s="177"/>
      <c r="C1622" s="43" t="s">
        <v>10763</v>
      </c>
      <c r="D1622" s="43" t="s">
        <v>2800</v>
      </c>
      <c r="E1622" s="44">
        <v>0.23200000000000001</v>
      </c>
      <c r="F1622" s="38">
        <v>31.435500000000001</v>
      </c>
      <c r="G1622" s="41">
        <f>IF(ISNUMBER(F1622),E1622*F1622,"")</f>
        <v>7.2930360000000007</v>
      </c>
      <c r="H1622" s="42"/>
      <c r="I1622" s="38"/>
      <c r="J1622" s="37">
        <v>0</v>
      </c>
    </row>
    <row r="1623" spans="1:10" ht="15.75" hidden="1" thickBot="1" x14ac:dyDescent="0.3">
      <c r="A1623" s="175"/>
      <c r="B1623" s="178"/>
      <c r="C1623" s="49"/>
      <c r="D1623" s="49"/>
      <c r="E1623" s="50"/>
      <c r="F1623" s="51" t="s">
        <v>13</v>
      </c>
      <c r="G1623" s="51" t="str">
        <f>IF(ISNUMBER(F1623),E1623*F1623,"")</f>
        <v/>
      </c>
      <c r="H1623" s="53"/>
      <c r="I1623" s="38"/>
      <c r="J1623" s="37">
        <v>0</v>
      </c>
    </row>
    <row r="1624" spans="1:10" ht="15.75" hidden="1" thickBot="1" x14ac:dyDescent="0.3">
      <c r="A1624" s="173" t="s">
        <v>386</v>
      </c>
      <c r="B1624" s="176" t="s">
        <v>387</v>
      </c>
      <c r="C1624" s="31"/>
      <c r="D1624" s="32" t="s">
        <v>18</v>
      </c>
      <c r="E1624" s="33"/>
      <c r="F1624" s="54" t="s">
        <v>13</v>
      </c>
      <c r="G1624" s="34" t="str">
        <f>IF(ISNUMBER(F1624),E1624*F1624,"")</f>
        <v/>
      </c>
      <c r="H1624" s="35"/>
      <c r="I1624" s="36"/>
      <c r="J1624" s="37">
        <v>0</v>
      </c>
    </row>
    <row r="1625" spans="1:10" hidden="1" x14ac:dyDescent="0.25">
      <c r="A1625" s="174"/>
      <c r="B1625" s="177"/>
      <c r="C1625" s="39"/>
      <c r="D1625" s="39"/>
      <c r="E1625" s="40"/>
      <c r="F1625" s="55" t="s">
        <v>13</v>
      </c>
      <c r="G1625" s="38" t="str">
        <f>IF(ISNUMBER(F1625),E1625*F1625,"")</f>
        <v/>
      </c>
      <c r="H1625" s="42"/>
      <c r="I1625" s="38"/>
      <c r="J1625" s="37">
        <v>0</v>
      </c>
    </row>
    <row r="1626" spans="1:10" hidden="1" x14ac:dyDescent="0.25">
      <c r="A1626" s="174"/>
      <c r="B1626" s="177"/>
      <c r="C1626" s="43" t="s">
        <v>10763</v>
      </c>
      <c r="D1626" s="43" t="s">
        <v>2800</v>
      </c>
      <c r="E1626" s="44">
        <v>0.1</v>
      </c>
      <c r="F1626" s="38">
        <v>31.435500000000001</v>
      </c>
      <c r="G1626" s="41">
        <f>IF(ISNUMBER(F1626),E1626*F1626,"")</f>
        <v>3.1435500000000003</v>
      </c>
      <c r="H1626" s="46">
        <f>SUM(G1626:G1627)</f>
        <v>3.1435500000000003</v>
      </c>
      <c r="I1626" s="47"/>
      <c r="J1626" s="37">
        <v>0</v>
      </c>
    </row>
    <row r="1627" spans="1:10" hidden="1" x14ac:dyDescent="0.25">
      <c r="A1627" s="174"/>
      <c r="B1627" s="177"/>
      <c r="C1627" s="43" t="s">
        <v>387</v>
      </c>
      <c r="D1627" s="43" t="s">
        <v>18</v>
      </c>
      <c r="E1627" s="44">
        <v>1</v>
      </c>
      <c r="F1627" s="41" t="s">
        <v>13</v>
      </c>
      <c r="G1627" s="38" t="str">
        <f>IF(ISNUMBER(F1627),E1627*F1627,"")</f>
        <v/>
      </c>
      <c r="H1627" s="42"/>
      <c r="I1627" s="38"/>
      <c r="J1627" s="37">
        <v>0</v>
      </c>
    </row>
    <row r="1628" spans="1:10" ht="15.75" hidden="1" thickBot="1" x14ac:dyDescent="0.3">
      <c r="A1628" s="175"/>
      <c r="B1628" s="178"/>
      <c r="C1628" s="49"/>
      <c r="D1628" s="49"/>
      <c r="E1628" s="50"/>
      <c r="F1628" s="51" t="s">
        <v>13</v>
      </c>
      <c r="G1628" s="51" t="str">
        <f>IF(ISNUMBER(F1628),E1628*F1628,"")</f>
        <v/>
      </c>
      <c r="H1628" s="53"/>
      <c r="I1628" s="38"/>
      <c r="J1628" s="37">
        <v>0</v>
      </c>
    </row>
    <row r="1629" spans="1:10" ht="15.75" hidden="1" thickBot="1" x14ac:dyDescent="0.3">
      <c r="A1629" s="173" t="s">
        <v>388</v>
      </c>
      <c r="B1629" s="176" t="s">
        <v>3268</v>
      </c>
      <c r="C1629" s="31"/>
      <c r="D1629" s="32" t="s">
        <v>18</v>
      </c>
      <c r="E1629" s="33"/>
      <c r="F1629" s="54" t="s">
        <v>13</v>
      </c>
      <c r="G1629" s="34" t="str">
        <f>IF(ISNUMBER(F1629),E1629*F1629,"")</f>
        <v/>
      </c>
      <c r="H1629" s="35"/>
      <c r="I1629" s="36"/>
      <c r="J1629" s="37">
        <v>0</v>
      </c>
    </row>
    <row r="1630" spans="1:10" hidden="1" x14ac:dyDescent="0.25">
      <c r="A1630" s="174"/>
      <c r="B1630" s="177"/>
      <c r="C1630" s="39"/>
      <c r="D1630" s="39"/>
      <c r="E1630" s="40"/>
      <c r="F1630" s="55" t="s">
        <v>13</v>
      </c>
      <c r="G1630" s="38" t="str">
        <f>IF(ISNUMBER(F1630),E1630*F1630,"")</f>
        <v/>
      </c>
      <c r="H1630" s="42"/>
      <c r="I1630" s="38"/>
      <c r="J1630" s="37">
        <v>0</v>
      </c>
    </row>
    <row r="1631" spans="1:10" hidden="1" x14ac:dyDescent="0.25">
      <c r="A1631" s="174"/>
      <c r="B1631" s="177"/>
      <c r="C1631" s="43" t="s">
        <v>10763</v>
      </c>
      <c r="D1631" s="43" t="s">
        <v>2800</v>
      </c>
      <c r="E1631" s="44">
        <v>0.317</v>
      </c>
      <c r="F1631" s="38">
        <v>31.435500000000001</v>
      </c>
      <c r="G1631" s="41">
        <f>IF(ISNUMBER(F1631),E1631*F1631,"")</f>
        <v>9.9650534999999998</v>
      </c>
      <c r="H1631" s="46">
        <f>SUM(G1631:G1633)</f>
        <v>17.8732525</v>
      </c>
      <c r="I1631" s="47"/>
      <c r="J1631" s="37">
        <v>0</v>
      </c>
    </row>
    <row r="1632" spans="1:10" hidden="1" x14ac:dyDescent="0.25">
      <c r="A1632" s="174"/>
      <c r="B1632" s="177"/>
      <c r="C1632" s="43" t="s">
        <v>10762</v>
      </c>
      <c r="D1632" s="43" t="s">
        <v>2800</v>
      </c>
      <c r="E1632" s="44">
        <v>0.317</v>
      </c>
      <c r="F1632" s="38">
        <v>24.946999999999999</v>
      </c>
      <c r="G1632" s="41">
        <f>IF(ISNUMBER(F1632),E1632*F1632,"")</f>
        <v>7.9081989999999998</v>
      </c>
      <c r="H1632" s="58"/>
      <c r="I1632" s="59"/>
      <c r="J1632" s="37">
        <v>0</v>
      </c>
    </row>
    <row r="1633" spans="1:10" hidden="1" x14ac:dyDescent="0.25">
      <c r="A1633" s="174"/>
      <c r="B1633" s="177"/>
      <c r="C1633" s="43" t="s">
        <v>389</v>
      </c>
      <c r="D1633" s="43" t="s">
        <v>18</v>
      </c>
      <c r="E1633" s="44">
        <v>1</v>
      </c>
      <c r="F1633" s="41" t="s">
        <v>13</v>
      </c>
      <c r="G1633" s="38" t="str">
        <f>IF(ISNUMBER(F1633),E1633*F1633,"")</f>
        <v/>
      </c>
      <c r="H1633" s="42"/>
      <c r="I1633" s="38"/>
      <c r="J1633" s="37">
        <v>0</v>
      </c>
    </row>
    <row r="1634" spans="1:10" ht="15.75" hidden="1" thickBot="1" x14ac:dyDescent="0.3">
      <c r="A1634" s="175"/>
      <c r="B1634" s="178"/>
      <c r="C1634" s="78"/>
      <c r="D1634" s="49"/>
      <c r="E1634" s="50"/>
      <c r="F1634" s="51" t="s">
        <v>13</v>
      </c>
      <c r="G1634" s="51" t="str">
        <f>IF(ISNUMBER(F1634),E1634*F1634,"")</f>
        <v/>
      </c>
      <c r="H1634" s="53"/>
      <c r="I1634" s="38"/>
      <c r="J1634" s="37">
        <v>0</v>
      </c>
    </row>
    <row r="1635" spans="1:10" ht="15.75" hidden="1" thickBot="1" x14ac:dyDescent="0.3">
      <c r="A1635" s="173" t="s">
        <v>390</v>
      </c>
      <c r="B1635" s="176" t="s">
        <v>3269</v>
      </c>
      <c r="C1635" s="31"/>
      <c r="D1635" s="32" t="s">
        <v>18</v>
      </c>
      <c r="E1635" s="33"/>
      <c r="F1635" s="54" t="s">
        <v>13</v>
      </c>
      <c r="G1635" s="34" t="str">
        <f>IF(ISNUMBER(F1635),E1635*F1635,"")</f>
        <v/>
      </c>
      <c r="H1635" s="35"/>
      <c r="I1635" s="36"/>
      <c r="J1635" s="37">
        <v>0</v>
      </c>
    </row>
    <row r="1636" spans="1:10" hidden="1" x14ac:dyDescent="0.25">
      <c r="A1636" s="174"/>
      <c r="B1636" s="177"/>
      <c r="C1636" s="39"/>
      <c r="D1636" s="39"/>
      <c r="E1636" s="40"/>
      <c r="F1636" s="55" t="s">
        <v>13</v>
      </c>
      <c r="G1636" s="38" t="str">
        <f>IF(ISNUMBER(F1636),E1636*F1636,"")</f>
        <v/>
      </c>
      <c r="H1636" s="42"/>
      <c r="I1636" s="38"/>
      <c r="J1636" s="37">
        <v>0</v>
      </c>
    </row>
    <row r="1637" spans="1:10" hidden="1" x14ac:dyDescent="0.25">
      <c r="A1637" s="174"/>
      <c r="B1637" s="177"/>
      <c r="C1637" s="43" t="s">
        <v>10944</v>
      </c>
      <c r="D1637" s="43" t="s">
        <v>83</v>
      </c>
      <c r="E1637" s="44">
        <v>1</v>
      </c>
      <c r="F1637" s="41">
        <v>10.820500000000001</v>
      </c>
      <c r="G1637" s="38">
        <f>IF(ISNUMBER(F1637),E1637*F1637,"")</f>
        <v>10.820500000000001</v>
      </c>
      <c r="H1637" s="46">
        <f>SUM(G1637:G1639)</f>
        <v>24.465064999999999</v>
      </c>
      <c r="I1637" s="47"/>
      <c r="J1637" s="37">
        <v>0</v>
      </c>
    </row>
    <row r="1638" spans="1:10" hidden="1" x14ac:dyDescent="0.25">
      <c r="A1638" s="174"/>
      <c r="B1638" s="177"/>
      <c r="C1638" s="43" t="s">
        <v>10762</v>
      </c>
      <c r="D1638" s="43" t="s">
        <v>2800</v>
      </c>
      <c r="E1638" s="44">
        <v>0.24199999999999999</v>
      </c>
      <c r="F1638" s="38">
        <v>24.946999999999999</v>
      </c>
      <c r="G1638" s="41">
        <f>IF(ISNUMBER(F1638),E1638*F1638,"")</f>
        <v>6.0371739999999994</v>
      </c>
      <c r="H1638" s="42"/>
      <c r="I1638" s="38"/>
      <c r="J1638" s="37">
        <v>0</v>
      </c>
    </row>
    <row r="1639" spans="1:10" hidden="1" x14ac:dyDescent="0.25">
      <c r="A1639" s="174"/>
      <c r="B1639" s="177"/>
      <c r="C1639" s="43" t="s">
        <v>10763</v>
      </c>
      <c r="D1639" s="43" t="s">
        <v>2800</v>
      </c>
      <c r="E1639" s="44">
        <v>0.24199999999999999</v>
      </c>
      <c r="F1639" s="38">
        <v>31.435500000000001</v>
      </c>
      <c r="G1639" s="41">
        <f>IF(ISNUMBER(F1639),E1639*F1639,"")</f>
        <v>7.6073909999999998</v>
      </c>
      <c r="H1639" s="42"/>
      <c r="I1639" s="38"/>
      <c r="J1639" s="37">
        <v>0</v>
      </c>
    </row>
    <row r="1640" spans="1:10" ht="15.75" hidden="1" thickBot="1" x14ac:dyDescent="0.3">
      <c r="A1640" s="175"/>
      <c r="B1640" s="178"/>
      <c r="C1640" s="49"/>
      <c r="D1640" s="49"/>
      <c r="E1640" s="50"/>
      <c r="F1640" s="51" t="s">
        <v>13</v>
      </c>
      <c r="G1640" s="51" t="str">
        <f>IF(ISNUMBER(F1640),E1640*F1640,"")</f>
        <v/>
      </c>
      <c r="H1640" s="53"/>
      <c r="I1640" s="38"/>
      <c r="J1640" s="37">
        <v>0</v>
      </c>
    </row>
    <row r="1641" spans="1:10" ht="15.75" hidden="1" thickBot="1" x14ac:dyDescent="0.3">
      <c r="A1641" s="173" t="s">
        <v>391</v>
      </c>
      <c r="B1641" s="176" t="s">
        <v>3270</v>
      </c>
      <c r="C1641" s="31"/>
      <c r="D1641" s="32" t="s">
        <v>18</v>
      </c>
      <c r="E1641" s="33"/>
      <c r="F1641" s="54" t="s">
        <v>13</v>
      </c>
      <c r="G1641" s="34" t="str">
        <f>IF(ISNUMBER(F1641),E1641*F1641,"")</f>
        <v/>
      </c>
      <c r="H1641" s="35"/>
      <c r="I1641" s="36"/>
      <c r="J1641" s="37">
        <v>0</v>
      </c>
    </row>
    <row r="1642" spans="1:10" hidden="1" x14ac:dyDescent="0.25">
      <c r="A1642" s="174"/>
      <c r="B1642" s="177"/>
      <c r="C1642" s="39"/>
      <c r="D1642" s="39"/>
      <c r="E1642" s="40"/>
      <c r="F1642" s="55" t="s">
        <v>13</v>
      </c>
      <c r="G1642" s="38" t="str">
        <f>IF(ISNUMBER(F1642),E1642*F1642,"")</f>
        <v/>
      </c>
      <c r="H1642" s="42"/>
      <c r="I1642" s="38"/>
      <c r="J1642" s="37">
        <v>0</v>
      </c>
    </row>
    <row r="1643" spans="1:10" hidden="1" x14ac:dyDescent="0.25">
      <c r="A1643" s="174"/>
      <c r="B1643" s="177"/>
      <c r="C1643" s="43" t="s">
        <v>10945</v>
      </c>
      <c r="D1643" s="43" t="s">
        <v>83</v>
      </c>
      <c r="E1643" s="44">
        <v>1</v>
      </c>
      <c r="F1643" s="41">
        <v>13.8415</v>
      </c>
      <c r="G1643" s="38">
        <f>IF(ISNUMBER(F1643),E1643*F1643,"")</f>
        <v>13.8415</v>
      </c>
      <c r="H1643" s="46">
        <f>SUM(G1643:G1645)</f>
        <v>27.486065</v>
      </c>
      <c r="I1643" s="47"/>
      <c r="J1643" s="37">
        <v>0</v>
      </c>
    </row>
    <row r="1644" spans="1:10" hidden="1" x14ac:dyDescent="0.25">
      <c r="A1644" s="174"/>
      <c r="B1644" s="177"/>
      <c r="C1644" s="43" t="s">
        <v>10762</v>
      </c>
      <c r="D1644" s="43" t="s">
        <v>2800</v>
      </c>
      <c r="E1644" s="44">
        <v>0.24199999999999999</v>
      </c>
      <c r="F1644" s="38">
        <v>24.946999999999999</v>
      </c>
      <c r="G1644" s="41">
        <f>IF(ISNUMBER(F1644),E1644*F1644,"")</f>
        <v>6.0371739999999994</v>
      </c>
      <c r="H1644" s="42"/>
      <c r="I1644" s="38"/>
      <c r="J1644" s="37">
        <v>0</v>
      </c>
    </row>
    <row r="1645" spans="1:10" hidden="1" x14ac:dyDescent="0.25">
      <c r="A1645" s="174"/>
      <c r="B1645" s="177"/>
      <c r="C1645" s="43" t="s">
        <v>10763</v>
      </c>
      <c r="D1645" s="43" t="s">
        <v>2800</v>
      </c>
      <c r="E1645" s="44">
        <v>0.24199999999999999</v>
      </c>
      <c r="F1645" s="38">
        <v>31.435500000000001</v>
      </c>
      <c r="G1645" s="41">
        <f>IF(ISNUMBER(F1645),E1645*F1645,"")</f>
        <v>7.6073909999999998</v>
      </c>
      <c r="H1645" s="42"/>
      <c r="I1645" s="38"/>
      <c r="J1645" s="37">
        <v>0</v>
      </c>
    </row>
    <row r="1646" spans="1:10" ht="15.75" hidden="1" thickBot="1" x14ac:dyDescent="0.3">
      <c r="A1646" s="175"/>
      <c r="B1646" s="178"/>
      <c r="C1646" s="49"/>
      <c r="D1646" s="49"/>
      <c r="E1646" s="50"/>
      <c r="F1646" s="51" t="s">
        <v>13</v>
      </c>
      <c r="G1646" s="51" t="str">
        <f>IF(ISNUMBER(F1646),E1646*F1646,"")</f>
        <v/>
      </c>
      <c r="H1646" s="53"/>
      <c r="I1646" s="38"/>
      <c r="J1646" s="37">
        <v>0</v>
      </c>
    </row>
    <row r="1647" spans="1:10" ht="15.75" hidden="1" thickBot="1" x14ac:dyDescent="0.3">
      <c r="A1647" s="173" t="s">
        <v>392</v>
      </c>
      <c r="B1647" s="176" t="s">
        <v>393</v>
      </c>
      <c r="C1647" s="31"/>
      <c r="D1647" s="32" t="s">
        <v>18</v>
      </c>
      <c r="E1647" s="33"/>
      <c r="F1647" s="54" t="s">
        <v>13</v>
      </c>
      <c r="G1647" s="34" t="str">
        <f>IF(ISNUMBER(F1647),E1647*F1647,"")</f>
        <v/>
      </c>
      <c r="H1647" s="35"/>
      <c r="I1647" s="36"/>
      <c r="J1647" s="37">
        <v>0</v>
      </c>
    </row>
    <row r="1648" spans="1:10" hidden="1" x14ac:dyDescent="0.25">
      <c r="A1648" s="174"/>
      <c r="B1648" s="177"/>
      <c r="C1648" s="39"/>
      <c r="D1648" s="39"/>
      <c r="E1648" s="40"/>
      <c r="F1648" s="55" t="s">
        <v>13</v>
      </c>
      <c r="G1648" s="38" t="str">
        <f>IF(ISNUMBER(F1648),E1648*F1648,"")</f>
        <v/>
      </c>
      <c r="H1648" s="42"/>
      <c r="I1648" s="38"/>
      <c r="J1648" s="37">
        <v>0</v>
      </c>
    </row>
    <row r="1649" spans="1:10" hidden="1" x14ac:dyDescent="0.25">
      <c r="A1649" s="174"/>
      <c r="B1649" s="177"/>
      <c r="C1649" s="43" t="s">
        <v>10762</v>
      </c>
      <c r="D1649" s="43" t="s">
        <v>2800</v>
      </c>
      <c r="E1649" s="44">
        <f>0.35/2</f>
        <v>0.17499999999999999</v>
      </c>
      <c r="F1649" s="38">
        <v>24.946999999999999</v>
      </c>
      <c r="G1649" s="41">
        <f>IF(ISNUMBER(F1649),E1649*F1649,"")</f>
        <v>4.3657249999999994</v>
      </c>
      <c r="H1649" s="46">
        <f>SUM(G1649:G1651)</f>
        <v>9.8669374999999988</v>
      </c>
      <c r="I1649" s="47"/>
      <c r="J1649" s="37">
        <v>0</v>
      </c>
    </row>
    <row r="1650" spans="1:10" hidden="1" x14ac:dyDescent="0.25">
      <c r="A1650" s="174"/>
      <c r="B1650" s="177"/>
      <c r="C1650" s="43" t="s">
        <v>10763</v>
      </c>
      <c r="D1650" s="43" t="s">
        <v>2800</v>
      </c>
      <c r="E1650" s="44">
        <f>0.35/2</f>
        <v>0.17499999999999999</v>
      </c>
      <c r="F1650" s="38">
        <v>31.435500000000001</v>
      </c>
      <c r="G1650" s="41">
        <f>IF(ISNUMBER(F1650),E1650*F1650,"")</f>
        <v>5.5012125000000003</v>
      </c>
      <c r="H1650" s="80" t="s">
        <v>13</v>
      </c>
      <c r="I1650" s="81"/>
      <c r="J1650" s="37">
        <v>0</v>
      </c>
    </row>
    <row r="1651" spans="1:10" hidden="1" x14ac:dyDescent="0.25">
      <c r="A1651" s="174"/>
      <c r="B1651" s="177"/>
      <c r="C1651" s="43" t="s">
        <v>393</v>
      </c>
      <c r="D1651" s="43" t="s">
        <v>18</v>
      </c>
      <c r="E1651" s="44">
        <v>1</v>
      </c>
      <c r="F1651" s="41" t="s">
        <v>13</v>
      </c>
      <c r="G1651" s="41" t="str">
        <f>IF(ISNUMBER(F1651),E1651*F1651,"")</f>
        <v/>
      </c>
      <c r="H1651" s="42"/>
      <c r="I1651" s="38"/>
      <c r="J1651" s="37">
        <v>0</v>
      </c>
    </row>
    <row r="1652" spans="1:10" ht="15.75" hidden="1" thickBot="1" x14ac:dyDescent="0.3">
      <c r="A1652" s="175"/>
      <c r="B1652" s="178"/>
      <c r="C1652" s="49"/>
      <c r="D1652" s="49"/>
      <c r="E1652" s="50"/>
      <c r="F1652" s="51" t="s">
        <v>13</v>
      </c>
      <c r="G1652" s="51" t="str">
        <f>IF(ISNUMBER(F1652),E1652*F1652,"")</f>
        <v/>
      </c>
      <c r="H1652" s="53"/>
      <c r="I1652" s="38"/>
      <c r="J1652" s="37">
        <v>0</v>
      </c>
    </row>
    <row r="1653" spans="1:10" ht="15.75" hidden="1" thickBot="1" x14ac:dyDescent="0.3">
      <c r="A1653" s="173" t="s">
        <v>394</v>
      </c>
      <c r="B1653" s="176" t="s">
        <v>3271</v>
      </c>
      <c r="C1653" s="31"/>
      <c r="D1653" s="32" t="s">
        <v>18</v>
      </c>
      <c r="E1653" s="33"/>
      <c r="F1653" s="54" t="s">
        <v>13</v>
      </c>
      <c r="G1653" s="34" t="str">
        <f>IF(ISNUMBER(F1653),E1653*F1653,"")</f>
        <v/>
      </c>
      <c r="H1653" s="35"/>
      <c r="I1653" s="36"/>
      <c r="J1653" s="37">
        <v>0</v>
      </c>
    </row>
    <row r="1654" spans="1:10" hidden="1" x14ac:dyDescent="0.25">
      <c r="A1654" s="174"/>
      <c r="B1654" s="177"/>
      <c r="C1654" s="39"/>
      <c r="D1654" s="39"/>
      <c r="E1654" s="40"/>
      <c r="F1654" s="55" t="s">
        <v>13</v>
      </c>
      <c r="G1654" s="38" t="str">
        <f>IF(ISNUMBER(F1654),E1654*F1654,"")</f>
        <v/>
      </c>
      <c r="H1654" s="42"/>
      <c r="I1654" s="38"/>
      <c r="J1654" s="37">
        <v>0</v>
      </c>
    </row>
    <row r="1655" spans="1:10" hidden="1" x14ac:dyDescent="0.25">
      <c r="A1655" s="174"/>
      <c r="B1655" s="177"/>
      <c r="C1655" s="43" t="s">
        <v>10762</v>
      </c>
      <c r="D1655" s="43" t="s">
        <v>2800</v>
      </c>
      <c r="E1655" s="44">
        <v>0.1</v>
      </c>
      <c r="F1655" s="38">
        <v>24.946999999999999</v>
      </c>
      <c r="G1655" s="38">
        <f>IF(ISNUMBER(F1655),E1655*F1655,"")</f>
        <v>2.4946999999999999</v>
      </c>
      <c r="H1655" s="46">
        <f>SUM(G1655:G1656)</f>
        <v>2.4946999999999999</v>
      </c>
      <c r="I1655" s="47"/>
      <c r="J1655" s="37">
        <v>0</v>
      </c>
    </row>
    <row r="1656" spans="1:10" hidden="1" x14ac:dyDescent="0.25">
      <c r="A1656" s="174"/>
      <c r="B1656" s="177"/>
      <c r="C1656" s="43" t="s">
        <v>395</v>
      </c>
      <c r="D1656" s="43" t="s">
        <v>18</v>
      </c>
      <c r="E1656" s="44">
        <v>1</v>
      </c>
      <c r="F1656" s="41" t="s">
        <v>13</v>
      </c>
      <c r="G1656" s="38" t="str">
        <f>IF(ISNUMBER(F1656),E1656*F1656,"")</f>
        <v/>
      </c>
      <c r="H1656" s="42"/>
      <c r="I1656" s="38"/>
      <c r="J1656" s="37">
        <v>0</v>
      </c>
    </row>
    <row r="1657" spans="1:10" ht="15.75" hidden="1" thickBot="1" x14ac:dyDescent="0.3">
      <c r="A1657" s="175"/>
      <c r="B1657" s="178"/>
      <c r="C1657" s="49"/>
      <c r="D1657" s="49"/>
      <c r="E1657" s="50"/>
      <c r="F1657" s="51" t="s">
        <v>13</v>
      </c>
      <c r="G1657" s="51" t="str">
        <f>IF(ISNUMBER(F1657),E1657*F1657,"")</f>
        <v/>
      </c>
      <c r="H1657" s="53"/>
      <c r="I1657" s="38"/>
      <c r="J1657" s="37">
        <v>0</v>
      </c>
    </row>
    <row r="1658" spans="1:10" ht="15.75" hidden="1" thickBot="1" x14ac:dyDescent="0.3">
      <c r="A1658" s="173" t="s">
        <v>396</v>
      </c>
      <c r="B1658" s="176" t="s">
        <v>3272</v>
      </c>
      <c r="C1658" s="31"/>
      <c r="D1658" s="32" t="s">
        <v>18</v>
      </c>
      <c r="E1658" s="33"/>
      <c r="F1658" s="54" t="s">
        <v>13</v>
      </c>
      <c r="G1658" s="34" t="str">
        <f>IF(ISNUMBER(F1658),E1658*F1658,"")</f>
        <v/>
      </c>
      <c r="H1658" s="35"/>
      <c r="I1658" s="36"/>
      <c r="J1658" s="37">
        <v>0</v>
      </c>
    </row>
    <row r="1659" spans="1:10" hidden="1" x14ac:dyDescent="0.25">
      <c r="A1659" s="174"/>
      <c r="B1659" s="177"/>
      <c r="C1659" s="39"/>
      <c r="D1659" s="39"/>
      <c r="E1659" s="40"/>
      <c r="F1659" s="55" t="s">
        <v>13</v>
      </c>
      <c r="G1659" s="38" t="str">
        <f>IF(ISNUMBER(F1659),E1659*F1659,"")</f>
        <v/>
      </c>
      <c r="H1659" s="42"/>
      <c r="I1659" s="38"/>
      <c r="J1659" s="37">
        <v>0</v>
      </c>
    </row>
    <row r="1660" spans="1:10" hidden="1" x14ac:dyDescent="0.25">
      <c r="A1660" s="174"/>
      <c r="B1660" s="177"/>
      <c r="C1660" s="43" t="s">
        <v>10762</v>
      </c>
      <c r="D1660" s="43" t="s">
        <v>2800</v>
      </c>
      <c r="E1660" s="44">
        <v>0.1</v>
      </c>
      <c r="F1660" s="38">
        <v>24.946999999999999</v>
      </c>
      <c r="G1660" s="38">
        <f>IF(ISNUMBER(F1660),E1660*F1660,"")</f>
        <v>2.4946999999999999</v>
      </c>
      <c r="H1660" s="46">
        <f>SUM(G1660:G1661)</f>
        <v>2.4946999999999999</v>
      </c>
      <c r="I1660" s="47"/>
      <c r="J1660" s="37">
        <v>0</v>
      </c>
    </row>
    <row r="1661" spans="1:10" hidden="1" x14ac:dyDescent="0.25">
      <c r="A1661" s="174"/>
      <c r="B1661" s="177"/>
      <c r="C1661" s="43" t="s">
        <v>397</v>
      </c>
      <c r="D1661" s="43" t="s">
        <v>18</v>
      </c>
      <c r="E1661" s="44">
        <v>1</v>
      </c>
      <c r="F1661" s="41" t="s">
        <v>13</v>
      </c>
      <c r="G1661" s="38" t="str">
        <f>IF(ISNUMBER(F1661),E1661*F1661,"")</f>
        <v/>
      </c>
      <c r="H1661" s="42"/>
      <c r="I1661" s="38"/>
      <c r="J1661" s="37">
        <v>0</v>
      </c>
    </row>
    <row r="1662" spans="1:10" ht="15.75" hidden="1" thickBot="1" x14ac:dyDescent="0.3">
      <c r="A1662" s="175"/>
      <c r="B1662" s="178"/>
      <c r="C1662" s="49"/>
      <c r="D1662" s="49"/>
      <c r="E1662" s="50"/>
      <c r="F1662" s="51" t="s">
        <v>13</v>
      </c>
      <c r="G1662" s="51" t="str">
        <f>IF(ISNUMBER(F1662),E1662*F1662,"")</f>
        <v/>
      </c>
      <c r="H1662" s="53"/>
      <c r="I1662" s="38"/>
      <c r="J1662" s="37">
        <v>0</v>
      </c>
    </row>
    <row r="1663" spans="1:10" ht="15.75" hidden="1" thickBot="1" x14ac:dyDescent="0.3">
      <c r="A1663" s="173" t="s">
        <v>398</v>
      </c>
      <c r="B1663" s="176" t="s">
        <v>3273</v>
      </c>
      <c r="C1663" s="31"/>
      <c r="D1663" s="32" t="s">
        <v>18</v>
      </c>
      <c r="E1663" s="33"/>
      <c r="F1663" s="54" t="s">
        <v>13</v>
      </c>
      <c r="G1663" s="34" t="str">
        <f>IF(ISNUMBER(F1663),E1663*F1663,"")</f>
        <v/>
      </c>
      <c r="H1663" s="35"/>
      <c r="I1663" s="36"/>
      <c r="J1663" s="37">
        <v>0</v>
      </c>
    </row>
    <row r="1664" spans="1:10" hidden="1" x14ac:dyDescent="0.25">
      <c r="A1664" s="174"/>
      <c r="B1664" s="177"/>
      <c r="C1664" s="39"/>
      <c r="D1664" s="39"/>
      <c r="E1664" s="40"/>
      <c r="F1664" s="55" t="s">
        <v>13</v>
      </c>
      <c r="G1664" s="38" t="str">
        <f>IF(ISNUMBER(F1664),E1664*F1664,"")</f>
        <v/>
      </c>
      <c r="H1664" s="42"/>
      <c r="I1664" s="38"/>
      <c r="J1664" s="37">
        <v>0</v>
      </c>
    </row>
    <row r="1665" spans="1:10" hidden="1" x14ac:dyDescent="0.25">
      <c r="A1665" s="174"/>
      <c r="B1665" s="177"/>
      <c r="C1665" s="43" t="s">
        <v>10762</v>
      </c>
      <c r="D1665" s="43" t="s">
        <v>2800</v>
      </c>
      <c r="E1665" s="44">
        <v>0.15</v>
      </c>
      <c r="F1665" s="38">
        <v>24.946999999999999</v>
      </c>
      <c r="G1665" s="41">
        <f>IF(ISNUMBER(F1665),E1665*F1665,"")</f>
        <v>3.7420499999999999</v>
      </c>
      <c r="H1665" s="46">
        <f>SUM(G1665:G1666)</f>
        <v>3.7420499999999999</v>
      </c>
      <c r="I1665" s="47"/>
      <c r="J1665" s="37">
        <v>0</v>
      </c>
    </row>
    <row r="1666" spans="1:10" ht="25.5" hidden="1" x14ac:dyDescent="0.25">
      <c r="A1666" s="174"/>
      <c r="B1666" s="177"/>
      <c r="C1666" s="43" t="s">
        <v>399</v>
      </c>
      <c r="D1666" s="43" t="s">
        <v>18</v>
      </c>
      <c r="E1666" s="44">
        <v>1</v>
      </c>
      <c r="F1666" s="41" t="s">
        <v>13</v>
      </c>
      <c r="G1666" s="38" t="str">
        <f>IF(ISNUMBER(F1666),E1666*F1666,"")</f>
        <v/>
      </c>
      <c r="H1666" s="42"/>
      <c r="I1666" s="38"/>
      <c r="J1666" s="37">
        <v>0</v>
      </c>
    </row>
    <row r="1667" spans="1:10" ht="15.75" hidden="1" thickBot="1" x14ac:dyDescent="0.3">
      <c r="A1667" s="175"/>
      <c r="B1667" s="178"/>
      <c r="C1667" s="49"/>
      <c r="D1667" s="49"/>
      <c r="E1667" s="50"/>
      <c r="F1667" s="52" t="s">
        <v>13</v>
      </c>
      <c r="G1667" s="51" t="str">
        <f>IF(ISNUMBER(F1667),E1667*F1667,"")</f>
        <v/>
      </c>
      <c r="H1667" s="53"/>
      <c r="I1667" s="38"/>
      <c r="J1667" s="37">
        <v>0</v>
      </c>
    </row>
    <row r="1668" spans="1:10" ht="15.75" hidden="1" thickBot="1" x14ac:dyDescent="0.3">
      <c r="A1668" s="173" t="s">
        <v>400</v>
      </c>
      <c r="B1668" s="176" t="s">
        <v>3274</v>
      </c>
      <c r="C1668" s="31"/>
      <c r="D1668" s="32" t="s">
        <v>18</v>
      </c>
      <c r="E1668" s="33"/>
      <c r="F1668" s="54" t="s">
        <v>13</v>
      </c>
      <c r="G1668" s="34" t="str">
        <f>IF(ISNUMBER(F1668),E1668*F1668,"")</f>
        <v/>
      </c>
      <c r="H1668" s="35"/>
      <c r="I1668" s="36"/>
      <c r="J1668" s="37">
        <v>0</v>
      </c>
    </row>
    <row r="1669" spans="1:10" hidden="1" x14ac:dyDescent="0.25">
      <c r="A1669" s="174"/>
      <c r="B1669" s="177"/>
      <c r="C1669" s="39"/>
      <c r="D1669" s="39"/>
      <c r="E1669" s="40"/>
      <c r="F1669" s="55" t="s">
        <v>13</v>
      </c>
      <c r="G1669" s="38" t="str">
        <f>IF(ISNUMBER(F1669),E1669*F1669,"")</f>
        <v/>
      </c>
      <c r="H1669" s="42"/>
      <c r="I1669" s="38"/>
      <c r="J1669" s="37">
        <v>0</v>
      </c>
    </row>
    <row r="1670" spans="1:10" hidden="1" x14ac:dyDescent="0.25">
      <c r="A1670" s="174"/>
      <c r="B1670" s="177"/>
      <c r="C1670" s="43" t="s">
        <v>10762</v>
      </c>
      <c r="D1670" s="43" t="s">
        <v>2800</v>
      </c>
      <c r="E1670" s="44">
        <v>0.15</v>
      </c>
      <c r="F1670" s="38">
        <v>24.946999999999999</v>
      </c>
      <c r="G1670" s="41">
        <f>IF(ISNUMBER(F1670),E1670*F1670,"")</f>
        <v>3.7420499999999999</v>
      </c>
      <c r="H1670" s="46">
        <f>SUM(G1670:G1672)</f>
        <v>8.457374999999999</v>
      </c>
      <c r="I1670" s="47"/>
      <c r="J1670" s="37">
        <v>0</v>
      </c>
    </row>
    <row r="1671" spans="1:10" hidden="1" x14ac:dyDescent="0.25">
      <c r="A1671" s="174"/>
      <c r="B1671" s="177"/>
      <c r="C1671" s="43" t="s">
        <v>10763</v>
      </c>
      <c r="D1671" s="43" t="s">
        <v>2800</v>
      </c>
      <c r="E1671" s="44">
        <v>0.15</v>
      </c>
      <c r="F1671" s="38">
        <v>31.435500000000001</v>
      </c>
      <c r="G1671" s="41">
        <f>IF(ISNUMBER(F1671),E1671*F1671,"")</f>
        <v>4.715325</v>
      </c>
      <c r="H1671" s="79"/>
      <c r="I1671" s="1"/>
      <c r="J1671" s="37">
        <v>0</v>
      </c>
    </row>
    <row r="1672" spans="1:10" ht="25.5" hidden="1" x14ac:dyDescent="0.25">
      <c r="A1672" s="174"/>
      <c r="B1672" s="177"/>
      <c r="C1672" s="43" t="s">
        <v>401</v>
      </c>
      <c r="D1672" s="43" t="s">
        <v>18</v>
      </c>
      <c r="E1672" s="44">
        <v>1</v>
      </c>
      <c r="F1672" s="41" t="s">
        <v>13</v>
      </c>
      <c r="G1672" s="38" t="str">
        <f>IF(ISNUMBER(F1672),E1672*F1672,"")</f>
        <v/>
      </c>
      <c r="H1672" s="42"/>
      <c r="I1672" s="38"/>
      <c r="J1672" s="37">
        <v>0</v>
      </c>
    </row>
    <row r="1673" spans="1:10" ht="15.75" hidden="1" thickBot="1" x14ac:dyDescent="0.3">
      <c r="A1673" s="175"/>
      <c r="B1673" s="178"/>
      <c r="C1673" s="49"/>
      <c r="D1673" s="49"/>
      <c r="E1673" s="50"/>
      <c r="F1673" s="51" t="s">
        <v>13</v>
      </c>
      <c r="G1673" s="51" t="str">
        <f>IF(ISNUMBER(F1673),E1673*F1673,"")</f>
        <v/>
      </c>
      <c r="H1673" s="53"/>
      <c r="I1673" s="38"/>
      <c r="J1673" s="37">
        <v>0</v>
      </c>
    </row>
    <row r="1674" spans="1:10" ht="15.75" hidden="1" thickBot="1" x14ac:dyDescent="0.3">
      <c r="A1674" s="173" t="s">
        <v>402</v>
      </c>
      <c r="B1674" s="176" t="s">
        <v>3275</v>
      </c>
      <c r="C1674" s="31"/>
      <c r="D1674" s="32" t="s">
        <v>18</v>
      </c>
      <c r="E1674" s="33"/>
      <c r="F1674" s="54" t="s">
        <v>13</v>
      </c>
      <c r="G1674" s="34" t="str">
        <f>IF(ISNUMBER(F1674),E1674*F1674,"")</f>
        <v/>
      </c>
      <c r="H1674" s="35"/>
      <c r="I1674" s="36"/>
      <c r="J1674" s="37">
        <v>0</v>
      </c>
    </row>
    <row r="1675" spans="1:10" hidden="1" x14ac:dyDescent="0.25">
      <c r="A1675" s="174"/>
      <c r="B1675" s="177"/>
      <c r="C1675" s="39"/>
      <c r="D1675" s="39"/>
      <c r="E1675" s="40"/>
      <c r="F1675" s="55" t="s">
        <v>13</v>
      </c>
      <c r="G1675" s="38" t="str">
        <f>IF(ISNUMBER(F1675),E1675*F1675,"")</f>
        <v/>
      </c>
      <c r="H1675" s="42"/>
      <c r="I1675" s="38"/>
      <c r="J1675" s="37">
        <v>0</v>
      </c>
    </row>
    <row r="1676" spans="1:10" hidden="1" x14ac:dyDescent="0.25">
      <c r="A1676" s="174"/>
      <c r="B1676" s="177"/>
      <c r="C1676" s="43" t="s">
        <v>10763</v>
      </c>
      <c r="D1676" s="43" t="s">
        <v>2800</v>
      </c>
      <c r="E1676" s="44">
        <v>0.317</v>
      </c>
      <c r="F1676" s="38">
        <v>31.435500000000001</v>
      </c>
      <c r="G1676" s="41">
        <f>IF(ISNUMBER(F1676),E1676*F1676,"")</f>
        <v>9.9650534999999998</v>
      </c>
      <c r="H1676" s="46">
        <f>SUM(G1676:G1679)</f>
        <v>17.8732525</v>
      </c>
      <c r="I1676" s="47"/>
      <c r="J1676" s="37">
        <v>0</v>
      </c>
    </row>
    <row r="1677" spans="1:10" hidden="1" x14ac:dyDescent="0.25">
      <c r="A1677" s="174"/>
      <c r="B1677" s="177"/>
      <c r="C1677" s="43" t="s">
        <v>10762</v>
      </c>
      <c r="D1677" s="43" t="s">
        <v>2800</v>
      </c>
      <c r="E1677" s="44">
        <v>0.317</v>
      </c>
      <c r="F1677" s="38">
        <v>24.946999999999999</v>
      </c>
      <c r="G1677" s="41">
        <f>IF(ISNUMBER(F1677),E1677*F1677,"")</f>
        <v>7.9081989999999998</v>
      </c>
      <c r="H1677" s="42"/>
      <c r="I1677" s="38"/>
      <c r="J1677" s="37">
        <v>0</v>
      </c>
    </row>
    <row r="1678" spans="1:10" ht="25.5" hidden="1" x14ac:dyDescent="0.25">
      <c r="A1678" s="174"/>
      <c r="B1678" s="177"/>
      <c r="C1678" s="43" t="s">
        <v>380</v>
      </c>
      <c r="D1678" s="43" t="s">
        <v>18</v>
      </c>
      <c r="E1678" s="44">
        <v>1</v>
      </c>
      <c r="F1678" s="41" t="s">
        <v>13</v>
      </c>
      <c r="G1678" s="41" t="str">
        <f>IF(ISNUMBER(F1678),E1678*F1678,"")</f>
        <v/>
      </c>
      <c r="H1678" s="42"/>
      <c r="I1678" s="38"/>
      <c r="J1678" s="37">
        <v>0</v>
      </c>
    </row>
    <row r="1679" spans="1:10" ht="25.5" hidden="1" x14ac:dyDescent="0.25">
      <c r="A1679" s="174"/>
      <c r="B1679" s="177"/>
      <c r="C1679" s="43" t="s">
        <v>403</v>
      </c>
      <c r="D1679" s="43" t="s">
        <v>18</v>
      </c>
      <c r="E1679" s="44">
        <v>1</v>
      </c>
      <c r="F1679" s="41" t="s">
        <v>13</v>
      </c>
      <c r="G1679" s="38" t="str">
        <f>IF(ISNUMBER(F1679),E1679*F1679,"")</f>
        <v/>
      </c>
      <c r="H1679" s="42"/>
      <c r="I1679" s="38"/>
      <c r="J1679" s="37">
        <v>0</v>
      </c>
    </row>
    <row r="1680" spans="1:10" ht="15.75" hidden="1" thickBot="1" x14ac:dyDescent="0.3">
      <c r="A1680" s="175"/>
      <c r="B1680" s="178"/>
      <c r="C1680" s="49"/>
      <c r="D1680" s="49"/>
      <c r="E1680" s="50"/>
      <c r="F1680" s="51" t="s">
        <v>13</v>
      </c>
      <c r="G1680" s="51" t="str">
        <f>IF(ISNUMBER(F1680),E1680*F1680,"")</f>
        <v/>
      </c>
      <c r="H1680" s="53"/>
      <c r="I1680" s="38"/>
      <c r="J1680" s="37">
        <v>0</v>
      </c>
    </row>
    <row r="1681" spans="1:10" ht="15.75" hidden="1" thickBot="1" x14ac:dyDescent="0.3">
      <c r="A1681" s="173" t="s">
        <v>404</v>
      </c>
      <c r="B1681" s="176" t="s">
        <v>3276</v>
      </c>
      <c r="C1681" s="31"/>
      <c r="D1681" s="32" t="s">
        <v>18</v>
      </c>
      <c r="E1681" s="33"/>
      <c r="F1681" s="54" t="s">
        <v>13</v>
      </c>
      <c r="G1681" s="34" t="str">
        <f>IF(ISNUMBER(F1681),E1681*F1681,"")</f>
        <v/>
      </c>
      <c r="H1681" s="35"/>
      <c r="I1681" s="36"/>
      <c r="J1681" s="37">
        <v>0</v>
      </c>
    </row>
    <row r="1682" spans="1:10" hidden="1" x14ac:dyDescent="0.25">
      <c r="A1682" s="174"/>
      <c r="B1682" s="177"/>
      <c r="C1682" s="39"/>
      <c r="D1682" s="39"/>
      <c r="E1682" s="40"/>
      <c r="F1682" s="55" t="s">
        <v>13</v>
      </c>
      <c r="G1682" s="38" t="str">
        <f>IF(ISNUMBER(F1682),E1682*F1682,"")</f>
        <v/>
      </c>
      <c r="H1682" s="42"/>
      <c r="I1682" s="38"/>
      <c r="J1682" s="37">
        <v>0</v>
      </c>
    </row>
    <row r="1683" spans="1:10" hidden="1" x14ac:dyDescent="0.25">
      <c r="A1683" s="174"/>
      <c r="B1683" s="177"/>
      <c r="C1683" s="43" t="s">
        <v>10762</v>
      </c>
      <c r="D1683" s="43" t="s">
        <v>2800</v>
      </c>
      <c r="E1683" s="44">
        <v>0.65</v>
      </c>
      <c r="F1683" s="38">
        <v>24.946999999999999</v>
      </c>
      <c r="G1683" s="41">
        <f>IF(ISNUMBER(F1683),E1683*F1683,"")</f>
        <v>16.21555</v>
      </c>
      <c r="H1683" s="46">
        <f>SUM(G1683:G1686)</f>
        <v>36.648625000000003</v>
      </c>
      <c r="I1683" s="47"/>
      <c r="J1683" s="37">
        <v>0</v>
      </c>
    </row>
    <row r="1684" spans="1:10" hidden="1" x14ac:dyDescent="0.25">
      <c r="A1684" s="174"/>
      <c r="B1684" s="177"/>
      <c r="C1684" s="43" t="s">
        <v>10763</v>
      </c>
      <c r="D1684" s="43" t="s">
        <v>2800</v>
      </c>
      <c r="E1684" s="44">
        <v>0.65</v>
      </c>
      <c r="F1684" s="38">
        <v>31.435500000000001</v>
      </c>
      <c r="G1684" s="41">
        <f>IF(ISNUMBER(F1684),E1684*F1684,"")</f>
        <v>20.433075000000002</v>
      </c>
      <c r="H1684" s="42"/>
      <c r="I1684" s="38"/>
      <c r="J1684" s="37">
        <v>0</v>
      </c>
    </row>
    <row r="1685" spans="1:10" hidden="1" x14ac:dyDescent="0.25">
      <c r="A1685" s="174"/>
      <c r="B1685" s="177"/>
      <c r="C1685" s="43" t="s">
        <v>405</v>
      </c>
      <c r="D1685" s="43" t="s">
        <v>18</v>
      </c>
      <c r="E1685" s="44">
        <v>1</v>
      </c>
      <c r="F1685" s="38" t="s">
        <v>13</v>
      </c>
      <c r="G1685" s="38" t="str">
        <f>IF(ISNUMBER(F1685),E1685*F1685,"")</f>
        <v/>
      </c>
      <c r="H1685" s="42"/>
      <c r="I1685" s="38"/>
      <c r="J1685" s="37">
        <v>0</v>
      </c>
    </row>
    <row r="1686" spans="1:10" hidden="1" x14ac:dyDescent="0.25">
      <c r="A1686" s="174"/>
      <c r="B1686" s="177"/>
      <c r="C1686" s="43" t="s">
        <v>406</v>
      </c>
      <c r="D1686" s="43" t="s">
        <v>18</v>
      </c>
      <c r="E1686" s="44">
        <v>1</v>
      </c>
      <c r="F1686" s="38" t="s">
        <v>13</v>
      </c>
      <c r="G1686" s="38" t="str">
        <f>IF(ISNUMBER(F1686),E1686*F1686,"")</f>
        <v/>
      </c>
      <c r="H1686" s="42"/>
      <c r="I1686" s="38"/>
      <c r="J1686" s="37">
        <v>0</v>
      </c>
    </row>
    <row r="1687" spans="1:10" ht="15.75" hidden="1" thickBot="1" x14ac:dyDescent="0.3">
      <c r="A1687" s="175"/>
      <c r="B1687" s="178"/>
      <c r="C1687" s="49"/>
      <c r="D1687" s="49"/>
      <c r="E1687" s="50"/>
      <c r="F1687" s="51" t="s">
        <v>13</v>
      </c>
      <c r="G1687" s="51" t="str">
        <f>IF(ISNUMBER(F1687),E1687*F1687,"")</f>
        <v/>
      </c>
      <c r="H1687" s="53"/>
      <c r="I1687" s="38"/>
      <c r="J1687" s="37">
        <v>0</v>
      </c>
    </row>
    <row r="1688" spans="1:10" ht="15.75" hidden="1" thickBot="1" x14ac:dyDescent="0.3">
      <c r="A1688" s="173" t="s">
        <v>407</v>
      </c>
      <c r="B1688" s="176" t="s">
        <v>3277</v>
      </c>
      <c r="C1688" s="31"/>
      <c r="D1688" s="32" t="s">
        <v>18</v>
      </c>
      <c r="E1688" s="33"/>
      <c r="F1688" s="54" t="s">
        <v>13</v>
      </c>
      <c r="G1688" s="34" t="str">
        <f>IF(ISNUMBER(F1688),E1688*F1688,"")</f>
        <v/>
      </c>
      <c r="H1688" s="35"/>
      <c r="I1688" s="36"/>
      <c r="J1688" s="37">
        <v>0</v>
      </c>
    </row>
    <row r="1689" spans="1:10" hidden="1" x14ac:dyDescent="0.25">
      <c r="A1689" s="174"/>
      <c r="B1689" s="177"/>
      <c r="C1689" s="39"/>
      <c r="D1689" s="39"/>
      <c r="E1689" s="40"/>
      <c r="F1689" s="55" t="s">
        <v>13</v>
      </c>
      <c r="G1689" s="38" t="str">
        <f>IF(ISNUMBER(F1689),E1689*F1689,"")</f>
        <v/>
      </c>
      <c r="H1689" s="42"/>
      <c r="I1689" s="38"/>
      <c r="J1689" s="37">
        <v>0</v>
      </c>
    </row>
    <row r="1690" spans="1:10" ht="38.25" hidden="1" x14ac:dyDescent="0.25">
      <c r="A1690" s="174"/>
      <c r="B1690" s="177"/>
      <c r="C1690" s="43" t="s">
        <v>408</v>
      </c>
      <c r="D1690" s="43" t="s">
        <v>87</v>
      </c>
      <c r="E1690" s="44">
        <v>1</v>
      </c>
      <c r="F1690" s="41" t="s">
        <v>13</v>
      </c>
      <c r="G1690" s="38" t="str">
        <f>IF(ISNUMBER(F1690),E1690*F1690,"")</f>
        <v/>
      </c>
      <c r="H1690" s="46">
        <f>SUM(G1690:G1692)</f>
        <v>7.0186539714000009</v>
      </c>
      <c r="I1690" s="47"/>
      <c r="J1690" s="37">
        <v>0</v>
      </c>
    </row>
    <row r="1691" spans="1:10" hidden="1" x14ac:dyDescent="0.25">
      <c r="A1691" s="174"/>
      <c r="B1691" s="177"/>
      <c r="C1691" s="43" t="s">
        <v>10762</v>
      </c>
      <c r="D1691" s="43" t="s">
        <v>2800</v>
      </c>
      <c r="E1691" s="44">
        <v>5.5156200000000002E-2</v>
      </c>
      <c r="F1691" s="38">
        <v>24.946999999999999</v>
      </c>
      <c r="G1691" s="38">
        <f>IF(ISNUMBER(F1691),E1691*F1691,"")</f>
        <v>1.3759817214000001</v>
      </c>
      <c r="H1691" s="42"/>
      <c r="I1691" s="38"/>
      <c r="J1691" s="37">
        <v>0</v>
      </c>
    </row>
    <row r="1692" spans="1:10" hidden="1" x14ac:dyDescent="0.25">
      <c r="A1692" s="174"/>
      <c r="B1692" s="177"/>
      <c r="C1692" s="43" t="s">
        <v>10763</v>
      </c>
      <c r="D1692" s="43" t="s">
        <v>2800</v>
      </c>
      <c r="E1692" s="44">
        <v>0.17949999999999999</v>
      </c>
      <c r="F1692" s="38">
        <v>31.435500000000001</v>
      </c>
      <c r="G1692" s="38">
        <f>IF(ISNUMBER(F1692),E1692*F1692,"")</f>
        <v>5.6426722500000004</v>
      </c>
      <c r="H1692" s="42"/>
      <c r="I1692" s="38"/>
      <c r="J1692" s="37">
        <v>0</v>
      </c>
    </row>
    <row r="1693" spans="1:10" ht="15.75" hidden="1" thickBot="1" x14ac:dyDescent="0.3">
      <c r="A1693" s="175"/>
      <c r="B1693" s="178"/>
      <c r="C1693" s="49"/>
      <c r="D1693" s="49"/>
      <c r="E1693" s="50"/>
      <c r="F1693" s="51" t="s">
        <v>13</v>
      </c>
      <c r="G1693" s="51" t="str">
        <f>IF(ISNUMBER(F1693),E1693*F1693,"")</f>
        <v/>
      </c>
      <c r="H1693" s="53"/>
      <c r="I1693" s="38"/>
      <c r="J1693" s="37">
        <v>0</v>
      </c>
    </row>
    <row r="1694" spans="1:10" ht="15.75" hidden="1" thickBot="1" x14ac:dyDescent="0.3">
      <c r="A1694" s="173" t="s">
        <v>409</v>
      </c>
      <c r="B1694" s="176" t="s">
        <v>3278</v>
      </c>
      <c r="C1694" s="31"/>
      <c r="D1694" s="32" t="s">
        <v>18</v>
      </c>
      <c r="E1694" s="33"/>
      <c r="F1694" s="54" t="s">
        <v>13</v>
      </c>
      <c r="G1694" s="34" t="str">
        <f>IF(ISNUMBER(F1694),E1694*F1694,"")</f>
        <v/>
      </c>
      <c r="H1694" s="35"/>
      <c r="I1694" s="36"/>
      <c r="J1694" s="37">
        <v>0</v>
      </c>
    </row>
    <row r="1695" spans="1:10" hidden="1" x14ac:dyDescent="0.25">
      <c r="A1695" s="174"/>
      <c r="B1695" s="177"/>
      <c r="C1695" s="39"/>
      <c r="D1695" s="39"/>
      <c r="E1695" s="40"/>
      <c r="F1695" s="55" t="s">
        <v>13</v>
      </c>
      <c r="G1695" s="38" t="str">
        <f>IF(ISNUMBER(F1695),E1695*F1695,"")</f>
        <v/>
      </c>
      <c r="H1695" s="42"/>
      <c r="I1695" s="38"/>
      <c r="J1695" s="37">
        <v>0</v>
      </c>
    </row>
    <row r="1696" spans="1:10" hidden="1" x14ac:dyDescent="0.25">
      <c r="A1696" s="174"/>
      <c r="B1696" s="177"/>
      <c r="C1696" s="43" t="s">
        <v>10762</v>
      </c>
      <c r="D1696" s="43" t="s">
        <v>2800</v>
      </c>
      <c r="E1696" s="44">
        <v>0.14506250000000001</v>
      </c>
      <c r="F1696" s="38">
        <v>24.946999999999999</v>
      </c>
      <c r="G1696" s="38">
        <f>IF(ISNUMBER(F1696),E1696*F1696,"")</f>
        <v>3.6188741875000003</v>
      </c>
      <c r="H1696" s="46">
        <f>SUM(G1696:G1700)</f>
        <v>18.211233287500001</v>
      </c>
      <c r="I1696" s="47"/>
      <c r="J1696" s="37">
        <v>0</v>
      </c>
    </row>
    <row r="1697" spans="1:10" hidden="1" x14ac:dyDescent="0.25">
      <c r="A1697" s="174"/>
      <c r="B1697" s="177"/>
      <c r="C1697" s="43" t="s">
        <v>10763</v>
      </c>
      <c r="D1697" s="43" t="s">
        <v>2800</v>
      </c>
      <c r="E1697" s="44">
        <v>0.4642</v>
      </c>
      <c r="F1697" s="38">
        <v>31.435500000000001</v>
      </c>
      <c r="G1697" s="38">
        <f>IF(ISNUMBER(F1697),E1697*F1697,"")</f>
        <v>14.592359100000001</v>
      </c>
      <c r="H1697" s="58"/>
      <c r="I1697" s="59"/>
      <c r="J1697" s="37">
        <v>0</v>
      </c>
    </row>
    <row r="1698" spans="1:10" ht="25.5" hidden="1" x14ac:dyDescent="0.25">
      <c r="A1698" s="174"/>
      <c r="B1698" s="177"/>
      <c r="C1698" s="43" t="s">
        <v>410</v>
      </c>
      <c r="D1698" s="43" t="s">
        <v>106</v>
      </c>
      <c r="E1698" s="44">
        <v>1.5</v>
      </c>
      <c r="F1698" s="41" t="s">
        <v>13</v>
      </c>
      <c r="G1698" s="38" t="str">
        <f>IF(ISNUMBER(F1698),E1698*F1698,"")</f>
        <v/>
      </c>
      <c r="H1698" s="42"/>
      <c r="I1698" s="38"/>
      <c r="J1698" s="37">
        <v>0</v>
      </c>
    </row>
    <row r="1699" spans="1:10" hidden="1" x14ac:dyDescent="0.25">
      <c r="A1699" s="174"/>
      <c r="B1699" s="177"/>
      <c r="C1699" s="43" t="s">
        <v>411</v>
      </c>
      <c r="D1699" s="43" t="s">
        <v>87</v>
      </c>
      <c r="E1699" s="44">
        <v>1</v>
      </c>
      <c r="F1699" s="41" t="s">
        <v>13</v>
      </c>
      <c r="G1699" s="38" t="str">
        <f>IF(ISNUMBER(F1699),E1699*F1699,"")</f>
        <v/>
      </c>
      <c r="H1699" s="42"/>
      <c r="I1699" s="38"/>
      <c r="J1699" s="37">
        <v>0</v>
      </c>
    </row>
    <row r="1700" spans="1:10" hidden="1" x14ac:dyDescent="0.25">
      <c r="A1700" s="174"/>
      <c r="B1700" s="177"/>
      <c r="C1700" s="43" t="s">
        <v>412</v>
      </c>
      <c r="D1700" s="43" t="s">
        <v>87</v>
      </c>
      <c r="E1700" s="44">
        <v>1</v>
      </c>
      <c r="F1700" s="41" t="s">
        <v>13</v>
      </c>
      <c r="G1700" s="38" t="str">
        <f>IF(ISNUMBER(F1700),E1700*F1700,"")</f>
        <v/>
      </c>
      <c r="H1700" s="42"/>
      <c r="I1700" s="38"/>
      <c r="J1700" s="37">
        <v>0</v>
      </c>
    </row>
    <row r="1701" spans="1:10" ht="15.75" hidden="1" thickBot="1" x14ac:dyDescent="0.3">
      <c r="A1701" s="175"/>
      <c r="B1701" s="178"/>
      <c r="C1701" s="49"/>
      <c r="D1701" s="49"/>
      <c r="E1701" s="50"/>
      <c r="F1701" s="51" t="s">
        <v>13</v>
      </c>
      <c r="G1701" s="51" t="str">
        <f>IF(ISNUMBER(F1701),E1701*F1701,"")</f>
        <v/>
      </c>
      <c r="H1701" s="53"/>
      <c r="I1701" s="38"/>
      <c r="J1701" s="37">
        <v>0</v>
      </c>
    </row>
    <row r="1702" spans="1:10" ht="15.75" hidden="1" thickBot="1" x14ac:dyDescent="0.3">
      <c r="A1702" s="173" t="s">
        <v>413</v>
      </c>
      <c r="B1702" s="176" t="s">
        <v>3279</v>
      </c>
      <c r="C1702" s="31"/>
      <c r="D1702" s="32" t="s">
        <v>18</v>
      </c>
      <c r="E1702" s="33"/>
      <c r="F1702" s="54" t="s">
        <v>13</v>
      </c>
      <c r="G1702" s="34" t="str">
        <f>IF(ISNUMBER(F1702),E1702*F1702,"")</f>
        <v/>
      </c>
      <c r="H1702" s="35"/>
      <c r="I1702" s="36"/>
      <c r="J1702" s="37">
        <v>0</v>
      </c>
    </row>
    <row r="1703" spans="1:10" hidden="1" x14ac:dyDescent="0.25">
      <c r="A1703" s="174"/>
      <c r="B1703" s="177"/>
      <c r="C1703" s="39"/>
      <c r="D1703" s="39"/>
      <c r="E1703" s="40"/>
      <c r="F1703" s="55" t="s">
        <v>13</v>
      </c>
      <c r="G1703" s="38" t="str">
        <f>IF(ISNUMBER(F1703),E1703*F1703,"")</f>
        <v/>
      </c>
      <c r="H1703" s="42"/>
      <c r="I1703" s="38"/>
      <c r="J1703" s="37">
        <v>0</v>
      </c>
    </row>
    <row r="1704" spans="1:10" ht="38.25" hidden="1" x14ac:dyDescent="0.25">
      <c r="A1704" s="174"/>
      <c r="B1704" s="177"/>
      <c r="C1704" s="43" t="s">
        <v>414</v>
      </c>
      <c r="D1704" s="43" t="s">
        <v>87</v>
      </c>
      <c r="E1704" s="44">
        <v>1</v>
      </c>
      <c r="F1704" s="41" t="s">
        <v>13</v>
      </c>
      <c r="G1704" s="41" t="str">
        <f>IF(ISNUMBER(F1704),E1704*F1704,"")</f>
        <v/>
      </c>
      <c r="H1704" s="46">
        <f>SUM(G1704:G1710)</f>
        <v>18.211233287500001</v>
      </c>
      <c r="I1704" s="47"/>
      <c r="J1704" s="37">
        <v>0</v>
      </c>
    </row>
    <row r="1705" spans="1:10" ht="51" hidden="1" x14ac:dyDescent="0.25">
      <c r="A1705" s="174"/>
      <c r="B1705" s="177"/>
      <c r="C1705" s="43" t="s">
        <v>415</v>
      </c>
      <c r="D1705" s="43" t="s">
        <v>87</v>
      </c>
      <c r="E1705" s="44">
        <v>2</v>
      </c>
      <c r="F1705" s="41" t="s">
        <v>13</v>
      </c>
      <c r="G1705" s="41" t="str">
        <f>IF(ISNUMBER(F1705),E1705*F1705,"")</f>
        <v/>
      </c>
      <c r="H1705" s="58"/>
      <c r="I1705" s="59"/>
      <c r="J1705" s="37">
        <v>0</v>
      </c>
    </row>
    <row r="1706" spans="1:10" ht="25.5" hidden="1" x14ac:dyDescent="0.25">
      <c r="A1706" s="174"/>
      <c r="B1706" s="177"/>
      <c r="C1706" s="43" t="s">
        <v>410</v>
      </c>
      <c r="D1706" s="43" t="s">
        <v>106</v>
      </c>
      <c r="E1706" s="44">
        <v>1.5</v>
      </c>
      <c r="F1706" s="41" t="s">
        <v>13</v>
      </c>
      <c r="G1706" s="38" t="str">
        <f>IF(ISNUMBER(F1706),E1706*F1706,"")</f>
        <v/>
      </c>
      <c r="H1706" s="42"/>
      <c r="I1706" s="38"/>
      <c r="J1706" s="37">
        <v>0</v>
      </c>
    </row>
    <row r="1707" spans="1:10" hidden="1" x14ac:dyDescent="0.25">
      <c r="A1707" s="174"/>
      <c r="B1707" s="177"/>
      <c r="C1707" s="43" t="s">
        <v>411</v>
      </c>
      <c r="D1707" s="43" t="s">
        <v>87</v>
      </c>
      <c r="E1707" s="44">
        <v>1</v>
      </c>
      <c r="F1707" s="41" t="s">
        <v>13</v>
      </c>
      <c r="G1707" s="38" t="str">
        <f>IF(ISNUMBER(F1707),E1707*F1707,"")</f>
        <v/>
      </c>
      <c r="H1707" s="42"/>
      <c r="I1707" s="38"/>
      <c r="J1707" s="37">
        <v>0</v>
      </c>
    </row>
    <row r="1708" spans="1:10" hidden="1" x14ac:dyDescent="0.25">
      <c r="A1708" s="174"/>
      <c r="B1708" s="177"/>
      <c r="C1708" s="43" t="s">
        <v>412</v>
      </c>
      <c r="D1708" s="43" t="s">
        <v>87</v>
      </c>
      <c r="E1708" s="44">
        <v>1</v>
      </c>
      <c r="F1708" s="41" t="s">
        <v>13</v>
      </c>
      <c r="G1708" s="38" t="str">
        <f>IF(ISNUMBER(F1708),E1708*F1708,"")</f>
        <v/>
      </c>
      <c r="H1708" s="42"/>
      <c r="I1708" s="38"/>
      <c r="J1708" s="37">
        <v>0</v>
      </c>
    </row>
    <row r="1709" spans="1:10" hidden="1" x14ac:dyDescent="0.25">
      <c r="A1709" s="174"/>
      <c r="B1709" s="177"/>
      <c r="C1709" s="43" t="s">
        <v>10762</v>
      </c>
      <c r="D1709" s="43" t="s">
        <v>2800</v>
      </c>
      <c r="E1709" s="44">
        <v>0.14506250000000001</v>
      </c>
      <c r="F1709" s="38">
        <v>24.946999999999999</v>
      </c>
      <c r="G1709" s="41">
        <f>IF(ISNUMBER(F1709),E1709*F1709,"")</f>
        <v>3.6188741875000003</v>
      </c>
      <c r="H1709" s="42"/>
      <c r="I1709" s="38"/>
      <c r="J1709" s="37">
        <v>0</v>
      </c>
    </row>
    <row r="1710" spans="1:10" hidden="1" x14ac:dyDescent="0.25">
      <c r="A1710" s="174"/>
      <c r="B1710" s="177"/>
      <c r="C1710" s="43" t="s">
        <v>10763</v>
      </c>
      <c r="D1710" s="43" t="s">
        <v>2800</v>
      </c>
      <c r="E1710" s="44">
        <v>0.4642</v>
      </c>
      <c r="F1710" s="38">
        <v>31.435500000000001</v>
      </c>
      <c r="G1710" s="38">
        <f>IF(ISNUMBER(F1710),E1710*F1710,"")</f>
        <v>14.592359100000001</v>
      </c>
      <c r="H1710" s="42"/>
      <c r="I1710" s="38"/>
      <c r="J1710" s="37">
        <v>0</v>
      </c>
    </row>
    <row r="1711" spans="1:10" ht="15.75" hidden="1" thickBot="1" x14ac:dyDescent="0.3">
      <c r="A1711" s="175"/>
      <c r="B1711" s="178"/>
      <c r="C1711" s="49"/>
      <c r="D1711" s="49"/>
      <c r="E1711" s="50"/>
      <c r="F1711" s="51" t="s">
        <v>13</v>
      </c>
      <c r="G1711" s="51" t="str">
        <f>IF(ISNUMBER(F1711),E1711*F1711,"")</f>
        <v/>
      </c>
      <c r="H1711" s="53"/>
      <c r="I1711" s="38"/>
      <c r="J1711" s="37">
        <v>0</v>
      </c>
    </row>
    <row r="1712" spans="1:10" ht="15.75" hidden="1" thickBot="1" x14ac:dyDescent="0.3">
      <c r="A1712" s="173" t="s">
        <v>416</v>
      </c>
      <c r="B1712" s="176" t="s">
        <v>3280</v>
      </c>
      <c r="C1712" s="31"/>
      <c r="D1712" s="32" t="s">
        <v>18</v>
      </c>
      <c r="E1712" s="33"/>
      <c r="F1712" s="54" t="s">
        <v>13</v>
      </c>
      <c r="G1712" s="34" t="str">
        <f>IF(ISNUMBER(F1712),E1712*F1712,"")</f>
        <v/>
      </c>
      <c r="H1712" s="35"/>
      <c r="I1712" s="36"/>
      <c r="J1712" s="37">
        <v>0</v>
      </c>
    </row>
    <row r="1713" spans="1:10" hidden="1" x14ac:dyDescent="0.25">
      <c r="A1713" s="174"/>
      <c r="B1713" s="177"/>
      <c r="C1713" s="39"/>
      <c r="D1713" s="39"/>
      <c r="E1713" s="40"/>
      <c r="F1713" s="55" t="s">
        <v>13</v>
      </c>
      <c r="G1713" s="38" t="str">
        <f>IF(ISNUMBER(F1713),E1713*F1713,"")</f>
        <v/>
      </c>
      <c r="H1713" s="42"/>
      <c r="I1713" s="38"/>
      <c r="J1713" s="37">
        <v>0</v>
      </c>
    </row>
    <row r="1714" spans="1:10" ht="38.25" hidden="1" x14ac:dyDescent="0.25">
      <c r="A1714" s="174"/>
      <c r="B1714" s="177"/>
      <c r="C1714" s="43" t="s">
        <v>417</v>
      </c>
      <c r="D1714" s="43" t="s">
        <v>87</v>
      </c>
      <c r="E1714" s="44">
        <v>1</v>
      </c>
      <c r="F1714" s="41" t="s">
        <v>13</v>
      </c>
      <c r="G1714" s="41" t="str">
        <f>IF(ISNUMBER(F1714),E1714*F1714,"")</f>
        <v/>
      </c>
      <c r="H1714" s="46">
        <f>SUM(G1714:G1720)</f>
        <v>18.211233287500001</v>
      </c>
      <c r="I1714" s="47"/>
      <c r="J1714" s="37">
        <v>0</v>
      </c>
    </row>
    <row r="1715" spans="1:10" ht="51" hidden="1" x14ac:dyDescent="0.25">
      <c r="A1715" s="174"/>
      <c r="B1715" s="177"/>
      <c r="C1715" s="43" t="s">
        <v>415</v>
      </c>
      <c r="D1715" s="43" t="s">
        <v>87</v>
      </c>
      <c r="E1715" s="44">
        <v>2</v>
      </c>
      <c r="F1715" s="41" t="s">
        <v>13</v>
      </c>
      <c r="G1715" s="41" t="str">
        <f>IF(ISNUMBER(F1715),E1715*F1715,"")</f>
        <v/>
      </c>
      <c r="H1715" s="58"/>
      <c r="I1715" s="59"/>
      <c r="J1715" s="37">
        <v>0</v>
      </c>
    </row>
    <row r="1716" spans="1:10" ht="25.5" hidden="1" x14ac:dyDescent="0.25">
      <c r="A1716" s="174"/>
      <c r="B1716" s="177"/>
      <c r="C1716" s="43" t="s">
        <v>410</v>
      </c>
      <c r="D1716" s="43" t="s">
        <v>106</v>
      </c>
      <c r="E1716" s="44">
        <v>1.5</v>
      </c>
      <c r="F1716" s="41" t="s">
        <v>13</v>
      </c>
      <c r="G1716" s="38" t="str">
        <f>IF(ISNUMBER(F1716),E1716*F1716,"")</f>
        <v/>
      </c>
      <c r="H1716" s="42"/>
      <c r="I1716" s="38"/>
      <c r="J1716" s="37">
        <v>0</v>
      </c>
    </row>
    <row r="1717" spans="1:10" hidden="1" x14ac:dyDescent="0.25">
      <c r="A1717" s="174"/>
      <c r="B1717" s="177"/>
      <c r="C1717" s="43" t="s">
        <v>411</v>
      </c>
      <c r="D1717" s="43" t="s">
        <v>87</v>
      </c>
      <c r="E1717" s="44">
        <v>1</v>
      </c>
      <c r="F1717" s="41" t="s">
        <v>13</v>
      </c>
      <c r="G1717" s="38" t="str">
        <f>IF(ISNUMBER(F1717),E1717*F1717,"")</f>
        <v/>
      </c>
      <c r="H1717" s="42"/>
      <c r="I1717" s="38"/>
      <c r="J1717" s="37">
        <v>0</v>
      </c>
    </row>
    <row r="1718" spans="1:10" hidden="1" x14ac:dyDescent="0.25">
      <c r="A1718" s="174"/>
      <c r="B1718" s="177"/>
      <c r="C1718" s="43" t="s">
        <v>412</v>
      </c>
      <c r="D1718" s="43" t="s">
        <v>87</v>
      </c>
      <c r="E1718" s="44">
        <v>1</v>
      </c>
      <c r="F1718" s="41" t="s">
        <v>13</v>
      </c>
      <c r="G1718" s="38" t="str">
        <f>IF(ISNUMBER(F1718),E1718*F1718,"")</f>
        <v/>
      </c>
      <c r="H1718" s="42"/>
      <c r="I1718" s="38"/>
      <c r="J1718" s="37">
        <v>0</v>
      </c>
    </row>
    <row r="1719" spans="1:10" hidden="1" x14ac:dyDescent="0.25">
      <c r="A1719" s="174"/>
      <c r="B1719" s="177"/>
      <c r="C1719" s="43" t="s">
        <v>10762</v>
      </c>
      <c r="D1719" s="43" t="s">
        <v>2800</v>
      </c>
      <c r="E1719" s="44">
        <v>0.14506250000000001</v>
      </c>
      <c r="F1719" s="38">
        <v>24.946999999999999</v>
      </c>
      <c r="G1719" s="38">
        <f>IF(ISNUMBER(F1719),E1719*F1719,"")</f>
        <v>3.6188741875000003</v>
      </c>
      <c r="H1719" s="42"/>
      <c r="I1719" s="38"/>
      <c r="J1719" s="37">
        <v>0</v>
      </c>
    </row>
    <row r="1720" spans="1:10" hidden="1" x14ac:dyDescent="0.25">
      <c r="A1720" s="174"/>
      <c r="B1720" s="177"/>
      <c r="C1720" s="43" t="s">
        <v>10763</v>
      </c>
      <c r="D1720" s="43" t="s">
        <v>2800</v>
      </c>
      <c r="E1720" s="44">
        <v>0.4642</v>
      </c>
      <c r="F1720" s="38">
        <v>31.435500000000001</v>
      </c>
      <c r="G1720" s="38">
        <f>IF(ISNUMBER(F1720),E1720*F1720,"")</f>
        <v>14.592359100000001</v>
      </c>
      <c r="H1720" s="42"/>
      <c r="I1720" s="38"/>
      <c r="J1720" s="37">
        <v>0</v>
      </c>
    </row>
    <row r="1721" spans="1:10" ht="15.75" hidden="1" thickBot="1" x14ac:dyDescent="0.3">
      <c r="A1721" s="175"/>
      <c r="B1721" s="178"/>
      <c r="C1721" s="49"/>
      <c r="D1721" s="49"/>
      <c r="E1721" s="50"/>
      <c r="F1721" s="51" t="s">
        <v>13</v>
      </c>
      <c r="G1721" s="51" t="str">
        <f>IF(ISNUMBER(F1721),E1721*F1721,"")</f>
        <v/>
      </c>
      <c r="H1721" s="53"/>
      <c r="I1721" s="38"/>
      <c r="J1721" s="37">
        <v>0</v>
      </c>
    </row>
    <row r="1722" spans="1:10" ht="15.75" hidden="1" thickBot="1" x14ac:dyDescent="0.3">
      <c r="A1722" s="173" t="s">
        <v>418</v>
      </c>
      <c r="B1722" s="176" t="s">
        <v>3281</v>
      </c>
      <c r="C1722" s="31"/>
      <c r="D1722" s="32" t="s">
        <v>18</v>
      </c>
      <c r="E1722" s="33"/>
      <c r="F1722" s="54" t="s">
        <v>13</v>
      </c>
      <c r="G1722" s="34" t="str">
        <f>IF(ISNUMBER(F1722),E1722*F1722,"")</f>
        <v/>
      </c>
      <c r="H1722" s="35"/>
      <c r="I1722" s="36"/>
      <c r="J1722" s="37">
        <v>0</v>
      </c>
    </row>
    <row r="1723" spans="1:10" hidden="1" x14ac:dyDescent="0.25">
      <c r="A1723" s="174"/>
      <c r="B1723" s="177"/>
      <c r="C1723" s="39"/>
      <c r="D1723" s="39"/>
      <c r="E1723" s="40"/>
      <c r="F1723" s="55" t="s">
        <v>13</v>
      </c>
      <c r="G1723" s="38" t="str">
        <f>IF(ISNUMBER(F1723),E1723*F1723,"")</f>
        <v/>
      </c>
      <c r="H1723" s="42"/>
      <c r="I1723" s="38"/>
      <c r="J1723" s="37">
        <v>0</v>
      </c>
    </row>
    <row r="1724" spans="1:10" ht="38.25" hidden="1" x14ac:dyDescent="0.25">
      <c r="A1724" s="174"/>
      <c r="B1724" s="177"/>
      <c r="C1724" s="43" t="s">
        <v>419</v>
      </c>
      <c r="D1724" s="43" t="s">
        <v>87</v>
      </c>
      <c r="E1724" s="44">
        <v>1</v>
      </c>
      <c r="F1724" s="41" t="s">
        <v>13</v>
      </c>
      <c r="G1724" s="38" t="str">
        <f>IF(ISNUMBER(F1724),E1724*F1724,"")</f>
        <v/>
      </c>
      <c r="H1724" s="46">
        <f>SUM(G1724:G1730)</f>
        <v>18.211233287500001</v>
      </c>
      <c r="I1724" s="47"/>
      <c r="J1724" s="37">
        <v>0</v>
      </c>
    </row>
    <row r="1725" spans="1:10" ht="38.25" hidden="1" x14ac:dyDescent="0.25">
      <c r="A1725" s="174"/>
      <c r="B1725" s="177"/>
      <c r="C1725" s="43" t="s">
        <v>420</v>
      </c>
      <c r="D1725" s="43" t="s">
        <v>87</v>
      </c>
      <c r="E1725" s="44">
        <v>2</v>
      </c>
      <c r="F1725" s="41" t="s">
        <v>13</v>
      </c>
      <c r="G1725" s="38" t="str">
        <f>IF(ISNUMBER(F1725),E1725*F1725,"")</f>
        <v/>
      </c>
      <c r="H1725" s="58"/>
      <c r="I1725" s="59"/>
      <c r="J1725" s="37">
        <v>0</v>
      </c>
    </row>
    <row r="1726" spans="1:10" ht="25.5" hidden="1" x14ac:dyDescent="0.25">
      <c r="A1726" s="174"/>
      <c r="B1726" s="177"/>
      <c r="C1726" s="43" t="s">
        <v>410</v>
      </c>
      <c r="D1726" s="43" t="s">
        <v>106</v>
      </c>
      <c r="E1726" s="44">
        <v>1.5</v>
      </c>
      <c r="F1726" s="41" t="s">
        <v>13</v>
      </c>
      <c r="G1726" s="38" t="str">
        <f>IF(ISNUMBER(F1726),E1726*F1726,"")</f>
        <v/>
      </c>
      <c r="H1726" s="42"/>
      <c r="I1726" s="38"/>
      <c r="J1726" s="37">
        <v>0</v>
      </c>
    </row>
    <row r="1727" spans="1:10" hidden="1" x14ac:dyDescent="0.25">
      <c r="A1727" s="174"/>
      <c r="B1727" s="177"/>
      <c r="C1727" s="43" t="s">
        <v>411</v>
      </c>
      <c r="D1727" s="43" t="s">
        <v>87</v>
      </c>
      <c r="E1727" s="44">
        <v>1</v>
      </c>
      <c r="F1727" s="41" t="s">
        <v>13</v>
      </c>
      <c r="G1727" s="38" t="str">
        <f>IF(ISNUMBER(F1727),E1727*F1727,"")</f>
        <v/>
      </c>
      <c r="H1727" s="42"/>
      <c r="I1727" s="38"/>
      <c r="J1727" s="37">
        <v>0</v>
      </c>
    </row>
    <row r="1728" spans="1:10" hidden="1" x14ac:dyDescent="0.25">
      <c r="A1728" s="174"/>
      <c r="B1728" s="177"/>
      <c r="C1728" s="43" t="s">
        <v>412</v>
      </c>
      <c r="D1728" s="43" t="s">
        <v>87</v>
      </c>
      <c r="E1728" s="44">
        <v>1</v>
      </c>
      <c r="F1728" s="41" t="s">
        <v>13</v>
      </c>
      <c r="G1728" s="38" t="str">
        <f>IF(ISNUMBER(F1728),E1728*F1728,"")</f>
        <v/>
      </c>
      <c r="H1728" s="42"/>
      <c r="I1728" s="38"/>
      <c r="J1728" s="37">
        <v>0</v>
      </c>
    </row>
    <row r="1729" spans="1:10" hidden="1" x14ac:dyDescent="0.25">
      <c r="A1729" s="174"/>
      <c r="B1729" s="177"/>
      <c r="C1729" s="43" t="s">
        <v>10762</v>
      </c>
      <c r="D1729" s="43" t="s">
        <v>2800</v>
      </c>
      <c r="E1729" s="44">
        <v>0.14506250000000001</v>
      </c>
      <c r="F1729" s="38">
        <v>24.946999999999999</v>
      </c>
      <c r="G1729" s="41">
        <f>IF(ISNUMBER(F1729),E1729*F1729,"")</f>
        <v>3.6188741875000003</v>
      </c>
      <c r="H1729" s="42"/>
      <c r="I1729" s="38"/>
      <c r="J1729" s="37">
        <v>0</v>
      </c>
    </row>
    <row r="1730" spans="1:10" hidden="1" x14ac:dyDescent="0.25">
      <c r="A1730" s="174"/>
      <c r="B1730" s="177"/>
      <c r="C1730" s="43" t="s">
        <v>10763</v>
      </c>
      <c r="D1730" s="43" t="s">
        <v>2800</v>
      </c>
      <c r="E1730" s="44">
        <v>0.4642</v>
      </c>
      <c r="F1730" s="38">
        <v>31.435500000000001</v>
      </c>
      <c r="G1730" s="38">
        <f>IF(ISNUMBER(F1730),E1730*F1730,"")</f>
        <v>14.592359100000001</v>
      </c>
      <c r="H1730" s="42"/>
      <c r="I1730" s="38"/>
      <c r="J1730" s="37">
        <v>0</v>
      </c>
    </row>
    <row r="1731" spans="1:10" ht="15.75" hidden="1" thickBot="1" x14ac:dyDescent="0.3">
      <c r="A1731" s="175"/>
      <c r="B1731" s="178"/>
      <c r="C1731" s="49"/>
      <c r="D1731" s="49"/>
      <c r="E1731" s="50"/>
      <c r="F1731" s="51" t="s">
        <v>13</v>
      </c>
      <c r="G1731" s="51" t="str">
        <f>IF(ISNUMBER(F1731),E1731*F1731,"")</f>
        <v/>
      </c>
      <c r="H1731" s="53"/>
      <c r="I1731" s="38"/>
      <c r="J1731" s="37">
        <v>0</v>
      </c>
    </row>
    <row r="1732" spans="1:10" ht="15.75" hidden="1" thickBot="1" x14ac:dyDescent="0.3">
      <c r="A1732" s="173" t="s">
        <v>421</v>
      </c>
      <c r="B1732" s="176" t="s">
        <v>3282</v>
      </c>
      <c r="C1732" s="31"/>
      <c r="D1732" s="32" t="s">
        <v>18</v>
      </c>
      <c r="E1732" s="33"/>
      <c r="F1732" s="54" t="s">
        <v>13</v>
      </c>
      <c r="G1732" s="34" t="str">
        <f>IF(ISNUMBER(F1732),E1732*F1732,"")</f>
        <v/>
      </c>
      <c r="H1732" s="35"/>
      <c r="I1732" s="36"/>
      <c r="J1732" s="37">
        <v>0</v>
      </c>
    </row>
    <row r="1733" spans="1:10" hidden="1" x14ac:dyDescent="0.25">
      <c r="A1733" s="174"/>
      <c r="B1733" s="177"/>
      <c r="C1733" s="39"/>
      <c r="D1733" s="39"/>
      <c r="E1733" s="40"/>
      <c r="F1733" s="55" t="s">
        <v>13</v>
      </c>
      <c r="G1733" s="38" t="str">
        <f>IF(ISNUMBER(F1733),E1733*F1733,"")</f>
        <v/>
      </c>
      <c r="H1733" s="42"/>
      <c r="I1733" s="38"/>
      <c r="J1733" s="37">
        <v>0</v>
      </c>
    </row>
    <row r="1734" spans="1:10" ht="38.25" hidden="1" x14ac:dyDescent="0.25">
      <c r="A1734" s="174"/>
      <c r="B1734" s="177"/>
      <c r="C1734" s="43" t="s">
        <v>422</v>
      </c>
      <c r="D1734" s="43" t="s">
        <v>87</v>
      </c>
      <c r="E1734" s="44">
        <v>1</v>
      </c>
      <c r="F1734" s="41" t="s">
        <v>13</v>
      </c>
      <c r="G1734" s="38" t="str">
        <f>IF(ISNUMBER(F1734),E1734*F1734,"")</f>
        <v/>
      </c>
      <c r="H1734" s="46">
        <f>SUM(G1734:G1740)</f>
        <v>18.211233287500001</v>
      </c>
      <c r="I1734" s="47"/>
      <c r="J1734" s="37">
        <v>0</v>
      </c>
    </row>
    <row r="1735" spans="1:10" ht="38.25" hidden="1" x14ac:dyDescent="0.25">
      <c r="A1735" s="174"/>
      <c r="B1735" s="177"/>
      <c r="C1735" s="43" t="s">
        <v>420</v>
      </c>
      <c r="D1735" s="43" t="s">
        <v>87</v>
      </c>
      <c r="E1735" s="44">
        <v>2</v>
      </c>
      <c r="F1735" s="41" t="s">
        <v>13</v>
      </c>
      <c r="G1735" s="38" t="str">
        <f>IF(ISNUMBER(F1735),E1735*F1735,"")</f>
        <v/>
      </c>
      <c r="H1735" s="58"/>
      <c r="I1735" s="59"/>
      <c r="J1735" s="37">
        <v>0</v>
      </c>
    </row>
    <row r="1736" spans="1:10" ht="25.5" hidden="1" x14ac:dyDescent="0.25">
      <c r="A1736" s="174"/>
      <c r="B1736" s="177"/>
      <c r="C1736" s="43" t="s">
        <v>410</v>
      </c>
      <c r="D1736" s="43" t="s">
        <v>106</v>
      </c>
      <c r="E1736" s="44">
        <v>1.5</v>
      </c>
      <c r="F1736" s="41" t="s">
        <v>13</v>
      </c>
      <c r="G1736" s="38" t="str">
        <f>IF(ISNUMBER(F1736),E1736*F1736,"")</f>
        <v/>
      </c>
      <c r="H1736" s="42"/>
      <c r="I1736" s="38"/>
      <c r="J1736" s="37">
        <v>0</v>
      </c>
    </row>
    <row r="1737" spans="1:10" hidden="1" x14ac:dyDescent="0.25">
      <c r="A1737" s="174"/>
      <c r="B1737" s="177"/>
      <c r="C1737" s="43" t="s">
        <v>411</v>
      </c>
      <c r="D1737" s="43" t="s">
        <v>87</v>
      </c>
      <c r="E1737" s="44">
        <v>1</v>
      </c>
      <c r="F1737" s="41" t="s">
        <v>13</v>
      </c>
      <c r="G1737" s="38" t="str">
        <f>IF(ISNUMBER(F1737),E1737*F1737,"")</f>
        <v/>
      </c>
      <c r="H1737" s="42"/>
      <c r="I1737" s="38"/>
      <c r="J1737" s="37">
        <v>0</v>
      </c>
    </row>
    <row r="1738" spans="1:10" hidden="1" x14ac:dyDescent="0.25">
      <c r="A1738" s="174"/>
      <c r="B1738" s="177"/>
      <c r="C1738" s="43" t="s">
        <v>412</v>
      </c>
      <c r="D1738" s="43" t="s">
        <v>87</v>
      </c>
      <c r="E1738" s="44">
        <v>1</v>
      </c>
      <c r="F1738" s="41" t="s">
        <v>13</v>
      </c>
      <c r="G1738" s="38" t="str">
        <f>IF(ISNUMBER(F1738),E1738*F1738,"")</f>
        <v/>
      </c>
      <c r="H1738" s="42"/>
      <c r="I1738" s="38"/>
      <c r="J1738" s="37">
        <v>0</v>
      </c>
    </row>
    <row r="1739" spans="1:10" hidden="1" x14ac:dyDescent="0.25">
      <c r="A1739" s="174"/>
      <c r="B1739" s="177"/>
      <c r="C1739" s="43" t="s">
        <v>10762</v>
      </c>
      <c r="D1739" s="43" t="s">
        <v>2800</v>
      </c>
      <c r="E1739" s="44">
        <v>0.14506250000000001</v>
      </c>
      <c r="F1739" s="38">
        <v>24.946999999999999</v>
      </c>
      <c r="G1739" s="38">
        <f>IF(ISNUMBER(F1739),E1739*F1739,"")</f>
        <v>3.6188741875000003</v>
      </c>
      <c r="H1739" s="42"/>
      <c r="I1739" s="38"/>
      <c r="J1739" s="37">
        <v>0</v>
      </c>
    </row>
    <row r="1740" spans="1:10" hidden="1" x14ac:dyDescent="0.25">
      <c r="A1740" s="174"/>
      <c r="B1740" s="177"/>
      <c r="C1740" s="43" t="s">
        <v>10763</v>
      </c>
      <c r="D1740" s="43" t="s">
        <v>2800</v>
      </c>
      <c r="E1740" s="44">
        <v>0.4642</v>
      </c>
      <c r="F1740" s="38">
        <v>31.435500000000001</v>
      </c>
      <c r="G1740" s="38">
        <f>IF(ISNUMBER(F1740),E1740*F1740,"")</f>
        <v>14.592359100000001</v>
      </c>
      <c r="H1740" s="42"/>
      <c r="I1740" s="38"/>
      <c r="J1740" s="37">
        <v>0</v>
      </c>
    </row>
    <row r="1741" spans="1:10" ht="15.75" hidden="1" thickBot="1" x14ac:dyDescent="0.3">
      <c r="A1741" s="175"/>
      <c r="B1741" s="178"/>
      <c r="C1741" s="49"/>
      <c r="D1741" s="49"/>
      <c r="E1741" s="50"/>
      <c r="F1741" s="51" t="s">
        <v>13</v>
      </c>
      <c r="G1741" s="51" t="str">
        <f>IF(ISNUMBER(F1741),E1741*F1741,"")</f>
        <v/>
      </c>
      <c r="H1741" s="53"/>
      <c r="I1741" s="38"/>
      <c r="J1741" s="37">
        <v>0</v>
      </c>
    </row>
    <row r="1742" spans="1:10" ht="15.75" hidden="1" thickBot="1" x14ac:dyDescent="0.3">
      <c r="A1742" s="173" t="s">
        <v>423</v>
      </c>
      <c r="B1742" s="176" t="s">
        <v>3283</v>
      </c>
      <c r="C1742" s="31"/>
      <c r="D1742" s="32" t="s">
        <v>106</v>
      </c>
      <c r="E1742" s="33"/>
      <c r="F1742" s="54" t="s">
        <v>13</v>
      </c>
      <c r="G1742" s="34" t="str">
        <f>IF(ISNUMBER(F1742),E1742*F1742,"")</f>
        <v/>
      </c>
      <c r="H1742" s="35"/>
      <c r="I1742" s="36"/>
      <c r="J1742" s="37">
        <v>0</v>
      </c>
    </row>
    <row r="1743" spans="1:10" hidden="1" x14ac:dyDescent="0.25">
      <c r="A1743" s="174"/>
      <c r="B1743" s="177"/>
      <c r="C1743" s="39"/>
      <c r="D1743" s="39"/>
      <c r="E1743" s="40"/>
      <c r="F1743" s="55" t="s">
        <v>13</v>
      </c>
      <c r="G1743" s="38" t="str">
        <f>IF(ISNUMBER(F1743),E1743*F1743,"")</f>
        <v/>
      </c>
      <c r="H1743" s="42"/>
      <c r="I1743" s="38"/>
      <c r="J1743" s="37">
        <v>0</v>
      </c>
    </row>
    <row r="1744" spans="1:10" hidden="1" x14ac:dyDescent="0.25">
      <c r="A1744" s="174"/>
      <c r="B1744" s="177"/>
      <c r="C1744" s="43" t="s">
        <v>10762</v>
      </c>
      <c r="D1744" s="43" t="s">
        <v>2800</v>
      </c>
      <c r="E1744" s="44">
        <v>8.9999999999999993E-3</v>
      </c>
      <c r="F1744" s="38">
        <v>24.946999999999999</v>
      </c>
      <c r="G1744" s="41">
        <f>IF(ISNUMBER(F1744),E1744*F1744,"")</f>
        <v>0.22452299999999997</v>
      </c>
      <c r="H1744" s="46">
        <f>SUM(G1744:G1747)</f>
        <v>0.55104750000000002</v>
      </c>
      <c r="I1744" s="47"/>
      <c r="J1744" s="37">
        <v>0</v>
      </c>
    </row>
    <row r="1745" spans="1:10" hidden="1" x14ac:dyDescent="0.25">
      <c r="A1745" s="174"/>
      <c r="B1745" s="177"/>
      <c r="C1745" s="43" t="s">
        <v>10763</v>
      </c>
      <c r="D1745" s="43" t="s">
        <v>2800</v>
      </c>
      <c r="E1745" s="44">
        <v>8.9999999999999993E-3</v>
      </c>
      <c r="F1745" s="38">
        <v>31.435500000000001</v>
      </c>
      <c r="G1745" s="41">
        <f>IF(ISNUMBER(F1745),E1745*F1745,"")</f>
        <v>0.28291949999999999</v>
      </c>
      <c r="H1745" s="42"/>
      <c r="I1745" s="38"/>
      <c r="J1745" s="37">
        <v>0</v>
      </c>
    </row>
    <row r="1746" spans="1:10" hidden="1" x14ac:dyDescent="0.25">
      <c r="A1746" s="174"/>
      <c r="B1746" s="177"/>
      <c r="C1746" s="43" t="s">
        <v>424</v>
      </c>
      <c r="D1746" s="43" t="s">
        <v>106</v>
      </c>
      <c r="E1746" s="44">
        <v>1.0269999999999999</v>
      </c>
      <c r="F1746" s="41" t="s">
        <v>13</v>
      </c>
      <c r="G1746" s="41" t="str">
        <f>IF(ISNUMBER(F1746),E1746*F1746,"")</f>
        <v/>
      </c>
      <c r="H1746" s="42"/>
      <c r="I1746" s="38"/>
      <c r="J1746" s="37">
        <v>0</v>
      </c>
    </row>
    <row r="1747" spans="1:10" ht="25.5" hidden="1" x14ac:dyDescent="0.25">
      <c r="A1747" s="174"/>
      <c r="B1747" s="177"/>
      <c r="C1747" s="43" t="s">
        <v>10946</v>
      </c>
      <c r="D1747" s="43" t="s">
        <v>83</v>
      </c>
      <c r="E1747" s="44">
        <v>0.01</v>
      </c>
      <c r="F1747" s="41">
        <v>4.3605</v>
      </c>
      <c r="G1747" s="41">
        <f>IF(ISNUMBER(F1747),E1747*F1747,"")</f>
        <v>4.3604999999999998E-2</v>
      </c>
      <c r="H1747" s="42"/>
      <c r="I1747" s="38"/>
      <c r="J1747" s="37">
        <v>0</v>
      </c>
    </row>
    <row r="1748" spans="1:10" ht="15.75" hidden="1" thickBot="1" x14ac:dyDescent="0.3">
      <c r="A1748" s="175"/>
      <c r="B1748" s="178"/>
      <c r="C1748" s="49"/>
      <c r="D1748" s="49"/>
      <c r="E1748" s="50"/>
      <c r="F1748" s="51" t="s">
        <v>13</v>
      </c>
      <c r="G1748" s="51" t="str">
        <f>IF(ISNUMBER(F1748),E1748*F1748,"")</f>
        <v/>
      </c>
      <c r="H1748" s="53"/>
      <c r="I1748" s="38"/>
      <c r="J1748" s="37">
        <v>0</v>
      </c>
    </row>
    <row r="1749" spans="1:10" ht="15.75" hidden="1" thickBot="1" x14ac:dyDescent="0.3">
      <c r="A1749" s="173" t="s">
        <v>425</v>
      </c>
      <c r="B1749" s="176" t="s">
        <v>3284</v>
      </c>
      <c r="C1749" s="31"/>
      <c r="D1749" s="32" t="s">
        <v>106</v>
      </c>
      <c r="E1749" s="33"/>
      <c r="F1749" s="54" t="s">
        <v>13</v>
      </c>
      <c r="G1749" s="34" t="str">
        <f>IF(ISNUMBER(F1749),E1749*F1749,"")</f>
        <v/>
      </c>
      <c r="H1749" s="35"/>
      <c r="I1749" s="36"/>
      <c r="J1749" s="37">
        <v>0</v>
      </c>
    </row>
    <row r="1750" spans="1:10" hidden="1" x14ac:dyDescent="0.25">
      <c r="A1750" s="174"/>
      <c r="B1750" s="177"/>
      <c r="C1750" s="39"/>
      <c r="D1750" s="39"/>
      <c r="E1750" s="40"/>
      <c r="F1750" s="55" t="s">
        <v>13</v>
      </c>
      <c r="G1750" s="38" t="str">
        <f>IF(ISNUMBER(F1750),E1750*F1750,"")</f>
        <v/>
      </c>
      <c r="H1750" s="42"/>
      <c r="I1750" s="38"/>
      <c r="J1750" s="37">
        <v>0</v>
      </c>
    </row>
    <row r="1751" spans="1:10" hidden="1" x14ac:dyDescent="0.25">
      <c r="A1751" s="174"/>
      <c r="B1751" s="177"/>
      <c r="C1751" s="43" t="s">
        <v>10762</v>
      </c>
      <c r="D1751" s="43" t="s">
        <v>2800</v>
      </c>
      <c r="E1751" s="44">
        <v>1.2999999999999999E-2</v>
      </c>
      <c r="F1751" s="38">
        <v>24.946999999999999</v>
      </c>
      <c r="G1751" s="41">
        <f>IF(ISNUMBER(F1751),E1751*F1751,"")</f>
        <v>0.32431099999999996</v>
      </c>
      <c r="H1751" s="46">
        <f>SUM(G1751:G1754)</f>
        <v>0.77657750000000003</v>
      </c>
      <c r="I1751" s="47"/>
      <c r="J1751" s="37">
        <v>0</v>
      </c>
    </row>
    <row r="1752" spans="1:10" hidden="1" x14ac:dyDescent="0.25">
      <c r="A1752" s="174"/>
      <c r="B1752" s="177"/>
      <c r="C1752" s="43" t="s">
        <v>10763</v>
      </c>
      <c r="D1752" s="43" t="s">
        <v>2800</v>
      </c>
      <c r="E1752" s="44">
        <v>1.2999999999999999E-2</v>
      </c>
      <c r="F1752" s="38">
        <v>31.435500000000001</v>
      </c>
      <c r="G1752" s="41">
        <f>IF(ISNUMBER(F1752),E1752*F1752,"")</f>
        <v>0.40866150000000001</v>
      </c>
      <c r="H1752" s="42"/>
      <c r="I1752" s="38"/>
      <c r="J1752" s="37">
        <v>0</v>
      </c>
    </row>
    <row r="1753" spans="1:10" hidden="1" x14ac:dyDescent="0.25">
      <c r="A1753" s="174"/>
      <c r="B1753" s="177"/>
      <c r="C1753" s="43" t="s">
        <v>426</v>
      </c>
      <c r="D1753" s="43" t="s">
        <v>106</v>
      </c>
      <c r="E1753" s="44">
        <v>1.0269999999999999</v>
      </c>
      <c r="F1753" s="41" t="s">
        <v>13</v>
      </c>
      <c r="G1753" s="41" t="str">
        <f>IF(ISNUMBER(F1753),E1753*F1753,"")</f>
        <v/>
      </c>
      <c r="H1753" s="42"/>
      <c r="I1753" s="38"/>
      <c r="J1753" s="37">
        <v>0</v>
      </c>
    </row>
    <row r="1754" spans="1:10" ht="25.5" hidden="1" x14ac:dyDescent="0.25">
      <c r="A1754" s="174"/>
      <c r="B1754" s="177"/>
      <c r="C1754" s="43" t="s">
        <v>10946</v>
      </c>
      <c r="D1754" s="43" t="s">
        <v>83</v>
      </c>
      <c r="E1754" s="44">
        <v>0.01</v>
      </c>
      <c r="F1754" s="41">
        <v>4.3605</v>
      </c>
      <c r="G1754" s="41">
        <f>IF(ISNUMBER(F1754),E1754*F1754,"")</f>
        <v>4.3604999999999998E-2</v>
      </c>
      <c r="H1754" s="42"/>
      <c r="I1754" s="38"/>
      <c r="J1754" s="37">
        <v>0</v>
      </c>
    </row>
    <row r="1755" spans="1:10" ht="15.75" hidden="1" thickBot="1" x14ac:dyDescent="0.3">
      <c r="A1755" s="175"/>
      <c r="B1755" s="178"/>
      <c r="C1755" s="49"/>
      <c r="D1755" s="49"/>
      <c r="E1755" s="50"/>
      <c r="F1755" s="51" t="s">
        <v>13</v>
      </c>
      <c r="G1755" s="51" t="str">
        <f>IF(ISNUMBER(F1755),E1755*F1755,"")</f>
        <v/>
      </c>
      <c r="H1755" s="53"/>
      <c r="I1755" s="38"/>
      <c r="J1755" s="37">
        <v>0</v>
      </c>
    </row>
    <row r="1756" spans="1:10" ht="15.75" hidden="1" thickBot="1" x14ac:dyDescent="0.3">
      <c r="A1756" s="173" t="s">
        <v>427</v>
      </c>
      <c r="B1756" s="176" t="s">
        <v>3285</v>
      </c>
      <c r="C1756" s="31"/>
      <c r="D1756" s="32" t="s">
        <v>106</v>
      </c>
      <c r="E1756" s="33"/>
      <c r="F1756" s="54" t="s">
        <v>13</v>
      </c>
      <c r="G1756" s="34" t="str">
        <f>IF(ISNUMBER(F1756),E1756*F1756,"")</f>
        <v/>
      </c>
      <c r="H1756" s="35"/>
      <c r="I1756" s="36"/>
      <c r="J1756" s="37">
        <v>0</v>
      </c>
    </row>
    <row r="1757" spans="1:10" hidden="1" x14ac:dyDescent="0.25">
      <c r="A1757" s="174"/>
      <c r="B1757" s="177"/>
      <c r="C1757" s="39"/>
      <c r="D1757" s="39"/>
      <c r="E1757" s="40"/>
      <c r="F1757" s="55" t="s">
        <v>13</v>
      </c>
      <c r="G1757" s="38" t="str">
        <f>IF(ISNUMBER(F1757),E1757*F1757,"")</f>
        <v/>
      </c>
      <c r="H1757" s="42"/>
      <c r="I1757" s="38"/>
      <c r="J1757" s="37">
        <v>0</v>
      </c>
    </row>
    <row r="1758" spans="1:10" hidden="1" x14ac:dyDescent="0.25">
      <c r="A1758" s="174"/>
      <c r="B1758" s="177"/>
      <c r="C1758" s="43" t="s">
        <v>10762</v>
      </c>
      <c r="D1758" s="43" t="s">
        <v>2800</v>
      </c>
      <c r="E1758" s="44">
        <v>2.9000000000000001E-2</v>
      </c>
      <c r="F1758" s="38">
        <v>24.946999999999999</v>
      </c>
      <c r="G1758" s="41">
        <f>IF(ISNUMBER(F1758),E1758*F1758,"")</f>
        <v>0.72346299999999997</v>
      </c>
      <c r="H1758" s="46">
        <f>SUM(G1758:G1761)</f>
        <v>1.6760812</v>
      </c>
      <c r="I1758" s="47"/>
      <c r="J1758" s="37">
        <v>0</v>
      </c>
    </row>
    <row r="1759" spans="1:10" hidden="1" x14ac:dyDescent="0.25">
      <c r="A1759" s="174"/>
      <c r="B1759" s="177"/>
      <c r="C1759" s="43" t="s">
        <v>10763</v>
      </c>
      <c r="D1759" s="43" t="s">
        <v>2800</v>
      </c>
      <c r="E1759" s="44">
        <v>2.9000000000000001E-2</v>
      </c>
      <c r="F1759" s="38">
        <v>31.435500000000001</v>
      </c>
      <c r="G1759" s="41">
        <f>IF(ISNUMBER(F1759),E1759*F1759,"")</f>
        <v>0.91162950000000009</v>
      </c>
      <c r="H1759" s="42"/>
      <c r="I1759" s="38"/>
      <c r="J1759" s="37">
        <v>0</v>
      </c>
    </row>
    <row r="1760" spans="1:10" ht="25.5" hidden="1" x14ac:dyDescent="0.25">
      <c r="A1760" s="174"/>
      <c r="B1760" s="177"/>
      <c r="C1760" s="43" t="s">
        <v>428</v>
      </c>
      <c r="D1760" s="43" t="s">
        <v>106</v>
      </c>
      <c r="E1760" s="44">
        <v>1.2434000000000001</v>
      </c>
      <c r="F1760" s="41" t="s">
        <v>13</v>
      </c>
      <c r="G1760" s="41" t="str">
        <f>IF(ISNUMBER(F1760),E1760*F1760,"")</f>
        <v/>
      </c>
      <c r="H1760" s="42"/>
      <c r="I1760" s="38"/>
      <c r="J1760" s="37">
        <v>0</v>
      </c>
    </row>
    <row r="1761" spans="1:10" ht="25.5" hidden="1" x14ac:dyDescent="0.25">
      <c r="A1761" s="174"/>
      <c r="B1761" s="177"/>
      <c r="C1761" s="43" t="s">
        <v>10946</v>
      </c>
      <c r="D1761" s="43" t="s">
        <v>83</v>
      </c>
      <c r="E1761" s="44">
        <v>9.4000000000000004E-3</v>
      </c>
      <c r="F1761" s="41">
        <v>4.3605</v>
      </c>
      <c r="G1761" s="41">
        <f>IF(ISNUMBER(F1761),E1761*F1761,"")</f>
        <v>4.0988700000000003E-2</v>
      </c>
      <c r="H1761" s="42"/>
      <c r="I1761" s="38"/>
      <c r="J1761" s="37">
        <v>0</v>
      </c>
    </row>
    <row r="1762" spans="1:10" ht="15.75" hidden="1" thickBot="1" x14ac:dyDescent="0.3">
      <c r="A1762" s="175"/>
      <c r="B1762" s="178"/>
      <c r="C1762" s="49"/>
      <c r="D1762" s="49"/>
      <c r="E1762" s="50"/>
      <c r="F1762" s="51" t="s">
        <v>13</v>
      </c>
      <c r="G1762" s="51" t="str">
        <f>IF(ISNUMBER(F1762),E1762*F1762,"")</f>
        <v/>
      </c>
      <c r="H1762" s="53"/>
      <c r="I1762" s="38"/>
      <c r="J1762" s="37">
        <v>0</v>
      </c>
    </row>
    <row r="1763" spans="1:10" ht="15.75" hidden="1" thickBot="1" x14ac:dyDescent="0.3">
      <c r="A1763" s="173" t="s">
        <v>429</v>
      </c>
      <c r="B1763" s="176" t="s">
        <v>3286</v>
      </c>
      <c r="C1763" s="31"/>
      <c r="D1763" s="32" t="s">
        <v>106</v>
      </c>
      <c r="E1763" s="33"/>
      <c r="F1763" s="54" t="s">
        <v>13</v>
      </c>
      <c r="G1763" s="34" t="str">
        <f>IF(ISNUMBER(F1763),E1763*F1763,"")</f>
        <v/>
      </c>
      <c r="H1763" s="35"/>
      <c r="I1763" s="36"/>
      <c r="J1763" s="37">
        <v>0</v>
      </c>
    </row>
    <row r="1764" spans="1:10" hidden="1" x14ac:dyDescent="0.25">
      <c r="A1764" s="174"/>
      <c r="B1764" s="177"/>
      <c r="C1764" s="39"/>
      <c r="D1764" s="39"/>
      <c r="E1764" s="40"/>
      <c r="F1764" s="55" t="s">
        <v>13</v>
      </c>
      <c r="G1764" s="38" t="str">
        <f>IF(ISNUMBER(F1764),E1764*F1764,"")</f>
        <v/>
      </c>
      <c r="H1764" s="42"/>
      <c r="I1764" s="38"/>
      <c r="J1764" s="37">
        <v>0</v>
      </c>
    </row>
    <row r="1765" spans="1:10" hidden="1" x14ac:dyDescent="0.25">
      <c r="A1765" s="174"/>
      <c r="B1765" s="177"/>
      <c r="C1765" s="43" t="s">
        <v>10762</v>
      </c>
      <c r="D1765" s="43" t="s">
        <v>2800</v>
      </c>
      <c r="E1765" s="44">
        <v>5.0999999999999997E-2</v>
      </c>
      <c r="F1765" s="38">
        <v>24.946999999999999</v>
      </c>
      <c r="G1765" s="41">
        <f>IF(ISNUMBER(F1765),E1765*F1765,"")</f>
        <v>1.2722969999999998</v>
      </c>
      <c r="H1765" s="46">
        <f>SUM(G1765:G1768)</f>
        <v>2.9164961999999997</v>
      </c>
      <c r="I1765" s="47"/>
      <c r="J1765" s="37">
        <v>0</v>
      </c>
    </row>
    <row r="1766" spans="1:10" hidden="1" x14ac:dyDescent="0.25">
      <c r="A1766" s="174"/>
      <c r="B1766" s="177"/>
      <c r="C1766" s="43" t="s">
        <v>10763</v>
      </c>
      <c r="D1766" s="43" t="s">
        <v>2800</v>
      </c>
      <c r="E1766" s="44">
        <v>5.0999999999999997E-2</v>
      </c>
      <c r="F1766" s="38">
        <v>31.435500000000001</v>
      </c>
      <c r="G1766" s="41">
        <f>IF(ISNUMBER(F1766),E1766*F1766,"")</f>
        <v>1.6032104999999999</v>
      </c>
      <c r="H1766" s="42"/>
      <c r="I1766" s="38"/>
      <c r="J1766" s="37">
        <v>0</v>
      </c>
    </row>
    <row r="1767" spans="1:10" ht="25.5" hidden="1" x14ac:dyDescent="0.25">
      <c r="A1767" s="174"/>
      <c r="B1767" s="177"/>
      <c r="C1767" s="43" t="s">
        <v>430</v>
      </c>
      <c r="D1767" s="43" t="s">
        <v>106</v>
      </c>
      <c r="E1767" s="44">
        <v>1.2434000000000001</v>
      </c>
      <c r="F1767" s="41" t="s">
        <v>13</v>
      </c>
      <c r="G1767" s="41" t="str">
        <f>IF(ISNUMBER(F1767),E1767*F1767,"")</f>
        <v/>
      </c>
      <c r="H1767" s="42"/>
      <c r="I1767" s="38"/>
      <c r="J1767" s="37">
        <v>0</v>
      </c>
    </row>
    <row r="1768" spans="1:10" ht="25.5" hidden="1" x14ac:dyDescent="0.25">
      <c r="A1768" s="174"/>
      <c r="B1768" s="177"/>
      <c r="C1768" s="43" t="s">
        <v>10946</v>
      </c>
      <c r="D1768" s="43" t="s">
        <v>83</v>
      </c>
      <c r="E1768" s="44">
        <v>9.4000000000000004E-3</v>
      </c>
      <c r="F1768" s="41">
        <v>4.3605</v>
      </c>
      <c r="G1768" s="41">
        <f>IF(ISNUMBER(F1768),E1768*F1768,"")</f>
        <v>4.0988700000000003E-2</v>
      </c>
      <c r="H1768" s="42"/>
      <c r="I1768" s="38"/>
      <c r="J1768" s="37">
        <v>0</v>
      </c>
    </row>
    <row r="1769" spans="1:10" ht="15.75" hidden="1" thickBot="1" x14ac:dyDescent="0.3">
      <c r="A1769" s="175"/>
      <c r="B1769" s="178"/>
      <c r="C1769" s="49"/>
      <c r="D1769" s="49"/>
      <c r="E1769" s="50"/>
      <c r="F1769" s="51" t="s">
        <v>13</v>
      </c>
      <c r="G1769" s="51" t="str">
        <f>IF(ISNUMBER(F1769),E1769*F1769,"")</f>
        <v/>
      </c>
      <c r="H1769" s="53"/>
      <c r="I1769" s="38"/>
      <c r="J1769" s="37">
        <v>0</v>
      </c>
    </row>
    <row r="1770" spans="1:10" ht="15.75" hidden="1" thickBot="1" x14ac:dyDescent="0.3">
      <c r="A1770" s="173" t="s">
        <v>431</v>
      </c>
      <c r="B1770" s="176" t="s">
        <v>3287</v>
      </c>
      <c r="C1770" s="31"/>
      <c r="D1770" s="32" t="s">
        <v>106</v>
      </c>
      <c r="E1770" s="33"/>
      <c r="F1770" s="54" t="s">
        <v>13</v>
      </c>
      <c r="G1770" s="34" t="str">
        <f>IF(ISNUMBER(F1770),E1770*F1770,"")</f>
        <v/>
      </c>
      <c r="H1770" s="35"/>
      <c r="I1770" s="36"/>
      <c r="J1770" s="37">
        <v>0</v>
      </c>
    </row>
    <row r="1771" spans="1:10" hidden="1" x14ac:dyDescent="0.25">
      <c r="A1771" s="174"/>
      <c r="B1771" s="177"/>
      <c r="C1771" s="39"/>
      <c r="D1771" s="39"/>
      <c r="E1771" s="40"/>
      <c r="F1771" s="55" t="s">
        <v>13</v>
      </c>
      <c r="G1771" s="38" t="str">
        <f>IF(ISNUMBER(F1771),E1771*F1771,"")</f>
        <v/>
      </c>
      <c r="H1771" s="42"/>
      <c r="I1771" s="38"/>
      <c r="J1771" s="37">
        <v>0</v>
      </c>
    </row>
    <row r="1772" spans="1:10" hidden="1" x14ac:dyDescent="0.25">
      <c r="A1772" s="174"/>
      <c r="B1772" s="177"/>
      <c r="C1772" s="43" t="s">
        <v>10762</v>
      </c>
      <c r="D1772" s="43" t="s">
        <v>2800</v>
      </c>
      <c r="E1772" s="44">
        <v>3.9E-2</v>
      </c>
      <c r="F1772" s="38">
        <v>24.946999999999999</v>
      </c>
      <c r="G1772" s="41">
        <f>IF(ISNUMBER(F1772),E1772*F1772,"")</f>
        <v>0.97293299999999994</v>
      </c>
      <c r="H1772" s="46">
        <f>SUM(G1772:G1775)</f>
        <v>2.2399062000000001</v>
      </c>
      <c r="I1772" s="47"/>
      <c r="J1772" s="37">
        <v>0</v>
      </c>
    </row>
    <row r="1773" spans="1:10" hidden="1" x14ac:dyDescent="0.25">
      <c r="A1773" s="174"/>
      <c r="B1773" s="177"/>
      <c r="C1773" s="43" t="s">
        <v>10763</v>
      </c>
      <c r="D1773" s="43" t="s">
        <v>2800</v>
      </c>
      <c r="E1773" s="44">
        <v>3.9E-2</v>
      </c>
      <c r="F1773" s="38">
        <v>31.435500000000001</v>
      </c>
      <c r="G1773" s="41">
        <f>IF(ISNUMBER(F1773),E1773*F1773,"")</f>
        <v>1.2259845</v>
      </c>
      <c r="H1773" s="42"/>
      <c r="I1773" s="38"/>
      <c r="J1773" s="37">
        <v>0</v>
      </c>
    </row>
    <row r="1774" spans="1:10" ht="25.5" hidden="1" x14ac:dyDescent="0.25">
      <c r="A1774" s="174"/>
      <c r="B1774" s="177"/>
      <c r="C1774" s="43" t="s">
        <v>432</v>
      </c>
      <c r="D1774" s="43" t="s">
        <v>106</v>
      </c>
      <c r="E1774" s="44">
        <v>1.2434000000000001</v>
      </c>
      <c r="F1774" s="41" t="s">
        <v>13</v>
      </c>
      <c r="G1774" s="41" t="str">
        <f>IF(ISNUMBER(F1774),E1774*F1774,"")</f>
        <v/>
      </c>
      <c r="H1774" s="42"/>
      <c r="I1774" s="38"/>
      <c r="J1774" s="37">
        <v>0</v>
      </c>
    </row>
    <row r="1775" spans="1:10" ht="25.5" hidden="1" x14ac:dyDescent="0.25">
      <c r="A1775" s="174"/>
      <c r="B1775" s="177"/>
      <c r="C1775" s="43" t="s">
        <v>10946</v>
      </c>
      <c r="D1775" s="43" t="s">
        <v>83</v>
      </c>
      <c r="E1775" s="44">
        <v>9.4000000000000004E-3</v>
      </c>
      <c r="F1775" s="41">
        <v>4.3605</v>
      </c>
      <c r="G1775" s="41">
        <f>IF(ISNUMBER(F1775),E1775*F1775,"")</f>
        <v>4.0988700000000003E-2</v>
      </c>
      <c r="H1775" s="42"/>
      <c r="I1775" s="38"/>
      <c r="J1775" s="37">
        <v>0</v>
      </c>
    </row>
    <row r="1776" spans="1:10" ht="15.75" hidden="1" thickBot="1" x14ac:dyDescent="0.3">
      <c r="A1776" s="175"/>
      <c r="B1776" s="178"/>
      <c r="C1776" s="49"/>
      <c r="D1776" s="49"/>
      <c r="E1776" s="50"/>
      <c r="F1776" s="51" t="s">
        <v>13</v>
      </c>
      <c r="G1776" s="51" t="str">
        <f>IF(ISNUMBER(F1776),E1776*F1776,"")</f>
        <v/>
      </c>
      <c r="H1776" s="53"/>
      <c r="I1776" s="38"/>
      <c r="J1776" s="37">
        <v>0</v>
      </c>
    </row>
    <row r="1777" spans="1:10" ht="15.75" hidden="1" thickBot="1" x14ac:dyDescent="0.3">
      <c r="A1777" s="173" t="s">
        <v>433</v>
      </c>
      <c r="B1777" s="176" t="s">
        <v>3288</v>
      </c>
      <c r="C1777" s="31"/>
      <c r="D1777" s="32" t="s">
        <v>106</v>
      </c>
      <c r="E1777" s="33"/>
      <c r="F1777" s="54" t="s">
        <v>13</v>
      </c>
      <c r="G1777" s="34" t="str">
        <f>IF(ISNUMBER(F1777),E1777*F1777,"")</f>
        <v/>
      </c>
      <c r="H1777" s="35"/>
      <c r="I1777" s="36"/>
      <c r="J1777" s="37">
        <v>0</v>
      </c>
    </row>
    <row r="1778" spans="1:10" hidden="1" x14ac:dyDescent="0.25">
      <c r="A1778" s="174"/>
      <c r="B1778" s="177"/>
      <c r="C1778" s="39"/>
      <c r="D1778" s="39"/>
      <c r="E1778" s="40"/>
      <c r="F1778" s="55" t="s">
        <v>13</v>
      </c>
      <c r="G1778" s="38" t="str">
        <f>IF(ISNUMBER(F1778),E1778*F1778,"")</f>
        <v/>
      </c>
      <c r="H1778" s="42"/>
      <c r="I1778" s="38"/>
      <c r="J1778" s="37">
        <v>0</v>
      </c>
    </row>
    <row r="1779" spans="1:10" hidden="1" x14ac:dyDescent="0.25">
      <c r="A1779" s="174"/>
      <c r="B1779" s="177"/>
      <c r="C1779" s="43" t="s">
        <v>10762</v>
      </c>
      <c r="D1779" s="43" t="s">
        <v>2800</v>
      </c>
      <c r="E1779" s="44">
        <v>8.9999999999999993E-3</v>
      </c>
      <c r="F1779" s="38">
        <v>24.946999999999999</v>
      </c>
      <c r="G1779" s="41">
        <f>IF(ISNUMBER(F1779),E1779*F1779,"")</f>
        <v>0.22452299999999997</v>
      </c>
      <c r="H1779" s="46">
        <f>SUM(G1779:G1782)</f>
        <v>0.55104750000000002</v>
      </c>
      <c r="I1779" s="47"/>
      <c r="J1779" s="37">
        <v>0</v>
      </c>
    </row>
    <row r="1780" spans="1:10" hidden="1" x14ac:dyDescent="0.25">
      <c r="A1780" s="174"/>
      <c r="B1780" s="177"/>
      <c r="C1780" s="43" t="s">
        <v>10763</v>
      </c>
      <c r="D1780" s="43" t="s">
        <v>2800</v>
      </c>
      <c r="E1780" s="44">
        <v>8.9999999999999993E-3</v>
      </c>
      <c r="F1780" s="38">
        <v>31.435500000000001</v>
      </c>
      <c r="G1780" s="41">
        <f>IF(ISNUMBER(F1780),E1780*F1780,"")</f>
        <v>0.28291949999999999</v>
      </c>
      <c r="H1780" s="42"/>
      <c r="I1780" s="38"/>
      <c r="J1780" s="37">
        <v>0</v>
      </c>
    </row>
    <row r="1781" spans="1:10" ht="25.5" hidden="1" x14ac:dyDescent="0.25">
      <c r="A1781" s="174"/>
      <c r="B1781" s="177"/>
      <c r="C1781" s="43" t="s">
        <v>434</v>
      </c>
      <c r="D1781" s="43" t="s">
        <v>106</v>
      </c>
      <c r="E1781" s="44">
        <v>1.0269999999999999</v>
      </c>
      <c r="F1781" s="41" t="s">
        <v>13</v>
      </c>
      <c r="G1781" s="41" t="str">
        <f>IF(ISNUMBER(F1781),E1781*F1781,"")</f>
        <v/>
      </c>
      <c r="H1781" s="42"/>
      <c r="I1781" s="38"/>
      <c r="J1781" s="37">
        <v>0</v>
      </c>
    </row>
    <row r="1782" spans="1:10" ht="25.5" hidden="1" x14ac:dyDescent="0.25">
      <c r="A1782" s="174"/>
      <c r="B1782" s="177"/>
      <c r="C1782" s="43" t="s">
        <v>10946</v>
      </c>
      <c r="D1782" s="43" t="s">
        <v>83</v>
      </c>
      <c r="E1782" s="44">
        <v>0.01</v>
      </c>
      <c r="F1782" s="41">
        <v>4.3605</v>
      </c>
      <c r="G1782" s="41">
        <f>IF(ISNUMBER(F1782),E1782*F1782,"")</f>
        <v>4.3604999999999998E-2</v>
      </c>
      <c r="H1782" s="42"/>
      <c r="I1782" s="38"/>
      <c r="J1782" s="37">
        <v>0</v>
      </c>
    </row>
    <row r="1783" spans="1:10" ht="15.75" hidden="1" thickBot="1" x14ac:dyDescent="0.3">
      <c r="A1783" s="175"/>
      <c r="B1783" s="178"/>
      <c r="C1783" s="49"/>
      <c r="D1783" s="49"/>
      <c r="E1783" s="50"/>
      <c r="F1783" s="51" t="s">
        <v>13</v>
      </c>
      <c r="G1783" s="51" t="str">
        <f>IF(ISNUMBER(F1783),E1783*F1783,"")</f>
        <v/>
      </c>
      <c r="H1783" s="53"/>
      <c r="I1783" s="38"/>
      <c r="J1783" s="37">
        <v>0</v>
      </c>
    </row>
    <row r="1784" spans="1:10" ht="15.75" hidden="1" thickBot="1" x14ac:dyDescent="0.3">
      <c r="A1784" s="173" t="s">
        <v>435</v>
      </c>
      <c r="B1784" s="176" t="s">
        <v>3289</v>
      </c>
      <c r="C1784" s="31"/>
      <c r="D1784" s="32" t="s">
        <v>106</v>
      </c>
      <c r="E1784" s="33"/>
      <c r="F1784" s="54" t="s">
        <v>13</v>
      </c>
      <c r="G1784" s="34" t="str">
        <f>IF(ISNUMBER(F1784),E1784*F1784,"")</f>
        <v/>
      </c>
      <c r="H1784" s="35"/>
      <c r="I1784" s="36"/>
      <c r="J1784" s="37">
        <v>0</v>
      </c>
    </row>
    <row r="1785" spans="1:10" hidden="1" x14ac:dyDescent="0.25">
      <c r="A1785" s="174"/>
      <c r="B1785" s="177"/>
      <c r="C1785" s="39"/>
      <c r="D1785" s="39"/>
      <c r="E1785" s="40"/>
      <c r="F1785" s="55" t="s">
        <v>13</v>
      </c>
      <c r="G1785" s="38" t="str">
        <f>IF(ISNUMBER(F1785),E1785*F1785,"")</f>
        <v/>
      </c>
      <c r="H1785" s="42"/>
      <c r="I1785" s="38"/>
      <c r="J1785" s="37">
        <v>0</v>
      </c>
    </row>
    <row r="1786" spans="1:10" hidden="1" x14ac:dyDescent="0.25">
      <c r="A1786" s="174"/>
      <c r="B1786" s="177"/>
      <c r="C1786" s="43" t="s">
        <v>10762</v>
      </c>
      <c r="D1786" s="43" t="s">
        <v>2800</v>
      </c>
      <c r="E1786" s="44">
        <v>5.0999999999999997E-2</v>
      </c>
      <c r="F1786" s="38">
        <v>24.946999999999999</v>
      </c>
      <c r="G1786" s="38">
        <f>IF(ISNUMBER(F1786),E1786*F1786,"")</f>
        <v>1.2722969999999998</v>
      </c>
      <c r="H1786" s="46">
        <f>SUM(G1786:G1789)</f>
        <v>2.9164961999999997</v>
      </c>
      <c r="I1786" s="47"/>
      <c r="J1786" s="37">
        <v>0</v>
      </c>
    </row>
    <row r="1787" spans="1:10" hidden="1" x14ac:dyDescent="0.25">
      <c r="A1787" s="174"/>
      <c r="B1787" s="177"/>
      <c r="C1787" s="43" t="s">
        <v>10763</v>
      </c>
      <c r="D1787" s="43" t="s">
        <v>2800</v>
      </c>
      <c r="E1787" s="44">
        <v>5.0999999999999997E-2</v>
      </c>
      <c r="F1787" s="38">
        <v>31.435500000000001</v>
      </c>
      <c r="G1787" s="38">
        <f>IF(ISNUMBER(F1787),E1787*F1787,"")</f>
        <v>1.6032104999999999</v>
      </c>
      <c r="H1787" s="42"/>
      <c r="I1787" s="38"/>
      <c r="J1787" s="37">
        <v>0</v>
      </c>
    </row>
    <row r="1788" spans="1:10" ht="25.5" hidden="1" x14ac:dyDescent="0.25">
      <c r="A1788" s="174"/>
      <c r="B1788" s="177"/>
      <c r="C1788" s="43" t="s">
        <v>436</v>
      </c>
      <c r="D1788" s="43" t="s">
        <v>106</v>
      </c>
      <c r="E1788" s="44">
        <v>1.2434000000000001</v>
      </c>
      <c r="F1788" s="41" t="s">
        <v>13</v>
      </c>
      <c r="G1788" s="38" t="str">
        <f>IF(ISNUMBER(F1788),E1788*F1788,"")</f>
        <v/>
      </c>
      <c r="H1788" s="42"/>
      <c r="I1788" s="38"/>
      <c r="J1788" s="37">
        <v>0</v>
      </c>
    </row>
    <row r="1789" spans="1:10" ht="25.5" hidden="1" x14ac:dyDescent="0.25">
      <c r="A1789" s="174"/>
      <c r="B1789" s="177"/>
      <c r="C1789" s="43" t="s">
        <v>10946</v>
      </c>
      <c r="D1789" s="43" t="s">
        <v>83</v>
      </c>
      <c r="E1789" s="44">
        <v>9.4000000000000004E-3</v>
      </c>
      <c r="F1789" s="41">
        <v>4.3605</v>
      </c>
      <c r="G1789" s="38">
        <f>IF(ISNUMBER(F1789),E1789*F1789,"")</f>
        <v>4.0988700000000003E-2</v>
      </c>
      <c r="H1789" s="42"/>
      <c r="I1789" s="38"/>
      <c r="J1789" s="37">
        <v>0</v>
      </c>
    </row>
    <row r="1790" spans="1:10" ht="15.75" hidden="1" thickBot="1" x14ac:dyDescent="0.3">
      <c r="A1790" s="175"/>
      <c r="B1790" s="178"/>
      <c r="C1790" s="49"/>
      <c r="D1790" s="49"/>
      <c r="E1790" s="50"/>
      <c r="F1790" s="51" t="s">
        <v>13</v>
      </c>
      <c r="G1790" s="51" t="str">
        <f>IF(ISNUMBER(F1790),E1790*F1790,"")</f>
        <v/>
      </c>
      <c r="H1790" s="53"/>
      <c r="I1790" s="38"/>
      <c r="J1790" s="37">
        <v>0</v>
      </c>
    </row>
    <row r="1791" spans="1:10" ht="15.75" hidden="1" thickBot="1" x14ac:dyDescent="0.3">
      <c r="A1791" s="173" t="s">
        <v>437</v>
      </c>
      <c r="B1791" s="176" t="s">
        <v>3290</v>
      </c>
      <c r="C1791" s="31"/>
      <c r="D1791" s="32" t="s">
        <v>18</v>
      </c>
      <c r="E1791" s="33"/>
      <c r="F1791" s="54" t="s">
        <v>13</v>
      </c>
      <c r="G1791" s="34" t="str">
        <f>IF(ISNUMBER(F1791),E1791*F1791,"")</f>
        <v/>
      </c>
      <c r="H1791" s="35"/>
      <c r="I1791" s="36"/>
      <c r="J1791" s="37">
        <v>0</v>
      </c>
    </row>
    <row r="1792" spans="1:10" hidden="1" x14ac:dyDescent="0.25">
      <c r="A1792" s="174"/>
      <c r="B1792" s="177"/>
      <c r="C1792" s="39"/>
      <c r="D1792" s="39"/>
      <c r="E1792" s="40"/>
      <c r="F1792" s="55" t="s">
        <v>13</v>
      </c>
      <c r="G1792" s="38" t="str">
        <f>IF(ISNUMBER(F1792),E1792*F1792,"")</f>
        <v/>
      </c>
      <c r="H1792" s="42"/>
      <c r="I1792" s="38"/>
      <c r="J1792" s="37">
        <v>0</v>
      </c>
    </row>
    <row r="1793" spans="1:10" ht="25.5" hidden="1" x14ac:dyDescent="0.25">
      <c r="A1793" s="174"/>
      <c r="B1793" s="177"/>
      <c r="C1793" s="43" t="s">
        <v>438</v>
      </c>
      <c r="D1793" s="62" t="s">
        <v>18</v>
      </c>
      <c r="E1793" s="44">
        <v>1</v>
      </c>
      <c r="F1793" s="41" t="s">
        <v>13</v>
      </c>
      <c r="G1793" s="38" t="str">
        <f>IF(ISNUMBER(F1793),E1793*F1793,"")</f>
        <v/>
      </c>
      <c r="H1793" s="46">
        <f>SUM(G1793:G1796)</f>
        <v>243.11673368864001</v>
      </c>
      <c r="I1793" s="47"/>
      <c r="J1793" s="37">
        <v>0</v>
      </c>
    </row>
    <row r="1794" spans="1:10" ht="38.25" hidden="1" x14ac:dyDescent="0.25">
      <c r="A1794" s="174"/>
      <c r="B1794" s="177"/>
      <c r="C1794" s="43" t="s">
        <v>10712</v>
      </c>
      <c r="D1794" s="43" t="s">
        <v>2880</v>
      </c>
      <c r="E1794" s="44">
        <v>1.9199999999999998E-2</v>
      </c>
      <c r="F1794" s="38">
        <v>915.97571295</v>
      </c>
      <c r="G1794" s="38">
        <f>IF(ISNUMBER(F1794),E1794*F1794,"")</f>
        <v>17.586733688639999</v>
      </c>
      <c r="H1794" s="42"/>
      <c r="I1794" s="38"/>
      <c r="J1794" s="37">
        <v>0</v>
      </c>
    </row>
    <row r="1795" spans="1:10" hidden="1" x14ac:dyDescent="0.25">
      <c r="A1795" s="174"/>
      <c r="B1795" s="177"/>
      <c r="C1795" s="43" t="s">
        <v>10762</v>
      </c>
      <c r="D1795" s="43" t="s">
        <v>2800</v>
      </c>
      <c r="E1795" s="44">
        <v>4</v>
      </c>
      <c r="F1795" s="38">
        <v>24.946999999999999</v>
      </c>
      <c r="G1795" s="38">
        <f>IF(ISNUMBER(F1795),E1795*F1795,"")</f>
        <v>99.787999999999997</v>
      </c>
      <c r="H1795" s="42"/>
      <c r="I1795" s="38"/>
      <c r="J1795" s="37">
        <v>0</v>
      </c>
    </row>
    <row r="1796" spans="1:10" hidden="1" x14ac:dyDescent="0.25">
      <c r="A1796" s="174"/>
      <c r="B1796" s="177"/>
      <c r="C1796" s="43" t="s">
        <v>10763</v>
      </c>
      <c r="D1796" s="43" t="s">
        <v>2800</v>
      </c>
      <c r="E1796" s="44">
        <v>4</v>
      </c>
      <c r="F1796" s="38">
        <v>31.435500000000001</v>
      </c>
      <c r="G1796" s="41">
        <f>IF(ISNUMBER(F1796),E1796*F1796,"")</f>
        <v>125.742</v>
      </c>
      <c r="H1796" s="42"/>
      <c r="I1796" s="38"/>
      <c r="J1796" s="37">
        <v>0</v>
      </c>
    </row>
    <row r="1797" spans="1:10" ht="15.75" hidden="1" thickBot="1" x14ac:dyDescent="0.3">
      <c r="A1797" s="175"/>
      <c r="B1797" s="178"/>
      <c r="C1797" s="49"/>
      <c r="D1797" s="49"/>
      <c r="E1797" s="50"/>
      <c r="F1797" s="51" t="s">
        <v>13</v>
      </c>
      <c r="G1797" s="51" t="str">
        <f>IF(ISNUMBER(F1797),E1797*F1797,"")</f>
        <v/>
      </c>
      <c r="H1797" s="53"/>
      <c r="I1797" s="38"/>
      <c r="J1797" s="37">
        <v>0</v>
      </c>
    </row>
    <row r="1798" spans="1:10" ht="15.75" hidden="1" thickBot="1" x14ac:dyDescent="0.3">
      <c r="A1798" s="173" t="s">
        <v>439</v>
      </c>
      <c r="B1798" s="176" t="s">
        <v>440</v>
      </c>
      <c r="C1798" s="31"/>
      <c r="D1798" s="32" t="s">
        <v>18</v>
      </c>
      <c r="E1798" s="33"/>
      <c r="F1798" s="54" t="s">
        <v>13</v>
      </c>
      <c r="G1798" s="34" t="str">
        <f>IF(ISNUMBER(F1798),E1798*F1798,"")</f>
        <v/>
      </c>
      <c r="H1798" s="35"/>
      <c r="I1798" s="36"/>
      <c r="J1798" s="37">
        <v>0</v>
      </c>
    </row>
    <row r="1799" spans="1:10" hidden="1" x14ac:dyDescent="0.25">
      <c r="A1799" s="174"/>
      <c r="B1799" s="177"/>
      <c r="C1799" s="39"/>
      <c r="D1799" s="39"/>
      <c r="E1799" s="40"/>
      <c r="F1799" s="55" t="s">
        <v>13</v>
      </c>
      <c r="G1799" s="38" t="str">
        <f>IF(ISNUMBER(F1799),E1799*F1799,"")</f>
        <v/>
      </c>
      <c r="H1799" s="42"/>
      <c r="I1799" s="38"/>
      <c r="J1799" s="37">
        <v>0</v>
      </c>
    </row>
    <row r="1800" spans="1:10" ht="38.25" hidden="1" x14ac:dyDescent="0.25">
      <c r="A1800" s="174"/>
      <c r="B1800" s="177"/>
      <c r="C1800" s="43" t="s">
        <v>10947</v>
      </c>
      <c r="D1800" s="43" t="s">
        <v>83</v>
      </c>
      <c r="E1800" s="44">
        <v>10</v>
      </c>
      <c r="F1800" s="41">
        <v>1.0734999999999999</v>
      </c>
      <c r="G1800" s="38">
        <f>IF(ISNUMBER(F1800),E1800*F1800,"")</f>
        <v>10.734999999999999</v>
      </c>
      <c r="H1800" s="46">
        <f>SUM(G1800:G1809)</f>
        <v>616.65277764999996</v>
      </c>
      <c r="I1800" s="47"/>
      <c r="J1800" s="37">
        <v>0</v>
      </c>
    </row>
    <row r="1801" spans="1:10" hidden="1" x14ac:dyDescent="0.25">
      <c r="A1801" s="174"/>
      <c r="B1801" s="177"/>
      <c r="C1801" s="43" t="s">
        <v>10948</v>
      </c>
      <c r="D1801" s="43" t="s">
        <v>83</v>
      </c>
      <c r="E1801" s="44">
        <v>6</v>
      </c>
      <c r="F1801" s="38">
        <v>0.70299999999999996</v>
      </c>
      <c r="G1801" s="38">
        <f>IF(ISNUMBER(F1801),E1801*F1801,"")</f>
        <v>4.218</v>
      </c>
      <c r="H1801" s="42"/>
      <c r="I1801" s="38"/>
      <c r="J1801" s="37">
        <v>0</v>
      </c>
    </row>
    <row r="1802" spans="1:10" ht="38.25" hidden="1" x14ac:dyDescent="0.25">
      <c r="A1802" s="174"/>
      <c r="B1802" s="177"/>
      <c r="C1802" s="43" t="s">
        <v>10949</v>
      </c>
      <c r="D1802" s="43" t="s">
        <v>83</v>
      </c>
      <c r="E1802" s="44">
        <v>4</v>
      </c>
      <c r="F1802" s="38">
        <v>0.38949999999999996</v>
      </c>
      <c r="G1802" s="38">
        <f>IF(ISNUMBER(F1802),E1802*F1802,"")</f>
        <v>1.5579999999999998</v>
      </c>
      <c r="H1802" s="42"/>
      <c r="I1802" s="38"/>
      <c r="J1802" s="37">
        <v>0</v>
      </c>
    </row>
    <row r="1803" spans="1:10" ht="25.5" hidden="1" x14ac:dyDescent="0.25">
      <c r="A1803" s="174"/>
      <c r="B1803" s="177"/>
      <c r="C1803" s="43" t="s">
        <v>10950</v>
      </c>
      <c r="D1803" s="43" t="s">
        <v>83</v>
      </c>
      <c r="E1803" s="44">
        <v>6</v>
      </c>
      <c r="F1803" s="38">
        <v>1.3204999999999998</v>
      </c>
      <c r="G1803" s="38">
        <f>IF(ISNUMBER(F1803),E1803*F1803,"")</f>
        <v>7.9229999999999983</v>
      </c>
      <c r="H1803" s="42"/>
      <c r="I1803" s="38"/>
      <c r="J1803" s="37">
        <v>0</v>
      </c>
    </row>
    <row r="1804" spans="1:10" ht="25.5" hidden="1" x14ac:dyDescent="0.25">
      <c r="A1804" s="174"/>
      <c r="B1804" s="177"/>
      <c r="C1804" s="43" t="s">
        <v>10951</v>
      </c>
      <c r="D1804" s="43" t="s">
        <v>83</v>
      </c>
      <c r="E1804" s="44">
        <v>6</v>
      </c>
      <c r="F1804" s="38">
        <v>1.5484999999999998</v>
      </c>
      <c r="G1804" s="38">
        <f>IF(ISNUMBER(F1804),E1804*F1804,"")</f>
        <v>9.2909999999999986</v>
      </c>
      <c r="H1804" s="42"/>
      <c r="I1804" s="38"/>
      <c r="J1804" s="37">
        <v>0</v>
      </c>
    </row>
    <row r="1805" spans="1:10" hidden="1" x14ac:dyDescent="0.25">
      <c r="A1805" s="174"/>
      <c r="B1805" s="177"/>
      <c r="C1805" s="43" t="s">
        <v>440</v>
      </c>
      <c r="D1805" s="43" t="s">
        <v>83</v>
      </c>
      <c r="E1805" s="44">
        <v>1</v>
      </c>
      <c r="F1805" s="38" t="s">
        <v>13</v>
      </c>
      <c r="G1805" s="38" t="str">
        <f>IF(ISNUMBER(F1805),E1805*F1805,"")</f>
        <v/>
      </c>
      <c r="H1805" s="42"/>
      <c r="I1805" s="38"/>
      <c r="J1805" s="37">
        <v>0</v>
      </c>
    </row>
    <row r="1806" spans="1:10" hidden="1" x14ac:dyDescent="0.25">
      <c r="A1806" s="174"/>
      <c r="B1806" s="177"/>
      <c r="C1806" s="43" t="s">
        <v>10750</v>
      </c>
      <c r="D1806" s="43" t="s">
        <v>2800</v>
      </c>
      <c r="E1806" s="44">
        <v>4.5749000000000004</v>
      </c>
      <c r="F1806" s="38">
        <v>24.358000000000001</v>
      </c>
      <c r="G1806" s="38">
        <f>IF(ISNUMBER(F1806),E1806*F1806,"")</f>
        <v>111.43541420000001</v>
      </c>
      <c r="H1806" s="42"/>
      <c r="I1806" s="38"/>
      <c r="J1806" s="37">
        <v>0</v>
      </c>
    </row>
    <row r="1807" spans="1:10" ht="38.25" hidden="1" x14ac:dyDescent="0.25">
      <c r="A1807" s="174"/>
      <c r="B1807" s="177"/>
      <c r="C1807" s="43" t="s">
        <v>10952</v>
      </c>
      <c r="D1807" s="43" t="s">
        <v>1050</v>
      </c>
      <c r="E1807" s="44">
        <v>0.2059</v>
      </c>
      <c r="F1807" s="38">
        <v>328.45299999999997</v>
      </c>
      <c r="G1807" s="38">
        <f>IF(ISNUMBER(F1807),E1807*F1807,"")</f>
        <v>67.628472699999989</v>
      </c>
      <c r="H1807" s="42"/>
      <c r="I1807" s="38"/>
      <c r="J1807" s="37">
        <v>0</v>
      </c>
    </row>
    <row r="1808" spans="1:10" ht="38.25" hidden="1" x14ac:dyDescent="0.25">
      <c r="A1808" s="174"/>
      <c r="B1808" s="177"/>
      <c r="C1808" s="43" t="s">
        <v>10953</v>
      </c>
      <c r="D1808" s="43" t="s">
        <v>10677</v>
      </c>
      <c r="E1808" s="44">
        <v>1.5165999999999999</v>
      </c>
      <c r="F1808" s="38">
        <v>167.39949999999999</v>
      </c>
      <c r="G1808" s="38">
        <f>IF(ISNUMBER(F1808),E1808*F1808,"")</f>
        <v>253.87808169999997</v>
      </c>
      <c r="H1808" s="42"/>
      <c r="I1808" s="38"/>
      <c r="J1808" s="37">
        <v>0</v>
      </c>
    </row>
    <row r="1809" spans="1:10" ht="25.5" hidden="1" x14ac:dyDescent="0.25">
      <c r="A1809" s="174"/>
      <c r="B1809" s="177"/>
      <c r="C1809" s="43" t="s">
        <v>10751</v>
      </c>
      <c r="D1809" s="43" t="s">
        <v>2800</v>
      </c>
      <c r="E1809" s="44">
        <v>4.5749000000000004</v>
      </c>
      <c r="F1809" s="38">
        <v>32.784499999999994</v>
      </c>
      <c r="G1809" s="38">
        <f>IF(ISNUMBER(F1809),E1809*F1809,"")</f>
        <v>149.98580905</v>
      </c>
      <c r="H1809" s="42"/>
      <c r="I1809" s="38"/>
      <c r="J1809" s="37">
        <v>0</v>
      </c>
    </row>
    <row r="1810" spans="1:10" ht="15.75" hidden="1" thickBot="1" x14ac:dyDescent="0.3">
      <c r="A1810" s="175"/>
      <c r="B1810" s="178"/>
      <c r="C1810" s="49"/>
      <c r="D1810" s="49"/>
      <c r="E1810" s="50"/>
      <c r="F1810" s="51" t="s">
        <v>13</v>
      </c>
      <c r="G1810" s="51" t="str">
        <f>IF(ISNUMBER(F1810),E1810*F1810,"")</f>
        <v/>
      </c>
      <c r="H1810" s="53"/>
      <c r="I1810" s="38"/>
      <c r="J1810" s="37">
        <v>0</v>
      </c>
    </row>
    <row r="1811" spans="1:10" ht="15.75" hidden="1" thickBot="1" x14ac:dyDescent="0.3">
      <c r="A1811" s="173" t="s">
        <v>441</v>
      </c>
      <c r="B1811" s="176" t="s">
        <v>442</v>
      </c>
      <c r="C1811" s="31"/>
      <c r="D1811" s="32" t="s">
        <v>18</v>
      </c>
      <c r="E1811" s="33"/>
      <c r="F1811" s="54" t="s">
        <v>13</v>
      </c>
      <c r="G1811" s="34" t="str">
        <f>IF(ISNUMBER(F1811),E1811*F1811,"")</f>
        <v/>
      </c>
      <c r="H1811" s="35"/>
      <c r="I1811" s="36"/>
      <c r="J1811" s="37">
        <v>0</v>
      </c>
    </row>
    <row r="1812" spans="1:10" hidden="1" x14ac:dyDescent="0.25">
      <c r="A1812" s="174"/>
      <c r="B1812" s="177"/>
      <c r="C1812" s="39"/>
      <c r="D1812" s="39"/>
      <c r="E1812" s="40"/>
      <c r="F1812" s="55" t="s">
        <v>13</v>
      </c>
      <c r="G1812" s="38" t="str">
        <f>IF(ISNUMBER(F1812),E1812*F1812,"")</f>
        <v/>
      </c>
      <c r="H1812" s="42"/>
      <c r="I1812" s="38"/>
      <c r="J1812" s="37">
        <v>0</v>
      </c>
    </row>
    <row r="1813" spans="1:10" ht="38.25" hidden="1" x14ac:dyDescent="0.25">
      <c r="A1813" s="174"/>
      <c r="B1813" s="177"/>
      <c r="C1813" s="43" t="s">
        <v>10947</v>
      </c>
      <c r="D1813" s="43" t="s">
        <v>83</v>
      </c>
      <c r="E1813" s="44">
        <v>10</v>
      </c>
      <c r="F1813" s="41">
        <v>1.0734999999999999</v>
      </c>
      <c r="G1813" s="38">
        <f>IF(ISNUMBER(F1813),E1813*F1813,"")</f>
        <v>10.734999999999999</v>
      </c>
      <c r="H1813" s="46">
        <f>SUM(G1813:G1820)</f>
        <v>218.04877374999998</v>
      </c>
      <c r="I1813" s="47"/>
      <c r="J1813" s="37">
        <v>0</v>
      </c>
    </row>
    <row r="1814" spans="1:10" ht="38.25" hidden="1" x14ac:dyDescent="0.25">
      <c r="A1814" s="174"/>
      <c r="B1814" s="177"/>
      <c r="C1814" s="43" t="s">
        <v>10876</v>
      </c>
      <c r="D1814" s="43" t="s">
        <v>83</v>
      </c>
      <c r="E1814" s="44">
        <v>9</v>
      </c>
      <c r="F1814" s="38">
        <v>1.159</v>
      </c>
      <c r="G1814" s="38">
        <f>IF(ISNUMBER(F1814),E1814*F1814,"")</f>
        <v>10.431000000000001</v>
      </c>
      <c r="H1814" s="42"/>
      <c r="I1814" s="38"/>
      <c r="J1814" s="37">
        <v>0</v>
      </c>
    </row>
    <row r="1815" spans="1:10" ht="25.5" hidden="1" x14ac:dyDescent="0.25">
      <c r="A1815" s="174"/>
      <c r="B1815" s="177"/>
      <c r="C1815" s="43" t="s">
        <v>10954</v>
      </c>
      <c r="D1815" s="43" t="s">
        <v>83</v>
      </c>
      <c r="E1815" s="44">
        <v>6</v>
      </c>
      <c r="F1815" s="38">
        <v>1.0545</v>
      </c>
      <c r="G1815" s="38">
        <f>IF(ISNUMBER(F1815),E1815*F1815,"")</f>
        <v>6.327</v>
      </c>
      <c r="H1815" s="42"/>
      <c r="I1815" s="38"/>
      <c r="J1815" s="37">
        <v>0</v>
      </c>
    </row>
    <row r="1816" spans="1:10" ht="38.25" hidden="1" x14ac:dyDescent="0.25">
      <c r="A1816" s="174"/>
      <c r="B1816" s="177"/>
      <c r="C1816" s="43" t="s">
        <v>10949</v>
      </c>
      <c r="D1816" s="43" t="s">
        <v>83</v>
      </c>
      <c r="E1816" s="44">
        <v>4</v>
      </c>
      <c r="F1816" s="38">
        <v>0.38949999999999996</v>
      </c>
      <c r="G1816" s="38">
        <f>IF(ISNUMBER(F1816),E1816*F1816,"")</f>
        <v>1.5579999999999998</v>
      </c>
      <c r="H1816" s="42"/>
      <c r="I1816" s="38"/>
      <c r="J1816" s="37">
        <v>0</v>
      </c>
    </row>
    <row r="1817" spans="1:10" ht="25.5" hidden="1" x14ac:dyDescent="0.25">
      <c r="A1817" s="174"/>
      <c r="B1817" s="177"/>
      <c r="C1817" s="43" t="s">
        <v>10878</v>
      </c>
      <c r="D1817" s="43" t="s">
        <v>83</v>
      </c>
      <c r="E1817" s="44">
        <v>2</v>
      </c>
      <c r="F1817" s="38">
        <v>19.256499999999999</v>
      </c>
      <c r="G1817" s="38">
        <f>IF(ISNUMBER(F1817),E1817*F1817,"")</f>
        <v>38.512999999999998</v>
      </c>
      <c r="H1817" s="42"/>
      <c r="I1817" s="38"/>
      <c r="J1817" s="37">
        <v>0</v>
      </c>
    </row>
    <row r="1818" spans="1:10" hidden="1" x14ac:dyDescent="0.25">
      <c r="A1818" s="174"/>
      <c r="B1818" s="177"/>
      <c r="C1818" s="43" t="s">
        <v>442</v>
      </c>
      <c r="D1818" s="43" t="s">
        <v>83</v>
      </c>
      <c r="E1818" s="44">
        <v>1</v>
      </c>
      <c r="F1818" s="38" t="s">
        <v>13</v>
      </c>
      <c r="G1818" s="38" t="str">
        <f>IF(ISNUMBER(F1818),E1818*F1818,"")</f>
        <v/>
      </c>
      <c r="H1818" s="42"/>
      <c r="I1818" s="38"/>
      <c r="J1818" s="37">
        <v>0</v>
      </c>
    </row>
    <row r="1819" spans="1:10" hidden="1" x14ac:dyDescent="0.25">
      <c r="A1819" s="174"/>
      <c r="B1819" s="177"/>
      <c r="C1819" s="43" t="s">
        <v>10750</v>
      </c>
      <c r="D1819" s="43" t="s">
        <v>2800</v>
      </c>
      <c r="E1819" s="44">
        <v>2.6335000000000002</v>
      </c>
      <c r="F1819" s="38">
        <v>24.358000000000001</v>
      </c>
      <c r="G1819" s="38">
        <f>IF(ISNUMBER(F1819),E1819*F1819,"")</f>
        <v>64.146793000000002</v>
      </c>
      <c r="H1819" s="42"/>
      <c r="I1819" s="38"/>
      <c r="J1819" s="37">
        <v>0</v>
      </c>
    </row>
    <row r="1820" spans="1:10" ht="25.5" hidden="1" x14ac:dyDescent="0.25">
      <c r="A1820" s="174"/>
      <c r="B1820" s="177"/>
      <c r="C1820" s="43" t="s">
        <v>10751</v>
      </c>
      <c r="D1820" s="43" t="s">
        <v>2800</v>
      </c>
      <c r="E1820" s="44">
        <v>2.6335000000000002</v>
      </c>
      <c r="F1820" s="38">
        <v>32.784499999999994</v>
      </c>
      <c r="G1820" s="38">
        <f>IF(ISNUMBER(F1820),E1820*F1820,"")</f>
        <v>86.337980749999986</v>
      </c>
      <c r="H1820" s="42"/>
      <c r="I1820" s="38"/>
      <c r="J1820" s="37">
        <v>0</v>
      </c>
    </row>
    <row r="1821" spans="1:10" ht="15.75" hidden="1" thickBot="1" x14ac:dyDescent="0.3">
      <c r="A1821" s="175"/>
      <c r="B1821" s="178"/>
      <c r="C1821" s="49"/>
      <c r="D1821" s="49"/>
      <c r="E1821" s="50"/>
      <c r="F1821" s="51" t="s">
        <v>13</v>
      </c>
      <c r="G1821" s="51" t="str">
        <f>IF(ISNUMBER(F1821),E1821*F1821,"")</f>
        <v/>
      </c>
      <c r="H1821" s="53"/>
      <c r="I1821" s="38"/>
      <c r="J1821" s="37">
        <v>0</v>
      </c>
    </row>
    <row r="1822" spans="1:10" ht="15.75" hidden="1" thickBot="1" x14ac:dyDescent="0.3">
      <c r="A1822" s="173" t="s">
        <v>443</v>
      </c>
      <c r="B1822" s="176" t="s">
        <v>444</v>
      </c>
      <c r="C1822" s="31"/>
      <c r="D1822" s="32" t="s">
        <v>18</v>
      </c>
      <c r="E1822" s="33"/>
      <c r="F1822" s="54" t="s">
        <v>13</v>
      </c>
      <c r="G1822" s="34" t="str">
        <f>IF(ISNUMBER(F1822),E1822*F1822,"")</f>
        <v/>
      </c>
      <c r="H1822" s="35"/>
      <c r="I1822" s="36"/>
      <c r="J1822" s="37">
        <v>0</v>
      </c>
    </row>
    <row r="1823" spans="1:10" hidden="1" x14ac:dyDescent="0.25">
      <c r="A1823" s="174"/>
      <c r="B1823" s="177"/>
      <c r="C1823" s="39"/>
      <c r="D1823" s="39"/>
      <c r="E1823" s="40"/>
      <c r="F1823" s="55" t="s">
        <v>13</v>
      </c>
      <c r="G1823" s="38" t="str">
        <f>IF(ISNUMBER(F1823),E1823*F1823,"")</f>
        <v/>
      </c>
      <c r="H1823" s="42"/>
      <c r="I1823" s="38"/>
      <c r="J1823" s="37">
        <v>0</v>
      </c>
    </row>
    <row r="1824" spans="1:10" ht="38.25" hidden="1" x14ac:dyDescent="0.25">
      <c r="A1824" s="174"/>
      <c r="B1824" s="177"/>
      <c r="C1824" s="43" t="s">
        <v>10947</v>
      </c>
      <c r="D1824" s="43" t="s">
        <v>83</v>
      </c>
      <c r="E1824" s="44">
        <v>10</v>
      </c>
      <c r="F1824" s="41">
        <v>1.0734999999999999</v>
      </c>
      <c r="G1824" s="38">
        <f>IF(ISNUMBER(F1824),E1824*F1824,"")</f>
        <v>10.734999999999999</v>
      </c>
      <c r="H1824" s="46">
        <f>SUM(G1824:G1833)</f>
        <v>616.65277764999996</v>
      </c>
      <c r="I1824" s="47"/>
      <c r="J1824" s="37">
        <v>0</v>
      </c>
    </row>
    <row r="1825" spans="1:10" hidden="1" x14ac:dyDescent="0.25">
      <c r="A1825" s="174"/>
      <c r="B1825" s="177"/>
      <c r="C1825" s="43" t="s">
        <v>10948</v>
      </c>
      <c r="D1825" s="43" t="s">
        <v>83</v>
      </c>
      <c r="E1825" s="44">
        <v>6</v>
      </c>
      <c r="F1825" s="38">
        <v>0.70299999999999996</v>
      </c>
      <c r="G1825" s="38">
        <f>IF(ISNUMBER(F1825),E1825*F1825,"")</f>
        <v>4.218</v>
      </c>
      <c r="H1825" s="42"/>
      <c r="I1825" s="38"/>
      <c r="J1825" s="37">
        <v>0</v>
      </c>
    </row>
    <row r="1826" spans="1:10" ht="38.25" hidden="1" x14ac:dyDescent="0.25">
      <c r="A1826" s="174"/>
      <c r="B1826" s="177"/>
      <c r="C1826" s="43" t="s">
        <v>10949</v>
      </c>
      <c r="D1826" s="43" t="s">
        <v>83</v>
      </c>
      <c r="E1826" s="44">
        <v>4</v>
      </c>
      <c r="F1826" s="38">
        <v>0.38949999999999996</v>
      </c>
      <c r="G1826" s="38">
        <f>IF(ISNUMBER(F1826),E1826*F1826,"")</f>
        <v>1.5579999999999998</v>
      </c>
      <c r="H1826" s="42"/>
      <c r="I1826" s="38"/>
      <c r="J1826" s="37">
        <v>0</v>
      </c>
    </row>
    <row r="1827" spans="1:10" ht="25.5" hidden="1" x14ac:dyDescent="0.25">
      <c r="A1827" s="174"/>
      <c r="B1827" s="177"/>
      <c r="C1827" s="43" t="s">
        <v>10950</v>
      </c>
      <c r="D1827" s="43" t="s">
        <v>83</v>
      </c>
      <c r="E1827" s="44">
        <v>6</v>
      </c>
      <c r="F1827" s="38">
        <v>1.3204999999999998</v>
      </c>
      <c r="G1827" s="38">
        <f>IF(ISNUMBER(F1827),E1827*F1827,"")</f>
        <v>7.9229999999999983</v>
      </c>
      <c r="H1827" s="42"/>
      <c r="I1827" s="38"/>
      <c r="J1827" s="37">
        <v>0</v>
      </c>
    </row>
    <row r="1828" spans="1:10" ht="25.5" hidden="1" x14ac:dyDescent="0.25">
      <c r="A1828" s="174"/>
      <c r="B1828" s="177"/>
      <c r="C1828" s="43" t="s">
        <v>10951</v>
      </c>
      <c r="D1828" s="43" t="s">
        <v>83</v>
      </c>
      <c r="E1828" s="44">
        <v>6</v>
      </c>
      <c r="F1828" s="38">
        <v>1.5484999999999998</v>
      </c>
      <c r="G1828" s="38">
        <f>IF(ISNUMBER(F1828),E1828*F1828,"")</f>
        <v>9.2909999999999986</v>
      </c>
      <c r="H1828" s="42"/>
      <c r="I1828" s="38"/>
      <c r="J1828" s="37">
        <v>0</v>
      </c>
    </row>
    <row r="1829" spans="1:10" hidden="1" x14ac:dyDescent="0.25">
      <c r="A1829" s="174"/>
      <c r="B1829" s="177"/>
      <c r="C1829" s="43" t="s">
        <v>444</v>
      </c>
      <c r="D1829" s="43" t="s">
        <v>83</v>
      </c>
      <c r="E1829" s="44">
        <v>1</v>
      </c>
      <c r="F1829" s="38" t="s">
        <v>13</v>
      </c>
      <c r="G1829" s="38" t="str">
        <f>IF(ISNUMBER(F1829),E1829*F1829,"")</f>
        <v/>
      </c>
      <c r="H1829" s="42"/>
      <c r="I1829" s="38"/>
      <c r="J1829" s="37">
        <v>0</v>
      </c>
    </row>
    <row r="1830" spans="1:10" hidden="1" x14ac:dyDescent="0.25">
      <c r="A1830" s="174"/>
      <c r="B1830" s="177"/>
      <c r="C1830" s="43" t="s">
        <v>10750</v>
      </c>
      <c r="D1830" s="43" t="s">
        <v>2800</v>
      </c>
      <c r="E1830" s="44">
        <v>4.5749000000000004</v>
      </c>
      <c r="F1830" s="38">
        <v>24.358000000000001</v>
      </c>
      <c r="G1830" s="38">
        <f>IF(ISNUMBER(F1830),E1830*F1830,"")</f>
        <v>111.43541420000001</v>
      </c>
      <c r="H1830" s="42"/>
      <c r="I1830" s="38"/>
      <c r="J1830" s="37">
        <v>0</v>
      </c>
    </row>
    <row r="1831" spans="1:10" ht="38.25" hidden="1" x14ac:dyDescent="0.25">
      <c r="A1831" s="174"/>
      <c r="B1831" s="177"/>
      <c r="C1831" s="43" t="s">
        <v>10952</v>
      </c>
      <c r="D1831" s="43" t="s">
        <v>1050</v>
      </c>
      <c r="E1831" s="44">
        <v>0.2059</v>
      </c>
      <c r="F1831" s="38">
        <v>328.45299999999997</v>
      </c>
      <c r="G1831" s="38">
        <f>IF(ISNUMBER(F1831),E1831*F1831,"")</f>
        <v>67.628472699999989</v>
      </c>
      <c r="H1831" s="42"/>
      <c r="I1831" s="38"/>
      <c r="J1831" s="37">
        <v>0</v>
      </c>
    </row>
    <row r="1832" spans="1:10" ht="38.25" hidden="1" x14ac:dyDescent="0.25">
      <c r="A1832" s="174"/>
      <c r="B1832" s="177"/>
      <c r="C1832" s="43" t="s">
        <v>10953</v>
      </c>
      <c r="D1832" s="43" t="s">
        <v>10677</v>
      </c>
      <c r="E1832" s="44">
        <v>1.5165999999999999</v>
      </c>
      <c r="F1832" s="38">
        <v>167.39949999999999</v>
      </c>
      <c r="G1832" s="38">
        <f>IF(ISNUMBER(F1832),E1832*F1832,"")</f>
        <v>253.87808169999997</v>
      </c>
      <c r="H1832" s="42"/>
      <c r="I1832" s="38"/>
      <c r="J1832" s="37">
        <v>0</v>
      </c>
    </row>
    <row r="1833" spans="1:10" ht="25.5" hidden="1" x14ac:dyDescent="0.25">
      <c r="A1833" s="174"/>
      <c r="B1833" s="177"/>
      <c r="C1833" s="43" t="s">
        <v>10751</v>
      </c>
      <c r="D1833" s="43" t="s">
        <v>2800</v>
      </c>
      <c r="E1833" s="44">
        <v>4.5749000000000004</v>
      </c>
      <c r="F1833" s="38">
        <v>32.784499999999994</v>
      </c>
      <c r="G1833" s="38">
        <f>IF(ISNUMBER(F1833),E1833*F1833,"")</f>
        <v>149.98580905</v>
      </c>
      <c r="H1833" s="42"/>
      <c r="I1833" s="38"/>
      <c r="J1833" s="37">
        <v>0</v>
      </c>
    </row>
    <row r="1834" spans="1:10" ht="15.75" hidden="1" thickBot="1" x14ac:dyDescent="0.3">
      <c r="A1834" s="175"/>
      <c r="B1834" s="178"/>
      <c r="C1834" s="49"/>
      <c r="D1834" s="49"/>
      <c r="E1834" s="50"/>
      <c r="F1834" s="51" t="s">
        <v>13</v>
      </c>
      <c r="G1834" s="51" t="str">
        <f>IF(ISNUMBER(F1834),E1834*F1834,"")</f>
        <v/>
      </c>
      <c r="H1834" s="53"/>
      <c r="I1834" s="38"/>
      <c r="J1834" s="37">
        <v>0</v>
      </c>
    </row>
    <row r="1835" spans="1:10" ht="15.75" hidden="1" thickBot="1" x14ac:dyDescent="0.3">
      <c r="A1835" s="173" t="s">
        <v>445</v>
      </c>
      <c r="B1835" s="176" t="s">
        <v>446</v>
      </c>
      <c r="C1835" s="31"/>
      <c r="D1835" s="32" t="s">
        <v>18</v>
      </c>
      <c r="E1835" s="33"/>
      <c r="F1835" s="54" t="s">
        <v>13</v>
      </c>
      <c r="G1835" s="34" t="str">
        <f>IF(ISNUMBER(F1835),E1835*F1835,"")</f>
        <v/>
      </c>
      <c r="H1835" s="35"/>
      <c r="I1835" s="36"/>
      <c r="J1835" s="37">
        <v>0</v>
      </c>
    </row>
    <row r="1836" spans="1:10" hidden="1" x14ac:dyDescent="0.25">
      <c r="A1836" s="174"/>
      <c r="B1836" s="177"/>
      <c r="C1836" s="39"/>
      <c r="D1836" s="39"/>
      <c r="E1836" s="40"/>
      <c r="F1836" s="55" t="s">
        <v>13</v>
      </c>
      <c r="G1836" s="38" t="str">
        <f>IF(ISNUMBER(F1836),E1836*F1836,"")</f>
        <v/>
      </c>
      <c r="H1836" s="42"/>
      <c r="I1836" s="38"/>
      <c r="J1836" s="37">
        <v>0</v>
      </c>
    </row>
    <row r="1837" spans="1:10" ht="38.25" hidden="1" x14ac:dyDescent="0.25">
      <c r="A1837" s="174"/>
      <c r="B1837" s="177"/>
      <c r="C1837" s="43" t="s">
        <v>10947</v>
      </c>
      <c r="D1837" s="43" t="s">
        <v>83</v>
      </c>
      <c r="E1837" s="44">
        <v>10</v>
      </c>
      <c r="F1837" s="41">
        <v>1.0734999999999999</v>
      </c>
      <c r="G1837" s="38">
        <f>IF(ISNUMBER(F1837),E1837*F1837,"")</f>
        <v>10.734999999999999</v>
      </c>
      <c r="H1837" s="46">
        <f>SUM(G1837:G1846)</f>
        <v>301.264475</v>
      </c>
      <c r="I1837" s="47"/>
      <c r="J1837" s="37">
        <v>0</v>
      </c>
    </row>
    <row r="1838" spans="1:10" hidden="1" x14ac:dyDescent="0.25">
      <c r="A1838" s="174"/>
      <c r="B1838" s="177"/>
      <c r="C1838" s="43" t="s">
        <v>10948</v>
      </c>
      <c r="D1838" s="43" t="s">
        <v>83</v>
      </c>
      <c r="E1838" s="44">
        <v>6</v>
      </c>
      <c r="F1838" s="38">
        <v>0.70299999999999996</v>
      </c>
      <c r="G1838" s="38">
        <f>IF(ISNUMBER(F1838),E1838*F1838,"")</f>
        <v>4.218</v>
      </c>
      <c r="H1838" s="42"/>
      <c r="I1838" s="38"/>
      <c r="J1838" s="37">
        <v>0</v>
      </c>
    </row>
    <row r="1839" spans="1:10" ht="25.5" hidden="1" x14ac:dyDescent="0.25">
      <c r="A1839" s="174"/>
      <c r="B1839" s="177"/>
      <c r="C1839" s="43" t="s">
        <v>10954</v>
      </c>
      <c r="D1839" s="43" t="s">
        <v>83</v>
      </c>
      <c r="E1839" s="44">
        <v>6</v>
      </c>
      <c r="F1839" s="38">
        <v>1.0545</v>
      </c>
      <c r="G1839" s="38">
        <f>IF(ISNUMBER(F1839),E1839*F1839,"")</f>
        <v>6.327</v>
      </c>
      <c r="H1839" s="42"/>
      <c r="I1839" s="38"/>
      <c r="J1839" s="37">
        <v>0</v>
      </c>
    </row>
    <row r="1840" spans="1:10" ht="38.25" hidden="1" x14ac:dyDescent="0.25">
      <c r="A1840" s="174"/>
      <c r="B1840" s="177"/>
      <c r="C1840" s="43" t="s">
        <v>10949</v>
      </c>
      <c r="D1840" s="43" t="s">
        <v>83</v>
      </c>
      <c r="E1840" s="44">
        <v>8</v>
      </c>
      <c r="F1840" s="38">
        <v>0.38949999999999996</v>
      </c>
      <c r="G1840" s="38">
        <f>IF(ISNUMBER(F1840),E1840*F1840,"")</f>
        <v>3.1159999999999997</v>
      </c>
      <c r="H1840" s="42"/>
      <c r="I1840" s="38"/>
      <c r="J1840" s="37">
        <v>0</v>
      </c>
    </row>
    <row r="1841" spans="1:10" ht="25.5" hidden="1" x14ac:dyDescent="0.25">
      <c r="A1841" s="174"/>
      <c r="B1841" s="177"/>
      <c r="C1841" s="43" t="s">
        <v>10950</v>
      </c>
      <c r="D1841" s="43" t="s">
        <v>83</v>
      </c>
      <c r="E1841" s="44">
        <v>6</v>
      </c>
      <c r="F1841" s="38">
        <v>1.3204999999999998</v>
      </c>
      <c r="G1841" s="38">
        <f>IF(ISNUMBER(F1841),E1841*F1841,"")</f>
        <v>7.9229999999999983</v>
      </c>
      <c r="H1841" s="42"/>
      <c r="I1841" s="38"/>
      <c r="J1841" s="37">
        <v>0</v>
      </c>
    </row>
    <row r="1842" spans="1:10" ht="25.5" hidden="1" x14ac:dyDescent="0.25">
      <c r="A1842" s="174"/>
      <c r="B1842" s="177"/>
      <c r="C1842" s="43" t="s">
        <v>10951</v>
      </c>
      <c r="D1842" s="43" t="s">
        <v>83</v>
      </c>
      <c r="E1842" s="44">
        <v>6</v>
      </c>
      <c r="F1842" s="38">
        <v>1.5484999999999998</v>
      </c>
      <c r="G1842" s="38">
        <f>IF(ISNUMBER(F1842),E1842*F1842,"")</f>
        <v>9.2909999999999986</v>
      </c>
      <c r="H1842" s="42"/>
      <c r="I1842" s="38"/>
      <c r="J1842" s="37">
        <v>0</v>
      </c>
    </row>
    <row r="1843" spans="1:10" ht="25.5" hidden="1" x14ac:dyDescent="0.25">
      <c r="A1843" s="174"/>
      <c r="B1843" s="177"/>
      <c r="C1843" s="43" t="s">
        <v>10878</v>
      </c>
      <c r="D1843" s="43" t="s">
        <v>83</v>
      </c>
      <c r="E1843" s="44">
        <v>2</v>
      </c>
      <c r="F1843" s="38">
        <v>19.256499999999999</v>
      </c>
      <c r="G1843" s="38">
        <f>IF(ISNUMBER(F1843),E1843*F1843,"")</f>
        <v>38.512999999999998</v>
      </c>
      <c r="H1843" s="42"/>
      <c r="I1843" s="38"/>
      <c r="J1843" s="37">
        <v>0</v>
      </c>
    </row>
    <row r="1844" spans="1:10" hidden="1" x14ac:dyDescent="0.25">
      <c r="A1844" s="174"/>
      <c r="B1844" s="177"/>
      <c r="C1844" s="43" t="s">
        <v>446</v>
      </c>
      <c r="D1844" s="43" t="s">
        <v>83</v>
      </c>
      <c r="E1844" s="44">
        <v>1</v>
      </c>
      <c r="F1844" s="38" t="s">
        <v>13</v>
      </c>
      <c r="G1844" s="38" t="str">
        <f>IF(ISNUMBER(F1844),E1844*F1844,"")</f>
        <v/>
      </c>
      <c r="H1844" s="42"/>
      <c r="I1844" s="38"/>
      <c r="J1844" s="37">
        <v>0</v>
      </c>
    </row>
    <row r="1845" spans="1:10" hidden="1" x14ac:dyDescent="0.25">
      <c r="A1845" s="174"/>
      <c r="B1845" s="177"/>
      <c r="C1845" s="43" t="s">
        <v>10750</v>
      </c>
      <c r="D1845" s="43" t="s">
        <v>2800</v>
      </c>
      <c r="E1845" s="44">
        <v>3.87</v>
      </c>
      <c r="F1845" s="38">
        <v>24.358000000000001</v>
      </c>
      <c r="G1845" s="38">
        <f>IF(ISNUMBER(F1845),E1845*F1845,"")</f>
        <v>94.265460000000004</v>
      </c>
      <c r="H1845" s="42"/>
      <c r="I1845" s="38"/>
      <c r="J1845" s="37">
        <v>0</v>
      </c>
    </row>
    <row r="1846" spans="1:10" ht="25.5" hidden="1" x14ac:dyDescent="0.25">
      <c r="A1846" s="174"/>
      <c r="B1846" s="177"/>
      <c r="C1846" s="43" t="s">
        <v>10751</v>
      </c>
      <c r="D1846" s="43" t="s">
        <v>2800</v>
      </c>
      <c r="E1846" s="44">
        <v>3.87</v>
      </c>
      <c r="F1846" s="38">
        <v>32.784499999999994</v>
      </c>
      <c r="G1846" s="38">
        <f>IF(ISNUMBER(F1846),E1846*F1846,"")</f>
        <v>126.87601499999998</v>
      </c>
      <c r="H1846" s="42"/>
      <c r="I1846" s="38"/>
      <c r="J1846" s="37">
        <v>0</v>
      </c>
    </row>
    <row r="1847" spans="1:10" ht="15.75" hidden="1" thickBot="1" x14ac:dyDescent="0.3">
      <c r="A1847" s="175"/>
      <c r="B1847" s="178"/>
      <c r="C1847" s="49"/>
      <c r="D1847" s="49"/>
      <c r="E1847" s="50"/>
      <c r="F1847" s="51" t="s">
        <v>13</v>
      </c>
      <c r="G1847" s="51" t="str">
        <f>IF(ISNUMBER(F1847),E1847*F1847,"")</f>
        <v/>
      </c>
      <c r="H1847" s="53"/>
      <c r="I1847" s="38"/>
      <c r="J1847" s="37">
        <v>0</v>
      </c>
    </row>
    <row r="1848" spans="1:10" ht="15.75" hidden="1" thickBot="1" x14ac:dyDescent="0.3">
      <c r="A1848" s="173" t="s">
        <v>447</v>
      </c>
      <c r="B1848" s="176" t="s">
        <v>448</v>
      </c>
      <c r="C1848" s="31"/>
      <c r="D1848" s="32" t="s">
        <v>18</v>
      </c>
      <c r="E1848" s="33"/>
      <c r="F1848" s="54" t="s">
        <v>13</v>
      </c>
      <c r="G1848" s="34" t="str">
        <f>IF(ISNUMBER(F1848),E1848*F1848,"")</f>
        <v/>
      </c>
      <c r="H1848" s="35"/>
      <c r="I1848" s="36"/>
      <c r="J1848" s="37">
        <v>0</v>
      </c>
    </row>
    <row r="1849" spans="1:10" hidden="1" x14ac:dyDescent="0.25">
      <c r="A1849" s="174"/>
      <c r="B1849" s="177"/>
      <c r="C1849" s="39"/>
      <c r="D1849" s="39"/>
      <c r="E1849" s="40"/>
      <c r="F1849" s="55" t="s">
        <v>13</v>
      </c>
      <c r="G1849" s="38" t="str">
        <f>IF(ISNUMBER(F1849),E1849*F1849,"")</f>
        <v/>
      </c>
      <c r="H1849" s="42"/>
      <c r="I1849" s="38"/>
      <c r="J1849" s="37">
        <v>0</v>
      </c>
    </row>
    <row r="1850" spans="1:10" ht="38.25" hidden="1" x14ac:dyDescent="0.25">
      <c r="A1850" s="174"/>
      <c r="B1850" s="177"/>
      <c r="C1850" s="43" t="s">
        <v>10947</v>
      </c>
      <c r="D1850" s="43" t="s">
        <v>83</v>
      </c>
      <c r="E1850" s="44">
        <v>10</v>
      </c>
      <c r="F1850" s="41">
        <v>1.0734999999999999</v>
      </c>
      <c r="G1850" s="38">
        <f>IF(ISNUMBER(F1850),E1850*F1850,"")</f>
        <v>10.734999999999999</v>
      </c>
      <c r="H1850" s="46">
        <f>SUM(G1850:G1857)</f>
        <v>218.04877374999998</v>
      </c>
      <c r="I1850" s="47"/>
      <c r="J1850" s="37">
        <v>0</v>
      </c>
    </row>
    <row r="1851" spans="1:10" ht="38.25" hidden="1" x14ac:dyDescent="0.25">
      <c r="A1851" s="174"/>
      <c r="B1851" s="177"/>
      <c r="C1851" s="43" t="s">
        <v>10876</v>
      </c>
      <c r="D1851" s="43" t="s">
        <v>83</v>
      </c>
      <c r="E1851" s="44">
        <v>9</v>
      </c>
      <c r="F1851" s="38">
        <v>1.159</v>
      </c>
      <c r="G1851" s="38">
        <f>IF(ISNUMBER(F1851),E1851*F1851,"")</f>
        <v>10.431000000000001</v>
      </c>
      <c r="H1851" s="42"/>
      <c r="I1851" s="38"/>
      <c r="J1851" s="37">
        <v>0</v>
      </c>
    </row>
    <row r="1852" spans="1:10" ht="25.5" hidden="1" x14ac:dyDescent="0.25">
      <c r="A1852" s="174"/>
      <c r="B1852" s="177"/>
      <c r="C1852" s="43" t="s">
        <v>10954</v>
      </c>
      <c r="D1852" s="43" t="s">
        <v>83</v>
      </c>
      <c r="E1852" s="44">
        <v>6</v>
      </c>
      <c r="F1852" s="38">
        <v>1.0545</v>
      </c>
      <c r="G1852" s="38">
        <f>IF(ISNUMBER(F1852),E1852*F1852,"")</f>
        <v>6.327</v>
      </c>
      <c r="H1852" s="42"/>
      <c r="I1852" s="38"/>
      <c r="J1852" s="37">
        <v>0</v>
      </c>
    </row>
    <row r="1853" spans="1:10" ht="38.25" hidden="1" x14ac:dyDescent="0.25">
      <c r="A1853" s="174"/>
      <c r="B1853" s="177"/>
      <c r="C1853" s="43" t="s">
        <v>10949</v>
      </c>
      <c r="D1853" s="43" t="s">
        <v>83</v>
      </c>
      <c r="E1853" s="44">
        <v>4</v>
      </c>
      <c r="F1853" s="38">
        <v>0.38949999999999996</v>
      </c>
      <c r="G1853" s="38">
        <f>IF(ISNUMBER(F1853),E1853*F1853,"")</f>
        <v>1.5579999999999998</v>
      </c>
      <c r="H1853" s="42"/>
      <c r="I1853" s="38"/>
      <c r="J1853" s="37">
        <v>0</v>
      </c>
    </row>
    <row r="1854" spans="1:10" ht="25.5" hidden="1" x14ac:dyDescent="0.25">
      <c r="A1854" s="174"/>
      <c r="B1854" s="177"/>
      <c r="C1854" s="43" t="s">
        <v>10878</v>
      </c>
      <c r="D1854" s="43" t="s">
        <v>83</v>
      </c>
      <c r="E1854" s="44">
        <v>2</v>
      </c>
      <c r="F1854" s="38">
        <v>19.256499999999999</v>
      </c>
      <c r="G1854" s="38">
        <f>IF(ISNUMBER(F1854),E1854*F1854,"")</f>
        <v>38.512999999999998</v>
      </c>
      <c r="H1854" s="42"/>
      <c r="I1854" s="38"/>
      <c r="J1854" s="37">
        <v>0</v>
      </c>
    </row>
    <row r="1855" spans="1:10" hidden="1" x14ac:dyDescent="0.25">
      <c r="A1855" s="174"/>
      <c r="B1855" s="177"/>
      <c r="C1855" s="43" t="s">
        <v>448</v>
      </c>
      <c r="D1855" s="43" t="s">
        <v>83</v>
      </c>
      <c r="E1855" s="44">
        <v>1</v>
      </c>
      <c r="F1855" s="38" t="s">
        <v>13</v>
      </c>
      <c r="G1855" s="38" t="str">
        <f>IF(ISNUMBER(F1855),E1855*F1855,"")</f>
        <v/>
      </c>
      <c r="H1855" s="42"/>
      <c r="I1855" s="38"/>
      <c r="J1855" s="37">
        <v>0</v>
      </c>
    </row>
    <row r="1856" spans="1:10" hidden="1" x14ac:dyDescent="0.25">
      <c r="A1856" s="174"/>
      <c r="B1856" s="177"/>
      <c r="C1856" s="43" t="s">
        <v>10750</v>
      </c>
      <c r="D1856" s="43" t="s">
        <v>2800</v>
      </c>
      <c r="E1856" s="44">
        <v>2.6335000000000002</v>
      </c>
      <c r="F1856" s="38">
        <v>24.358000000000001</v>
      </c>
      <c r="G1856" s="38">
        <f>IF(ISNUMBER(F1856),E1856*F1856,"")</f>
        <v>64.146793000000002</v>
      </c>
      <c r="H1856" s="42"/>
      <c r="I1856" s="38"/>
      <c r="J1856" s="37">
        <v>0</v>
      </c>
    </row>
    <row r="1857" spans="1:10" ht="25.5" hidden="1" x14ac:dyDescent="0.25">
      <c r="A1857" s="174"/>
      <c r="B1857" s="177"/>
      <c r="C1857" s="43" t="s">
        <v>10751</v>
      </c>
      <c r="D1857" s="43" t="s">
        <v>2800</v>
      </c>
      <c r="E1857" s="44">
        <v>2.6335000000000002</v>
      </c>
      <c r="F1857" s="38">
        <v>32.784499999999994</v>
      </c>
      <c r="G1857" s="38">
        <f>IF(ISNUMBER(F1857),E1857*F1857,"")</f>
        <v>86.337980749999986</v>
      </c>
      <c r="H1857" s="42"/>
      <c r="I1857" s="38"/>
      <c r="J1857" s="37">
        <v>0</v>
      </c>
    </row>
    <row r="1858" spans="1:10" ht="15.75" hidden="1" thickBot="1" x14ac:dyDescent="0.3">
      <c r="A1858" s="175"/>
      <c r="B1858" s="178"/>
      <c r="C1858" s="49"/>
      <c r="D1858" s="49"/>
      <c r="E1858" s="50"/>
      <c r="F1858" s="51" t="s">
        <v>13</v>
      </c>
      <c r="G1858" s="51" t="str">
        <f>IF(ISNUMBER(F1858),E1858*F1858,"")</f>
        <v/>
      </c>
      <c r="H1858" s="53"/>
      <c r="I1858" s="38"/>
      <c r="J1858" s="37">
        <v>0</v>
      </c>
    </row>
    <row r="1859" spans="1:10" ht="15.75" hidden="1" thickBot="1" x14ac:dyDescent="0.3">
      <c r="A1859" s="173" t="s">
        <v>449</v>
      </c>
      <c r="B1859" s="176" t="s">
        <v>450</v>
      </c>
      <c r="C1859" s="31"/>
      <c r="D1859" s="32" t="s">
        <v>18</v>
      </c>
      <c r="E1859" s="33"/>
      <c r="F1859" s="54" t="s">
        <v>13</v>
      </c>
      <c r="G1859" s="34" t="str">
        <f>IF(ISNUMBER(F1859),E1859*F1859,"")</f>
        <v/>
      </c>
      <c r="H1859" s="35"/>
      <c r="I1859" s="36"/>
      <c r="J1859" s="37">
        <v>0</v>
      </c>
    </row>
    <row r="1860" spans="1:10" hidden="1" x14ac:dyDescent="0.25">
      <c r="A1860" s="174"/>
      <c r="B1860" s="177"/>
      <c r="C1860" s="39"/>
      <c r="D1860" s="39"/>
      <c r="E1860" s="40"/>
      <c r="F1860" s="55" t="s">
        <v>13</v>
      </c>
      <c r="G1860" s="38" t="str">
        <f>IF(ISNUMBER(F1860),E1860*F1860,"")</f>
        <v/>
      </c>
      <c r="H1860" s="42"/>
      <c r="I1860" s="38"/>
      <c r="J1860" s="37">
        <v>0</v>
      </c>
    </row>
    <row r="1861" spans="1:10" ht="38.25" hidden="1" x14ac:dyDescent="0.25">
      <c r="A1861" s="174"/>
      <c r="B1861" s="177"/>
      <c r="C1861" s="43" t="s">
        <v>10947</v>
      </c>
      <c r="D1861" s="43" t="s">
        <v>83</v>
      </c>
      <c r="E1861" s="44">
        <v>10</v>
      </c>
      <c r="F1861" s="41">
        <v>1.0734999999999999</v>
      </c>
      <c r="G1861" s="38">
        <f>IF(ISNUMBER(F1861),E1861*F1861,"")</f>
        <v>10.734999999999999</v>
      </c>
      <c r="H1861" s="46">
        <f>SUM(G1861:G1868)</f>
        <v>200.90030949999999</v>
      </c>
      <c r="I1861" s="47"/>
      <c r="J1861" s="37">
        <v>0</v>
      </c>
    </row>
    <row r="1862" spans="1:10" ht="38.25" hidden="1" x14ac:dyDescent="0.25">
      <c r="A1862" s="174"/>
      <c r="B1862" s="177"/>
      <c r="C1862" s="43" t="s">
        <v>10876</v>
      </c>
      <c r="D1862" s="43" t="s">
        <v>83</v>
      </c>
      <c r="E1862" s="44">
        <v>9</v>
      </c>
      <c r="F1862" s="38">
        <v>1.159</v>
      </c>
      <c r="G1862" s="38">
        <f>IF(ISNUMBER(F1862),E1862*F1862,"")</f>
        <v>10.431000000000001</v>
      </c>
      <c r="H1862" s="42"/>
      <c r="I1862" s="38"/>
      <c r="J1862" s="37">
        <v>0</v>
      </c>
    </row>
    <row r="1863" spans="1:10" ht="25.5" hidden="1" x14ac:dyDescent="0.25">
      <c r="A1863" s="174"/>
      <c r="B1863" s="177"/>
      <c r="C1863" s="43" t="s">
        <v>10954</v>
      </c>
      <c r="D1863" s="43" t="s">
        <v>83</v>
      </c>
      <c r="E1863" s="44">
        <v>6</v>
      </c>
      <c r="F1863" s="38">
        <v>1.0545</v>
      </c>
      <c r="G1863" s="38">
        <f>IF(ISNUMBER(F1863),E1863*F1863,"")</f>
        <v>6.327</v>
      </c>
      <c r="H1863" s="42"/>
      <c r="I1863" s="38"/>
      <c r="J1863" s="37">
        <v>0</v>
      </c>
    </row>
    <row r="1864" spans="1:10" ht="38.25" hidden="1" x14ac:dyDescent="0.25">
      <c r="A1864" s="174"/>
      <c r="B1864" s="177"/>
      <c r="C1864" s="43" t="s">
        <v>10949</v>
      </c>
      <c r="D1864" s="43" t="s">
        <v>83</v>
      </c>
      <c r="E1864" s="44">
        <v>4</v>
      </c>
      <c r="F1864" s="38">
        <v>0.38949999999999996</v>
      </c>
      <c r="G1864" s="38">
        <f>IF(ISNUMBER(F1864),E1864*F1864,"")</f>
        <v>1.5579999999999998</v>
      </c>
      <c r="H1864" s="42"/>
      <c r="I1864" s="38"/>
      <c r="J1864" s="37">
        <v>0</v>
      </c>
    </row>
    <row r="1865" spans="1:10" ht="25.5" hidden="1" x14ac:dyDescent="0.25">
      <c r="A1865" s="174"/>
      <c r="B1865" s="177"/>
      <c r="C1865" s="43" t="s">
        <v>10878</v>
      </c>
      <c r="D1865" s="43" t="s">
        <v>83</v>
      </c>
      <c r="E1865" s="44">
        <v>2</v>
      </c>
      <c r="F1865" s="38">
        <v>19.256499999999999</v>
      </c>
      <c r="G1865" s="38">
        <f>IF(ISNUMBER(F1865),E1865*F1865,"")</f>
        <v>38.512999999999998</v>
      </c>
      <c r="H1865" s="42"/>
      <c r="I1865" s="38"/>
      <c r="J1865" s="37">
        <v>0</v>
      </c>
    </row>
    <row r="1866" spans="1:10" hidden="1" x14ac:dyDescent="0.25">
      <c r="A1866" s="174"/>
      <c r="B1866" s="177"/>
      <c r="C1866" s="43" t="s">
        <v>450</v>
      </c>
      <c r="D1866" s="43" t="s">
        <v>83</v>
      </c>
      <c r="E1866" s="44">
        <v>1</v>
      </c>
      <c r="F1866" s="38" t="s">
        <v>13</v>
      </c>
      <c r="G1866" s="38" t="str">
        <f>IF(ISNUMBER(F1866),E1866*F1866,"")</f>
        <v/>
      </c>
      <c r="H1866" s="42"/>
      <c r="I1866" s="38"/>
      <c r="J1866" s="37">
        <v>0</v>
      </c>
    </row>
    <row r="1867" spans="1:10" hidden="1" x14ac:dyDescent="0.25">
      <c r="A1867" s="174"/>
      <c r="B1867" s="177"/>
      <c r="C1867" s="43" t="s">
        <v>10750</v>
      </c>
      <c r="D1867" s="43" t="s">
        <v>2800</v>
      </c>
      <c r="E1867" s="44">
        <v>2.3334000000000001</v>
      </c>
      <c r="F1867" s="38">
        <v>24.358000000000001</v>
      </c>
      <c r="G1867" s="38">
        <f>IF(ISNUMBER(F1867),E1867*F1867,"")</f>
        <v>56.836957200000008</v>
      </c>
      <c r="H1867" s="42"/>
      <c r="I1867" s="38"/>
      <c r="J1867" s="37">
        <v>0</v>
      </c>
    </row>
    <row r="1868" spans="1:10" ht="25.5" hidden="1" x14ac:dyDescent="0.25">
      <c r="A1868" s="174"/>
      <c r="B1868" s="177"/>
      <c r="C1868" s="43" t="s">
        <v>10751</v>
      </c>
      <c r="D1868" s="43" t="s">
        <v>2800</v>
      </c>
      <c r="E1868" s="44">
        <v>2.3334000000000001</v>
      </c>
      <c r="F1868" s="38">
        <v>32.784499999999994</v>
      </c>
      <c r="G1868" s="38">
        <f>IF(ISNUMBER(F1868),E1868*F1868,"")</f>
        <v>76.499352299999984</v>
      </c>
      <c r="H1868" s="42"/>
      <c r="I1868" s="38"/>
      <c r="J1868" s="37">
        <v>0</v>
      </c>
    </row>
    <row r="1869" spans="1:10" ht="15.75" hidden="1" thickBot="1" x14ac:dyDescent="0.3">
      <c r="A1869" s="175"/>
      <c r="B1869" s="178"/>
      <c r="C1869" s="49"/>
      <c r="D1869" s="49"/>
      <c r="E1869" s="50"/>
      <c r="F1869" s="51" t="s">
        <v>13</v>
      </c>
      <c r="G1869" s="51" t="str">
        <f>IF(ISNUMBER(F1869),E1869*F1869,"")</f>
        <v/>
      </c>
      <c r="H1869" s="53"/>
      <c r="I1869" s="38"/>
      <c r="J1869" s="37">
        <v>0</v>
      </c>
    </row>
    <row r="1870" spans="1:10" ht="15.75" hidden="1" thickBot="1" x14ac:dyDescent="0.3">
      <c r="A1870" s="173" t="s">
        <v>451</v>
      </c>
      <c r="B1870" s="176" t="s">
        <v>3291</v>
      </c>
      <c r="C1870" s="31"/>
      <c r="D1870" s="32" t="s">
        <v>18</v>
      </c>
      <c r="E1870" s="33"/>
      <c r="F1870" s="54" t="s">
        <v>13</v>
      </c>
      <c r="G1870" s="34" t="str">
        <f>IF(ISNUMBER(F1870),E1870*F1870,"")</f>
        <v/>
      </c>
      <c r="H1870" s="35"/>
      <c r="I1870" s="36"/>
      <c r="J1870" s="37">
        <v>0</v>
      </c>
    </row>
    <row r="1871" spans="1:10" hidden="1" x14ac:dyDescent="0.25">
      <c r="A1871" s="174"/>
      <c r="B1871" s="177"/>
      <c r="C1871" s="39"/>
      <c r="D1871" s="39"/>
      <c r="E1871" s="40"/>
      <c r="F1871" s="55" t="s">
        <v>13</v>
      </c>
      <c r="G1871" s="38" t="str">
        <f>IF(ISNUMBER(F1871),E1871*F1871,"")</f>
        <v/>
      </c>
      <c r="H1871" s="42"/>
      <c r="I1871" s="38"/>
      <c r="J1871" s="37">
        <v>0</v>
      </c>
    </row>
    <row r="1872" spans="1:10" ht="38.25" hidden="1" x14ac:dyDescent="0.25">
      <c r="A1872" s="174"/>
      <c r="B1872" s="177"/>
      <c r="C1872" s="43" t="s">
        <v>10947</v>
      </c>
      <c r="D1872" s="43" t="s">
        <v>83</v>
      </c>
      <c r="E1872" s="44">
        <v>10</v>
      </c>
      <c r="F1872" s="41">
        <v>1.0734999999999999</v>
      </c>
      <c r="G1872" s="38">
        <f>IF(ISNUMBER(F1872),E1872*F1872,"")</f>
        <v>10.734999999999999</v>
      </c>
      <c r="H1872" s="46">
        <f>SUM(G1872:G1879)</f>
        <v>218.04877374999998</v>
      </c>
      <c r="I1872" s="47"/>
      <c r="J1872" s="37">
        <v>0</v>
      </c>
    </row>
    <row r="1873" spans="1:10" ht="38.25" hidden="1" x14ac:dyDescent="0.25">
      <c r="A1873" s="174"/>
      <c r="B1873" s="177"/>
      <c r="C1873" s="43" t="s">
        <v>10876</v>
      </c>
      <c r="D1873" s="43" t="s">
        <v>83</v>
      </c>
      <c r="E1873" s="44">
        <v>9</v>
      </c>
      <c r="F1873" s="38">
        <v>1.159</v>
      </c>
      <c r="G1873" s="38">
        <f>IF(ISNUMBER(F1873),E1873*F1873,"")</f>
        <v>10.431000000000001</v>
      </c>
      <c r="H1873" s="42"/>
      <c r="I1873" s="38"/>
      <c r="J1873" s="37">
        <v>0</v>
      </c>
    </row>
    <row r="1874" spans="1:10" ht="25.5" hidden="1" x14ac:dyDescent="0.25">
      <c r="A1874" s="174"/>
      <c r="B1874" s="177"/>
      <c r="C1874" s="43" t="s">
        <v>10954</v>
      </c>
      <c r="D1874" s="43" t="s">
        <v>83</v>
      </c>
      <c r="E1874" s="44">
        <v>6</v>
      </c>
      <c r="F1874" s="38">
        <v>1.0545</v>
      </c>
      <c r="G1874" s="38">
        <f>IF(ISNUMBER(F1874),E1874*F1874,"")</f>
        <v>6.327</v>
      </c>
      <c r="H1874" s="42"/>
      <c r="I1874" s="38"/>
      <c r="J1874" s="37">
        <v>0</v>
      </c>
    </row>
    <row r="1875" spans="1:10" ht="38.25" hidden="1" x14ac:dyDescent="0.25">
      <c r="A1875" s="174"/>
      <c r="B1875" s="177"/>
      <c r="C1875" s="43" t="s">
        <v>10949</v>
      </c>
      <c r="D1875" s="43" t="s">
        <v>83</v>
      </c>
      <c r="E1875" s="44">
        <v>4</v>
      </c>
      <c r="F1875" s="38">
        <v>0.38949999999999996</v>
      </c>
      <c r="G1875" s="38">
        <f>IF(ISNUMBER(F1875),E1875*F1875,"")</f>
        <v>1.5579999999999998</v>
      </c>
      <c r="H1875" s="42"/>
      <c r="I1875" s="38"/>
      <c r="J1875" s="37">
        <v>0</v>
      </c>
    </row>
    <row r="1876" spans="1:10" ht="25.5" hidden="1" x14ac:dyDescent="0.25">
      <c r="A1876" s="174"/>
      <c r="B1876" s="177"/>
      <c r="C1876" s="43" t="s">
        <v>10878</v>
      </c>
      <c r="D1876" s="43" t="s">
        <v>83</v>
      </c>
      <c r="E1876" s="44">
        <v>2</v>
      </c>
      <c r="F1876" s="38">
        <v>19.256499999999999</v>
      </c>
      <c r="G1876" s="38">
        <f>IF(ISNUMBER(F1876),E1876*F1876,"")</f>
        <v>38.512999999999998</v>
      </c>
      <c r="H1876" s="42"/>
      <c r="I1876" s="38"/>
      <c r="J1876" s="37">
        <v>0</v>
      </c>
    </row>
    <row r="1877" spans="1:10" hidden="1" x14ac:dyDescent="0.25">
      <c r="A1877" s="174"/>
      <c r="B1877" s="177"/>
      <c r="C1877" s="43" t="s">
        <v>452</v>
      </c>
      <c r="D1877" s="43" t="s">
        <v>83</v>
      </c>
      <c r="E1877" s="44">
        <v>1</v>
      </c>
      <c r="F1877" s="38" t="s">
        <v>13</v>
      </c>
      <c r="G1877" s="38" t="str">
        <f>IF(ISNUMBER(F1877),E1877*F1877,"")</f>
        <v/>
      </c>
      <c r="H1877" s="42"/>
      <c r="I1877" s="38"/>
      <c r="J1877" s="37">
        <v>0</v>
      </c>
    </row>
    <row r="1878" spans="1:10" hidden="1" x14ac:dyDescent="0.25">
      <c r="A1878" s="174"/>
      <c r="B1878" s="177"/>
      <c r="C1878" s="43" t="s">
        <v>10750</v>
      </c>
      <c r="D1878" s="43" t="s">
        <v>2800</v>
      </c>
      <c r="E1878" s="44">
        <v>2.6335000000000002</v>
      </c>
      <c r="F1878" s="38">
        <v>24.358000000000001</v>
      </c>
      <c r="G1878" s="38">
        <f>IF(ISNUMBER(F1878),E1878*F1878,"")</f>
        <v>64.146793000000002</v>
      </c>
      <c r="H1878" s="42"/>
      <c r="I1878" s="38"/>
      <c r="J1878" s="37">
        <v>0</v>
      </c>
    </row>
    <row r="1879" spans="1:10" ht="25.5" hidden="1" x14ac:dyDescent="0.25">
      <c r="A1879" s="174"/>
      <c r="B1879" s="177"/>
      <c r="C1879" s="43" t="s">
        <v>10751</v>
      </c>
      <c r="D1879" s="43" t="s">
        <v>2800</v>
      </c>
      <c r="E1879" s="44">
        <v>2.6335000000000002</v>
      </c>
      <c r="F1879" s="38">
        <v>32.784499999999994</v>
      </c>
      <c r="G1879" s="38">
        <f>IF(ISNUMBER(F1879),E1879*F1879,"")</f>
        <v>86.337980749999986</v>
      </c>
      <c r="H1879" s="42"/>
      <c r="I1879" s="38"/>
      <c r="J1879" s="37">
        <v>0</v>
      </c>
    </row>
    <row r="1880" spans="1:10" ht="15.75" hidden="1" thickBot="1" x14ac:dyDescent="0.3">
      <c r="A1880" s="175"/>
      <c r="B1880" s="178"/>
      <c r="C1880" s="49"/>
      <c r="D1880" s="49"/>
      <c r="E1880" s="50"/>
      <c r="F1880" s="51" t="s">
        <v>13</v>
      </c>
      <c r="G1880" s="51" t="str">
        <f>IF(ISNUMBER(F1880),E1880*F1880,"")</f>
        <v/>
      </c>
      <c r="H1880" s="53"/>
      <c r="I1880" s="38"/>
      <c r="J1880" s="37">
        <v>0</v>
      </c>
    </row>
    <row r="1881" spans="1:10" ht="15.75" hidden="1" thickBot="1" x14ac:dyDescent="0.3">
      <c r="A1881" s="173" t="s">
        <v>453</v>
      </c>
      <c r="B1881" s="176" t="s">
        <v>3292</v>
      </c>
      <c r="C1881" s="31"/>
      <c r="D1881" s="32" t="s">
        <v>18</v>
      </c>
      <c r="E1881" s="33"/>
      <c r="F1881" s="54" t="s">
        <v>13</v>
      </c>
      <c r="G1881" s="34" t="str">
        <f>IF(ISNUMBER(F1881),E1881*F1881,"")</f>
        <v/>
      </c>
      <c r="H1881" s="35"/>
      <c r="I1881" s="36"/>
      <c r="J1881" s="37">
        <v>0</v>
      </c>
    </row>
    <row r="1882" spans="1:10" hidden="1" x14ac:dyDescent="0.25">
      <c r="A1882" s="174"/>
      <c r="B1882" s="177"/>
      <c r="C1882" s="39"/>
      <c r="D1882" s="39"/>
      <c r="E1882" s="40"/>
      <c r="F1882" s="55" t="s">
        <v>13</v>
      </c>
      <c r="G1882" s="38" t="str">
        <f>IF(ISNUMBER(F1882),E1882*F1882,"")</f>
        <v/>
      </c>
      <c r="H1882" s="42"/>
      <c r="I1882" s="38"/>
      <c r="J1882" s="37">
        <v>0</v>
      </c>
    </row>
    <row r="1883" spans="1:10" ht="25.5" hidden="1" x14ac:dyDescent="0.25">
      <c r="A1883" s="174"/>
      <c r="B1883" s="177"/>
      <c r="C1883" s="43" t="s">
        <v>10829</v>
      </c>
      <c r="D1883" s="43" t="s">
        <v>2800</v>
      </c>
      <c r="E1883" s="44">
        <v>2</v>
      </c>
      <c r="F1883" s="38">
        <v>24.4435</v>
      </c>
      <c r="G1883" s="41">
        <f>IF(ISNUMBER(F1883),E1883*F1883,"")</f>
        <v>48.887</v>
      </c>
      <c r="H1883" s="46">
        <f>SUM(G1883:G1884)</f>
        <v>103.512</v>
      </c>
      <c r="I1883" s="47"/>
      <c r="J1883" s="37">
        <v>0</v>
      </c>
    </row>
    <row r="1884" spans="1:10" ht="25.5" hidden="1" x14ac:dyDescent="0.25">
      <c r="A1884" s="174"/>
      <c r="B1884" s="177"/>
      <c r="C1884" s="43" t="s">
        <v>10832</v>
      </c>
      <c r="D1884" s="43" t="s">
        <v>2800</v>
      </c>
      <c r="E1884" s="44">
        <v>2</v>
      </c>
      <c r="F1884" s="38">
        <v>27.3125</v>
      </c>
      <c r="G1884" s="38">
        <f>IF(ISNUMBER(F1884),E1884*F1884,"")</f>
        <v>54.625</v>
      </c>
      <c r="H1884" s="42"/>
      <c r="I1884" s="38"/>
      <c r="J1884" s="37">
        <v>0</v>
      </c>
    </row>
    <row r="1885" spans="1:10" ht="15.75" hidden="1" thickBot="1" x14ac:dyDescent="0.3">
      <c r="A1885" s="175"/>
      <c r="B1885" s="178"/>
      <c r="C1885" s="49"/>
      <c r="D1885" s="49"/>
      <c r="E1885" s="50"/>
      <c r="F1885" s="51" t="s">
        <v>13</v>
      </c>
      <c r="G1885" s="51" t="str">
        <f>IF(ISNUMBER(F1885),E1885*F1885,"")</f>
        <v/>
      </c>
      <c r="H1885" s="53"/>
      <c r="I1885" s="38"/>
      <c r="J1885" s="37">
        <v>0</v>
      </c>
    </row>
    <row r="1886" spans="1:10" ht="15.75" hidden="1" thickBot="1" x14ac:dyDescent="0.3">
      <c r="A1886" s="173" t="s">
        <v>454</v>
      </c>
      <c r="B1886" s="176" t="s">
        <v>3293</v>
      </c>
      <c r="C1886" s="31"/>
      <c r="D1886" s="32" t="s">
        <v>18</v>
      </c>
      <c r="E1886" s="33"/>
      <c r="F1886" s="54" t="s">
        <v>13</v>
      </c>
      <c r="G1886" s="34" t="str">
        <f>IF(ISNUMBER(F1886),E1886*F1886,"")</f>
        <v/>
      </c>
      <c r="H1886" s="35"/>
      <c r="I1886" s="36"/>
      <c r="J1886" s="37">
        <v>0</v>
      </c>
    </row>
    <row r="1887" spans="1:10" hidden="1" x14ac:dyDescent="0.25">
      <c r="A1887" s="174"/>
      <c r="B1887" s="177"/>
      <c r="C1887" s="39"/>
      <c r="D1887" s="39"/>
      <c r="E1887" s="40"/>
      <c r="F1887" s="55" t="s">
        <v>13</v>
      </c>
      <c r="G1887" s="38" t="str">
        <f>IF(ISNUMBER(F1887),E1887*F1887,"")</f>
        <v/>
      </c>
      <c r="H1887" s="42"/>
      <c r="I1887" s="38"/>
      <c r="J1887" s="37">
        <v>0</v>
      </c>
    </row>
    <row r="1888" spans="1:10" ht="25.5" hidden="1" x14ac:dyDescent="0.25">
      <c r="A1888" s="174"/>
      <c r="B1888" s="177"/>
      <c r="C1888" s="43" t="s">
        <v>10829</v>
      </c>
      <c r="D1888" s="43" t="s">
        <v>2800</v>
      </c>
      <c r="E1888" s="44">
        <v>3</v>
      </c>
      <c r="F1888" s="38">
        <v>24.4435</v>
      </c>
      <c r="G1888" s="41">
        <f>IF(ISNUMBER(F1888),E1888*F1888,"")</f>
        <v>73.330500000000001</v>
      </c>
      <c r="H1888" s="46">
        <f>SUM(G1888:G1889)</f>
        <v>155.268</v>
      </c>
      <c r="I1888" s="47"/>
      <c r="J1888" s="37">
        <v>0</v>
      </c>
    </row>
    <row r="1889" spans="1:10" ht="25.5" hidden="1" x14ac:dyDescent="0.25">
      <c r="A1889" s="174"/>
      <c r="B1889" s="177"/>
      <c r="C1889" s="43" t="s">
        <v>10832</v>
      </c>
      <c r="D1889" s="43" t="s">
        <v>2800</v>
      </c>
      <c r="E1889" s="44">
        <v>3</v>
      </c>
      <c r="F1889" s="38">
        <v>27.3125</v>
      </c>
      <c r="G1889" s="38">
        <f>IF(ISNUMBER(F1889),E1889*F1889,"")</f>
        <v>81.9375</v>
      </c>
      <c r="H1889" s="42"/>
      <c r="I1889" s="38"/>
      <c r="J1889" s="37">
        <v>0</v>
      </c>
    </row>
    <row r="1890" spans="1:10" ht="15.75" hidden="1" thickBot="1" x14ac:dyDescent="0.3">
      <c r="A1890" s="175"/>
      <c r="B1890" s="178"/>
      <c r="C1890" s="49"/>
      <c r="D1890" s="49"/>
      <c r="E1890" s="50"/>
      <c r="F1890" s="51" t="s">
        <v>13</v>
      </c>
      <c r="G1890" s="51" t="str">
        <f>IF(ISNUMBER(F1890),E1890*F1890,"")</f>
        <v/>
      </c>
      <c r="H1890" s="53"/>
      <c r="I1890" s="38"/>
      <c r="J1890" s="37">
        <v>0</v>
      </c>
    </row>
    <row r="1891" spans="1:10" ht="15.75" hidden="1" thickBot="1" x14ac:dyDescent="0.3">
      <c r="A1891" s="173" t="s">
        <v>455</v>
      </c>
      <c r="B1891" s="176" t="s">
        <v>3294</v>
      </c>
      <c r="C1891" s="31"/>
      <c r="D1891" s="32" t="s">
        <v>18</v>
      </c>
      <c r="E1891" s="33"/>
      <c r="F1891" s="54" t="s">
        <v>13</v>
      </c>
      <c r="G1891" s="34" t="str">
        <f>IF(ISNUMBER(F1891),E1891*F1891,"")</f>
        <v/>
      </c>
      <c r="H1891" s="35"/>
      <c r="I1891" s="36"/>
      <c r="J1891" s="37">
        <v>0</v>
      </c>
    </row>
    <row r="1892" spans="1:10" hidden="1" x14ac:dyDescent="0.25">
      <c r="A1892" s="174"/>
      <c r="B1892" s="177"/>
      <c r="C1892" s="39"/>
      <c r="D1892" s="39"/>
      <c r="E1892" s="40"/>
      <c r="F1892" s="55" t="s">
        <v>13</v>
      </c>
      <c r="G1892" s="38" t="str">
        <f>IF(ISNUMBER(F1892),E1892*F1892,"")</f>
        <v/>
      </c>
      <c r="H1892" s="42"/>
      <c r="I1892" s="38"/>
      <c r="J1892" s="37">
        <v>0</v>
      </c>
    </row>
    <row r="1893" spans="1:10" hidden="1" x14ac:dyDescent="0.25">
      <c r="A1893" s="174"/>
      <c r="B1893" s="177"/>
      <c r="C1893" s="43" t="s">
        <v>10763</v>
      </c>
      <c r="D1893" s="43" t="s">
        <v>2800</v>
      </c>
      <c r="E1893" s="44">
        <v>1</v>
      </c>
      <c r="F1893" s="38">
        <v>31.435500000000001</v>
      </c>
      <c r="G1893" s="41">
        <f>IF(ISNUMBER(F1893),E1893*F1893,"")</f>
        <v>31.435500000000001</v>
      </c>
      <c r="H1893" s="46">
        <f>SUM(G1893:G1895)</f>
        <v>56.3825</v>
      </c>
      <c r="I1893" s="47"/>
      <c r="J1893" s="37">
        <v>0</v>
      </c>
    </row>
    <row r="1894" spans="1:10" hidden="1" x14ac:dyDescent="0.25">
      <c r="A1894" s="174"/>
      <c r="B1894" s="177"/>
      <c r="C1894" s="43" t="s">
        <v>10762</v>
      </c>
      <c r="D1894" s="43" t="s">
        <v>2800</v>
      </c>
      <c r="E1894" s="44">
        <v>1</v>
      </c>
      <c r="F1894" s="38">
        <v>24.946999999999999</v>
      </c>
      <c r="G1894" s="41">
        <f>IF(ISNUMBER(F1894),E1894*F1894,"")</f>
        <v>24.946999999999999</v>
      </c>
      <c r="H1894" s="42"/>
      <c r="I1894" s="38"/>
      <c r="J1894" s="37">
        <v>0</v>
      </c>
    </row>
    <row r="1895" spans="1:10" ht="25.5" hidden="1" x14ac:dyDescent="0.25">
      <c r="A1895" s="174"/>
      <c r="B1895" s="177"/>
      <c r="C1895" s="43" t="s">
        <v>456</v>
      </c>
      <c r="D1895" s="43" t="s">
        <v>87</v>
      </c>
      <c r="E1895" s="44">
        <v>1</v>
      </c>
      <c r="F1895" s="41" t="s">
        <v>13</v>
      </c>
      <c r="G1895" s="41" t="str">
        <f>IF(ISNUMBER(F1895),E1895*F1895,"")</f>
        <v/>
      </c>
      <c r="H1895" s="42"/>
      <c r="I1895" s="38"/>
      <c r="J1895" s="37">
        <v>0</v>
      </c>
    </row>
    <row r="1896" spans="1:10" ht="15.75" hidden="1" thickBot="1" x14ac:dyDescent="0.3">
      <c r="A1896" s="175"/>
      <c r="B1896" s="178"/>
      <c r="C1896" s="49"/>
      <c r="D1896" s="49"/>
      <c r="E1896" s="50"/>
      <c r="F1896" s="51" t="s">
        <v>13</v>
      </c>
      <c r="G1896" s="51" t="str">
        <f>IF(ISNUMBER(F1896),E1896*F1896,"")</f>
        <v/>
      </c>
      <c r="H1896" s="53"/>
      <c r="I1896" s="38"/>
      <c r="J1896" s="37">
        <v>0</v>
      </c>
    </row>
    <row r="1897" spans="1:10" ht="15.75" hidden="1" thickBot="1" x14ac:dyDescent="0.3">
      <c r="A1897" s="173" t="s">
        <v>457</v>
      </c>
      <c r="B1897" s="176" t="s">
        <v>3295</v>
      </c>
      <c r="C1897" s="31"/>
      <c r="D1897" s="32" t="s">
        <v>18</v>
      </c>
      <c r="E1897" s="33"/>
      <c r="F1897" s="54" t="s">
        <v>13</v>
      </c>
      <c r="G1897" s="34" t="str">
        <f>IF(ISNUMBER(F1897),E1897*F1897,"")</f>
        <v/>
      </c>
      <c r="H1897" s="35"/>
      <c r="I1897" s="36"/>
      <c r="J1897" s="37">
        <v>0</v>
      </c>
    </row>
    <row r="1898" spans="1:10" hidden="1" x14ac:dyDescent="0.25">
      <c r="A1898" s="174"/>
      <c r="B1898" s="177"/>
      <c r="C1898" s="39"/>
      <c r="D1898" s="39"/>
      <c r="E1898" s="40"/>
      <c r="F1898" s="55" t="s">
        <v>13</v>
      </c>
      <c r="G1898" s="38" t="str">
        <f>IF(ISNUMBER(F1898),E1898*F1898,"")</f>
        <v/>
      </c>
      <c r="H1898" s="42"/>
      <c r="I1898" s="38"/>
      <c r="J1898" s="37">
        <v>0</v>
      </c>
    </row>
    <row r="1899" spans="1:10" hidden="1" x14ac:dyDescent="0.25">
      <c r="A1899" s="174"/>
      <c r="B1899" s="177"/>
      <c r="C1899" s="43" t="s">
        <v>10763</v>
      </c>
      <c r="D1899" s="43" t="s">
        <v>2800</v>
      </c>
      <c r="E1899" s="44">
        <v>1</v>
      </c>
      <c r="F1899" s="38">
        <v>31.435500000000001</v>
      </c>
      <c r="G1899" s="41">
        <f>IF(ISNUMBER(F1899),E1899*F1899,"")</f>
        <v>31.435500000000001</v>
      </c>
      <c r="H1899" s="46">
        <f>SUM(G1899:G1901)</f>
        <v>56.3825</v>
      </c>
      <c r="I1899" s="47"/>
      <c r="J1899" s="37">
        <v>0</v>
      </c>
    </row>
    <row r="1900" spans="1:10" hidden="1" x14ac:dyDescent="0.25">
      <c r="A1900" s="174"/>
      <c r="B1900" s="177"/>
      <c r="C1900" s="43" t="s">
        <v>10762</v>
      </c>
      <c r="D1900" s="43" t="s">
        <v>2800</v>
      </c>
      <c r="E1900" s="44">
        <v>1</v>
      </c>
      <c r="F1900" s="38">
        <v>24.946999999999999</v>
      </c>
      <c r="G1900" s="41">
        <f>IF(ISNUMBER(F1900),E1900*F1900,"")</f>
        <v>24.946999999999999</v>
      </c>
      <c r="H1900" s="42"/>
      <c r="I1900" s="38"/>
      <c r="J1900" s="37">
        <v>0</v>
      </c>
    </row>
    <row r="1901" spans="1:10" ht="25.5" hidden="1" x14ac:dyDescent="0.25">
      <c r="A1901" s="174"/>
      <c r="B1901" s="177"/>
      <c r="C1901" s="43" t="s">
        <v>458</v>
      </c>
      <c r="D1901" s="43" t="s">
        <v>87</v>
      </c>
      <c r="E1901" s="44">
        <v>1</v>
      </c>
      <c r="F1901" s="41" t="s">
        <v>13</v>
      </c>
      <c r="G1901" s="41" t="str">
        <f>IF(ISNUMBER(F1901),E1901*F1901,"")</f>
        <v/>
      </c>
      <c r="H1901" s="42"/>
      <c r="I1901" s="38"/>
      <c r="J1901" s="37">
        <v>0</v>
      </c>
    </row>
    <row r="1902" spans="1:10" ht="15.75" hidden="1" thickBot="1" x14ac:dyDescent="0.3">
      <c r="A1902" s="175"/>
      <c r="B1902" s="178"/>
      <c r="C1902" s="49"/>
      <c r="D1902" s="49"/>
      <c r="E1902" s="50"/>
      <c r="F1902" s="51" t="s">
        <v>13</v>
      </c>
      <c r="G1902" s="51" t="str">
        <f>IF(ISNUMBER(F1902),E1902*F1902,"")</f>
        <v/>
      </c>
      <c r="H1902" s="53"/>
      <c r="I1902" s="38"/>
      <c r="J1902" s="37">
        <v>0</v>
      </c>
    </row>
    <row r="1903" spans="1:10" ht="15.75" hidden="1" thickBot="1" x14ac:dyDescent="0.3">
      <c r="A1903" s="173" t="s">
        <v>459</v>
      </c>
      <c r="B1903" s="176" t="s">
        <v>3296</v>
      </c>
      <c r="C1903" s="31"/>
      <c r="D1903" s="32" t="s">
        <v>68</v>
      </c>
      <c r="E1903" s="33"/>
      <c r="F1903" s="54" t="s">
        <v>13</v>
      </c>
      <c r="G1903" s="34" t="str">
        <f>IF(ISNUMBER(F1903),E1903*F1903,"")</f>
        <v/>
      </c>
      <c r="H1903" s="35"/>
      <c r="I1903" s="36"/>
      <c r="J1903" s="37">
        <v>0</v>
      </c>
    </row>
    <row r="1904" spans="1:10" hidden="1" x14ac:dyDescent="0.25">
      <c r="A1904" s="174"/>
      <c r="B1904" s="177"/>
      <c r="C1904" s="39"/>
      <c r="D1904" s="39"/>
      <c r="E1904" s="40"/>
      <c r="F1904" s="55" t="s">
        <v>13</v>
      </c>
      <c r="G1904" s="38" t="str">
        <f>IF(ISNUMBER(F1904),E1904*F1904,"")</f>
        <v/>
      </c>
      <c r="H1904" s="42"/>
      <c r="I1904" s="38"/>
      <c r="J1904" s="37">
        <v>0</v>
      </c>
    </row>
    <row r="1905" spans="1:10" ht="25.5" hidden="1" x14ac:dyDescent="0.25">
      <c r="A1905" s="174"/>
      <c r="B1905" s="177"/>
      <c r="C1905" s="43" t="s">
        <v>10955</v>
      </c>
      <c r="D1905" s="43" t="s">
        <v>1044</v>
      </c>
      <c r="E1905" s="44">
        <v>6.6559999999999997</v>
      </c>
      <c r="F1905" s="41">
        <v>10.8965</v>
      </c>
      <c r="G1905" s="41">
        <f>IF(ISNUMBER(F1905),E1905*F1905,"")</f>
        <v>72.527103999999994</v>
      </c>
      <c r="H1905" s="46">
        <f>SUM(G1905:G1908)</f>
        <v>268.38822399999998</v>
      </c>
      <c r="I1905" s="47"/>
      <c r="J1905" s="37">
        <v>0</v>
      </c>
    </row>
    <row r="1906" spans="1:10" hidden="1" x14ac:dyDescent="0.25">
      <c r="A1906" s="174"/>
      <c r="B1906" s="177"/>
      <c r="C1906" s="43" t="s">
        <v>460</v>
      </c>
      <c r="D1906" s="62" t="s">
        <v>461</v>
      </c>
      <c r="E1906" s="44">
        <v>1</v>
      </c>
      <c r="F1906" s="38" t="s">
        <v>13</v>
      </c>
      <c r="G1906" s="41" t="str">
        <f>IF(ISNUMBER(F1906),E1906*F1906,"")</f>
        <v/>
      </c>
      <c r="H1906" s="58"/>
      <c r="I1906" s="59"/>
      <c r="J1906" s="37">
        <v>0</v>
      </c>
    </row>
    <row r="1907" spans="1:10" hidden="1" x14ac:dyDescent="0.25">
      <c r="A1907" s="174"/>
      <c r="B1907" s="177"/>
      <c r="C1907" s="43" t="s">
        <v>10614</v>
      </c>
      <c r="D1907" s="43" t="s">
        <v>2800</v>
      </c>
      <c r="E1907" s="44">
        <v>3.84</v>
      </c>
      <c r="F1907" s="38">
        <v>23.693000000000001</v>
      </c>
      <c r="G1907" s="41">
        <f>IF(ISNUMBER(F1907),E1907*F1907,"")</f>
        <v>90.981120000000004</v>
      </c>
      <c r="H1907" s="42"/>
      <c r="I1907" s="38"/>
      <c r="J1907" s="37">
        <v>0</v>
      </c>
    </row>
    <row r="1908" spans="1:10" ht="25.5" hidden="1" x14ac:dyDescent="0.25">
      <c r="A1908" s="174"/>
      <c r="B1908" s="177"/>
      <c r="C1908" s="43" t="s">
        <v>10832</v>
      </c>
      <c r="D1908" s="43" t="s">
        <v>2800</v>
      </c>
      <c r="E1908" s="44">
        <v>3.84</v>
      </c>
      <c r="F1908" s="38">
        <v>27.3125</v>
      </c>
      <c r="G1908" s="41">
        <f>IF(ISNUMBER(F1908),E1908*F1908,"")</f>
        <v>104.88</v>
      </c>
      <c r="H1908" s="42"/>
      <c r="I1908" s="38"/>
      <c r="J1908" s="37">
        <v>0</v>
      </c>
    </row>
    <row r="1909" spans="1:10" ht="15.75" hidden="1" thickBot="1" x14ac:dyDescent="0.3">
      <c r="A1909" s="175"/>
      <c r="B1909" s="178"/>
      <c r="C1909" s="49"/>
      <c r="D1909" s="49"/>
      <c r="E1909" s="50"/>
      <c r="F1909" s="51" t="s">
        <v>13</v>
      </c>
      <c r="G1909" s="51" t="str">
        <f>IF(ISNUMBER(F1909),E1909*F1909,"")</f>
        <v/>
      </c>
      <c r="H1909" s="53"/>
      <c r="I1909" s="38"/>
      <c r="J1909" s="37">
        <v>0</v>
      </c>
    </row>
    <row r="1910" spans="1:10" ht="15.75" hidden="1" thickBot="1" x14ac:dyDescent="0.3">
      <c r="A1910" s="173" t="s">
        <v>462</v>
      </c>
      <c r="B1910" s="176" t="s">
        <v>3297</v>
      </c>
      <c r="C1910" s="31"/>
      <c r="D1910" s="32" t="s">
        <v>106</v>
      </c>
      <c r="E1910" s="33"/>
      <c r="F1910" s="54" t="s">
        <v>13</v>
      </c>
      <c r="G1910" s="34" t="str">
        <f>IF(ISNUMBER(F1910),E1910*F1910,"")</f>
        <v/>
      </c>
      <c r="H1910" s="35"/>
      <c r="I1910" s="36"/>
      <c r="J1910" s="37">
        <v>0</v>
      </c>
    </row>
    <row r="1911" spans="1:10" hidden="1" x14ac:dyDescent="0.25">
      <c r="A1911" s="174"/>
      <c r="B1911" s="177"/>
      <c r="C1911" s="39"/>
      <c r="D1911" s="39"/>
      <c r="E1911" s="40"/>
      <c r="F1911" s="55" t="s">
        <v>13</v>
      </c>
      <c r="G1911" s="38" t="str">
        <f>IF(ISNUMBER(F1911),E1911*F1911,"")</f>
        <v/>
      </c>
      <c r="H1911" s="42"/>
      <c r="I1911" s="38"/>
      <c r="J1911" s="37">
        <v>0</v>
      </c>
    </row>
    <row r="1912" spans="1:10" hidden="1" x14ac:dyDescent="0.25">
      <c r="A1912" s="174"/>
      <c r="B1912" s="177"/>
      <c r="C1912" s="43" t="s">
        <v>10614</v>
      </c>
      <c r="D1912" s="43" t="s">
        <v>2800</v>
      </c>
      <c r="E1912" s="44">
        <v>0.4</v>
      </c>
      <c r="F1912" s="38">
        <v>23.693000000000001</v>
      </c>
      <c r="G1912" s="38">
        <f>IF(ISNUMBER(F1912),E1912*F1912,"")</f>
        <v>9.4772000000000016</v>
      </c>
      <c r="H1912" s="46">
        <f>SUM(G1912:G1914)</f>
        <v>20.402200000000001</v>
      </c>
      <c r="I1912" s="47"/>
      <c r="J1912" s="37">
        <v>0</v>
      </c>
    </row>
    <row r="1913" spans="1:10" ht="25.5" hidden="1" x14ac:dyDescent="0.25">
      <c r="A1913" s="174"/>
      <c r="B1913" s="177"/>
      <c r="C1913" s="43" t="s">
        <v>10832</v>
      </c>
      <c r="D1913" s="43" t="s">
        <v>2800</v>
      </c>
      <c r="E1913" s="44">
        <v>0.4</v>
      </c>
      <c r="F1913" s="38">
        <v>27.3125</v>
      </c>
      <c r="G1913" s="38">
        <f>IF(ISNUMBER(F1913),E1913*F1913,"")</f>
        <v>10.925000000000001</v>
      </c>
      <c r="H1913" s="42"/>
      <c r="I1913" s="38"/>
      <c r="J1913" s="37">
        <v>0</v>
      </c>
    </row>
    <row r="1914" spans="1:10" ht="25.5" hidden="1" x14ac:dyDescent="0.25">
      <c r="A1914" s="174"/>
      <c r="B1914" s="177"/>
      <c r="C1914" s="43" t="s">
        <v>463</v>
      </c>
      <c r="D1914" s="43" t="s">
        <v>106</v>
      </c>
      <c r="E1914" s="44">
        <v>1.05</v>
      </c>
      <c r="F1914" s="41" t="s">
        <v>13</v>
      </c>
      <c r="G1914" s="38" t="str">
        <f>IF(ISNUMBER(F1914),E1914*F1914,"")</f>
        <v/>
      </c>
      <c r="H1914" s="42"/>
      <c r="I1914" s="38"/>
      <c r="J1914" s="37">
        <v>0</v>
      </c>
    </row>
    <row r="1915" spans="1:10" ht="15.75" hidden="1" thickBot="1" x14ac:dyDescent="0.3">
      <c r="A1915" s="175"/>
      <c r="B1915" s="178"/>
      <c r="C1915" s="49"/>
      <c r="D1915" s="49"/>
      <c r="E1915" s="50"/>
      <c r="F1915" s="51" t="s">
        <v>13</v>
      </c>
      <c r="G1915" s="51" t="str">
        <f>IF(ISNUMBER(F1915),E1915*F1915,"")</f>
        <v/>
      </c>
      <c r="H1915" s="53"/>
      <c r="I1915" s="38"/>
      <c r="J1915" s="37">
        <v>0</v>
      </c>
    </row>
    <row r="1916" spans="1:10" ht="15.75" hidden="1" thickBot="1" x14ac:dyDescent="0.3">
      <c r="A1916" s="173" t="s">
        <v>464</v>
      </c>
      <c r="B1916" s="176" t="s">
        <v>3298</v>
      </c>
      <c r="C1916" s="31"/>
      <c r="D1916" s="32" t="s">
        <v>106</v>
      </c>
      <c r="E1916" s="33"/>
      <c r="F1916" s="54" t="s">
        <v>13</v>
      </c>
      <c r="G1916" s="34" t="str">
        <f>IF(ISNUMBER(F1916),E1916*F1916,"")</f>
        <v/>
      </c>
      <c r="H1916" s="35"/>
      <c r="I1916" s="36"/>
      <c r="J1916" s="37">
        <v>0</v>
      </c>
    </row>
    <row r="1917" spans="1:10" hidden="1" x14ac:dyDescent="0.25">
      <c r="A1917" s="174"/>
      <c r="B1917" s="177"/>
      <c r="C1917" s="39"/>
      <c r="D1917" s="39"/>
      <c r="E1917" s="40"/>
      <c r="F1917" s="55" t="s">
        <v>13</v>
      </c>
      <c r="G1917" s="38" t="str">
        <f>IF(ISNUMBER(F1917),E1917*F1917,"")</f>
        <v/>
      </c>
      <c r="H1917" s="42"/>
      <c r="I1917" s="38"/>
      <c r="J1917" s="37">
        <v>0</v>
      </c>
    </row>
    <row r="1918" spans="1:10" hidden="1" x14ac:dyDescent="0.25">
      <c r="A1918" s="174"/>
      <c r="B1918" s="177"/>
      <c r="C1918" s="43" t="s">
        <v>10614</v>
      </c>
      <c r="D1918" s="43" t="s">
        <v>2800</v>
      </c>
      <c r="E1918" s="44">
        <v>0.4</v>
      </c>
      <c r="F1918" s="38">
        <v>23.693000000000001</v>
      </c>
      <c r="G1918" s="38">
        <f>IF(ISNUMBER(F1918),E1918*F1918,"")</f>
        <v>9.4772000000000016</v>
      </c>
      <c r="H1918" s="46">
        <f>SUM(G1918:G1920)</f>
        <v>20.402200000000001</v>
      </c>
      <c r="I1918" s="47"/>
      <c r="J1918" s="37">
        <v>0</v>
      </c>
    </row>
    <row r="1919" spans="1:10" ht="25.5" hidden="1" x14ac:dyDescent="0.25">
      <c r="A1919" s="174"/>
      <c r="B1919" s="177"/>
      <c r="C1919" s="43" t="s">
        <v>10832</v>
      </c>
      <c r="D1919" s="43" t="s">
        <v>2800</v>
      </c>
      <c r="E1919" s="44">
        <v>0.4</v>
      </c>
      <c r="F1919" s="38">
        <v>27.3125</v>
      </c>
      <c r="G1919" s="38">
        <f>IF(ISNUMBER(F1919),E1919*F1919,"")</f>
        <v>10.925000000000001</v>
      </c>
      <c r="H1919" s="42"/>
      <c r="I1919" s="38"/>
      <c r="J1919" s="37">
        <v>0</v>
      </c>
    </row>
    <row r="1920" spans="1:10" ht="25.5" hidden="1" x14ac:dyDescent="0.25">
      <c r="A1920" s="174"/>
      <c r="B1920" s="177"/>
      <c r="C1920" s="43" t="s">
        <v>465</v>
      </c>
      <c r="D1920" s="43" t="s">
        <v>106</v>
      </c>
      <c r="E1920" s="44">
        <v>1.05</v>
      </c>
      <c r="F1920" s="41" t="s">
        <v>13</v>
      </c>
      <c r="G1920" s="38" t="str">
        <f>IF(ISNUMBER(F1920),E1920*F1920,"")</f>
        <v/>
      </c>
      <c r="H1920" s="42"/>
      <c r="I1920" s="38"/>
      <c r="J1920" s="37">
        <v>0</v>
      </c>
    </row>
    <row r="1921" spans="1:10" ht="15.75" hidden="1" thickBot="1" x14ac:dyDescent="0.3">
      <c r="A1921" s="175"/>
      <c r="B1921" s="178"/>
      <c r="C1921" s="49"/>
      <c r="D1921" s="49"/>
      <c r="E1921" s="50"/>
      <c r="F1921" s="51" t="s">
        <v>13</v>
      </c>
      <c r="G1921" s="51" t="str">
        <f>IF(ISNUMBER(F1921),E1921*F1921,"")</f>
        <v/>
      </c>
      <c r="H1921" s="53"/>
      <c r="I1921" s="38"/>
      <c r="J1921" s="37">
        <v>0</v>
      </c>
    </row>
    <row r="1922" spans="1:10" ht="15.75" hidden="1" thickBot="1" x14ac:dyDescent="0.3">
      <c r="A1922" s="173" t="s">
        <v>466</v>
      </c>
      <c r="B1922" s="176" t="s">
        <v>3299</v>
      </c>
      <c r="C1922" s="31"/>
      <c r="D1922" s="32" t="s">
        <v>18</v>
      </c>
      <c r="E1922" s="33"/>
      <c r="F1922" s="54" t="s">
        <v>13</v>
      </c>
      <c r="G1922" s="34" t="str">
        <f>IF(ISNUMBER(F1922),E1922*F1922,"")</f>
        <v/>
      </c>
      <c r="H1922" s="35"/>
      <c r="I1922" s="36"/>
      <c r="J1922" s="37">
        <v>0</v>
      </c>
    </row>
    <row r="1923" spans="1:10" hidden="1" x14ac:dyDescent="0.25">
      <c r="A1923" s="174"/>
      <c r="B1923" s="177"/>
      <c r="C1923" s="39"/>
      <c r="D1923" s="39"/>
      <c r="E1923" s="40"/>
      <c r="F1923" s="55" t="s">
        <v>13</v>
      </c>
      <c r="G1923" s="38" t="str">
        <f>IF(ISNUMBER(F1923),E1923*F1923,"")</f>
        <v/>
      </c>
      <c r="H1923" s="42"/>
      <c r="I1923" s="38"/>
      <c r="J1923" s="37">
        <v>0</v>
      </c>
    </row>
    <row r="1924" spans="1:10" ht="25.5" hidden="1" x14ac:dyDescent="0.25">
      <c r="A1924" s="174"/>
      <c r="B1924" s="177"/>
      <c r="C1924" s="43" t="s">
        <v>10829</v>
      </c>
      <c r="D1924" s="43" t="s">
        <v>2800</v>
      </c>
      <c r="E1924" s="44">
        <v>2.5</v>
      </c>
      <c r="F1924" s="38">
        <v>24.4435</v>
      </c>
      <c r="G1924" s="41">
        <f>IF(ISNUMBER(F1924),E1924*F1924,"")</f>
        <v>61.108750000000001</v>
      </c>
      <c r="H1924" s="46">
        <f>SUM(G1924:G1926)</f>
        <v>129.38999999999999</v>
      </c>
      <c r="I1924" s="47"/>
      <c r="J1924" s="37">
        <v>0</v>
      </c>
    </row>
    <row r="1925" spans="1:10" ht="25.5" hidden="1" x14ac:dyDescent="0.25">
      <c r="A1925" s="174"/>
      <c r="B1925" s="177"/>
      <c r="C1925" s="43" t="s">
        <v>10832</v>
      </c>
      <c r="D1925" s="43" t="s">
        <v>2800</v>
      </c>
      <c r="E1925" s="44">
        <v>2.5</v>
      </c>
      <c r="F1925" s="38">
        <v>27.3125</v>
      </c>
      <c r="G1925" s="41">
        <f>IF(ISNUMBER(F1925),E1925*F1925,"")</f>
        <v>68.28125</v>
      </c>
      <c r="H1925" s="42"/>
      <c r="I1925" s="38"/>
      <c r="J1925" s="37">
        <v>0</v>
      </c>
    </row>
    <row r="1926" spans="1:10" ht="25.5" hidden="1" x14ac:dyDescent="0.25">
      <c r="A1926" s="174"/>
      <c r="B1926" s="177"/>
      <c r="C1926" s="43" t="s">
        <v>467</v>
      </c>
      <c r="D1926" s="43" t="s">
        <v>87</v>
      </c>
      <c r="E1926" s="44">
        <v>1</v>
      </c>
      <c r="F1926" s="41" t="s">
        <v>13</v>
      </c>
      <c r="G1926" s="41" t="str">
        <f>IF(ISNUMBER(F1926),E1926*F1926,"")</f>
        <v/>
      </c>
      <c r="H1926" s="42"/>
      <c r="I1926" s="38"/>
      <c r="J1926" s="37">
        <v>0</v>
      </c>
    </row>
    <row r="1927" spans="1:10" ht="15.75" hidden="1" thickBot="1" x14ac:dyDescent="0.3">
      <c r="A1927" s="175"/>
      <c r="B1927" s="178"/>
      <c r="C1927" s="49"/>
      <c r="D1927" s="49"/>
      <c r="E1927" s="50"/>
      <c r="F1927" s="51" t="s">
        <v>13</v>
      </c>
      <c r="G1927" s="51" t="str">
        <f>IF(ISNUMBER(F1927),E1927*F1927,"")</f>
        <v/>
      </c>
      <c r="H1927" s="53"/>
      <c r="I1927" s="38"/>
      <c r="J1927" s="37">
        <v>0</v>
      </c>
    </row>
    <row r="1928" spans="1:10" ht="15.75" hidden="1" thickBot="1" x14ac:dyDescent="0.3">
      <c r="A1928" s="173" t="s">
        <v>468</v>
      </c>
      <c r="B1928" s="176" t="s">
        <v>3300</v>
      </c>
      <c r="C1928" s="31"/>
      <c r="D1928" s="32" t="s">
        <v>18</v>
      </c>
      <c r="E1928" s="33"/>
      <c r="F1928" s="54" t="s">
        <v>13</v>
      </c>
      <c r="G1928" s="34" t="str">
        <f>IF(ISNUMBER(F1928),E1928*F1928,"")</f>
        <v/>
      </c>
      <c r="H1928" s="35"/>
      <c r="I1928" s="36"/>
      <c r="J1928" s="37">
        <v>0</v>
      </c>
    </row>
    <row r="1929" spans="1:10" hidden="1" x14ac:dyDescent="0.25">
      <c r="A1929" s="174"/>
      <c r="B1929" s="177"/>
      <c r="C1929" s="39"/>
      <c r="D1929" s="39"/>
      <c r="E1929" s="40"/>
      <c r="F1929" s="55" t="s">
        <v>13</v>
      </c>
      <c r="G1929" s="38" t="str">
        <f>IF(ISNUMBER(F1929),E1929*F1929,"")</f>
        <v/>
      </c>
      <c r="H1929" s="42"/>
      <c r="I1929" s="38"/>
      <c r="J1929" s="37">
        <v>0</v>
      </c>
    </row>
    <row r="1930" spans="1:10" ht="25.5" hidden="1" x14ac:dyDescent="0.25">
      <c r="A1930" s="174"/>
      <c r="B1930" s="177"/>
      <c r="C1930" s="43" t="s">
        <v>10829</v>
      </c>
      <c r="D1930" s="43" t="s">
        <v>2800</v>
      </c>
      <c r="E1930" s="44">
        <v>2.5</v>
      </c>
      <c r="F1930" s="38">
        <v>24.4435</v>
      </c>
      <c r="G1930" s="41">
        <f>IF(ISNUMBER(F1930),E1930*F1930,"")</f>
        <v>61.108750000000001</v>
      </c>
      <c r="H1930" s="46">
        <f>SUM(G1930:G1932)</f>
        <v>129.38999999999999</v>
      </c>
      <c r="I1930" s="47"/>
      <c r="J1930" s="37">
        <v>0</v>
      </c>
    </row>
    <row r="1931" spans="1:10" ht="25.5" hidden="1" x14ac:dyDescent="0.25">
      <c r="A1931" s="174"/>
      <c r="B1931" s="177"/>
      <c r="C1931" s="43" t="s">
        <v>10832</v>
      </c>
      <c r="D1931" s="43" t="s">
        <v>2800</v>
      </c>
      <c r="E1931" s="44">
        <v>2.5</v>
      </c>
      <c r="F1931" s="38">
        <v>27.3125</v>
      </c>
      <c r="G1931" s="41">
        <f>IF(ISNUMBER(F1931),E1931*F1931,"")</f>
        <v>68.28125</v>
      </c>
      <c r="H1931" s="42"/>
      <c r="I1931" s="38"/>
      <c r="J1931" s="37">
        <v>0</v>
      </c>
    </row>
    <row r="1932" spans="1:10" ht="25.5" hidden="1" x14ac:dyDescent="0.25">
      <c r="A1932" s="174"/>
      <c r="B1932" s="177"/>
      <c r="C1932" s="43" t="s">
        <v>469</v>
      </c>
      <c r="D1932" s="43" t="s">
        <v>87</v>
      </c>
      <c r="E1932" s="44">
        <v>1</v>
      </c>
      <c r="F1932" s="41" t="s">
        <v>13</v>
      </c>
      <c r="G1932" s="41" t="str">
        <f>IF(ISNUMBER(F1932),E1932*F1932,"")</f>
        <v/>
      </c>
      <c r="H1932" s="42"/>
      <c r="I1932" s="38"/>
      <c r="J1932" s="37">
        <v>0</v>
      </c>
    </row>
    <row r="1933" spans="1:10" ht="15.75" hidden="1" thickBot="1" x14ac:dyDescent="0.3">
      <c r="A1933" s="175"/>
      <c r="B1933" s="178"/>
      <c r="C1933" s="49"/>
      <c r="D1933" s="49"/>
      <c r="E1933" s="50"/>
      <c r="F1933" s="51" t="s">
        <v>13</v>
      </c>
      <c r="G1933" s="51" t="str">
        <f>IF(ISNUMBER(F1933),E1933*F1933,"")</f>
        <v/>
      </c>
      <c r="H1933" s="53"/>
      <c r="I1933" s="38"/>
      <c r="J1933" s="37">
        <v>0</v>
      </c>
    </row>
    <row r="1934" spans="1:10" ht="15.75" hidden="1" thickBot="1" x14ac:dyDescent="0.3">
      <c r="A1934" s="173" t="s">
        <v>470</v>
      </c>
      <c r="B1934" s="176" t="s">
        <v>3301</v>
      </c>
      <c r="C1934" s="31"/>
      <c r="D1934" s="32" t="s">
        <v>18</v>
      </c>
      <c r="E1934" s="33"/>
      <c r="F1934" s="54" t="s">
        <v>13</v>
      </c>
      <c r="G1934" s="34" t="str">
        <f>IF(ISNUMBER(F1934),E1934*F1934,"")</f>
        <v/>
      </c>
      <c r="H1934" s="35"/>
      <c r="I1934" s="36"/>
      <c r="J1934" s="37">
        <v>0</v>
      </c>
    </row>
    <row r="1935" spans="1:10" hidden="1" x14ac:dyDescent="0.25">
      <c r="A1935" s="174"/>
      <c r="B1935" s="177"/>
      <c r="C1935" s="39"/>
      <c r="D1935" s="39"/>
      <c r="E1935" s="40"/>
      <c r="F1935" s="55" t="s">
        <v>13</v>
      </c>
      <c r="G1935" s="38" t="str">
        <f>IF(ISNUMBER(F1935),E1935*F1935,"")</f>
        <v/>
      </c>
      <c r="H1935" s="42"/>
      <c r="I1935" s="38"/>
      <c r="J1935" s="37">
        <v>0</v>
      </c>
    </row>
    <row r="1936" spans="1:10" ht="25.5" hidden="1" x14ac:dyDescent="0.25">
      <c r="A1936" s="174"/>
      <c r="B1936" s="177"/>
      <c r="C1936" s="43" t="s">
        <v>10829</v>
      </c>
      <c r="D1936" s="43" t="s">
        <v>2800</v>
      </c>
      <c r="E1936" s="44">
        <v>2.5</v>
      </c>
      <c r="F1936" s="38">
        <v>24.4435</v>
      </c>
      <c r="G1936" s="41">
        <f>IF(ISNUMBER(F1936),E1936*F1936,"")</f>
        <v>61.108750000000001</v>
      </c>
      <c r="H1936" s="46">
        <f>SUM(G1936:G1938)</f>
        <v>129.38999999999999</v>
      </c>
      <c r="I1936" s="47"/>
      <c r="J1936" s="37">
        <v>0</v>
      </c>
    </row>
    <row r="1937" spans="1:10" ht="25.5" hidden="1" x14ac:dyDescent="0.25">
      <c r="A1937" s="174"/>
      <c r="B1937" s="177"/>
      <c r="C1937" s="43" t="s">
        <v>10832</v>
      </c>
      <c r="D1937" s="43" t="s">
        <v>2800</v>
      </c>
      <c r="E1937" s="44">
        <v>2.5</v>
      </c>
      <c r="F1937" s="38">
        <v>27.3125</v>
      </c>
      <c r="G1937" s="41">
        <f>IF(ISNUMBER(F1937),E1937*F1937,"")</f>
        <v>68.28125</v>
      </c>
      <c r="H1937" s="42"/>
      <c r="I1937" s="38"/>
      <c r="J1937" s="37">
        <v>0</v>
      </c>
    </row>
    <row r="1938" spans="1:10" ht="25.5" hidden="1" x14ac:dyDescent="0.25">
      <c r="A1938" s="174"/>
      <c r="B1938" s="177"/>
      <c r="C1938" s="43" t="s">
        <v>471</v>
      </c>
      <c r="D1938" s="43" t="s">
        <v>87</v>
      </c>
      <c r="E1938" s="44">
        <v>1</v>
      </c>
      <c r="F1938" s="41" t="s">
        <v>13</v>
      </c>
      <c r="G1938" s="41" t="str">
        <f>IF(ISNUMBER(F1938),E1938*F1938,"")</f>
        <v/>
      </c>
      <c r="H1938" s="42"/>
      <c r="I1938" s="38"/>
      <c r="J1938" s="37">
        <v>0</v>
      </c>
    </row>
    <row r="1939" spans="1:10" ht="15.75" hidden="1" thickBot="1" x14ac:dyDescent="0.3">
      <c r="A1939" s="175"/>
      <c r="B1939" s="178"/>
      <c r="C1939" s="49"/>
      <c r="D1939" s="49"/>
      <c r="E1939" s="50"/>
      <c r="F1939" s="51" t="s">
        <v>13</v>
      </c>
      <c r="G1939" s="51" t="str">
        <f>IF(ISNUMBER(F1939),E1939*F1939,"")</f>
        <v/>
      </c>
      <c r="H1939" s="53"/>
      <c r="I1939" s="38"/>
      <c r="J1939" s="37">
        <v>0</v>
      </c>
    </row>
    <row r="1940" spans="1:10" ht="15.75" hidden="1" thickBot="1" x14ac:dyDescent="0.3">
      <c r="A1940" s="173" t="s">
        <v>472</v>
      </c>
      <c r="B1940" s="176" t="s">
        <v>3302</v>
      </c>
      <c r="C1940" s="31"/>
      <c r="D1940" s="32" t="s">
        <v>18</v>
      </c>
      <c r="E1940" s="33"/>
      <c r="F1940" s="54" t="s">
        <v>13</v>
      </c>
      <c r="G1940" s="34" t="str">
        <f>IF(ISNUMBER(F1940),E1940*F1940,"")</f>
        <v/>
      </c>
      <c r="H1940" s="35"/>
      <c r="I1940" s="36"/>
      <c r="J1940" s="37">
        <v>0</v>
      </c>
    </row>
    <row r="1941" spans="1:10" hidden="1" x14ac:dyDescent="0.25">
      <c r="A1941" s="174"/>
      <c r="B1941" s="177"/>
      <c r="C1941" s="39"/>
      <c r="D1941" s="39"/>
      <c r="E1941" s="40"/>
      <c r="F1941" s="55" t="s">
        <v>13</v>
      </c>
      <c r="G1941" s="38" t="str">
        <f>IF(ISNUMBER(F1941),E1941*F1941,"")</f>
        <v/>
      </c>
      <c r="H1941" s="42"/>
      <c r="I1941" s="38"/>
      <c r="J1941" s="37">
        <v>0</v>
      </c>
    </row>
    <row r="1942" spans="1:10" ht="25.5" hidden="1" x14ac:dyDescent="0.25">
      <c r="A1942" s="174"/>
      <c r="B1942" s="177"/>
      <c r="C1942" s="43" t="s">
        <v>10829</v>
      </c>
      <c r="D1942" s="43" t="s">
        <v>2800</v>
      </c>
      <c r="E1942" s="44">
        <v>2.5</v>
      </c>
      <c r="F1942" s="38">
        <v>24.4435</v>
      </c>
      <c r="G1942" s="41">
        <f>IF(ISNUMBER(F1942),E1942*F1942,"")</f>
        <v>61.108750000000001</v>
      </c>
      <c r="H1942" s="46">
        <f>SUM(G1942:G1944)</f>
        <v>129.38999999999999</v>
      </c>
      <c r="I1942" s="47"/>
      <c r="J1942" s="37">
        <v>0</v>
      </c>
    </row>
    <row r="1943" spans="1:10" ht="25.5" hidden="1" x14ac:dyDescent="0.25">
      <c r="A1943" s="174"/>
      <c r="B1943" s="177"/>
      <c r="C1943" s="43" t="s">
        <v>10832</v>
      </c>
      <c r="D1943" s="43" t="s">
        <v>2800</v>
      </c>
      <c r="E1943" s="44">
        <v>2.5</v>
      </c>
      <c r="F1943" s="38">
        <v>27.3125</v>
      </c>
      <c r="G1943" s="41">
        <f>IF(ISNUMBER(F1943),E1943*F1943,"")</f>
        <v>68.28125</v>
      </c>
      <c r="H1943" s="42"/>
      <c r="I1943" s="38"/>
      <c r="J1943" s="37">
        <v>0</v>
      </c>
    </row>
    <row r="1944" spans="1:10" ht="38.25" hidden="1" x14ac:dyDescent="0.25">
      <c r="A1944" s="174"/>
      <c r="B1944" s="177"/>
      <c r="C1944" s="43" t="s">
        <v>473</v>
      </c>
      <c r="D1944" s="43" t="s">
        <v>87</v>
      </c>
      <c r="E1944" s="44">
        <v>1</v>
      </c>
      <c r="F1944" s="41" t="s">
        <v>13</v>
      </c>
      <c r="G1944" s="41" t="str">
        <f>IF(ISNUMBER(F1944),E1944*F1944,"")</f>
        <v/>
      </c>
      <c r="H1944" s="42"/>
      <c r="I1944" s="38"/>
      <c r="J1944" s="37">
        <v>0</v>
      </c>
    </row>
    <row r="1945" spans="1:10" ht="15.75" hidden="1" thickBot="1" x14ac:dyDescent="0.3">
      <c r="A1945" s="175"/>
      <c r="B1945" s="178"/>
      <c r="C1945" s="49"/>
      <c r="D1945" s="49"/>
      <c r="E1945" s="50"/>
      <c r="F1945" s="51" t="s">
        <v>13</v>
      </c>
      <c r="G1945" s="51" t="str">
        <f>IF(ISNUMBER(F1945),E1945*F1945,"")</f>
        <v/>
      </c>
      <c r="H1945" s="53"/>
      <c r="I1945" s="38"/>
      <c r="J1945" s="37">
        <v>0</v>
      </c>
    </row>
    <row r="1946" spans="1:10" ht="15.75" hidden="1" thickBot="1" x14ac:dyDescent="0.3">
      <c r="A1946" s="173" t="s">
        <v>474</v>
      </c>
      <c r="B1946" s="176" t="s">
        <v>3303</v>
      </c>
      <c r="C1946" s="31"/>
      <c r="D1946" s="32" t="s">
        <v>18</v>
      </c>
      <c r="E1946" s="33"/>
      <c r="F1946" s="54" t="s">
        <v>13</v>
      </c>
      <c r="G1946" s="34" t="str">
        <f>IF(ISNUMBER(F1946),E1946*F1946,"")</f>
        <v/>
      </c>
      <c r="H1946" s="35"/>
      <c r="I1946" s="36"/>
      <c r="J1946" s="37">
        <v>0</v>
      </c>
    </row>
    <row r="1947" spans="1:10" hidden="1" x14ac:dyDescent="0.25">
      <c r="A1947" s="174"/>
      <c r="B1947" s="177"/>
      <c r="C1947" s="39"/>
      <c r="D1947" s="39"/>
      <c r="E1947" s="40"/>
      <c r="F1947" s="55" t="s">
        <v>13</v>
      </c>
      <c r="G1947" s="38" t="str">
        <f>IF(ISNUMBER(F1947),E1947*F1947,"")</f>
        <v/>
      </c>
      <c r="H1947" s="42"/>
      <c r="I1947" s="38"/>
      <c r="J1947" s="37">
        <v>0</v>
      </c>
    </row>
    <row r="1948" spans="1:10" ht="25.5" hidden="1" x14ac:dyDescent="0.25">
      <c r="A1948" s="174"/>
      <c r="B1948" s="177"/>
      <c r="C1948" s="43" t="s">
        <v>10829</v>
      </c>
      <c r="D1948" s="43" t="s">
        <v>2800</v>
      </c>
      <c r="E1948" s="44">
        <v>2.5</v>
      </c>
      <c r="F1948" s="38">
        <v>24.4435</v>
      </c>
      <c r="G1948" s="41">
        <f>IF(ISNUMBER(F1948),E1948*F1948,"")</f>
        <v>61.108750000000001</v>
      </c>
      <c r="H1948" s="46">
        <f>SUM(G1948:G1950)</f>
        <v>129.38999999999999</v>
      </c>
      <c r="I1948" s="47"/>
      <c r="J1948" s="37">
        <v>0</v>
      </c>
    </row>
    <row r="1949" spans="1:10" ht="25.5" hidden="1" x14ac:dyDescent="0.25">
      <c r="A1949" s="174"/>
      <c r="B1949" s="177"/>
      <c r="C1949" s="43" t="s">
        <v>10832</v>
      </c>
      <c r="D1949" s="43" t="s">
        <v>2800</v>
      </c>
      <c r="E1949" s="44">
        <v>2.5</v>
      </c>
      <c r="F1949" s="38">
        <v>27.3125</v>
      </c>
      <c r="G1949" s="41">
        <f>IF(ISNUMBER(F1949),E1949*F1949,"")</f>
        <v>68.28125</v>
      </c>
      <c r="H1949" s="42"/>
      <c r="I1949" s="38"/>
      <c r="J1949" s="37">
        <v>0</v>
      </c>
    </row>
    <row r="1950" spans="1:10" ht="51" hidden="1" x14ac:dyDescent="0.25">
      <c r="A1950" s="174"/>
      <c r="B1950" s="177"/>
      <c r="C1950" s="43" t="s">
        <v>475</v>
      </c>
      <c r="D1950" s="43" t="s">
        <v>87</v>
      </c>
      <c r="E1950" s="44">
        <v>1</v>
      </c>
      <c r="F1950" s="41" t="s">
        <v>13</v>
      </c>
      <c r="G1950" s="41" t="str">
        <f>IF(ISNUMBER(F1950),E1950*F1950,"")</f>
        <v/>
      </c>
      <c r="H1950" s="42"/>
      <c r="I1950" s="38"/>
      <c r="J1950" s="37">
        <v>0</v>
      </c>
    </row>
    <row r="1951" spans="1:10" ht="15.75" hidden="1" thickBot="1" x14ac:dyDescent="0.3">
      <c r="A1951" s="175"/>
      <c r="B1951" s="178"/>
      <c r="C1951" s="49"/>
      <c r="D1951" s="49"/>
      <c r="E1951" s="50"/>
      <c r="F1951" s="51" t="s">
        <v>13</v>
      </c>
      <c r="G1951" s="51" t="str">
        <f>IF(ISNUMBER(F1951),E1951*F1951,"")</f>
        <v/>
      </c>
      <c r="H1951" s="53"/>
      <c r="I1951" s="38"/>
      <c r="J1951" s="37">
        <v>0</v>
      </c>
    </row>
    <row r="1952" spans="1:10" ht="15.75" hidden="1" thickBot="1" x14ac:dyDescent="0.3">
      <c r="A1952" s="173" t="s">
        <v>476</v>
      </c>
      <c r="B1952" s="176" t="s">
        <v>3304</v>
      </c>
      <c r="C1952" s="31"/>
      <c r="D1952" s="32" t="s">
        <v>18</v>
      </c>
      <c r="E1952" s="33"/>
      <c r="F1952" s="54" t="s">
        <v>13</v>
      </c>
      <c r="G1952" s="34" t="str">
        <f>IF(ISNUMBER(F1952),E1952*F1952,"")</f>
        <v/>
      </c>
      <c r="H1952" s="35"/>
      <c r="I1952" s="36"/>
      <c r="J1952" s="37">
        <v>0</v>
      </c>
    </row>
    <row r="1953" spans="1:10" hidden="1" x14ac:dyDescent="0.25">
      <c r="A1953" s="174"/>
      <c r="B1953" s="177"/>
      <c r="C1953" s="39"/>
      <c r="D1953" s="39"/>
      <c r="E1953" s="40"/>
      <c r="F1953" s="55" t="s">
        <v>13</v>
      </c>
      <c r="G1953" s="38" t="str">
        <f>IF(ISNUMBER(F1953),E1953*F1953,"")</f>
        <v/>
      </c>
      <c r="H1953" s="42"/>
      <c r="I1953" s="38"/>
      <c r="J1953" s="37">
        <v>0</v>
      </c>
    </row>
    <row r="1954" spans="1:10" ht="25.5" hidden="1" x14ac:dyDescent="0.25">
      <c r="A1954" s="174"/>
      <c r="B1954" s="177"/>
      <c r="C1954" s="43" t="s">
        <v>10829</v>
      </c>
      <c r="D1954" s="43" t="s">
        <v>2800</v>
      </c>
      <c r="E1954" s="44">
        <v>2.5</v>
      </c>
      <c r="F1954" s="38">
        <v>24.4435</v>
      </c>
      <c r="G1954" s="41">
        <f>IF(ISNUMBER(F1954),E1954*F1954,"")</f>
        <v>61.108750000000001</v>
      </c>
      <c r="H1954" s="46">
        <f>SUM(G1954:G1956)</f>
        <v>129.38999999999999</v>
      </c>
      <c r="I1954" s="47"/>
      <c r="J1954" s="37">
        <v>0</v>
      </c>
    </row>
    <row r="1955" spans="1:10" ht="25.5" hidden="1" x14ac:dyDescent="0.25">
      <c r="A1955" s="174"/>
      <c r="B1955" s="177"/>
      <c r="C1955" s="43" t="s">
        <v>10832</v>
      </c>
      <c r="D1955" s="43" t="s">
        <v>2800</v>
      </c>
      <c r="E1955" s="44">
        <v>2.5</v>
      </c>
      <c r="F1955" s="38">
        <v>27.3125</v>
      </c>
      <c r="G1955" s="41">
        <f>IF(ISNUMBER(F1955),E1955*F1955,"")</f>
        <v>68.28125</v>
      </c>
      <c r="H1955" s="42"/>
      <c r="I1955" s="38"/>
      <c r="J1955" s="37">
        <v>0</v>
      </c>
    </row>
    <row r="1956" spans="1:10" ht="25.5" hidden="1" x14ac:dyDescent="0.25">
      <c r="A1956" s="174"/>
      <c r="B1956" s="177"/>
      <c r="C1956" s="43" t="s">
        <v>477</v>
      </c>
      <c r="D1956" s="43" t="s">
        <v>87</v>
      </c>
      <c r="E1956" s="44">
        <v>1</v>
      </c>
      <c r="F1956" s="41" t="s">
        <v>13</v>
      </c>
      <c r="G1956" s="41" t="str">
        <f>IF(ISNUMBER(F1956),E1956*F1956,"")</f>
        <v/>
      </c>
      <c r="H1956" s="42"/>
      <c r="I1956" s="38"/>
      <c r="J1956" s="37">
        <v>0</v>
      </c>
    </row>
    <row r="1957" spans="1:10" ht="15.75" hidden="1" thickBot="1" x14ac:dyDescent="0.3">
      <c r="A1957" s="175"/>
      <c r="B1957" s="178"/>
      <c r="C1957" s="49"/>
      <c r="D1957" s="49"/>
      <c r="E1957" s="50"/>
      <c r="F1957" s="51" t="s">
        <v>13</v>
      </c>
      <c r="G1957" s="51" t="str">
        <f>IF(ISNUMBER(F1957),E1957*F1957,"")</f>
        <v/>
      </c>
      <c r="H1957" s="53"/>
      <c r="I1957" s="38"/>
      <c r="J1957" s="37">
        <v>0</v>
      </c>
    </row>
    <row r="1958" spans="1:10" ht="15.75" hidden="1" thickBot="1" x14ac:dyDescent="0.3">
      <c r="A1958" s="173" t="s">
        <v>478</v>
      </c>
      <c r="B1958" s="176" t="s">
        <v>3305</v>
      </c>
      <c r="C1958" s="31"/>
      <c r="D1958" s="32" t="s">
        <v>18</v>
      </c>
      <c r="E1958" s="33"/>
      <c r="F1958" s="54" t="s">
        <v>13</v>
      </c>
      <c r="G1958" s="34" t="str">
        <f>IF(ISNUMBER(F1958),E1958*F1958,"")</f>
        <v/>
      </c>
      <c r="H1958" s="35"/>
      <c r="I1958" s="36"/>
      <c r="J1958" s="37">
        <v>0</v>
      </c>
    </row>
    <row r="1959" spans="1:10" hidden="1" x14ac:dyDescent="0.25">
      <c r="A1959" s="174"/>
      <c r="B1959" s="177"/>
      <c r="C1959" s="39"/>
      <c r="D1959" s="39"/>
      <c r="E1959" s="40"/>
      <c r="F1959" s="55" t="s">
        <v>13</v>
      </c>
      <c r="G1959" s="38" t="str">
        <f>IF(ISNUMBER(F1959),E1959*F1959,"")</f>
        <v/>
      </c>
      <c r="H1959" s="42"/>
      <c r="I1959" s="38"/>
      <c r="J1959" s="37">
        <v>0</v>
      </c>
    </row>
    <row r="1960" spans="1:10" ht="25.5" hidden="1" x14ac:dyDescent="0.25">
      <c r="A1960" s="174"/>
      <c r="B1960" s="177"/>
      <c r="C1960" s="43" t="s">
        <v>10829</v>
      </c>
      <c r="D1960" s="43" t="s">
        <v>2800</v>
      </c>
      <c r="E1960" s="44">
        <v>2.5</v>
      </c>
      <c r="F1960" s="38">
        <v>24.4435</v>
      </c>
      <c r="G1960" s="41">
        <f>IF(ISNUMBER(F1960),E1960*F1960,"")</f>
        <v>61.108750000000001</v>
      </c>
      <c r="H1960" s="46">
        <f>SUM(G1960:G1962)</f>
        <v>129.38999999999999</v>
      </c>
      <c r="I1960" s="47"/>
      <c r="J1960" s="37">
        <v>0</v>
      </c>
    </row>
    <row r="1961" spans="1:10" ht="25.5" hidden="1" x14ac:dyDescent="0.25">
      <c r="A1961" s="174"/>
      <c r="B1961" s="177"/>
      <c r="C1961" s="43" t="s">
        <v>10832</v>
      </c>
      <c r="D1961" s="43" t="s">
        <v>2800</v>
      </c>
      <c r="E1961" s="44">
        <v>2.5</v>
      </c>
      <c r="F1961" s="38">
        <v>27.3125</v>
      </c>
      <c r="G1961" s="41">
        <f>IF(ISNUMBER(F1961),E1961*F1961,"")</f>
        <v>68.28125</v>
      </c>
      <c r="H1961" s="42"/>
      <c r="I1961" s="38"/>
      <c r="J1961" s="37">
        <v>0</v>
      </c>
    </row>
    <row r="1962" spans="1:10" ht="38.25" hidden="1" x14ac:dyDescent="0.25">
      <c r="A1962" s="174"/>
      <c r="B1962" s="177"/>
      <c r="C1962" s="43" t="s">
        <v>479</v>
      </c>
      <c r="D1962" s="43" t="s">
        <v>87</v>
      </c>
      <c r="E1962" s="44">
        <v>1</v>
      </c>
      <c r="F1962" s="41" t="s">
        <v>13</v>
      </c>
      <c r="G1962" s="41" t="str">
        <f>IF(ISNUMBER(F1962),E1962*F1962,"")</f>
        <v/>
      </c>
      <c r="H1962" s="42"/>
      <c r="I1962" s="38"/>
      <c r="J1962" s="37">
        <v>0</v>
      </c>
    </row>
    <row r="1963" spans="1:10" ht="15.75" hidden="1" thickBot="1" x14ac:dyDescent="0.3">
      <c r="A1963" s="175"/>
      <c r="B1963" s="178"/>
      <c r="C1963" s="49"/>
      <c r="D1963" s="49"/>
      <c r="E1963" s="50"/>
      <c r="F1963" s="51" t="s">
        <v>13</v>
      </c>
      <c r="G1963" s="51" t="str">
        <f>IF(ISNUMBER(F1963),E1963*F1963,"")</f>
        <v/>
      </c>
      <c r="H1963" s="53"/>
      <c r="I1963" s="38"/>
      <c r="J1963" s="37">
        <v>0</v>
      </c>
    </row>
    <row r="1964" spans="1:10" ht="15.75" hidden="1" thickBot="1" x14ac:dyDescent="0.3">
      <c r="A1964" s="173" t="s">
        <v>480</v>
      </c>
      <c r="B1964" s="176" t="s">
        <v>3306</v>
      </c>
      <c r="C1964" s="31"/>
      <c r="D1964" s="32" t="s">
        <v>18</v>
      </c>
      <c r="E1964" s="33"/>
      <c r="F1964" s="54" t="s">
        <v>13</v>
      </c>
      <c r="G1964" s="34" t="str">
        <f>IF(ISNUMBER(F1964),E1964*F1964,"")</f>
        <v/>
      </c>
      <c r="H1964" s="35"/>
      <c r="I1964" s="36"/>
      <c r="J1964" s="37">
        <v>0</v>
      </c>
    </row>
    <row r="1965" spans="1:10" hidden="1" x14ac:dyDescent="0.25">
      <c r="A1965" s="174"/>
      <c r="B1965" s="177"/>
      <c r="C1965" s="39"/>
      <c r="D1965" s="39"/>
      <c r="E1965" s="40"/>
      <c r="F1965" s="55" t="s">
        <v>13</v>
      </c>
      <c r="G1965" s="38" t="str">
        <f>IF(ISNUMBER(F1965),E1965*F1965,"")</f>
        <v/>
      </c>
      <c r="H1965" s="42"/>
      <c r="I1965" s="38"/>
      <c r="J1965" s="37">
        <v>0</v>
      </c>
    </row>
    <row r="1966" spans="1:10" ht="25.5" hidden="1" x14ac:dyDescent="0.25">
      <c r="A1966" s="174"/>
      <c r="B1966" s="177"/>
      <c r="C1966" s="43" t="s">
        <v>10829</v>
      </c>
      <c r="D1966" s="43" t="s">
        <v>2800</v>
      </c>
      <c r="E1966" s="44">
        <v>2.5</v>
      </c>
      <c r="F1966" s="38">
        <v>24.4435</v>
      </c>
      <c r="G1966" s="38">
        <f>IF(ISNUMBER(F1966),E1966*F1966,"")</f>
        <v>61.108750000000001</v>
      </c>
      <c r="H1966" s="46">
        <f>SUM(G1966:G1968)</f>
        <v>129.38999999999999</v>
      </c>
      <c r="I1966" s="47"/>
      <c r="J1966" s="37">
        <v>0</v>
      </c>
    </row>
    <row r="1967" spans="1:10" ht="25.5" hidden="1" x14ac:dyDescent="0.25">
      <c r="A1967" s="174"/>
      <c r="B1967" s="177"/>
      <c r="C1967" s="43" t="s">
        <v>10832</v>
      </c>
      <c r="D1967" s="43" t="s">
        <v>2800</v>
      </c>
      <c r="E1967" s="44">
        <v>2.5</v>
      </c>
      <c r="F1967" s="38">
        <v>27.3125</v>
      </c>
      <c r="G1967" s="38">
        <f>IF(ISNUMBER(F1967),E1967*F1967,"")</f>
        <v>68.28125</v>
      </c>
      <c r="H1967" s="42"/>
      <c r="I1967" s="38"/>
      <c r="J1967" s="37">
        <v>0</v>
      </c>
    </row>
    <row r="1968" spans="1:10" ht="38.25" hidden="1" x14ac:dyDescent="0.25">
      <c r="A1968" s="174"/>
      <c r="B1968" s="177"/>
      <c r="C1968" s="43" t="s">
        <v>481</v>
      </c>
      <c r="D1968" s="43" t="s">
        <v>87</v>
      </c>
      <c r="E1968" s="44">
        <v>1</v>
      </c>
      <c r="F1968" s="41" t="s">
        <v>13</v>
      </c>
      <c r="G1968" s="38" t="str">
        <f>IF(ISNUMBER(F1968),E1968*F1968,"")</f>
        <v/>
      </c>
      <c r="H1968" s="42"/>
      <c r="I1968" s="38"/>
      <c r="J1968" s="37">
        <v>0</v>
      </c>
    </row>
    <row r="1969" spans="1:10" ht="15.75" hidden="1" thickBot="1" x14ac:dyDescent="0.3">
      <c r="A1969" s="175"/>
      <c r="B1969" s="178"/>
      <c r="C1969" s="49"/>
      <c r="D1969" s="49"/>
      <c r="E1969" s="50"/>
      <c r="F1969" s="51" t="s">
        <v>13</v>
      </c>
      <c r="G1969" s="51" t="str">
        <f>IF(ISNUMBER(F1969),E1969*F1969,"")</f>
        <v/>
      </c>
      <c r="H1969" s="53"/>
      <c r="I1969" s="38"/>
      <c r="J1969" s="37">
        <v>0</v>
      </c>
    </row>
    <row r="1970" spans="1:10" ht="15.75" hidden="1" thickBot="1" x14ac:dyDescent="0.3">
      <c r="A1970" s="173" t="s">
        <v>482</v>
      </c>
      <c r="B1970" s="176" t="s">
        <v>3307</v>
      </c>
      <c r="C1970" s="31"/>
      <c r="D1970" s="32" t="s">
        <v>18</v>
      </c>
      <c r="E1970" s="33"/>
      <c r="F1970" s="54" t="s">
        <v>13</v>
      </c>
      <c r="G1970" s="34" t="str">
        <f>IF(ISNUMBER(F1970),E1970*F1970,"")</f>
        <v/>
      </c>
      <c r="H1970" s="35"/>
      <c r="I1970" s="36"/>
      <c r="J1970" s="37">
        <v>0</v>
      </c>
    </row>
    <row r="1971" spans="1:10" hidden="1" x14ac:dyDescent="0.25">
      <c r="A1971" s="174"/>
      <c r="B1971" s="177"/>
      <c r="C1971" s="39"/>
      <c r="D1971" s="39"/>
      <c r="E1971" s="40"/>
      <c r="F1971" s="55" t="s">
        <v>13</v>
      </c>
      <c r="G1971" s="38" t="str">
        <f>IF(ISNUMBER(F1971),E1971*F1971,"")</f>
        <v/>
      </c>
      <c r="H1971" s="42"/>
      <c r="I1971" s="38"/>
      <c r="J1971" s="37">
        <v>0</v>
      </c>
    </row>
    <row r="1972" spans="1:10" ht="25.5" hidden="1" x14ac:dyDescent="0.25">
      <c r="A1972" s="174"/>
      <c r="B1972" s="177"/>
      <c r="C1972" s="43" t="s">
        <v>10829</v>
      </c>
      <c r="D1972" s="43" t="s">
        <v>2800</v>
      </c>
      <c r="E1972" s="44">
        <v>3.5</v>
      </c>
      <c r="F1972" s="38">
        <v>24.4435</v>
      </c>
      <c r="G1972" s="41">
        <f>IF(ISNUMBER(F1972),E1972*F1972,"")</f>
        <v>85.552250000000001</v>
      </c>
      <c r="H1972" s="46">
        <f>SUM(G1972:G1974)</f>
        <v>181.14600000000002</v>
      </c>
      <c r="I1972" s="47"/>
      <c r="J1972" s="37">
        <v>0</v>
      </c>
    </row>
    <row r="1973" spans="1:10" ht="25.5" hidden="1" x14ac:dyDescent="0.25">
      <c r="A1973" s="174"/>
      <c r="B1973" s="177"/>
      <c r="C1973" s="43" t="s">
        <v>10832</v>
      </c>
      <c r="D1973" s="43" t="s">
        <v>2800</v>
      </c>
      <c r="E1973" s="44">
        <v>3.5</v>
      </c>
      <c r="F1973" s="38">
        <v>27.3125</v>
      </c>
      <c r="G1973" s="41">
        <f>IF(ISNUMBER(F1973),E1973*F1973,"")</f>
        <v>95.59375</v>
      </c>
      <c r="H1973" s="42"/>
      <c r="I1973" s="38"/>
      <c r="J1973" s="37">
        <v>0</v>
      </c>
    </row>
    <row r="1974" spans="1:10" hidden="1" x14ac:dyDescent="0.25">
      <c r="A1974" s="174"/>
      <c r="B1974" s="177"/>
      <c r="C1974" s="43" t="s">
        <v>483</v>
      </c>
      <c r="D1974" s="43" t="s">
        <v>87</v>
      </c>
      <c r="E1974" s="44">
        <v>1</v>
      </c>
      <c r="F1974" s="41" t="s">
        <v>13</v>
      </c>
      <c r="G1974" s="41" t="str">
        <f>IF(ISNUMBER(F1974),E1974*F1974,"")</f>
        <v/>
      </c>
      <c r="H1974" s="42"/>
      <c r="I1974" s="38"/>
      <c r="J1974" s="37">
        <v>0</v>
      </c>
    </row>
    <row r="1975" spans="1:10" ht="15.75" hidden="1" thickBot="1" x14ac:dyDescent="0.3">
      <c r="A1975" s="175"/>
      <c r="B1975" s="178"/>
      <c r="C1975" s="49"/>
      <c r="D1975" s="49"/>
      <c r="E1975" s="50"/>
      <c r="F1975" s="51" t="s">
        <v>13</v>
      </c>
      <c r="G1975" s="51" t="str">
        <f>IF(ISNUMBER(F1975),E1975*F1975,"")</f>
        <v/>
      </c>
      <c r="H1975" s="53"/>
      <c r="I1975" s="38"/>
      <c r="J1975" s="37">
        <v>0</v>
      </c>
    </row>
    <row r="1976" spans="1:10" ht="15.75" hidden="1" thickBot="1" x14ac:dyDescent="0.3">
      <c r="A1976" s="173" t="s">
        <v>484</v>
      </c>
      <c r="B1976" s="176" t="s">
        <v>3308</v>
      </c>
      <c r="C1976" s="31"/>
      <c r="D1976" s="32" t="s">
        <v>18</v>
      </c>
      <c r="E1976" s="33"/>
      <c r="F1976" s="54" t="s">
        <v>13</v>
      </c>
      <c r="G1976" s="34" t="str">
        <f>IF(ISNUMBER(F1976),E1976*F1976,"")</f>
        <v/>
      </c>
      <c r="H1976" s="35"/>
      <c r="I1976" s="36"/>
      <c r="J1976" s="37">
        <v>0</v>
      </c>
    </row>
    <row r="1977" spans="1:10" hidden="1" x14ac:dyDescent="0.25">
      <c r="A1977" s="174"/>
      <c r="B1977" s="177"/>
      <c r="C1977" s="39"/>
      <c r="D1977" s="39"/>
      <c r="E1977" s="40"/>
      <c r="F1977" s="55" t="s">
        <v>13</v>
      </c>
      <c r="G1977" s="38" t="str">
        <f>IF(ISNUMBER(F1977),E1977*F1977,"")</f>
        <v/>
      </c>
      <c r="H1977" s="42"/>
      <c r="I1977" s="38"/>
      <c r="J1977" s="37">
        <v>0</v>
      </c>
    </row>
    <row r="1978" spans="1:10" ht="25.5" hidden="1" x14ac:dyDescent="0.25">
      <c r="A1978" s="174"/>
      <c r="B1978" s="177"/>
      <c r="C1978" s="43" t="s">
        <v>10829</v>
      </c>
      <c r="D1978" s="43" t="s">
        <v>2800</v>
      </c>
      <c r="E1978" s="44">
        <v>3.5</v>
      </c>
      <c r="F1978" s="38">
        <v>24.4435</v>
      </c>
      <c r="G1978" s="38">
        <f>IF(ISNUMBER(F1978),E1978*F1978,"")</f>
        <v>85.552250000000001</v>
      </c>
      <c r="H1978" s="46">
        <f>SUM(G1978:G1980)</f>
        <v>181.14600000000002</v>
      </c>
      <c r="I1978" s="47"/>
      <c r="J1978" s="37">
        <v>0</v>
      </c>
    </row>
    <row r="1979" spans="1:10" ht="25.5" hidden="1" x14ac:dyDescent="0.25">
      <c r="A1979" s="174"/>
      <c r="B1979" s="177"/>
      <c r="C1979" s="43" t="s">
        <v>10832</v>
      </c>
      <c r="D1979" s="43" t="s">
        <v>2800</v>
      </c>
      <c r="E1979" s="44">
        <v>3.5</v>
      </c>
      <c r="F1979" s="38">
        <v>27.3125</v>
      </c>
      <c r="G1979" s="38">
        <f>IF(ISNUMBER(F1979),E1979*F1979,"")</f>
        <v>95.59375</v>
      </c>
      <c r="H1979" s="42"/>
      <c r="I1979" s="38"/>
      <c r="J1979" s="37">
        <v>0</v>
      </c>
    </row>
    <row r="1980" spans="1:10" hidden="1" x14ac:dyDescent="0.25">
      <c r="A1980" s="174"/>
      <c r="B1980" s="177"/>
      <c r="C1980" s="43" t="s">
        <v>485</v>
      </c>
      <c r="D1980" s="43" t="s">
        <v>87</v>
      </c>
      <c r="E1980" s="44">
        <v>1</v>
      </c>
      <c r="F1980" s="38" t="s">
        <v>13</v>
      </c>
      <c r="G1980" s="38" t="str">
        <f>IF(ISNUMBER(F1980),E1980*F1980,"")</f>
        <v/>
      </c>
      <c r="H1980" s="42"/>
      <c r="I1980" s="38"/>
      <c r="J1980" s="37">
        <v>0</v>
      </c>
    </row>
    <row r="1981" spans="1:10" ht="15.75" hidden="1" thickBot="1" x14ac:dyDescent="0.3">
      <c r="A1981" s="175"/>
      <c r="B1981" s="178"/>
      <c r="C1981" s="49"/>
      <c r="D1981" s="49"/>
      <c r="E1981" s="50"/>
      <c r="F1981" s="51" t="s">
        <v>13</v>
      </c>
      <c r="G1981" s="51" t="str">
        <f>IF(ISNUMBER(F1981),E1981*F1981,"")</f>
        <v/>
      </c>
      <c r="H1981" s="53"/>
      <c r="I1981" s="38"/>
      <c r="J1981" s="37">
        <v>0</v>
      </c>
    </row>
    <row r="1982" spans="1:10" ht="15.75" hidden="1" thickBot="1" x14ac:dyDescent="0.3">
      <c r="A1982" s="173" t="s">
        <v>486</v>
      </c>
      <c r="B1982" s="176" t="s">
        <v>3309</v>
      </c>
      <c r="C1982" s="31"/>
      <c r="D1982" s="32" t="s">
        <v>18</v>
      </c>
      <c r="E1982" s="33"/>
      <c r="F1982" s="54" t="s">
        <v>13</v>
      </c>
      <c r="G1982" s="34" t="str">
        <f>IF(ISNUMBER(F1982),E1982*F1982,"")</f>
        <v/>
      </c>
      <c r="H1982" s="35"/>
      <c r="I1982" s="36"/>
      <c r="J1982" s="37">
        <v>0</v>
      </c>
    </row>
    <row r="1983" spans="1:10" hidden="1" x14ac:dyDescent="0.25">
      <c r="A1983" s="174"/>
      <c r="B1983" s="177"/>
      <c r="C1983" s="39"/>
      <c r="D1983" s="39"/>
      <c r="E1983" s="40"/>
      <c r="F1983" s="55" t="s">
        <v>13</v>
      </c>
      <c r="G1983" s="38" t="str">
        <f>IF(ISNUMBER(F1983),E1983*F1983,"")</f>
        <v/>
      </c>
      <c r="H1983" s="42"/>
      <c r="I1983" s="38"/>
      <c r="J1983" s="37">
        <v>0</v>
      </c>
    </row>
    <row r="1984" spans="1:10" ht="25.5" hidden="1" x14ac:dyDescent="0.25">
      <c r="A1984" s="174"/>
      <c r="B1984" s="177"/>
      <c r="C1984" s="43" t="s">
        <v>10829</v>
      </c>
      <c r="D1984" s="43" t="s">
        <v>2800</v>
      </c>
      <c r="E1984" s="44">
        <f>2.5</f>
        <v>2.5</v>
      </c>
      <c r="F1984" s="38">
        <v>24.4435</v>
      </c>
      <c r="G1984" s="38">
        <f>IF(ISNUMBER(F1984),E1984*F1984,"")</f>
        <v>61.108750000000001</v>
      </c>
      <c r="H1984" s="46">
        <f>SUM(G1984:G1985)</f>
        <v>129.38999999999999</v>
      </c>
      <c r="I1984" s="47"/>
      <c r="J1984" s="37">
        <v>0</v>
      </c>
    </row>
    <row r="1985" spans="1:10" ht="25.5" hidden="1" x14ac:dyDescent="0.25">
      <c r="A1985" s="174"/>
      <c r="B1985" s="177"/>
      <c r="C1985" s="43" t="s">
        <v>10832</v>
      </c>
      <c r="D1985" s="43" t="s">
        <v>2800</v>
      </c>
      <c r="E1985" s="44">
        <f>2.5</f>
        <v>2.5</v>
      </c>
      <c r="F1985" s="38">
        <v>27.3125</v>
      </c>
      <c r="G1985" s="38">
        <f>IF(ISNUMBER(F1985),E1985*F1985,"")</f>
        <v>68.28125</v>
      </c>
      <c r="H1985" s="42"/>
      <c r="I1985" s="38"/>
      <c r="J1985" s="37">
        <v>0</v>
      </c>
    </row>
    <row r="1986" spans="1:10" ht="15.75" hidden="1" thickBot="1" x14ac:dyDescent="0.3">
      <c r="A1986" s="175"/>
      <c r="B1986" s="178"/>
      <c r="C1986" s="49"/>
      <c r="D1986" s="49"/>
      <c r="E1986" s="50"/>
      <c r="F1986" s="51" t="s">
        <v>13</v>
      </c>
      <c r="G1986" s="51" t="str">
        <f>IF(ISNUMBER(F1986),E1986*F1986,"")</f>
        <v/>
      </c>
      <c r="H1986" s="53"/>
      <c r="I1986" s="38"/>
      <c r="J1986" s="37">
        <v>0</v>
      </c>
    </row>
    <row r="1987" spans="1:10" ht="15.75" hidden="1" thickBot="1" x14ac:dyDescent="0.3">
      <c r="A1987" s="173" t="s">
        <v>487</v>
      </c>
      <c r="B1987" s="176" t="s">
        <v>3310</v>
      </c>
      <c r="C1987" s="31"/>
      <c r="D1987" s="32" t="s">
        <v>18</v>
      </c>
      <c r="E1987" s="33"/>
      <c r="F1987" s="54" t="s">
        <v>13</v>
      </c>
      <c r="G1987" s="34" t="str">
        <f>IF(ISNUMBER(F1987),E1987*F1987,"")</f>
        <v/>
      </c>
      <c r="H1987" s="35"/>
      <c r="I1987" s="36"/>
      <c r="J1987" s="37">
        <v>0</v>
      </c>
    </row>
    <row r="1988" spans="1:10" hidden="1" x14ac:dyDescent="0.25">
      <c r="A1988" s="174"/>
      <c r="B1988" s="177"/>
      <c r="C1988" s="39"/>
      <c r="D1988" s="39"/>
      <c r="E1988" s="40"/>
      <c r="F1988" s="55" t="s">
        <v>13</v>
      </c>
      <c r="G1988" s="38" t="str">
        <f>IF(ISNUMBER(F1988),E1988*F1988,"")</f>
        <v/>
      </c>
      <c r="H1988" s="42"/>
      <c r="I1988" s="38"/>
      <c r="J1988" s="37">
        <v>0</v>
      </c>
    </row>
    <row r="1989" spans="1:10" hidden="1" x14ac:dyDescent="0.25">
      <c r="A1989" s="174"/>
      <c r="B1989" s="177"/>
      <c r="C1989" s="43" t="s">
        <v>10763</v>
      </c>
      <c r="D1989" s="43" t="s">
        <v>2800</v>
      </c>
      <c r="E1989" s="44">
        <v>1</v>
      </c>
      <c r="F1989" s="38">
        <v>31.435500000000001</v>
      </c>
      <c r="G1989" s="41">
        <f>IF(ISNUMBER(F1989),E1989*F1989,"")</f>
        <v>31.435500000000001</v>
      </c>
      <c r="H1989" s="46">
        <f>SUM(G1989:G1990)</f>
        <v>56.3825</v>
      </c>
      <c r="I1989" s="47"/>
      <c r="J1989" s="37">
        <v>0</v>
      </c>
    </row>
    <row r="1990" spans="1:10" hidden="1" x14ac:dyDescent="0.25">
      <c r="A1990" s="174"/>
      <c r="B1990" s="177"/>
      <c r="C1990" s="43" t="s">
        <v>10762</v>
      </c>
      <c r="D1990" s="43" t="s">
        <v>2800</v>
      </c>
      <c r="E1990" s="44">
        <v>1</v>
      </c>
      <c r="F1990" s="38">
        <v>24.946999999999999</v>
      </c>
      <c r="G1990" s="41">
        <f>IF(ISNUMBER(F1990),E1990*F1990,"")</f>
        <v>24.946999999999999</v>
      </c>
      <c r="H1990" s="42"/>
      <c r="I1990" s="38"/>
      <c r="J1990" s="37">
        <v>0</v>
      </c>
    </row>
    <row r="1991" spans="1:10" ht="15.75" hidden="1" thickBot="1" x14ac:dyDescent="0.3">
      <c r="A1991" s="175"/>
      <c r="B1991" s="178"/>
      <c r="C1991" s="49"/>
      <c r="D1991" s="49"/>
      <c r="E1991" s="50"/>
      <c r="F1991" s="51" t="s">
        <v>13</v>
      </c>
      <c r="G1991" s="51" t="str">
        <f>IF(ISNUMBER(F1991),E1991*F1991,"")</f>
        <v/>
      </c>
      <c r="H1991" s="53"/>
      <c r="I1991" s="38"/>
      <c r="J1991" s="37">
        <v>0</v>
      </c>
    </row>
    <row r="1992" spans="1:10" ht="15.75" hidden="1" thickBot="1" x14ac:dyDescent="0.3">
      <c r="A1992" s="173" t="s">
        <v>488</v>
      </c>
      <c r="B1992" s="176" t="s">
        <v>3311</v>
      </c>
      <c r="C1992" s="31"/>
      <c r="D1992" s="32" t="s">
        <v>18</v>
      </c>
      <c r="E1992" s="33"/>
      <c r="F1992" s="54" t="s">
        <v>13</v>
      </c>
      <c r="G1992" s="34" t="str">
        <f>IF(ISNUMBER(F1992),E1992*F1992,"")</f>
        <v/>
      </c>
      <c r="H1992" s="35"/>
      <c r="I1992" s="36"/>
      <c r="J1992" s="37">
        <v>0</v>
      </c>
    </row>
    <row r="1993" spans="1:10" hidden="1" x14ac:dyDescent="0.25">
      <c r="A1993" s="174"/>
      <c r="B1993" s="177"/>
      <c r="C1993" s="39"/>
      <c r="D1993" s="39"/>
      <c r="E1993" s="40"/>
      <c r="F1993" s="55" t="s">
        <v>13</v>
      </c>
      <c r="G1993" s="38" t="str">
        <f>IF(ISNUMBER(F1993),E1993*F1993,"")</f>
        <v/>
      </c>
      <c r="H1993" s="42"/>
      <c r="I1993" s="38"/>
      <c r="J1993" s="37">
        <v>0</v>
      </c>
    </row>
    <row r="1994" spans="1:10" hidden="1" x14ac:dyDescent="0.25">
      <c r="A1994" s="174"/>
      <c r="B1994" s="177"/>
      <c r="C1994" s="43" t="s">
        <v>10956</v>
      </c>
      <c r="D1994" s="43" t="s">
        <v>2800</v>
      </c>
      <c r="E1994" s="44">
        <v>0.75</v>
      </c>
      <c r="F1994" s="38">
        <v>29.060499999999998</v>
      </c>
      <c r="G1994" s="41">
        <f>IF(ISNUMBER(F1994),E1994*F1994,"")</f>
        <v>21.795375</v>
      </c>
      <c r="H1994" s="46">
        <f>SUM(G1994:G1995)</f>
        <v>40.063874999999996</v>
      </c>
      <c r="I1994" s="47"/>
      <c r="J1994" s="37">
        <v>0</v>
      </c>
    </row>
    <row r="1995" spans="1:10" hidden="1" x14ac:dyDescent="0.25">
      <c r="A1995" s="174"/>
      <c r="B1995" s="177"/>
      <c r="C1995" s="43" t="s">
        <v>10655</v>
      </c>
      <c r="D1995" s="43" t="s">
        <v>2800</v>
      </c>
      <c r="E1995" s="44">
        <v>0.75</v>
      </c>
      <c r="F1995" s="38">
        <v>24.358000000000001</v>
      </c>
      <c r="G1995" s="41">
        <f>IF(ISNUMBER(F1995),E1995*F1995,"")</f>
        <v>18.2685</v>
      </c>
      <c r="H1995" s="42"/>
      <c r="I1995" s="38"/>
      <c r="J1995" s="37">
        <v>0</v>
      </c>
    </row>
    <row r="1996" spans="1:10" ht="15.75" hidden="1" thickBot="1" x14ac:dyDescent="0.3">
      <c r="A1996" s="175"/>
      <c r="B1996" s="178"/>
      <c r="C1996" s="49"/>
      <c r="D1996" s="49"/>
      <c r="E1996" s="50"/>
      <c r="F1996" s="51" t="s">
        <v>13</v>
      </c>
      <c r="G1996" s="51" t="str">
        <f>IF(ISNUMBER(F1996),E1996*F1996,"")</f>
        <v/>
      </c>
      <c r="H1996" s="53"/>
      <c r="I1996" s="38"/>
      <c r="J1996" s="37">
        <v>0</v>
      </c>
    </row>
    <row r="1997" spans="1:10" ht="15.75" hidden="1" thickBot="1" x14ac:dyDescent="0.3">
      <c r="A1997" s="173" t="s">
        <v>489</v>
      </c>
      <c r="B1997" s="176" t="s">
        <v>3312</v>
      </c>
      <c r="C1997" s="31"/>
      <c r="D1997" s="32" t="s">
        <v>18</v>
      </c>
      <c r="E1997" s="33"/>
      <c r="F1997" s="54" t="s">
        <v>13</v>
      </c>
      <c r="G1997" s="34" t="str">
        <f>IF(ISNUMBER(F1997),E1997*F1997,"")</f>
        <v/>
      </c>
      <c r="H1997" s="35"/>
      <c r="I1997" s="36"/>
      <c r="J1997" s="37">
        <v>0</v>
      </c>
    </row>
    <row r="1998" spans="1:10" hidden="1" x14ac:dyDescent="0.25">
      <c r="A1998" s="174"/>
      <c r="B1998" s="177"/>
      <c r="C1998" s="39"/>
      <c r="D1998" s="39"/>
      <c r="E1998" s="40"/>
      <c r="F1998" s="55" t="s">
        <v>13</v>
      </c>
      <c r="G1998" s="38" t="str">
        <f>IF(ISNUMBER(F1998),E1998*F1998,"")</f>
        <v/>
      </c>
      <c r="H1998" s="42"/>
      <c r="I1998" s="38"/>
      <c r="J1998" s="37">
        <v>0</v>
      </c>
    </row>
    <row r="1999" spans="1:10" ht="25.5" hidden="1" x14ac:dyDescent="0.25">
      <c r="A1999" s="174"/>
      <c r="B1999" s="177"/>
      <c r="C1999" s="43" t="s">
        <v>10753</v>
      </c>
      <c r="D1999" s="43" t="s">
        <v>2800</v>
      </c>
      <c r="E1999" s="44">
        <v>0.5</v>
      </c>
      <c r="F1999" s="38">
        <v>23.997</v>
      </c>
      <c r="G1999" s="41">
        <f>IF(ISNUMBER(F1999),E1999*F1999,"")</f>
        <v>11.9985</v>
      </c>
      <c r="H1999" s="46">
        <f>SUM(G1999:G2001)</f>
        <v>27.179499999999997</v>
      </c>
      <c r="I1999" s="47"/>
      <c r="J1999" s="37">
        <v>0</v>
      </c>
    </row>
    <row r="2000" spans="1:10" ht="25.5" hidden="1" x14ac:dyDescent="0.25">
      <c r="A2000" s="174"/>
      <c r="B2000" s="177"/>
      <c r="C2000" s="43" t="s">
        <v>10754</v>
      </c>
      <c r="D2000" s="43" t="s">
        <v>2800</v>
      </c>
      <c r="E2000" s="44">
        <v>0.5</v>
      </c>
      <c r="F2000" s="38">
        <v>30.361999999999998</v>
      </c>
      <c r="G2000" s="41">
        <f>IF(ISNUMBER(F2000),E2000*F2000,"")</f>
        <v>15.180999999999999</v>
      </c>
      <c r="H2000" s="42"/>
      <c r="I2000" s="38"/>
      <c r="J2000" s="37">
        <v>0</v>
      </c>
    </row>
    <row r="2001" spans="1:10" ht="25.5" hidden="1" x14ac:dyDescent="0.25">
      <c r="A2001" s="174"/>
      <c r="B2001" s="177"/>
      <c r="C2001" s="43" t="s">
        <v>490</v>
      </c>
      <c r="D2001" s="43" t="s">
        <v>18</v>
      </c>
      <c r="E2001" s="44">
        <v>1</v>
      </c>
      <c r="F2001" s="41" t="s">
        <v>13</v>
      </c>
      <c r="G2001" s="38" t="str">
        <f>IF(ISNUMBER(F2001),E2001*F2001,"")</f>
        <v/>
      </c>
      <c r="H2001" s="42"/>
      <c r="I2001" s="38"/>
      <c r="J2001" s="37">
        <v>0</v>
      </c>
    </row>
    <row r="2002" spans="1:10" ht="15.75" hidden="1" thickBot="1" x14ac:dyDescent="0.3">
      <c r="A2002" s="175"/>
      <c r="B2002" s="178"/>
      <c r="C2002" s="49"/>
      <c r="D2002" s="49"/>
      <c r="E2002" s="50"/>
      <c r="F2002" s="51" t="s">
        <v>13</v>
      </c>
      <c r="G2002" s="51" t="str">
        <f>IF(ISNUMBER(F2002),E2002*F2002,"")</f>
        <v/>
      </c>
      <c r="H2002" s="53"/>
      <c r="I2002" s="38"/>
      <c r="J2002" s="37">
        <v>0</v>
      </c>
    </row>
    <row r="2003" spans="1:10" ht="15.75" hidden="1" thickBot="1" x14ac:dyDescent="0.3">
      <c r="A2003" s="173" t="s">
        <v>491</v>
      </c>
      <c r="B2003" s="176" t="s">
        <v>3313</v>
      </c>
      <c r="C2003" s="31"/>
      <c r="D2003" s="32" t="s">
        <v>106</v>
      </c>
      <c r="E2003" s="33"/>
      <c r="F2003" s="54" t="s">
        <v>13</v>
      </c>
      <c r="G2003" s="34" t="str">
        <f>IF(ISNUMBER(F2003),E2003*F2003,"")</f>
        <v/>
      </c>
      <c r="H2003" s="35"/>
      <c r="I2003" s="36"/>
      <c r="J2003" s="37">
        <v>0</v>
      </c>
    </row>
    <row r="2004" spans="1:10" hidden="1" x14ac:dyDescent="0.25">
      <c r="A2004" s="174"/>
      <c r="B2004" s="177"/>
      <c r="C2004" s="39"/>
      <c r="D2004" s="39"/>
      <c r="E2004" s="40"/>
      <c r="F2004" s="55" t="s">
        <v>13</v>
      </c>
      <c r="G2004" s="38" t="str">
        <f>IF(ISNUMBER(F2004),E2004*F2004,"")</f>
        <v/>
      </c>
      <c r="H2004" s="42"/>
      <c r="I2004" s="38"/>
      <c r="J2004" s="37">
        <v>0</v>
      </c>
    </row>
    <row r="2005" spans="1:10" ht="25.5" hidden="1" x14ac:dyDescent="0.25">
      <c r="A2005" s="174"/>
      <c r="B2005" s="177"/>
      <c r="C2005" s="43" t="s">
        <v>10829</v>
      </c>
      <c r="D2005" s="43" t="s">
        <v>2800</v>
      </c>
      <c r="E2005" s="44">
        <v>0.05</v>
      </c>
      <c r="F2005" s="38">
        <v>24.4435</v>
      </c>
      <c r="G2005" s="38">
        <f>IF(ISNUMBER(F2005),E2005*F2005,"")</f>
        <v>1.222175</v>
      </c>
      <c r="H2005" s="46">
        <f>SUM(G2005:G2006)</f>
        <v>1.222175</v>
      </c>
      <c r="I2005" s="47"/>
      <c r="J2005" s="37">
        <v>0</v>
      </c>
    </row>
    <row r="2006" spans="1:10" hidden="1" x14ac:dyDescent="0.25">
      <c r="A2006" s="174"/>
      <c r="B2006" s="177"/>
      <c r="C2006" s="43" t="s">
        <v>492</v>
      </c>
      <c r="D2006" s="62" t="s">
        <v>106</v>
      </c>
      <c r="E2006" s="44">
        <v>1</v>
      </c>
      <c r="F2006" s="38" t="s">
        <v>13</v>
      </c>
      <c r="G2006" s="38" t="str">
        <f>IF(ISNUMBER(F2006),E2006*F2006,"")</f>
        <v/>
      </c>
      <c r="H2006" s="42"/>
      <c r="I2006" s="38"/>
      <c r="J2006" s="37">
        <v>0</v>
      </c>
    </row>
    <row r="2007" spans="1:10" ht="15.75" hidden="1" thickBot="1" x14ac:dyDescent="0.3">
      <c r="A2007" s="175"/>
      <c r="B2007" s="178"/>
      <c r="C2007" s="49"/>
      <c r="D2007" s="49"/>
      <c r="E2007" s="50"/>
      <c r="F2007" s="51" t="s">
        <v>13</v>
      </c>
      <c r="G2007" s="51" t="str">
        <f>IF(ISNUMBER(F2007),E2007*F2007,"")</f>
        <v/>
      </c>
      <c r="H2007" s="53"/>
      <c r="I2007" s="38"/>
      <c r="J2007" s="37">
        <v>0</v>
      </c>
    </row>
    <row r="2008" spans="1:10" ht="15.75" hidden="1" thickBot="1" x14ac:dyDescent="0.3">
      <c r="A2008" s="173" t="s">
        <v>493</v>
      </c>
      <c r="B2008" s="176" t="s">
        <v>3314</v>
      </c>
      <c r="C2008" s="31"/>
      <c r="D2008" s="32" t="s">
        <v>106</v>
      </c>
      <c r="E2008" s="33"/>
      <c r="F2008" s="54" t="s">
        <v>13</v>
      </c>
      <c r="G2008" s="34" t="str">
        <f>IF(ISNUMBER(F2008),E2008*F2008,"")</f>
        <v/>
      </c>
      <c r="H2008" s="35"/>
      <c r="I2008" s="36"/>
      <c r="J2008" s="37">
        <v>0</v>
      </c>
    </row>
    <row r="2009" spans="1:10" hidden="1" x14ac:dyDescent="0.25">
      <c r="A2009" s="174"/>
      <c r="B2009" s="177"/>
      <c r="C2009" s="39"/>
      <c r="D2009" s="39"/>
      <c r="E2009" s="40"/>
      <c r="F2009" s="55" t="s">
        <v>13</v>
      </c>
      <c r="G2009" s="38" t="str">
        <f>IF(ISNUMBER(F2009),E2009*F2009,"")</f>
        <v/>
      </c>
      <c r="H2009" s="42"/>
      <c r="I2009" s="38"/>
      <c r="J2009" s="37">
        <v>0</v>
      </c>
    </row>
    <row r="2010" spans="1:10" ht="25.5" hidden="1" x14ac:dyDescent="0.25">
      <c r="A2010" s="174"/>
      <c r="B2010" s="177"/>
      <c r="C2010" s="43" t="s">
        <v>10829</v>
      </c>
      <c r="D2010" s="43" t="s">
        <v>2800</v>
      </c>
      <c r="E2010" s="44">
        <v>0.05</v>
      </c>
      <c r="F2010" s="38">
        <v>24.4435</v>
      </c>
      <c r="G2010" s="38">
        <f>IF(ISNUMBER(F2010),E2010*F2010,"")</f>
        <v>1.222175</v>
      </c>
      <c r="H2010" s="46">
        <f>SUM(G2010:G2011)</f>
        <v>1.222175</v>
      </c>
      <c r="I2010" s="47"/>
      <c r="J2010" s="37">
        <v>0</v>
      </c>
    </row>
    <row r="2011" spans="1:10" hidden="1" x14ac:dyDescent="0.25">
      <c r="A2011" s="174"/>
      <c r="B2011" s="177"/>
      <c r="C2011" s="43" t="s">
        <v>494</v>
      </c>
      <c r="D2011" s="62" t="s">
        <v>106</v>
      </c>
      <c r="E2011" s="44">
        <v>1</v>
      </c>
      <c r="F2011" s="38" t="s">
        <v>13</v>
      </c>
      <c r="G2011" s="38" t="str">
        <f>IF(ISNUMBER(F2011),E2011*F2011,"")</f>
        <v/>
      </c>
      <c r="H2011" s="42"/>
      <c r="I2011" s="38"/>
      <c r="J2011" s="37">
        <v>0</v>
      </c>
    </row>
    <row r="2012" spans="1:10" ht="15.75" hidden="1" thickBot="1" x14ac:dyDescent="0.3">
      <c r="A2012" s="175"/>
      <c r="B2012" s="178"/>
      <c r="C2012" s="49"/>
      <c r="D2012" s="49"/>
      <c r="E2012" s="50"/>
      <c r="F2012" s="51" t="s">
        <v>13</v>
      </c>
      <c r="G2012" s="51" t="str">
        <f>IF(ISNUMBER(F2012),E2012*F2012,"")</f>
        <v/>
      </c>
      <c r="H2012" s="53"/>
      <c r="I2012" s="38"/>
      <c r="J2012" s="37">
        <v>0</v>
      </c>
    </row>
    <row r="2013" spans="1:10" ht="15.75" hidden="1" thickBot="1" x14ac:dyDescent="0.3">
      <c r="A2013" s="173" t="s">
        <v>495</v>
      </c>
      <c r="B2013" s="176" t="s">
        <v>3315</v>
      </c>
      <c r="C2013" s="31"/>
      <c r="D2013" s="32" t="s">
        <v>106</v>
      </c>
      <c r="E2013" s="33"/>
      <c r="F2013" s="54" t="s">
        <v>13</v>
      </c>
      <c r="G2013" s="34" t="str">
        <f>IF(ISNUMBER(F2013),E2013*F2013,"")</f>
        <v/>
      </c>
      <c r="H2013" s="35"/>
      <c r="I2013" s="36"/>
      <c r="J2013" s="37">
        <v>0</v>
      </c>
    </row>
    <row r="2014" spans="1:10" hidden="1" x14ac:dyDescent="0.25">
      <c r="A2014" s="174"/>
      <c r="B2014" s="177"/>
      <c r="C2014" s="39"/>
      <c r="D2014" s="39"/>
      <c r="E2014" s="40"/>
      <c r="F2014" s="55" t="s">
        <v>13</v>
      </c>
      <c r="G2014" s="38" t="str">
        <f>IF(ISNUMBER(F2014),E2014*F2014,"")</f>
        <v/>
      </c>
      <c r="H2014" s="42"/>
      <c r="I2014" s="38"/>
      <c r="J2014" s="37">
        <v>0</v>
      </c>
    </row>
    <row r="2015" spans="1:10" ht="25.5" hidden="1" x14ac:dyDescent="0.25">
      <c r="A2015" s="174"/>
      <c r="B2015" s="177"/>
      <c r="C2015" s="43" t="s">
        <v>10829</v>
      </c>
      <c r="D2015" s="43" t="s">
        <v>2800</v>
      </c>
      <c r="E2015" s="44">
        <v>0.05</v>
      </c>
      <c r="F2015" s="38">
        <v>24.4435</v>
      </c>
      <c r="G2015" s="38">
        <f>IF(ISNUMBER(F2015),E2015*F2015,"")</f>
        <v>1.222175</v>
      </c>
      <c r="H2015" s="46">
        <f>SUM(G2015:G2018)</f>
        <v>1.222175</v>
      </c>
      <c r="I2015" s="47"/>
      <c r="J2015" s="37">
        <v>0</v>
      </c>
    </row>
    <row r="2016" spans="1:10" hidden="1" x14ac:dyDescent="0.25">
      <c r="A2016" s="174"/>
      <c r="B2016" s="177"/>
      <c r="C2016" s="43" t="s">
        <v>496</v>
      </c>
      <c r="D2016" s="43" t="s">
        <v>18</v>
      </c>
      <c r="E2016" s="44">
        <v>1</v>
      </c>
      <c r="F2016" s="38" t="s">
        <v>13</v>
      </c>
      <c r="G2016" s="38" t="str">
        <f>IF(ISNUMBER(F2016),E2016*F2016,"")</f>
        <v/>
      </c>
      <c r="H2016" s="42"/>
      <c r="I2016" s="38"/>
      <c r="J2016" s="37">
        <v>0</v>
      </c>
    </row>
    <row r="2017" spans="1:10" hidden="1" x14ac:dyDescent="0.25">
      <c r="A2017" s="174"/>
      <c r="B2017" s="177"/>
      <c r="C2017" s="43" t="s">
        <v>497</v>
      </c>
      <c r="D2017" s="43" t="s">
        <v>18</v>
      </c>
      <c r="E2017" s="44">
        <v>1</v>
      </c>
      <c r="F2017" s="38" t="s">
        <v>13</v>
      </c>
      <c r="G2017" s="38" t="str">
        <f>IF(ISNUMBER(F2017),E2017*F2017,"")</f>
        <v/>
      </c>
      <c r="H2017" s="42"/>
      <c r="I2017" s="38"/>
      <c r="J2017" s="37">
        <v>0</v>
      </c>
    </row>
    <row r="2018" spans="1:10" hidden="1" x14ac:dyDescent="0.25">
      <c r="A2018" s="174"/>
      <c r="B2018" s="177"/>
      <c r="C2018" s="43" t="s">
        <v>498</v>
      </c>
      <c r="D2018" s="62" t="s">
        <v>106</v>
      </c>
      <c r="E2018" s="44">
        <v>1</v>
      </c>
      <c r="F2018" s="38" t="s">
        <v>13</v>
      </c>
      <c r="G2018" s="38" t="str">
        <f>IF(ISNUMBER(F2018),E2018*F2018,"")</f>
        <v/>
      </c>
      <c r="H2018" s="42"/>
      <c r="I2018" s="38"/>
      <c r="J2018" s="37">
        <v>0</v>
      </c>
    </row>
    <row r="2019" spans="1:10" ht="15.75" hidden="1" thickBot="1" x14ac:dyDescent="0.3">
      <c r="A2019" s="175"/>
      <c r="B2019" s="178"/>
      <c r="C2019" s="49"/>
      <c r="D2019" s="49"/>
      <c r="E2019" s="50"/>
      <c r="F2019" s="51" t="s">
        <v>13</v>
      </c>
      <c r="G2019" s="51" t="str">
        <f>IF(ISNUMBER(F2019),E2019*F2019,"")</f>
        <v/>
      </c>
      <c r="H2019" s="53"/>
      <c r="I2019" s="38"/>
      <c r="J2019" s="37">
        <v>0</v>
      </c>
    </row>
    <row r="2020" spans="1:10" ht="15.75" hidden="1" thickBot="1" x14ac:dyDescent="0.3">
      <c r="A2020" s="173" t="s">
        <v>499</v>
      </c>
      <c r="B2020" s="176" t="s">
        <v>3316</v>
      </c>
      <c r="C2020" s="31"/>
      <c r="D2020" s="32" t="s">
        <v>18</v>
      </c>
      <c r="E2020" s="33"/>
      <c r="F2020" s="54" t="s">
        <v>13</v>
      </c>
      <c r="G2020" s="34" t="str">
        <f>IF(ISNUMBER(F2020),E2020*F2020,"")</f>
        <v/>
      </c>
      <c r="H2020" s="35"/>
      <c r="I2020" s="36"/>
      <c r="J2020" s="37">
        <v>0</v>
      </c>
    </row>
    <row r="2021" spans="1:10" hidden="1" x14ac:dyDescent="0.25">
      <c r="A2021" s="174"/>
      <c r="B2021" s="177"/>
      <c r="C2021" s="39"/>
      <c r="D2021" s="39"/>
      <c r="E2021" s="40"/>
      <c r="F2021" s="55" t="s">
        <v>13</v>
      </c>
      <c r="G2021" s="38" t="str">
        <f>IF(ISNUMBER(F2021),E2021*F2021,"")</f>
        <v/>
      </c>
      <c r="H2021" s="42"/>
      <c r="I2021" s="38"/>
      <c r="J2021" s="37">
        <v>0</v>
      </c>
    </row>
    <row r="2022" spans="1:10" ht="25.5" hidden="1" x14ac:dyDescent="0.25">
      <c r="A2022" s="174"/>
      <c r="B2022" s="177"/>
      <c r="C2022" s="43" t="s">
        <v>10753</v>
      </c>
      <c r="D2022" s="43" t="s">
        <v>2800</v>
      </c>
      <c r="E2022" s="44">
        <v>0.5</v>
      </c>
      <c r="F2022" s="38">
        <v>23.997</v>
      </c>
      <c r="G2022" s="41">
        <f>IF(ISNUMBER(F2022),E2022*F2022,"")</f>
        <v>11.9985</v>
      </c>
      <c r="H2022" s="46">
        <f>SUM(G2022:G2024)</f>
        <v>27.179499999999997</v>
      </c>
      <c r="I2022" s="47"/>
      <c r="J2022" s="37">
        <v>0</v>
      </c>
    </row>
    <row r="2023" spans="1:10" ht="25.5" hidden="1" x14ac:dyDescent="0.25">
      <c r="A2023" s="174"/>
      <c r="B2023" s="177"/>
      <c r="C2023" s="43" t="s">
        <v>10754</v>
      </c>
      <c r="D2023" s="43" t="s">
        <v>2800</v>
      </c>
      <c r="E2023" s="44">
        <v>0.5</v>
      </c>
      <c r="F2023" s="38">
        <v>30.361999999999998</v>
      </c>
      <c r="G2023" s="41">
        <f>IF(ISNUMBER(F2023),E2023*F2023,"")</f>
        <v>15.180999999999999</v>
      </c>
      <c r="H2023" s="42"/>
      <c r="I2023" s="38"/>
      <c r="J2023" s="37">
        <v>0</v>
      </c>
    </row>
    <row r="2024" spans="1:10" hidden="1" x14ac:dyDescent="0.25">
      <c r="A2024" s="174"/>
      <c r="B2024" s="177"/>
      <c r="C2024" s="43" t="s">
        <v>500</v>
      </c>
      <c r="D2024" s="43" t="s">
        <v>87</v>
      </c>
      <c r="E2024" s="44">
        <v>1</v>
      </c>
      <c r="F2024" s="41" t="s">
        <v>13</v>
      </c>
      <c r="G2024" s="41" t="str">
        <f>IF(ISNUMBER(F2024),E2024*F2024,"")</f>
        <v/>
      </c>
      <c r="H2024" s="42"/>
      <c r="I2024" s="38"/>
      <c r="J2024" s="37">
        <v>0</v>
      </c>
    </row>
    <row r="2025" spans="1:10" ht="15.75" hidden="1" thickBot="1" x14ac:dyDescent="0.3">
      <c r="A2025" s="175"/>
      <c r="B2025" s="178"/>
      <c r="C2025" s="49"/>
      <c r="D2025" s="49"/>
      <c r="E2025" s="50"/>
      <c r="F2025" s="51" t="s">
        <v>13</v>
      </c>
      <c r="G2025" s="51" t="str">
        <f>IF(ISNUMBER(F2025),E2025*F2025,"")</f>
        <v/>
      </c>
      <c r="H2025" s="53"/>
      <c r="I2025" s="38"/>
      <c r="J2025" s="37">
        <v>0</v>
      </c>
    </row>
    <row r="2026" spans="1:10" ht="15.75" hidden="1" thickBot="1" x14ac:dyDescent="0.3">
      <c r="A2026" s="173" t="s">
        <v>501</v>
      </c>
      <c r="B2026" s="176" t="s">
        <v>502</v>
      </c>
      <c r="C2026" s="31"/>
      <c r="D2026" s="32" t="s">
        <v>18</v>
      </c>
      <c r="E2026" s="33"/>
      <c r="F2026" s="54" t="s">
        <v>13</v>
      </c>
      <c r="G2026" s="34" t="str">
        <f>IF(ISNUMBER(F2026),E2026*F2026,"")</f>
        <v/>
      </c>
      <c r="H2026" s="35"/>
      <c r="I2026" s="36"/>
      <c r="J2026" s="37">
        <v>0</v>
      </c>
    </row>
    <row r="2027" spans="1:10" hidden="1" x14ac:dyDescent="0.25">
      <c r="A2027" s="174"/>
      <c r="B2027" s="177"/>
      <c r="C2027" s="39"/>
      <c r="D2027" s="39"/>
      <c r="E2027" s="40"/>
      <c r="F2027" s="55" t="s">
        <v>13</v>
      </c>
      <c r="G2027" s="38" t="str">
        <f>IF(ISNUMBER(F2027),E2027*F2027,"")</f>
        <v/>
      </c>
      <c r="H2027" s="42"/>
      <c r="I2027" s="38"/>
      <c r="J2027" s="37">
        <v>0</v>
      </c>
    </row>
    <row r="2028" spans="1:10" ht="25.5" hidden="1" x14ac:dyDescent="0.25">
      <c r="A2028" s="174"/>
      <c r="B2028" s="177"/>
      <c r="C2028" s="43" t="s">
        <v>10753</v>
      </c>
      <c r="D2028" s="43" t="s">
        <v>2800</v>
      </c>
      <c r="E2028" s="44">
        <v>0.5</v>
      </c>
      <c r="F2028" s="38">
        <v>23.997</v>
      </c>
      <c r="G2028" s="41">
        <f>IF(ISNUMBER(F2028),E2028*F2028,"")</f>
        <v>11.9985</v>
      </c>
      <c r="H2028" s="46">
        <f>SUM(G2028:G2030)</f>
        <v>27.179499999999997</v>
      </c>
      <c r="I2028" s="47"/>
      <c r="J2028" s="37">
        <v>0</v>
      </c>
    </row>
    <row r="2029" spans="1:10" ht="25.5" hidden="1" x14ac:dyDescent="0.25">
      <c r="A2029" s="174"/>
      <c r="B2029" s="177"/>
      <c r="C2029" s="43" t="s">
        <v>10754</v>
      </c>
      <c r="D2029" s="43" t="s">
        <v>2800</v>
      </c>
      <c r="E2029" s="44">
        <v>0.5</v>
      </c>
      <c r="F2029" s="38">
        <v>30.361999999999998</v>
      </c>
      <c r="G2029" s="41">
        <f>IF(ISNUMBER(F2029),E2029*F2029,"")</f>
        <v>15.180999999999999</v>
      </c>
      <c r="H2029" s="42"/>
      <c r="I2029" s="38"/>
      <c r="J2029" s="37">
        <v>0</v>
      </c>
    </row>
    <row r="2030" spans="1:10" hidden="1" x14ac:dyDescent="0.25">
      <c r="A2030" s="174"/>
      <c r="B2030" s="177"/>
      <c r="C2030" s="43" t="s">
        <v>502</v>
      </c>
      <c r="D2030" s="43" t="s">
        <v>87</v>
      </c>
      <c r="E2030" s="44">
        <v>1</v>
      </c>
      <c r="F2030" s="41" t="s">
        <v>13</v>
      </c>
      <c r="G2030" s="41" t="str">
        <f>IF(ISNUMBER(F2030),E2030*F2030,"")</f>
        <v/>
      </c>
      <c r="H2030" s="42"/>
      <c r="I2030" s="38"/>
      <c r="J2030" s="37">
        <v>0</v>
      </c>
    </row>
    <row r="2031" spans="1:10" ht="15.75" hidden="1" thickBot="1" x14ac:dyDescent="0.3">
      <c r="A2031" s="175"/>
      <c r="B2031" s="178"/>
      <c r="C2031" s="49"/>
      <c r="D2031" s="49"/>
      <c r="E2031" s="50"/>
      <c r="F2031" s="51" t="s">
        <v>13</v>
      </c>
      <c r="G2031" s="51" t="str">
        <f>IF(ISNUMBER(F2031),E2031*F2031,"")</f>
        <v/>
      </c>
      <c r="H2031" s="53"/>
      <c r="I2031" s="38"/>
      <c r="J2031" s="37">
        <v>0</v>
      </c>
    </row>
    <row r="2032" spans="1:10" ht="15.75" hidden="1" thickBot="1" x14ac:dyDescent="0.3">
      <c r="A2032" s="173" t="s">
        <v>503</v>
      </c>
      <c r="B2032" s="176" t="s">
        <v>3317</v>
      </c>
      <c r="C2032" s="31"/>
      <c r="D2032" s="32" t="s">
        <v>18</v>
      </c>
      <c r="E2032" s="33"/>
      <c r="F2032" s="54" t="s">
        <v>13</v>
      </c>
      <c r="G2032" s="34" t="str">
        <f>IF(ISNUMBER(F2032),E2032*F2032,"")</f>
        <v/>
      </c>
      <c r="H2032" s="35"/>
      <c r="I2032" s="36"/>
      <c r="J2032" s="37">
        <v>0</v>
      </c>
    </row>
    <row r="2033" spans="1:10" hidden="1" x14ac:dyDescent="0.25">
      <c r="A2033" s="174"/>
      <c r="B2033" s="177"/>
      <c r="C2033" s="39"/>
      <c r="D2033" s="39"/>
      <c r="E2033" s="40"/>
      <c r="F2033" s="55" t="s">
        <v>13</v>
      </c>
      <c r="G2033" s="38" t="str">
        <f>IF(ISNUMBER(F2033),E2033*F2033,"")</f>
        <v/>
      </c>
      <c r="H2033" s="42"/>
      <c r="I2033" s="38"/>
      <c r="J2033" s="37">
        <v>0</v>
      </c>
    </row>
    <row r="2034" spans="1:10" ht="25.5" hidden="1" x14ac:dyDescent="0.25">
      <c r="A2034" s="174"/>
      <c r="B2034" s="177"/>
      <c r="C2034" s="43" t="s">
        <v>10753</v>
      </c>
      <c r="D2034" s="43" t="s">
        <v>2800</v>
      </c>
      <c r="E2034" s="44">
        <v>0.14849999999999999</v>
      </c>
      <c r="F2034" s="38">
        <v>23.997</v>
      </c>
      <c r="G2034" s="38">
        <f>IF(ISNUMBER(F2034),E2034*F2034,"")</f>
        <v>3.5635545</v>
      </c>
      <c r="H2034" s="46">
        <f>SUM(G2034:G2037)</f>
        <v>8.266556099999999</v>
      </c>
      <c r="I2034" s="47"/>
      <c r="J2034" s="37">
        <v>0</v>
      </c>
    </row>
    <row r="2035" spans="1:10" ht="25.5" hidden="1" x14ac:dyDescent="0.25">
      <c r="A2035" s="174"/>
      <c r="B2035" s="177"/>
      <c r="C2035" s="43" t="s">
        <v>10754</v>
      </c>
      <c r="D2035" s="43" t="s">
        <v>2800</v>
      </c>
      <c r="E2035" s="44">
        <v>0.14849999999999999</v>
      </c>
      <c r="F2035" s="38">
        <v>30.361999999999998</v>
      </c>
      <c r="G2035" s="38">
        <f>IF(ISNUMBER(F2035),E2035*F2035,"")</f>
        <v>4.5087569999999992</v>
      </c>
      <c r="H2035" s="42"/>
      <c r="I2035" s="38"/>
      <c r="J2035" s="37">
        <v>0</v>
      </c>
    </row>
    <row r="2036" spans="1:10" ht="38.25" hidden="1" x14ac:dyDescent="0.25">
      <c r="A2036" s="174"/>
      <c r="B2036" s="177"/>
      <c r="C2036" s="43" t="s">
        <v>504</v>
      </c>
      <c r="D2036" s="43" t="s">
        <v>87</v>
      </c>
      <c r="E2036" s="44">
        <v>1</v>
      </c>
      <c r="F2036" s="41" t="s">
        <v>13</v>
      </c>
      <c r="G2036" s="38" t="str">
        <f>IF(ISNUMBER(F2036),E2036*F2036,"")</f>
        <v/>
      </c>
      <c r="H2036" s="42"/>
      <c r="I2036" s="38"/>
      <c r="J2036" s="37">
        <v>0</v>
      </c>
    </row>
    <row r="2037" spans="1:10" hidden="1" x14ac:dyDescent="0.25">
      <c r="A2037" s="174"/>
      <c r="B2037" s="177"/>
      <c r="C2037" s="43" t="s">
        <v>10907</v>
      </c>
      <c r="D2037" s="43" t="s">
        <v>83</v>
      </c>
      <c r="E2037" s="44">
        <v>1.32E-2</v>
      </c>
      <c r="F2037" s="41">
        <v>14.715499999999999</v>
      </c>
      <c r="G2037" s="38">
        <f>IF(ISNUMBER(F2037),E2037*F2037,"")</f>
        <v>0.19424459999999999</v>
      </c>
      <c r="H2037" s="42"/>
      <c r="I2037" s="38"/>
      <c r="J2037" s="37">
        <v>0</v>
      </c>
    </row>
    <row r="2038" spans="1:10" ht="15.75" hidden="1" thickBot="1" x14ac:dyDescent="0.3">
      <c r="A2038" s="175"/>
      <c r="B2038" s="178"/>
      <c r="C2038" s="49"/>
      <c r="D2038" s="49"/>
      <c r="E2038" s="50"/>
      <c r="F2038" s="51" t="s">
        <v>13</v>
      </c>
      <c r="G2038" s="51" t="str">
        <f>IF(ISNUMBER(F2038),E2038*F2038,"")</f>
        <v/>
      </c>
      <c r="H2038" s="53"/>
      <c r="I2038" s="38"/>
      <c r="J2038" s="37">
        <v>0</v>
      </c>
    </row>
    <row r="2039" spans="1:10" ht="15.75" hidden="1" thickBot="1" x14ac:dyDescent="0.3">
      <c r="A2039" s="173" t="s">
        <v>505</v>
      </c>
      <c r="B2039" s="176" t="s">
        <v>3318</v>
      </c>
      <c r="C2039" s="31"/>
      <c r="D2039" s="32" t="s">
        <v>18</v>
      </c>
      <c r="E2039" s="33"/>
      <c r="F2039" s="54" t="s">
        <v>13</v>
      </c>
      <c r="G2039" s="34" t="str">
        <f>IF(ISNUMBER(F2039),E2039*F2039,"")</f>
        <v/>
      </c>
      <c r="H2039" s="35"/>
      <c r="I2039" s="36"/>
      <c r="J2039" s="37">
        <v>0</v>
      </c>
    </row>
    <row r="2040" spans="1:10" hidden="1" x14ac:dyDescent="0.25">
      <c r="A2040" s="174"/>
      <c r="B2040" s="177"/>
      <c r="C2040" s="39"/>
      <c r="D2040" s="39"/>
      <c r="E2040" s="40"/>
      <c r="F2040" s="55" t="s">
        <v>13</v>
      </c>
      <c r="G2040" s="38" t="str">
        <f>IF(ISNUMBER(F2040),E2040*F2040,"")</f>
        <v/>
      </c>
      <c r="H2040" s="42"/>
      <c r="I2040" s="38"/>
      <c r="J2040" s="37">
        <v>0</v>
      </c>
    </row>
    <row r="2041" spans="1:10" ht="25.5" hidden="1" x14ac:dyDescent="0.25">
      <c r="A2041" s="174"/>
      <c r="B2041" s="177"/>
      <c r="C2041" s="43" t="s">
        <v>10753</v>
      </c>
      <c r="D2041" s="43" t="s">
        <v>2800</v>
      </c>
      <c r="E2041" s="44">
        <v>0.11020000000000001</v>
      </c>
      <c r="F2041" s="38">
        <v>23.997</v>
      </c>
      <c r="G2041" s="38">
        <f>IF(ISNUMBER(F2041),E2041*F2041,"")</f>
        <v>2.6444694000000002</v>
      </c>
      <c r="H2041" s="46">
        <f>SUM(G2041:G2044)</f>
        <v>6.1463461000000006</v>
      </c>
      <c r="I2041" s="47"/>
      <c r="J2041" s="37">
        <v>0</v>
      </c>
    </row>
    <row r="2042" spans="1:10" ht="25.5" hidden="1" x14ac:dyDescent="0.25">
      <c r="A2042" s="174"/>
      <c r="B2042" s="177"/>
      <c r="C2042" s="43" t="s">
        <v>10754</v>
      </c>
      <c r="D2042" s="43" t="s">
        <v>2800</v>
      </c>
      <c r="E2042" s="44">
        <v>0.11020000000000001</v>
      </c>
      <c r="F2042" s="38">
        <v>30.361999999999998</v>
      </c>
      <c r="G2042" s="38">
        <f>IF(ISNUMBER(F2042),E2042*F2042,"")</f>
        <v>3.3458923999999999</v>
      </c>
      <c r="H2042" s="42"/>
      <c r="I2042" s="38"/>
      <c r="J2042" s="37">
        <v>0</v>
      </c>
    </row>
    <row r="2043" spans="1:10" ht="38.25" hidden="1" x14ac:dyDescent="0.25">
      <c r="A2043" s="174"/>
      <c r="B2043" s="177"/>
      <c r="C2043" s="43" t="s">
        <v>506</v>
      </c>
      <c r="D2043" s="43" t="s">
        <v>87</v>
      </c>
      <c r="E2043" s="44">
        <v>1</v>
      </c>
      <c r="F2043" s="41" t="s">
        <v>13</v>
      </c>
      <c r="G2043" s="38" t="str">
        <f>IF(ISNUMBER(F2043),E2043*F2043,"")</f>
        <v/>
      </c>
      <c r="H2043" s="42"/>
      <c r="I2043" s="38"/>
      <c r="J2043" s="37">
        <v>0</v>
      </c>
    </row>
    <row r="2044" spans="1:10" hidden="1" x14ac:dyDescent="0.25">
      <c r="A2044" s="174"/>
      <c r="B2044" s="177"/>
      <c r="C2044" s="43" t="s">
        <v>10907</v>
      </c>
      <c r="D2044" s="43" t="s">
        <v>83</v>
      </c>
      <c r="E2044" s="44">
        <v>1.06E-2</v>
      </c>
      <c r="F2044" s="41">
        <v>14.715499999999999</v>
      </c>
      <c r="G2044" s="38">
        <f>IF(ISNUMBER(F2044),E2044*F2044,"")</f>
        <v>0.15598429999999999</v>
      </c>
      <c r="H2044" s="42"/>
      <c r="I2044" s="38"/>
      <c r="J2044" s="37">
        <v>0</v>
      </c>
    </row>
    <row r="2045" spans="1:10" ht="15.75" hidden="1" thickBot="1" x14ac:dyDescent="0.3">
      <c r="A2045" s="175"/>
      <c r="B2045" s="178"/>
      <c r="C2045" s="49"/>
      <c r="D2045" s="49"/>
      <c r="E2045" s="50"/>
      <c r="F2045" s="51" t="s">
        <v>13</v>
      </c>
      <c r="G2045" s="51" t="str">
        <f>IF(ISNUMBER(F2045),E2045*F2045,"")</f>
        <v/>
      </c>
      <c r="H2045" s="53"/>
      <c r="I2045" s="38"/>
      <c r="J2045" s="37">
        <v>0</v>
      </c>
    </row>
    <row r="2046" spans="1:10" ht="15.75" hidden="1" thickBot="1" x14ac:dyDescent="0.3">
      <c r="A2046" s="173" t="s">
        <v>507</v>
      </c>
      <c r="B2046" s="176" t="s">
        <v>3319</v>
      </c>
      <c r="C2046" s="31"/>
      <c r="D2046" s="32" t="s">
        <v>18</v>
      </c>
      <c r="E2046" s="33"/>
      <c r="F2046" s="54" t="s">
        <v>13</v>
      </c>
      <c r="G2046" s="34" t="str">
        <f>IF(ISNUMBER(F2046),E2046*F2046,"")</f>
        <v/>
      </c>
      <c r="H2046" s="35"/>
      <c r="I2046" s="36"/>
      <c r="J2046" s="37">
        <v>0</v>
      </c>
    </row>
    <row r="2047" spans="1:10" hidden="1" x14ac:dyDescent="0.25">
      <c r="A2047" s="174"/>
      <c r="B2047" s="177"/>
      <c r="C2047" s="39"/>
      <c r="D2047" s="39"/>
      <c r="E2047" s="40"/>
      <c r="F2047" s="55" t="s">
        <v>13</v>
      </c>
      <c r="G2047" s="38" t="str">
        <f>IF(ISNUMBER(F2047),E2047*F2047,"")</f>
        <v/>
      </c>
      <c r="H2047" s="42"/>
      <c r="I2047" s="38"/>
      <c r="J2047" s="37">
        <v>0</v>
      </c>
    </row>
    <row r="2048" spans="1:10" ht="25.5" hidden="1" x14ac:dyDescent="0.25">
      <c r="A2048" s="174"/>
      <c r="B2048" s="177"/>
      <c r="C2048" s="43" t="s">
        <v>10753</v>
      </c>
      <c r="D2048" s="43" t="s">
        <v>2800</v>
      </c>
      <c r="E2048" s="44">
        <v>0.14849999999999999</v>
      </c>
      <c r="F2048" s="38">
        <v>23.997</v>
      </c>
      <c r="G2048" s="38">
        <f>IF(ISNUMBER(F2048),E2048*F2048,"")</f>
        <v>3.5635545</v>
      </c>
      <c r="H2048" s="46">
        <f>SUM(G2048:G2052)</f>
        <v>8.266556099999999</v>
      </c>
      <c r="I2048" s="47"/>
      <c r="J2048" s="37">
        <v>0</v>
      </c>
    </row>
    <row r="2049" spans="1:10" ht="25.5" hidden="1" x14ac:dyDescent="0.25">
      <c r="A2049" s="174"/>
      <c r="B2049" s="177"/>
      <c r="C2049" s="43" t="s">
        <v>10754</v>
      </c>
      <c r="D2049" s="43" t="s">
        <v>2800</v>
      </c>
      <c r="E2049" s="44">
        <v>0.14849999999999999</v>
      </c>
      <c r="F2049" s="38">
        <v>30.361999999999998</v>
      </c>
      <c r="G2049" s="38">
        <f>IF(ISNUMBER(F2049),E2049*F2049,"")</f>
        <v>4.5087569999999992</v>
      </c>
      <c r="H2049" s="42"/>
      <c r="I2049" s="38"/>
      <c r="J2049" s="37">
        <v>0</v>
      </c>
    </row>
    <row r="2050" spans="1:10" hidden="1" x14ac:dyDescent="0.25">
      <c r="A2050" s="174"/>
      <c r="B2050" s="177"/>
      <c r="C2050" s="43" t="s">
        <v>10907</v>
      </c>
      <c r="D2050" s="43" t="s">
        <v>83</v>
      </c>
      <c r="E2050" s="44">
        <v>1.32E-2</v>
      </c>
      <c r="F2050" s="41">
        <v>14.715499999999999</v>
      </c>
      <c r="G2050" s="38">
        <f>IF(ISNUMBER(F2050),E2050*F2050,"")</f>
        <v>0.19424459999999999</v>
      </c>
      <c r="H2050" s="42"/>
      <c r="I2050" s="38"/>
      <c r="J2050" s="37">
        <v>0</v>
      </c>
    </row>
    <row r="2051" spans="1:10" ht="38.25" hidden="1" x14ac:dyDescent="0.25">
      <c r="A2051" s="174"/>
      <c r="B2051" s="177"/>
      <c r="C2051" s="43" t="s">
        <v>508</v>
      </c>
      <c r="D2051" s="43" t="s">
        <v>87</v>
      </c>
      <c r="E2051" s="44">
        <v>1</v>
      </c>
      <c r="F2051" s="41" t="s">
        <v>13</v>
      </c>
      <c r="G2051" s="38" t="str">
        <f>IF(ISNUMBER(F2051),E2051*F2051,"")</f>
        <v/>
      </c>
      <c r="H2051" s="42"/>
      <c r="I2051" s="38"/>
      <c r="J2051" s="37">
        <v>0</v>
      </c>
    </row>
    <row r="2052" spans="1:10" ht="38.25" hidden="1" x14ac:dyDescent="0.25">
      <c r="A2052" s="174"/>
      <c r="B2052" s="177"/>
      <c r="C2052" s="43" t="s">
        <v>509</v>
      </c>
      <c r="D2052" s="43" t="s">
        <v>87</v>
      </c>
      <c r="E2052" s="44">
        <v>1</v>
      </c>
      <c r="F2052" s="41" t="s">
        <v>13</v>
      </c>
      <c r="G2052" s="38" t="str">
        <f>IF(ISNUMBER(F2052),E2052*F2052,"")</f>
        <v/>
      </c>
      <c r="H2052" s="42"/>
      <c r="I2052" s="38"/>
      <c r="J2052" s="37">
        <v>0</v>
      </c>
    </row>
    <row r="2053" spans="1:10" ht="15.75" hidden="1" thickBot="1" x14ac:dyDescent="0.3">
      <c r="A2053" s="175"/>
      <c r="B2053" s="178"/>
      <c r="C2053" s="49"/>
      <c r="D2053" s="49"/>
      <c r="E2053" s="50"/>
      <c r="F2053" s="51" t="s">
        <v>13</v>
      </c>
      <c r="G2053" s="51" t="str">
        <f>IF(ISNUMBER(F2053),E2053*F2053,"")</f>
        <v/>
      </c>
      <c r="H2053" s="53"/>
      <c r="I2053" s="38"/>
      <c r="J2053" s="37">
        <v>0</v>
      </c>
    </row>
    <row r="2054" spans="1:10" ht="15.75" hidden="1" thickBot="1" x14ac:dyDescent="0.3">
      <c r="A2054" s="173" t="s">
        <v>510</v>
      </c>
      <c r="B2054" s="176" t="s">
        <v>3320</v>
      </c>
      <c r="C2054" s="31"/>
      <c r="D2054" s="32" t="s">
        <v>18</v>
      </c>
      <c r="E2054" s="33"/>
      <c r="F2054" s="54" t="s">
        <v>13</v>
      </c>
      <c r="G2054" s="34" t="str">
        <f>IF(ISNUMBER(F2054),E2054*F2054,"")</f>
        <v/>
      </c>
      <c r="H2054" s="35"/>
      <c r="I2054" s="36"/>
      <c r="J2054" s="37">
        <v>0</v>
      </c>
    </row>
    <row r="2055" spans="1:10" hidden="1" x14ac:dyDescent="0.25">
      <c r="A2055" s="174"/>
      <c r="B2055" s="177"/>
      <c r="C2055" s="39"/>
      <c r="D2055" s="39"/>
      <c r="E2055" s="40"/>
      <c r="F2055" s="55" t="s">
        <v>13</v>
      </c>
      <c r="G2055" s="38" t="str">
        <f>IF(ISNUMBER(F2055),E2055*F2055,"")</f>
        <v/>
      </c>
      <c r="H2055" s="42"/>
      <c r="I2055" s="38"/>
      <c r="J2055" s="37">
        <v>0</v>
      </c>
    </row>
    <row r="2056" spans="1:10" ht="25.5" hidden="1" x14ac:dyDescent="0.25">
      <c r="A2056" s="174"/>
      <c r="B2056" s="177"/>
      <c r="C2056" s="43" t="s">
        <v>10753</v>
      </c>
      <c r="D2056" s="43" t="s">
        <v>2800</v>
      </c>
      <c r="E2056" s="44">
        <v>0.11020000000000001</v>
      </c>
      <c r="F2056" s="38">
        <v>23.997</v>
      </c>
      <c r="G2056" s="38">
        <f>IF(ISNUMBER(F2056),E2056*F2056,"")</f>
        <v>2.6444694000000002</v>
      </c>
      <c r="H2056" s="46">
        <f>SUM(G2056:G2060)</f>
        <v>6.1463461000000006</v>
      </c>
      <c r="I2056" s="47"/>
      <c r="J2056" s="37">
        <v>0</v>
      </c>
    </row>
    <row r="2057" spans="1:10" ht="25.5" hidden="1" x14ac:dyDescent="0.25">
      <c r="A2057" s="174"/>
      <c r="B2057" s="177"/>
      <c r="C2057" s="43" t="s">
        <v>10754</v>
      </c>
      <c r="D2057" s="43" t="s">
        <v>2800</v>
      </c>
      <c r="E2057" s="44">
        <v>0.11020000000000001</v>
      </c>
      <c r="F2057" s="38">
        <v>30.361999999999998</v>
      </c>
      <c r="G2057" s="38">
        <f>IF(ISNUMBER(F2057),E2057*F2057,"")</f>
        <v>3.3458923999999999</v>
      </c>
      <c r="H2057" s="42"/>
      <c r="I2057" s="38"/>
      <c r="J2057" s="37">
        <v>0</v>
      </c>
    </row>
    <row r="2058" spans="1:10" hidden="1" x14ac:dyDescent="0.25">
      <c r="A2058" s="174"/>
      <c r="B2058" s="177"/>
      <c r="C2058" s="43" t="s">
        <v>10907</v>
      </c>
      <c r="D2058" s="43" t="s">
        <v>83</v>
      </c>
      <c r="E2058" s="44">
        <v>1.06E-2</v>
      </c>
      <c r="F2058" s="41">
        <v>14.715499999999999</v>
      </c>
      <c r="G2058" s="38">
        <f>IF(ISNUMBER(F2058),E2058*F2058,"")</f>
        <v>0.15598429999999999</v>
      </c>
      <c r="H2058" s="42"/>
      <c r="I2058" s="38"/>
      <c r="J2058" s="37">
        <v>0</v>
      </c>
    </row>
    <row r="2059" spans="1:10" ht="38.25" hidden="1" x14ac:dyDescent="0.25">
      <c r="A2059" s="174"/>
      <c r="B2059" s="177"/>
      <c r="C2059" s="43" t="s">
        <v>508</v>
      </c>
      <c r="D2059" s="43" t="s">
        <v>87</v>
      </c>
      <c r="E2059" s="44">
        <v>1</v>
      </c>
      <c r="F2059" s="41" t="s">
        <v>13</v>
      </c>
      <c r="G2059" s="38" t="str">
        <f>IF(ISNUMBER(F2059),E2059*F2059,"")</f>
        <v/>
      </c>
      <c r="H2059" s="42"/>
      <c r="I2059" s="38"/>
      <c r="J2059" s="37">
        <v>0</v>
      </c>
    </row>
    <row r="2060" spans="1:10" ht="38.25" hidden="1" x14ac:dyDescent="0.25">
      <c r="A2060" s="174"/>
      <c r="B2060" s="177"/>
      <c r="C2060" s="43" t="s">
        <v>511</v>
      </c>
      <c r="D2060" s="43" t="s">
        <v>87</v>
      </c>
      <c r="E2060" s="44">
        <v>1</v>
      </c>
      <c r="F2060" s="41" t="s">
        <v>13</v>
      </c>
      <c r="G2060" s="38" t="str">
        <f>IF(ISNUMBER(F2060),E2060*F2060,"")</f>
        <v/>
      </c>
      <c r="H2060" s="42"/>
      <c r="I2060" s="38"/>
      <c r="J2060" s="37">
        <v>0</v>
      </c>
    </row>
    <row r="2061" spans="1:10" ht="15.75" hidden="1" thickBot="1" x14ac:dyDescent="0.3">
      <c r="A2061" s="175"/>
      <c r="B2061" s="178"/>
      <c r="C2061" s="49"/>
      <c r="D2061" s="49"/>
      <c r="E2061" s="50"/>
      <c r="F2061" s="51" t="s">
        <v>13</v>
      </c>
      <c r="G2061" s="51" t="str">
        <f>IF(ISNUMBER(F2061),E2061*F2061,"")</f>
        <v/>
      </c>
      <c r="H2061" s="53"/>
      <c r="I2061" s="38"/>
      <c r="J2061" s="37">
        <v>0</v>
      </c>
    </row>
    <row r="2062" spans="1:10" ht="15.75" hidden="1" thickBot="1" x14ac:dyDescent="0.3">
      <c r="A2062" s="173" t="s">
        <v>512</v>
      </c>
      <c r="B2062" s="176" t="s">
        <v>3321</v>
      </c>
      <c r="C2062" s="31"/>
      <c r="D2062" s="32" t="s">
        <v>18</v>
      </c>
      <c r="E2062" s="33"/>
      <c r="F2062" s="54" t="s">
        <v>13</v>
      </c>
      <c r="G2062" s="34" t="str">
        <f>IF(ISNUMBER(F2062),E2062*F2062,"")</f>
        <v/>
      </c>
      <c r="H2062" s="35"/>
      <c r="I2062" s="36"/>
      <c r="J2062" s="37">
        <v>0</v>
      </c>
    </row>
    <row r="2063" spans="1:10" hidden="1" x14ac:dyDescent="0.25">
      <c r="A2063" s="174"/>
      <c r="B2063" s="177"/>
      <c r="C2063" s="39"/>
      <c r="D2063" s="39"/>
      <c r="E2063" s="40"/>
      <c r="F2063" s="55" t="s">
        <v>13</v>
      </c>
      <c r="G2063" s="38" t="str">
        <f>IF(ISNUMBER(F2063),E2063*F2063,"")</f>
        <v/>
      </c>
      <c r="H2063" s="42"/>
      <c r="I2063" s="38"/>
      <c r="J2063" s="37">
        <v>0</v>
      </c>
    </row>
    <row r="2064" spans="1:10" hidden="1" x14ac:dyDescent="0.25">
      <c r="A2064" s="174"/>
      <c r="B2064" s="177"/>
      <c r="C2064" s="43" t="s">
        <v>10907</v>
      </c>
      <c r="D2064" s="43" t="s">
        <v>83</v>
      </c>
      <c r="E2064" s="44">
        <v>1.9E-2</v>
      </c>
      <c r="F2064" s="41">
        <v>14.715499999999999</v>
      </c>
      <c r="G2064" s="38">
        <f>IF(ISNUMBER(F2064),E2064*F2064,"")</f>
        <v>0.27959449999999997</v>
      </c>
      <c r="H2064" s="46">
        <f>SUM(G2064:G2067)</f>
        <v>146.09131919999999</v>
      </c>
      <c r="I2064" s="47"/>
      <c r="J2064" s="37">
        <v>0</v>
      </c>
    </row>
    <row r="2065" spans="1:10" hidden="1" x14ac:dyDescent="0.25">
      <c r="A2065" s="174"/>
      <c r="B2065" s="177"/>
      <c r="C2065" s="43" t="s">
        <v>10957</v>
      </c>
      <c r="D2065" s="43" t="s">
        <v>83</v>
      </c>
      <c r="E2065" s="44">
        <v>1</v>
      </c>
      <c r="F2065" s="41">
        <v>131.499</v>
      </c>
      <c r="G2065" s="38">
        <f>IF(ISNUMBER(F2065),E2065*F2065,"")</f>
        <v>131.499</v>
      </c>
      <c r="H2065" s="42"/>
      <c r="I2065" s="38"/>
      <c r="J2065" s="37">
        <v>0</v>
      </c>
    </row>
    <row r="2066" spans="1:10" ht="25.5" hidden="1" x14ac:dyDescent="0.25">
      <c r="A2066" s="174"/>
      <c r="B2066" s="177"/>
      <c r="C2066" s="43" t="s">
        <v>10753</v>
      </c>
      <c r="D2066" s="43" t="s">
        <v>2800</v>
      </c>
      <c r="E2066" s="44">
        <v>0.26329999999999998</v>
      </c>
      <c r="F2066" s="38">
        <v>23.997</v>
      </c>
      <c r="G2066" s="41">
        <f>IF(ISNUMBER(F2066),E2066*F2066,"")</f>
        <v>6.3184100999999995</v>
      </c>
      <c r="H2066" s="42"/>
      <c r="I2066" s="38"/>
      <c r="J2066" s="37">
        <v>0</v>
      </c>
    </row>
    <row r="2067" spans="1:10" ht="25.5" hidden="1" x14ac:dyDescent="0.25">
      <c r="A2067" s="174"/>
      <c r="B2067" s="177"/>
      <c r="C2067" s="43" t="s">
        <v>10754</v>
      </c>
      <c r="D2067" s="43" t="s">
        <v>2800</v>
      </c>
      <c r="E2067" s="44">
        <v>0.26329999999999998</v>
      </c>
      <c r="F2067" s="38">
        <v>30.361999999999998</v>
      </c>
      <c r="G2067" s="41">
        <f>IF(ISNUMBER(F2067),E2067*F2067,"")</f>
        <v>7.9943145999999992</v>
      </c>
      <c r="H2067" s="42"/>
      <c r="I2067" s="38"/>
      <c r="J2067" s="37">
        <v>0</v>
      </c>
    </row>
    <row r="2068" spans="1:10" ht="15.75" hidden="1" thickBot="1" x14ac:dyDescent="0.3">
      <c r="A2068" s="175"/>
      <c r="B2068" s="178"/>
      <c r="C2068" s="49"/>
      <c r="D2068" s="49"/>
      <c r="E2068" s="50"/>
      <c r="F2068" s="51" t="s">
        <v>13</v>
      </c>
      <c r="G2068" s="51" t="str">
        <f>IF(ISNUMBER(F2068),E2068*F2068,"")</f>
        <v/>
      </c>
      <c r="H2068" s="53"/>
      <c r="I2068" s="38"/>
      <c r="J2068" s="37">
        <v>0</v>
      </c>
    </row>
    <row r="2069" spans="1:10" ht="15.75" hidden="1" thickBot="1" x14ac:dyDescent="0.3">
      <c r="A2069" s="173" t="s">
        <v>513</v>
      </c>
      <c r="B2069" s="176" t="s">
        <v>3322</v>
      </c>
      <c r="C2069" s="31"/>
      <c r="D2069" s="32" t="s">
        <v>18</v>
      </c>
      <c r="E2069" s="33"/>
      <c r="F2069" s="54" t="s">
        <v>13</v>
      </c>
      <c r="G2069" s="34" t="str">
        <f>IF(ISNUMBER(F2069),E2069*F2069,"")</f>
        <v/>
      </c>
      <c r="H2069" s="35"/>
      <c r="I2069" s="36"/>
      <c r="J2069" s="37">
        <v>0</v>
      </c>
    </row>
    <row r="2070" spans="1:10" hidden="1" x14ac:dyDescent="0.25">
      <c r="A2070" s="174"/>
      <c r="B2070" s="177"/>
      <c r="C2070" s="39"/>
      <c r="D2070" s="39"/>
      <c r="E2070" s="40"/>
      <c r="F2070" s="55" t="s">
        <v>13</v>
      </c>
      <c r="G2070" s="38" t="str">
        <f>IF(ISNUMBER(F2070),E2070*F2070,"")</f>
        <v/>
      </c>
      <c r="H2070" s="42"/>
      <c r="I2070" s="38"/>
      <c r="J2070" s="37">
        <v>0</v>
      </c>
    </row>
    <row r="2071" spans="1:10" hidden="1" x14ac:dyDescent="0.25">
      <c r="A2071" s="174"/>
      <c r="B2071" s="177"/>
      <c r="C2071" s="43" t="s">
        <v>10907</v>
      </c>
      <c r="D2071" s="43" t="s">
        <v>83</v>
      </c>
      <c r="E2071" s="44">
        <v>1.6799999999999999E-2</v>
      </c>
      <c r="F2071" s="41">
        <v>14.715499999999999</v>
      </c>
      <c r="G2071" s="38">
        <f>IF(ISNUMBER(F2071),E2071*F2071,"")</f>
        <v>0.24722039999999995</v>
      </c>
      <c r="H2071" s="46">
        <f>SUM(G2071:G2074)</f>
        <v>120.35967430000001</v>
      </c>
      <c r="I2071" s="47"/>
      <c r="J2071" s="37">
        <v>0</v>
      </c>
    </row>
    <row r="2072" spans="1:10" hidden="1" x14ac:dyDescent="0.25">
      <c r="A2072" s="174"/>
      <c r="B2072" s="177"/>
      <c r="C2072" s="43" t="s">
        <v>10958</v>
      </c>
      <c r="D2072" s="43" t="s">
        <v>83</v>
      </c>
      <c r="E2072" s="44">
        <v>1</v>
      </c>
      <c r="F2072" s="41">
        <v>109.12649999999999</v>
      </c>
      <c r="G2072" s="38">
        <f>IF(ISNUMBER(F2072),E2072*F2072,"")</f>
        <v>109.12649999999999</v>
      </c>
      <c r="H2072" s="42"/>
      <c r="I2072" s="38"/>
      <c r="J2072" s="37">
        <v>0</v>
      </c>
    </row>
    <row r="2073" spans="1:10" ht="25.5" hidden="1" x14ac:dyDescent="0.25">
      <c r="A2073" s="174"/>
      <c r="B2073" s="177"/>
      <c r="C2073" s="43" t="s">
        <v>10753</v>
      </c>
      <c r="D2073" s="43" t="s">
        <v>2800</v>
      </c>
      <c r="E2073" s="44">
        <v>0.2021</v>
      </c>
      <c r="F2073" s="38">
        <v>23.997</v>
      </c>
      <c r="G2073" s="41">
        <f>IF(ISNUMBER(F2073),E2073*F2073,"")</f>
        <v>4.8497937000000002</v>
      </c>
      <c r="H2073" s="42"/>
      <c r="I2073" s="38"/>
      <c r="J2073" s="37">
        <v>0</v>
      </c>
    </row>
    <row r="2074" spans="1:10" ht="25.5" hidden="1" x14ac:dyDescent="0.25">
      <c r="A2074" s="174"/>
      <c r="B2074" s="177"/>
      <c r="C2074" s="43" t="s">
        <v>10754</v>
      </c>
      <c r="D2074" s="43" t="s">
        <v>2800</v>
      </c>
      <c r="E2074" s="44">
        <v>0.2021</v>
      </c>
      <c r="F2074" s="38">
        <v>30.361999999999998</v>
      </c>
      <c r="G2074" s="41">
        <f>IF(ISNUMBER(F2074),E2074*F2074,"")</f>
        <v>6.1361602</v>
      </c>
      <c r="H2074" s="42"/>
      <c r="I2074" s="38"/>
      <c r="J2074" s="37">
        <v>0</v>
      </c>
    </row>
    <row r="2075" spans="1:10" ht="15.75" hidden="1" thickBot="1" x14ac:dyDescent="0.3">
      <c r="A2075" s="175"/>
      <c r="B2075" s="178"/>
      <c r="C2075" s="49"/>
      <c r="D2075" s="49"/>
      <c r="E2075" s="50"/>
      <c r="F2075" s="51" t="s">
        <v>13</v>
      </c>
      <c r="G2075" s="51" t="str">
        <f>IF(ISNUMBER(F2075),E2075*F2075,"")</f>
        <v/>
      </c>
      <c r="H2075" s="53"/>
      <c r="I2075" s="38"/>
      <c r="J2075" s="37">
        <v>0</v>
      </c>
    </row>
    <row r="2076" spans="1:10" ht="15.75" hidden="1" thickBot="1" x14ac:dyDescent="0.3">
      <c r="A2076" s="173" t="s">
        <v>514</v>
      </c>
      <c r="B2076" s="176" t="s">
        <v>3323</v>
      </c>
      <c r="C2076" s="31"/>
      <c r="D2076" s="32" t="s">
        <v>18</v>
      </c>
      <c r="E2076" s="33"/>
      <c r="F2076" s="54" t="s">
        <v>13</v>
      </c>
      <c r="G2076" s="34" t="str">
        <f>IF(ISNUMBER(F2076),E2076*F2076,"")</f>
        <v/>
      </c>
      <c r="H2076" s="35"/>
      <c r="I2076" s="36"/>
      <c r="J2076" s="37">
        <v>0</v>
      </c>
    </row>
    <row r="2077" spans="1:10" hidden="1" x14ac:dyDescent="0.25">
      <c r="A2077" s="174"/>
      <c r="B2077" s="177"/>
      <c r="C2077" s="39"/>
      <c r="D2077" s="39"/>
      <c r="E2077" s="40"/>
      <c r="F2077" s="55" t="s">
        <v>13</v>
      </c>
      <c r="G2077" s="38" t="str">
        <f>IF(ISNUMBER(F2077),E2077*F2077,"")</f>
        <v/>
      </c>
      <c r="H2077" s="42"/>
      <c r="I2077" s="38"/>
      <c r="J2077" s="37">
        <v>0</v>
      </c>
    </row>
    <row r="2078" spans="1:10" hidden="1" x14ac:dyDescent="0.25">
      <c r="A2078" s="174"/>
      <c r="B2078" s="177"/>
      <c r="C2078" s="43" t="s">
        <v>10907</v>
      </c>
      <c r="D2078" s="43" t="s">
        <v>83</v>
      </c>
      <c r="E2078" s="44">
        <v>1.32E-2</v>
      </c>
      <c r="F2078" s="41">
        <v>14.715499999999999</v>
      </c>
      <c r="G2078" s="38">
        <f>IF(ISNUMBER(F2078),E2078*F2078,"")</f>
        <v>0.19424459999999999</v>
      </c>
      <c r="H2078" s="46">
        <f>SUM(G2078:G2081)</f>
        <v>81.483056099999999</v>
      </c>
      <c r="I2078" s="47"/>
      <c r="J2078" s="37">
        <v>0</v>
      </c>
    </row>
    <row r="2079" spans="1:10" hidden="1" x14ac:dyDescent="0.25">
      <c r="A2079" s="174"/>
      <c r="B2079" s="177"/>
      <c r="C2079" s="43" t="s">
        <v>10959</v>
      </c>
      <c r="D2079" s="43" t="s">
        <v>83</v>
      </c>
      <c r="E2079" s="44">
        <v>1</v>
      </c>
      <c r="F2079" s="41">
        <v>73.216499999999996</v>
      </c>
      <c r="G2079" s="38">
        <f>IF(ISNUMBER(F2079),E2079*F2079,"")</f>
        <v>73.216499999999996</v>
      </c>
      <c r="H2079" s="42"/>
      <c r="I2079" s="38"/>
      <c r="J2079" s="37">
        <v>0</v>
      </c>
    </row>
    <row r="2080" spans="1:10" ht="25.5" hidden="1" x14ac:dyDescent="0.25">
      <c r="A2080" s="174"/>
      <c r="B2080" s="177"/>
      <c r="C2080" s="43" t="s">
        <v>10753</v>
      </c>
      <c r="D2080" s="43" t="s">
        <v>2800</v>
      </c>
      <c r="E2080" s="44">
        <v>0.14849999999999999</v>
      </c>
      <c r="F2080" s="38">
        <v>23.997</v>
      </c>
      <c r="G2080" s="41">
        <f>IF(ISNUMBER(F2080),E2080*F2080,"")</f>
        <v>3.5635545</v>
      </c>
      <c r="H2080" s="42"/>
      <c r="I2080" s="38"/>
      <c r="J2080" s="37">
        <v>0</v>
      </c>
    </row>
    <row r="2081" spans="1:10" ht="25.5" hidden="1" x14ac:dyDescent="0.25">
      <c r="A2081" s="174"/>
      <c r="B2081" s="177"/>
      <c r="C2081" s="43" t="s">
        <v>10754</v>
      </c>
      <c r="D2081" s="43" t="s">
        <v>2800</v>
      </c>
      <c r="E2081" s="44">
        <v>0.14849999999999999</v>
      </c>
      <c r="F2081" s="38">
        <v>30.361999999999998</v>
      </c>
      <c r="G2081" s="41">
        <f>IF(ISNUMBER(F2081),E2081*F2081,"")</f>
        <v>4.5087569999999992</v>
      </c>
      <c r="H2081" s="42"/>
      <c r="I2081" s="38"/>
      <c r="J2081" s="37">
        <v>0</v>
      </c>
    </row>
    <row r="2082" spans="1:10" ht="15.75" hidden="1" thickBot="1" x14ac:dyDescent="0.3">
      <c r="A2082" s="175"/>
      <c r="B2082" s="178"/>
      <c r="C2082" s="49"/>
      <c r="D2082" s="49"/>
      <c r="E2082" s="50"/>
      <c r="F2082" s="51" t="s">
        <v>13</v>
      </c>
      <c r="G2082" s="51" t="str">
        <f>IF(ISNUMBER(F2082),E2082*F2082,"")</f>
        <v/>
      </c>
      <c r="H2082" s="53"/>
      <c r="I2082" s="38"/>
      <c r="J2082" s="37">
        <v>0</v>
      </c>
    </row>
    <row r="2083" spans="1:10" ht="15.75" hidden="1" thickBot="1" x14ac:dyDescent="0.3">
      <c r="A2083" s="173" t="s">
        <v>515</v>
      </c>
      <c r="B2083" s="176" t="s">
        <v>3324</v>
      </c>
      <c r="C2083" s="31"/>
      <c r="D2083" s="32" t="s">
        <v>18</v>
      </c>
      <c r="E2083" s="33"/>
      <c r="F2083" s="54" t="s">
        <v>13</v>
      </c>
      <c r="G2083" s="34" t="str">
        <f>IF(ISNUMBER(F2083),E2083*F2083,"")</f>
        <v/>
      </c>
      <c r="H2083" s="35"/>
      <c r="I2083" s="36"/>
      <c r="J2083" s="37">
        <v>0</v>
      </c>
    </row>
    <row r="2084" spans="1:10" hidden="1" x14ac:dyDescent="0.25">
      <c r="A2084" s="174"/>
      <c r="B2084" s="177"/>
      <c r="C2084" s="39"/>
      <c r="D2084" s="39"/>
      <c r="E2084" s="40"/>
      <c r="F2084" s="55" t="s">
        <v>13</v>
      </c>
      <c r="G2084" s="38" t="str">
        <f>IF(ISNUMBER(F2084),E2084*F2084,"")</f>
        <v/>
      </c>
      <c r="H2084" s="42"/>
      <c r="I2084" s="38"/>
      <c r="J2084" s="37">
        <v>0</v>
      </c>
    </row>
    <row r="2085" spans="1:10" hidden="1" x14ac:dyDescent="0.25">
      <c r="A2085" s="174"/>
      <c r="B2085" s="177"/>
      <c r="C2085" s="43" t="s">
        <v>10907</v>
      </c>
      <c r="D2085" s="43" t="s">
        <v>83</v>
      </c>
      <c r="E2085" s="44">
        <v>1.06E-2</v>
      </c>
      <c r="F2085" s="41">
        <v>14.715499999999999</v>
      </c>
      <c r="G2085" s="38">
        <f>IF(ISNUMBER(F2085),E2085*F2085,"")</f>
        <v>0.15598429999999999</v>
      </c>
      <c r="H2085" s="46">
        <f>SUM(G2085:G2088)</f>
        <v>60.372346099999994</v>
      </c>
      <c r="I2085" s="47"/>
      <c r="J2085" s="37">
        <v>0</v>
      </c>
    </row>
    <row r="2086" spans="1:10" hidden="1" x14ac:dyDescent="0.25">
      <c r="A2086" s="174"/>
      <c r="B2086" s="177"/>
      <c r="C2086" s="43" t="s">
        <v>10960</v>
      </c>
      <c r="D2086" s="43" t="s">
        <v>83</v>
      </c>
      <c r="E2086" s="44">
        <v>1</v>
      </c>
      <c r="F2086" s="41">
        <v>54.225999999999999</v>
      </c>
      <c r="G2086" s="38">
        <f>IF(ISNUMBER(F2086),E2086*F2086,"")</f>
        <v>54.225999999999999</v>
      </c>
      <c r="H2086" s="42"/>
      <c r="I2086" s="38"/>
      <c r="J2086" s="37">
        <v>0</v>
      </c>
    </row>
    <row r="2087" spans="1:10" ht="25.5" hidden="1" x14ac:dyDescent="0.25">
      <c r="A2087" s="174"/>
      <c r="B2087" s="177"/>
      <c r="C2087" s="43" t="s">
        <v>10753</v>
      </c>
      <c r="D2087" s="43" t="s">
        <v>2800</v>
      </c>
      <c r="E2087" s="44">
        <v>0.11020000000000001</v>
      </c>
      <c r="F2087" s="38">
        <v>23.997</v>
      </c>
      <c r="G2087" s="41">
        <f>IF(ISNUMBER(F2087),E2087*F2087,"")</f>
        <v>2.6444694000000002</v>
      </c>
      <c r="H2087" s="42"/>
      <c r="I2087" s="38"/>
      <c r="J2087" s="37">
        <v>0</v>
      </c>
    </row>
    <row r="2088" spans="1:10" ht="25.5" hidden="1" x14ac:dyDescent="0.25">
      <c r="A2088" s="174"/>
      <c r="B2088" s="177"/>
      <c r="C2088" s="43" t="s">
        <v>10754</v>
      </c>
      <c r="D2088" s="43" t="s">
        <v>2800</v>
      </c>
      <c r="E2088" s="44">
        <v>0.11020000000000001</v>
      </c>
      <c r="F2088" s="38">
        <v>30.361999999999998</v>
      </c>
      <c r="G2088" s="41">
        <f>IF(ISNUMBER(F2088),E2088*F2088,"")</f>
        <v>3.3458923999999999</v>
      </c>
      <c r="H2088" s="42"/>
      <c r="I2088" s="38"/>
      <c r="J2088" s="37">
        <v>0</v>
      </c>
    </row>
    <row r="2089" spans="1:10" ht="15.75" hidden="1" thickBot="1" x14ac:dyDescent="0.3">
      <c r="A2089" s="175"/>
      <c r="B2089" s="178"/>
      <c r="C2089" s="49"/>
      <c r="D2089" s="49"/>
      <c r="E2089" s="50"/>
      <c r="F2089" s="51" t="s">
        <v>13</v>
      </c>
      <c r="G2089" s="51" t="str">
        <f>IF(ISNUMBER(F2089),E2089*F2089,"")</f>
        <v/>
      </c>
      <c r="H2089" s="53"/>
      <c r="I2089" s="38"/>
      <c r="J2089" s="37">
        <v>0</v>
      </c>
    </row>
    <row r="2090" spans="1:10" ht="15.75" hidden="1" thickBot="1" x14ac:dyDescent="0.3">
      <c r="A2090" s="173" t="s">
        <v>516</v>
      </c>
      <c r="B2090" s="176" t="s">
        <v>3325</v>
      </c>
      <c r="C2090" s="31"/>
      <c r="D2090" s="32" t="s">
        <v>68</v>
      </c>
      <c r="E2090" s="33"/>
      <c r="F2090" s="54" t="s">
        <v>13</v>
      </c>
      <c r="G2090" s="34" t="str">
        <f>IF(ISNUMBER(F2090),E2090*F2090,"")</f>
        <v/>
      </c>
      <c r="H2090" s="35"/>
      <c r="I2090" s="36"/>
      <c r="J2090" s="37">
        <v>0</v>
      </c>
    </row>
    <row r="2091" spans="1:10" hidden="1" x14ac:dyDescent="0.25">
      <c r="A2091" s="174"/>
      <c r="B2091" s="177"/>
      <c r="C2091" s="39"/>
      <c r="D2091" s="39"/>
      <c r="E2091" s="40"/>
      <c r="F2091" s="55" t="s">
        <v>13</v>
      </c>
      <c r="G2091" s="38" t="str">
        <f>IF(ISNUMBER(F2091),E2091*F2091,"")</f>
        <v/>
      </c>
      <c r="H2091" s="42"/>
      <c r="I2091" s="38"/>
      <c r="J2091" s="37">
        <v>0</v>
      </c>
    </row>
    <row r="2092" spans="1:10" ht="25.5" hidden="1" x14ac:dyDescent="0.25">
      <c r="A2092" s="174"/>
      <c r="B2092" s="177"/>
      <c r="C2092" s="43" t="s">
        <v>10753</v>
      </c>
      <c r="D2092" s="43" t="s">
        <v>2800</v>
      </c>
      <c r="E2092" s="44">
        <v>0.1</v>
      </c>
      <c r="F2092" s="38">
        <v>23.997</v>
      </c>
      <c r="G2092" s="41">
        <f>IF(ISNUMBER(F2092),E2092*F2092,"")</f>
        <v>2.3997000000000002</v>
      </c>
      <c r="H2092" s="46">
        <f>SUM(G2092:G2094)</f>
        <v>5.4359000000000002</v>
      </c>
      <c r="I2092" s="47"/>
      <c r="J2092" s="37">
        <v>0</v>
      </c>
    </row>
    <row r="2093" spans="1:10" ht="25.5" hidden="1" x14ac:dyDescent="0.25">
      <c r="A2093" s="174"/>
      <c r="B2093" s="177"/>
      <c r="C2093" s="43" t="s">
        <v>10754</v>
      </c>
      <c r="D2093" s="43" t="s">
        <v>2800</v>
      </c>
      <c r="E2093" s="44">
        <v>0.1</v>
      </c>
      <c r="F2093" s="38">
        <v>30.361999999999998</v>
      </c>
      <c r="G2093" s="41">
        <f>IF(ISNUMBER(F2093),E2093*F2093,"")</f>
        <v>3.0362</v>
      </c>
      <c r="H2093" s="42"/>
      <c r="I2093" s="38"/>
      <c r="J2093" s="37">
        <v>0</v>
      </c>
    </row>
    <row r="2094" spans="1:10" ht="25.5" hidden="1" x14ac:dyDescent="0.25">
      <c r="A2094" s="174"/>
      <c r="B2094" s="177"/>
      <c r="C2094" s="43" t="s">
        <v>517</v>
      </c>
      <c r="D2094" s="62" t="s">
        <v>68</v>
      </c>
      <c r="E2094" s="44">
        <v>1.05</v>
      </c>
      <c r="F2094" s="41" t="s">
        <v>13</v>
      </c>
      <c r="G2094" s="41" t="str">
        <f>IF(ISNUMBER(F2094),E2094*F2094,"")</f>
        <v/>
      </c>
      <c r="H2094" s="42"/>
      <c r="I2094" s="38"/>
      <c r="J2094" s="37">
        <v>0</v>
      </c>
    </row>
    <row r="2095" spans="1:10" ht="15.75" hidden="1" thickBot="1" x14ac:dyDescent="0.3">
      <c r="A2095" s="175"/>
      <c r="B2095" s="178"/>
      <c r="C2095" s="49"/>
      <c r="D2095" s="49"/>
      <c r="E2095" s="50"/>
      <c r="F2095" s="51" t="s">
        <v>13</v>
      </c>
      <c r="G2095" s="51" t="str">
        <f>IF(ISNUMBER(F2095),E2095*F2095,"")</f>
        <v/>
      </c>
      <c r="H2095" s="53"/>
      <c r="I2095" s="38"/>
      <c r="J2095" s="37">
        <v>0</v>
      </c>
    </row>
    <row r="2096" spans="1:10" ht="15.75" hidden="1" thickBot="1" x14ac:dyDescent="0.3">
      <c r="A2096" s="173" t="s">
        <v>518</v>
      </c>
      <c r="B2096" s="176" t="s">
        <v>3326</v>
      </c>
      <c r="C2096" s="31"/>
      <c r="D2096" s="32" t="s">
        <v>106</v>
      </c>
      <c r="E2096" s="33"/>
      <c r="F2096" s="54" t="s">
        <v>13</v>
      </c>
      <c r="G2096" s="34" t="str">
        <f>IF(ISNUMBER(F2096),E2096*F2096,"")</f>
        <v/>
      </c>
      <c r="H2096" s="35"/>
      <c r="I2096" s="36"/>
      <c r="J2096" s="37">
        <v>0</v>
      </c>
    </row>
    <row r="2097" spans="1:10" hidden="1" x14ac:dyDescent="0.25">
      <c r="A2097" s="174"/>
      <c r="B2097" s="177"/>
      <c r="C2097" s="39"/>
      <c r="D2097" s="39"/>
      <c r="E2097" s="40"/>
      <c r="F2097" s="55" t="s">
        <v>13</v>
      </c>
      <c r="G2097" s="38" t="str">
        <f>IF(ISNUMBER(F2097),E2097*F2097,"")</f>
        <v/>
      </c>
      <c r="H2097" s="42"/>
      <c r="I2097" s="38"/>
      <c r="J2097" s="37">
        <v>0</v>
      </c>
    </row>
    <row r="2098" spans="1:10" ht="51" hidden="1" x14ac:dyDescent="0.25">
      <c r="A2098" s="174"/>
      <c r="B2098" s="177"/>
      <c r="C2098" s="43" t="s">
        <v>519</v>
      </c>
      <c r="D2098" s="62" t="s">
        <v>106</v>
      </c>
      <c r="E2098" s="44">
        <v>1.0210999999999999</v>
      </c>
      <c r="F2098" s="41" t="s">
        <v>13</v>
      </c>
      <c r="G2098" s="41" t="str">
        <f>IF(ISNUMBER(F2098),E2098*F2098,"")</f>
        <v/>
      </c>
      <c r="H2098" s="46">
        <f>SUM(G2098:G2100)</f>
        <v>1.0436927999999999</v>
      </c>
      <c r="I2098" s="47"/>
      <c r="J2098" s="37">
        <v>0</v>
      </c>
    </row>
    <row r="2099" spans="1:10" ht="25.5" hidden="1" x14ac:dyDescent="0.25">
      <c r="A2099" s="174"/>
      <c r="B2099" s="177"/>
      <c r="C2099" s="43" t="s">
        <v>10753</v>
      </c>
      <c r="D2099" s="43" t="s">
        <v>2800</v>
      </c>
      <c r="E2099" s="44">
        <f>0.064*0.3</f>
        <v>1.9199999999999998E-2</v>
      </c>
      <c r="F2099" s="38">
        <v>23.997</v>
      </c>
      <c r="G2099" s="41">
        <f>IF(ISNUMBER(F2099),E2099*F2099,"")</f>
        <v>0.46074239999999994</v>
      </c>
      <c r="H2099" s="42"/>
      <c r="I2099" s="38"/>
      <c r="J2099" s="37">
        <v>0</v>
      </c>
    </row>
    <row r="2100" spans="1:10" ht="25.5" hidden="1" x14ac:dyDescent="0.25">
      <c r="A2100" s="174"/>
      <c r="B2100" s="177"/>
      <c r="C2100" s="43" t="s">
        <v>10754</v>
      </c>
      <c r="D2100" s="43" t="s">
        <v>2800</v>
      </c>
      <c r="E2100" s="44">
        <f>0.064*0.3</f>
        <v>1.9199999999999998E-2</v>
      </c>
      <c r="F2100" s="38">
        <v>30.361999999999998</v>
      </c>
      <c r="G2100" s="41">
        <f>IF(ISNUMBER(F2100),E2100*F2100,"")</f>
        <v>0.58295039999999987</v>
      </c>
      <c r="H2100" s="42"/>
      <c r="I2100" s="38"/>
      <c r="J2100" s="37">
        <v>0</v>
      </c>
    </row>
    <row r="2101" spans="1:10" hidden="1" x14ac:dyDescent="0.25">
      <c r="A2101" s="174"/>
      <c r="B2101" s="177"/>
      <c r="C2101" s="43"/>
      <c r="D2101" s="62"/>
      <c r="E2101" s="44"/>
      <c r="F2101" s="41" t="s">
        <v>13</v>
      </c>
      <c r="G2101" s="41" t="str">
        <f>IF(ISNUMBER(F2101),E2101*F2101,"")</f>
        <v/>
      </c>
      <c r="H2101" s="42"/>
      <c r="I2101" s="38"/>
      <c r="J2101" s="37">
        <v>0</v>
      </c>
    </row>
    <row r="2102" spans="1:10" ht="38.25" hidden="1" x14ac:dyDescent="0.25">
      <c r="A2102" s="174"/>
      <c r="B2102" s="177"/>
      <c r="C2102" s="65" t="s">
        <v>520</v>
      </c>
      <c r="D2102" s="62"/>
      <c r="E2102" s="44"/>
      <c r="F2102" s="41" t="s">
        <v>13</v>
      </c>
      <c r="G2102" s="41" t="str">
        <f>IF(ISNUMBER(F2102),E2102*F2102,"")</f>
        <v/>
      </c>
      <c r="H2102" s="42"/>
      <c r="I2102" s="38"/>
      <c r="J2102" s="37">
        <v>0</v>
      </c>
    </row>
    <row r="2103" spans="1:10" ht="15.75" hidden="1" thickBot="1" x14ac:dyDescent="0.3">
      <c r="A2103" s="175"/>
      <c r="B2103" s="178"/>
      <c r="C2103" s="49"/>
      <c r="D2103" s="49"/>
      <c r="E2103" s="50"/>
      <c r="F2103" s="51" t="s">
        <v>13</v>
      </c>
      <c r="G2103" s="51" t="str">
        <f>IF(ISNUMBER(F2103),E2103*F2103,"")</f>
        <v/>
      </c>
      <c r="H2103" s="53"/>
      <c r="I2103" s="38"/>
      <c r="J2103" s="37">
        <v>0</v>
      </c>
    </row>
    <row r="2104" spans="1:10" ht="15.75" hidden="1" thickBot="1" x14ac:dyDescent="0.3">
      <c r="A2104" s="173" t="s">
        <v>521</v>
      </c>
      <c r="B2104" s="176" t="s">
        <v>3327</v>
      </c>
      <c r="C2104" s="31"/>
      <c r="D2104" s="32" t="s">
        <v>106</v>
      </c>
      <c r="E2104" s="33"/>
      <c r="F2104" s="54" t="s">
        <v>13</v>
      </c>
      <c r="G2104" s="34" t="str">
        <f>IF(ISNUMBER(F2104),E2104*F2104,"")</f>
        <v/>
      </c>
      <c r="H2104" s="35"/>
      <c r="I2104" s="36"/>
      <c r="J2104" s="37">
        <v>0</v>
      </c>
    </row>
    <row r="2105" spans="1:10" hidden="1" x14ac:dyDescent="0.25">
      <c r="A2105" s="174"/>
      <c r="B2105" s="177"/>
      <c r="C2105" s="39"/>
      <c r="D2105" s="39"/>
      <c r="E2105" s="40"/>
      <c r="F2105" s="55" t="s">
        <v>13</v>
      </c>
      <c r="G2105" s="38" t="str">
        <f>IF(ISNUMBER(F2105),E2105*F2105,"")</f>
        <v/>
      </c>
      <c r="H2105" s="42"/>
      <c r="I2105" s="38"/>
      <c r="J2105" s="37">
        <v>0</v>
      </c>
    </row>
    <row r="2106" spans="1:10" ht="38.25" hidden="1" x14ac:dyDescent="0.25">
      <c r="A2106" s="174"/>
      <c r="B2106" s="177"/>
      <c r="C2106" s="43" t="s">
        <v>522</v>
      </c>
      <c r="D2106" s="62" t="s">
        <v>106</v>
      </c>
      <c r="E2106" s="44">
        <v>1.0210999999999999</v>
      </c>
      <c r="F2106" s="41" t="s">
        <v>13</v>
      </c>
      <c r="G2106" s="41" t="str">
        <f>IF(ISNUMBER(F2106),E2106*F2106,"")</f>
        <v/>
      </c>
      <c r="H2106" s="46">
        <f>SUM(G2106:G2108)</f>
        <v>0.99476969999999998</v>
      </c>
      <c r="I2106" s="47"/>
      <c r="J2106" s="37">
        <v>0</v>
      </c>
    </row>
    <row r="2107" spans="1:10" ht="25.5" hidden="1" x14ac:dyDescent="0.25">
      <c r="A2107" s="174"/>
      <c r="B2107" s="177"/>
      <c r="C2107" s="43" t="s">
        <v>10753</v>
      </c>
      <c r="D2107" s="43" t="s">
        <v>2800</v>
      </c>
      <c r="E2107" s="44">
        <f>0.061*0.3</f>
        <v>1.83E-2</v>
      </c>
      <c r="F2107" s="38">
        <v>23.997</v>
      </c>
      <c r="G2107" s="41">
        <f>IF(ISNUMBER(F2107),E2107*F2107,"")</f>
        <v>0.43914510000000001</v>
      </c>
      <c r="H2107" s="42"/>
      <c r="I2107" s="38"/>
      <c r="J2107" s="37">
        <v>0</v>
      </c>
    </row>
    <row r="2108" spans="1:10" ht="25.5" hidden="1" x14ac:dyDescent="0.25">
      <c r="A2108" s="174"/>
      <c r="B2108" s="177"/>
      <c r="C2108" s="43" t="s">
        <v>10754</v>
      </c>
      <c r="D2108" s="43" t="s">
        <v>2800</v>
      </c>
      <c r="E2108" s="44">
        <f>0.061*0.3</f>
        <v>1.83E-2</v>
      </c>
      <c r="F2108" s="38">
        <v>30.361999999999998</v>
      </c>
      <c r="G2108" s="41">
        <f>IF(ISNUMBER(F2108),E2108*F2108,"")</f>
        <v>0.55562460000000002</v>
      </c>
      <c r="H2108" s="42"/>
      <c r="I2108" s="38"/>
      <c r="J2108" s="37">
        <v>0</v>
      </c>
    </row>
    <row r="2109" spans="1:10" hidden="1" x14ac:dyDescent="0.25">
      <c r="A2109" s="174"/>
      <c r="B2109" s="177"/>
      <c r="C2109" s="43"/>
      <c r="D2109" s="62"/>
      <c r="E2109" s="44"/>
      <c r="F2109" s="41" t="s">
        <v>13</v>
      </c>
      <c r="G2109" s="41" t="str">
        <f>IF(ISNUMBER(F2109),E2109*F2109,"")</f>
        <v/>
      </c>
      <c r="H2109" s="42"/>
      <c r="I2109" s="38"/>
      <c r="J2109" s="37">
        <v>0</v>
      </c>
    </row>
    <row r="2110" spans="1:10" ht="38.25" hidden="1" x14ac:dyDescent="0.25">
      <c r="A2110" s="174"/>
      <c r="B2110" s="177"/>
      <c r="C2110" s="65" t="s">
        <v>520</v>
      </c>
      <c r="D2110" s="62"/>
      <c r="E2110" s="44"/>
      <c r="F2110" s="41" t="s">
        <v>13</v>
      </c>
      <c r="G2110" s="41" t="str">
        <f>IF(ISNUMBER(F2110),E2110*F2110,"")</f>
        <v/>
      </c>
      <c r="H2110" s="42"/>
      <c r="I2110" s="38"/>
      <c r="J2110" s="37">
        <v>0</v>
      </c>
    </row>
    <row r="2111" spans="1:10" ht="15.75" hidden="1" thickBot="1" x14ac:dyDescent="0.3">
      <c r="A2111" s="175"/>
      <c r="B2111" s="178"/>
      <c r="C2111" s="49"/>
      <c r="D2111" s="49"/>
      <c r="E2111" s="50"/>
      <c r="F2111" s="51" t="s">
        <v>13</v>
      </c>
      <c r="G2111" s="51" t="str">
        <f>IF(ISNUMBER(F2111),E2111*F2111,"")</f>
        <v/>
      </c>
      <c r="H2111" s="53"/>
      <c r="I2111" s="38"/>
      <c r="J2111" s="37">
        <v>0</v>
      </c>
    </row>
    <row r="2112" spans="1:10" ht="15.75" hidden="1" thickBot="1" x14ac:dyDescent="0.3">
      <c r="A2112" s="173" t="s">
        <v>523</v>
      </c>
      <c r="B2112" s="176" t="s">
        <v>3328</v>
      </c>
      <c r="C2112" s="31"/>
      <c r="D2112" s="32" t="s">
        <v>106</v>
      </c>
      <c r="E2112" s="33"/>
      <c r="F2112" s="54" t="s">
        <v>13</v>
      </c>
      <c r="G2112" s="34" t="str">
        <f>IF(ISNUMBER(F2112),E2112*F2112,"")</f>
        <v/>
      </c>
      <c r="H2112" s="35"/>
      <c r="I2112" s="36"/>
      <c r="J2112" s="37">
        <v>0</v>
      </c>
    </row>
    <row r="2113" spans="1:10" hidden="1" x14ac:dyDescent="0.25">
      <c r="A2113" s="174"/>
      <c r="B2113" s="177"/>
      <c r="C2113" s="39"/>
      <c r="D2113" s="39"/>
      <c r="E2113" s="40"/>
      <c r="F2113" s="55" t="s">
        <v>13</v>
      </c>
      <c r="G2113" s="38" t="str">
        <f>IF(ISNUMBER(F2113),E2113*F2113,"")</f>
        <v/>
      </c>
      <c r="H2113" s="42"/>
      <c r="I2113" s="38"/>
      <c r="J2113" s="37">
        <v>0</v>
      </c>
    </row>
    <row r="2114" spans="1:10" ht="38.25" hidden="1" x14ac:dyDescent="0.25">
      <c r="A2114" s="174"/>
      <c r="B2114" s="177"/>
      <c r="C2114" s="43" t="s">
        <v>524</v>
      </c>
      <c r="D2114" s="62" t="s">
        <v>106</v>
      </c>
      <c r="E2114" s="44">
        <v>1.0210999999999999</v>
      </c>
      <c r="F2114" s="41" t="s">
        <v>13</v>
      </c>
      <c r="G2114" s="41" t="str">
        <f>IF(ISNUMBER(F2114),E2114*F2114,"")</f>
        <v/>
      </c>
      <c r="H2114" s="46">
        <f>SUM(G2114:G2116)</f>
        <v>0.84800039999999988</v>
      </c>
      <c r="I2114" s="47"/>
      <c r="J2114" s="37">
        <v>0</v>
      </c>
    </row>
    <row r="2115" spans="1:10" ht="25.5" hidden="1" x14ac:dyDescent="0.25">
      <c r="A2115" s="174"/>
      <c r="B2115" s="177"/>
      <c r="C2115" s="43" t="s">
        <v>10753</v>
      </c>
      <c r="D2115" s="43" t="s">
        <v>2800</v>
      </c>
      <c r="E2115" s="44">
        <f>0.052*0.3</f>
        <v>1.5599999999999999E-2</v>
      </c>
      <c r="F2115" s="38">
        <v>23.997</v>
      </c>
      <c r="G2115" s="41">
        <f>IF(ISNUMBER(F2115),E2115*F2115,"")</f>
        <v>0.3743532</v>
      </c>
      <c r="H2115" s="42"/>
      <c r="I2115" s="38"/>
      <c r="J2115" s="37">
        <v>0</v>
      </c>
    </row>
    <row r="2116" spans="1:10" ht="25.5" hidden="1" x14ac:dyDescent="0.25">
      <c r="A2116" s="174"/>
      <c r="B2116" s="177"/>
      <c r="C2116" s="43" t="s">
        <v>10754</v>
      </c>
      <c r="D2116" s="43" t="s">
        <v>2800</v>
      </c>
      <c r="E2116" s="44">
        <f>0.052*0.3</f>
        <v>1.5599999999999999E-2</v>
      </c>
      <c r="F2116" s="38">
        <v>30.361999999999998</v>
      </c>
      <c r="G2116" s="41">
        <f>IF(ISNUMBER(F2116),E2116*F2116,"")</f>
        <v>0.47364719999999993</v>
      </c>
      <c r="H2116" s="42"/>
      <c r="I2116" s="38"/>
      <c r="J2116" s="37">
        <v>0</v>
      </c>
    </row>
    <row r="2117" spans="1:10" hidden="1" x14ac:dyDescent="0.25">
      <c r="A2117" s="174"/>
      <c r="B2117" s="177"/>
      <c r="C2117" s="43"/>
      <c r="D2117" s="62"/>
      <c r="E2117" s="44"/>
      <c r="F2117" s="41" t="s">
        <v>13</v>
      </c>
      <c r="G2117" s="41" t="str">
        <f>IF(ISNUMBER(F2117),E2117*F2117,"")</f>
        <v/>
      </c>
      <c r="H2117" s="42"/>
      <c r="I2117" s="38"/>
      <c r="J2117" s="37">
        <v>0</v>
      </c>
    </row>
    <row r="2118" spans="1:10" ht="38.25" hidden="1" x14ac:dyDescent="0.25">
      <c r="A2118" s="174"/>
      <c r="B2118" s="177"/>
      <c r="C2118" s="65" t="s">
        <v>520</v>
      </c>
      <c r="D2118" s="62"/>
      <c r="E2118" s="44"/>
      <c r="F2118" s="41" t="s">
        <v>13</v>
      </c>
      <c r="G2118" s="41" t="str">
        <f>IF(ISNUMBER(F2118),E2118*F2118,"")</f>
        <v/>
      </c>
      <c r="H2118" s="42"/>
      <c r="I2118" s="38"/>
      <c r="J2118" s="37">
        <v>0</v>
      </c>
    </row>
    <row r="2119" spans="1:10" ht="15.75" hidden="1" thickBot="1" x14ac:dyDescent="0.3">
      <c r="A2119" s="175"/>
      <c r="B2119" s="178"/>
      <c r="C2119" s="49"/>
      <c r="D2119" s="49"/>
      <c r="E2119" s="50"/>
      <c r="F2119" s="51" t="s">
        <v>13</v>
      </c>
      <c r="G2119" s="51" t="str">
        <f>IF(ISNUMBER(F2119),E2119*F2119,"")</f>
        <v/>
      </c>
      <c r="H2119" s="53"/>
      <c r="I2119" s="38"/>
      <c r="J2119" s="37">
        <v>0</v>
      </c>
    </row>
    <row r="2120" spans="1:10" ht="15.75" hidden="1" thickBot="1" x14ac:dyDescent="0.3">
      <c r="A2120" s="173" t="s">
        <v>525</v>
      </c>
      <c r="B2120" s="176" t="s">
        <v>3329</v>
      </c>
      <c r="C2120" s="31"/>
      <c r="D2120" s="32" t="s">
        <v>106</v>
      </c>
      <c r="E2120" s="33"/>
      <c r="F2120" s="54" t="s">
        <v>13</v>
      </c>
      <c r="G2120" s="34" t="str">
        <f>IF(ISNUMBER(F2120),E2120*F2120,"")</f>
        <v/>
      </c>
      <c r="H2120" s="35"/>
      <c r="I2120" s="36"/>
      <c r="J2120" s="37">
        <v>0</v>
      </c>
    </row>
    <row r="2121" spans="1:10" hidden="1" x14ac:dyDescent="0.25">
      <c r="A2121" s="174"/>
      <c r="B2121" s="177"/>
      <c r="C2121" s="39"/>
      <c r="D2121" s="39"/>
      <c r="E2121" s="40"/>
      <c r="F2121" s="55" t="s">
        <v>13</v>
      </c>
      <c r="G2121" s="38" t="str">
        <f>IF(ISNUMBER(F2121),E2121*F2121,"")</f>
        <v/>
      </c>
      <c r="H2121" s="42"/>
      <c r="I2121" s="38"/>
      <c r="J2121" s="37">
        <v>0</v>
      </c>
    </row>
    <row r="2122" spans="1:10" ht="38.25" hidden="1" x14ac:dyDescent="0.25">
      <c r="A2122" s="174"/>
      <c r="B2122" s="177"/>
      <c r="C2122" s="43" t="s">
        <v>526</v>
      </c>
      <c r="D2122" s="62" t="s">
        <v>106</v>
      </c>
      <c r="E2122" s="44">
        <v>1.0210999999999999</v>
      </c>
      <c r="F2122" s="41" t="s">
        <v>13</v>
      </c>
      <c r="G2122" s="41" t="str">
        <f>IF(ISNUMBER(F2122),E2122*F2122,"")</f>
        <v/>
      </c>
      <c r="H2122" s="46">
        <f>SUM(G2122:G2124)</f>
        <v>1.0436927999999999</v>
      </c>
      <c r="I2122" s="47"/>
      <c r="J2122" s="37">
        <v>0</v>
      </c>
    </row>
    <row r="2123" spans="1:10" ht="25.5" hidden="1" x14ac:dyDescent="0.25">
      <c r="A2123" s="174"/>
      <c r="B2123" s="177"/>
      <c r="C2123" s="43" t="s">
        <v>10753</v>
      </c>
      <c r="D2123" s="43" t="s">
        <v>2800</v>
      </c>
      <c r="E2123" s="44">
        <f>0.064*0.3</f>
        <v>1.9199999999999998E-2</v>
      </c>
      <c r="F2123" s="38">
        <v>23.997</v>
      </c>
      <c r="G2123" s="41">
        <f>IF(ISNUMBER(F2123),E2123*F2123,"")</f>
        <v>0.46074239999999994</v>
      </c>
      <c r="H2123" s="42"/>
      <c r="I2123" s="38"/>
      <c r="J2123" s="37">
        <v>0</v>
      </c>
    </row>
    <row r="2124" spans="1:10" ht="25.5" hidden="1" x14ac:dyDescent="0.25">
      <c r="A2124" s="174"/>
      <c r="B2124" s="177"/>
      <c r="C2124" s="43" t="s">
        <v>10754</v>
      </c>
      <c r="D2124" s="43" t="s">
        <v>2800</v>
      </c>
      <c r="E2124" s="44">
        <f>0.064*0.3</f>
        <v>1.9199999999999998E-2</v>
      </c>
      <c r="F2124" s="38">
        <v>30.361999999999998</v>
      </c>
      <c r="G2124" s="41">
        <f>IF(ISNUMBER(F2124),E2124*F2124,"")</f>
        <v>0.58295039999999987</v>
      </c>
      <c r="H2124" s="42"/>
      <c r="I2124" s="38"/>
      <c r="J2124" s="37">
        <v>0</v>
      </c>
    </row>
    <row r="2125" spans="1:10" hidden="1" x14ac:dyDescent="0.25">
      <c r="A2125" s="174"/>
      <c r="B2125" s="177"/>
      <c r="C2125" s="43"/>
      <c r="D2125" s="62"/>
      <c r="E2125" s="44"/>
      <c r="F2125" s="41" t="s">
        <v>13</v>
      </c>
      <c r="G2125" s="41" t="str">
        <f>IF(ISNUMBER(F2125),E2125*F2125,"")</f>
        <v/>
      </c>
      <c r="H2125" s="42"/>
      <c r="I2125" s="38"/>
      <c r="J2125" s="37">
        <v>0</v>
      </c>
    </row>
    <row r="2126" spans="1:10" ht="38.25" hidden="1" x14ac:dyDescent="0.25">
      <c r="A2126" s="174"/>
      <c r="B2126" s="177"/>
      <c r="C2126" s="65" t="s">
        <v>520</v>
      </c>
      <c r="D2126" s="62"/>
      <c r="E2126" s="44"/>
      <c r="F2126" s="41" t="s">
        <v>13</v>
      </c>
      <c r="G2126" s="41" t="str">
        <f>IF(ISNUMBER(F2126),E2126*F2126,"")</f>
        <v/>
      </c>
      <c r="H2126" s="42"/>
      <c r="I2126" s="38"/>
      <c r="J2126" s="37">
        <v>0</v>
      </c>
    </row>
    <row r="2127" spans="1:10" ht="15.75" hidden="1" thickBot="1" x14ac:dyDescent="0.3">
      <c r="A2127" s="175"/>
      <c r="B2127" s="178"/>
      <c r="C2127" s="49"/>
      <c r="D2127" s="49"/>
      <c r="E2127" s="50"/>
      <c r="F2127" s="51" t="s">
        <v>13</v>
      </c>
      <c r="G2127" s="51" t="str">
        <f>IF(ISNUMBER(F2127),E2127*F2127,"")</f>
        <v/>
      </c>
      <c r="H2127" s="53"/>
      <c r="I2127" s="38"/>
      <c r="J2127" s="37">
        <v>0</v>
      </c>
    </row>
    <row r="2128" spans="1:10" ht="15.75" hidden="1" thickBot="1" x14ac:dyDescent="0.3">
      <c r="A2128" s="173" t="s">
        <v>527</v>
      </c>
      <c r="B2128" s="176" t="s">
        <v>3330</v>
      </c>
      <c r="C2128" s="31"/>
      <c r="D2128" s="32" t="s">
        <v>106</v>
      </c>
      <c r="E2128" s="33"/>
      <c r="F2128" s="54" t="s">
        <v>13</v>
      </c>
      <c r="G2128" s="34" t="str">
        <f>IF(ISNUMBER(F2128),E2128*F2128,"")</f>
        <v/>
      </c>
      <c r="H2128" s="35"/>
      <c r="I2128" s="36"/>
      <c r="J2128" s="37">
        <v>0</v>
      </c>
    </row>
    <row r="2129" spans="1:10" hidden="1" x14ac:dyDescent="0.25">
      <c r="A2129" s="174"/>
      <c r="B2129" s="177"/>
      <c r="C2129" s="39"/>
      <c r="D2129" s="39"/>
      <c r="E2129" s="40"/>
      <c r="F2129" s="55" t="s">
        <v>13</v>
      </c>
      <c r="G2129" s="38" t="str">
        <f>IF(ISNUMBER(F2129),E2129*F2129,"")</f>
        <v/>
      </c>
      <c r="H2129" s="42"/>
      <c r="I2129" s="38"/>
      <c r="J2129" s="37">
        <v>0</v>
      </c>
    </row>
    <row r="2130" spans="1:10" ht="38.25" hidden="1" x14ac:dyDescent="0.25">
      <c r="A2130" s="174"/>
      <c r="B2130" s="177"/>
      <c r="C2130" s="43" t="s">
        <v>528</v>
      </c>
      <c r="D2130" s="62" t="s">
        <v>106</v>
      </c>
      <c r="E2130" s="44">
        <v>1.0210999999999999</v>
      </c>
      <c r="F2130" s="41" t="s">
        <v>13</v>
      </c>
      <c r="G2130" s="41" t="str">
        <f>IF(ISNUMBER(F2130),E2130*F2130,"")</f>
        <v/>
      </c>
      <c r="H2130" s="46">
        <f>SUM(G2130:G2132)</f>
        <v>0.92953889999999995</v>
      </c>
      <c r="I2130" s="47"/>
      <c r="J2130" s="37">
        <v>0</v>
      </c>
    </row>
    <row r="2131" spans="1:10" ht="25.5" hidden="1" x14ac:dyDescent="0.25">
      <c r="A2131" s="174"/>
      <c r="B2131" s="177"/>
      <c r="C2131" s="43" t="s">
        <v>10753</v>
      </c>
      <c r="D2131" s="43" t="s">
        <v>2800</v>
      </c>
      <c r="E2131" s="44">
        <f>0.057*0.3</f>
        <v>1.7100000000000001E-2</v>
      </c>
      <c r="F2131" s="38">
        <v>23.997</v>
      </c>
      <c r="G2131" s="41">
        <f>IF(ISNUMBER(F2131),E2131*F2131,"")</f>
        <v>0.41034870000000001</v>
      </c>
      <c r="H2131" s="42"/>
      <c r="I2131" s="38"/>
      <c r="J2131" s="37">
        <v>0</v>
      </c>
    </row>
    <row r="2132" spans="1:10" ht="25.5" hidden="1" x14ac:dyDescent="0.25">
      <c r="A2132" s="174"/>
      <c r="B2132" s="177"/>
      <c r="C2132" s="43" t="s">
        <v>10754</v>
      </c>
      <c r="D2132" s="43" t="s">
        <v>2800</v>
      </c>
      <c r="E2132" s="44">
        <f>0.057*0.3</f>
        <v>1.7100000000000001E-2</v>
      </c>
      <c r="F2132" s="38">
        <v>30.361999999999998</v>
      </c>
      <c r="G2132" s="41">
        <f>IF(ISNUMBER(F2132),E2132*F2132,"")</f>
        <v>0.51919019999999994</v>
      </c>
      <c r="H2132" s="42"/>
      <c r="I2132" s="38"/>
      <c r="J2132" s="37">
        <v>0</v>
      </c>
    </row>
    <row r="2133" spans="1:10" hidden="1" x14ac:dyDescent="0.25">
      <c r="A2133" s="174"/>
      <c r="B2133" s="177"/>
      <c r="C2133" s="43"/>
      <c r="D2133" s="62"/>
      <c r="E2133" s="44"/>
      <c r="F2133" s="41" t="s">
        <v>13</v>
      </c>
      <c r="G2133" s="41" t="str">
        <f>IF(ISNUMBER(F2133),E2133*F2133,"")</f>
        <v/>
      </c>
      <c r="H2133" s="42"/>
      <c r="I2133" s="38"/>
      <c r="J2133" s="37">
        <v>0</v>
      </c>
    </row>
    <row r="2134" spans="1:10" ht="38.25" hidden="1" x14ac:dyDescent="0.25">
      <c r="A2134" s="174"/>
      <c r="B2134" s="177"/>
      <c r="C2134" s="65" t="s">
        <v>520</v>
      </c>
      <c r="D2134" s="62"/>
      <c r="E2134" s="44"/>
      <c r="F2134" s="41" t="s">
        <v>13</v>
      </c>
      <c r="G2134" s="41" t="str">
        <f>IF(ISNUMBER(F2134),E2134*F2134,"")</f>
        <v/>
      </c>
      <c r="H2134" s="42"/>
      <c r="I2134" s="38"/>
      <c r="J2134" s="37">
        <v>0</v>
      </c>
    </row>
    <row r="2135" spans="1:10" ht="15.75" hidden="1" thickBot="1" x14ac:dyDescent="0.3">
      <c r="A2135" s="175"/>
      <c r="B2135" s="178"/>
      <c r="C2135" s="49"/>
      <c r="D2135" s="49"/>
      <c r="E2135" s="50"/>
      <c r="F2135" s="51" t="s">
        <v>13</v>
      </c>
      <c r="G2135" s="51" t="str">
        <f>IF(ISNUMBER(F2135),E2135*F2135,"")</f>
        <v/>
      </c>
      <c r="H2135" s="53"/>
      <c r="I2135" s="38"/>
      <c r="J2135" s="37">
        <v>0</v>
      </c>
    </row>
    <row r="2136" spans="1:10" ht="15.75" hidden="1" thickBot="1" x14ac:dyDescent="0.3">
      <c r="A2136" s="173" t="s">
        <v>529</v>
      </c>
      <c r="B2136" s="176" t="s">
        <v>3331</v>
      </c>
      <c r="C2136" s="31"/>
      <c r="D2136" s="32" t="s">
        <v>106</v>
      </c>
      <c r="E2136" s="33"/>
      <c r="F2136" s="54" t="s">
        <v>13</v>
      </c>
      <c r="G2136" s="34" t="str">
        <f>IF(ISNUMBER(F2136),E2136*F2136,"")</f>
        <v/>
      </c>
      <c r="H2136" s="35"/>
      <c r="I2136" s="36"/>
      <c r="J2136" s="37">
        <v>0</v>
      </c>
    </row>
    <row r="2137" spans="1:10" hidden="1" x14ac:dyDescent="0.25">
      <c r="A2137" s="174"/>
      <c r="B2137" s="177"/>
      <c r="C2137" s="39"/>
      <c r="D2137" s="39"/>
      <c r="E2137" s="40"/>
      <c r="F2137" s="55" t="s">
        <v>13</v>
      </c>
      <c r="G2137" s="38" t="str">
        <f>IF(ISNUMBER(F2137),E2137*F2137,"")</f>
        <v/>
      </c>
      <c r="H2137" s="42"/>
      <c r="I2137" s="38"/>
      <c r="J2137" s="37">
        <v>0</v>
      </c>
    </row>
    <row r="2138" spans="1:10" ht="38.25" hidden="1" x14ac:dyDescent="0.25">
      <c r="A2138" s="174"/>
      <c r="B2138" s="177"/>
      <c r="C2138" s="43" t="s">
        <v>530</v>
      </c>
      <c r="D2138" s="62" t="s">
        <v>106</v>
      </c>
      <c r="E2138" s="44">
        <v>1.0210999999999999</v>
      </c>
      <c r="F2138" s="41" t="s">
        <v>13</v>
      </c>
      <c r="G2138" s="41" t="str">
        <f>IF(ISNUMBER(F2138),E2138*F2138,"")</f>
        <v/>
      </c>
      <c r="H2138" s="46">
        <f>SUM(G2138:G2140)</f>
        <v>1.0436927999999999</v>
      </c>
      <c r="I2138" s="47"/>
      <c r="J2138" s="37">
        <v>0</v>
      </c>
    </row>
    <row r="2139" spans="1:10" ht="25.5" hidden="1" x14ac:dyDescent="0.25">
      <c r="A2139" s="174"/>
      <c r="B2139" s="177"/>
      <c r="C2139" s="43" t="s">
        <v>10753</v>
      </c>
      <c r="D2139" s="43" t="s">
        <v>2800</v>
      </c>
      <c r="E2139" s="44">
        <f>0.064*0.3</f>
        <v>1.9199999999999998E-2</v>
      </c>
      <c r="F2139" s="38">
        <v>23.997</v>
      </c>
      <c r="G2139" s="41">
        <f>IF(ISNUMBER(F2139),E2139*F2139,"")</f>
        <v>0.46074239999999994</v>
      </c>
      <c r="H2139" s="42"/>
      <c r="I2139" s="38"/>
      <c r="J2139" s="37">
        <v>0</v>
      </c>
    </row>
    <row r="2140" spans="1:10" ht="25.5" hidden="1" x14ac:dyDescent="0.25">
      <c r="A2140" s="174"/>
      <c r="B2140" s="177"/>
      <c r="C2140" s="43" t="s">
        <v>10754</v>
      </c>
      <c r="D2140" s="43" t="s">
        <v>2800</v>
      </c>
      <c r="E2140" s="44">
        <f>0.064*0.3</f>
        <v>1.9199999999999998E-2</v>
      </c>
      <c r="F2140" s="38">
        <v>30.361999999999998</v>
      </c>
      <c r="G2140" s="41">
        <f>IF(ISNUMBER(F2140),E2140*F2140,"")</f>
        <v>0.58295039999999987</v>
      </c>
      <c r="H2140" s="42"/>
      <c r="I2140" s="38"/>
      <c r="J2140" s="37">
        <v>0</v>
      </c>
    </row>
    <row r="2141" spans="1:10" hidden="1" x14ac:dyDescent="0.25">
      <c r="A2141" s="174"/>
      <c r="B2141" s="177"/>
      <c r="C2141" s="43"/>
      <c r="D2141" s="62"/>
      <c r="E2141" s="44"/>
      <c r="F2141" s="41" t="s">
        <v>13</v>
      </c>
      <c r="G2141" s="41" t="str">
        <f>IF(ISNUMBER(F2141),E2141*F2141,"")</f>
        <v/>
      </c>
      <c r="H2141" s="42"/>
      <c r="I2141" s="38"/>
      <c r="J2141" s="37">
        <v>0</v>
      </c>
    </row>
    <row r="2142" spans="1:10" ht="38.25" hidden="1" x14ac:dyDescent="0.25">
      <c r="A2142" s="174"/>
      <c r="B2142" s="177"/>
      <c r="C2142" s="65" t="s">
        <v>520</v>
      </c>
      <c r="D2142" s="62"/>
      <c r="E2142" s="44"/>
      <c r="F2142" s="41" t="s">
        <v>13</v>
      </c>
      <c r="G2142" s="41" t="str">
        <f>IF(ISNUMBER(F2142),E2142*F2142,"")</f>
        <v/>
      </c>
      <c r="H2142" s="42"/>
      <c r="I2142" s="38"/>
      <c r="J2142" s="37">
        <v>0</v>
      </c>
    </row>
    <row r="2143" spans="1:10" ht="15.75" hidden="1" thickBot="1" x14ac:dyDescent="0.3">
      <c r="A2143" s="175"/>
      <c r="B2143" s="178"/>
      <c r="C2143" s="49"/>
      <c r="D2143" s="49"/>
      <c r="E2143" s="50"/>
      <c r="F2143" s="51" t="s">
        <v>13</v>
      </c>
      <c r="G2143" s="51" t="str">
        <f>IF(ISNUMBER(F2143),E2143*F2143,"")</f>
        <v/>
      </c>
      <c r="H2143" s="53"/>
      <c r="I2143" s="38"/>
      <c r="J2143" s="37">
        <v>0</v>
      </c>
    </row>
    <row r="2144" spans="1:10" ht="15.75" hidden="1" thickBot="1" x14ac:dyDescent="0.3">
      <c r="A2144" s="173" t="s">
        <v>531</v>
      </c>
      <c r="B2144" s="176" t="s">
        <v>3332</v>
      </c>
      <c r="C2144" s="31"/>
      <c r="D2144" s="32" t="s">
        <v>106</v>
      </c>
      <c r="E2144" s="33"/>
      <c r="F2144" s="54" t="s">
        <v>13</v>
      </c>
      <c r="G2144" s="34" t="str">
        <f>IF(ISNUMBER(F2144),E2144*F2144,"")</f>
        <v/>
      </c>
      <c r="H2144" s="35"/>
      <c r="I2144" s="36"/>
      <c r="J2144" s="37">
        <v>0</v>
      </c>
    </row>
    <row r="2145" spans="1:10" hidden="1" x14ac:dyDescent="0.25">
      <c r="A2145" s="174"/>
      <c r="B2145" s="177"/>
      <c r="C2145" s="39"/>
      <c r="D2145" s="39"/>
      <c r="E2145" s="40"/>
      <c r="F2145" s="55" t="s">
        <v>13</v>
      </c>
      <c r="G2145" s="38" t="str">
        <f>IF(ISNUMBER(F2145),E2145*F2145,"")</f>
        <v/>
      </c>
      <c r="H2145" s="42"/>
      <c r="I2145" s="38"/>
      <c r="J2145" s="37">
        <v>0</v>
      </c>
    </row>
    <row r="2146" spans="1:10" ht="51" hidden="1" x14ac:dyDescent="0.25">
      <c r="A2146" s="174"/>
      <c r="B2146" s="177"/>
      <c r="C2146" s="43" t="s">
        <v>532</v>
      </c>
      <c r="D2146" s="62" t="s">
        <v>106</v>
      </c>
      <c r="E2146" s="44">
        <v>1.0210999999999999</v>
      </c>
      <c r="F2146" s="41" t="s">
        <v>13</v>
      </c>
      <c r="G2146" s="41" t="str">
        <f>IF(ISNUMBER(F2146),E2146*F2146,"")</f>
        <v/>
      </c>
      <c r="H2146" s="46">
        <f>SUM(G2146:G2148)</f>
        <v>1.0436927999999999</v>
      </c>
      <c r="I2146" s="47"/>
      <c r="J2146" s="37">
        <v>0</v>
      </c>
    </row>
    <row r="2147" spans="1:10" ht="25.5" hidden="1" x14ac:dyDescent="0.25">
      <c r="A2147" s="174"/>
      <c r="B2147" s="177"/>
      <c r="C2147" s="43" t="s">
        <v>10753</v>
      </c>
      <c r="D2147" s="43" t="s">
        <v>2800</v>
      </c>
      <c r="E2147" s="44">
        <f>0.064*0.3</f>
        <v>1.9199999999999998E-2</v>
      </c>
      <c r="F2147" s="38">
        <v>23.997</v>
      </c>
      <c r="G2147" s="41">
        <f>IF(ISNUMBER(F2147),E2147*F2147,"")</f>
        <v>0.46074239999999994</v>
      </c>
      <c r="H2147" s="42"/>
      <c r="I2147" s="38"/>
      <c r="J2147" s="37">
        <v>0</v>
      </c>
    </row>
    <row r="2148" spans="1:10" ht="25.5" hidden="1" x14ac:dyDescent="0.25">
      <c r="A2148" s="174"/>
      <c r="B2148" s="177"/>
      <c r="C2148" s="43" t="s">
        <v>10754</v>
      </c>
      <c r="D2148" s="43" t="s">
        <v>2800</v>
      </c>
      <c r="E2148" s="44">
        <f>0.064*0.3</f>
        <v>1.9199999999999998E-2</v>
      </c>
      <c r="F2148" s="38">
        <v>30.361999999999998</v>
      </c>
      <c r="G2148" s="41">
        <f>IF(ISNUMBER(F2148),E2148*F2148,"")</f>
        <v>0.58295039999999987</v>
      </c>
      <c r="H2148" s="42"/>
      <c r="I2148" s="38"/>
      <c r="J2148" s="37">
        <v>0</v>
      </c>
    </row>
    <row r="2149" spans="1:10" hidden="1" x14ac:dyDescent="0.25">
      <c r="A2149" s="174"/>
      <c r="B2149" s="177"/>
      <c r="C2149" s="43"/>
      <c r="D2149" s="62"/>
      <c r="E2149" s="44"/>
      <c r="F2149" s="41" t="s">
        <v>13</v>
      </c>
      <c r="G2149" s="41" t="str">
        <f>IF(ISNUMBER(F2149),E2149*F2149,"")</f>
        <v/>
      </c>
      <c r="H2149" s="42"/>
      <c r="I2149" s="38"/>
      <c r="J2149" s="37">
        <v>0</v>
      </c>
    </row>
    <row r="2150" spans="1:10" ht="38.25" hidden="1" x14ac:dyDescent="0.25">
      <c r="A2150" s="174"/>
      <c r="B2150" s="177"/>
      <c r="C2150" s="65" t="s">
        <v>520</v>
      </c>
      <c r="D2150" s="62"/>
      <c r="E2150" s="44"/>
      <c r="F2150" s="41" t="s">
        <v>13</v>
      </c>
      <c r="G2150" s="41" t="str">
        <f>IF(ISNUMBER(F2150),E2150*F2150,"")</f>
        <v/>
      </c>
      <c r="H2150" s="42"/>
      <c r="I2150" s="38"/>
      <c r="J2150" s="37">
        <v>0</v>
      </c>
    </row>
    <row r="2151" spans="1:10" ht="15.75" hidden="1" thickBot="1" x14ac:dyDescent="0.3">
      <c r="A2151" s="175"/>
      <c r="B2151" s="178"/>
      <c r="C2151" s="49"/>
      <c r="D2151" s="49"/>
      <c r="E2151" s="50"/>
      <c r="F2151" s="51" t="s">
        <v>13</v>
      </c>
      <c r="G2151" s="51" t="str">
        <f>IF(ISNUMBER(F2151),E2151*F2151,"")</f>
        <v/>
      </c>
      <c r="H2151" s="53"/>
      <c r="I2151" s="38"/>
      <c r="J2151" s="37">
        <v>0</v>
      </c>
    </row>
    <row r="2152" spans="1:10" ht="15.75" hidden="1" thickBot="1" x14ac:dyDescent="0.3">
      <c r="A2152" s="173" t="s">
        <v>533</v>
      </c>
      <c r="B2152" s="176" t="s">
        <v>3333</v>
      </c>
      <c r="C2152" s="31"/>
      <c r="D2152" s="32" t="s">
        <v>106</v>
      </c>
      <c r="E2152" s="33"/>
      <c r="F2152" s="54" t="s">
        <v>13</v>
      </c>
      <c r="G2152" s="34" t="str">
        <f>IF(ISNUMBER(F2152),E2152*F2152,"")</f>
        <v/>
      </c>
      <c r="H2152" s="35"/>
      <c r="I2152" s="36"/>
      <c r="J2152" s="37">
        <v>0</v>
      </c>
    </row>
    <row r="2153" spans="1:10" hidden="1" x14ac:dyDescent="0.25">
      <c r="A2153" s="174"/>
      <c r="B2153" s="177"/>
      <c r="C2153" s="39"/>
      <c r="D2153" s="39"/>
      <c r="E2153" s="40"/>
      <c r="F2153" s="55" t="s">
        <v>13</v>
      </c>
      <c r="G2153" s="38" t="str">
        <f>IF(ISNUMBER(F2153),E2153*F2153,"")</f>
        <v/>
      </c>
      <c r="H2153" s="42"/>
      <c r="I2153" s="38"/>
      <c r="J2153" s="37">
        <v>0</v>
      </c>
    </row>
    <row r="2154" spans="1:10" ht="38.25" hidden="1" x14ac:dyDescent="0.25">
      <c r="A2154" s="174"/>
      <c r="B2154" s="177"/>
      <c r="C2154" s="43" t="s">
        <v>534</v>
      </c>
      <c r="D2154" s="62" t="s">
        <v>106</v>
      </c>
      <c r="E2154" s="44">
        <v>1.0210999999999999</v>
      </c>
      <c r="F2154" s="41" t="s">
        <v>13</v>
      </c>
      <c r="G2154" s="41" t="str">
        <f>IF(ISNUMBER(F2154),E2154*F2154,"")</f>
        <v/>
      </c>
      <c r="H2154" s="46">
        <f>SUM(G2154:G2156)</f>
        <v>1.0436927999999999</v>
      </c>
      <c r="I2154" s="47"/>
      <c r="J2154" s="37">
        <v>0</v>
      </c>
    </row>
    <row r="2155" spans="1:10" ht="25.5" hidden="1" x14ac:dyDescent="0.25">
      <c r="A2155" s="174"/>
      <c r="B2155" s="177"/>
      <c r="C2155" s="43" t="s">
        <v>10753</v>
      </c>
      <c r="D2155" s="43" t="s">
        <v>2800</v>
      </c>
      <c r="E2155" s="44">
        <f>0.064*0.3</f>
        <v>1.9199999999999998E-2</v>
      </c>
      <c r="F2155" s="38">
        <v>23.997</v>
      </c>
      <c r="G2155" s="41">
        <f>IF(ISNUMBER(F2155),E2155*F2155,"")</f>
        <v>0.46074239999999994</v>
      </c>
      <c r="H2155" s="42"/>
      <c r="I2155" s="38"/>
      <c r="J2155" s="37">
        <v>0</v>
      </c>
    </row>
    <row r="2156" spans="1:10" ht="25.5" hidden="1" x14ac:dyDescent="0.25">
      <c r="A2156" s="174"/>
      <c r="B2156" s="177"/>
      <c r="C2156" s="43" t="s">
        <v>10754</v>
      </c>
      <c r="D2156" s="43" t="s">
        <v>2800</v>
      </c>
      <c r="E2156" s="44">
        <f>0.064*0.3</f>
        <v>1.9199999999999998E-2</v>
      </c>
      <c r="F2156" s="38">
        <v>30.361999999999998</v>
      </c>
      <c r="G2156" s="41">
        <f>IF(ISNUMBER(F2156),E2156*F2156,"")</f>
        <v>0.58295039999999987</v>
      </c>
      <c r="H2156" s="42"/>
      <c r="I2156" s="38"/>
      <c r="J2156" s="37">
        <v>0</v>
      </c>
    </row>
    <row r="2157" spans="1:10" hidden="1" x14ac:dyDescent="0.25">
      <c r="A2157" s="174"/>
      <c r="B2157" s="177"/>
      <c r="C2157" s="43"/>
      <c r="D2157" s="62"/>
      <c r="E2157" s="44"/>
      <c r="F2157" s="41" t="s">
        <v>13</v>
      </c>
      <c r="G2157" s="41" t="str">
        <f>IF(ISNUMBER(F2157),E2157*F2157,"")</f>
        <v/>
      </c>
      <c r="H2157" s="42"/>
      <c r="I2157" s="38"/>
      <c r="J2157" s="37">
        <v>0</v>
      </c>
    </row>
    <row r="2158" spans="1:10" ht="38.25" hidden="1" x14ac:dyDescent="0.25">
      <c r="A2158" s="174"/>
      <c r="B2158" s="177"/>
      <c r="C2158" s="65" t="s">
        <v>520</v>
      </c>
      <c r="D2158" s="62"/>
      <c r="E2158" s="44"/>
      <c r="F2158" s="41" t="s">
        <v>13</v>
      </c>
      <c r="G2158" s="41" t="str">
        <f>IF(ISNUMBER(F2158),E2158*F2158,"")</f>
        <v/>
      </c>
      <c r="H2158" s="42"/>
      <c r="I2158" s="38"/>
      <c r="J2158" s="37">
        <v>0</v>
      </c>
    </row>
    <row r="2159" spans="1:10" ht="15.75" hidden="1" thickBot="1" x14ac:dyDescent="0.3">
      <c r="A2159" s="175"/>
      <c r="B2159" s="178"/>
      <c r="C2159" s="49"/>
      <c r="D2159" s="49"/>
      <c r="E2159" s="50"/>
      <c r="F2159" s="51" t="s">
        <v>13</v>
      </c>
      <c r="G2159" s="51" t="str">
        <f>IF(ISNUMBER(F2159),E2159*F2159,"")</f>
        <v/>
      </c>
      <c r="H2159" s="53"/>
      <c r="I2159" s="38"/>
      <c r="J2159" s="37">
        <v>0</v>
      </c>
    </row>
    <row r="2160" spans="1:10" ht="15.75" hidden="1" thickBot="1" x14ac:dyDescent="0.3">
      <c r="A2160" s="173" t="s">
        <v>535</v>
      </c>
      <c r="B2160" s="176" t="s">
        <v>3334</v>
      </c>
      <c r="C2160" s="31"/>
      <c r="D2160" s="32" t="s">
        <v>106</v>
      </c>
      <c r="E2160" s="33"/>
      <c r="F2160" s="54" t="s">
        <v>13</v>
      </c>
      <c r="G2160" s="34" t="str">
        <f>IF(ISNUMBER(F2160),E2160*F2160,"")</f>
        <v/>
      </c>
      <c r="H2160" s="35"/>
      <c r="I2160" s="36"/>
      <c r="J2160" s="37">
        <v>0</v>
      </c>
    </row>
    <row r="2161" spans="1:10" hidden="1" x14ac:dyDescent="0.25">
      <c r="A2161" s="174"/>
      <c r="B2161" s="177"/>
      <c r="C2161" s="39"/>
      <c r="D2161" s="39"/>
      <c r="E2161" s="40"/>
      <c r="F2161" s="55" t="s">
        <v>13</v>
      </c>
      <c r="G2161" s="38" t="str">
        <f>IF(ISNUMBER(F2161),E2161*F2161,"")</f>
        <v/>
      </c>
      <c r="H2161" s="42"/>
      <c r="I2161" s="38"/>
      <c r="J2161" s="37">
        <v>0</v>
      </c>
    </row>
    <row r="2162" spans="1:10" ht="38.25" hidden="1" x14ac:dyDescent="0.25">
      <c r="A2162" s="174"/>
      <c r="B2162" s="177"/>
      <c r="C2162" s="43" t="s">
        <v>536</v>
      </c>
      <c r="D2162" s="62" t="s">
        <v>106</v>
      </c>
      <c r="E2162" s="44">
        <v>1.0210999999999999</v>
      </c>
      <c r="F2162" s="41" t="s">
        <v>13</v>
      </c>
      <c r="G2162" s="41" t="str">
        <f>IF(ISNUMBER(F2162),E2162*F2162,"")</f>
        <v/>
      </c>
      <c r="H2162" s="46">
        <f>SUM(G2162:G2164)</f>
        <v>1.0436927999999999</v>
      </c>
      <c r="I2162" s="47"/>
      <c r="J2162" s="37">
        <v>0</v>
      </c>
    </row>
    <row r="2163" spans="1:10" ht="25.5" hidden="1" x14ac:dyDescent="0.25">
      <c r="A2163" s="174"/>
      <c r="B2163" s="177"/>
      <c r="C2163" s="43" t="s">
        <v>10753</v>
      </c>
      <c r="D2163" s="43" t="s">
        <v>2800</v>
      </c>
      <c r="E2163" s="44">
        <f>0.064*0.3</f>
        <v>1.9199999999999998E-2</v>
      </c>
      <c r="F2163" s="38">
        <v>23.997</v>
      </c>
      <c r="G2163" s="41">
        <f>IF(ISNUMBER(F2163),E2163*F2163,"")</f>
        <v>0.46074239999999994</v>
      </c>
      <c r="H2163" s="42"/>
      <c r="I2163" s="38"/>
      <c r="J2163" s="37">
        <v>0</v>
      </c>
    </row>
    <row r="2164" spans="1:10" ht="25.5" hidden="1" x14ac:dyDescent="0.25">
      <c r="A2164" s="174"/>
      <c r="B2164" s="177"/>
      <c r="C2164" s="43" t="s">
        <v>10754</v>
      </c>
      <c r="D2164" s="43" t="s">
        <v>2800</v>
      </c>
      <c r="E2164" s="44">
        <f>0.064*0.3</f>
        <v>1.9199999999999998E-2</v>
      </c>
      <c r="F2164" s="38">
        <v>30.361999999999998</v>
      </c>
      <c r="G2164" s="41">
        <f>IF(ISNUMBER(F2164),E2164*F2164,"")</f>
        <v>0.58295039999999987</v>
      </c>
      <c r="H2164" s="42"/>
      <c r="I2164" s="38"/>
      <c r="J2164" s="37">
        <v>0</v>
      </c>
    </row>
    <row r="2165" spans="1:10" hidden="1" x14ac:dyDescent="0.25">
      <c r="A2165" s="174"/>
      <c r="B2165" s="177"/>
      <c r="C2165" s="43"/>
      <c r="D2165" s="62"/>
      <c r="E2165" s="44"/>
      <c r="F2165" s="41" t="s">
        <v>13</v>
      </c>
      <c r="G2165" s="41" t="str">
        <f>IF(ISNUMBER(F2165),E2165*F2165,"")</f>
        <v/>
      </c>
      <c r="H2165" s="42"/>
      <c r="I2165" s="38"/>
      <c r="J2165" s="37">
        <v>0</v>
      </c>
    </row>
    <row r="2166" spans="1:10" ht="38.25" hidden="1" x14ac:dyDescent="0.25">
      <c r="A2166" s="174"/>
      <c r="B2166" s="177"/>
      <c r="C2166" s="65" t="s">
        <v>520</v>
      </c>
      <c r="D2166" s="62"/>
      <c r="E2166" s="44"/>
      <c r="F2166" s="41" t="s">
        <v>13</v>
      </c>
      <c r="G2166" s="41" t="str">
        <f>IF(ISNUMBER(F2166),E2166*F2166,"")</f>
        <v/>
      </c>
      <c r="H2166" s="42"/>
      <c r="I2166" s="38"/>
      <c r="J2166" s="37">
        <v>0</v>
      </c>
    </row>
    <row r="2167" spans="1:10" ht="15.75" hidden="1" thickBot="1" x14ac:dyDescent="0.3">
      <c r="A2167" s="175"/>
      <c r="B2167" s="178"/>
      <c r="C2167" s="49"/>
      <c r="D2167" s="49"/>
      <c r="E2167" s="50"/>
      <c r="F2167" s="51" t="s">
        <v>13</v>
      </c>
      <c r="G2167" s="51" t="str">
        <f>IF(ISNUMBER(F2167),E2167*F2167,"")</f>
        <v/>
      </c>
      <c r="H2167" s="53"/>
      <c r="I2167" s="38"/>
      <c r="J2167" s="37">
        <v>0</v>
      </c>
    </row>
    <row r="2168" spans="1:10" ht="15.75" hidden="1" thickBot="1" x14ac:dyDescent="0.3">
      <c r="A2168" s="173" t="s">
        <v>537</v>
      </c>
      <c r="B2168" s="176" t="s">
        <v>3335</v>
      </c>
      <c r="C2168" s="31"/>
      <c r="D2168" s="32" t="s">
        <v>106</v>
      </c>
      <c r="E2168" s="33"/>
      <c r="F2168" s="54" t="s">
        <v>13</v>
      </c>
      <c r="G2168" s="34" t="str">
        <f>IF(ISNUMBER(F2168),E2168*F2168,"")</f>
        <v/>
      </c>
      <c r="H2168" s="35"/>
      <c r="I2168" s="36"/>
      <c r="J2168" s="37">
        <v>0</v>
      </c>
    </row>
    <row r="2169" spans="1:10" hidden="1" x14ac:dyDescent="0.25">
      <c r="A2169" s="174"/>
      <c r="B2169" s="177"/>
      <c r="C2169" s="39"/>
      <c r="D2169" s="39"/>
      <c r="E2169" s="40"/>
      <c r="F2169" s="55" t="s">
        <v>13</v>
      </c>
      <c r="G2169" s="38" t="str">
        <f>IF(ISNUMBER(F2169),E2169*F2169,"")</f>
        <v/>
      </c>
      <c r="H2169" s="42"/>
      <c r="I2169" s="38"/>
      <c r="J2169" s="37">
        <v>0</v>
      </c>
    </row>
    <row r="2170" spans="1:10" ht="38.25" hidden="1" x14ac:dyDescent="0.25">
      <c r="A2170" s="174"/>
      <c r="B2170" s="177"/>
      <c r="C2170" s="43" t="s">
        <v>538</v>
      </c>
      <c r="D2170" s="62" t="s">
        <v>106</v>
      </c>
      <c r="E2170" s="44">
        <v>1.0210999999999999</v>
      </c>
      <c r="F2170" s="41" t="s">
        <v>13</v>
      </c>
      <c r="G2170" s="41" t="str">
        <f>IF(ISNUMBER(F2170),E2170*F2170,"")</f>
        <v/>
      </c>
      <c r="H2170" s="46">
        <f>SUM(G2170:G2172)</f>
        <v>1.0436927999999999</v>
      </c>
      <c r="I2170" s="47"/>
      <c r="J2170" s="37">
        <v>0</v>
      </c>
    </row>
    <row r="2171" spans="1:10" ht="25.5" hidden="1" x14ac:dyDescent="0.25">
      <c r="A2171" s="174"/>
      <c r="B2171" s="177"/>
      <c r="C2171" s="43" t="s">
        <v>10753</v>
      </c>
      <c r="D2171" s="43" t="s">
        <v>2800</v>
      </c>
      <c r="E2171" s="44">
        <f>0.064*0.3</f>
        <v>1.9199999999999998E-2</v>
      </c>
      <c r="F2171" s="38">
        <v>23.997</v>
      </c>
      <c r="G2171" s="41">
        <f>IF(ISNUMBER(F2171),E2171*F2171,"")</f>
        <v>0.46074239999999994</v>
      </c>
      <c r="H2171" s="42"/>
      <c r="I2171" s="38"/>
      <c r="J2171" s="37">
        <v>0</v>
      </c>
    </row>
    <row r="2172" spans="1:10" ht="25.5" hidden="1" x14ac:dyDescent="0.25">
      <c r="A2172" s="174"/>
      <c r="B2172" s="177"/>
      <c r="C2172" s="43" t="s">
        <v>10754</v>
      </c>
      <c r="D2172" s="43" t="s">
        <v>2800</v>
      </c>
      <c r="E2172" s="44">
        <f>0.064*0.3</f>
        <v>1.9199999999999998E-2</v>
      </c>
      <c r="F2172" s="38">
        <v>30.361999999999998</v>
      </c>
      <c r="G2172" s="41">
        <f>IF(ISNUMBER(F2172),E2172*F2172,"")</f>
        <v>0.58295039999999987</v>
      </c>
      <c r="H2172" s="42"/>
      <c r="I2172" s="38"/>
      <c r="J2172" s="37">
        <v>0</v>
      </c>
    </row>
    <row r="2173" spans="1:10" hidden="1" x14ac:dyDescent="0.25">
      <c r="A2173" s="174"/>
      <c r="B2173" s="177"/>
      <c r="C2173" s="43"/>
      <c r="D2173" s="62"/>
      <c r="E2173" s="44"/>
      <c r="F2173" s="41" t="s">
        <v>13</v>
      </c>
      <c r="G2173" s="41" t="str">
        <f>IF(ISNUMBER(F2173),E2173*F2173,"")</f>
        <v/>
      </c>
      <c r="H2173" s="42"/>
      <c r="I2173" s="38"/>
      <c r="J2173" s="37">
        <v>0</v>
      </c>
    </row>
    <row r="2174" spans="1:10" ht="38.25" hidden="1" x14ac:dyDescent="0.25">
      <c r="A2174" s="174"/>
      <c r="B2174" s="177"/>
      <c r="C2174" s="65" t="s">
        <v>520</v>
      </c>
      <c r="D2174" s="62"/>
      <c r="E2174" s="44"/>
      <c r="F2174" s="41" t="s">
        <v>13</v>
      </c>
      <c r="G2174" s="41" t="str">
        <f>IF(ISNUMBER(F2174),E2174*F2174,"")</f>
        <v/>
      </c>
      <c r="H2174" s="42"/>
      <c r="I2174" s="38"/>
      <c r="J2174" s="37">
        <v>0</v>
      </c>
    </row>
    <row r="2175" spans="1:10" ht="15.75" hidden="1" thickBot="1" x14ac:dyDescent="0.3">
      <c r="A2175" s="175"/>
      <c r="B2175" s="178"/>
      <c r="C2175" s="49"/>
      <c r="D2175" s="49"/>
      <c r="E2175" s="50"/>
      <c r="F2175" s="51" t="s">
        <v>13</v>
      </c>
      <c r="G2175" s="51" t="str">
        <f>IF(ISNUMBER(F2175),E2175*F2175,"")</f>
        <v/>
      </c>
      <c r="H2175" s="53"/>
      <c r="I2175" s="38"/>
      <c r="J2175" s="37">
        <v>0</v>
      </c>
    </row>
    <row r="2176" spans="1:10" ht="15.75" hidden="1" thickBot="1" x14ac:dyDescent="0.3">
      <c r="A2176" s="173" t="s">
        <v>539</v>
      </c>
      <c r="B2176" s="176" t="s">
        <v>3336</v>
      </c>
      <c r="C2176" s="31"/>
      <c r="D2176" s="32" t="s">
        <v>106</v>
      </c>
      <c r="E2176" s="33"/>
      <c r="F2176" s="54" t="s">
        <v>13</v>
      </c>
      <c r="G2176" s="34" t="str">
        <f>IF(ISNUMBER(F2176),E2176*F2176,"")</f>
        <v/>
      </c>
      <c r="H2176" s="35"/>
      <c r="I2176" s="36"/>
      <c r="J2176" s="37">
        <v>0</v>
      </c>
    </row>
    <row r="2177" spans="1:10" hidden="1" x14ac:dyDescent="0.25">
      <c r="A2177" s="174"/>
      <c r="B2177" s="177"/>
      <c r="C2177" s="39"/>
      <c r="D2177" s="39"/>
      <c r="E2177" s="40"/>
      <c r="F2177" s="55" t="s">
        <v>13</v>
      </c>
      <c r="G2177" s="38" t="str">
        <f>IF(ISNUMBER(F2177),E2177*F2177,"")</f>
        <v/>
      </c>
      <c r="H2177" s="42"/>
      <c r="I2177" s="38"/>
      <c r="J2177" s="37">
        <v>0</v>
      </c>
    </row>
    <row r="2178" spans="1:10" ht="38.25" hidden="1" x14ac:dyDescent="0.25">
      <c r="A2178" s="174"/>
      <c r="B2178" s="177"/>
      <c r="C2178" s="43" t="s">
        <v>540</v>
      </c>
      <c r="D2178" s="62" t="s">
        <v>106</v>
      </c>
      <c r="E2178" s="44">
        <v>1.0210999999999999</v>
      </c>
      <c r="F2178" s="41" t="s">
        <v>13</v>
      </c>
      <c r="G2178" s="41" t="str">
        <f>IF(ISNUMBER(F2178),E2178*F2178,"")</f>
        <v/>
      </c>
      <c r="H2178" s="46">
        <f>SUM(G2178:G2180)</f>
        <v>1.0436927999999999</v>
      </c>
      <c r="I2178" s="47"/>
      <c r="J2178" s="37">
        <v>0</v>
      </c>
    </row>
    <row r="2179" spans="1:10" ht="25.5" hidden="1" x14ac:dyDescent="0.25">
      <c r="A2179" s="174"/>
      <c r="B2179" s="177"/>
      <c r="C2179" s="43" t="s">
        <v>10753</v>
      </c>
      <c r="D2179" s="43" t="s">
        <v>2800</v>
      </c>
      <c r="E2179" s="44">
        <f>0.064*0.3</f>
        <v>1.9199999999999998E-2</v>
      </c>
      <c r="F2179" s="38">
        <v>23.997</v>
      </c>
      <c r="G2179" s="41">
        <f>IF(ISNUMBER(F2179),E2179*F2179,"")</f>
        <v>0.46074239999999994</v>
      </c>
      <c r="H2179" s="42"/>
      <c r="I2179" s="38"/>
      <c r="J2179" s="37">
        <v>0</v>
      </c>
    </row>
    <row r="2180" spans="1:10" ht="25.5" hidden="1" x14ac:dyDescent="0.25">
      <c r="A2180" s="174"/>
      <c r="B2180" s="177"/>
      <c r="C2180" s="43" t="s">
        <v>10754</v>
      </c>
      <c r="D2180" s="43" t="s">
        <v>2800</v>
      </c>
      <c r="E2180" s="44">
        <f>0.064*0.3</f>
        <v>1.9199999999999998E-2</v>
      </c>
      <c r="F2180" s="38">
        <v>30.361999999999998</v>
      </c>
      <c r="G2180" s="41">
        <f>IF(ISNUMBER(F2180),E2180*F2180,"")</f>
        <v>0.58295039999999987</v>
      </c>
      <c r="H2180" s="42"/>
      <c r="I2180" s="38"/>
      <c r="J2180" s="37">
        <v>0</v>
      </c>
    </row>
    <row r="2181" spans="1:10" hidden="1" x14ac:dyDescent="0.25">
      <c r="A2181" s="174"/>
      <c r="B2181" s="177"/>
      <c r="C2181" s="43"/>
      <c r="D2181" s="62"/>
      <c r="E2181" s="44"/>
      <c r="F2181" s="41" t="s">
        <v>13</v>
      </c>
      <c r="G2181" s="41" t="str">
        <f>IF(ISNUMBER(F2181),E2181*F2181,"")</f>
        <v/>
      </c>
      <c r="H2181" s="42"/>
      <c r="I2181" s="38"/>
      <c r="J2181" s="37">
        <v>0</v>
      </c>
    </row>
    <row r="2182" spans="1:10" ht="38.25" hidden="1" x14ac:dyDescent="0.25">
      <c r="A2182" s="174"/>
      <c r="B2182" s="177"/>
      <c r="C2182" s="65" t="s">
        <v>520</v>
      </c>
      <c r="D2182" s="62"/>
      <c r="E2182" s="44"/>
      <c r="F2182" s="41" t="s">
        <v>13</v>
      </c>
      <c r="G2182" s="41" t="str">
        <f>IF(ISNUMBER(F2182),E2182*F2182,"")</f>
        <v/>
      </c>
      <c r="H2182" s="42"/>
      <c r="I2182" s="38"/>
      <c r="J2182" s="37">
        <v>0</v>
      </c>
    </row>
    <row r="2183" spans="1:10" ht="15.75" hidden="1" thickBot="1" x14ac:dyDescent="0.3">
      <c r="A2183" s="175"/>
      <c r="B2183" s="178"/>
      <c r="C2183" s="49"/>
      <c r="D2183" s="49"/>
      <c r="E2183" s="50"/>
      <c r="F2183" s="51" t="s">
        <v>13</v>
      </c>
      <c r="G2183" s="51" t="str">
        <f>IF(ISNUMBER(F2183),E2183*F2183,"")</f>
        <v/>
      </c>
      <c r="H2183" s="53"/>
      <c r="I2183" s="38"/>
      <c r="J2183" s="37">
        <v>0</v>
      </c>
    </row>
    <row r="2184" spans="1:10" ht="15.75" hidden="1" thickBot="1" x14ac:dyDescent="0.3">
      <c r="A2184" s="173" t="s">
        <v>541</v>
      </c>
      <c r="B2184" s="176" t="s">
        <v>3337</v>
      </c>
      <c r="C2184" s="31"/>
      <c r="D2184" s="32" t="s">
        <v>68</v>
      </c>
      <c r="E2184" s="33"/>
      <c r="F2184" s="54" t="s">
        <v>13</v>
      </c>
      <c r="G2184" s="34" t="str">
        <f>IF(ISNUMBER(F2184),E2184*F2184,"")</f>
        <v/>
      </c>
      <c r="H2184" s="35"/>
      <c r="I2184" s="36"/>
      <c r="J2184" s="37">
        <v>0</v>
      </c>
    </row>
    <row r="2185" spans="1:10" hidden="1" x14ac:dyDescent="0.25">
      <c r="A2185" s="174"/>
      <c r="B2185" s="177"/>
      <c r="C2185" s="39"/>
      <c r="D2185" s="39"/>
      <c r="E2185" s="40"/>
      <c r="F2185" s="55" t="s">
        <v>13</v>
      </c>
      <c r="G2185" s="38" t="str">
        <f>IF(ISNUMBER(F2185),E2185*F2185,"")</f>
        <v/>
      </c>
      <c r="H2185" s="42"/>
      <c r="I2185" s="38"/>
      <c r="J2185" s="37">
        <v>0</v>
      </c>
    </row>
    <row r="2186" spans="1:10" ht="25.5" hidden="1" x14ac:dyDescent="0.25">
      <c r="A2186" s="174"/>
      <c r="B2186" s="177"/>
      <c r="C2186" s="43" t="s">
        <v>10753</v>
      </c>
      <c r="D2186" s="43" t="s">
        <v>2800</v>
      </c>
      <c r="E2186" s="44">
        <v>0.2</v>
      </c>
      <c r="F2186" s="38">
        <v>23.997</v>
      </c>
      <c r="G2186" s="41">
        <f>IF(ISNUMBER(F2186),E2186*F2186,"")</f>
        <v>4.7994000000000003</v>
      </c>
      <c r="H2186" s="46">
        <f>SUM(G2186:G2188)</f>
        <v>10.8718</v>
      </c>
      <c r="I2186" s="47"/>
      <c r="J2186" s="37">
        <v>0</v>
      </c>
    </row>
    <row r="2187" spans="1:10" ht="25.5" hidden="1" x14ac:dyDescent="0.25">
      <c r="A2187" s="174"/>
      <c r="B2187" s="177"/>
      <c r="C2187" s="43" t="s">
        <v>10754</v>
      </c>
      <c r="D2187" s="43" t="s">
        <v>2800</v>
      </c>
      <c r="E2187" s="44">
        <v>0.2</v>
      </c>
      <c r="F2187" s="38">
        <v>30.361999999999998</v>
      </c>
      <c r="G2187" s="41">
        <f>IF(ISNUMBER(F2187),E2187*F2187,"")</f>
        <v>6.0724</v>
      </c>
      <c r="H2187" s="42"/>
      <c r="I2187" s="38"/>
      <c r="J2187" s="37">
        <v>0</v>
      </c>
    </row>
    <row r="2188" spans="1:10" hidden="1" x14ac:dyDescent="0.25">
      <c r="A2188" s="174"/>
      <c r="B2188" s="177"/>
      <c r="C2188" s="43" t="s">
        <v>542</v>
      </c>
      <c r="D2188" s="62" t="s">
        <v>68</v>
      </c>
      <c r="E2188" s="44">
        <v>1.05</v>
      </c>
      <c r="F2188" s="41" t="s">
        <v>13</v>
      </c>
      <c r="G2188" s="41" t="str">
        <f>IF(ISNUMBER(F2188),E2188*F2188,"")</f>
        <v/>
      </c>
      <c r="H2188" s="42"/>
      <c r="I2188" s="38"/>
      <c r="J2188" s="37">
        <v>0</v>
      </c>
    </row>
    <row r="2189" spans="1:10" ht="15.75" hidden="1" thickBot="1" x14ac:dyDescent="0.3">
      <c r="A2189" s="175"/>
      <c r="B2189" s="178"/>
      <c r="C2189" s="49"/>
      <c r="D2189" s="49"/>
      <c r="E2189" s="50"/>
      <c r="F2189" s="51" t="s">
        <v>13</v>
      </c>
      <c r="G2189" s="51" t="str">
        <f>IF(ISNUMBER(F2189),E2189*F2189,"")</f>
        <v/>
      </c>
      <c r="H2189" s="53"/>
      <c r="I2189" s="38"/>
      <c r="J2189" s="37">
        <v>0</v>
      </c>
    </row>
    <row r="2190" spans="1:10" ht="15.75" hidden="1" thickBot="1" x14ac:dyDescent="0.3">
      <c r="A2190" s="173" t="s">
        <v>543</v>
      </c>
      <c r="B2190" s="176" t="s">
        <v>3338</v>
      </c>
      <c r="C2190" s="31"/>
      <c r="D2190" s="32" t="s">
        <v>106</v>
      </c>
      <c r="E2190" s="33"/>
      <c r="F2190" s="54" t="s">
        <v>13</v>
      </c>
      <c r="G2190" s="34" t="str">
        <f>IF(ISNUMBER(F2190),E2190*F2190,"")</f>
        <v/>
      </c>
      <c r="H2190" s="35"/>
      <c r="I2190" s="36"/>
      <c r="J2190" s="37">
        <v>0</v>
      </c>
    </row>
    <row r="2191" spans="1:10" hidden="1" x14ac:dyDescent="0.25">
      <c r="A2191" s="174"/>
      <c r="B2191" s="177"/>
      <c r="C2191" s="39"/>
      <c r="D2191" s="39"/>
      <c r="E2191" s="40"/>
      <c r="F2191" s="55" t="s">
        <v>13</v>
      </c>
      <c r="G2191" s="38" t="str">
        <f>IF(ISNUMBER(F2191),E2191*F2191,"")</f>
        <v/>
      </c>
      <c r="H2191" s="42"/>
      <c r="I2191" s="38"/>
      <c r="J2191" s="37">
        <v>0</v>
      </c>
    </row>
    <row r="2192" spans="1:10" ht="25.5" hidden="1" x14ac:dyDescent="0.25">
      <c r="A2192" s="174"/>
      <c r="B2192" s="177"/>
      <c r="C2192" s="43" t="s">
        <v>10754</v>
      </c>
      <c r="D2192" s="43" t="s">
        <v>2800</v>
      </c>
      <c r="E2192" s="44">
        <v>0.29199999999999998</v>
      </c>
      <c r="F2192" s="38">
        <v>30.361999999999998</v>
      </c>
      <c r="G2192" s="38">
        <f>IF(ISNUMBER(F2192),E2192*F2192,"")</f>
        <v>8.8657039999999991</v>
      </c>
      <c r="H2192" s="46">
        <f>SUM(G2192:G2194)</f>
        <v>108.07316849999998</v>
      </c>
      <c r="I2192" s="47"/>
      <c r="J2192" s="37">
        <v>0</v>
      </c>
    </row>
    <row r="2193" spans="1:10" ht="25.5" hidden="1" x14ac:dyDescent="0.25">
      <c r="A2193" s="174"/>
      <c r="B2193" s="177"/>
      <c r="C2193" s="43" t="s">
        <v>10753</v>
      </c>
      <c r="D2193" s="43" t="s">
        <v>2800</v>
      </c>
      <c r="E2193" s="44">
        <v>0.29199999999999998</v>
      </c>
      <c r="F2193" s="38">
        <v>23.997</v>
      </c>
      <c r="G2193" s="38">
        <f>IF(ISNUMBER(F2193),E2193*F2193,"")</f>
        <v>7.0071239999999992</v>
      </c>
      <c r="H2193" s="42"/>
      <c r="I2193" s="38"/>
      <c r="J2193" s="37">
        <v>0</v>
      </c>
    </row>
    <row r="2194" spans="1:10" ht="25.5" hidden="1" x14ac:dyDescent="0.25">
      <c r="A2194" s="174"/>
      <c r="B2194" s="177"/>
      <c r="C2194" s="43" t="s">
        <v>10961</v>
      </c>
      <c r="D2194" s="43" t="s">
        <v>1302</v>
      </c>
      <c r="E2194" s="44">
        <v>1.0389999999999999</v>
      </c>
      <c r="F2194" s="41">
        <v>88.739499999999992</v>
      </c>
      <c r="G2194" s="38">
        <f>IF(ISNUMBER(F2194),E2194*F2194,"")</f>
        <v>92.200340499999982</v>
      </c>
      <c r="H2194" s="42"/>
      <c r="I2194" s="38"/>
      <c r="J2194" s="37">
        <v>0</v>
      </c>
    </row>
    <row r="2195" spans="1:10" ht="15.75" hidden="1" thickBot="1" x14ac:dyDescent="0.3">
      <c r="A2195" s="175"/>
      <c r="B2195" s="178"/>
      <c r="C2195" s="49"/>
      <c r="D2195" s="49"/>
      <c r="E2195" s="50"/>
      <c r="F2195" s="51" t="s">
        <v>13</v>
      </c>
      <c r="G2195" s="51" t="str">
        <f>IF(ISNUMBER(F2195),E2195*F2195,"")</f>
        <v/>
      </c>
      <c r="H2195" s="53"/>
      <c r="I2195" s="38"/>
      <c r="J2195" s="37">
        <v>0</v>
      </c>
    </row>
    <row r="2196" spans="1:10" ht="15.75" hidden="1" thickBot="1" x14ac:dyDescent="0.3">
      <c r="A2196" s="173" t="s">
        <v>544</v>
      </c>
      <c r="B2196" s="176" t="s">
        <v>3339</v>
      </c>
      <c r="C2196" s="31"/>
      <c r="D2196" s="32" t="s">
        <v>106</v>
      </c>
      <c r="E2196" s="33"/>
      <c r="F2196" s="54" t="s">
        <v>13</v>
      </c>
      <c r="G2196" s="34" t="str">
        <f>IF(ISNUMBER(F2196),E2196*F2196,"")</f>
        <v/>
      </c>
      <c r="H2196" s="35"/>
      <c r="I2196" s="36"/>
      <c r="J2196" s="37">
        <v>0</v>
      </c>
    </row>
    <row r="2197" spans="1:10" hidden="1" x14ac:dyDescent="0.25">
      <c r="A2197" s="174"/>
      <c r="B2197" s="177"/>
      <c r="C2197" s="39"/>
      <c r="D2197" s="39"/>
      <c r="E2197" s="40"/>
      <c r="F2197" s="55" t="s">
        <v>13</v>
      </c>
      <c r="G2197" s="38" t="str">
        <f>IF(ISNUMBER(F2197),E2197*F2197,"")</f>
        <v/>
      </c>
      <c r="H2197" s="42"/>
      <c r="I2197" s="38"/>
      <c r="J2197" s="37">
        <v>0</v>
      </c>
    </row>
    <row r="2198" spans="1:10" ht="25.5" hidden="1" x14ac:dyDescent="0.25">
      <c r="A2198" s="174"/>
      <c r="B2198" s="177"/>
      <c r="C2198" s="43" t="s">
        <v>10754</v>
      </c>
      <c r="D2198" s="43" t="s">
        <v>2800</v>
      </c>
      <c r="E2198" s="44">
        <v>0.27500000000000002</v>
      </c>
      <c r="F2198" s="38">
        <v>30.361999999999998</v>
      </c>
      <c r="G2198" s="38">
        <f>IF(ISNUMBER(F2198),E2198*F2198,"")</f>
        <v>8.3495500000000007</v>
      </c>
      <c r="H2198" s="46">
        <f>SUM(G2198:G2200)</f>
        <v>99.558650999999983</v>
      </c>
      <c r="I2198" s="47"/>
      <c r="J2198" s="37">
        <v>0</v>
      </c>
    </row>
    <row r="2199" spans="1:10" ht="25.5" hidden="1" x14ac:dyDescent="0.25">
      <c r="A2199" s="174"/>
      <c r="B2199" s="177"/>
      <c r="C2199" s="43" t="s">
        <v>10753</v>
      </c>
      <c r="D2199" s="43" t="s">
        <v>2800</v>
      </c>
      <c r="E2199" s="44">
        <v>0.27500000000000002</v>
      </c>
      <c r="F2199" s="38">
        <v>23.997</v>
      </c>
      <c r="G2199" s="38">
        <f>IF(ISNUMBER(F2199),E2199*F2199,"")</f>
        <v>6.5991750000000007</v>
      </c>
      <c r="H2199" s="42"/>
      <c r="I2199" s="38"/>
      <c r="J2199" s="37">
        <v>0</v>
      </c>
    </row>
    <row r="2200" spans="1:10" ht="25.5" hidden="1" x14ac:dyDescent="0.25">
      <c r="A2200" s="174"/>
      <c r="B2200" s="177"/>
      <c r="C2200" s="43" t="s">
        <v>10962</v>
      </c>
      <c r="D2200" s="43" t="s">
        <v>1302</v>
      </c>
      <c r="E2200" s="44">
        <v>1.0389999999999999</v>
      </c>
      <c r="F2200" s="38">
        <v>81.433999999999997</v>
      </c>
      <c r="G2200" s="38">
        <f>IF(ISNUMBER(F2200),E2200*F2200,"")</f>
        <v>84.609925999999987</v>
      </c>
      <c r="H2200" s="42"/>
      <c r="I2200" s="38"/>
      <c r="J2200" s="37">
        <v>0</v>
      </c>
    </row>
    <row r="2201" spans="1:10" ht="15.75" hidden="1" thickBot="1" x14ac:dyDescent="0.3">
      <c r="A2201" s="175"/>
      <c r="B2201" s="178"/>
      <c r="C2201" s="49"/>
      <c r="D2201" s="49"/>
      <c r="E2201" s="50"/>
      <c r="F2201" s="51" t="s">
        <v>13</v>
      </c>
      <c r="G2201" s="51" t="str">
        <f>IF(ISNUMBER(F2201),E2201*F2201,"")</f>
        <v/>
      </c>
      <c r="H2201" s="53"/>
      <c r="I2201" s="38"/>
      <c r="J2201" s="37">
        <v>0</v>
      </c>
    </row>
    <row r="2202" spans="1:10" ht="15.75" hidden="1" thickBot="1" x14ac:dyDescent="0.3">
      <c r="A2202" s="173" t="s">
        <v>545</v>
      </c>
      <c r="B2202" s="176" t="s">
        <v>3340</v>
      </c>
      <c r="C2202" s="31"/>
      <c r="D2202" s="32" t="s">
        <v>106</v>
      </c>
      <c r="E2202" s="33"/>
      <c r="F2202" s="54" t="s">
        <v>13</v>
      </c>
      <c r="G2202" s="34" t="str">
        <f>IF(ISNUMBER(F2202),E2202*F2202,"")</f>
        <v/>
      </c>
      <c r="H2202" s="35"/>
      <c r="I2202" s="36"/>
      <c r="J2202" s="37">
        <v>0</v>
      </c>
    </row>
    <row r="2203" spans="1:10" hidden="1" x14ac:dyDescent="0.25">
      <c r="A2203" s="174"/>
      <c r="B2203" s="177"/>
      <c r="C2203" s="39"/>
      <c r="D2203" s="39"/>
      <c r="E2203" s="40"/>
      <c r="F2203" s="55" t="s">
        <v>13</v>
      </c>
      <c r="G2203" s="38" t="str">
        <f>IF(ISNUMBER(F2203),E2203*F2203,"")</f>
        <v/>
      </c>
      <c r="H2203" s="42"/>
      <c r="I2203" s="38"/>
      <c r="J2203" s="37">
        <v>0</v>
      </c>
    </row>
    <row r="2204" spans="1:10" ht="25.5" hidden="1" x14ac:dyDescent="0.25">
      <c r="A2204" s="174"/>
      <c r="B2204" s="177"/>
      <c r="C2204" s="43" t="s">
        <v>10754</v>
      </c>
      <c r="D2204" s="43" t="s">
        <v>2800</v>
      </c>
      <c r="E2204" s="44">
        <v>0.29699999999999999</v>
      </c>
      <c r="F2204" s="38">
        <v>30.361999999999998</v>
      </c>
      <c r="G2204" s="41">
        <f>IF(ISNUMBER(F2204),E2204*F2204,"")</f>
        <v>9.0175139999999985</v>
      </c>
      <c r="H2204" s="46">
        <f>SUM(G2204:G2206)</f>
        <v>79.286211499999993</v>
      </c>
      <c r="I2204" s="47"/>
      <c r="J2204" s="37">
        <v>0</v>
      </c>
    </row>
    <row r="2205" spans="1:10" ht="25.5" hidden="1" x14ac:dyDescent="0.25">
      <c r="A2205" s="174"/>
      <c r="B2205" s="177"/>
      <c r="C2205" s="43" t="s">
        <v>10753</v>
      </c>
      <c r="D2205" s="43" t="s">
        <v>2800</v>
      </c>
      <c r="E2205" s="44">
        <v>0.29699999999999999</v>
      </c>
      <c r="F2205" s="38">
        <v>23.997</v>
      </c>
      <c r="G2205" s="41">
        <f>IF(ISNUMBER(F2205),E2205*F2205,"")</f>
        <v>7.1271089999999999</v>
      </c>
      <c r="H2205" s="42"/>
      <c r="I2205" s="38"/>
      <c r="J2205" s="37">
        <v>0</v>
      </c>
    </row>
    <row r="2206" spans="1:10" ht="25.5" hidden="1" x14ac:dyDescent="0.25">
      <c r="A2206" s="174"/>
      <c r="B2206" s="177"/>
      <c r="C2206" s="43" t="s">
        <v>10963</v>
      </c>
      <c r="D2206" s="43" t="s">
        <v>1302</v>
      </c>
      <c r="E2206" s="44">
        <v>1.0389999999999999</v>
      </c>
      <c r="F2206" s="38">
        <v>60.771499999999996</v>
      </c>
      <c r="G2206" s="41">
        <f>IF(ISNUMBER(F2206),E2206*F2206,"")</f>
        <v>63.14158849999999</v>
      </c>
      <c r="H2206" s="42"/>
      <c r="I2206" s="38"/>
      <c r="J2206" s="37">
        <v>0</v>
      </c>
    </row>
    <row r="2207" spans="1:10" ht="15.75" hidden="1" thickBot="1" x14ac:dyDescent="0.3">
      <c r="A2207" s="175"/>
      <c r="B2207" s="178"/>
      <c r="C2207" s="49"/>
      <c r="D2207" s="49"/>
      <c r="E2207" s="50"/>
      <c r="F2207" s="51" t="s">
        <v>13</v>
      </c>
      <c r="G2207" s="51" t="str">
        <f>IF(ISNUMBER(F2207),E2207*F2207,"")</f>
        <v/>
      </c>
      <c r="H2207" s="53"/>
      <c r="I2207" s="38"/>
      <c r="J2207" s="37">
        <v>0</v>
      </c>
    </row>
    <row r="2208" spans="1:10" ht="15.75" hidden="1" thickBot="1" x14ac:dyDescent="0.3">
      <c r="A2208" s="173" t="s">
        <v>546</v>
      </c>
      <c r="B2208" s="176" t="s">
        <v>3341</v>
      </c>
      <c r="C2208" s="31"/>
      <c r="D2208" s="32" t="s">
        <v>106</v>
      </c>
      <c r="E2208" s="33"/>
      <c r="F2208" s="54" t="s">
        <v>13</v>
      </c>
      <c r="G2208" s="34" t="str">
        <f>IF(ISNUMBER(F2208),E2208*F2208,"")</f>
        <v/>
      </c>
      <c r="H2208" s="35"/>
      <c r="I2208" s="36"/>
      <c r="J2208" s="37">
        <v>0</v>
      </c>
    </row>
    <row r="2209" spans="1:10" hidden="1" x14ac:dyDescent="0.25">
      <c r="A2209" s="174"/>
      <c r="B2209" s="177"/>
      <c r="C2209" s="39"/>
      <c r="D2209" s="39"/>
      <c r="E2209" s="40"/>
      <c r="F2209" s="55" t="s">
        <v>13</v>
      </c>
      <c r="G2209" s="38" t="str">
        <f>IF(ISNUMBER(F2209),E2209*F2209,"")</f>
        <v/>
      </c>
      <c r="H2209" s="42"/>
      <c r="I2209" s="38"/>
      <c r="J2209" s="37">
        <v>0</v>
      </c>
    </row>
    <row r="2210" spans="1:10" ht="25.5" hidden="1" x14ac:dyDescent="0.25">
      <c r="A2210" s="174"/>
      <c r="B2210" s="177"/>
      <c r="C2210" s="43" t="s">
        <v>10754</v>
      </c>
      <c r="D2210" s="43" t="s">
        <v>2800</v>
      </c>
      <c r="E2210" s="44">
        <v>0.29699999999999999</v>
      </c>
      <c r="F2210" s="38">
        <v>30.361999999999998</v>
      </c>
      <c r="G2210" s="38">
        <f>IF(ISNUMBER(F2210),E2210*F2210,"")</f>
        <v>9.0175139999999985</v>
      </c>
      <c r="H2210" s="46">
        <f>SUM(G2210:G2212)</f>
        <v>72.248544999999993</v>
      </c>
      <c r="I2210" s="47"/>
      <c r="J2210" s="37">
        <v>0</v>
      </c>
    </row>
    <row r="2211" spans="1:10" ht="25.5" hidden="1" x14ac:dyDescent="0.25">
      <c r="A2211" s="174"/>
      <c r="B2211" s="177"/>
      <c r="C2211" s="43" t="s">
        <v>10753</v>
      </c>
      <c r="D2211" s="43" t="s">
        <v>2800</v>
      </c>
      <c r="E2211" s="44">
        <v>0.29699999999999999</v>
      </c>
      <c r="F2211" s="38">
        <v>23.997</v>
      </c>
      <c r="G2211" s="38">
        <f>IF(ISNUMBER(F2211),E2211*F2211,"")</f>
        <v>7.1271089999999999</v>
      </c>
      <c r="H2211" s="42"/>
      <c r="I2211" s="38"/>
      <c r="J2211" s="37">
        <v>0</v>
      </c>
    </row>
    <row r="2212" spans="1:10" ht="25.5" hidden="1" x14ac:dyDescent="0.25">
      <c r="A2212" s="174"/>
      <c r="B2212" s="177"/>
      <c r="C2212" s="43" t="s">
        <v>10964</v>
      </c>
      <c r="D2212" s="43" t="s">
        <v>1302</v>
      </c>
      <c r="E2212" s="44">
        <v>1.0389999999999999</v>
      </c>
      <c r="F2212" s="41">
        <v>53.997999999999998</v>
      </c>
      <c r="G2212" s="38">
        <f>IF(ISNUMBER(F2212),E2212*F2212,"")</f>
        <v>56.10392199999999</v>
      </c>
      <c r="H2212" s="42"/>
      <c r="I2212" s="38"/>
      <c r="J2212" s="37">
        <v>0</v>
      </c>
    </row>
    <row r="2213" spans="1:10" ht="15.75" hidden="1" thickBot="1" x14ac:dyDescent="0.3">
      <c r="A2213" s="175"/>
      <c r="B2213" s="178"/>
      <c r="C2213" s="49"/>
      <c r="D2213" s="49"/>
      <c r="E2213" s="50"/>
      <c r="F2213" s="51" t="s">
        <v>13</v>
      </c>
      <c r="G2213" s="51" t="str">
        <f>IF(ISNUMBER(F2213),E2213*F2213,"")</f>
        <v/>
      </c>
      <c r="H2213" s="53"/>
      <c r="I2213" s="38"/>
      <c r="J2213" s="37">
        <v>0</v>
      </c>
    </row>
    <row r="2214" spans="1:10" ht="15.75" hidden="1" thickBot="1" x14ac:dyDescent="0.3">
      <c r="A2214" s="173" t="s">
        <v>547</v>
      </c>
      <c r="B2214" s="176" t="s">
        <v>3342</v>
      </c>
      <c r="C2214" s="31"/>
      <c r="D2214" s="32" t="s">
        <v>106</v>
      </c>
      <c r="E2214" s="33"/>
      <c r="F2214" s="54" t="s">
        <v>13</v>
      </c>
      <c r="G2214" s="34" t="str">
        <f>IF(ISNUMBER(F2214),E2214*F2214,"")</f>
        <v/>
      </c>
      <c r="H2214" s="35"/>
      <c r="I2214" s="36"/>
      <c r="J2214" s="37">
        <v>0</v>
      </c>
    </row>
    <row r="2215" spans="1:10" hidden="1" x14ac:dyDescent="0.25">
      <c r="A2215" s="174"/>
      <c r="B2215" s="177"/>
      <c r="C2215" s="39"/>
      <c r="D2215" s="39"/>
      <c r="E2215" s="40"/>
      <c r="F2215" s="55" t="s">
        <v>13</v>
      </c>
      <c r="G2215" s="38" t="str">
        <f>IF(ISNUMBER(F2215),E2215*F2215,"")</f>
        <v/>
      </c>
      <c r="H2215" s="42"/>
      <c r="I2215" s="38"/>
      <c r="J2215" s="37">
        <v>0</v>
      </c>
    </row>
    <row r="2216" spans="1:10" ht="25.5" hidden="1" x14ac:dyDescent="0.25">
      <c r="A2216" s="174"/>
      <c r="B2216" s="177"/>
      <c r="C2216" s="43" t="s">
        <v>10965</v>
      </c>
      <c r="D2216" s="43" t="s">
        <v>1302</v>
      </c>
      <c r="E2216" s="44">
        <v>1.0210999999999999</v>
      </c>
      <c r="F2216" s="41">
        <v>65.236499999999992</v>
      </c>
      <c r="G2216" s="41">
        <f>IF(ISNUMBER(F2216),E2216*F2216,"")</f>
        <v>66.612990149999987</v>
      </c>
      <c r="H2216" s="46">
        <f>SUM(G2216:G2218)</f>
        <v>68.934119449999983</v>
      </c>
      <c r="I2216" s="47"/>
      <c r="J2216" s="37">
        <v>0</v>
      </c>
    </row>
    <row r="2217" spans="1:10" ht="25.5" hidden="1" x14ac:dyDescent="0.25">
      <c r="A2217" s="174"/>
      <c r="B2217" s="177"/>
      <c r="C2217" s="43" t="s">
        <v>10753</v>
      </c>
      <c r="D2217" s="43" t="s">
        <v>2800</v>
      </c>
      <c r="E2217" s="44">
        <f>0.061*0.7</f>
        <v>4.2699999999999995E-2</v>
      </c>
      <c r="F2217" s="38">
        <v>23.997</v>
      </c>
      <c r="G2217" s="41">
        <f>IF(ISNUMBER(F2217),E2217*F2217,"")</f>
        <v>1.0246719</v>
      </c>
      <c r="H2217" s="42"/>
      <c r="I2217" s="38"/>
      <c r="J2217" s="37">
        <v>0</v>
      </c>
    </row>
    <row r="2218" spans="1:10" ht="25.5" hidden="1" x14ac:dyDescent="0.25">
      <c r="A2218" s="174"/>
      <c r="B2218" s="177"/>
      <c r="C2218" s="43" t="s">
        <v>10754</v>
      </c>
      <c r="D2218" s="43" t="s">
        <v>2800</v>
      </c>
      <c r="E2218" s="44">
        <f>0.061*0.7</f>
        <v>4.2699999999999995E-2</v>
      </c>
      <c r="F2218" s="38">
        <v>30.361999999999998</v>
      </c>
      <c r="G2218" s="41">
        <f>IF(ISNUMBER(F2218),E2218*F2218,"")</f>
        <v>1.2964573999999998</v>
      </c>
      <c r="H2218" s="42"/>
      <c r="I2218" s="38"/>
      <c r="J2218" s="37">
        <v>0</v>
      </c>
    </row>
    <row r="2219" spans="1:10" hidden="1" x14ac:dyDescent="0.25">
      <c r="A2219" s="174"/>
      <c r="B2219" s="177"/>
      <c r="C2219" s="43"/>
      <c r="D2219" s="62"/>
      <c r="E2219" s="44"/>
      <c r="F2219" s="38" t="s">
        <v>13</v>
      </c>
      <c r="G2219" s="41" t="str">
        <f>IF(ISNUMBER(F2219),E2219*F2219,"")</f>
        <v/>
      </c>
      <c r="H2219" s="42"/>
      <c r="I2219" s="38"/>
      <c r="J2219" s="37">
        <v>0</v>
      </c>
    </row>
    <row r="2220" spans="1:10" ht="38.25" hidden="1" x14ac:dyDescent="0.25">
      <c r="A2220" s="174"/>
      <c r="B2220" s="177"/>
      <c r="C2220" s="65" t="s">
        <v>520</v>
      </c>
      <c r="D2220" s="62"/>
      <c r="E2220" s="44"/>
      <c r="F2220" s="38" t="s">
        <v>13</v>
      </c>
      <c r="G2220" s="41" t="str">
        <f>IF(ISNUMBER(F2220),E2220*F2220,"")</f>
        <v/>
      </c>
      <c r="H2220" s="42"/>
      <c r="I2220" s="38"/>
      <c r="J2220" s="37">
        <v>0</v>
      </c>
    </row>
    <row r="2221" spans="1:10" ht="15.75" hidden="1" thickBot="1" x14ac:dyDescent="0.3">
      <c r="A2221" s="175"/>
      <c r="B2221" s="178"/>
      <c r="C2221" s="49"/>
      <c r="D2221" s="49"/>
      <c r="E2221" s="50"/>
      <c r="F2221" s="51" t="s">
        <v>13</v>
      </c>
      <c r="G2221" s="51" t="str">
        <f>IF(ISNUMBER(F2221),E2221*F2221,"")</f>
        <v/>
      </c>
      <c r="H2221" s="53"/>
      <c r="I2221" s="38"/>
      <c r="J2221" s="37">
        <v>0</v>
      </c>
    </row>
    <row r="2222" spans="1:10" ht="15.75" hidden="1" thickBot="1" x14ac:dyDescent="0.3">
      <c r="A2222" s="173" t="s">
        <v>548</v>
      </c>
      <c r="B2222" s="176" t="s">
        <v>3343</v>
      </c>
      <c r="C2222" s="31"/>
      <c r="D2222" s="32" t="s">
        <v>106</v>
      </c>
      <c r="E2222" s="33"/>
      <c r="F2222" s="54" t="s">
        <v>13</v>
      </c>
      <c r="G2222" s="34" t="str">
        <f>IF(ISNUMBER(F2222),E2222*F2222,"")</f>
        <v/>
      </c>
      <c r="H2222" s="35"/>
      <c r="I2222" s="36"/>
      <c r="J2222" s="37">
        <v>0</v>
      </c>
    </row>
    <row r="2223" spans="1:10" hidden="1" x14ac:dyDescent="0.25">
      <c r="A2223" s="174"/>
      <c r="B2223" s="177"/>
      <c r="C2223" s="39"/>
      <c r="D2223" s="39"/>
      <c r="E2223" s="40"/>
      <c r="F2223" s="55" t="s">
        <v>13</v>
      </c>
      <c r="G2223" s="38" t="str">
        <f>IF(ISNUMBER(F2223),E2223*F2223,"")</f>
        <v/>
      </c>
      <c r="H2223" s="42"/>
      <c r="I2223" s="38"/>
      <c r="J2223" s="37">
        <v>0</v>
      </c>
    </row>
    <row r="2224" spans="1:10" ht="25.5" hidden="1" x14ac:dyDescent="0.25">
      <c r="A2224" s="174"/>
      <c r="B2224" s="177"/>
      <c r="C2224" s="43" t="s">
        <v>10966</v>
      </c>
      <c r="D2224" s="43" t="s">
        <v>1302</v>
      </c>
      <c r="E2224" s="44">
        <v>1.0210999999999999</v>
      </c>
      <c r="F2224" s="41">
        <v>31.264499999999995</v>
      </c>
      <c r="G2224" s="41">
        <f>IF(ISNUMBER(F2224),E2224*F2224,"")</f>
        <v>31.92418094999999</v>
      </c>
      <c r="H2224" s="46">
        <f>SUM(G2224:G2226)</f>
        <v>33.902848549999995</v>
      </c>
      <c r="I2224" s="47"/>
      <c r="J2224" s="37">
        <v>0</v>
      </c>
    </row>
    <row r="2225" spans="1:10" ht="25.5" hidden="1" x14ac:dyDescent="0.25">
      <c r="A2225" s="174"/>
      <c r="B2225" s="177"/>
      <c r="C2225" s="43" t="s">
        <v>10753</v>
      </c>
      <c r="D2225" s="43" t="s">
        <v>2800</v>
      </c>
      <c r="E2225" s="44">
        <f>0.052*0.7</f>
        <v>3.6399999999999995E-2</v>
      </c>
      <c r="F2225" s="38">
        <v>23.997</v>
      </c>
      <c r="G2225" s="41">
        <f>IF(ISNUMBER(F2225),E2225*F2225,"")</f>
        <v>0.8734907999999999</v>
      </c>
      <c r="H2225" s="42"/>
      <c r="I2225" s="38"/>
      <c r="J2225" s="37">
        <v>0</v>
      </c>
    </row>
    <row r="2226" spans="1:10" ht="25.5" hidden="1" x14ac:dyDescent="0.25">
      <c r="A2226" s="174"/>
      <c r="B2226" s="177"/>
      <c r="C2226" s="43" t="s">
        <v>10754</v>
      </c>
      <c r="D2226" s="43" t="s">
        <v>2800</v>
      </c>
      <c r="E2226" s="44">
        <f>0.052*0.7</f>
        <v>3.6399999999999995E-2</v>
      </c>
      <c r="F2226" s="38">
        <v>30.361999999999998</v>
      </c>
      <c r="G2226" s="41">
        <f>IF(ISNUMBER(F2226),E2226*F2226,"")</f>
        <v>1.1051767999999997</v>
      </c>
      <c r="H2226" s="42"/>
      <c r="I2226" s="38"/>
      <c r="J2226" s="37">
        <v>0</v>
      </c>
    </row>
    <row r="2227" spans="1:10" hidden="1" x14ac:dyDescent="0.25">
      <c r="A2227" s="174"/>
      <c r="B2227" s="177"/>
      <c r="C2227" s="43"/>
      <c r="D2227" s="62"/>
      <c r="E2227" s="44"/>
      <c r="F2227" s="41" t="s">
        <v>13</v>
      </c>
      <c r="G2227" s="41" t="str">
        <f>IF(ISNUMBER(F2227),E2227*F2227,"")</f>
        <v/>
      </c>
      <c r="H2227" s="42"/>
      <c r="I2227" s="38"/>
      <c r="J2227" s="37">
        <v>0</v>
      </c>
    </row>
    <row r="2228" spans="1:10" ht="38.25" hidden="1" x14ac:dyDescent="0.25">
      <c r="A2228" s="174"/>
      <c r="B2228" s="177"/>
      <c r="C2228" s="65" t="s">
        <v>520</v>
      </c>
      <c r="D2228" s="62"/>
      <c r="E2228" s="44"/>
      <c r="F2228" s="41" t="s">
        <v>13</v>
      </c>
      <c r="G2228" s="41" t="str">
        <f>IF(ISNUMBER(F2228),E2228*F2228,"")</f>
        <v/>
      </c>
      <c r="H2228" s="42"/>
      <c r="I2228" s="38"/>
      <c r="J2228" s="37">
        <v>0</v>
      </c>
    </row>
    <row r="2229" spans="1:10" ht="15.75" hidden="1" thickBot="1" x14ac:dyDescent="0.3">
      <c r="A2229" s="175"/>
      <c r="B2229" s="178"/>
      <c r="C2229" s="49"/>
      <c r="D2229" s="49"/>
      <c r="E2229" s="50"/>
      <c r="F2229" s="51" t="s">
        <v>13</v>
      </c>
      <c r="G2229" s="51" t="str">
        <f>IF(ISNUMBER(F2229),E2229*F2229,"")</f>
        <v/>
      </c>
      <c r="H2229" s="53"/>
      <c r="I2229" s="38"/>
      <c r="J2229" s="37">
        <v>0</v>
      </c>
    </row>
    <row r="2230" spans="1:10" ht="15.75" hidden="1" thickBot="1" x14ac:dyDescent="0.3">
      <c r="A2230" s="173" t="s">
        <v>549</v>
      </c>
      <c r="B2230" s="176" t="s">
        <v>3344</v>
      </c>
      <c r="C2230" s="31"/>
      <c r="D2230" s="32" t="s">
        <v>106</v>
      </c>
      <c r="E2230" s="33"/>
      <c r="F2230" s="54" t="s">
        <v>13</v>
      </c>
      <c r="G2230" s="34" t="str">
        <f>IF(ISNUMBER(F2230),E2230*F2230,"")</f>
        <v/>
      </c>
      <c r="H2230" s="35"/>
      <c r="I2230" s="36"/>
      <c r="J2230" s="37">
        <v>0</v>
      </c>
    </row>
    <row r="2231" spans="1:10" hidden="1" x14ac:dyDescent="0.25">
      <c r="A2231" s="174"/>
      <c r="B2231" s="177"/>
      <c r="C2231" s="39"/>
      <c r="D2231" s="39"/>
      <c r="E2231" s="40"/>
      <c r="F2231" s="55" t="s">
        <v>13</v>
      </c>
      <c r="G2231" s="38" t="str">
        <f>IF(ISNUMBER(F2231),E2231*F2231,"")</f>
        <v/>
      </c>
      <c r="H2231" s="42"/>
      <c r="I2231" s="38"/>
      <c r="J2231" s="37">
        <v>0</v>
      </c>
    </row>
    <row r="2232" spans="1:10" ht="25.5" hidden="1" x14ac:dyDescent="0.25">
      <c r="A2232" s="174"/>
      <c r="B2232" s="177"/>
      <c r="C2232" s="43" t="s">
        <v>10967</v>
      </c>
      <c r="D2232" s="43" t="s">
        <v>1302</v>
      </c>
      <c r="E2232" s="44">
        <v>1.0210999999999999</v>
      </c>
      <c r="F2232" s="41">
        <v>98.134999999999991</v>
      </c>
      <c r="G2232" s="41">
        <f>IF(ISNUMBER(F2232),E2232*F2232,"")</f>
        <v>100.20564849999998</v>
      </c>
      <c r="H2232" s="46">
        <f>SUM(G2232:G2234)</f>
        <v>102.64093169999998</v>
      </c>
      <c r="I2232" s="47"/>
      <c r="J2232" s="37">
        <v>0</v>
      </c>
    </row>
    <row r="2233" spans="1:10" ht="25.5" hidden="1" x14ac:dyDescent="0.25">
      <c r="A2233" s="174"/>
      <c r="B2233" s="177"/>
      <c r="C2233" s="43" t="s">
        <v>10753</v>
      </c>
      <c r="D2233" s="43" t="s">
        <v>2800</v>
      </c>
      <c r="E2233" s="44">
        <f>0.064*0.7</f>
        <v>4.48E-2</v>
      </c>
      <c r="F2233" s="38">
        <v>23.997</v>
      </c>
      <c r="G2233" s="41">
        <f>IF(ISNUMBER(F2233),E2233*F2233,"")</f>
        <v>1.0750656000000001</v>
      </c>
      <c r="H2233" s="42"/>
      <c r="I2233" s="38"/>
      <c r="J2233" s="37">
        <v>0</v>
      </c>
    </row>
    <row r="2234" spans="1:10" ht="25.5" hidden="1" x14ac:dyDescent="0.25">
      <c r="A2234" s="174"/>
      <c r="B2234" s="177"/>
      <c r="C2234" s="43" t="s">
        <v>10754</v>
      </c>
      <c r="D2234" s="43" t="s">
        <v>2800</v>
      </c>
      <c r="E2234" s="44">
        <f>0.064*0.7</f>
        <v>4.48E-2</v>
      </c>
      <c r="F2234" s="38">
        <v>30.361999999999998</v>
      </c>
      <c r="G2234" s="41">
        <f>IF(ISNUMBER(F2234),E2234*F2234,"")</f>
        <v>1.3602175999999999</v>
      </c>
      <c r="H2234" s="42"/>
      <c r="I2234" s="38"/>
      <c r="J2234" s="37">
        <v>0</v>
      </c>
    </row>
    <row r="2235" spans="1:10" hidden="1" x14ac:dyDescent="0.25">
      <c r="A2235" s="174"/>
      <c r="B2235" s="177"/>
      <c r="C2235" s="43"/>
      <c r="D2235" s="62"/>
      <c r="E2235" s="44"/>
      <c r="F2235" s="41" t="s">
        <v>13</v>
      </c>
      <c r="G2235" s="41" t="str">
        <f>IF(ISNUMBER(F2235),E2235*F2235,"")</f>
        <v/>
      </c>
      <c r="H2235" s="42"/>
      <c r="I2235" s="38"/>
      <c r="J2235" s="37">
        <v>0</v>
      </c>
    </row>
    <row r="2236" spans="1:10" ht="38.25" hidden="1" x14ac:dyDescent="0.25">
      <c r="A2236" s="174"/>
      <c r="B2236" s="177"/>
      <c r="C2236" s="65" t="s">
        <v>520</v>
      </c>
      <c r="D2236" s="62"/>
      <c r="E2236" s="44"/>
      <c r="F2236" s="41" t="s">
        <v>13</v>
      </c>
      <c r="G2236" s="41" t="str">
        <f>IF(ISNUMBER(F2236),E2236*F2236,"")</f>
        <v/>
      </c>
      <c r="H2236" s="42"/>
      <c r="I2236" s="38"/>
      <c r="J2236" s="37">
        <v>0</v>
      </c>
    </row>
    <row r="2237" spans="1:10" ht="15.75" hidden="1" thickBot="1" x14ac:dyDescent="0.3">
      <c r="A2237" s="175"/>
      <c r="B2237" s="178"/>
      <c r="C2237" s="49"/>
      <c r="D2237" s="49"/>
      <c r="E2237" s="50"/>
      <c r="F2237" s="51" t="s">
        <v>13</v>
      </c>
      <c r="G2237" s="51" t="str">
        <f>IF(ISNUMBER(F2237),E2237*F2237,"")</f>
        <v/>
      </c>
      <c r="H2237" s="53"/>
      <c r="I2237" s="38"/>
      <c r="J2237" s="37">
        <v>0</v>
      </c>
    </row>
    <row r="2238" spans="1:10" ht="15.75" hidden="1" thickBot="1" x14ac:dyDescent="0.3">
      <c r="A2238" s="173" t="s">
        <v>550</v>
      </c>
      <c r="B2238" s="176" t="s">
        <v>3345</v>
      </c>
      <c r="C2238" s="31"/>
      <c r="D2238" s="32" t="s">
        <v>106</v>
      </c>
      <c r="E2238" s="33"/>
      <c r="F2238" s="54" t="s">
        <v>13</v>
      </c>
      <c r="G2238" s="34" t="str">
        <f>IF(ISNUMBER(F2238),E2238*F2238,"")</f>
        <v/>
      </c>
      <c r="H2238" s="35"/>
      <c r="I2238" s="36"/>
      <c r="J2238" s="37">
        <v>0</v>
      </c>
    </row>
    <row r="2239" spans="1:10" hidden="1" x14ac:dyDescent="0.25">
      <c r="A2239" s="174"/>
      <c r="B2239" s="177"/>
      <c r="C2239" s="39"/>
      <c r="D2239" s="39"/>
      <c r="E2239" s="40"/>
      <c r="F2239" s="55" t="s">
        <v>13</v>
      </c>
      <c r="G2239" s="38" t="str">
        <f>IF(ISNUMBER(F2239),E2239*F2239,"")</f>
        <v/>
      </c>
      <c r="H2239" s="42"/>
      <c r="I2239" s="38"/>
      <c r="J2239" s="37">
        <v>0</v>
      </c>
    </row>
    <row r="2240" spans="1:10" ht="25.5" hidden="1" x14ac:dyDescent="0.25">
      <c r="A2240" s="174"/>
      <c r="B2240" s="177"/>
      <c r="C2240" s="43" t="s">
        <v>10968</v>
      </c>
      <c r="D2240" s="43" t="s">
        <v>1302</v>
      </c>
      <c r="E2240" s="44">
        <v>1.0210999999999999</v>
      </c>
      <c r="F2240" s="41">
        <v>48.098500000000001</v>
      </c>
      <c r="G2240" s="41">
        <f>IF(ISNUMBER(F2240),E2240*F2240,"")</f>
        <v>49.113378349999998</v>
      </c>
      <c r="H2240" s="46">
        <f>SUM(G2240:G2242)</f>
        <v>51.282302449999996</v>
      </c>
      <c r="I2240" s="47"/>
      <c r="J2240" s="37">
        <v>0</v>
      </c>
    </row>
    <row r="2241" spans="1:10" ht="25.5" hidden="1" x14ac:dyDescent="0.25">
      <c r="A2241" s="174"/>
      <c r="B2241" s="177"/>
      <c r="C2241" s="43" t="s">
        <v>10753</v>
      </c>
      <c r="D2241" s="43" t="s">
        <v>2800</v>
      </c>
      <c r="E2241" s="44">
        <f>0.057*0.7</f>
        <v>3.9899999999999998E-2</v>
      </c>
      <c r="F2241" s="38">
        <v>23.997</v>
      </c>
      <c r="G2241" s="41">
        <f>IF(ISNUMBER(F2241),E2241*F2241,"")</f>
        <v>0.95748029999999995</v>
      </c>
      <c r="H2241" s="42"/>
      <c r="I2241" s="38"/>
      <c r="J2241" s="37">
        <v>0</v>
      </c>
    </row>
    <row r="2242" spans="1:10" ht="25.5" hidden="1" x14ac:dyDescent="0.25">
      <c r="A2242" s="174"/>
      <c r="B2242" s="177"/>
      <c r="C2242" s="43" t="s">
        <v>10754</v>
      </c>
      <c r="D2242" s="43" t="s">
        <v>2800</v>
      </c>
      <c r="E2242" s="44">
        <f>0.057*0.7</f>
        <v>3.9899999999999998E-2</v>
      </c>
      <c r="F2242" s="38">
        <v>30.361999999999998</v>
      </c>
      <c r="G2242" s="41">
        <f>IF(ISNUMBER(F2242),E2242*F2242,"")</f>
        <v>1.2114437999999998</v>
      </c>
      <c r="H2242" s="42"/>
      <c r="I2242" s="38"/>
      <c r="J2242" s="37">
        <v>0</v>
      </c>
    </row>
    <row r="2243" spans="1:10" hidden="1" x14ac:dyDescent="0.25">
      <c r="A2243" s="174"/>
      <c r="B2243" s="177"/>
      <c r="C2243" s="43"/>
      <c r="D2243" s="62"/>
      <c r="E2243" s="44"/>
      <c r="F2243" s="41" t="s">
        <v>13</v>
      </c>
      <c r="G2243" s="41" t="str">
        <f>IF(ISNUMBER(F2243),E2243*F2243,"")</f>
        <v/>
      </c>
      <c r="H2243" s="42"/>
      <c r="I2243" s="38"/>
      <c r="J2243" s="37">
        <v>0</v>
      </c>
    </row>
    <row r="2244" spans="1:10" ht="38.25" hidden="1" x14ac:dyDescent="0.25">
      <c r="A2244" s="174"/>
      <c r="B2244" s="177"/>
      <c r="C2244" s="65" t="s">
        <v>520</v>
      </c>
      <c r="D2244" s="62"/>
      <c r="E2244" s="44"/>
      <c r="F2244" s="41" t="s">
        <v>13</v>
      </c>
      <c r="G2244" s="41" t="str">
        <f>IF(ISNUMBER(F2244),E2244*F2244,"")</f>
        <v/>
      </c>
      <c r="H2244" s="42"/>
      <c r="I2244" s="38"/>
      <c r="J2244" s="37">
        <v>0</v>
      </c>
    </row>
    <row r="2245" spans="1:10" ht="15.75" hidden="1" thickBot="1" x14ac:dyDescent="0.3">
      <c r="A2245" s="175"/>
      <c r="B2245" s="178"/>
      <c r="C2245" s="49"/>
      <c r="D2245" s="49"/>
      <c r="E2245" s="50"/>
      <c r="F2245" s="51" t="s">
        <v>13</v>
      </c>
      <c r="G2245" s="51" t="str">
        <f>IF(ISNUMBER(F2245),E2245*F2245,"")</f>
        <v/>
      </c>
      <c r="H2245" s="53"/>
      <c r="I2245" s="38"/>
      <c r="J2245" s="37">
        <v>0</v>
      </c>
    </row>
    <row r="2246" spans="1:10" ht="15.75" hidden="1" thickBot="1" x14ac:dyDescent="0.3">
      <c r="A2246" s="173" t="s">
        <v>551</v>
      </c>
      <c r="B2246" s="176" t="s">
        <v>3346</v>
      </c>
      <c r="C2246" s="31"/>
      <c r="D2246" s="32" t="s">
        <v>106</v>
      </c>
      <c r="E2246" s="33"/>
      <c r="F2246" s="54" t="s">
        <v>13</v>
      </c>
      <c r="G2246" s="34" t="str">
        <f>IF(ISNUMBER(F2246),E2246*F2246,"")</f>
        <v/>
      </c>
      <c r="H2246" s="35"/>
      <c r="I2246" s="36"/>
      <c r="J2246" s="37">
        <v>0</v>
      </c>
    </row>
    <row r="2247" spans="1:10" hidden="1" x14ac:dyDescent="0.25">
      <c r="A2247" s="174"/>
      <c r="B2247" s="177"/>
      <c r="C2247" s="39"/>
      <c r="D2247" s="39"/>
      <c r="E2247" s="40"/>
      <c r="F2247" s="55" t="s">
        <v>13</v>
      </c>
      <c r="G2247" s="38" t="str">
        <f>IF(ISNUMBER(F2247),E2247*F2247,"")</f>
        <v/>
      </c>
      <c r="H2247" s="42"/>
      <c r="I2247" s="38"/>
      <c r="J2247" s="37">
        <v>0</v>
      </c>
    </row>
    <row r="2248" spans="1:10" ht="25.5" hidden="1" x14ac:dyDescent="0.25">
      <c r="A2248" s="174"/>
      <c r="B2248" s="177"/>
      <c r="C2248" s="43" t="s">
        <v>10969</v>
      </c>
      <c r="D2248" s="43" t="s">
        <v>1302</v>
      </c>
      <c r="E2248" s="44">
        <v>1.0210999999999999</v>
      </c>
      <c r="F2248" s="41">
        <v>81.139499999999998</v>
      </c>
      <c r="G2248" s="41">
        <f>IF(ISNUMBER(F2248),E2248*F2248,"")</f>
        <v>82.851543449999994</v>
      </c>
      <c r="H2248" s="46">
        <f>SUM(G2248:G2250)</f>
        <v>85.286826649999995</v>
      </c>
      <c r="I2248" s="47"/>
      <c r="J2248" s="37">
        <v>0</v>
      </c>
    </row>
    <row r="2249" spans="1:10" ht="25.5" hidden="1" x14ac:dyDescent="0.25">
      <c r="A2249" s="174"/>
      <c r="B2249" s="177"/>
      <c r="C2249" s="43" t="s">
        <v>10753</v>
      </c>
      <c r="D2249" s="43" t="s">
        <v>2800</v>
      </c>
      <c r="E2249" s="44">
        <f>0.064*0.7</f>
        <v>4.48E-2</v>
      </c>
      <c r="F2249" s="38">
        <v>23.997</v>
      </c>
      <c r="G2249" s="41">
        <f>IF(ISNUMBER(F2249),E2249*F2249,"")</f>
        <v>1.0750656000000001</v>
      </c>
      <c r="H2249" s="42"/>
      <c r="I2249" s="38"/>
      <c r="J2249" s="37">
        <v>0</v>
      </c>
    </row>
    <row r="2250" spans="1:10" ht="25.5" hidden="1" x14ac:dyDescent="0.25">
      <c r="A2250" s="174"/>
      <c r="B2250" s="177"/>
      <c r="C2250" s="43" t="s">
        <v>10754</v>
      </c>
      <c r="D2250" s="43" t="s">
        <v>2800</v>
      </c>
      <c r="E2250" s="44">
        <f>0.064*0.7</f>
        <v>4.48E-2</v>
      </c>
      <c r="F2250" s="38">
        <v>30.361999999999998</v>
      </c>
      <c r="G2250" s="41">
        <f>IF(ISNUMBER(F2250),E2250*F2250,"")</f>
        <v>1.3602175999999999</v>
      </c>
      <c r="H2250" s="42"/>
      <c r="I2250" s="38"/>
      <c r="J2250" s="37">
        <v>0</v>
      </c>
    </row>
    <row r="2251" spans="1:10" hidden="1" x14ac:dyDescent="0.25">
      <c r="A2251" s="174"/>
      <c r="B2251" s="177"/>
      <c r="C2251" s="43"/>
      <c r="D2251" s="62"/>
      <c r="E2251" s="44"/>
      <c r="F2251" s="41" t="s">
        <v>13</v>
      </c>
      <c r="G2251" s="41" t="str">
        <f>IF(ISNUMBER(F2251),E2251*F2251,"")</f>
        <v/>
      </c>
      <c r="H2251" s="42"/>
      <c r="I2251" s="38"/>
      <c r="J2251" s="37">
        <v>0</v>
      </c>
    </row>
    <row r="2252" spans="1:10" ht="38.25" hidden="1" x14ac:dyDescent="0.25">
      <c r="A2252" s="174"/>
      <c r="B2252" s="177"/>
      <c r="C2252" s="65" t="s">
        <v>520</v>
      </c>
      <c r="D2252" s="62"/>
      <c r="E2252" s="44"/>
      <c r="F2252" s="41" t="s">
        <v>13</v>
      </c>
      <c r="G2252" s="41" t="str">
        <f>IF(ISNUMBER(F2252),E2252*F2252,"")</f>
        <v/>
      </c>
      <c r="H2252" s="42"/>
      <c r="I2252" s="38"/>
      <c r="J2252" s="37">
        <v>0</v>
      </c>
    </row>
    <row r="2253" spans="1:10" ht="15.75" hidden="1" thickBot="1" x14ac:dyDescent="0.3">
      <c r="A2253" s="175"/>
      <c r="B2253" s="178"/>
      <c r="C2253" s="49"/>
      <c r="D2253" s="49"/>
      <c r="E2253" s="50"/>
      <c r="F2253" s="51" t="s">
        <v>13</v>
      </c>
      <c r="G2253" s="51" t="str">
        <f>IF(ISNUMBER(F2253),E2253*F2253,"")</f>
        <v/>
      </c>
      <c r="H2253" s="53"/>
      <c r="I2253" s="38"/>
      <c r="J2253" s="37">
        <v>0</v>
      </c>
    </row>
    <row r="2254" spans="1:10" ht="15.75" hidden="1" thickBot="1" x14ac:dyDescent="0.3">
      <c r="A2254" s="173" t="s">
        <v>552</v>
      </c>
      <c r="B2254" s="176" t="s">
        <v>3347</v>
      </c>
      <c r="C2254" s="31"/>
      <c r="D2254" s="32" t="s">
        <v>106</v>
      </c>
      <c r="E2254" s="33"/>
      <c r="F2254" s="54" t="s">
        <v>13</v>
      </c>
      <c r="G2254" s="34" t="str">
        <f>IF(ISNUMBER(F2254),E2254*F2254,"")</f>
        <v/>
      </c>
      <c r="H2254" s="35"/>
      <c r="I2254" s="36"/>
      <c r="J2254" s="37">
        <v>0</v>
      </c>
    </row>
    <row r="2255" spans="1:10" hidden="1" x14ac:dyDescent="0.25">
      <c r="A2255" s="174"/>
      <c r="B2255" s="177"/>
      <c r="C2255" s="39"/>
      <c r="D2255" s="39"/>
      <c r="E2255" s="40"/>
      <c r="F2255" s="55" t="s">
        <v>13</v>
      </c>
      <c r="G2255" s="38" t="str">
        <f>IF(ISNUMBER(F2255),E2255*F2255,"")</f>
        <v/>
      </c>
      <c r="H2255" s="42"/>
      <c r="I2255" s="38"/>
      <c r="J2255" s="37">
        <v>0</v>
      </c>
    </row>
    <row r="2256" spans="1:10" ht="25.5" hidden="1" x14ac:dyDescent="0.25">
      <c r="A2256" s="174"/>
      <c r="B2256" s="177"/>
      <c r="C2256" s="43" t="s">
        <v>553</v>
      </c>
      <c r="D2256" s="62" t="s">
        <v>106</v>
      </c>
      <c r="E2256" s="44">
        <v>1.0210999999999999</v>
      </c>
      <c r="F2256" s="41" t="s">
        <v>13</v>
      </c>
      <c r="G2256" s="41" t="str">
        <f>IF(ISNUMBER(F2256),E2256*F2256,"")</f>
        <v/>
      </c>
      <c r="H2256" s="46">
        <f>SUM(G2256:G2258)</f>
        <v>2.4352831999999998</v>
      </c>
      <c r="I2256" s="47"/>
      <c r="J2256" s="37">
        <v>0</v>
      </c>
    </row>
    <row r="2257" spans="1:10" ht="25.5" hidden="1" x14ac:dyDescent="0.25">
      <c r="A2257" s="174"/>
      <c r="B2257" s="177"/>
      <c r="C2257" s="43" t="s">
        <v>10753</v>
      </c>
      <c r="D2257" s="43" t="s">
        <v>2800</v>
      </c>
      <c r="E2257" s="44">
        <f>0.064*0.7</f>
        <v>4.48E-2</v>
      </c>
      <c r="F2257" s="38">
        <v>23.997</v>
      </c>
      <c r="G2257" s="41">
        <f>IF(ISNUMBER(F2257),E2257*F2257,"")</f>
        <v>1.0750656000000001</v>
      </c>
      <c r="H2257" s="42"/>
      <c r="I2257" s="38"/>
      <c r="J2257" s="37">
        <v>0</v>
      </c>
    </row>
    <row r="2258" spans="1:10" ht="25.5" hidden="1" x14ac:dyDescent="0.25">
      <c r="A2258" s="174"/>
      <c r="B2258" s="177"/>
      <c r="C2258" s="43" t="s">
        <v>10754</v>
      </c>
      <c r="D2258" s="43" t="s">
        <v>2800</v>
      </c>
      <c r="E2258" s="44">
        <f>0.064*0.7</f>
        <v>4.48E-2</v>
      </c>
      <c r="F2258" s="38">
        <v>30.361999999999998</v>
      </c>
      <c r="G2258" s="41">
        <f>IF(ISNUMBER(F2258),E2258*F2258,"")</f>
        <v>1.3602175999999999</v>
      </c>
      <c r="H2258" s="42"/>
      <c r="I2258" s="38"/>
      <c r="J2258" s="37">
        <v>0</v>
      </c>
    </row>
    <row r="2259" spans="1:10" hidden="1" x14ac:dyDescent="0.25">
      <c r="A2259" s="174"/>
      <c r="B2259" s="177"/>
      <c r="C2259" s="43"/>
      <c r="D2259" s="62"/>
      <c r="E2259" s="44"/>
      <c r="F2259" s="41" t="s">
        <v>13</v>
      </c>
      <c r="G2259" s="41" t="str">
        <f>IF(ISNUMBER(F2259),E2259*F2259,"")</f>
        <v/>
      </c>
      <c r="H2259" s="42"/>
      <c r="I2259" s="38"/>
      <c r="J2259" s="37">
        <v>0</v>
      </c>
    </row>
    <row r="2260" spans="1:10" ht="38.25" hidden="1" x14ac:dyDescent="0.25">
      <c r="A2260" s="174"/>
      <c r="B2260" s="177"/>
      <c r="C2260" s="65" t="s">
        <v>520</v>
      </c>
      <c r="D2260" s="62"/>
      <c r="E2260" s="44"/>
      <c r="F2260" s="41" t="s">
        <v>13</v>
      </c>
      <c r="G2260" s="41" t="str">
        <f>IF(ISNUMBER(F2260),E2260*F2260,"")</f>
        <v/>
      </c>
      <c r="H2260" s="42"/>
      <c r="I2260" s="38"/>
      <c r="J2260" s="37">
        <v>0</v>
      </c>
    </row>
    <row r="2261" spans="1:10" ht="15.75" hidden="1" thickBot="1" x14ac:dyDescent="0.3">
      <c r="A2261" s="175"/>
      <c r="B2261" s="178"/>
      <c r="C2261" s="49"/>
      <c r="D2261" s="49"/>
      <c r="E2261" s="50"/>
      <c r="F2261" s="51" t="s">
        <v>13</v>
      </c>
      <c r="G2261" s="51" t="str">
        <f>IF(ISNUMBER(F2261),E2261*F2261,"")</f>
        <v/>
      </c>
      <c r="H2261" s="53"/>
      <c r="I2261" s="38"/>
      <c r="J2261" s="37">
        <v>0</v>
      </c>
    </row>
    <row r="2262" spans="1:10" ht="15.75" hidden="1" thickBot="1" x14ac:dyDescent="0.3">
      <c r="A2262" s="173" t="s">
        <v>554</v>
      </c>
      <c r="B2262" s="176" t="s">
        <v>3348</v>
      </c>
      <c r="C2262" s="31"/>
      <c r="D2262" s="32" t="s">
        <v>106</v>
      </c>
      <c r="E2262" s="33"/>
      <c r="F2262" s="54" t="s">
        <v>13</v>
      </c>
      <c r="G2262" s="34" t="str">
        <f>IF(ISNUMBER(F2262),E2262*F2262,"")</f>
        <v/>
      </c>
      <c r="H2262" s="35"/>
      <c r="I2262" s="36"/>
      <c r="J2262" s="37">
        <v>0</v>
      </c>
    </row>
    <row r="2263" spans="1:10" hidden="1" x14ac:dyDescent="0.25">
      <c r="A2263" s="174"/>
      <c r="B2263" s="177"/>
      <c r="C2263" s="39"/>
      <c r="D2263" s="39"/>
      <c r="E2263" s="40"/>
      <c r="F2263" s="55" t="s">
        <v>13</v>
      </c>
      <c r="G2263" s="38" t="str">
        <f>IF(ISNUMBER(F2263),E2263*F2263,"")</f>
        <v/>
      </c>
      <c r="H2263" s="42"/>
      <c r="I2263" s="38"/>
      <c r="J2263" s="37">
        <v>0</v>
      </c>
    </row>
    <row r="2264" spans="1:10" ht="25.5" hidden="1" x14ac:dyDescent="0.25">
      <c r="A2264" s="174"/>
      <c r="B2264" s="177"/>
      <c r="C2264" s="43" t="s">
        <v>555</v>
      </c>
      <c r="D2264" s="62" t="s">
        <v>106</v>
      </c>
      <c r="E2264" s="44">
        <v>1.0210999999999999</v>
      </c>
      <c r="F2264" s="41" t="s">
        <v>13</v>
      </c>
      <c r="G2264" s="41" t="str">
        <f>IF(ISNUMBER(F2264),E2264*F2264,"")</f>
        <v/>
      </c>
      <c r="H2264" s="46">
        <f>SUM(G2264:G2266)</f>
        <v>2.4352831999999998</v>
      </c>
      <c r="I2264" s="47"/>
      <c r="J2264" s="37">
        <v>0</v>
      </c>
    </row>
    <row r="2265" spans="1:10" ht="25.5" hidden="1" x14ac:dyDescent="0.25">
      <c r="A2265" s="174"/>
      <c r="B2265" s="177"/>
      <c r="C2265" s="43" t="s">
        <v>10753</v>
      </c>
      <c r="D2265" s="43" t="s">
        <v>2800</v>
      </c>
      <c r="E2265" s="44">
        <f>0.064*0.7</f>
        <v>4.48E-2</v>
      </c>
      <c r="F2265" s="38">
        <v>23.997</v>
      </c>
      <c r="G2265" s="41">
        <f>IF(ISNUMBER(F2265),E2265*F2265,"")</f>
        <v>1.0750656000000001</v>
      </c>
      <c r="H2265" s="42"/>
      <c r="I2265" s="38"/>
      <c r="J2265" s="37">
        <v>0</v>
      </c>
    </row>
    <row r="2266" spans="1:10" ht="25.5" hidden="1" x14ac:dyDescent="0.25">
      <c r="A2266" s="174"/>
      <c r="B2266" s="177"/>
      <c r="C2266" s="43" t="s">
        <v>10754</v>
      </c>
      <c r="D2266" s="43" t="s">
        <v>2800</v>
      </c>
      <c r="E2266" s="44">
        <f>0.064*0.7</f>
        <v>4.48E-2</v>
      </c>
      <c r="F2266" s="38">
        <v>30.361999999999998</v>
      </c>
      <c r="G2266" s="41">
        <f>IF(ISNUMBER(F2266),E2266*F2266,"")</f>
        <v>1.3602175999999999</v>
      </c>
      <c r="H2266" s="42"/>
      <c r="I2266" s="38"/>
      <c r="J2266" s="37">
        <v>0</v>
      </c>
    </row>
    <row r="2267" spans="1:10" hidden="1" x14ac:dyDescent="0.25">
      <c r="A2267" s="174"/>
      <c r="B2267" s="177"/>
      <c r="C2267" s="43"/>
      <c r="D2267" s="62"/>
      <c r="E2267" s="44"/>
      <c r="F2267" s="41" t="s">
        <v>13</v>
      </c>
      <c r="G2267" s="41" t="str">
        <f>IF(ISNUMBER(F2267),E2267*F2267,"")</f>
        <v/>
      </c>
      <c r="H2267" s="42"/>
      <c r="I2267" s="38"/>
      <c r="J2267" s="37">
        <v>0</v>
      </c>
    </row>
    <row r="2268" spans="1:10" ht="38.25" hidden="1" x14ac:dyDescent="0.25">
      <c r="A2268" s="174"/>
      <c r="B2268" s="177"/>
      <c r="C2268" s="65" t="s">
        <v>520</v>
      </c>
      <c r="D2268" s="62"/>
      <c r="E2268" s="44"/>
      <c r="F2268" s="41" t="s">
        <v>13</v>
      </c>
      <c r="G2268" s="41" t="str">
        <f>IF(ISNUMBER(F2268),E2268*F2268,"")</f>
        <v/>
      </c>
      <c r="H2268" s="42"/>
      <c r="I2268" s="38"/>
      <c r="J2268" s="37">
        <v>0</v>
      </c>
    </row>
    <row r="2269" spans="1:10" ht="15.75" hidden="1" thickBot="1" x14ac:dyDescent="0.3">
      <c r="A2269" s="175"/>
      <c r="B2269" s="178"/>
      <c r="C2269" s="49"/>
      <c r="D2269" s="49"/>
      <c r="E2269" s="50"/>
      <c r="F2269" s="51" t="s">
        <v>13</v>
      </c>
      <c r="G2269" s="51" t="str">
        <f>IF(ISNUMBER(F2269),E2269*F2269,"")</f>
        <v/>
      </c>
      <c r="H2269" s="53"/>
      <c r="I2269" s="38"/>
      <c r="J2269" s="37">
        <v>0</v>
      </c>
    </row>
    <row r="2270" spans="1:10" ht="15.75" hidden="1" thickBot="1" x14ac:dyDescent="0.3">
      <c r="A2270" s="173" t="s">
        <v>556</v>
      </c>
      <c r="B2270" s="176" t="s">
        <v>3349</v>
      </c>
      <c r="C2270" s="31"/>
      <c r="D2270" s="32" t="s">
        <v>106</v>
      </c>
      <c r="E2270" s="33"/>
      <c r="F2270" s="54" t="s">
        <v>13</v>
      </c>
      <c r="G2270" s="34" t="str">
        <f>IF(ISNUMBER(F2270),E2270*F2270,"")</f>
        <v/>
      </c>
      <c r="H2270" s="35"/>
      <c r="I2270" s="36"/>
      <c r="J2270" s="37">
        <v>0</v>
      </c>
    </row>
    <row r="2271" spans="1:10" hidden="1" x14ac:dyDescent="0.25">
      <c r="A2271" s="174"/>
      <c r="B2271" s="177"/>
      <c r="C2271" s="39"/>
      <c r="D2271" s="39"/>
      <c r="E2271" s="40"/>
      <c r="F2271" s="55" t="s">
        <v>13</v>
      </c>
      <c r="G2271" s="38" t="str">
        <f>IF(ISNUMBER(F2271),E2271*F2271,"")</f>
        <v/>
      </c>
      <c r="H2271" s="42"/>
      <c r="I2271" s="38"/>
      <c r="J2271" s="37">
        <v>0</v>
      </c>
    </row>
    <row r="2272" spans="1:10" ht="25.5" hidden="1" x14ac:dyDescent="0.25">
      <c r="A2272" s="174"/>
      <c r="B2272" s="177"/>
      <c r="C2272" s="43" t="s">
        <v>557</v>
      </c>
      <c r="D2272" s="62" t="s">
        <v>106</v>
      </c>
      <c r="E2272" s="44">
        <v>1.0210999999999999</v>
      </c>
      <c r="F2272" s="41" t="s">
        <v>13</v>
      </c>
      <c r="G2272" s="41" t="str">
        <f>IF(ISNUMBER(F2272),E2272*F2272,"")</f>
        <v/>
      </c>
      <c r="H2272" s="46">
        <f>SUM(G2272:G2274)</f>
        <v>2.4352831999999998</v>
      </c>
      <c r="I2272" s="47"/>
      <c r="J2272" s="37">
        <v>0</v>
      </c>
    </row>
    <row r="2273" spans="1:10" ht="25.5" hidden="1" x14ac:dyDescent="0.25">
      <c r="A2273" s="174"/>
      <c r="B2273" s="177"/>
      <c r="C2273" s="43" t="s">
        <v>10753</v>
      </c>
      <c r="D2273" s="43" t="s">
        <v>2800</v>
      </c>
      <c r="E2273" s="44">
        <f>0.064*0.7</f>
        <v>4.48E-2</v>
      </c>
      <c r="F2273" s="38">
        <v>23.997</v>
      </c>
      <c r="G2273" s="41">
        <f>IF(ISNUMBER(F2273),E2273*F2273,"")</f>
        <v>1.0750656000000001</v>
      </c>
      <c r="H2273" s="42"/>
      <c r="I2273" s="38"/>
      <c r="J2273" s="37">
        <v>0</v>
      </c>
    </row>
    <row r="2274" spans="1:10" ht="25.5" hidden="1" x14ac:dyDescent="0.25">
      <c r="A2274" s="174"/>
      <c r="B2274" s="177"/>
      <c r="C2274" s="43" t="s">
        <v>10754</v>
      </c>
      <c r="D2274" s="43" t="s">
        <v>2800</v>
      </c>
      <c r="E2274" s="44">
        <f>0.064*0.7</f>
        <v>4.48E-2</v>
      </c>
      <c r="F2274" s="38">
        <v>30.361999999999998</v>
      </c>
      <c r="G2274" s="41">
        <f>IF(ISNUMBER(F2274),E2274*F2274,"")</f>
        <v>1.3602175999999999</v>
      </c>
      <c r="H2274" s="42"/>
      <c r="I2274" s="38"/>
      <c r="J2274" s="37">
        <v>0</v>
      </c>
    </row>
    <row r="2275" spans="1:10" hidden="1" x14ac:dyDescent="0.25">
      <c r="A2275" s="174"/>
      <c r="B2275" s="177"/>
      <c r="C2275" s="43"/>
      <c r="D2275" s="62"/>
      <c r="E2275" s="44"/>
      <c r="F2275" s="41" t="s">
        <v>13</v>
      </c>
      <c r="G2275" s="41" t="str">
        <f>IF(ISNUMBER(F2275),E2275*F2275,"")</f>
        <v/>
      </c>
      <c r="H2275" s="42"/>
      <c r="I2275" s="38"/>
      <c r="J2275" s="37">
        <v>0</v>
      </c>
    </row>
    <row r="2276" spans="1:10" ht="38.25" hidden="1" x14ac:dyDescent="0.25">
      <c r="A2276" s="174"/>
      <c r="B2276" s="177"/>
      <c r="C2276" s="65" t="s">
        <v>520</v>
      </c>
      <c r="D2276" s="62"/>
      <c r="E2276" s="44"/>
      <c r="F2276" s="41" t="s">
        <v>13</v>
      </c>
      <c r="G2276" s="41" t="str">
        <f>IF(ISNUMBER(F2276),E2276*F2276,"")</f>
        <v/>
      </c>
      <c r="H2276" s="42"/>
      <c r="I2276" s="38"/>
      <c r="J2276" s="37">
        <v>0</v>
      </c>
    </row>
    <row r="2277" spans="1:10" ht="15.75" hidden="1" thickBot="1" x14ac:dyDescent="0.3">
      <c r="A2277" s="175"/>
      <c r="B2277" s="178"/>
      <c r="C2277" s="49"/>
      <c r="D2277" s="49"/>
      <c r="E2277" s="50"/>
      <c r="F2277" s="51" t="s">
        <v>13</v>
      </c>
      <c r="G2277" s="51" t="str">
        <f>IF(ISNUMBER(F2277),E2277*F2277,"")</f>
        <v/>
      </c>
      <c r="H2277" s="53"/>
      <c r="I2277" s="38"/>
      <c r="J2277" s="37">
        <v>0</v>
      </c>
    </row>
    <row r="2278" spans="1:10" ht="15.75" hidden="1" thickBot="1" x14ac:dyDescent="0.3">
      <c r="A2278" s="173" t="s">
        <v>558</v>
      </c>
      <c r="B2278" s="176" t="s">
        <v>3354</v>
      </c>
      <c r="C2278" s="31"/>
      <c r="D2278" s="32" t="s">
        <v>68</v>
      </c>
      <c r="E2278" s="33"/>
      <c r="F2278" s="54" t="s">
        <v>13</v>
      </c>
      <c r="G2278" s="34" t="str">
        <f>IF(ISNUMBER(F2278),E2278*F2278,"")</f>
        <v/>
      </c>
      <c r="H2278" s="35"/>
      <c r="I2278" s="36"/>
      <c r="J2278" s="37">
        <v>0</v>
      </c>
    </row>
    <row r="2279" spans="1:10" hidden="1" x14ac:dyDescent="0.25">
      <c r="A2279" s="174"/>
      <c r="B2279" s="177"/>
      <c r="C2279" s="39"/>
      <c r="D2279" s="39"/>
      <c r="E2279" s="40"/>
      <c r="F2279" s="55" t="s">
        <v>13</v>
      </c>
      <c r="G2279" s="38" t="str">
        <f>IF(ISNUMBER(F2279),E2279*F2279,"")</f>
        <v/>
      </c>
      <c r="H2279" s="42"/>
      <c r="I2279" s="38"/>
      <c r="J2279" s="37">
        <v>0</v>
      </c>
    </row>
    <row r="2280" spans="1:10" hidden="1" x14ac:dyDescent="0.25">
      <c r="A2280" s="174"/>
      <c r="B2280" s="177"/>
      <c r="C2280" s="43" t="s">
        <v>10956</v>
      </c>
      <c r="D2280" s="43" t="s">
        <v>2800</v>
      </c>
      <c r="E2280" s="44">
        <v>1.8</v>
      </c>
      <c r="F2280" s="38">
        <v>29.060499999999998</v>
      </c>
      <c r="G2280" s="38">
        <f>IF(ISNUMBER(F2280),E2280*F2280,"")</f>
        <v>52.308899999999994</v>
      </c>
      <c r="H2280" s="46">
        <f>SUM(G2280:G2281)</f>
        <v>129.03659999999999</v>
      </c>
      <c r="I2280" s="47"/>
      <c r="J2280" s="37">
        <v>0</v>
      </c>
    </row>
    <row r="2281" spans="1:10" hidden="1" x14ac:dyDescent="0.25">
      <c r="A2281" s="174"/>
      <c r="B2281" s="177"/>
      <c r="C2281" s="43" t="s">
        <v>10655</v>
      </c>
      <c r="D2281" s="43" t="s">
        <v>2800</v>
      </c>
      <c r="E2281" s="44">
        <v>3.15</v>
      </c>
      <c r="F2281" s="38">
        <v>24.358000000000001</v>
      </c>
      <c r="G2281" s="38">
        <f>IF(ISNUMBER(F2281),E2281*F2281,"")</f>
        <v>76.727699999999999</v>
      </c>
      <c r="H2281" s="42"/>
      <c r="I2281" s="38"/>
      <c r="J2281" s="37">
        <v>0</v>
      </c>
    </row>
    <row r="2282" spans="1:10" ht="15.75" hidden="1" thickBot="1" x14ac:dyDescent="0.3">
      <c r="A2282" s="175"/>
      <c r="B2282" s="178"/>
      <c r="C2282" s="49"/>
      <c r="D2282" s="49"/>
      <c r="E2282" s="50"/>
      <c r="F2282" s="51" t="s">
        <v>13</v>
      </c>
      <c r="G2282" s="51" t="str">
        <f>IF(ISNUMBER(F2282),E2282*F2282,"")</f>
        <v/>
      </c>
      <c r="H2282" s="53"/>
      <c r="I2282" s="38"/>
      <c r="J2282" s="37">
        <v>0</v>
      </c>
    </row>
    <row r="2283" spans="1:10" ht="15.75" hidden="1" thickBot="1" x14ac:dyDescent="0.3">
      <c r="A2283" s="173" t="s">
        <v>559</v>
      </c>
      <c r="B2283" s="176" t="s">
        <v>3355</v>
      </c>
      <c r="C2283" s="31"/>
      <c r="D2283" s="32" t="s">
        <v>68</v>
      </c>
      <c r="E2283" s="33"/>
      <c r="F2283" s="54" t="s">
        <v>13</v>
      </c>
      <c r="G2283" s="34" t="str">
        <f>IF(ISNUMBER(F2283),E2283*F2283,"")</f>
        <v/>
      </c>
      <c r="H2283" s="35"/>
      <c r="I2283" s="36"/>
      <c r="J2283" s="37">
        <v>0</v>
      </c>
    </row>
    <row r="2284" spans="1:10" hidden="1" x14ac:dyDescent="0.25">
      <c r="A2284" s="174"/>
      <c r="B2284" s="177"/>
      <c r="C2284" s="39"/>
      <c r="D2284" s="39"/>
      <c r="E2284" s="40"/>
      <c r="F2284" s="55" t="s">
        <v>13</v>
      </c>
      <c r="G2284" s="38" t="str">
        <f>IF(ISNUMBER(F2284),E2284*F2284,"")</f>
        <v/>
      </c>
      <c r="H2284" s="42"/>
      <c r="I2284" s="38"/>
      <c r="J2284" s="37">
        <v>0</v>
      </c>
    </row>
    <row r="2285" spans="1:10" hidden="1" x14ac:dyDescent="0.25">
      <c r="A2285" s="174"/>
      <c r="B2285" s="177"/>
      <c r="C2285" s="43" t="s">
        <v>10956</v>
      </c>
      <c r="D2285" s="43" t="s">
        <v>2800</v>
      </c>
      <c r="E2285" s="44">
        <v>1.8</v>
      </c>
      <c r="F2285" s="38">
        <v>29.060499999999998</v>
      </c>
      <c r="G2285" s="38">
        <f>IF(ISNUMBER(F2285),E2285*F2285,"")</f>
        <v>52.308899999999994</v>
      </c>
      <c r="H2285" s="46">
        <f>SUM(G2285:G2288)</f>
        <v>218.90374999999997</v>
      </c>
      <c r="I2285" s="47"/>
      <c r="J2285" s="37">
        <v>0</v>
      </c>
    </row>
    <row r="2286" spans="1:10" hidden="1" x14ac:dyDescent="0.25">
      <c r="A2286" s="174"/>
      <c r="B2286" s="177"/>
      <c r="C2286" s="43" t="s">
        <v>10655</v>
      </c>
      <c r="D2286" s="43" t="s">
        <v>2800</v>
      </c>
      <c r="E2286" s="44">
        <f>3.15/2</f>
        <v>1.575</v>
      </c>
      <c r="F2286" s="38">
        <v>24.358000000000001</v>
      </c>
      <c r="G2286" s="41">
        <f>IF(ISNUMBER(F2286),E2286*F2286,"")</f>
        <v>38.363849999999999</v>
      </c>
      <c r="H2286" s="57"/>
      <c r="I2286" s="47"/>
      <c r="J2286" s="37">
        <v>0</v>
      </c>
    </row>
    <row r="2287" spans="1:10" ht="25.5" hidden="1" x14ac:dyDescent="0.25">
      <c r="A2287" s="174"/>
      <c r="B2287" s="177"/>
      <c r="C2287" s="43" t="s">
        <v>10878</v>
      </c>
      <c r="D2287" s="43" t="s">
        <v>83</v>
      </c>
      <c r="E2287" s="44">
        <v>2</v>
      </c>
      <c r="F2287" s="41">
        <v>19.256499999999999</v>
      </c>
      <c r="G2287" s="38">
        <f>IF(ISNUMBER(F2287),E2287*F2287,"")</f>
        <v>38.512999999999998</v>
      </c>
      <c r="H2287" s="57"/>
      <c r="I2287" s="47"/>
      <c r="J2287" s="37">
        <v>0</v>
      </c>
    </row>
    <row r="2288" spans="1:10" ht="25.5" hidden="1" x14ac:dyDescent="0.25">
      <c r="A2288" s="174"/>
      <c r="B2288" s="177"/>
      <c r="C2288" s="43" t="s">
        <v>10970</v>
      </c>
      <c r="D2288" s="43" t="s">
        <v>162</v>
      </c>
      <c r="E2288" s="44">
        <v>1</v>
      </c>
      <c r="F2288" s="41">
        <v>89.717999999999989</v>
      </c>
      <c r="G2288" s="38">
        <f>IF(ISNUMBER(F2288),E2288*F2288,"")</f>
        <v>89.717999999999989</v>
      </c>
      <c r="H2288" s="42"/>
      <c r="I2288" s="38"/>
      <c r="J2288" s="37">
        <v>0</v>
      </c>
    </row>
    <row r="2289" spans="1:10" ht="15.75" hidden="1" thickBot="1" x14ac:dyDescent="0.3">
      <c r="A2289" s="175"/>
      <c r="B2289" s="178"/>
      <c r="C2289" s="49"/>
      <c r="D2289" s="49"/>
      <c r="E2289" s="50"/>
      <c r="F2289" s="51" t="s">
        <v>13</v>
      </c>
      <c r="G2289" s="51" t="str">
        <f>IF(ISNUMBER(F2289),E2289*F2289,"")</f>
        <v/>
      </c>
      <c r="H2289" s="53"/>
      <c r="I2289" s="38"/>
      <c r="J2289" s="37">
        <v>0</v>
      </c>
    </row>
    <row r="2290" spans="1:10" ht="15.75" hidden="1" thickBot="1" x14ac:dyDescent="0.3">
      <c r="A2290" s="173" t="s">
        <v>560</v>
      </c>
      <c r="B2290" s="176" t="s">
        <v>3356</v>
      </c>
      <c r="C2290" s="31"/>
      <c r="D2290" s="32" t="s">
        <v>68</v>
      </c>
      <c r="E2290" s="33"/>
      <c r="F2290" s="54" t="s">
        <v>13</v>
      </c>
      <c r="G2290" s="34" t="str">
        <f>IF(ISNUMBER(F2290),E2290*F2290,"")</f>
        <v/>
      </c>
      <c r="H2290" s="35"/>
      <c r="I2290" s="36"/>
      <c r="J2290" s="37">
        <v>0</v>
      </c>
    </row>
    <row r="2291" spans="1:10" hidden="1" x14ac:dyDescent="0.25">
      <c r="A2291" s="174"/>
      <c r="B2291" s="177"/>
      <c r="C2291" s="39"/>
      <c r="D2291" s="39"/>
      <c r="E2291" s="40"/>
      <c r="F2291" s="55" t="s">
        <v>13</v>
      </c>
      <c r="G2291" s="38" t="str">
        <f>IF(ISNUMBER(F2291),E2291*F2291,"")</f>
        <v/>
      </c>
      <c r="H2291" s="42"/>
      <c r="I2291" s="38"/>
      <c r="J2291" s="37">
        <v>0</v>
      </c>
    </row>
    <row r="2292" spans="1:10" hidden="1" x14ac:dyDescent="0.25">
      <c r="A2292" s="174"/>
      <c r="B2292" s="177"/>
      <c r="C2292" s="43" t="s">
        <v>10956</v>
      </c>
      <c r="D2292" s="43" t="s">
        <v>2800</v>
      </c>
      <c r="E2292" s="44">
        <v>1.6</v>
      </c>
      <c r="F2292" s="38">
        <v>29.060499999999998</v>
      </c>
      <c r="G2292" s="41">
        <f>IF(ISNUMBER(F2292),E2292*F2292,"")</f>
        <v>46.4968</v>
      </c>
      <c r="H2292" s="46">
        <f>SUM(G2292:G2295)</f>
        <v>190.3382</v>
      </c>
      <c r="I2292" s="47"/>
      <c r="J2292" s="37">
        <v>0</v>
      </c>
    </row>
    <row r="2293" spans="1:10" hidden="1" x14ac:dyDescent="0.25">
      <c r="A2293" s="174"/>
      <c r="B2293" s="177"/>
      <c r="C2293" s="43" t="s">
        <v>10655</v>
      </c>
      <c r="D2293" s="43" t="s">
        <v>2800</v>
      </c>
      <c r="E2293" s="44">
        <v>1.6</v>
      </c>
      <c r="F2293" s="38">
        <v>24.358000000000001</v>
      </c>
      <c r="G2293" s="41">
        <f>IF(ISNUMBER(F2293),E2293*F2293,"")</f>
        <v>38.972800000000007</v>
      </c>
      <c r="H2293" s="57"/>
      <c r="I2293" s="47"/>
      <c r="J2293" s="37">
        <v>0</v>
      </c>
    </row>
    <row r="2294" spans="1:10" ht="25.5" hidden="1" x14ac:dyDescent="0.25">
      <c r="A2294" s="174"/>
      <c r="B2294" s="177"/>
      <c r="C2294" s="43" t="s">
        <v>10971</v>
      </c>
      <c r="D2294" s="43" t="s">
        <v>162</v>
      </c>
      <c r="E2294" s="44">
        <v>1.2</v>
      </c>
      <c r="F2294" s="41">
        <v>87.390499999999989</v>
      </c>
      <c r="G2294" s="38">
        <f>IF(ISNUMBER(F2294),E2294*F2294,"")</f>
        <v>104.86859999999999</v>
      </c>
      <c r="H2294" s="42"/>
      <c r="I2294" s="38"/>
      <c r="J2294" s="37">
        <v>0</v>
      </c>
    </row>
    <row r="2295" spans="1:10" hidden="1" x14ac:dyDescent="0.25">
      <c r="A2295" s="174"/>
      <c r="B2295" s="177"/>
      <c r="C2295" s="43" t="s">
        <v>561</v>
      </c>
      <c r="D2295" s="43" t="s">
        <v>68</v>
      </c>
      <c r="E2295" s="44">
        <v>1</v>
      </c>
      <c r="F2295" s="41" t="s">
        <v>13</v>
      </c>
      <c r="G2295" s="38" t="str">
        <f>IF(ISNUMBER(F2295),E2295*F2295,"")</f>
        <v/>
      </c>
      <c r="H2295" s="42"/>
      <c r="I2295" s="38"/>
      <c r="J2295" s="37">
        <v>0</v>
      </c>
    </row>
    <row r="2296" spans="1:10" ht="15.75" hidden="1" thickBot="1" x14ac:dyDescent="0.3">
      <c r="A2296" s="175"/>
      <c r="B2296" s="178"/>
      <c r="C2296" s="49"/>
      <c r="D2296" s="49"/>
      <c r="E2296" s="50"/>
      <c r="F2296" s="51" t="s">
        <v>13</v>
      </c>
      <c r="G2296" s="51" t="str">
        <f>IF(ISNUMBER(F2296),E2296*F2296,"")</f>
        <v/>
      </c>
      <c r="H2296" s="53"/>
      <c r="I2296" s="38"/>
      <c r="J2296" s="37">
        <v>0</v>
      </c>
    </row>
    <row r="2297" spans="1:10" ht="15.75" hidden="1" thickBot="1" x14ac:dyDescent="0.3">
      <c r="A2297" s="173" t="s">
        <v>562</v>
      </c>
      <c r="B2297" s="176" t="s">
        <v>3357</v>
      </c>
      <c r="C2297" s="31"/>
      <c r="D2297" s="32" t="s">
        <v>68</v>
      </c>
      <c r="E2297" s="33"/>
      <c r="F2297" s="54" t="s">
        <v>13</v>
      </c>
      <c r="G2297" s="34" t="str">
        <f>IF(ISNUMBER(F2297),E2297*F2297,"")</f>
        <v/>
      </c>
      <c r="H2297" s="35"/>
      <c r="I2297" s="36"/>
      <c r="J2297" s="37">
        <v>0</v>
      </c>
    </row>
    <row r="2298" spans="1:10" hidden="1" x14ac:dyDescent="0.25">
      <c r="A2298" s="174"/>
      <c r="B2298" s="177"/>
      <c r="C2298" s="39"/>
      <c r="D2298" s="39"/>
      <c r="E2298" s="40"/>
      <c r="F2298" s="55" t="s">
        <v>13</v>
      </c>
      <c r="G2298" s="38" t="str">
        <f>IF(ISNUMBER(F2298),E2298*F2298,"")</f>
        <v/>
      </c>
      <c r="H2298" s="42"/>
      <c r="I2298" s="38"/>
      <c r="J2298" s="37">
        <v>0</v>
      </c>
    </row>
    <row r="2299" spans="1:10" hidden="1" x14ac:dyDescent="0.25">
      <c r="A2299" s="174"/>
      <c r="B2299" s="177"/>
      <c r="C2299" s="43" t="s">
        <v>10956</v>
      </c>
      <c r="D2299" s="43" t="s">
        <v>2800</v>
      </c>
      <c r="E2299" s="44">
        <v>2.4</v>
      </c>
      <c r="F2299" s="38">
        <v>29.060499999999998</v>
      </c>
      <c r="G2299" s="41">
        <f>IF(ISNUMBER(F2299),E2299*F2299,"")</f>
        <v>69.745199999999997</v>
      </c>
      <c r="H2299" s="46">
        <f>SUM(G2299:G2301)</f>
        <v>198.55379999999997</v>
      </c>
      <c r="I2299" s="47"/>
      <c r="J2299" s="37">
        <v>0</v>
      </c>
    </row>
    <row r="2300" spans="1:10" hidden="1" x14ac:dyDescent="0.25">
      <c r="A2300" s="174"/>
      <c r="B2300" s="177"/>
      <c r="C2300" s="43" t="s">
        <v>10655</v>
      </c>
      <c r="D2300" s="43" t="s">
        <v>2800</v>
      </c>
      <c r="E2300" s="44">
        <v>2.4</v>
      </c>
      <c r="F2300" s="38">
        <v>24.358000000000001</v>
      </c>
      <c r="G2300" s="41">
        <f>IF(ISNUMBER(F2300),E2300*F2300,"")</f>
        <v>58.459199999999996</v>
      </c>
      <c r="H2300" s="42"/>
      <c r="I2300" s="38"/>
      <c r="J2300" s="37">
        <v>0</v>
      </c>
    </row>
    <row r="2301" spans="1:10" hidden="1" x14ac:dyDescent="0.25">
      <c r="A2301" s="174"/>
      <c r="B2301" s="177"/>
      <c r="C2301" s="43" t="s">
        <v>10972</v>
      </c>
      <c r="D2301" s="43" t="s">
        <v>162</v>
      </c>
      <c r="E2301" s="44">
        <v>1.2</v>
      </c>
      <c r="F2301" s="41">
        <v>58.624499999999998</v>
      </c>
      <c r="G2301" s="38">
        <f>IF(ISNUMBER(F2301),E2301*F2301,"")</f>
        <v>70.349399999999989</v>
      </c>
      <c r="H2301" s="42"/>
      <c r="I2301" s="38"/>
      <c r="J2301" s="37">
        <v>0</v>
      </c>
    </row>
    <row r="2302" spans="1:10" ht="15.75" hidden="1" thickBot="1" x14ac:dyDescent="0.3">
      <c r="A2302" s="175"/>
      <c r="B2302" s="178"/>
      <c r="C2302" s="49"/>
      <c r="D2302" s="49"/>
      <c r="E2302" s="50"/>
      <c r="F2302" s="51" t="s">
        <v>13</v>
      </c>
      <c r="G2302" s="51" t="str">
        <f>IF(ISNUMBER(F2302),E2302*F2302,"")</f>
        <v/>
      </c>
      <c r="H2302" s="53"/>
      <c r="I2302" s="38"/>
      <c r="J2302" s="37">
        <v>0</v>
      </c>
    </row>
    <row r="2303" spans="1:10" ht="15.75" hidden="1" thickBot="1" x14ac:dyDescent="0.3">
      <c r="A2303" s="173" t="s">
        <v>563</v>
      </c>
      <c r="B2303" s="176" t="s">
        <v>3358</v>
      </c>
      <c r="C2303" s="31"/>
      <c r="D2303" s="32" t="s">
        <v>18</v>
      </c>
      <c r="E2303" s="33"/>
      <c r="F2303" s="54" t="s">
        <v>13</v>
      </c>
      <c r="G2303" s="34" t="str">
        <f>IF(ISNUMBER(F2303),E2303*F2303,"")</f>
        <v/>
      </c>
      <c r="H2303" s="35"/>
      <c r="I2303" s="36"/>
      <c r="J2303" s="37">
        <v>0</v>
      </c>
    </row>
    <row r="2304" spans="1:10" hidden="1" x14ac:dyDescent="0.25">
      <c r="A2304" s="174"/>
      <c r="B2304" s="177"/>
      <c r="C2304" s="39"/>
      <c r="D2304" s="39"/>
      <c r="E2304" s="40"/>
      <c r="F2304" s="55" t="s">
        <v>13</v>
      </c>
      <c r="G2304" s="38" t="str">
        <f>IF(ISNUMBER(F2304),E2304*F2304,"")</f>
        <v/>
      </c>
      <c r="H2304" s="42"/>
      <c r="I2304" s="38"/>
      <c r="J2304" s="37">
        <v>0</v>
      </c>
    </row>
    <row r="2305" spans="1:10" hidden="1" x14ac:dyDescent="0.25">
      <c r="A2305" s="174"/>
      <c r="B2305" s="177"/>
      <c r="C2305" s="43" t="s">
        <v>10956</v>
      </c>
      <c r="D2305" s="43" t="s">
        <v>2800</v>
      </c>
      <c r="E2305" s="44">
        <v>1</v>
      </c>
      <c r="F2305" s="38">
        <v>29.060499999999998</v>
      </c>
      <c r="G2305" s="41">
        <f>IF(ISNUMBER(F2305),E2305*F2305,"")</f>
        <v>29.060499999999998</v>
      </c>
      <c r="H2305" s="46">
        <f>SUM(G2305:G2307)</f>
        <v>53.418499999999995</v>
      </c>
      <c r="I2305" s="47"/>
      <c r="J2305" s="37">
        <v>0</v>
      </c>
    </row>
    <row r="2306" spans="1:10" hidden="1" x14ac:dyDescent="0.25">
      <c r="A2306" s="174"/>
      <c r="B2306" s="177"/>
      <c r="C2306" s="43" t="s">
        <v>10655</v>
      </c>
      <c r="D2306" s="43" t="s">
        <v>2800</v>
      </c>
      <c r="E2306" s="44">
        <v>1</v>
      </c>
      <c r="F2306" s="38">
        <v>24.358000000000001</v>
      </c>
      <c r="G2306" s="41">
        <f>IF(ISNUMBER(F2306),E2306*F2306,"")</f>
        <v>24.358000000000001</v>
      </c>
      <c r="H2306" s="42"/>
      <c r="I2306" s="38"/>
      <c r="J2306" s="37">
        <v>0</v>
      </c>
    </row>
    <row r="2307" spans="1:10" ht="25.5" hidden="1" x14ac:dyDescent="0.25">
      <c r="A2307" s="174"/>
      <c r="B2307" s="177"/>
      <c r="C2307" s="43" t="s">
        <v>564</v>
      </c>
      <c r="D2307" s="43" t="s">
        <v>18</v>
      </c>
      <c r="E2307" s="44">
        <v>1</v>
      </c>
      <c r="F2307" s="41" t="s">
        <v>13</v>
      </c>
      <c r="G2307" s="38" t="str">
        <f>IF(ISNUMBER(F2307),E2307*F2307,"")</f>
        <v/>
      </c>
      <c r="H2307" s="42"/>
      <c r="I2307" s="38"/>
      <c r="J2307" s="37">
        <v>0</v>
      </c>
    </row>
    <row r="2308" spans="1:10" ht="15.75" hidden="1" thickBot="1" x14ac:dyDescent="0.3">
      <c r="A2308" s="175"/>
      <c r="B2308" s="178"/>
      <c r="C2308" s="49"/>
      <c r="D2308" s="49"/>
      <c r="E2308" s="50"/>
      <c r="F2308" s="51" t="s">
        <v>13</v>
      </c>
      <c r="G2308" s="51" t="str">
        <f>IF(ISNUMBER(F2308),E2308*F2308,"")</f>
        <v/>
      </c>
      <c r="H2308" s="53"/>
      <c r="I2308" s="38"/>
      <c r="J2308" s="37">
        <v>0</v>
      </c>
    </row>
    <row r="2309" spans="1:10" ht="15.75" hidden="1" thickBot="1" x14ac:dyDescent="0.3">
      <c r="A2309" s="173" t="s">
        <v>565</v>
      </c>
      <c r="B2309" s="176" t="s">
        <v>3359</v>
      </c>
      <c r="C2309" s="31"/>
      <c r="D2309" s="32" t="s">
        <v>18</v>
      </c>
      <c r="E2309" s="33"/>
      <c r="F2309" s="54" t="s">
        <v>13</v>
      </c>
      <c r="G2309" s="34" t="str">
        <f>IF(ISNUMBER(F2309),E2309*F2309,"")</f>
        <v/>
      </c>
      <c r="H2309" s="35"/>
      <c r="I2309" s="36"/>
      <c r="J2309" s="37">
        <v>0</v>
      </c>
    </row>
    <row r="2310" spans="1:10" hidden="1" x14ac:dyDescent="0.25">
      <c r="A2310" s="174"/>
      <c r="B2310" s="177"/>
      <c r="C2310" s="39"/>
      <c r="D2310" s="39"/>
      <c r="E2310" s="40"/>
      <c r="F2310" s="55" t="s">
        <v>13</v>
      </c>
      <c r="G2310" s="38" t="str">
        <f>IF(ISNUMBER(F2310),E2310*F2310,"")</f>
        <v/>
      </c>
      <c r="H2310" s="42"/>
      <c r="I2310" s="38"/>
      <c r="J2310" s="37">
        <v>0</v>
      </c>
    </row>
    <row r="2311" spans="1:10" ht="51" hidden="1" x14ac:dyDescent="0.25">
      <c r="A2311" s="174"/>
      <c r="B2311" s="177"/>
      <c r="C2311" s="43" t="s">
        <v>10973</v>
      </c>
      <c r="D2311" s="43" t="s">
        <v>10817</v>
      </c>
      <c r="E2311" s="44">
        <v>1</v>
      </c>
      <c r="F2311" s="41">
        <v>176.453</v>
      </c>
      <c r="G2311" s="41">
        <f>IF(ISNUMBER(F2311),E2311*F2311,"")</f>
        <v>176.453</v>
      </c>
      <c r="H2311" s="46">
        <f>SUM(G2311:G2319)</f>
        <v>370.73954725000004</v>
      </c>
      <c r="I2311" s="47"/>
      <c r="J2311" s="37">
        <v>0</v>
      </c>
    </row>
    <row r="2312" spans="1:10" hidden="1" x14ac:dyDescent="0.25">
      <c r="A2312" s="174"/>
      <c r="B2312" s="177"/>
      <c r="C2312" s="43" t="s">
        <v>10772</v>
      </c>
      <c r="D2312" s="43" t="s">
        <v>1044</v>
      </c>
      <c r="E2312" s="44">
        <v>1.0999999999999999E-2</v>
      </c>
      <c r="F2312" s="41">
        <v>24.244</v>
      </c>
      <c r="G2312" s="41">
        <f>IF(ISNUMBER(F2312),E2312*F2312,"")</f>
        <v>0.26668399999999998</v>
      </c>
      <c r="H2312" s="42"/>
      <c r="I2312" s="38"/>
      <c r="J2312" s="37">
        <v>0</v>
      </c>
    </row>
    <row r="2313" spans="1:10" hidden="1" x14ac:dyDescent="0.25">
      <c r="A2313" s="174"/>
      <c r="B2313" s="177"/>
      <c r="C2313" s="43" t="s">
        <v>10773</v>
      </c>
      <c r="D2313" s="43" t="s">
        <v>1044</v>
      </c>
      <c r="E2313" s="44">
        <v>2.4E-2</v>
      </c>
      <c r="F2313" s="38">
        <v>18.401499999999999</v>
      </c>
      <c r="G2313" s="41">
        <f>IF(ISNUMBER(F2313),E2313*F2313,"")</f>
        <v>0.44163599999999997</v>
      </c>
      <c r="H2313" s="42"/>
      <c r="I2313" s="38"/>
      <c r="J2313" s="37">
        <v>0</v>
      </c>
    </row>
    <row r="2314" spans="1:10" ht="25.5" hidden="1" x14ac:dyDescent="0.25">
      <c r="A2314" s="174"/>
      <c r="B2314" s="177"/>
      <c r="C2314" s="43" t="s">
        <v>10774</v>
      </c>
      <c r="D2314" s="43" t="s">
        <v>2800</v>
      </c>
      <c r="E2314" s="44">
        <f>2.741+0.068</f>
        <v>2.8090000000000002</v>
      </c>
      <c r="F2314" s="38">
        <v>29.383499999999998</v>
      </c>
      <c r="G2314" s="41">
        <f>IF(ISNUMBER(F2314),E2314*F2314,"")</f>
        <v>82.538251500000001</v>
      </c>
      <c r="H2314" s="42"/>
      <c r="I2314" s="38"/>
      <c r="J2314" s="37">
        <v>0</v>
      </c>
    </row>
    <row r="2315" spans="1:10" hidden="1" x14ac:dyDescent="0.25">
      <c r="A2315" s="174"/>
      <c r="B2315" s="177"/>
      <c r="C2315" s="43" t="s">
        <v>10614</v>
      </c>
      <c r="D2315" s="43" t="s">
        <v>2800</v>
      </c>
      <c r="E2315" s="44">
        <f>1.375+0.034</f>
        <v>1.409</v>
      </c>
      <c r="F2315" s="38">
        <v>23.693000000000001</v>
      </c>
      <c r="G2315" s="41">
        <f>IF(ISNUMBER(F2315),E2315*F2315,"")</f>
        <v>33.383437000000001</v>
      </c>
      <c r="H2315" s="42"/>
      <c r="I2315" s="38"/>
      <c r="J2315" s="37">
        <v>0</v>
      </c>
    </row>
    <row r="2316" spans="1:10" hidden="1" x14ac:dyDescent="0.25">
      <c r="A2316" s="174"/>
      <c r="B2316" s="177"/>
      <c r="C2316" s="43" t="s">
        <v>10895</v>
      </c>
      <c r="D2316" s="43" t="s">
        <v>1044</v>
      </c>
      <c r="E2316" s="44">
        <v>6.0000000000000001E-3</v>
      </c>
      <c r="F2316" s="38">
        <v>20.690999999999999</v>
      </c>
      <c r="G2316" s="41">
        <f>IF(ISNUMBER(F2316),E2316*F2316,"")</f>
        <v>0.12414599999999999</v>
      </c>
      <c r="H2316" s="42"/>
      <c r="I2316" s="38"/>
      <c r="J2316" s="37">
        <v>0</v>
      </c>
    </row>
    <row r="2317" spans="1:10" ht="38.25" hidden="1" x14ac:dyDescent="0.25">
      <c r="A2317" s="174"/>
      <c r="B2317" s="177"/>
      <c r="C2317" s="43" t="s">
        <v>10974</v>
      </c>
      <c r="D2317" s="43" t="s">
        <v>1302</v>
      </c>
      <c r="E2317" s="44">
        <f>(2.1*2+0.8)*1.163</f>
        <v>5.8150000000000004</v>
      </c>
      <c r="F2317" s="41">
        <v>10.355</v>
      </c>
      <c r="G2317" s="41">
        <f>IF(ISNUMBER(F2317),E2317*F2317,"")</f>
        <v>60.214325000000009</v>
      </c>
      <c r="H2317" s="42"/>
      <c r="I2317" s="38"/>
      <c r="J2317" s="37">
        <v>0</v>
      </c>
    </row>
    <row r="2318" spans="1:10" hidden="1" x14ac:dyDescent="0.25">
      <c r="A2318" s="174"/>
      <c r="B2318" s="177"/>
      <c r="C2318" s="43" t="s">
        <v>123</v>
      </c>
      <c r="D2318" s="6" t="s">
        <v>70</v>
      </c>
      <c r="E2318" s="44">
        <f>ROUND(0.108*0.15*(2*2.1+0.8),4)</f>
        <v>8.1000000000000003E-2</v>
      </c>
      <c r="F2318" s="41" t="s">
        <v>13</v>
      </c>
      <c r="G2318" s="38" t="str">
        <f>IF(ISNUMBER(F2318),E2318*F2318,"")</f>
        <v/>
      </c>
      <c r="H2318" s="42"/>
      <c r="I2318" s="38"/>
      <c r="J2318" s="37">
        <v>0</v>
      </c>
    </row>
    <row r="2319" spans="1:10" hidden="1" x14ac:dyDescent="0.25">
      <c r="A2319" s="174"/>
      <c r="B2319" s="177"/>
      <c r="C2319" s="43" t="s">
        <v>10674</v>
      </c>
      <c r="D2319" s="43" t="s">
        <v>2800</v>
      </c>
      <c r="E2319" s="44">
        <f>ROUND(0.7076*0.15*(2*2.1+0.8),4)</f>
        <v>0.53069999999999995</v>
      </c>
      <c r="F2319" s="38">
        <v>32.6325</v>
      </c>
      <c r="G2319" s="38">
        <f>IF(ISNUMBER(F2319),E2319*F2319,"")</f>
        <v>17.318067749999997</v>
      </c>
      <c r="H2319" s="42"/>
      <c r="I2319" s="38"/>
      <c r="J2319" s="37">
        <v>0</v>
      </c>
    </row>
    <row r="2320" spans="1:10" hidden="1" x14ac:dyDescent="0.25">
      <c r="A2320" s="174"/>
      <c r="B2320" s="177"/>
      <c r="C2320" s="43"/>
      <c r="D2320" s="43"/>
      <c r="E2320" s="44"/>
      <c r="F2320" s="38" t="s">
        <v>13</v>
      </c>
      <c r="G2320" s="38" t="str">
        <f>IF(ISNUMBER(F2320),E2320*F2320,"")</f>
        <v/>
      </c>
      <c r="H2320" s="42"/>
      <c r="I2320" s="38"/>
      <c r="J2320" s="37">
        <v>0</v>
      </c>
    </row>
    <row r="2321" spans="1:10" ht="38.25" hidden="1" x14ac:dyDescent="0.25">
      <c r="A2321" s="174"/>
      <c r="B2321" s="177"/>
      <c r="C2321" s="65" t="s">
        <v>124</v>
      </c>
      <c r="D2321" s="43"/>
      <c r="E2321" s="44"/>
      <c r="F2321" s="38" t="s">
        <v>13</v>
      </c>
      <c r="G2321" s="38" t="str">
        <f>IF(ISNUMBER(F2321),E2321*F2321,"")</f>
        <v/>
      </c>
      <c r="H2321" s="42"/>
      <c r="I2321" s="38"/>
      <c r="J2321" s="37">
        <v>0</v>
      </c>
    </row>
    <row r="2322" spans="1:10" ht="15.75" hidden="1" thickBot="1" x14ac:dyDescent="0.3">
      <c r="A2322" s="175"/>
      <c r="B2322" s="178"/>
      <c r="C2322" s="49"/>
      <c r="D2322" s="49"/>
      <c r="E2322" s="50"/>
      <c r="F2322" s="51" t="s">
        <v>13</v>
      </c>
      <c r="G2322" s="51" t="str">
        <f>IF(ISNUMBER(F2322),E2322*F2322,"")</f>
        <v/>
      </c>
      <c r="H2322" s="53"/>
      <c r="I2322" s="38"/>
      <c r="J2322" s="37">
        <v>0</v>
      </c>
    </row>
    <row r="2323" spans="1:10" ht="15.75" hidden="1" thickBot="1" x14ac:dyDescent="0.3">
      <c r="A2323" s="173" t="s">
        <v>566</v>
      </c>
      <c r="B2323" s="176" t="s">
        <v>3360</v>
      </c>
      <c r="C2323" s="82"/>
      <c r="D2323" s="32" t="s">
        <v>68</v>
      </c>
      <c r="E2323" s="33"/>
      <c r="F2323" s="54" t="s">
        <v>13</v>
      </c>
      <c r="G2323" s="34" t="str">
        <f>IF(ISNUMBER(F2323),E2323*F2323,"")</f>
        <v/>
      </c>
      <c r="H2323" s="35"/>
      <c r="I2323" s="36"/>
      <c r="J2323" s="37">
        <v>0</v>
      </c>
    </row>
    <row r="2324" spans="1:10" hidden="1" x14ac:dyDescent="0.25">
      <c r="A2324" s="174"/>
      <c r="B2324" s="177"/>
      <c r="C2324" s="39"/>
      <c r="D2324" s="39"/>
      <c r="E2324" s="40"/>
      <c r="F2324" s="55" t="s">
        <v>13</v>
      </c>
      <c r="G2324" s="38" t="str">
        <f>IF(ISNUMBER(F2324),E2324*F2324,"")</f>
        <v/>
      </c>
      <c r="H2324" s="42"/>
      <c r="I2324" s="38"/>
      <c r="J2324" s="37">
        <v>0</v>
      </c>
    </row>
    <row r="2325" spans="1:10" hidden="1" x14ac:dyDescent="0.25">
      <c r="A2325" s="174"/>
      <c r="B2325" s="177"/>
      <c r="C2325" s="43" t="s">
        <v>10614</v>
      </c>
      <c r="D2325" s="43" t="s">
        <v>2800</v>
      </c>
      <c r="E2325" s="44">
        <v>0.3</v>
      </c>
      <c r="F2325" s="38">
        <v>23.693000000000001</v>
      </c>
      <c r="G2325" s="41">
        <f>IF(ISNUMBER(F2325),E2325*F2325,"")</f>
        <v>7.1078999999999999</v>
      </c>
      <c r="H2325" s="46">
        <f>SUM(G2325:G2327)</f>
        <v>15.826049999999999</v>
      </c>
      <c r="I2325" s="47"/>
      <c r="J2325" s="37">
        <v>0</v>
      </c>
    </row>
    <row r="2326" spans="1:10" hidden="1" x14ac:dyDescent="0.25">
      <c r="A2326" s="174"/>
      <c r="B2326" s="177"/>
      <c r="C2326" s="43" t="s">
        <v>10956</v>
      </c>
      <c r="D2326" s="43" t="s">
        <v>2800</v>
      </c>
      <c r="E2326" s="44">
        <v>0.3</v>
      </c>
      <c r="F2326" s="38">
        <v>29.060499999999998</v>
      </c>
      <c r="G2326" s="41">
        <f>IF(ISNUMBER(F2326),E2326*F2326,"")</f>
        <v>8.7181499999999996</v>
      </c>
      <c r="H2326" s="58"/>
      <c r="I2326" s="59"/>
      <c r="J2326" s="37">
        <v>0</v>
      </c>
    </row>
    <row r="2327" spans="1:10" ht="38.25" hidden="1" x14ac:dyDescent="0.25">
      <c r="A2327" s="174"/>
      <c r="B2327" s="177"/>
      <c r="C2327" s="43" t="s">
        <v>567</v>
      </c>
      <c r="D2327" s="62" t="s">
        <v>68</v>
      </c>
      <c r="E2327" s="44">
        <v>1</v>
      </c>
      <c r="F2327" s="41" t="s">
        <v>13</v>
      </c>
      <c r="G2327" s="41" t="str">
        <f>IF(ISNUMBER(F2327),E2327*F2327,"")</f>
        <v/>
      </c>
      <c r="H2327" s="42"/>
      <c r="I2327" s="38"/>
      <c r="J2327" s="37">
        <v>0</v>
      </c>
    </row>
    <row r="2328" spans="1:10" ht="15.75" hidden="1" thickBot="1" x14ac:dyDescent="0.3">
      <c r="A2328" s="175"/>
      <c r="B2328" s="178"/>
      <c r="C2328" s="49"/>
      <c r="D2328" s="49"/>
      <c r="E2328" s="50"/>
      <c r="F2328" s="51" t="s">
        <v>13</v>
      </c>
      <c r="G2328" s="51" t="str">
        <f>IF(ISNUMBER(F2328),E2328*F2328,"")</f>
        <v/>
      </c>
      <c r="H2328" s="53"/>
      <c r="I2328" s="38"/>
      <c r="J2328" s="37">
        <v>0</v>
      </c>
    </row>
    <row r="2329" spans="1:10" ht="15.75" hidden="1" thickBot="1" x14ac:dyDescent="0.3">
      <c r="A2329" s="173" t="s">
        <v>568</v>
      </c>
      <c r="B2329" s="176" t="s">
        <v>3361</v>
      </c>
      <c r="C2329" s="31"/>
      <c r="D2329" s="32" t="s">
        <v>18</v>
      </c>
      <c r="E2329" s="33"/>
      <c r="F2329" s="54" t="s">
        <v>13</v>
      </c>
      <c r="G2329" s="34" t="str">
        <f>IF(ISNUMBER(F2329),E2329*F2329,"")</f>
        <v/>
      </c>
      <c r="H2329" s="35"/>
      <c r="I2329" s="36"/>
      <c r="J2329" s="37">
        <v>0</v>
      </c>
    </row>
    <row r="2330" spans="1:10" hidden="1" x14ac:dyDescent="0.25">
      <c r="A2330" s="174"/>
      <c r="B2330" s="177"/>
      <c r="C2330" s="39"/>
      <c r="D2330" s="39"/>
      <c r="E2330" s="40"/>
      <c r="F2330" s="55" t="s">
        <v>13</v>
      </c>
      <c r="G2330" s="38" t="str">
        <f>IF(ISNUMBER(F2330),E2330*F2330,"")</f>
        <v/>
      </c>
      <c r="H2330" s="42"/>
      <c r="I2330" s="38"/>
      <c r="J2330" s="37">
        <v>0</v>
      </c>
    </row>
    <row r="2331" spans="1:10" ht="51" hidden="1" x14ac:dyDescent="0.25">
      <c r="A2331" s="174"/>
      <c r="B2331" s="177"/>
      <c r="C2331" s="43" t="s">
        <v>10975</v>
      </c>
      <c r="D2331" s="43" t="s">
        <v>83</v>
      </c>
      <c r="E2331" s="44">
        <v>1</v>
      </c>
      <c r="F2331" s="41">
        <v>239.64699999999999</v>
      </c>
      <c r="G2331" s="41">
        <f>IF(ISNUMBER(F2331),E2331*F2331,"")</f>
        <v>239.64699999999999</v>
      </c>
      <c r="H2331" s="46">
        <f>SUM(G2331:G2335)</f>
        <v>340.12276200000002</v>
      </c>
      <c r="I2331" s="47"/>
      <c r="J2331" s="37">
        <v>0</v>
      </c>
    </row>
    <row r="2332" spans="1:10" ht="25.5" hidden="1" x14ac:dyDescent="0.25">
      <c r="A2332" s="174"/>
      <c r="B2332" s="177"/>
      <c r="C2332" s="43" t="s">
        <v>10774</v>
      </c>
      <c r="D2332" s="43" t="s">
        <v>2800</v>
      </c>
      <c r="E2332" s="44">
        <f>ROUND(1.282*0.8,4)</f>
        <v>1.0256000000000001</v>
      </c>
      <c r="F2332" s="38">
        <v>29.383499999999998</v>
      </c>
      <c r="G2332" s="41">
        <f>IF(ISNUMBER(F2332),E2332*F2332,"")</f>
        <v>30.1357176</v>
      </c>
      <c r="H2332" s="42"/>
      <c r="I2332" s="38"/>
      <c r="J2332" s="37">
        <v>0</v>
      </c>
    </row>
    <row r="2333" spans="1:10" hidden="1" x14ac:dyDescent="0.25">
      <c r="A2333" s="174"/>
      <c r="B2333" s="177"/>
      <c r="C2333" s="43" t="s">
        <v>10614</v>
      </c>
      <c r="D2333" s="43" t="s">
        <v>2800</v>
      </c>
      <c r="E2333" s="44">
        <f>ROUND(0.641*0.8,4)</f>
        <v>0.51280000000000003</v>
      </c>
      <c r="F2333" s="38">
        <v>23.693000000000001</v>
      </c>
      <c r="G2333" s="41">
        <f>IF(ISNUMBER(F2333),E2333*F2333,"")</f>
        <v>12.149770400000001</v>
      </c>
      <c r="H2333" s="42"/>
      <c r="I2333" s="38"/>
      <c r="J2333" s="37">
        <v>0</v>
      </c>
    </row>
    <row r="2334" spans="1:10" hidden="1" x14ac:dyDescent="0.25">
      <c r="A2334" s="174"/>
      <c r="B2334" s="177"/>
      <c r="C2334" s="43" t="s">
        <v>123</v>
      </c>
      <c r="D2334" s="6" t="s">
        <v>70</v>
      </c>
      <c r="E2334" s="44">
        <f>ROUND(0.108*(2*0.6*2.1),4)</f>
        <v>0.2722</v>
      </c>
      <c r="F2334" s="41" t="s">
        <v>13</v>
      </c>
      <c r="G2334" s="38" t="str">
        <f>IF(ISNUMBER(F2334),E2334*F2334,"")</f>
        <v/>
      </c>
      <c r="H2334" s="42"/>
      <c r="I2334" s="38"/>
      <c r="J2334" s="37">
        <v>0</v>
      </c>
    </row>
    <row r="2335" spans="1:10" hidden="1" x14ac:dyDescent="0.25">
      <c r="A2335" s="174"/>
      <c r="B2335" s="177"/>
      <c r="C2335" s="43" t="s">
        <v>10674</v>
      </c>
      <c r="D2335" s="43" t="s">
        <v>2800</v>
      </c>
      <c r="E2335" s="44">
        <f>ROUND(0.7076*(2*0.6*2.1),4)</f>
        <v>1.7831999999999999</v>
      </c>
      <c r="F2335" s="38">
        <v>32.6325</v>
      </c>
      <c r="G2335" s="38">
        <f>IF(ISNUMBER(F2335),E2335*F2335,"")</f>
        <v>58.190273999999995</v>
      </c>
      <c r="H2335" s="42"/>
      <c r="I2335" s="38"/>
      <c r="J2335" s="37">
        <v>0</v>
      </c>
    </row>
    <row r="2336" spans="1:10" hidden="1" x14ac:dyDescent="0.25">
      <c r="A2336" s="174"/>
      <c r="B2336" s="177"/>
      <c r="C2336" s="43"/>
      <c r="D2336" s="43"/>
      <c r="E2336" s="44"/>
      <c r="F2336" s="38" t="s">
        <v>13</v>
      </c>
      <c r="G2336" s="38" t="str">
        <f>IF(ISNUMBER(F2336),E2336*F2336,"")</f>
        <v/>
      </c>
      <c r="H2336" s="42"/>
      <c r="I2336" s="38"/>
      <c r="J2336" s="37">
        <v>0</v>
      </c>
    </row>
    <row r="2337" spans="1:10" ht="38.25" hidden="1" x14ac:dyDescent="0.25">
      <c r="A2337" s="174"/>
      <c r="B2337" s="177"/>
      <c r="C2337" s="65" t="s">
        <v>124</v>
      </c>
      <c r="D2337" s="43"/>
      <c r="E2337" s="44"/>
      <c r="F2337" s="38" t="s">
        <v>13</v>
      </c>
      <c r="G2337" s="38" t="str">
        <f>IF(ISNUMBER(F2337),E2337*F2337,"")</f>
        <v/>
      </c>
      <c r="H2337" s="42"/>
      <c r="I2337" s="38"/>
      <c r="J2337" s="37">
        <v>0</v>
      </c>
    </row>
    <row r="2338" spans="1:10" ht="15.75" hidden="1" thickBot="1" x14ac:dyDescent="0.3">
      <c r="A2338" s="175"/>
      <c r="B2338" s="178"/>
      <c r="C2338" s="49"/>
      <c r="D2338" s="63"/>
      <c r="E2338" s="50"/>
      <c r="F2338" s="52" t="s">
        <v>13</v>
      </c>
      <c r="G2338" s="52" t="str">
        <f>IF(ISNUMBER(F2338),E2338*F2338,"")</f>
        <v/>
      </c>
      <c r="H2338" s="53"/>
      <c r="I2338" s="38"/>
      <c r="J2338" s="37">
        <v>0</v>
      </c>
    </row>
    <row r="2339" spans="1:10" ht="15.75" hidden="1" thickBot="1" x14ac:dyDescent="0.3">
      <c r="A2339" s="173" t="s">
        <v>569</v>
      </c>
      <c r="B2339" s="176" t="s">
        <v>3362</v>
      </c>
      <c r="C2339" s="31"/>
      <c r="D2339" s="32" t="s">
        <v>18</v>
      </c>
      <c r="E2339" s="33"/>
      <c r="F2339" s="54" t="s">
        <v>13</v>
      </c>
      <c r="G2339" s="34" t="str">
        <f>IF(ISNUMBER(F2339),E2339*F2339,"")</f>
        <v/>
      </c>
      <c r="H2339" s="35"/>
      <c r="I2339" s="36"/>
      <c r="J2339" s="37">
        <v>0</v>
      </c>
    </row>
    <row r="2340" spans="1:10" hidden="1" x14ac:dyDescent="0.25">
      <c r="A2340" s="174"/>
      <c r="B2340" s="177"/>
      <c r="C2340" s="39"/>
      <c r="D2340" s="39"/>
      <c r="E2340" s="40"/>
      <c r="F2340" s="55" t="s">
        <v>13</v>
      </c>
      <c r="G2340" s="38" t="str">
        <f>IF(ISNUMBER(F2340),E2340*F2340,"")</f>
        <v/>
      </c>
      <c r="H2340" s="42"/>
      <c r="I2340" s="38"/>
      <c r="J2340" s="37">
        <v>0</v>
      </c>
    </row>
    <row r="2341" spans="1:10" ht="51" hidden="1" x14ac:dyDescent="0.25">
      <c r="A2341" s="174"/>
      <c r="B2341" s="177"/>
      <c r="C2341" s="43" t="s">
        <v>10976</v>
      </c>
      <c r="D2341" s="43" t="s">
        <v>83</v>
      </c>
      <c r="E2341" s="44">
        <v>1</v>
      </c>
      <c r="F2341" s="41">
        <v>242.25</v>
      </c>
      <c r="G2341" s="41">
        <f>IF(ISNUMBER(F2341),E2341*F2341,"")</f>
        <v>242.25</v>
      </c>
      <c r="H2341" s="46">
        <f>SUM(G2341:G2345)</f>
        <v>356.77476575000003</v>
      </c>
      <c r="I2341" s="47"/>
      <c r="J2341" s="37">
        <v>0</v>
      </c>
    </row>
    <row r="2342" spans="1:10" ht="25.5" hidden="1" x14ac:dyDescent="0.25">
      <c r="A2342" s="174"/>
      <c r="B2342" s="177"/>
      <c r="C2342" s="43" t="s">
        <v>10774</v>
      </c>
      <c r="D2342" s="43" t="s">
        <v>2800</v>
      </c>
      <c r="E2342" s="44">
        <f>ROUND(1.414*0.8,4)</f>
        <v>1.1312</v>
      </c>
      <c r="F2342" s="38">
        <v>29.383499999999998</v>
      </c>
      <c r="G2342" s="41">
        <f>IF(ISNUMBER(F2342),E2342*F2342,"")</f>
        <v>33.238615199999998</v>
      </c>
      <c r="H2342" s="42"/>
      <c r="I2342" s="38"/>
      <c r="J2342" s="37">
        <v>0</v>
      </c>
    </row>
    <row r="2343" spans="1:10" hidden="1" x14ac:dyDescent="0.25">
      <c r="A2343" s="174"/>
      <c r="B2343" s="177"/>
      <c r="C2343" s="43" t="s">
        <v>10614</v>
      </c>
      <c r="D2343" s="43" t="s">
        <v>2800</v>
      </c>
      <c r="E2343" s="44">
        <f>ROUND(0.707*0.8,4)</f>
        <v>0.56559999999999999</v>
      </c>
      <c r="F2343" s="38">
        <v>23.693000000000001</v>
      </c>
      <c r="G2343" s="41">
        <f>IF(ISNUMBER(F2343),E2343*F2343,"")</f>
        <v>13.4007608</v>
      </c>
      <c r="H2343" s="42"/>
      <c r="I2343" s="38"/>
      <c r="J2343" s="37">
        <v>0</v>
      </c>
    </row>
    <row r="2344" spans="1:10" hidden="1" x14ac:dyDescent="0.25">
      <c r="A2344" s="174"/>
      <c r="B2344" s="177"/>
      <c r="C2344" s="43" t="s">
        <v>123</v>
      </c>
      <c r="D2344" s="6" t="s">
        <v>70</v>
      </c>
      <c r="E2344" s="44">
        <f>ROUND(0.108*(2*0.7*2.1),4)</f>
        <v>0.3175</v>
      </c>
      <c r="F2344" s="41" t="s">
        <v>13</v>
      </c>
      <c r="G2344" s="38" t="str">
        <f>IF(ISNUMBER(F2344),E2344*F2344,"")</f>
        <v/>
      </c>
      <c r="H2344" s="42"/>
      <c r="I2344" s="38"/>
      <c r="J2344" s="37">
        <v>0</v>
      </c>
    </row>
    <row r="2345" spans="1:10" hidden="1" x14ac:dyDescent="0.25">
      <c r="A2345" s="174"/>
      <c r="B2345" s="177"/>
      <c r="C2345" s="43" t="s">
        <v>10674</v>
      </c>
      <c r="D2345" s="43" t="s">
        <v>2800</v>
      </c>
      <c r="E2345" s="44">
        <f>ROUND(0.7076*(2*0.7*2.1),4)</f>
        <v>2.0802999999999998</v>
      </c>
      <c r="F2345" s="38">
        <v>32.6325</v>
      </c>
      <c r="G2345" s="38">
        <f>IF(ISNUMBER(F2345),E2345*F2345,"")</f>
        <v>67.885389750000002</v>
      </c>
      <c r="H2345" s="42"/>
      <c r="I2345" s="38"/>
      <c r="J2345" s="37">
        <v>0</v>
      </c>
    </row>
    <row r="2346" spans="1:10" hidden="1" x14ac:dyDescent="0.25">
      <c r="A2346" s="174"/>
      <c r="B2346" s="177"/>
      <c r="C2346" s="43"/>
      <c r="D2346" s="43"/>
      <c r="E2346" s="44"/>
      <c r="F2346" s="38" t="s">
        <v>13</v>
      </c>
      <c r="G2346" s="38" t="str">
        <f>IF(ISNUMBER(F2346),E2346*F2346,"")</f>
        <v/>
      </c>
      <c r="H2346" s="42"/>
      <c r="I2346" s="38"/>
      <c r="J2346" s="37">
        <v>0</v>
      </c>
    </row>
    <row r="2347" spans="1:10" ht="38.25" hidden="1" x14ac:dyDescent="0.25">
      <c r="A2347" s="174"/>
      <c r="B2347" s="177"/>
      <c r="C2347" s="65" t="s">
        <v>124</v>
      </c>
      <c r="D2347" s="43"/>
      <c r="E2347" s="44"/>
      <c r="F2347" s="38" t="s">
        <v>13</v>
      </c>
      <c r="G2347" s="38" t="str">
        <f>IF(ISNUMBER(F2347),E2347*F2347,"")</f>
        <v/>
      </c>
      <c r="H2347" s="42"/>
      <c r="I2347" s="38"/>
      <c r="J2347" s="37">
        <v>0</v>
      </c>
    </row>
    <row r="2348" spans="1:10" ht="15.75" hidden="1" thickBot="1" x14ac:dyDescent="0.3">
      <c r="A2348" s="175"/>
      <c r="B2348" s="178"/>
      <c r="C2348" s="49"/>
      <c r="D2348" s="63"/>
      <c r="E2348" s="50"/>
      <c r="F2348" s="52" t="s">
        <v>13</v>
      </c>
      <c r="G2348" s="52" t="str">
        <f>IF(ISNUMBER(F2348),E2348*F2348,"")</f>
        <v/>
      </c>
      <c r="H2348" s="53"/>
      <c r="I2348" s="38"/>
      <c r="J2348" s="37">
        <v>0</v>
      </c>
    </row>
    <row r="2349" spans="1:10" ht="15.75" hidden="1" thickBot="1" x14ac:dyDescent="0.3">
      <c r="A2349" s="173" t="s">
        <v>570</v>
      </c>
      <c r="B2349" s="176" t="s">
        <v>3363</v>
      </c>
      <c r="C2349" s="31"/>
      <c r="D2349" s="32" t="s">
        <v>18</v>
      </c>
      <c r="E2349" s="33"/>
      <c r="F2349" s="54" t="s">
        <v>13</v>
      </c>
      <c r="G2349" s="34" t="str">
        <f>IF(ISNUMBER(F2349),E2349*F2349,"")</f>
        <v/>
      </c>
      <c r="H2349" s="35"/>
      <c r="I2349" s="36"/>
      <c r="J2349" s="37">
        <v>0</v>
      </c>
    </row>
    <row r="2350" spans="1:10" hidden="1" x14ac:dyDescent="0.25">
      <c r="A2350" s="174"/>
      <c r="B2350" s="177"/>
      <c r="C2350" s="39"/>
      <c r="D2350" s="39"/>
      <c r="E2350" s="40"/>
      <c r="F2350" s="55" t="s">
        <v>13</v>
      </c>
      <c r="G2350" s="38" t="str">
        <f>IF(ISNUMBER(F2350),E2350*F2350,"")</f>
        <v/>
      </c>
      <c r="H2350" s="42"/>
      <c r="I2350" s="38"/>
      <c r="J2350" s="37">
        <v>0</v>
      </c>
    </row>
    <row r="2351" spans="1:10" ht="51" hidden="1" x14ac:dyDescent="0.25">
      <c r="A2351" s="174"/>
      <c r="B2351" s="177"/>
      <c r="C2351" s="43" t="s">
        <v>10977</v>
      </c>
      <c r="D2351" s="43" t="s">
        <v>83</v>
      </c>
      <c r="E2351" s="44">
        <v>1</v>
      </c>
      <c r="F2351" s="41">
        <v>300.2</v>
      </c>
      <c r="G2351" s="41">
        <f>IF(ISNUMBER(F2351),E2351*F2351,"")</f>
        <v>300.2</v>
      </c>
      <c r="H2351" s="46">
        <f>SUM(G2351:G2355)</f>
        <v>428.77703274999993</v>
      </c>
      <c r="I2351" s="47"/>
      <c r="J2351" s="37">
        <v>0</v>
      </c>
    </row>
    <row r="2352" spans="1:10" ht="25.5" hidden="1" x14ac:dyDescent="0.25">
      <c r="A2352" s="174"/>
      <c r="B2352" s="177"/>
      <c r="C2352" s="43" t="s">
        <v>10774</v>
      </c>
      <c r="D2352" s="43" t="s">
        <v>2800</v>
      </c>
      <c r="E2352" s="44">
        <f>ROUND(1.546*0.8,4)</f>
        <v>1.2367999999999999</v>
      </c>
      <c r="F2352" s="38">
        <v>29.383499999999998</v>
      </c>
      <c r="G2352" s="41">
        <f>IF(ISNUMBER(F2352),E2352*F2352,"")</f>
        <v>36.341512799999997</v>
      </c>
      <c r="H2352" s="42"/>
      <c r="I2352" s="38"/>
      <c r="J2352" s="37">
        <v>0</v>
      </c>
    </row>
    <row r="2353" spans="1:10" hidden="1" x14ac:dyDescent="0.25">
      <c r="A2353" s="174"/>
      <c r="B2353" s="177"/>
      <c r="C2353" s="43" t="s">
        <v>10614</v>
      </c>
      <c r="D2353" s="43" t="s">
        <v>2800</v>
      </c>
      <c r="E2353" s="44">
        <f>ROUND(0.773*0.8,4)</f>
        <v>0.61839999999999995</v>
      </c>
      <c r="F2353" s="38">
        <v>23.693000000000001</v>
      </c>
      <c r="G2353" s="41">
        <f>IF(ISNUMBER(F2353),E2353*F2353,"")</f>
        <v>14.6517512</v>
      </c>
      <c r="H2353" s="42"/>
      <c r="I2353" s="38"/>
      <c r="J2353" s="37">
        <v>0</v>
      </c>
    </row>
    <row r="2354" spans="1:10" hidden="1" x14ac:dyDescent="0.25">
      <c r="A2354" s="174"/>
      <c r="B2354" s="177"/>
      <c r="C2354" s="43" t="s">
        <v>123</v>
      </c>
      <c r="D2354" s="6" t="s">
        <v>70</v>
      </c>
      <c r="E2354" s="44">
        <f>ROUND(0.108*(2*0.8*2.1),4)</f>
        <v>0.3629</v>
      </c>
      <c r="F2354" s="41" t="s">
        <v>13</v>
      </c>
      <c r="G2354" s="38" t="str">
        <f>IF(ISNUMBER(F2354),E2354*F2354,"")</f>
        <v/>
      </c>
      <c r="H2354" s="42"/>
      <c r="I2354" s="38"/>
      <c r="J2354" s="37">
        <v>0</v>
      </c>
    </row>
    <row r="2355" spans="1:10" hidden="1" x14ac:dyDescent="0.25">
      <c r="A2355" s="174"/>
      <c r="B2355" s="177"/>
      <c r="C2355" s="43" t="s">
        <v>10674</v>
      </c>
      <c r="D2355" s="43" t="s">
        <v>2800</v>
      </c>
      <c r="E2355" s="44">
        <f>ROUND(0.7076*(2*0.8*2.1),4)</f>
        <v>2.3774999999999999</v>
      </c>
      <c r="F2355" s="38">
        <v>32.6325</v>
      </c>
      <c r="G2355" s="38">
        <f>IF(ISNUMBER(F2355),E2355*F2355,"")</f>
        <v>77.583768750000004</v>
      </c>
      <c r="H2355" s="42"/>
      <c r="I2355" s="38"/>
      <c r="J2355" s="37">
        <v>0</v>
      </c>
    </row>
    <row r="2356" spans="1:10" hidden="1" x14ac:dyDescent="0.25">
      <c r="A2356" s="174"/>
      <c r="B2356" s="177"/>
      <c r="C2356" s="43"/>
      <c r="D2356" s="43"/>
      <c r="E2356" s="44"/>
      <c r="F2356" s="38" t="s">
        <v>13</v>
      </c>
      <c r="G2356" s="38" t="str">
        <f>IF(ISNUMBER(F2356),E2356*F2356,"")</f>
        <v/>
      </c>
      <c r="H2356" s="42"/>
      <c r="I2356" s="38"/>
      <c r="J2356" s="37">
        <v>0</v>
      </c>
    </row>
    <row r="2357" spans="1:10" ht="38.25" hidden="1" x14ac:dyDescent="0.25">
      <c r="A2357" s="174"/>
      <c r="B2357" s="177"/>
      <c r="C2357" s="65" t="s">
        <v>124</v>
      </c>
      <c r="D2357" s="43"/>
      <c r="E2357" s="44"/>
      <c r="F2357" s="38" t="s">
        <v>13</v>
      </c>
      <c r="G2357" s="38" t="str">
        <f>IF(ISNUMBER(F2357),E2357*F2357,"")</f>
        <v/>
      </c>
      <c r="H2357" s="42"/>
      <c r="I2357" s="38"/>
      <c r="J2357" s="37">
        <v>0</v>
      </c>
    </row>
    <row r="2358" spans="1:10" ht="15.75" hidden="1" thickBot="1" x14ac:dyDescent="0.3">
      <c r="A2358" s="175"/>
      <c r="B2358" s="178"/>
      <c r="C2358" s="49"/>
      <c r="D2358" s="63"/>
      <c r="E2358" s="50"/>
      <c r="F2358" s="52" t="s">
        <v>13</v>
      </c>
      <c r="G2358" s="52" t="str">
        <f>IF(ISNUMBER(F2358),E2358*F2358,"")</f>
        <v/>
      </c>
      <c r="H2358" s="53"/>
      <c r="I2358" s="38"/>
      <c r="J2358" s="37">
        <v>0</v>
      </c>
    </row>
    <row r="2359" spans="1:10" ht="15.75" hidden="1" thickBot="1" x14ac:dyDescent="0.3">
      <c r="A2359" s="173" t="s">
        <v>571</v>
      </c>
      <c r="B2359" s="176" t="s">
        <v>3364</v>
      </c>
      <c r="C2359" s="31"/>
      <c r="D2359" s="32" t="s">
        <v>18</v>
      </c>
      <c r="E2359" s="33"/>
      <c r="F2359" s="54" t="s">
        <v>13</v>
      </c>
      <c r="G2359" s="34" t="str">
        <f>IF(ISNUMBER(F2359),E2359*F2359,"")</f>
        <v/>
      </c>
      <c r="H2359" s="35"/>
      <c r="I2359" s="36"/>
      <c r="J2359" s="37">
        <v>0</v>
      </c>
    </row>
    <row r="2360" spans="1:10" hidden="1" x14ac:dyDescent="0.25">
      <c r="A2360" s="174"/>
      <c r="B2360" s="177"/>
      <c r="C2360" s="39"/>
      <c r="D2360" s="39"/>
      <c r="E2360" s="40"/>
      <c r="F2360" s="55" t="s">
        <v>13</v>
      </c>
      <c r="G2360" s="38" t="str">
        <f>IF(ISNUMBER(F2360),E2360*F2360,"")</f>
        <v/>
      </c>
      <c r="H2360" s="42"/>
      <c r="I2360" s="38"/>
      <c r="J2360" s="37">
        <v>0</v>
      </c>
    </row>
    <row r="2361" spans="1:10" ht="51" hidden="1" x14ac:dyDescent="0.25">
      <c r="A2361" s="174"/>
      <c r="B2361" s="177"/>
      <c r="C2361" s="43" t="s">
        <v>10978</v>
      </c>
      <c r="D2361" s="43" t="s">
        <v>83</v>
      </c>
      <c r="E2361" s="44">
        <v>1</v>
      </c>
      <c r="F2361" s="41">
        <v>343.45349999999996</v>
      </c>
      <c r="G2361" s="41">
        <f>IF(ISNUMBER(F2361),E2361*F2361,"")</f>
        <v>343.45349999999996</v>
      </c>
      <c r="H2361" s="46">
        <f>SUM(G2361:G2365)</f>
        <v>486.08279974999994</v>
      </c>
      <c r="I2361" s="47"/>
      <c r="J2361" s="37">
        <v>0</v>
      </c>
    </row>
    <row r="2362" spans="1:10" ht="25.5" hidden="1" x14ac:dyDescent="0.25">
      <c r="A2362" s="174"/>
      <c r="B2362" s="177"/>
      <c r="C2362" s="43" t="s">
        <v>10774</v>
      </c>
      <c r="D2362" s="43" t="s">
        <v>2800</v>
      </c>
      <c r="E2362" s="44">
        <f>ROUND(1.678*0.8,4)</f>
        <v>1.3424</v>
      </c>
      <c r="F2362" s="38">
        <v>29.383499999999998</v>
      </c>
      <c r="G2362" s="41">
        <f>IF(ISNUMBER(F2362),E2362*F2362,"")</f>
        <v>39.444410399999995</v>
      </c>
      <c r="H2362" s="42"/>
      <c r="I2362" s="38"/>
      <c r="J2362" s="37">
        <v>0</v>
      </c>
    </row>
    <row r="2363" spans="1:10" hidden="1" x14ac:dyDescent="0.25">
      <c r="A2363" s="174"/>
      <c r="B2363" s="177"/>
      <c r="C2363" s="43" t="s">
        <v>10614</v>
      </c>
      <c r="D2363" s="43" t="s">
        <v>2800</v>
      </c>
      <c r="E2363" s="44">
        <f>ROUND(0.839*0.8,4)</f>
        <v>0.67120000000000002</v>
      </c>
      <c r="F2363" s="38">
        <v>23.693000000000001</v>
      </c>
      <c r="G2363" s="41">
        <f>IF(ISNUMBER(F2363),E2363*F2363,"")</f>
        <v>15.902741600000001</v>
      </c>
      <c r="H2363" s="42"/>
      <c r="I2363" s="38"/>
      <c r="J2363" s="37">
        <v>0</v>
      </c>
    </row>
    <row r="2364" spans="1:10" hidden="1" x14ac:dyDescent="0.25">
      <c r="A2364" s="174"/>
      <c r="B2364" s="177"/>
      <c r="C2364" s="43" t="s">
        <v>123</v>
      </c>
      <c r="D2364" s="6" t="s">
        <v>70</v>
      </c>
      <c r="E2364" s="44">
        <f>ROUND(0.108*(2*0.9*2.1),4)</f>
        <v>0.40820000000000001</v>
      </c>
      <c r="F2364" s="41" t="s">
        <v>13</v>
      </c>
      <c r="G2364" s="38" t="str">
        <f>IF(ISNUMBER(F2364),E2364*F2364,"")</f>
        <v/>
      </c>
      <c r="H2364" s="42"/>
      <c r="I2364" s="38"/>
      <c r="J2364" s="37">
        <v>0</v>
      </c>
    </row>
    <row r="2365" spans="1:10" hidden="1" x14ac:dyDescent="0.25">
      <c r="A2365" s="174"/>
      <c r="B2365" s="177"/>
      <c r="C2365" s="43" t="s">
        <v>10674</v>
      </c>
      <c r="D2365" s="43" t="s">
        <v>2800</v>
      </c>
      <c r="E2365" s="44">
        <f>ROUND(0.7076*(2*0.9*2.1),4)</f>
        <v>2.6747000000000001</v>
      </c>
      <c r="F2365" s="38">
        <v>32.6325</v>
      </c>
      <c r="G2365" s="38">
        <f>IF(ISNUMBER(F2365),E2365*F2365,"")</f>
        <v>87.282147750000007</v>
      </c>
      <c r="H2365" s="42"/>
      <c r="I2365" s="38"/>
      <c r="J2365" s="37">
        <v>0</v>
      </c>
    </row>
    <row r="2366" spans="1:10" hidden="1" x14ac:dyDescent="0.25">
      <c r="A2366" s="174"/>
      <c r="B2366" s="177"/>
      <c r="C2366" s="43"/>
      <c r="D2366" s="43"/>
      <c r="E2366" s="44"/>
      <c r="F2366" s="38" t="s">
        <v>13</v>
      </c>
      <c r="G2366" s="38" t="str">
        <f>IF(ISNUMBER(F2366),E2366*F2366,"")</f>
        <v/>
      </c>
      <c r="H2366" s="42"/>
      <c r="I2366" s="38"/>
      <c r="J2366" s="37">
        <v>0</v>
      </c>
    </row>
    <row r="2367" spans="1:10" ht="38.25" hidden="1" x14ac:dyDescent="0.25">
      <c r="A2367" s="174"/>
      <c r="B2367" s="177"/>
      <c r="C2367" s="65" t="s">
        <v>124</v>
      </c>
      <c r="D2367" s="43"/>
      <c r="E2367" s="44"/>
      <c r="F2367" s="38" t="s">
        <v>13</v>
      </c>
      <c r="G2367" s="38" t="str">
        <f>IF(ISNUMBER(F2367),E2367*F2367,"")</f>
        <v/>
      </c>
      <c r="H2367" s="42"/>
      <c r="I2367" s="38"/>
      <c r="J2367" s="37">
        <v>0</v>
      </c>
    </row>
    <row r="2368" spans="1:10" ht="15.75" hidden="1" thickBot="1" x14ac:dyDescent="0.3">
      <c r="A2368" s="175"/>
      <c r="B2368" s="178"/>
      <c r="C2368" s="49"/>
      <c r="D2368" s="63"/>
      <c r="E2368" s="50"/>
      <c r="F2368" s="52" t="s">
        <v>13</v>
      </c>
      <c r="G2368" s="52" t="str">
        <f>IF(ISNUMBER(F2368),E2368*F2368,"")</f>
        <v/>
      </c>
      <c r="H2368" s="53"/>
      <c r="I2368" s="38"/>
      <c r="J2368" s="37">
        <v>0</v>
      </c>
    </row>
    <row r="2369" spans="1:10" ht="15.75" hidden="1" thickBot="1" x14ac:dyDescent="0.3">
      <c r="A2369" s="173" t="s">
        <v>572</v>
      </c>
      <c r="B2369" s="176" t="s">
        <v>3365</v>
      </c>
      <c r="C2369" s="31"/>
      <c r="D2369" s="32" t="s">
        <v>18</v>
      </c>
      <c r="E2369" s="33"/>
      <c r="F2369" s="54" t="s">
        <v>13</v>
      </c>
      <c r="G2369" s="34" t="str">
        <f>IF(ISNUMBER(F2369),E2369*F2369,"")</f>
        <v/>
      </c>
      <c r="H2369" s="35"/>
      <c r="I2369" s="36"/>
      <c r="J2369" s="37">
        <v>0</v>
      </c>
    </row>
    <row r="2370" spans="1:10" hidden="1" x14ac:dyDescent="0.25">
      <c r="A2370" s="174"/>
      <c r="B2370" s="177"/>
      <c r="C2370" s="39"/>
      <c r="D2370" s="39"/>
      <c r="E2370" s="40"/>
      <c r="F2370" s="55" t="s">
        <v>13</v>
      </c>
      <c r="G2370" s="38" t="str">
        <f>IF(ISNUMBER(F2370),E2370*F2370,"")</f>
        <v/>
      </c>
      <c r="H2370" s="42"/>
      <c r="I2370" s="38"/>
      <c r="J2370" s="37">
        <v>0</v>
      </c>
    </row>
    <row r="2371" spans="1:10" ht="51" hidden="1" x14ac:dyDescent="0.25">
      <c r="A2371" s="174"/>
      <c r="B2371" s="177"/>
      <c r="C2371" s="43" t="s">
        <v>10979</v>
      </c>
      <c r="D2371" s="43" t="s">
        <v>83</v>
      </c>
      <c r="E2371" s="44">
        <v>1</v>
      </c>
      <c r="F2371" s="41">
        <v>367.87799999999999</v>
      </c>
      <c r="G2371" s="41">
        <f>IF(ISNUMBER(F2371),E2371*F2371,"")</f>
        <v>367.87799999999999</v>
      </c>
      <c r="H2371" s="46">
        <f>SUM(G2371:G2375)</f>
        <v>520.20567874999995</v>
      </c>
      <c r="I2371" s="47"/>
      <c r="J2371" s="37">
        <v>0</v>
      </c>
    </row>
    <row r="2372" spans="1:10" ht="25.5" hidden="1" x14ac:dyDescent="0.25">
      <c r="A2372" s="174"/>
      <c r="B2372" s="177"/>
      <c r="C2372" s="43" t="s">
        <v>10774</v>
      </c>
      <c r="D2372" s="43" t="s">
        <v>2800</v>
      </c>
      <c r="E2372" s="44">
        <f>ROUND(1.678*0.8,4)</f>
        <v>1.3424</v>
      </c>
      <c r="F2372" s="38">
        <v>29.383499999999998</v>
      </c>
      <c r="G2372" s="41">
        <f>IF(ISNUMBER(F2372),E2372*F2372,"")</f>
        <v>39.444410399999995</v>
      </c>
      <c r="H2372" s="42"/>
      <c r="I2372" s="38"/>
      <c r="J2372" s="37">
        <v>0</v>
      </c>
    </row>
    <row r="2373" spans="1:10" hidden="1" x14ac:dyDescent="0.25">
      <c r="A2373" s="174"/>
      <c r="B2373" s="177"/>
      <c r="C2373" s="43" t="s">
        <v>10614</v>
      </c>
      <c r="D2373" s="43" t="s">
        <v>2800</v>
      </c>
      <c r="E2373" s="44">
        <f>ROUND(0.839*0.8,4)</f>
        <v>0.67120000000000002</v>
      </c>
      <c r="F2373" s="38">
        <v>23.693000000000001</v>
      </c>
      <c r="G2373" s="41">
        <f>IF(ISNUMBER(F2373),E2373*F2373,"")</f>
        <v>15.902741600000001</v>
      </c>
      <c r="H2373" s="42"/>
      <c r="I2373" s="38"/>
      <c r="J2373" s="37">
        <v>0</v>
      </c>
    </row>
    <row r="2374" spans="1:10" hidden="1" x14ac:dyDescent="0.25">
      <c r="A2374" s="174"/>
      <c r="B2374" s="177"/>
      <c r="C2374" s="43" t="s">
        <v>123</v>
      </c>
      <c r="D2374" s="6" t="s">
        <v>70</v>
      </c>
      <c r="E2374" s="44">
        <f>ROUND(0.108*(2*1*2.1),4)</f>
        <v>0.4536</v>
      </c>
      <c r="F2374" s="41" t="s">
        <v>13</v>
      </c>
      <c r="G2374" s="38" t="str">
        <f>IF(ISNUMBER(F2374),E2374*F2374,"")</f>
        <v/>
      </c>
      <c r="H2374" s="42"/>
      <c r="I2374" s="38"/>
      <c r="J2374" s="37">
        <v>0</v>
      </c>
    </row>
    <row r="2375" spans="1:10" hidden="1" x14ac:dyDescent="0.25">
      <c r="A2375" s="174"/>
      <c r="B2375" s="177"/>
      <c r="C2375" s="43" t="s">
        <v>10674</v>
      </c>
      <c r="D2375" s="43" t="s">
        <v>2800</v>
      </c>
      <c r="E2375" s="44">
        <f>ROUND(0.7076*(2*1*2.1),4)</f>
        <v>2.9719000000000002</v>
      </c>
      <c r="F2375" s="38">
        <v>32.6325</v>
      </c>
      <c r="G2375" s="38">
        <f>IF(ISNUMBER(F2375),E2375*F2375,"")</f>
        <v>96.98052675000001</v>
      </c>
      <c r="H2375" s="42"/>
      <c r="I2375" s="38"/>
      <c r="J2375" s="37">
        <v>0</v>
      </c>
    </row>
    <row r="2376" spans="1:10" hidden="1" x14ac:dyDescent="0.25">
      <c r="A2376" s="174"/>
      <c r="B2376" s="177"/>
      <c r="C2376" s="43"/>
      <c r="D2376" s="43"/>
      <c r="E2376" s="44"/>
      <c r="F2376" s="38" t="s">
        <v>13</v>
      </c>
      <c r="G2376" s="38" t="str">
        <f>IF(ISNUMBER(F2376),E2376*F2376,"")</f>
        <v/>
      </c>
      <c r="H2376" s="42"/>
      <c r="I2376" s="38"/>
      <c r="J2376" s="37">
        <v>0</v>
      </c>
    </row>
    <row r="2377" spans="1:10" ht="38.25" hidden="1" x14ac:dyDescent="0.25">
      <c r="A2377" s="174"/>
      <c r="B2377" s="177"/>
      <c r="C2377" s="65" t="s">
        <v>124</v>
      </c>
      <c r="D2377" s="43"/>
      <c r="E2377" s="44"/>
      <c r="F2377" s="38" t="s">
        <v>13</v>
      </c>
      <c r="G2377" s="38" t="str">
        <f>IF(ISNUMBER(F2377),E2377*F2377,"")</f>
        <v/>
      </c>
      <c r="H2377" s="42"/>
      <c r="I2377" s="38"/>
      <c r="J2377" s="37">
        <v>0</v>
      </c>
    </row>
    <row r="2378" spans="1:10" ht="15.75" hidden="1" thickBot="1" x14ac:dyDescent="0.3">
      <c r="A2378" s="175"/>
      <c r="B2378" s="178"/>
      <c r="C2378" s="49"/>
      <c r="D2378" s="63"/>
      <c r="E2378" s="50"/>
      <c r="F2378" s="52" t="s">
        <v>13</v>
      </c>
      <c r="G2378" s="52" t="str">
        <f>IF(ISNUMBER(F2378),E2378*F2378,"")</f>
        <v/>
      </c>
      <c r="H2378" s="53"/>
      <c r="I2378" s="38"/>
      <c r="J2378" s="37">
        <v>0</v>
      </c>
    </row>
    <row r="2379" spans="1:10" ht="15.75" hidden="1" thickBot="1" x14ac:dyDescent="0.3">
      <c r="A2379" s="173" t="s">
        <v>573</v>
      </c>
      <c r="B2379" s="176" t="s">
        <v>3366</v>
      </c>
      <c r="C2379" s="31"/>
      <c r="D2379" s="32" t="s">
        <v>18</v>
      </c>
      <c r="E2379" s="33"/>
      <c r="F2379" s="54" t="s">
        <v>13</v>
      </c>
      <c r="G2379" s="34" t="str">
        <f>IF(ISNUMBER(F2379),E2379*F2379,"")</f>
        <v/>
      </c>
      <c r="H2379" s="35"/>
      <c r="I2379" s="36"/>
      <c r="J2379" s="37">
        <v>0</v>
      </c>
    </row>
    <row r="2380" spans="1:10" hidden="1" x14ac:dyDescent="0.25">
      <c r="A2380" s="174"/>
      <c r="B2380" s="177"/>
      <c r="C2380" s="39"/>
      <c r="D2380" s="39"/>
      <c r="E2380" s="40"/>
      <c r="F2380" s="55" t="s">
        <v>13</v>
      </c>
      <c r="G2380" s="38" t="str">
        <f>IF(ISNUMBER(F2380),E2380*F2380,"")</f>
        <v/>
      </c>
      <c r="H2380" s="42"/>
      <c r="I2380" s="38"/>
      <c r="J2380" s="37">
        <v>0</v>
      </c>
    </row>
    <row r="2381" spans="1:10" hidden="1" x14ac:dyDescent="0.25">
      <c r="A2381" s="174"/>
      <c r="B2381" s="177"/>
      <c r="C2381" s="43" t="s">
        <v>10772</v>
      </c>
      <c r="D2381" s="43" t="s">
        <v>1044</v>
      </c>
      <c r="E2381" s="44">
        <v>1.0999999999999999E-2</v>
      </c>
      <c r="F2381" s="41">
        <v>24.244</v>
      </c>
      <c r="G2381" s="38">
        <f>IF(ISNUMBER(F2381),E2381*F2381,"")</f>
        <v>0.26668399999999998</v>
      </c>
      <c r="H2381" s="46">
        <f>SUM(G2381:G2384)</f>
        <v>113.39989449999999</v>
      </c>
      <c r="I2381" s="47"/>
      <c r="J2381" s="37">
        <v>0</v>
      </c>
    </row>
    <row r="2382" spans="1:10" hidden="1" x14ac:dyDescent="0.25">
      <c r="A2382" s="174"/>
      <c r="B2382" s="177"/>
      <c r="C2382" s="43" t="s">
        <v>10773</v>
      </c>
      <c r="D2382" s="43" t="s">
        <v>1044</v>
      </c>
      <c r="E2382" s="44">
        <v>2.4E-2</v>
      </c>
      <c r="F2382" s="41">
        <v>18.401499999999999</v>
      </c>
      <c r="G2382" s="38">
        <f>IF(ISNUMBER(F2382),E2382*F2382,"")</f>
        <v>0.44163599999999997</v>
      </c>
      <c r="H2382" s="42"/>
      <c r="I2382" s="38"/>
      <c r="J2382" s="37">
        <v>0</v>
      </c>
    </row>
    <row r="2383" spans="1:10" ht="25.5" hidden="1" x14ac:dyDescent="0.25">
      <c r="A2383" s="174"/>
      <c r="B2383" s="177"/>
      <c r="C2383" s="43" t="s">
        <v>10774</v>
      </c>
      <c r="D2383" s="43" t="s">
        <v>2800</v>
      </c>
      <c r="E2383" s="44">
        <v>2.7410000000000001</v>
      </c>
      <c r="F2383" s="38">
        <v>29.383499999999998</v>
      </c>
      <c r="G2383" s="38">
        <f>IF(ISNUMBER(F2383),E2383*F2383,"")</f>
        <v>80.540173499999995</v>
      </c>
      <c r="H2383" s="42"/>
      <c r="I2383" s="38"/>
      <c r="J2383" s="37">
        <v>0</v>
      </c>
    </row>
    <row r="2384" spans="1:10" hidden="1" x14ac:dyDescent="0.25">
      <c r="A2384" s="174"/>
      <c r="B2384" s="177"/>
      <c r="C2384" s="43" t="s">
        <v>10614</v>
      </c>
      <c r="D2384" s="43" t="s">
        <v>2800</v>
      </c>
      <c r="E2384" s="44">
        <v>1.357</v>
      </c>
      <c r="F2384" s="38">
        <v>23.693000000000001</v>
      </c>
      <c r="G2384" s="38">
        <f>IF(ISNUMBER(F2384),E2384*F2384,"")</f>
        <v>32.151401</v>
      </c>
      <c r="H2384" s="42"/>
      <c r="I2384" s="38"/>
      <c r="J2384" s="37">
        <v>0</v>
      </c>
    </row>
    <row r="2385" spans="1:10" ht="15.75" hidden="1" thickBot="1" x14ac:dyDescent="0.3">
      <c r="A2385" s="175"/>
      <c r="B2385" s="178"/>
      <c r="C2385" s="49"/>
      <c r="D2385" s="49"/>
      <c r="E2385" s="50"/>
      <c r="F2385" s="51" t="s">
        <v>13</v>
      </c>
      <c r="G2385" s="52" t="str">
        <f>IF(ISNUMBER(F2385),E2385*F2385,"")</f>
        <v/>
      </c>
      <c r="H2385" s="53"/>
      <c r="I2385" s="38"/>
      <c r="J2385" s="37">
        <v>0</v>
      </c>
    </row>
    <row r="2386" spans="1:10" ht="15.75" hidden="1" thickBot="1" x14ac:dyDescent="0.3">
      <c r="A2386" s="173" t="s">
        <v>574</v>
      </c>
      <c r="B2386" s="176" t="s">
        <v>3367</v>
      </c>
      <c r="C2386" s="31"/>
      <c r="D2386" s="32" t="s">
        <v>18</v>
      </c>
      <c r="E2386" s="33"/>
      <c r="F2386" s="54" t="s">
        <v>13</v>
      </c>
      <c r="G2386" s="34" t="str">
        <f>IF(ISNUMBER(F2386),E2386*F2386,"")</f>
        <v/>
      </c>
      <c r="H2386" s="35"/>
      <c r="I2386" s="36"/>
      <c r="J2386" s="37">
        <v>0</v>
      </c>
    </row>
    <row r="2387" spans="1:10" hidden="1" x14ac:dyDescent="0.25">
      <c r="A2387" s="174"/>
      <c r="B2387" s="177"/>
      <c r="C2387" s="39"/>
      <c r="D2387" s="39"/>
      <c r="E2387" s="40"/>
      <c r="F2387" s="55" t="s">
        <v>13</v>
      </c>
      <c r="G2387" s="41" t="str">
        <f>IF(ISNUMBER(F2387),E2387*F2387,"")</f>
        <v/>
      </c>
      <c r="H2387" s="42"/>
      <c r="I2387" s="38"/>
      <c r="J2387" s="37">
        <v>0</v>
      </c>
    </row>
    <row r="2388" spans="1:10" ht="25.5" hidden="1" x14ac:dyDescent="0.25">
      <c r="A2388" s="174"/>
      <c r="B2388" s="177"/>
      <c r="C2388" s="43" t="s">
        <v>10980</v>
      </c>
      <c r="D2388" s="43" t="s">
        <v>83</v>
      </c>
      <c r="E2388" s="44">
        <v>19.8</v>
      </c>
      <c r="F2388" s="38">
        <v>7.5999999999999998E-2</v>
      </c>
      <c r="G2388" s="41">
        <f>IF(ISNUMBER(F2388),E2388*F2388,"")</f>
        <v>1.5047999999999999</v>
      </c>
      <c r="H2388" s="46">
        <f>SUM(G2388:G2391)</f>
        <v>82.392407500000004</v>
      </c>
      <c r="I2388" s="47"/>
      <c r="J2388" s="37">
        <v>0</v>
      </c>
    </row>
    <row r="2389" spans="1:10" ht="25.5" hidden="1" x14ac:dyDescent="0.25">
      <c r="A2389" s="174"/>
      <c r="B2389" s="177"/>
      <c r="C2389" s="43" t="s">
        <v>10774</v>
      </c>
      <c r="D2389" s="43" t="s">
        <v>2800</v>
      </c>
      <c r="E2389" s="44">
        <v>1.546</v>
      </c>
      <c r="F2389" s="38">
        <v>29.383499999999998</v>
      </c>
      <c r="G2389" s="41">
        <f>IF(ISNUMBER(F2389),E2389*F2389,"")</f>
        <v>45.426890999999998</v>
      </c>
      <c r="H2389" s="42"/>
      <c r="I2389" s="38"/>
      <c r="J2389" s="37">
        <v>0</v>
      </c>
    </row>
    <row r="2390" spans="1:10" hidden="1" x14ac:dyDescent="0.25">
      <c r="A2390" s="174"/>
      <c r="B2390" s="177"/>
      <c r="C2390" s="43" t="s">
        <v>10757</v>
      </c>
      <c r="D2390" s="43" t="s">
        <v>2800</v>
      </c>
      <c r="E2390" s="44">
        <v>0.221</v>
      </c>
      <c r="F2390" s="38">
        <v>31.055499999999995</v>
      </c>
      <c r="G2390" s="41">
        <f>IF(ISNUMBER(F2390),E2390*F2390,"")</f>
        <v>6.8632654999999989</v>
      </c>
      <c r="H2390" s="42"/>
      <c r="I2390" s="38"/>
      <c r="J2390" s="37">
        <v>0</v>
      </c>
    </row>
    <row r="2391" spans="1:10" hidden="1" x14ac:dyDescent="0.25">
      <c r="A2391" s="174"/>
      <c r="B2391" s="177"/>
      <c r="C2391" s="43" t="s">
        <v>10614</v>
      </c>
      <c r="D2391" s="43" t="s">
        <v>2800</v>
      </c>
      <c r="E2391" s="44">
        <v>1.2070000000000001</v>
      </c>
      <c r="F2391" s="38">
        <v>23.693000000000001</v>
      </c>
      <c r="G2391" s="41">
        <f>IF(ISNUMBER(F2391),E2391*F2391,"")</f>
        <v>28.597451000000003</v>
      </c>
      <c r="H2391" s="42"/>
      <c r="I2391" s="38"/>
      <c r="J2391" s="37">
        <v>0</v>
      </c>
    </row>
    <row r="2392" spans="1:10" ht="15.75" hidden="1" thickBot="1" x14ac:dyDescent="0.3">
      <c r="A2392" s="175"/>
      <c r="B2392" s="178"/>
      <c r="C2392" s="49"/>
      <c r="D2392" s="49"/>
      <c r="E2392" s="50"/>
      <c r="F2392" s="51" t="s">
        <v>13</v>
      </c>
      <c r="G2392" s="52" t="str">
        <f>IF(ISNUMBER(F2392),E2392*F2392,"")</f>
        <v/>
      </c>
      <c r="H2392" s="53"/>
      <c r="I2392" s="38"/>
      <c r="J2392" s="37">
        <v>0</v>
      </c>
    </row>
    <row r="2393" spans="1:10" ht="15.75" hidden="1" thickBot="1" x14ac:dyDescent="0.3">
      <c r="A2393" s="173" t="s">
        <v>575</v>
      </c>
      <c r="B2393" s="176" t="s">
        <v>3368</v>
      </c>
      <c r="C2393" s="31"/>
      <c r="D2393" s="32" t="s">
        <v>18</v>
      </c>
      <c r="E2393" s="33"/>
      <c r="F2393" s="54" t="s">
        <v>13</v>
      </c>
      <c r="G2393" s="34" t="str">
        <f>IF(ISNUMBER(F2393),E2393*F2393,"")</f>
        <v/>
      </c>
      <c r="H2393" s="35"/>
      <c r="I2393" s="36"/>
      <c r="J2393" s="37">
        <v>0</v>
      </c>
    </row>
    <row r="2394" spans="1:10" hidden="1" x14ac:dyDescent="0.25">
      <c r="A2394" s="174"/>
      <c r="B2394" s="177"/>
      <c r="C2394" s="39"/>
      <c r="D2394" s="39"/>
      <c r="E2394" s="40"/>
      <c r="F2394" s="55" t="s">
        <v>13</v>
      </c>
      <c r="G2394" s="41" t="str">
        <f>IF(ISNUMBER(F2394),E2394*F2394,"")</f>
        <v/>
      </c>
      <c r="H2394" s="42"/>
      <c r="I2394" s="38"/>
      <c r="J2394" s="37">
        <v>0</v>
      </c>
    </row>
    <row r="2395" spans="1:10" ht="25.5" hidden="1" x14ac:dyDescent="0.25">
      <c r="A2395" s="174"/>
      <c r="B2395" s="177"/>
      <c r="C2395" s="43" t="s">
        <v>10981</v>
      </c>
      <c r="D2395" s="43" t="s">
        <v>83</v>
      </c>
      <c r="E2395" s="44">
        <v>1</v>
      </c>
      <c r="F2395" s="41">
        <v>27.378999999999998</v>
      </c>
      <c r="G2395" s="41">
        <f>IF(ISNUMBER(F2395),E2395*F2395,"")</f>
        <v>27.378999999999998</v>
      </c>
      <c r="H2395" s="46">
        <f>SUM(G2395:G2397)</f>
        <v>65.145679999999999</v>
      </c>
      <c r="I2395" s="47"/>
      <c r="J2395" s="37">
        <v>0</v>
      </c>
    </row>
    <row r="2396" spans="1:10" hidden="1" x14ac:dyDescent="0.25">
      <c r="A2396" s="174"/>
      <c r="B2396" s="177"/>
      <c r="C2396" s="43" t="s">
        <v>10614</v>
      </c>
      <c r="D2396" s="43" t="s">
        <v>2800</v>
      </c>
      <c r="E2396" s="44">
        <v>0.45800000000000002</v>
      </c>
      <c r="F2396" s="38">
        <v>23.693000000000001</v>
      </c>
      <c r="G2396" s="41">
        <f>IF(ISNUMBER(F2396),E2396*F2396,"")</f>
        <v>10.851394000000001</v>
      </c>
      <c r="H2396" s="42"/>
      <c r="I2396" s="38"/>
      <c r="J2396" s="37">
        <v>0</v>
      </c>
    </row>
    <row r="2397" spans="1:10" ht="25.5" hidden="1" x14ac:dyDescent="0.25">
      <c r="A2397" s="174"/>
      <c r="B2397" s="177"/>
      <c r="C2397" s="43" t="s">
        <v>10774</v>
      </c>
      <c r="D2397" s="43" t="s">
        <v>2800</v>
      </c>
      <c r="E2397" s="44">
        <v>0.91600000000000004</v>
      </c>
      <c r="F2397" s="38">
        <v>29.383499999999998</v>
      </c>
      <c r="G2397" s="41">
        <f>IF(ISNUMBER(F2397),E2397*F2397,"")</f>
        <v>26.915285999999998</v>
      </c>
      <c r="H2397" s="42"/>
      <c r="I2397" s="38"/>
      <c r="J2397" s="37">
        <v>0</v>
      </c>
    </row>
    <row r="2398" spans="1:10" ht="15.75" hidden="1" thickBot="1" x14ac:dyDescent="0.3">
      <c r="A2398" s="175"/>
      <c r="B2398" s="178"/>
      <c r="C2398" s="49"/>
      <c r="D2398" s="49"/>
      <c r="E2398" s="50"/>
      <c r="F2398" s="51" t="s">
        <v>13</v>
      </c>
      <c r="G2398" s="52" t="str">
        <f>IF(ISNUMBER(F2398),E2398*F2398,"")</f>
        <v/>
      </c>
      <c r="H2398" s="53"/>
      <c r="I2398" s="38"/>
      <c r="J2398" s="37">
        <v>0</v>
      </c>
    </row>
    <row r="2399" spans="1:10" ht="15.75" hidden="1" thickBot="1" x14ac:dyDescent="0.3">
      <c r="A2399" s="173" t="s">
        <v>576</v>
      </c>
      <c r="B2399" s="176" t="s">
        <v>3369</v>
      </c>
      <c r="C2399" s="31"/>
      <c r="D2399" s="32" t="s">
        <v>18</v>
      </c>
      <c r="E2399" s="33"/>
      <c r="F2399" s="54" t="s">
        <v>13</v>
      </c>
      <c r="G2399" s="34" t="str">
        <f>IF(ISNUMBER(F2399),E2399*F2399,"")</f>
        <v/>
      </c>
      <c r="H2399" s="35"/>
      <c r="I2399" s="36"/>
      <c r="J2399" s="37">
        <v>0</v>
      </c>
    </row>
    <row r="2400" spans="1:10" hidden="1" x14ac:dyDescent="0.25">
      <c r="A2400" s="174"/>
      <c r="B2400" s="177"/>
      <c r="C2400" s="39"/>
      <c r="D2400" s="39"/>
      <c r="E2400" s="40"/>
      <c r="F2400" s="55" t="s">
        <v>13</v>
      </c>
      <c r="G2400" s="41" t="str">
        <f>IF(ISNUMBER(F2400),E2400*F2400,"")</f>
        <v/>
      </c>
      <c r="H2400" s="42"/>
      <c r="I2400" s="38"/>
      <c r="J2400" s="37">
        <v>0</v>
      </c>
    </row>
    <row r="2401" spans="1:10" ht="38.25" hidden="1" x14ac:dyDescent="0.25">
      <c r="A2401" s="174"/>
      <c r="B2401" s="177"/>
      <c r="C2401" s="43" t="s">
        <v>577</v>
      </c>
      <c r="D2401" s="62" t="s">
        <v>87</v>
      </c>
      <c r="E2401" s="44">
        <v>1</v>
      </c>
      <c r="F2401" s="41" t="s">
        <v>13</v>
      </c>
      <c r="G2401" s="41" t="str">
        <f>IF(ISNUMBER(F2401),E2401*F2401,"")</f>
        <v/>
      </c>
      <c r="H2401" s="46">
        <f>SUM(G2401:G2403)</f>
        <v>31.635256500000001</v>
      </c>
      <c r="I2401" s="47"/>
      <c r="J2401" s="37">
        <v>0</v>
      </c>
    </row>
    <row r="2402" spans="1:10" ht="25.5" hidden="1" x14ac:dyDescent="0.25">
      <c r="A2402" s="174"/>
      <c r="B2402" s="177"/>
      <c r="C2402" s="43" t="s">
        <v>10774</v>
      </c>
      <c r="D2402" s="43" t="s">
        <v>2800</v>
      </c>
      <c r="E2402" s="44">
        <v>0.76700000000000002</v>
      </c>
      <c r="F2402" s="38">
        <v>29.383499999999998</v>
      </c>
      <c r="G2402" s="41">
        <f>IF(ISNUMBER(F2402),E2402*F2402,"")</f>
        <v>22.5371445</v>
      </c>
      <c r="H2402" s="42"/>
      <c r="I2402" s="38"/>
      <c r="J2402" s="37">
        <v>0</v>
      </c>
    </row>
    <row r="2403" spans="1:10" hidden="1" x14ac:dyDescent="0.25">
      <c r="A2403" s="174"/>
      <c r="B2403" s="177"/>
      <c r="C2403" s="43" t="s">
        <v>10614</v>
      </c>
      <c r="D2403" s="43" t="s">
        <v>2800</v>
      </c>
      <c r="E2403" s="44">
        <v>0.38400000000000001</v>
      </c>
      <c r="F2403" s="38">
        <v>23.693000000000001</v>
      </c>
      <c r="G2403" s="41">
        <f>IF(ISNUMBER(F2403),E2403*F2403,"")</f>
        <v>9.0981120000000004</v>
      </c>
      <c r="H2403" s="42"/>
      <c r="I2403" s="38"/>
      <c r="J2403" s="37">
        <v>0</v>
      </c>
    </row>
    <row r="2404" spans="1:10" ht="15.75" hidden="1" thickBot="1" x14ac:dyDescent="0.3">
      <c r="A2404" s="175"/>
      <c r="B2404" s="178"/>
      <c r="C2404" s="49"/>
      <c r="D2404" s="49"/>
      <c r="E2404" s="50"/>
      <c r="F2404" s="51" t="s">
        <v>13</v>
      </c>
      <c r="G2404" s="52" t="str">
        <f>IF(ISNUMBER(F2404),E2404*F2404,"")</f>
        <v/>
      </c>
      <c r="H2404" s="53"/>
      <c r="I2404" s="38"/>
      <c r="J2404" s="37">
        <v>0</v>
      </c>
    </row>
    <row r="2405" spans="1:10" ht="15.75" hidden="1" thickBot="1" x14ac:dyDescent="0.3">
      <c r="A2405" s="173" t="s">
        <v>578</v>
      </c>
      <c r="B2405" s="176" t="s">
        <v>3370</v>
      </c>
      <c r="C2405" s="31"/>
      <c r="D2405" s="32" t="s">
        <v>18</v>
      </c>
      <c r="E2405" s="33"/>
      <c r="F2405" s="54" t="s">
        <v>13</v>
      </c>
      <c r="G2405" s="34" t="str">
        <f>IF(ISNUMBER(F2405),E2405*F2405,"")</f>
        <v/>
      </c>
      <c r="H2405" s="35"/>
      <c r="I2405" s="36"/>
      <c r="J2405" s="37">
        <v>0</v>
      </c>
    </row>
    <row r="2406" spans="1:10" hidden="1" x14ac:dyDescent="0.25">
      <c r="A2406" s="174"/>
      <c r="B2406" s="177"/>
      <c r="C2406" s="39"/>
      <c r="D2406" s="39"/>
      <c r="E2406" s="40"/>
      <c r="F2406" s="55" t="s">
        <v>13</v>
      </c>
      <c r="G2406" s="41" t="str">
        <f>IF(ISNUMBER(F2406),E2406*F2406,"")</f>
        <v/>
      </c>
      <c r="H2406" s="42"/>
      <c r="I2406" s="38"/>
      <c r="J2406" s="37">
        <v>0</v>
      </c>
    </row>
    <row r="2407" spans="1:10" ht="38.25" hidden="1" x14ac:dyDescent="0.25">
      <c r="A2407" s="174"/>
      <c r="B2407" s="177"/>
      <c r="C2407" s="43" t="s">
        <v>579</v>
      </c>
      <c r="D2407" s="62" t="s">
        <v>87</v>
      </c>
      <c r="E2407" s="44">
        <v>1</v>
      </c>
      <c r="F2407" s="41" t="s">
        <v>13</v>
      </c>
      <c r="G2407" s="41" t="str">
        <f>IF(ISNUMBER(F2407),E2407*F2407,"")</f>
        <v/>
      </c>
      <c r="H2407" s="46">
        <f>SUM(G2407:G2409)</f>
        <v>41.312460000000002</v>
      </c>
      <c r="I2407" s="47"/>
      <c r="J2407" s="37">
        <v>0</v>
      </c>
    </row>
    <row r="2408" spans="1:10" ht="25.5" hidden="1" x14ac:dyDescent="0.25">
      <c r="A2408" s="174"/>
      <c r="B2408" s="177"/>
      <c r="C2408" s="43" t="s">
        <v>10774</v>
      </c>
      <c r="D2408" s="43" t="s">
        <v>2800</v>
      </c>
      <c r="E2408" s="44">
        <v>1.002</v>
      </c>
      <c r="F2408" s="38">
        <v>29.383499999999998</v>
      </c>
      <c r="G2408" s="41">
        <f>IF(ISNUMBER(F2408),E2408*F2408,"")</f>
        <v>29.442266999999998</v>
      </c>
      <c r="H2408" s="42"/>
      <c r="I2408" s="38"/>
      <c r="J2408" s="37">
        <v>0</v>
      </c>
    </row>
    <row r="2409" spans="1:10" hidden="1" x14ac:dyDescent="0.25">
      <c r="A2409" s="174"/>
      <c r="B2409" s="177"/>
      <c r="C2409" s="43" t="s">
        <v>10614</v>
      </c>
      <c r="D2409" s="43" t="s">
        <v>2800</v>
      </c>
      <c r="E2409" s="44">
        <v>0.501</v>
      </c>
      <c r="F2409" s="38">
        <v>23.693000000000001</v>
      </c>
      <c r="G2409" s="41">
        <f>IF(ISNUMBER(F2409),E2409*F2409,"")</f>
        <v>11.870193</v>
      </c>
      <c r="H2409" s="42"/>
      <c r="I2409" s="38"/>
      <c r="J2409" s="37">
        <v>0</v>
      </c>
    </row>
    <row r="2410" spans="1:10" ht="15.75" hidden="1" thickBot="1" x14ac:dyDescent="0.3">
      <c r="A2410" s="175"/>
      <c r="B2410" s="178"/>
      <c r="C2410" s="49"/>
      <c r="D2410" s="49"/>
      <c r="E2410" s="50"/>
      <c r="F2410" s="51" t="s">
        <v>13</v>
      </c>
      <c r="G2410" s="52" t="str">
        <f>IF(ISNUMBER(F2410),E2410*F2410,"")</f>
        <v/>
      </c>
      <c r="H2410" s="53"/>
      <c r="I2410" s="38"/>
      <c r="J2410" s="37">
        <v>0</v>
      </c>
    </row>
    <row r="2411" spans="1:10" ht="15.75" hidden="1" thickBot="1" x14ac:dyDescent="0.3">
      <c r="A2411" s="173" t="s">
        <v>580</v>
      </c>
      <c r="B2411" s="176" t="s">
        <v>3371</v>
      </c>
      <c r="C2411" s="31"/>
      <c r="D2411" s="32" t="s">
        <v>18</v>
      </c>
      <c r="E2411" s="33"/>
      <c r="F2411" s="54" t="s">
        <v>13</v>
      </c>
      <c r="G2411" s="34" t="str">
        <f>IF(ISNUMBER(F2411),E2411*F2411,"")</f>
        <v/>
      </c>
      <c r="H2411" s="35"/>
      <c r="I2411" s="36"/>
      <c r="J2411" s="37">
        <v>0</v>
      </c>
    </row>
    <row r="2412" spans="1:10" hidden="1" x14ac:dyDescent="0.25">
      <c r="A2412" s="174"/>
      <c r="B2412" s="177"/>
      <c r="C2412" s="39"/>
      <c r="D2412" s="39"/>
      <c r="E2412" s="40"/>
      <c r="F2412" s="55" t="s">
        <v>13</v>
      </c>
      <c r="G2412" s="41" t="str">
        <f>IF(ISNUMBER(F2412),E2412*F2412,"")</f>
        <v/>
      </c>
      <c r="H2412" s="42"/>
      <c r="I2412" s="38"/>
      <c r="J2412" s="37">
        <v>0</v>
      </c>
    </row>
    <row r="2413" spans="1:10" ht="38.25" hidden="1" x14ac:dyDescent="0.25">
      <c r="A2413" s="174"/>
      <c r="B2413" s="177"/>
      <c r="C2413" s="43" t="s">
        <v>581</v>
      </c>
      <c r="D2413" s="62" t="s">
        <v>87</v>
      </c>
      <c r="E2413" s="44">
        <v>1</v>
      </c>
      <c r="F2413" s="41" t="s">
        <v>13</v>
      </c>
      <c r="G2413" s="41" t="str">
        <f>IF(ISNUMBER(F2413),E2413*F2413,"")</f>
        <v/>
      </c>
      <c r="H2413" s="46">
        <f>SUM(G2413:G2415)</f>
        <v>41.312460000000002</v>
      </c>
      <c r="I2413" s="47"/>
      <c r="J2413" s="37">
        <v>0</v>
      </c>
    </row>
    <row r="2414" spans="1:10" ht="25.5" hidden="1" x14ac:dyDescent="0.25">
      <c r="A2414" s="174"/>
      <c r="B2414" s="177"/>
      <c r="C2414" s="43" t="s">
        <v>10774</v>
      </c>
      <c r="D2414" s="43" t="s">
        <v>2800</v>
      </c>
      <c r="E2414" s="44">
        <v>1.002</v>
      </c>
      <c r="F2414" s="38">
        <v>29.383499999999998</v>
      </c>
      <c r="G2414" s="41">
        <f>IF(ISNUMBER(F2414),E2414*F2414,"")</f>
        <v>29.442266999999998</v>
      </c>
      <c r="H2414" s="42"/>
      <c r="I2414" s="38"/>
      <c r="J2414" s="37">
        <v>0</v>
      </c>
    </row>
    <row r="2415" spans="1:10" hidden="1" x14ac:dyDescent="0.25">
      <c r="A2415" s="174"/>
      <c r="B2415" s="177"/>
      <c r="C2415" s="43" t="s">
        <v>10614</v>
      </c>
      <c r="D2415" s="43" t="s">
        <v>2800</v>
      </c>
      <c r="E2415" s="44">
        <v>0.501</v>
      </c>
      <c r="F2415" s="38">
        <v>23.693000000000001</v>
      </c>
      <c r="G2415" s="41">
        <f>IF(ISNUMBER(F2415),E2415*F2415,"")</f>
        <v>11.870193</v>
      </c>
      <c r="H2415" s="42"/>
      <c r="I2415" s="38"/>
      <c r="J2415" s="37">
        <v>0</v>
      </c>
    </row>
    <row r="2416" spans="1:10" ht="15.75" hidden="1" thickBot="1" x14ac:dyDescent="0.3">
      <c r="A2416" s="175"/>
      <c r="B2416" s="178"/>
      <c r="C2416" s="49"/>
      <c r="D2416" s="49"/>
      <c r="E2416" s="50"/>
      <c r="F2416" s="51" t="s">
        <v>13</v>
      </c>
      <c r="G2416" s="52" t="str">
        <f>IF(ISNUMBER(F2416),E2416*F2416,"")</f>
        <v/>
      </c>
      <c r="H2416" s="53"/>
      <c r="I2416" s="38"/>
      <c r="J2416" s="37">
        <v>0</v>
      </c>
    </row>
    <row r="2417" spans="1:10" ht="15.75" hidden="1" thickBot="1" x14ac:dyDescent="0.3">
      <c r="A2417" s="173" t="s">
        <v>582</v>
      </c>
      <c r="B2417" s="176" t="s">
        <v>3372</v>
      </c>
      <c r="C2417" s="31"/>
      <c r="D2417" s="32" t="s">
        <v>18</v>
      </c>
      <c r="E2417" s="33"/>
      <c r="F2417" s="54" t="s">
        <v>13</v>
      </c>
      <c r="G2417" s="34" t="str">
        <f>IF(ISNUMBER(F2417),E2417*F2417,"")</f>
        <v/>
      </c>
      <c r="H2417" s="35"/>
      <c r="I2417" s="36"/>
      <c r="J2417" s="37">
        <v>0</v>
      </c>
    </row>
    <row r="2418" spans="1:10" hidden="1" x14ac:dyDescent="0.25">
      <c r="A2418" s="174"/>
      <c r="B2418" s="177"/>
      <c r="C2418" s="39"/>
      <c r="D2418" s="39"/>
      <c r="E2418" s="40"/>
      <c r="F2418" s="55" t="s">
        <v>13</v>
      </c>
      <c r="G2418" s="41" t="str">
        <f>IF(ISNUMBER(F2418),E2418*F2418,"")</f>
        <v/>
      </c>
      <c r="H2418" s="42"/>
      <c r="I2418" s="38"/>
      <c r="J2418" s="37">
        <v>0</v>
      </c>
    </row>
    <row r="2419" spans="1:10" ht="25.5" hidden="1" x14ac:dyDescent="0.25">
      <c r="A2419" s="174"/>
      <c r="B2419" s="177"/>
      <c r="C2419" s="43" t="s">
        <v>10774</v>
      </c>
      <c r="D2419" s="43" t="s">
        <v>2800</v>
      </c>
      <c r="E2419" s="44">
        <v>1.002</v>
      </c>
      <c r="F2419" s="38">
        <v>29.383499999999998</v>
      </c>
      <c r="G2419" s="41">
        <f>IF(ISNUMBER(F2419),E2419*F2419,"")</f>
        <v>29.442266999999998</v>
      </c>
      <c r="H2419" s="46">
        <f>SUM(G2419:G2420)</f>
        <v>41.312460000000002</v>
      </c>
      <c r="I2419" s="47"/>
      <c r="J2419" s="37">
        <v>0</v>
      </c>
    </row>
    <row r="2420" spans="1:10" hidden="1" x14ac:dyDescent="0.25">
      <c r="A2420" s="174"/>
      <c r="B2420" s="177"/>
      <c r="C2420" s="43" t="s">
        <v>10614</v>
      </c>
      <c r="D2420" s="43" t="s">
        <v>2800</v>
      </c>
      <c r="E2420" s="44">
        <v>0.501</v>
      </c>
      <c r="F2420" s="38">
        <v>23.693000000000001</v>
      </c>
      <c r="G2420" s="41">
        <f>IF(ISNUMBER(F2420),E2420*F2420,"")</f>
        <v>11.870193</v>
      </c>
      <c r="H2420" s="42"/>
      <c r="I2420" s="38"/>
      <c r="J2420" s="37">
        <v>0</v>
      </c>
    </row>
    <row r="2421" spans="1:10" ht="15.75" hidden="1" thickBot="1" x14ac:dyDescent="0.3">
      <c r="A2421" s="175"/>
      <c r="B2421" s="178"/>
      <c r="C2421" s="49"/>
      <c r="D2421" s="49"/>
      <c r="E2421" s="50"/>
      <c r="F2421" s="51" t="s">
        <v>13</v>
      </c>
      <c r="G2421" s="52" t="str">
        <f>IF(ISNUMBER(F2421),E2421*F2421,"")</f>
        <v/>
      </c>
      <c r="H2421" s="53"/>
      <c r="I2421" s="38"/>
      <c r="J2421" s="37">
        <v>0</v>
      </c>
    </row>
    <row r="2422" spans="1:10" ht="15.75" hidden="1" thickBot="1" x14ac:dyDescent="0.3">
      <c r="A2422" s="173" t="s">
        <v>583</v>
      </c>
      <c r="B2422" s="176" t="s">
        <v>3373</v>
      </c>
      <c r="C2422" s="31"/>
      <c r="D2422" s="32" t="s">
        <v>18</v>
      </c>
      <c r="E2422" s="33"/>
      <c r="F2422" s="54" t="s">
        <v>13</v>
      </c>
      <c r="G2422" s="34" t="str">
        <f>IF(ISNUMBER(F2422),E2422*F2422,"")</f>
        <v/>
      </c>
      <c r="H2422" s="35"/>
      <c r="I2422" s="36"/>
      <c r="J2422" s="37">
        <v>0</v>
      </c>
    </row>
    <row r="2423" spans="1:10" hidden="1" x14ac:dyDescent="0.25">
      <c r="A2423" s="174"/>
      <c r="B2423" s="177"/>
      <c r="C2423" s="39"/>
      <c r="D2423" s="39"/>
      <c r="E2423" s="40"/>
      <c r="F2423" s="55" t="s">
        <v>13</v>
      </c>
      <c r="G2423" s="41" t="str">
        <f>IF(ISNUMBER(F2423),E2423*F2423,"")</f>
        <v/>
      </c>
      <c r="H2423" s="42"/>
      <c r="I2423" s="38"/>
      <c r="J2423" s="37">
        <v>0</v>
      </c>
    </row>
    <row r="2424" spans="1:10" hidden="1" x14ac:dyDescent="0.25">
      <c r="A2424" s="174"/>
      <c r="B2424" s="177"/>
      <c r="C2424" s="43" t="s">
        <v>10956</v>
      </c>
      <c r="D2424" s="43" t="s">
        <v>2800</v>
      </c>
      <c r="E2424" s="44">
        <v>1</v>
      </c>
      <c r="F2424" s="38">
        <v>29.060499999999998</v>
      </c>
      <c r="G2424" s="41">
        <f>IF(ISNUMBER(F2424),E2424*F2424,"")</f>
        <v>29.060499999999998</v>
      </c>
      <c r="H2424" s="46">
        <f>SUM(G2424:G2425)</f>
        <v>29.060499999999998</v>
      </c>
      <c r="I2424" s="47"/>
      <c r="J2424" s="37">
        <v>0</v>
      </c>
    </row>
    <row r="2425" spans="1:10" ht="25.5" hidden="1" x14ac:dyDescent="0.25">
      <c r="A2425" s="174"/>
      <c r="B2425" s="177"/>
      <c r="C2425" s="43" t="s">
        <v>584</v>
      </c>
      <c r="D2425" s="43" t="s">
        <v>18</v>
      </c>
      <c r="E2425" s="44">
        <v>1</v>
      </c>
      <c r="F2425" s="41" t="s">
        <v>13</v>
      </c>
      <c r="G2425" s="41" t="str">
        <f>IF(ISNUMBER(F2425),E2425*F2425,"")</f>
        <v/>
      </c>
      <c r="H2425" s="42"/>
      <c r="I2425" s="38"/>
      <c r="J2425" s="37">
        <v>0</v>
      </c>
    </row>
    <row r="2426" spans="1:10" ht="15.75" hidden="1" thickBot="1" x14ac:dyDescent="0.3">
      <c r="A2426" s="175"/>
      <c r="B2426" s="178"/>
      <c r="C2426" s="49"/>
      <c r="D2426" s="49"/>
      <c r="E2426" s="50"/>
      <c r="F2426" s="51" t="s">
        <v>13</v>
      </c>
      <c r="G2426" s="52" t="str">
        <f>IF(ISNUMBER(F2426),E2426*F2426,"")</f>
        <v/>
      </c>
      <c r="H2426" s="53"/>
      <c r="I2426" s="38"/>
      <c r="J2426" s="37">
        <v>0</v>
      </c>
    </row>
    <row r="2427" spans="1:10" ht="15.75" hidden="1" thickBot="1" x14ac:dyDescent="0.3">
      <c r="A2427" s="173" t="s">
        <v>585</v>
      </c>
      <c r="B2427" s="176" t="s">
        <v>3374</v>
      </c>
      <c r="C2427" s="31"/>
      <c r="D2427" s="32" t="s">
        <v>18</v>
      </c>
      <c r="E2427" s="33"/>
      <c r="F2427" s="54" t="s">
        <v>13</v>
      </c>
      <c r="G2427" s="34" t="str">
        <f>IF(ISNUMBER(F2427),E2427*F2427,"")</f>
        <v/>
      </c>
      <c r="H2427" s="35"/>
      <c r="I2427" s="36"/>
      <c r="J2427" s="37">
        <v>0</v>
      </c>
    </row>
    <row r="2428" spans="1:10" hidden="1" x14ac:dyDescent="0.25">
      <c r="A2428" s="174"/>
      <c r="B2428" s="177"/>
      <c r="C2428" s="39"/>
      <c r="D2428" s="39"/>
      <c r="E2428" s="40"/>
      <c r="F2428" s="55" t="s">
        <v>13</v>
      </c>
      <c r="G2428" s="41" t="str">
        <f>IF(ISNUMBER(F2428),E2428*F2428,"")</f>
        <v/>
      </c>
      <c r="H2428" s="42"/>
      <c r="I2428" s="38"/>
      <c r="J2428" s="37">
        <v>0</v>
      </c>
    </row>
    <row r="2429" spans="1:10" hidden="1" x14ac:dyDescent="0.25">
      <c r="A2429" s="174"/>
      <c r="B2429" s="177"/>
      <c r="C2429" s="43" t="s">
        <v>10956</v>
      </c>
      <c r="D2429" s="43" t="s">
        <v>2800</v>
      </c>
      <c r="E2429" s="44">
        <f>1/2</f>
        <v>0.5</v>
      </c>
      <c r="F2429" s="38">
        <v>29.060499999999998</v>
      </c>
      <c r="G2429" s="41">
        <f>IF(ISNUMBER(F2429),E2429*F2429,"")</f>
        <v>14.530249999999999</v>
      </c>
      <c r="H2429" s="46">
        <f>SUM(G2429:G2430)</f>
        <v>14.530249999999999</v>
      </c>
      <c r="I2429" s="47"/>
      <c r="J2429" s="37">
        <v>0</v>
      </c>
    </row>
    <row r="2430" spans="1:10" ht="38.25" hidden="1" x14ac:dyDescent="0.25">
      <c r="A2430" s="174"/>
      <c r="B2430" s="177"/>
      <c r="C2430" s="43" t="s">
        <v>586</v>
      </c>
      <c r="D2430" s="43" t="s">
        <v>18</v>
      </c>
      <c r="E2430" s="44">
        <v>1</v>
      </c>
      <c r="F2430" s="41" t="s">
        <v>13</v>
      </c>
      <c r="G2430" s="41" t="str">
        <f>IF(ISNUMBER(F2430),E2430*F2430,"")</f>
        <v/>
      </c>
      <c r="H2430" s="42"/>
      <c r="I2430" s="38"/>
      <c r="J2430" s="37">
        <v>0</v>
      </c>
    </row>
    <row r="2431" spans="1:10" ht="15.75" hidden="1" thickBot="1" x14ac:dyDescent="0.3">
      <c r="A2431" s="175"/>
      <c r="B2431" s="178"/>
      <c r="C2431" s="49"/>
      <c r="D2431" s="49"/>
      <c r="E2431" s="50"/>
      <c r="F2431" s="51" t="s">
        <v>13</v>
      </c>
      <c r="G2431" s="52" t="str">
        <f>IF(ISNUMBER(F2431),E2431*F2431,"")</f>
        <v/>
      </c>
      <c r="H2431" s="53"/>
      <c r="I2431" s="38"/>
      <c r="J2431" s="37">
        <v>0</v>
      </c>
    </row>
    <row r="2432" spans="1:10" ht="15.75" hidden="1" thickBot="1" x14ac:dyDescent="0.3">
      <c r="A2432" s="173" t="s">
        <v>587</v>
      </c>
      <c r="B2432" s="176" t="s">
        <v>3375</v>
      </c>
      <c r="C2432" s="31"/>
      <c r="D2432" s="32" t="s">
        <v>106</v>
      </c>
      <c r="E2432" s="33"/>
      <c r="F2432" s="54" t="s">
        <v>13</v>
      </c>
      <c r="G2432" s="34" t="str">
        <f>IF(ISNUMBER(F2432),E2432*F2432,"")</f>
        <v/>
      </c>
      <c r="H2432" s="35"/>
      <c r="I2432" s="36"/>
      <c r="J2432" s="37">
        <v>0</v>
      </c>
    </row>
    <row r="2433" spans="1:10" hidden="1" x14ac:dyDescent="0.25">
      <c r="A2433" s="174"/>
      <c r="B2433" s="177"/>
      <c r="C2433" s="39"/>
      <c r="D2433" s="39"/>
      <c r="E2433" s="40"/>
      <c r="F2433" s="55" t="s">
        <v>13</v>
      </c>
      <c r="G2433" s="41" t="str">
        <f>IF(ISNUMBER(F2433),E2433*F2433,"")</f>
        <v/>
      </c>
      <c r="H2433" s="42"/>
      <c r="I2433" s="38"/>
      <c r="J2433" s="37">
        <v>0</v>
      </c>
    </row>
    <row r="2434" spans="1:10" hidden="1" x14ac:dyDescent="0.25">
      <c r="A2434" s="174"/>
      <c r="B2434" s="177"/>
      <c r="C2434" s="43" t="s">
        <v>10762</v>
      </c>
      <c r="D2434" s="43" t="s">
        <v>2800</v>
      </c>
      <c r="E2434" s="44">
        <v>2.8E-3</v>
      </c>
      <c r="F2434" s="38">
        <v>24.946999999999999</v>
      </c>
      <c r="G2434" s="41">
        <f>IF(ISNUMBER(F2434),E2434*F2434,"")</f>
        <v>6.98516E-2</v>
      </c>
      <c r="H2434" s="46">
        <f>SUM(G2434:G2436)</f>
        <v>0.15787099999999998</v>
      </c>
      <c r="I2434" s="47"/>
      <c r="J2434" s="37">
        <v>0</v>
      </c>
    </row>
    <row r="2435" spans="1:10" hidden="1" x14ac:dyDescent="0.25">
      <c r="A2435" s="174"/>
      <c r="B2435" s="177"/>
      <c r="C2435" s="43" t="s">
        <v>10763</v>
      </c>
      <c r="D2435" s="43" t="s">
        <v>2800</v>
      </c>
      <c r="E2435" s="44">
        <v>2.8E-3</v>
      </c>
      <c r="F2435" s="38">
        <v>31.435500000000001</v>
      </c>
      <c r="G2435" s="41">
        <f>IF(ISNUMBER(F2435),E2435*F2435,"")</f>
        <v>8.8019399999999998E-2</v>
      </c>
      <c r="H2435" s="42"/>
      <c r="I2435" s="38"/>
      <c r="J2435" s="37">
        <v>0</v>
      </c>
    </row>
    <row r="2436" spans="1:10" ht="25.5" hidden="1" x14ac:dyDescent="0.25">
      <c r="A2436" s="174"/>
      <c r="B2436" s="177"/>
      <c r="C2436" s="43" t="s">
        <v>588</v>
      </c>
      <c r="D2436" s="43" t="s">
        <v>106</v>
      </c>
      <c r="E2436" s="44">
        <v>1.05</v>
      </c>
      <c r="F2436" s="41" t="s">
        <v>13</v>
      </c>
      <c r="G2436" s="41" t="str">
        <f>IF(ISNUMBER(F2436),E2436*F2436,"")</f>
        <v/>
      </c>
      <c r="H2436" s="42"/>
      <c r="I2436" s="38"/>
      <c r="J2436" s="37">
        <v>0</v>
      </c>
    </row>
    <row r="2437" spans="1:10" ht="15.75" hidden="1" thickBot="1" x14ac:dyDescent="0.3">
      <c r="A2437" s="175"/>
      <c r="B2437" s="178"/>
      <c r="C2437" s="49"/>
      <c r="D2437" s="49"/>
      <c r="E2437" s="50"/>
      <c r="F2437" s="51" t="s">
        <v>13</v>
      </c>
      <c r="G2437" s="52" t="str">
        <f>IF(ISNUMBER(F2437),E2437*F2437,"")</f>
        <v/>
      </c>
      <c r="H2437" s="53"/>
      <c r="I2437" s="38"/>
      <c r="J2437" s="37">
        <v>0</v>
      </c>
    </row>
    <row r="2438" spans="1:10" ht="15.75" hidden="1" thickBot="1" x14ac:dyDescent="0.3">
      <c r="A2438" s="173" t="s">
        <v>589</v>
      </c>
      <c r="B2438" s="176" t="s">
        <v>3376</v>
      </c>
      <c r="C2438" s="31"/>
      <c r="D2438" s="32" t="s">
        <v>18</v>
      </c>
      <c r="E2438" s="33"/>
      <c r="F2438" s="54" t="s">
        <v>13</v>
      </c>
      <c r="G2438" s="34" t="str">
        <f>IF(ISNUMBER(F2438),E2438*F2438,"")</f>
        <v/>
      </c>
      <c r="H2438" s="35"/>
      <c r="I2438" s="36"/>
      <c r="J2438" s="37">
        <v>0</v>
      </c>
    </row>
    <row r="2439" spans="1:10" hidden="1" x14ac:dyDescent="0.25">
      <c r="A2439" s="174"/>
      <c r="B2439" s="177"/>
      <c r="C2439" s="39"/>
      <c r="D2439" s="39"/>
      <c r="E2439" s="40"/>
      <c r="F2439" s="55" t="s">
        <v>13</v>
      </c>
      <c r="G2439" s="41" t="str">
        <f>IF(ISNUMBER(F2439),E2439*F2439,"")</f>
        <v/>
      </c>
      <c r="H2439" s="42"/>
      <c r="I2439" s="38"/>
      <c r="J2439" s="37">
        <v>0</v>
      </c>
    </row>
    <row r="2440" spans="1:10" ht="25.5" hidden="1" x14ac:dyDescent="0.25">
      <c r="A2440" s="174"/>
      <c r="B2440" s="177"/>
      <c r="C2440" s="43" t="s">
        <v>590</v>
      </c>
      <c r="D2440" s="43" t="s">
        <v>87</v>
      </c>
      <c r="E2440" s="44">
        <v>1</v>
      </c>
      <c r="F2440" s="41" t="s">
        <v>13</v>
      </c>
      <c r="G2440" s="41" t="str">
        <f>IF(ISNUMBER(F2440),E2440*F2440,"")</f>
        <v/>
      </c>
      <c r="H2440" s="46">
        <f>SUM(G2440:G2444)</f>
        <v>23.252143</v>
      </c>
      <c r="I2440" s="47"/>
      <c r="J2440" s="37">
        <v>0</v>
      </c>
    </row>
    <row r="2441" spans="1:10" hidden="1" x14ac:dyDescent="0.25">
      <c r="A2441" s="174"/>
      <c r="B2441" s="177"/>
      <c r="C2441" s="43" t="s">
        <v>591</v>
      </c>
      <c r="D2441" s="43" t="s">
        <v>87</v>
      </c>
      <c r="E2441" s="44">
        <v>1</v>
      </c>
      <c r="F2441" s="41" t="s">
        <v>13</v>
      </c>
      <c r="G2441" s="41" t="str">
        <f>IF(ISNUMBER(F2441),E2441*F2441,"")</f>
        <v/>
      </c>
      <c r="H2441" s="42"/>
      <c r="I2441" s="38"/>
      <c r="J2441" s="37">
        <v>0</v>
      </c>
    </row>
    <row r="2442" spans="1:10" hidden="1" x14ac:dyDescent="0.25">
      <c r="A2442" s="174"/>
      <c r="B2442" s="177"/>
      <c r="C2442" s="43" t="s">
        <v>592</v>
      </c>
      <c r="D2442" s="43" t="s">
        <v>87</v>
      </c>
      <c r="E2442" s="44">
        <v>1</v>
      </c>
      <c r="F2442" s="41" t="s">
        <v>13</v>
      </c>
      <c r="G2442" s="41" t="str">
        <f>IF(ISNUMBER(F2442),E2442*F2442,"")</f>
        <v/>
      </c>
      <c r="H2442" s="42"/>
      <c r="I2442" s="38"/>
      <c r="J2442" s="37">
        <v>0</v>
      </c>
    </row>
    <row r="2443" spans="1:10" hidden="1" x14ac:dyDescent="0.25">
      <c r="A2443" s="174"/>
      <c r="B2443" s="177"/>
      <c r="C2443" s="43" t="s">
        <v>10762</v>
      </c>
      <c r="D2443" s="43" t="s">
        <v>2800</v>
      </c>
      <c r="E2443" s="44">
        <f>0.2062*2</f>
        <v>0.41239999999999999</v>
      </c>
      <c r="F2443" s="38">
        <v>24.946999999999999</v>
      </c>
      <c r="G2443" s="41">
        <f>IF(ISNUMBER(F2443),E2443*F2443,"")</f>
        <v>10.288142799999999</v>
      </c>
      <c r="H2443" s="42"/>
      <c r="I2443" s="38"/>
      <c r="J2443" s="37">
        <v>0</v>
      </c>
    </row>
    <row r="2444" spans="1:10" hidden="1" x14ac:dyDescent="0.25">
      <c r="A2444" s="174"/>
      <c r="B2444" s="177"/>
      <c r="C2444" s="43" t="s">
        <v>10763</v>
      </c>
      <c r="D2444" s="43" t="s">
        <v>2800</v>
      </c>
      <c r="E2444" s="44">
        <f>0.2062*2</f>
        <v>0.41239999999999999</v>
      </c>
      <c r="F2444" s="38">
        <v>31.435500000000001</v>
      </c>
      <c r="G2444" s="41">
        <f>IF(ISNUMBER(F2444),E2444*F2444,"")</f>
        <v>12.964000200000001</v>
      </c>
      <c r="H2444" s="42"/>
      <c r="I2444" s="38"/>
      <c r="J2444" s="37">
        <v>0</v>
      </c>
    </row>
    <row r="2445" spans="1:10" ht="15.75" hidden="1" thickBot="1" x14ac:dyDescent="0.3">
      <c r="A2445" s="175"/>
      <c r="B2445" s="178"/>
      <c r="C2445" s="49"/>
      <c r="D2445" s="49"/>
      <c r="E2445" s="50"/>
      <c r="F2445" s="51" t="s">
        <v>13</v>
      </c>
      <c r="G2445" s="52" t="str">
        <f>IF(ISNUMBER(F2445),E2445*F2445,"")</f>
        <v/>
      </c>
      <c r="H2445" s="53"/>
      <c r="I2445" s="38"/>
      <c r="J2445" s="37">
        <v>0</v>
      </c>
    </row>
    <row r="2446" spans="1:10" ht="15.75" hidden="1" thickBot="1" x14ac:dyDescent="0.3">
      <c r="A2446" s="173" t="s">
        <v>593</v>
      </c>
      <c r="B2446" s="176" t="s">
        <v>3377</v>
      </c>
      <c r="C2446" s="31"/>
      <c r="D2446" s="32" t="s">
        <v>18</v>
      </c>
      <c r="E2446" s="33"/>
      <c r="F2446" s="54" t="s">
        <v>13</v>
      </c>
      <c r="G2446" s="34" t="str">
        <f>IF(ISNUMBER(F2446),E2446*F2446,"")</f>
        <v/>
      </c>
      <c r="H2446" s="35"/>
      <c r="I2446" s="36"/>
      <c r="J2446" s="37">
        <v>0</v>
      </c>
    </row>
    <row r="2447" spans="1:10" hidden="1" x14ac:dyDescent="0.25">
      <c r="A2447" s="174"/>
      <c r="B2447" s="177"/>
      <c r="C2447" s="39"/>
      <c r="D2447" s="39"/>
      <c r="E2447" s="40"/>
      <c r="F2447" s="55" t="s">
        <v>13</v>
      </c>
      <c r="G2447" s="41" t="str">
        <f>IF(ISNUMBER(F2447),E2447*F2447,"")</f>
        <v/>
      </c>
      <c r="H2447" s="42"/>
      <c r="I2447" s="38"/>
      <c r="J2447" s="37">
        <v>0</v>
      </c>
    </row>
    <row r="2448" spans="1:10" hidden="1" x14ac:dyDescent="0.25">
      <c r="A2448" s="174"/>
      <c r="B2448" s="177"/>
      <c r="C2448" s="43" t="s">
        <v>10762</v>
      </c>
      <c r="D2448" s="43" t="s">
        <v>2800</v>
      </c>
      <c r="E2448" s="44">
        <f>6.2007</f>
        <v>6.2007000000000003</v>
      </c>
      <c r="F2448" s="38">
        <v>24.946999999999999</v>
      </c>
      <c r="G2448" s="41">
        <f>IF(ISNUMBER(F2448),E2448*F2448,"")</f>
        <v>154.6888629</v>
      </c>
      <c r="H2448" s="46">
        <f>SUM(G2448:G2451)</f>
        <v>349.61096774999999</v>
      </c>
      <c r="I2448" s="47"/>
      <c r="J2448" s="37">
        <v>0</v>
      </c>
    </row>
    <row r="2449" spans="1:10" hidden="1" x14ac:dyDescent="0.25">
      <c r="A2449" s="174"/>
      <c r="B2449" s="177"/>
      <c r="C2449" s="43" t="s">
        <v>10763</v>
      </c>
      <c r="D2449" s="43" t="s">
        <v>2800</v>
      </c>
      <c r="E2449" s="44">
        <f>6.2007</f>
        <v>6.2007000000000003</v>
      </c>
      <c r="F2449" s="38">
        <v>31.435500000000001</v>
      </c>
      <c r="G2449" s="41">
        <f>IF(ISNUMBER(F2449),E2449*F2449,"")</f>
        <v>194.92210485000001</v>
      </c>
      <c r="H2449" s="42"/>
      <c r="I2449" s="38"/>
      <c r="J2449" s="37">
        <v>0</v>
      </c>
    </row>
    <row r="2450" spans="1:10" ht="25.5" hidden="1" x14ac:dyDescent="0.25">
      <c r="A2450" s="174"/>
      <c r="B2450" s="177"/>
      <c r="C2450" s="43" t="s">
        <v>594</v>
      </c>
      <c r="D2450" s="43" t="s">
        <v>18</v>
      </c>
      <c r="E2450" s="44">
        <v>1</v>
      </c>
      <c r="F2450" s="41" t="s">
        <v>13</v>
      </c>
      <c r="G2450" s="41" t="str">
        <f>IF(ISNUMBER(F2450),E2450*F2450,"")</f>
        <v/>
      </c>
      <c r="H2450" s="42"/>
      <c r="I2450" s="38"/>
      <c r="J2450" s="37">
        <v>0</v>
      </c>
    </row>
    <row r="2451" spans="1:10" hidden="1" x14ac:dyDescent="0.25">
      <c r="A2451" s="174"/>
      <c r="B2451" s="177"/>
      <c r="C2451" s="43" t="s">
        <v>591</v>
      </c>
      <c r="D2451" s="43" t="s">
        <v>87</v>
      </c>
      <c r="E2451" s="44">
        <v>24</v>
      </c>
      <c r="F2451" s="41" t="s">
        <v>13</v>
      </c>
      <c r="G2451" s="41" t="str">
        <f>IF(ISNUMBER(F2451),E2451*F2451,"")</f>
        <v/>
      </c>
      <c r="H2451" s="42"/>
      <c r="I2451" s="38"/>
      <c r="J2451" s="37">
        <v>0</v>
      </c>
    </row>
    <row r="2452" spans="1:10" ht="15.75" hidden="1" thickBot="1" x14ac:dyDescent="0.3">
      <c r="A2452" s="175"/>
      <c r="B2452" s="178"/>
      <c r="C2452" s="49"/>
      <c r="D2452" s="49"/>
      <c r="E2452" s="50"/>
      <c r="F2452" s="51" t="s">
        <v>13</v>
      </c>
      <c r="G2452" s="52" t="str">
        <f>IF(ISNUMBER(F2452),E2452*F2452,"")</f>
        <v/>
      </c>
      <c r="H2452" s="53"/>
      <c r="I2452" s="38"/>
      <c r="J2452" s="37">
        <v>0</v>
      </c>
    </row>
    <row r="2453" spans="1:10" ht="15.75" hidden="1" thickBot="1" x14ac:dyDescent="0.3">
      <c r="A2453" s="173" t="s">
        <v>595</v>
      </c>
      <c r="B2453" s="176" t="s">
        <v>3378</v>
      </c>
      <c r="C2453" s="31"/>
      <c r="D2453" s="32" t="s">
        <v>106</v>
      </c>
      <c r="E2453" s="33"/>
      <c r="F2453" s="54" t="s">
        <v>13</v>
      </c>
      <c r="G2453" s="34" t="str">
        <f>IF(ISNUMBER(F2453),E2453*F2453,"")</f>
        <v/>
      </c>
      <c r="H2453" s="35"/>
      <c r="I2453" s="36"/>
      <c r="J2453" s="37">
        <v>0</v>
      </c>
    </row>
    <row r="2454" spans="1:10" hidden="1" x14ac:dyDescent="0.25">
      <c r="A2454" s="179"/>
      <c r="B2454" s="177"/>
      <c r="C2454" s="39"/>
      <c r="D2454" s="39"/>
      <c r="E2454" s="40"/>
      <c r="F2454" s="55" t="s">
        <v>13</v>
      </c>
      <c r="G2454" s="41" t="str">
        <f>IF(ISNUMBER(F2454),E2454*F2454,"")</f>
        <v/>
      </c>
      <c r="H2454" s="42"/>
      <c r="I2454" s="38"/>
      <c r="J2454" s="37">
        <v>0</v>
      </c>
    </row>
    <row r="2455" spans="1:10" hidden="1" x14ac:dyDescent="0.25">
      <c r="A2455" s="179"/>
      <c r="B2455" s="177"/>
      <c r="C2455" s="43" t="s">
        <v>10762</v>
      </c>
      <c r="D2455" s="43" t="s">
        <v>2800</v>
      </c>
      <c r="E2455" s="44">
        <v>6.4100000000000004E-2</v>
      </c>
      <c r="F2455" s="38">
        <v>24.946999999999999</v>
      </c>
      <c r="G2455" s="41">
        <f>IF(ISNUMBER(F2455),E2455*F2455,"")</f>
        <v>1.5991027</v>
      </c>
      <c r="H2455" s="46">
        <f>SUM(G2455:G2457)</f>
        <v>5.1602432500000006</v>
      </c>
      <c r="I2455" s="47"/>
      <c r="J2455" s="37">
        <v>0</v>
      </c>
    </row>
    <row r="2456" spans="1:10" hidden="1" x14ac:dyDescent="0.25">
      <c r="A2456" s="179"/>
      <c r="B2456" s="177"/>
      <c r="C2456" s="43" t="s">
        <v>10763</v>
      </c>
      <c r="D2456" s="43" t="s">
        <v>2800</v>
      </c>
      <c r="E2456" s="44">
        <v>6.4100000000000004E-2</v>
      </c>
      <c r="F2456" s="38">
        <v>31.435500000000001</v>
      </c>
      <c r="G2456" s="41">
        <f>IF(ISNUMBER(F2456),E2456*F2456,"")</f>
        <v>2.0150155500000002</v>
      </c>
      <c r="H2456" s="42"/>
      <c r="I2456" s="38"/>
      <c r="J2456" s="37">
        <v>0</v>
      </c>
    </row>
    <row r="2457" spans="1:10" ht="25.5" hidden="1" x14ac:dyDescent="0.25">
      <c r="A2457" s="179"/>
      <c r="B2457" s="177"/>
      <c r="C2457" s="43" t="s">
        <v>10982</v>
      </c>
      <c r="D2457" s="43" t="s">
        <v>1302</v>
      </c>
      <c r="E2457" s="44">
        <v>1.05</v>
      </c>
      <c r="F2457" s="41">
        <v>1.4724999999999999</v>
      </c>
      <c r="G2457" s="41">
        <f>IF(ISNUMBER(F2457),E2457*F2457,"")</f>
        <v>1.546125</v>
      </c>
      <c r="H2457" s="42"/>
      <c r="I2457" s="38"/>
      <c r="J2457" s="37">
        <v>0</v>
      </c>
    </row>
    <row r="2458" spans="1:10" ht="15.75" hidden="1" thickBot="1" x14ac:dyDescent="0.3">
      <c r="A2458" s="180"/>
      <c r="B2458" s="178"/>
      <c r="C2458" s="49"/>
      <c r="D2458" s="49"/>
      <c r="E2458" s="50"/>
      <c r="F2458" s="52" t="s">
        <v>13</v>
      </c>
      <c r="G2458" s="52" t="str">
        <f>IF(ISNUMBER(F2458),E2458*F2458,"")</f>
        <v/>
      </c>
      <c r="H2458" s="53"/>
      <c r="I2458" s="38"/>
      <c r="J2458" s="37">
        <v>0</v>
      </c>
    </row>
    <row r="2459" spans="1:10" ht="15.75" hidden="1" thickBot="1" x14ac:dyDescent="0.3">
      <c r="A2459" s="173" t="s">
        <v>596</v>
      </c>
      <c r="B2459" s="176" t="s">
        <v>3379</v>
      </c>
      <c r="C2459" s="31"/>
      <c r="D2459" s="32" t="s">
        <v>18</v>
      </c>
      <c r="E2459" s="33"/>
      <c r="F2459" s="54" t="s">
        <v>13</v>
      </c>
      <c r="G2459" s="34" t="str">
        <f>IF(ISNUMBER(F2459),E2459*F2459,"")</f>
        <v/>
      </c>
      <c r="H2459" s="35"/>
      <c r="I2459" s="36"/>
      <c r="J2459" s="37">
        <v>0</v>
      </c>
    </row>
    <row r="2460" spans="1:10" hidden="1" x14ac:dyDescent="0.25">
      <c r="A2460" s="174"/>
      <c r="B2460" s="177"/>
      <c r="C2460" s="39"/>
      <c r="D2460" s="39"/>
      <c r="E2460" s="40"/>
      <c r="F2460" s="55" t="s">
        <v>13</v>
      </c>
      <c r="G2460" s="41" t="str">
        <f>IF(ISNUMBER(F2460),E2460*F2460,"")</f>
        <v/>
      </c>
      <c r="H2460" s="42"/>
      <c r="I2460" s="38"/>
      <c r="J2460" s="37">
        <v>0</v>
      </c>
    </row>
    <row r="2461" spans="1:10" ht="25.5" hidden="1" x14ac:dyDescent="0.25">
      <c r="A2461" s="174"/>
      <c r="B2461" s="177"/>
      <c r="C2461" s="43" t="s">
        <v>597</v>
      </c>
      <c r="D2461" s="43" t="s">
        <v>87</v>
      </c>
      <c r="E2461" s="44">
        <v>1</v>
      </c>
      <c r="F2461" s="41" t="s">
        <v>13</v>
      </c>
      <c r="G2461" s="41" t="str">
        <f>IF(ISNUMBER(F2461),E2461*F2461,"")</f>
        <v/>
      </c>
      <c r="H2461" s="46">
        <f>SUM(G2461:G2464)</f>
        <v>56.162071500000003</v>
      </c>
      <c r="I2461" s="47"/>
      <c r="J2461" s="37">
        <v>0</v>
      </c>
    </row>
    <row r="2462" spans="1:10" hidden="1" x14ac:dyDescent="0.25">
      <c r="A2462" s="174"/>
      <c r="B2462" s="177"/>
      <c r="C2462" s="43" t="s">
        <v>10983</v>
      </c>
      <c r="D2462" s="43" t="s">
        <v>83</v>
      </c>
      <c r="E2462" s="44">
        <v>1</v>
      </c>
      <c r="F2462" s="41">
        <v>44.536000000000001</v>
      </c>
      <c r="G2462" s="41">
        <f>IF(ISNUMBER(F2462),E2462*F2462,"")</f>
        <v>44.536000000000001</v>
      </c>
      <c r="H2462" s="42"/>
      <c r="I2462" s="38"/>
      <c r="J2462" s="37">
        <v>0</v>
      </c>
    </row>
    <row r="2463" spans="1:10" hidden="1" x14ac:dyDescent="0.25">
      <c r="A2463" s="174"/>
      <c r="B2463" s="177"/>
      <c r="C2463" s="43" t="s">
        <v>10762</v>
      </c>
      <c r="D2463" s="43" t="s">
        <v>2800</v>
      </c>
      <c r="E2463" s="44">
        <v>0.20619999999999999</v>
      </c>
      <c r="F2463" s="38">
        <v>24.946999999999999</v>
      </c>
      <c r="G2463" s="41">
        <f>IF(ISNUMBER(F2463),E2463*F2463,"")</f>
        <v>5.1440713999999996</v>
      </c>
      <c r="H2463" s="42"/>
      <c r="I2463" s="38"/>
      <c r="J2463" s="37">
        <v>0</v>
      </c>
    </row>
    <row r="2464" spans="1:10" hidden="1" x14ac:dyDescent="0.25">
      <c r="A2464" s="174"/>
      <c r="B2464" s="177"/>
      <c r="C2464" s="43" t="s">
        <v>10763</v>
      </c>
      <c r="D2464" s="43" t="s">
        <v>2800</v>
      </c>
      <c r="E2464" s="44">
        <v>0.20619999999999999</v>
      </c>
      <c r="F2464" s="38">
        <v>31.435500000000001</v>
      </c>
      <c r="G2464" s="41">
        <f>IF(ISNUMBER(F2464),E2464*F2464,"")</f>
        <v>6.4820001000000005</v>
      </c>
      <c r="H2464" s="42"/>
      <c r="I2464" s="38"/>
      <c r="J2464" s="37">
        <v>0</v>
      </c>
    </row>
    <row r="2465" spans="1:10" ht="15.75" hidden="1" thickBot="1" x14ac:dyDescent="0.3">
      <c r="A2465" s="175"/>
      <c r="B2465" s="178"/>
      <c r="C2465" s="49"/>
      <c r="D2465" s="49"/>
      <c r="E2465" s="50"/>
      <c r="F2465" s="51" t="s">
        <v>13</v>
      </c>
      <c r="G2465" s="52" t="str">
        <f>IF(ISNUMBER(F2465),E2465*F2465,"")</f>
        <v/>
      </c>
      <c r="H2465" s="53"/>
      <c r="I2465" s="38"/>
      <c r="J2465" s="37">
        <v>0</v>
      </c>
    </row>
    <row r="2466" spans="1:10" ht="15.75" hidden="1" thickBot="1" x14ac:dyDescent="0.3">
      <c r="A2466" s="173" t="s">
        <v>598</v>
      </c>
      <c r="B2466" s="176" t="s">
        <v>3380</v>
      </c>
      <c r="C2466" s="31"/>
      <c r="D2466" s="32" t="s">
        <v>18</v>
      </c>
      <c r="E2466" s="33"/>
      <c r="F2466" s="54" t="s">
        <v>13</v>
      </c>
      <c r="G2466" s="34" t="str">
        <f>IF(ISNUMBER(F2466),E2466*F2466,"")</f>
        <v/>
      </c>
      <c r="H2466" s="35"/>
      <c r="I2466" s="36"/>
      <c r="J2466" s="37">
        <v>0</v>
      </c>
    </row>
    <row r="2467" spans="1:10" hidden="1" x14ac:dyDescent="0.25">
      <c r="A2467" s="174"/>
      <c r="B2467" s="177"/>
      <c r="C2467" s="39"/>
      <c r="D2467" s="39"/>
      <c r="E2467" s="40"/>
      <c r="F2467" s="55" t="s">
        <v>13</v>
      </c>
      <c r="G2467" s="41" t="str">
        <f>IF(ISNUMBER(F2467),E2467*F2467,"")</f>
        <v/>
      </c>
      <c r="H2467" s="42"/>
      <c r="I2467" s="38"/>
      <c r="J2467" s="37">
        <v>0</v>
      </c>
    </row>
    <row r="2468" spans="1:10" ht="25.5" hidden="1" x14ac:dyDescent="0.25">
      <c r="A2468" s="174"/>
      <c r="B2468" s="177"/>
      <c r="C2468" s="43" t="s">
        <v>10829</v>
      </c>
      <c r="D2468" s="43" t="s">
        <v>2800</v>
      </c>
      <c r="E2468" s="44">
        <v>3.5</v>
      </c>
      <c r="F2468" s="38">
        <v>24.4435</v>
      </c>
      <c r="G2468" s="41">
        <f>IF(ISNUMBER(F2468),E2468*F2468,"")</f>
        <v>85.552250000000001</v>
      </c>
      <c r="H2468" s="46">
        <f>SUM(G2468:G2470)</f>
        <v>181.14600000000002</v>
      </c>
      <c r="I2468" s="47"/>
      <c r="J2468" s="37">
        <v>0</v>
      </c>
    </row>
    <row r="2469" spans="1:10" ht="25.5" hidden="1" x14ac:dyDescent="0.25">
      <c r="A2469" s="174"/>
      <c r="B2469" s="177"/>
      <c r="C2469" s="43" t="s">
        <v>10832</v>
      </c>
      <c r="D2469" s="43" t="s">
        <v>2800</v>
      </c>
      <c r="E2469" s="44">
        <v>3.5</v>
      </c>
      <c r="F2469" s="38">
        <v>27.3125</v>
      </c>
      <c r="G2469" s="41">
        <f>IF(ISNUMBER(F2469),E2469*F2469,"")</f>
        <v>95.59375</v>
      </c>
      <c r="H2469" s="42"/>
      <c r="I2469" s="38"/>
      <c r="J2469" s="37">
        <v>0</v>
      </c>
    </row>
    <row r="2470" spans="1:10" ht="25.5" hidden="1" x14ac:dyDescent="0.25">
      <c r="A2470" s="174"/>
      <c r="B2470" s="177"/>
      <c r="C2470" s="43" t="s">
        <v>599</v>
      </c>
      <c r="D2470" s="43" t="s">
        <v>87</v>
      </c>
      <c r="E2470" s="44">
        <v>1</v>
      </c>
      <c r="F2470" s="41" t="s">
        <v>13</v>
      </c>
      <c r="G2470" s="41" t="str">
        <f>IF(ISNUMBER(F2470),E2470*F2470,"")</f>
        <v/>
      </c>
      <c r="H2470" s="42"/>
      <c r="I2470" s="38"/>
      <c r="J2470" s="37">
        <v>0</v>
      </c>
    </row>
    <row r="2471" spans="1:10" ht="15.75" hidden="1" thickBot="1" x14ac:dyDescent="0.3">
      <c r="A2471" s="175"/>
      <c r="B2471" s="178"/>
      <c r="C2471" s="49"/>
      <c r="D2471" s="49"/>
      <c r="E2471" s="50"/>
      <c r="F2471" s="51" t="s">
        <v>13</v>
      </c>
      <c r="G2471" s="52" t="str">
        <f>IF(ISNUMBER(F2471),E2471*F2471,"")</f>
        <v/>
      </c>
      <c r="H2471" s="53"/>
      <c r="I2471" s="38"/>
      <c r="J2471" s="37">
        <v>0</v>
      </c>
    </row>
    <row r="2472" spans="1:10" ht="15.75" hidden="1" thickBot="1" x14ac:dyDescent="0.3">
      <c r="A2472" s="173" t="s">
        <v>600</v>
      </c>
      <c r="B2472" s="176" t="s">
        <v>3432</v>
      </c>
      <c r="C2472" s="31"/>
      <c r="D2472" s="32" t="s">
        <v>18</v>
      </c>
      <c r="E2472" s="33"/>
      <c r="F2472" s="54" t="s">
        <v>13</v>
      </c>
      <c r="G2472" s="34" t="str">
        <f>IF(ISNUMBER(F2472),E2472*F2472,"")</f>
        <v/>
      </c>
      <c r="H2472" s="35"/>
      <c r="I2472" s="36"/>
      <c r="J2472" s="37">
        <v>0</v>
      </c>
    </row>
    <row r="2473" spans="1:10" hidden="1" x14ac:dyDescent="0.25">
      <c r="A2473" s="174"/>
      <c r="B2473" s="177"/>
      <c r="C2473" s="39"/>
      <c r="D2473" s="39"/>
      <c r="E2473" s="40"/>
      <c r="F2473" s="55" t="s">
        <v>13</v>
      </c>
      <c r="G2473" s="41" t="str">
        <f>IF(ISNUMBER(F2473),E2473*F2473,"")</f>
        <v/>
      </c>
      <c r="H2473" s="42"/>
      <c r="I2473" s="38"/>
      <c r="J2473" s="37">
        <v>0</v>
      </c>
    </row>
    <row r="2474" spans="1:10" ht="25.5" hidden="1" x14ac:dyDescent="0.25">
      <c r="A2474" s="174"/>
      <c r="B2474" s="177"/>
      <c r="C2474" s="43" t="s">
        <v>10984</v>
      </c>
      <c r="D2474" s="43" t="s">
        <v>83</v>
      </c>
      <c r="E2474" s="44">
        <v>1</v>
      </c>
      <c r="F2474" s="38">
        <v>23.816499999999998</v>
      </c>
      <c r="G2474" s="41">
        <f>IF(ISNUMBER(F2474),E2474*F2474,"")</f>
        <v>23.816499999999998</v>
      </c>
      <c r="H2474" s="46">
        <f>SUM(G2474:G2474)</f>
        <v>23.816499999999998</v>
      </c>
      <c r="I2474" s="47"/>
      <c r="J2474" s="37">
        <v>0</v>
      </c>
    </row>
    <row r="2475" spans="1:10" ht="15.75" hidden="1" thickBot="1" x14ac:dyDescent="0.3">
      <c r="A2475" s="175"/>
      <c r="B2475" s="178"/>
      <c r="C2475" s="49"/>
      <c r="D2475" s="49"/>
      <c r="E2475" s="50"/>
      <c r="F2475" s="51" t="s">
        <v>13</v>
      </c>
      <c r="G2475" s="52" t="str">
        <f>IF(ISNUMBER(F2475),E2475*F2475,"")</f>
        <v/>
      </c>
      <c r="H2475" s="53"/>
      <c r="I2475" s="38"/>
      <c r="J2475" s="37">
        <v>0</v>
      </c>
    </row>
    <row r="2476" spans="1:10" ht="15.75" hidden="1" thickBot="1" x14ac:dyDescent="0.3">
      <c r="A2476" s="173" t="s">
        <v>601</v>
      </c>
      <c r="B2476" s="176" t="s">
        <v>3435</v>
      </c>
      <c r="C2476" s="31"/>
      <c r="D2476" s="32" t="s">
        <v>18</v>
      </c>
      <c r="E2476" s="33"/>
      <c r="F2476" s="54" t="s">
        <v>13</v>
      </c>
      <c r="G2476" s="34" t="str">
        <f>IF(ISNUMBER(F2476),E2476*F2476,"")</f>
        <v/>
      </c>
      <c r="H2476" s="35"/>
      <c r="I2476" s="36"/>
      <c r="J2476" s="37">
        <v>0</v>
      </c>
    </row>
    <row r="2477" spans="1:10" hidden="1" x14ac:dyDescent="0.25">
      <c r="A2477" s="174"/>
      <c r="B2477" s="177"/>
      <c r="C2477" s="39"/>
      <c r="D2477" s="39"/>
      <c r="E2477" s="40"/>
      <c r="F2477" s="55" t="s">
        <v>13</v>
      </c>
      <c r="G2477" s="41" t="str">
        <f>IF(ISNUMBER(F2477),E2477*F2477,"")</f>
        <v/>
      </c>
      <c r="H2477" s="42"/>
      <c r="I2477" s="38"/>
      <c r="J2477" s="37">
        <v>0</v>
      </c>
    </row>
    <row r="2478" spans="1:10" ht="51" hidden="1" x14ac:dyDescent="0.25">
      <c r="A2478" s="174"/>
      <c r="B2478" s="177"/>
      <c r="C2478" s="43" t="s">
        <v>10985</v>
      </c>
      <c r="D2478" s="43" t="s">
        <v>10819</v>
      </c>
      <c r="E2478" s="44">
        <v>1</v>
      </c>
      <c r="F2478" s="38">
        <v>75.201999999999998</v>
      </c>
      <c r="G2478" s="41">
        <f>IF(ISNUMBER(F2478),E2478*F2478,"")</f>
        <v>75.201999999999998</v>
      </c>
      <c r="H2478" s="46">
        <f>SUM(G2478:G2478)</f>
        <v>75.201999999999998</v>
      </c>
      <c r="I2478" s="47"/>
      <c r="J2478" s="37">
        <v>0</v>
      </c>
    </row>
    <row r="2479" spans="1:10" ht="15.75" hidden="1" thickBot="1" x14ac:dyDescent="0.3">
      <c r="A2479" s="175"/>
      <c r="B2479" s="178"/>
      <c r="C2479" s="49"/>
      <c r="D2479" s="49"/>
      <c r="E2479" s="50"/>
      <c r="F2479" s="51" t="s">
        <v>13</v>
      </c>
      <c r="G2479" s="52" t="str">
        <f>IF(ISNUMBER(F2479),E2479*F2479,"")</f>
        <v/>
      </c>
      <c r="H2479" s="53"/>
      <c r="I2479" s="38"/>
      <c r="J2479" s="37">
        <v>0</v>
      </c>
    </row>
    <row r="2480" spans="1:10" ht="15.75" hidden="1" thickBot="1" x14ac:dyDescent="0.3">
      <c r="A2480" s="173" t="s">
        <v>602</v>
      </c>
      <c r="B2480" s="176" t="s">
        <v>3436</v>
      </c>
      <c r="C2480" s="31"/>
      <c r="D2480" s="32" t="s">
        <v>18</v>
      </c>
      <c r="E2480" s="33"/>
      <c r="F2480" s="54" t="s">
        <v>13</v>
      </c>
      <c r="G2480" s="34" t="str">
        <f>IF(ISNUMBER(F2480),E2480*F2480,"")</f>
        <v/>
      </c>
      <c r="H2480" s="35"/>
      <c r="I2480" s="36"/>
      <c r="J2480" s="37">
        <v>0</v>
      </c>
    </row>
    <row r="2481" spans="1:10" hidden="1" x14ac:dyDescent="0.25">
      <c r="A2481" s="174"/>
      <c r="B2481" s="177"/>
      <c r="C2481" s="39"/>
      <c r="D2481" s="39"/>
      <c r="E2481" s="40"/>
      <c r="F2481" s="55" t="s">
        <v>13</v>
      </c>
      <c r="G2481" s="41" t="str">
        <f>IF(ISNUMBER(F2481),E2481*F2481,"")</f>
        <v/>
      </c>
      <c r="H2481" s="42"/>
      <c r="I2481" s="38"/>
      <c r="J2481" s="37">
        <v>0</v>
      </c>
    </row>
    <row r="2482" spans="1:10" ht="51" hidden="1" x14ac:dyDescent="0.25">
      <c r="A2482" s="174"/>
      <c r="B2482" s="177"/>
      <c r="C2482" s="43" t="s">
        <v>10986</v>
      </c>
      <c r="D2482" s="43" t="s">
        <v>10819</v>
      </c>
      <c r="E2482" s="44">
        <v>1</v>
      </c>
      <c r="F2482" s="38">
        <v>97.73599999999999</v>
      </c>
      <c r="G2482" s="41">
        <f>IF(ISNUMBER(F2482),E2482*F2482,"")</f>
        <v>97.73599999999999</v>
      </c>
      <c r="H2482" s="46">
        <f>SUM(G2482:G2482)</f>
        <v>97.73599999999999</v>
      </c>
      <c r="I2482" s="47"/>
      <c r="J2482" s="37">
        <v>0</v>
      </c>
    </row>
    <row r="2483" spans="1:10" ht="15.75" hidden="1" thickBot="1" x14ac:dyDescent="0.3">
      <c r="A2483" s="175"/>
      <c r="B2483" s="178"/>
      <c r="C2483" s="49"/>
      <c r="D2483" s="49"/>
      <c r="E2483" s="50"/>
      <c r="F2483" s="51" t="s">
        <v>13</v>
      </c>
      <c r="G2483" s="52" t="str">
        <f>IF(ISNUMBER(F2483),E2483*F2483,"")</f>
        <v/>
      </c>
      <c r="H2483" s="53"/>
      <c r="I2483" s="38"/>
      <c r="J2483" s="37">
        <v>0</v>
      </c>
    </row>
    <row r="2484" spans="1:10" ht="15.75" hidden="1" thickBot="1" x14ac:dyDescent="0.3">
      <c r="A2484" s="173" t="s">
        <v>603</v>
      </c>
      <c r="B2484" s="176" t="s">
        <v>3437</v>
      </c>
      <c r="C2484" s="31"/>
      <c r="D2484" s="32" t="s">
        <v>18</v>
      </c>
      <c r="E2484" s="33"/>
      <c r="F2484" s="54" t="s">
        <v>13</v>
      </c>
      <c r="G2484" s="34" t="str">
        <f>IF(ISNUMBER(F2484),E2484*F2484,"")</f>
        <v/>
      </c>
      <c r="H2484" s="35"/>
      <c r="I2484" s="36"/>
      <c r="J2484" s="37">
        <v>0</v>
      </c>
    </row>
    <row r="2485" spans="1:10" hidden="1" x14ac:dyDescent="0.25">
      <c r="A2485" s="174"/>
      <c r="B2485" s="177"/>
      <c r="C2485" s="39"/>
      <c r="D2485" s="39"/>
      <c r="E2485" s="40"/>
      <c r="F2485" s="55" t="s">
        <v>13</v>
      </c>
      <c r="G2485" s="41" t="str">
        <f>IF(ISNUMBER(F2485),E2485*F2485,"")</f>
        <v/>
      </c>
      <c r="H2485" s="42"/>
      <c r="I2485" s="38"/>
      <c r="J2485" s="37">
        <v>0</v>
      </c>
    </row>
    <row r="2486" spans="1:10" ht="51" hidden="1" x14ac:dyDescent="0.25">
      <c r="A2486" s="174"/>
      <c r="B2486" s="177"/>
      <c r="C2486" s="43" t="s">
        <v>10987</v>
      </c>
      <c r="D2486" s="43" t="s">
        <v>10819</v>
      </c>
      <c r="E2486" s="44">
        <v>1</v>
      </c>
      <c r="F2486" s="38">
        <v>59.137499999999996</v>
      </c>
      <c r="G2486" s="41">
        <f>IF(ISNUMBER(F2486),E2486*F2486,"")</f>
        <v>59.137499999999996</v>
      </c>
      <c r="H2486" s="46">
        <f>SUM(G2486:G2486)</f>
        <v>59.137499999999996</v>
      </c>
      <c r="I2486" s="47"/>
      <c r="J2486" s="37">
        <v>0</v>
      </c>
    </row>
    <row r="2487" spans="1:10" ht="15.75" hidden="1" thickBot="1" x14ac:dyDescent="0.3">
      <c r="A2487" s="175"/>
      <c r="B2487" s="178"/>
      <c r="C2487" s="49"/>
      <c r="D2487" s="49"/>
      <c r="E2487" s="50"/>
      <c r="F2487" s="51" t="s">
        <v>13</v>
      </c>
      <c r="G2487" s="52" t="str">
        <f>IF(ISNUMBER(F2487),E2487*F2487,"")</f>
        <v/>
      </c>
      <c r="H2487" s="53"/>
      <c r="I2487" s="38"/>
      <c r="J2487" s="37">
        <v>0</v>
      </c>
    </row>
    <row r="2488" spans="1:10" ht="15.75" hidden="1" thickBot="1" x14ac:dyDescent="0.3">
      <c r="A2488" s="173" t="s">
        <v>604</v>
      </c>
      <c r="B2488" s="176" t="s">
        <v>3440</v>
      </c>
      <c r="C2488" s="31"/>
      <c r="D2488" s="32" t="s">
        <v>18</v>
      </c>
      <c r="E2488" s="33"/>
      <c r="F2488" s="54" t="s">
        <v>13</v>
      </c>
      <c r="G2488" s="34" t="str">
        <f>IF(ISNUMBER(F2488),E2488*F2488,"")</f>
        <v/>
      </c>
      <c r="H2488" s="35"/>
      <c r="I2488" s="36"/>
      <c r="J2488" s="37">
        <v>0</v>
      </c>
    </row>
    <row r="2489" spans="1:10" hidden="1" x14ac:dyDescent="0.25">
      <c r="A2489" s="174"/>
      <c r="B2489" s="177"/>
      <c r="C2489" s="39"/>
      <c r="D2489" s="39"/>
      <c r="E2489" s="40"/>
      <c r="F2489" s="55" t="s">
        <v>13</v>
      </c>
      <c r="G2489" s="41" t="str">
        <f>IF(ISNUMBER(F2489),E2489*F2489,"")</f>
        <v/>
      </c>
      <c r="H2489" s="42"/>
      <c r="I2489" s="38"/>
      <c r="J2489" s="37">
        <v>0</v>
      </c>
    </row>
    <row r="2490" spans="1:10" ht="25.5" hidden="1" x14ac:dyDescent="0.25">
      <c r="A2490" s="174"/>
      <c r="B2490" s="177"/>
      <c r="C2490" s="43" t="s">
        <v>10988</v>
      </c>
      <c r="D2490" s="43" t="s">
        <v>83</v>
      </c>
      <c r="E2490" s="44">
        <v>1</v>
      </c>
      <c r="F2490" s="38">
        <v>43.481500000000004</v>
      </c>
      <c r="G2490" s="41">
        <f>IF(ISNUMBER(F2490),E2490*F2490,"")</f>
        <v>43.481500000000004</v>
      </c>
      <c r="H2490" s="46">
        <f>SUM(G2490:G2490)</f>
        <v>43.481500000000004</v>
      </c>
      <c r="I2490" s="47"/>
      <c r="J2490" s="37">
        <v>0</v>
      </c>
    </row>
    <row r="2491" spans="1:10" ht="15.75" hidden="1" thickBot="1" x14ac:dyDescent="0.3">
      <c r="A2491" s="175"/>
      <c r="B2491" s="178"/>
      <c r="C2491" s="49"/>
      <c r="D2491" s="49"/>
      <c r="E2491" s="50"/>
      <c r="F2491" s="51" t="s">
        <v>13</v>
      </c>
      <c r="G2491" s="52" t="str">
        <f>IF(ISNUMBER(F2491),E2491*F2491,"")</f>
        <v/>
      </c>
      <c r="H2491" s="53"/>
      <c r="I2491" s="38"/>
      <c r="J2491" s="37">
        <v>0</v>
      </c>
    </row>
    <row r="2492" spans="1:10" ht="15.75" hidden="1" thickBot="1" x14ac:dyDescent="0.3">
      <c r="A2492" s="173" t="s">
        <v>605</v>
      </c>
      <c r="B2492" s="176" t="s">
        <v>3445</v>
      </c>
      <c r="C2492" s="31"/>
      <c r="D2492" s="32" t="s">
        <v>18</v>
      </c>
      <c r="E2492" s="33"/>
      <c r="F2492" s="54" t="s">
        <v>13</v>
      </c>
      <c r="G2492" s="34" t="str">
        <f>IF(ISNUMBER(F2492),E2492*F2492,"")</f>
        <v/>
      </c>
      <c r="H2492" s="35"/>
      <c r="I2492" s="36"/>
      <c r="J2492" s="37">
        <v>0</v>
      </c>
    </row>
    <row r="2493" spans="1:10" hidden="1" x14ac:dyDescent="0.25">
      <c r="A2493" s="174"/>
      <c r="B2493" s="177"/>
      <c r="C2493" s="39"/>
      <c r="D2493" s="39"/>
      <c r="E2493" s="40"/>
      <c r="F2493" s="55" t="s">
        <v>13</v>
      </c>
      <c r="G2493" s="41" t="str">
        <f>IF(ISNUMBER(F2493),E2493*F2493,"")</f>
        <v/>
      </c>
      <c r="H2493" s="42"/>
      <c r="I2493" s="38"/>
      <c r="J2493" s="37">
        <v>0</v>
      </c>
    </row>
    <row r="2494" spans="1:10" ht="38.25" hidden="1" x14ac:dyDescent="0.25">
      <c r="A2494" s="174"/>
      <c r="B2494" s="177"/>
      <c r="C2494" s="43" t="s">
        <v>10989</v>
      </c>
      <c r="D2494" s="43" t="s">
        <v>83</v>
      </c>
      <c r="E2494" s="44">
        <v>1</v>
      </c>
      <c r="F2494" s="38">
        <v>14.858000000000001</v>
      </c>
      <c r="G2494" s="41">
        <f>IF(ISNUMBER(F2494),E2494*F2494,"")</f>
        <v>14.858000000000001</v>
      </c>
      <c r="H2494" s="46">
        <f>SUM(G2494:G2494)</f>
        <v>14.858000000000001</v>
      </c>
      <c r="I2494" s="47"/>
      <c r="J2494" s="37">
        <v>0</v>
      </c>
    </row>
    <row r="2495" spans="1:10" ht="39" hidden="1" thickBot="1" x14ac:dyDescent="0.3">
      <c r="A2495" s="175"/>
      <c r="B2495" s="178"/>
      <c r="C2495" s="49" t="s">
        <v>606</v>
      </c>
      <c r="D2495" s="49"/>
      <c r="E2495" s="50"/>
      <c r="F2495" s="51" t="s">
        <v>13</v>
      </c>
      <c r="G2495" s="52" t="str">
        <f>IF(ISNUMBER(F2495),E2495*F2495,"")</f>
        <v/>
      </c>
      <c r="H2495" s="53"/>
      <c r="I2495" s="38"/>
      <c r="J2495" s="37">
        <v>0</v>
      </c>
    </row>
    <row r="2496" spans="1:10" ht="15.75" hidden="1" thickBot="1" x14ac:dyDescent="0.3">
      <c r="A2496" s="173" t="s">
        <v>607</v>
      </c>
      <c r="B2496" s="176" t="s">
        <v>3446</v>
      </c>
      <c r="C2496" s="31"/>
      <c r="D2496" s="32" t="s">
        <v>18</v>
      </c>
      <c r="E2496" s="33"/>
      <c r="F2496" s="54" t="s">
        <v>13</v>
      </c>
      <c r="G2496" s="34" t="str">
        <f>IF(ISNUMBER(F2496),E2496*F2496,"")</f>
        <v/>
      </c>
      <c r="H2496" s="35"/>
      <c r="I2496" s="36"/>
      <c r="J2496" s="37">
        <v>0</v>
      </c>
    </row>
    <row r="2497" spans="1:10" hidden="1" x14ac:dyDescent="0.25">
      <c r="A2497" s="174"/>
      <c r="B2497" s="177"/>
      <c r="C2497" s="39"/>
      <c r="D2497" s="39"/>
      <c r="E2497" s="40"/>
      <c r="F2497" s="55" t="s">
        <v>13</v>
      </c>
      <c r="G2497" s="41" t="str">
        <f>IF(ISNUMBER(F2497),E2497*F2497,"")</f>
        <v/>
      </c>
      <c r="H2497" s="42"/>
      <c r="I2497" s="38"/>
      <c r="J2497" s="37">
        <v>0</v>
      </c>
    </row>
    <row r="2498" spans="1:10" ht="51" hidden="1" x14ac:dyDescent="0.25">
      <c r="A2498" s="174"/>
      <c r="B2498" s="177"/>
      <c r="C2498" s="43" t="s">
        <v>10990</v>
      </c>
      <c r="D2498" s="43" t="s">
        <v>83</v>
      </c>
      <c r="E2498" s="44">
        <v>1</v>
      </c>
      <c r="F2498" s="38">
        <v>14.8485</v>
      </c>
      <c r="G2498" s="41">
        <f>IF(ISNUMBER(F2498),E2498*F2498,"")</f>
        <v>14.8485</v>
      </c>
      <c r="H2498" s="46">
        <f>SUM(G2498:G2498)</f>
        <v>14.8485</v>
      </c>
      <c r="I2498" s="47"/>
      <c r="J2498" s="37">
        <v>0</v>
      </c>
    </row>
    <row r="2499" spans="1:10" ht="15.75" hidden="1" thickBot="1" x14ac:dyDescent="0.3">
      <c r="A2499" s="175"/>
      <c r="B2499" s="178"/>
      <c r="C2499" s="49"/>
      <c r="D2499" s="49"/>
      <c r="E2499" s="50"/>
      <c r="F2499" s="51" t="s">
        <v>13</v>
      </c>
      <c r="G2499" s="52" t="str">
        <f>IF(ISNUMBER(F2499),E2499*F2499,"")</f>
        <v/>
      </c>
      <c r="H2499" s="53"/>
      <c r="I2499" s="38"/>
      <c r="J2499" s="37">
        <v>0</v>
      </c>
    </row>
    <row r="2500" spans="1:10" ht="15.75" hidden="1" thickBot="1" x14ac:dyDescent="0.3">
      <c r="A2500" s="173" t="s">
        <v>608</v>
      </c>
      <c r="B2500" s="176" t="s">
        <v>3447</v>
      </c>
      <c r="C2500" s="31"/>
      <c r="D2500" s="32" t="s">
        <v>18</v>
      </c>
      <c r="E2500" s="33"/>
      <c r="F2500" s="54" t="s">
        <v>13</v>
      </c>
      <c r="G2500" s="34" t="str">
        <f>IF(ISNUMBER(F2500),E2500*F2500,"")</f>
        <v/>
      </c>
      <c r="H2500" s="35"/>
      <c r="I2500" s="36"/>
      <c r="J2500" s="37">
        <v>0</v>
      </c>
    </row>
    <row r="2501" spans="1:10" hidden="1" x14ac:dyDescent="0.25">
      <c r="A2501" s="174"/>
      <c r="B2501" s="177"/>
      <c r="C2501" s="39"/>
      <c r="D2501" s="39"/>
      <c r="E2501" s="40"/>
      <c r="F2501" s="55" t="s">
        <v>13</v>
      </c>
      <c r="G2501" s="41" t="str">
        <f>IF(ISNUMBER(F2501),E2501*F2501,"")</f>
        <v/>
      </c>
      <c r="H2501" s="42"/>
      <c r="I2501" s="38"/>
      <c r="J2501" s="37">
        <v>0</v>
      </c>
    </row>
    <row r="2502" spans="1:10" ht="51" hidden="1" x14ac:dyDescent="0.25">
      <c r="A2502" s="174"/>
      <c r="B2502" s="177"/>
      <c r="C2502" s="43" t="s">
        <v>10990</v>
      </c>
      <c r="D2502" s="43" t="s">
        <v>83</v>
      </c>
      <c r="E2502" s="44">
        <v>1</v>
      </c>
      <c r="F2502" s="38">
        <v>14.8485</v>
      </c>
      <c r="G2502" s="41">
        <f>IF(ISNUMBER(F2502),E2502*F2502,"")</f>
        <v>14.8485</v>
      </c>
      <c r="H2502" s="46">
        <f>SUM(G2502:G2502)</f>
        <v>14.8485</v>
      </c>
      <c r="I2502" s="47"/>
      <c r="J2502" s="37">
        <v>0</v>
      </c>
    </row>
    <row r="2503" spans="1:10" ht="15.75" hidden="1" thickBot="1" x14ac:dyDescent="0.3">
      <c r="A2503" s="175"/>
      <c r="B2503" s="178"/>
      <c r="C2503" s="49"/>
      <c r="D2503" s="49"/>
      <c r="E2503" s="50"/>
      <c r="F2503" s="51" t="s">
        <v>13</v>
      </c>
      <c r="G2503" s="52" t="str">
        <f>IF(ISNUMBER(F2503),E2503*F2503,"")</f>
        <v/>
      </c>
      <c r="H2503" s="53"/>
      <c r="I2503" s="38"/>
      <c r="J2503" s="37">
        <v>0</v>
      </c>
    </row>
    <row r="2504" spans="1:10" ht="15.75" hidden="1" thickBot="1" x14ac:dyDescent="0.3">
      <c r="A2504" s="173" t="s">
        <v>609</v>
      </c>
      <c r="B2504" s="176" t="s">
        <v>3501</v>
      </c>
      <c r="C2504" s="31"/>
      <c r="D2504" s="32" t="s">
        <v>18</v>
      </c>
      <c r="E2504" s="33"/>
      <c r="F2504" s="54" t="s">
        <v>13</v>
      </c>
      <c r="G2504" s="34" t="str">
        <f>IF(ISNUMBER(F2504),E2504*F2504,"")</f>
        <v/>
      </c>
      <c r="H2504" s="35"/>
      <c r="I2504" s="36"/>
      <c r="J2504" s="37">
        <v>0</v>
      </c>
    </row>
    <row r="2505" spans="1:10" hidden="1" x14ac:dyDescent="0.25">
      <c r="A2505" s="174"/>
      <c r="B2505" s="177"/>
      <c r="C2505" s="39"/>
      <c r="D2505" s="39"/>
      <c r="E2505" s="40"/>
      <c r="F2505" s="55" t="s">
        <v>13</v>
      </c>
      <c r="G2505" s="41" t="str">
        <f>IF(ISNUMBER(F2505),E2505*F2505,"")</f>
        <v/>
      </c>
      <c r="H2505" s="42"/>
      <c r="I2505" s="38"/>
      <c r="J2505" s="37">
        <v>0</v>
      </c>
    </row>
    <row r="2506" spans="1:10" ht="38.25" hidden="1" x14ac:dyDescent="0.25">
      <c r="A2506" s="174"/>
      <c r="B2506" s="177"/>
      <c r="C2506" s="43" t="s">
        <v>10991</v>
      </c>
      <c r="D2506" s="43" t="s">
        <v>83</v>
      </c>
      <c r="E2506" s="44">
        <v>1</v>
      </c>
      <c r="F2506" s="38">
        <v>19.256499999999999</v>
      </c>
      <c r="G2506" s="41">
        <f>IF(ISNUMBER(F2506),E2506*F2506,"")</f>
        <v>19.256499999999999</v>
      </c>
      <c r="H2506" s="46">
        <f>SUM(G2506:G2506)</f>
        <v>19.256499999999999</v>
      </c>
      <c r="I2506" s="47"/>
      <c r="J2506" s="37">
        <v>0</v>
      </c>
    </row>
    <row r="2507" spans="1:10" ht="15.75" hidden="1" thickBot="1" x14ac:dyDescent="0.3">
      <c r="A2507" s="175"/>
      <c r="B2507" s="178"/>
      <c r="C2507" s="49"/>
      <c r="D2507" s="49"/>
      <c r="E2507" s="50"/>
      <c r="F2507" s="51" t="s">
        <v>13</v>
      </c>
      <c r="G2507" s="52" t="str">
        <f>IF(ISNUMBER(F2507),E2507*F2507,"")</f>
        <v/>
      </c>
      <c r="H2507" s="53"/>
      <c r="I2507" s="38"/>
      <c r="J2507" s="37">
        <v>0</v>
      </c>
    </row>
    <row r="2508" spans="1:10" ht="15.75" hidden="1" thickBot="1" x14ac:dyDescent="0.3">
      <c r="A2508" s="173" t="s">
        <v>610</v>
      </c>
      <c r="B2508" s="176" t="s">
        <v>3548</v>
      </c>
      <c r="C2508" s="31"/>
      <c r="D2508" s="32" t="s">
        <v>3549</v>
      </c>
      <c r="E2508" s="33"/>
      <c r="F2508" s="54" t="s">
        <v>13</v>
      </c>
      <c r="G2508" s="34" t="str">
        <f>IF(ISNUMBER(F2508),E2508*F2508,"")</f>
        <v/>
      </c>
      <c r="H2508" s="35"/>
      <c r="I2508" s="36"/>
      <c r="J2508" s="37">
        <v>0</v>
      </c>
    </row>
    <row r="2509" spans="1:10" hidden="1" x14ac:dyDescent="0.25">
      <c r="A2509" s="174"/>
      <c r="B2509" s="177"/>
      <c r="C2509" s="39"/>
      <c r="D2509" s="39"/>
      <c r="E2509" s="40"/>
      <c r="F2509" s="55" t="s">
        <v>13</v>
      </c>
      <c r="G2509" s="41" t="str">
        <f>IF(ISNUMBER(F2509),E2509*F2509,"")</f>
        <v/>
      </c>
      <c r="H2509" s="42"/>
      <c r="I2509" s="38"/>
      <c r="J2509" s="37">
        <v>0</v>
      </c>
    </row>
    <row r="2510" spans="1:10" ht="25.5" hidden="1" x14ac:dyDescent="0.25">
      <c r="A2510" s="174"/>
      <c r="B2510" s="177"/>
      <c r="C2510" s="43" t="s">
        <v>10992</v>
      </c>
      <c r="D2510" s="43" t="s">
        <v>83</v>
      </c>
      <c r="E2510" s="44">
        <v>1</v>
      </c>
      <c r="F2510" s="38">
        <v>21.754999999999999</v>
      </c>
      <c r="G2510" s="41">
        <f>IF(ISNUMBER(F2510),E2510*F2510,"")</f>
        <v>21.754999999999999</v>
      </c>
      <c r="H2510" s="46">
        <f>SUM(G2510:G2510)</f>
        <v>21.754999999999999</v>
      </c>
      <c r="I2510" s="47"/>
      <c r="J2510" s="37">
        <v>0</v>
      </c>
    </row>
    <row r="2511" spans="1:10" ht="15.75" hidden="1" thickBot="1" x14ac:dyDescent="0.3">
      <c r="A2511" s="175"/>
      <c r="B2511" s="178"/>
      <c r="C2511" s="49"/>
      <c r="D2511" s="49"/>
      <c r="E2511" s="50"/>
      <c r="F2511" s="51" t="s">
        <v>13</v>
      </c>
      <c r="G2511" s="52" t="str">
        <f>IF(ISNUMBER(F2511),E2511*F2511,"")</f>
        <v/>
      </c>
      <c r="H2511" s="53"/>
      <c r="I2511" s="38"/>
      <c r="J2511" s="37">
        <v>0</v>
      </c>
    </row>
    <row r="2512" spans="1:10" ht="15.75" hidden="1" thickBot="1" x14ac:dyDescent="0.3">
      <c r="A2512" s="173" t="s">
        <v>611</v>
      </c>
      <c r="B2512" s="176" t="s">
        <v>3550</v>
      </c>
      <c r="C2512" s="31"/>
      <c r="D2512" s="32" t="s">
        <v>72</v>
      </c>
      <c r="E2512" s="33"/>
      <c r="F2512" s="54" t="s">
        <v>13</v>
      </c>
      <c r="G2512" s="34" t="str">
        <f>IF(ISNUMBER(F2512),E2512*F2512,"")</f>
        <v/>
      </c>
      <c r="H2512" s="35"/>
      <c r="I2512" s="36"/>
      <c r="J2512" s="37">
        <v>0</v>
      </c>
    </row>
    <row r="2513" spans="1:10" hidden="1" x14ac:dyDescent="0.25">
      <c r="A2513" s="174"/>
      <c r="B2513" s="177"/>
      <c r="C2513" s="39"/>
      <c r="D2513" s="39"/>
      <c r="E2513" s="40"/>
      <c r="F2513" s="55" t="s">
        <v>13</v>
      </c>
      <c r="G2513" s="41" t="str">
        <f>IF(ISNUMBER(F2513),E2513*F2513,"")</f>
        <v/>
      </c>
      <c r="H2513" s="42"/>
      <c r="I2513" s="38"/>
      <c r="J2513" s="37">
        <v>0</v>
      </c>
    </row>
    <row r="2514" spans="1:10" hidden="1" x14ac:dyDescent="0.25">
      <c r="A2514" s="174"/>
      <c r="B2514" s="177"/>
      <c r="C2514" s="43" t="s">
        <v>10891</v>
      </c>
      <c r="D2514" s="43" t="s">
        <v>1044</v>
      </c>
      <c r="E2514" s="44">
        <v>1</v>
      </c>
      <c r="F2514" s="38">
        <v>50.957999999999998</v>
      </c>
      <c r="G2514" s="41">
        <f>IF(ISNUMBER(F2514),E2514*F2514,"")</f>
        <v>50.957999999999998</v>
      </c>
      <c r="H2514" s="46">
        <f>SUM(G2514:G2514)</f>
        <v>50.957999999999998</v>
      </c>
      <c r="I2514" s="47"/>
      <c r="J2514" s="37">
        <v>0</v>
      </c>
    </row>
    <row r="2515" spans="1:10" ht="15.75" hidden="1" thickBot="1" x14ac:dyDescent="0.3">
      <c r="A2515" s="175"/>
      <c r="B2515" s="178"/>
      <c r="C2515" s="49"/>
      <c r="D2515" s="49"/>
      <c r="E2515" s="50"/>
      <c r="F2515" s="51" t="s">
        <v>13</v>
      </c>
      <c r="G2515" s="52" t="str">
        <f>IF(ISNUMBER(F2515),E2515*F2515,"")</f>
        <v/>
      </c>
      <c r="H2515" s="53"/>
      <c r="I2515" s="38"/>
      <c r="J2515" s="37">
        <v>0</v>
      </c>
    </row>
    <row r="2516" spans="1:10" ht="15.75" hidden="1" thickBot="1" x14ac:dyDescent="0.3">
      <c r="A2516" s="173" t="s">
        <v>612</v>
      </c>
      <c r="B2516" s="176" t="s">
        <v>3553</v>
      </c>
      <c r="C2516" s="31"/>
      <c r="D2516" s="32" t="s">
        <v>68</v>
      </c>
      <c r="E2516" s="33"/>
      <c r="F2516" s="54" t="s">
        <v>13</v>
      </c>
      <c r="G2516" s="34" t="str">
        <f>IF(ISNUMBER(F2516),E2516*F2516,"")</f>
        <v/>
      </c>
      <c r="H2516" s="35"/>
      <c r="I2516" s="36"/>
      <c r="J2516" s="37">
        <v>0</v>
      </c>
    </row>
    <row r="2517" spans="1:10" hidden="1" x14ac:dyDescent="0.25">
      <c r="A2517" s="174"/>
      <c r="B2517" s="177"/>
      <c r="C2517" s="39"/>
      <c r="D2517" s="39"/>
      <c r="E2517" s="40"/>
      <c r="F2517" s="55" t="s">
        <v>13</v>
      </c>
      <c r="G2517" s="41" t="str">
        <f>IF(ISNUMBER(F2517),E2517*F2517,"")</f>
        <v/>
      </c>
      <c r="H2517" s="42"/>
      <c r="I2517" s="38"/>
      <c r="J2517" s="37">
        <v>0</v>
      </c>
    </row>
    <row r="2518" spans="1:10" ht="25.5" hidden="1" x14ac:dyDescent="0.25">
      <c r="A2518" s="174"/>
      <c r="B2518" s="177"/>
      <c r="C2518" s="43" t="s">
        <v>10993</v>
      </c>
      <c r="D2518" s="43" t="s">
        <v>162</v>
      </c>
      <c r="E2518" s="44">
        <v>1</v>
      </c>
      <c r="F2518" s="38">
        <v>40.945</v>
      </c>
      <c r="G2518" s="41">
        <f>IF(ISNUMBER(F2518),E2518*F2518,"")</f>
        <v>40.945</v>
      </c>
      <c r="H2518" s="46">
        <f>SUM(G2518:G2518)</f>
        <v>40.945</v>
      </c>
      <c r="I2518" s="47"/>
      <c r="J2518" s="37">
        <v>0</v>
      </c>
    </row>
    <row r="2519" spans="1:10" ht="15.75" hidden="1" thickBot="1" x14ac:dyDescent="0.3">
      <c r="A2519" s="175"/>
      <c r="B2519" s="178"/>
      <c r="C2519" s="49"/>
      <c r="D2519" s="49"/>
      <c r="E2519" s="50"/>
      <c r="F2519" s="51" t="s">
        <v>13</v>
      </c>
      <c r="G2519" s="52" t="str">
        <f>IF(ISNUMBER(F2519),E2519*F2519,"")</f>
        <v/>
      </c>
      <c r="H2519" s="53"/>
      <c r="I2519" s="38"/>
      <c r="J2519" s="37">
        <v>0</v>
      </c>
    </row>
    <row r="2520" spans="1:10" ht="15.75" hidden="1" thickBot="1" x14ac:dyDescent="0.3">
      <c r="A2520" s="173" t="s">
        <v>613</v>
      </c>
      <c r="B2520" s="176" t="s">
        <v>3554</v>
      </c>
      <c r="C2520" s="31"/>
      <c r="D2520" s="32" t="s">
        <v>68</v>
      </c>
      <c r="E2520" s="33"/>
      <c r="F2520" s="54" t="s">
        <v>13</v>
      </c>
      <c r="G2520" s="34" t="str">
        <f>IF(ISNUMBER(F2520),E2520*F2520,"")</f>
        <v/>
      </c>
      <c r="H2520" s="35"/>
      <c r="I2520" s="36"/>
      <c r="J2520" s="37">
        <v>0</v>
      </c>
    </row>
    <row r="2521" spans="1:10" hidden="1" x14ac:dyDescent="0.25">
      <c r="A2521" s="174"/>
      <c r="B2521" s="177"/>
      <c r="C2521" s="39"/>
      <c r="D2521" s="39"/>
      <c r="E2521" s="40"/>
      <c r="F2521" s="55" t="s">
        <v>13</v>
      </c>
      <c r="G2521" s="41" t="str">
        <f>IF(ISNUMBER(F2521),E2521*F2521,"")</f>
        <v/>
      </c>
      <c r="H2521" s="42"/>
      <c r="I2521" s="38"/>
      <c r="J2521" s="37">
        <v>0</v>
      </c>
    </row>
    <row r="2522" spans="1:10" ht="25.5" hidden="1" x14ac:dyDescent="0.25">
      <c r="A2522" s="174"/>
      <c r="B2522" s="177"/>
      <c r="C2522" s="43" t="s">
        <v>10993</v>
      </c>
      <c r="D2522" s="43" t="s">
        <v>162</v>
      </c>
      <c r="E2522" s="44">
        <v>1</v>
      </c>
      <c r="F2522" s="38">
        <v>40.945</v>
      </c>
      <c r="G2522" s="41">
        <f>IF(ISNUMBER(F2522),E2522*F2522,"")</f>
        <v>40.945</v>
      </c>
      <c r="H2522" s="46">
        <f>SUM(G2522:G2522)</f>
        <v>40.945</v>
      </c>
      <c r="I2522" s="47"/>
      <c r="J2522" s="37">
        <v>0</v>
      </c>
    </row>
    <row r="2523" spans="1:10" ht="15.75" hidden="1" thickBot="1" x14ac:dyDescent="0.3">
      <c r="A2523" s="175"/>
      <c r="B2523" s="178"/>
      <c r="C2523" s="49"/>
      <c r="D2523" s="49"/>
      <c r="E2523" s="50"/>
      <c r="F2523" s="51" t="s">
        <v>13</v>
      </c>
      <c r="G2523" s="52" t="str">
        <f>IF(ISNUMBER(F2523),E2523*F2523,"")</f>
        <v/>
      </c>
      <c r="H2523" s="53"/>
      <c r="I2523" s="38"/>
      <c r="J2523" s="37">
        <v>0</v>
      </c>
    </row>
    <row r="2524" spans="1:10" ht="15.75" hidden="1" thickBot="1" x14ac:dyDescent="0.3">
      <c r="A2524" s="173" t="s">
        <v>614</v>
      </c>
      <c r="B2524" s="176" t="s">
        <v>3555</v>
      </c>
      <c r="C2524" s="31"/>
      <c r="D2524" s="32" t="s">
        <v>68</v>
      </c>
      <c r="E2524" s="33"/>
      <c r="F2524" s="54" t="s">
        <v>13</v>
      </c>
      <c r="G2524" s="34" t="str">
        <f>IF(ISNUMBER(F2524),E2524*F2524,"")</f>
        <v/>
      </c>
      <c r="H2524" s="35"/>
      <c r="I2524" s="36"/>
      <c r="J2524" s="37">
        <v>0</v>
      </c>
    </row>
    <row r="2525" spans="1:10" hidden="1" x14ac:dyDescent="0.25">
      <c r="A2525" s="174"/>
      <c r="B2525" s="177"/>
      <c r="C2525" s="39"/>
      <c r="D2525" s="39"/>
      <c r="E2525" s="40"/>
      <c r="F2525" s="55" t="s">
        <v>13</v>
      </c>
      <c r="G2525" s="41" t="str">
        <f>IF(ISNUMBER(F2525),E2525*F2525,"")</f>
        <v/>
      </c>
      <c r="H2525" s="42"/>
      <c r="I2525" s="38"/>
      <c r="J2525" s="37">
        <v>0</v>
      </c>
    </row>
    <row r="2526" spans="1:10" ht="25.5" hidden="1" x14ac:dyDescent="0.25">
      <c r="A2526" s="174"/>
      <c r="B2526" s="177"/>
      <c r="C2526" s="43" t="s">
        <v>10993</v>
      </c>
      <c r="D2526" s="43" t="s">
        <v>162</v>
      </c>
      <c r="E2526" s="44">
        <v>1</v>
      </c>
      <c r="F2526" s="38">
        <v>40.945</v>
      </c>
      <c r="G2526" s="41">
        <f>IF(ISNUMBER(F2526),E2526*F2526,"")</f>
        <v>40.945</v>
      </c>
      <c r="H2526" s="46">
        <f>SUM(G2526:G2526)</f>
        <v>40.945</v>
      </c>
      <c r="I2526" s="47"/>
      <c r="J2526" s="37">
        <v>0</v>
      </c>
    </row>
    <row r="2527" spans="1:10" ht="15.75" hidden="1" thickBot="1" x14ac:dyDescent="0.3">
      <c r="A2527" s="175"/>
      <c r="B2527" s="178"/>
      <c r="C2527" s="49"/>
      <c r="D2527" s="49"/>
      <c r="E2527" s="50"/>
      <c r="F2527" s="51" t="s">
        <v>13</v>
      </c>
      <c r="G2527" s="52" t="str">
        <f>IF(ISNUMBER(F2527),E2527*F2527,"")</f>
        <v/>
      </c>
      <c r="H2527" s="53"/>
      <c r="I2527" s="38"/>
      <c r="J2527" s="37">
        <v>0</v>
      </c>
    </row>
    <row r="2528" spans="1:10" ht="15.75" hidden="1" thickBot="1" x14ac:dyDescent="0.3">
      <c r="A2528" s="173" t="s">
        <v>615</v>
      </c>
      <c r="B2528" s="176" t="s">
        <v>3588</v>
      </c>
      <c r="C2528" s="31"/>
      <c r="D2528" s="32" t="s">
        <v>1788</v>
      </c>
      <c r="E2528" s="33"/>
      <c r="F2528" s="54" t="s">
        <v>13</v>
      </c>
      <c r="G2528" s="34" t="str">
        <f>IF(ISNUMBER(F2528),E2528*F2528,"")</f>
        <v/>
      </c>
      <c r="H2528" s="35"/>
      <c r="I2528" s="36"/>
      <c r="J2528" s="37">
        <v>0</v>
      </c>
    </row>
    <row r="2529" spans="1:10" hidden="1" x14ac:dyDescent="0.25">
      <c r="A2529" s="174"/>
      <c r="B2529" s="177"/>
      <c r="C2529" s="39"/>
      <c r="D2529" s="39"/>
      <c r="E2529" s="40"/>
      <c r="F2529" s="55" t="s">
        <v>13</v>
      </c>
      <c r="G2529" s="41" t="str">
        <f>IF(ISNUMBER(F2529),E2529*F2529,"")</f>
        <v/>
      </c>
      <c r="H2529" s="42"/>
      <c r="I2529" s="38"/>
      <c r="J2529" s="37">
        <v>0</v>
      </c>
    </row>
    <row r="2530" spans="1:10" ht="25.5" hidden="1" x14ac:dyDescent="0.25">
      <c r="A2530" s="174"/>
      <c r="B2530" s="177"/>
      <c r="C2530" s="43" t="s">
        <v>10654</v>
      </c>
      <c r="D2530" s="43" t="s">
        <v>1302</v>
      </c>
      <c r="E2530" s="44">
        <f>1/(0.025*0.3)</f>
        <v>133.33333333333334</v>
      </c>
      <c r="F2530" s="38">
        <v>12.112499999999999</v>
      </c>
      <c r="G2530" s="41">
        <f>IF(ISNUMBER(F2530),E2530*F2530,"")</f>
        <v>1615</v>
      </c>
      <c r="H2530" s="46">
        <f>SUM(G2530:G2530)</f>
        <v>1615</v>
      </c>
      <c r="I2530" s="47"/>
      <c r="J2530" s="37">
        <v>0</v>
      </c>
    </row>
    <row r="2531" spans="1:10" ht="15.75" hidden="1" thickBot="1" x14ac:dyDescent="0.3">
      <c r="A2531" s="175"/>
      <c r="B2531" s="178"/>
      <c r="C2531" s="49"/>
      <c r="D2531" s="49"/>
      <c r="E2531" s="50"/>
      <c r="F2531" s="51" t="s">
        <v>13</v>
      </c>
      <c r="G2531" s="52" t="str">
        <f>IF(ISNUMBER(F2531),E2531*F2531,"")</f>
        <v/>
      </c>
      <c r="H2531" s="53"/>
      <c r="I2531" s="38"/>
      <c r="J2531" s="37">
        <v>0</v>
      </c>
    </row>
    <row r="2532" spans="1:10" ht="15.75" hidden="1" thickBot="1" x14ac:dyDescent="0.3">
      <c r="A2532" s="173" t="s">
        <v>616</v>
      </c>
      <c r="B2532" s="176" t="s">
        <v>3589</v>
      </c>
      <c r="C2532" s="31"/>
      <c r="D2532" s="32" t="s">
        <v>106</v>
      </c>
      <c r="E2532" s="33"/>
      <c r="F2532" s="54" t="s">
        <v>13</v>
      </c>
      <c r="G2532" s="34" t="str">
        <f>IF(ISNUMBER(F2532),E2532*F2532,"")</f>
        <v/>
      </c>
      <c r="H2532" s="35"/>
      <c r="I2532" s="36"/>
      <c r="J2532" s="37">
        <v>0</v>
      </c>
    </row>
    <row r="2533" spans="1:10" hidden="1" x14ac:dyDescent="0.25">
      <c r="A2533" s="174"/>
      <c r="B2533" s="177"/>
      <c r="C2533" s="39"/>
      <c r="D2533" s="39"/>
      <c r="E2533" s="40"/>
      <c r="F2533" s="55" t="s">
        <v>13</v>
      </c>
      <c r="G2533" s="41" t="str">
        <f>IF(ISNUMBER(F2533),E2533*F2533,"")</f>
        <v/>
      </c>
      <c r="H2533" s="42"/>
      <c r="I2533" s="38"/>
      <c r="J2533" s="37">
        <v>0</v>
      </c>
    </row>
    <row r="2534" spans="1:10" ht="25.5" hidden="1" x14ac:dyDescent="0.25">
      <c r="A2534" s="174"/>
      <c r="B2534" s="177"/>
      <c r="C2534" s="43" t="s">
        <v>10994</v>
      </c>
      <c r="D2534" s="43" t="s">
        <v>1302</v>
      </c>
      <c r="E2534" s="44">
        <v>1</v>
      </c>
      <c r="F2534" s="38">
        <v>3.7049999999999996</v>
      </c>
      <c r="G2534" s="41">
        <f>IF(ISNUMBER(F2534),E2534*F2534,"")</f>
        <v>3.7049999999999996</v>
      </c>
      <c r="H2534" s="46">
        <f>SUM(G2534:G2534)</f>
        <v>3.7049999999999996</v>
      </c>
      <c r="I2534" s="47"/>
      <c r="J2534" s="37">
        <v>0</v>
      </c>
    </row>
    <row r="2535" spans="1:10" ht="15.75" hidden="1" thickBot="1" x14ac:dyDescent="0.3">
      <c r="A2535" s="175"/>
      <c r="B2535" s="178"/>
      <c r="C2535" s="49"/>
      <c r="D2535" s="49"/>
      <c r="E2535" s="50"/>
      <c r="F2535" s="51" t="s">
        <v>13</v>
      </c>
      <c r="G2535" s="52" t="str">
        <f>IF(ISNUMBER(F2535),E2535*F2535,"")</f>
        <v/>
      </c>
      <c r="H2535" s="53"/>
      <c r="I2535" s="38"/>
      <c r="J2535" s="37">
        <v>0</v>
      </c>
    </row>
    <row r="2536" spans="1:10" ht="15.75" hidden="1" thickBot="1" x14ac:dyDescent="0.3">
      <c r="A2536" s="173" t="s">
        <v>617</v>
      </c>
      <c r="B2536" s="176" t="s">
        <v>3590</v>
      </c>
      <c r="C2536" s="31"/>
      <c r="D2536" s="32" t="s">
        <v>106</v>
      </c>
      <c r="E2536" s="33"/>
      <c r="F2536" s="54" t="s">
        <v>13</v>
      </c>
      <c r="G2536" s="34" t="str">
        <f>IF(ISNUMBER(F2536),E2536*F2536,"")</f>
        <v/>
      </c>
      <c r="H2536" s="35"/>
      <c r="I2536" s="36"/>
      <c r="J2536" s="37">
        <v>0</v>
      </c>
    </row>
    <row r="2537" spans="1:10" hidden="1" x14ac:dyDescent="0.25">
      <c r="A2537" s="174"/>
      <c r="B2537" s="177"/>
      <c r="C2537" s="39"/>
      <c r="D2537" s="39"/>
      <c r="E2537" s="40"/>
      <c r="F2537" s="55" t="s">
        <v>13</v>
      </c>
      <c r="G2537" s="41" t="str">
        <f>IF(ISNUMBER(F2537),E2537*F2537,"")</f>
        <v/>
      </c>
      <c r="H2537" s="42"/>
      <c r="I2537" s="38"/>
      <c r="J2537" s="37">
        <v>0</v>
      </c>
    </row>
    <row r="2538" spans="1:10" ht="25.5" hidden="1" x14ac:dyDescent="0.25">
      <c r="A2538" s="174"/>
      <c r="B2538" s="177"/>
      <c r="C2538" s="43" t="s">
        <v>10995</v>
      </c>
      <c r="D2538" s="43" t="s">
        <v>1302</v>
      </c>
      <c r="E2538" s="44">
        <v>1</v>
      </c>
      <c r="F2538" s="38">
        <v>5.1395</v>
      </c>
      <c r="G2538" s="41">
        <f>IF(ISNUMBER(F2538),E2538*F2538,"")</f>
        <v>5.1395</v>
      </c>
      <c r="H2538" s="46">
        <f>SUM(G2538:G2538)</f>
        <v>5.1395</v>
      </c>
      <c r="I2538" s="47"/>
      <c r="J2538" s="37">
        <v>0</v>
      </c>
    </row>
    <row r="2539" spans="1:10" ht="15.75" hidden="1" thickBot="1" x14ac:dyDescent="0.3">
      <c r="A2539" s="175"/>
      <c r="B2539" s="178"/>
      <c r="C2539" s="49"/>
      <c r="D2539" s="49"/>
      <c r="E2539" s="50"/>
      <c r="F2539" s="51" t="s">
        <v>13</v>
      </c>
      <c r="G2539" s="52" t="str">
        <f>IF(ISNUMBER(F2539),E2539*F2539,"")</f>
        <v/>
      </c>
      <c r="H2539" s="53"/>
      <c r="I2539" s="38"/>
      <c r="J2539" s="37">
        <v>0</v>
      </c>
    </row>
    <row r="2540" spans="1:10" ht="15.75" hidden="1" thickBot="1" x14ac:dyDescent="0.3">
      <c r="A2540" s="173" t="s">
        <v>618</v>
      </c>
      <c r="B2540" s="176" t="s">
        <v>3595</v>
      </c>
      <c r="C2540" s="31"/>
      <c r="D2540" s="32" t="s">
        <v>68</v>
      </c>
      <c r="E2540" s="33"/>
      <c r="F2540" s="54" t="s">
        <v>13</v>
      </c>
      <c r="G2540" s="34" t="str">
        <f>IF(ISNUMBER(F2540),E2540*F2540,"")</f>
        <v/>
      </c>
      <c r="H2540" s="35"/>
      <c r="I2540" s="36"/>
      <c r="J2540" s="37">
        <v>0</v>
      </c>
    </row>
    <row r="2541" spans="1:10" hidden="1" x14ac:dyDescent="0.25">
      <c r="A2541" s="174"/>
      <c r="B2541" s="177"/>
      <c r="C2541" s="39"/>
      <c r="D2541" s="39"/>
      <c r="E2541" s="40"/>
      <c r="F2541" s="55" t="s">
        <v>13</v>
      </c>
      <c r="G2541" s="41" t="str">
        <f>IF(ISNUMBER(F2541),E2541*F2541,"")</f>
        <v/>
      </c>
      <c r="H2541" s="42"/>
      <c r="I2541" s="38"/>
      <c r="J2541" s="37">
        <v>0</v>
      </c>
    </row>
    <row r="2542" spans="1:10" hidden="1" x14ac:dyDescent="0.25">
      <c r="A2542" s="174"/>
      <c r="B2542" s="177"/>
      <c r="C2542" s="43" t="s">
        <v>10996</v>
      </c>
      <c r="D2542" s="43" t="s">
        <v>162</v>
      </c>
      <c r="E2542" s="44">
        <v>1</v>
      </c>
      <c r="F2542" s="38">
        <v>30.495000000000001</v>
      </c>
      <c r="G2542" s="41">
        <f>IF(ISNUMBER(F2542),E2542*F2542,"")</f>
        <v>30.495000000000001</v>
      </c>
      <c r="H2542" s="46">
        <f>SUM(G2542:G2542)</f>
        <v>30.495000000000001</v>
      </c>
      <c r="I2542" s="47"/>
      <c r="J2542" s="37">
        <v>0</v>
      </c>
    </row>
    <row r="2543" spans="1:10" ht="15.75" hidden="1" thickBot="1" x14ac:dyDescent="0.3">
      <c r="A2543" s="175"/>
      <c r="B2543" s="178"/>
      <c r="C2543" s="49"/>
      <c r="D2543" s="49"/>
      <c r="E2543" s="50"/>
      <c r="F2543" s="51" t="s">
        <v>13</v>
      </c>
      <c r="G2543" s="52" t="str">
        <f>IF(ISNUMBER(F2543),E2543*F2543,"")</f>
        <v/>
      </c>
      <c r="H2543" s="53"/>
      <c r="I2543" s="38"/>
      <c r="J2543" s="37">
        <v>0</v>
      </c>
    </row>
    <row r="2544" spans="1:10" ht="15.75" hidden="1" thickBot="1" x14ac:dyDescent="0.3">
      <c r="A2544" s="173" t="s">
        <v>619</v>
      </c>
      <c r="B2544" s="176" t="s">
        <v>3598</v>
      </c>
      <c r="C2544" s="31"/>
      <c r="D2544" s="32" t="s">
        <v>68</v>
      </c>
      <c r="E2544" s="33"/>
      <c r="F2544" s="54" t="s">
        <v>13</v>
      </c>
      <c r="G2544" s="34" t="str">
        <f>IF(ISNUMBER(F2544),E2544*F2544,"")</f>
        <v/>
      </c>
      <c r="H2544" s="35"/>
      <c r="I2544" s="36"/>
      <c r="J2544" s="37">
        <v>0</v>
      </c>
    </row>
    <row r="2545" spans="1:10" hidden="1" x14ac:dyDescent="0.25">
      <c r="A2545" s="174"/>
      <c r="B2545" s="177"/>
      <c r="C2545" s="39"/>
      <c r="D2545" s="39"/>
      <c r="E2545" s="40"/>
      <c r="F2545" s="55" t="s">
        <v>13</v>
      </c>
      <c r="G2545" s="41" t="str">
        <f>IF(ISNUMBER(F2545),E2545*F2545,"")</f>
        <v/>
      </c>
      <c r="H2545" s="42"/>
      <c r="I2545" s="38"/>
      <c r="J2545" s="37">
        <v>0</v>
      </c>
    </row>
    <row r="2546" spans="1:10" ht="25.5" hidden="1" x14ac:dyDescent="0.25">
      <c r="A2546" s="174"/>
      <c r="B2546" s="177"/>
      <c r="C2546" s="43" t="s">
        <v>10997</v>
      </c>
      <c r="D2546" s="43" t="s">
        <v>162</v>
      </c>
      <c r="E2546" s="44">
        <v>1</v>
      </c>
      <c r="F2546" s="38">
        <v>47.841999999999999</v>
      </c>
      <c r="G2546" s="41">
        <f>IF(ISNUMBER(F2546),E2546*F2546,"")</f>
        <v>47.841999999999999</v>
      </c>
      <c r="H2546" s="46">
        <f>SUM(G2546:G2546)</f>
        <v>47.841999999999999</v>
      </c>
      <c r="I2546" s="47"/>
      <c r="J2546" s="37">
        <v>0</v>
      </c>
    </row>
    <row r="2547" spans="1:10" ht="15.75" hidden="1" thickBot="1" x14ac:dyDescent="0.3">
      <c r="A2547" s="175"/>
      <c r="B2547" s="178"/>
      <c r="C2547" s="49"/>
      <c r="D2547" s="49"/>
      <c r="E2547" s="50"/>
      <c r="F2547" s="51" t="s">
        <v>13</v>
      </c>
      <c r="G2547" s="52" t="str">
        <f>IF(ISNUMBER(F2547),E2547*F2547,"")</f>
        <v/>
      </c>
      <c r="H2547" s="53"/>
      <c r="I2547" s="38"/>
      <c r="J2547" s="37">
        <v>0</v>
      </c>
    </row>
    <row r="2548" spans="1:10" ht="15.75" hidden="1" thickBot="1" x14ac:dyDescent="0.3">
      <c r="A2548" s="173" t="s">
        <v>620</v>
      </c>
      <c r="B2548" s="176" t="s">
        <v>3601</v>
      </c>
      <c r="C2548" s="31"/>
      <c r="D2548" s="32" t="s">
        <v>68</v>
      </c>
      <c r="E2548" s="33"/>
      <c r="F2548" s="54" t="s">
        <v>13</v>
      </c>
      <c r="G2548" s="34" t="str">
        <f>IF(ISNUMBER(F2548),E2548*F2548,"")</f>
        <v/>
      </c>
      <c r="H2548" s="35"/>
      <c r="I2548" s="36"/>
      <c r="J2548" s="37">
        <v>0</v>
      </c>
    </row>
    <row r="2549" spans="1:10" hidden="1" x14ac:dyDescent="0.25">
      <c r="A2549" s="174"/>
      <c r="B2549" s="177"/>
      <c r="C2549" s="39"/>
      <c r="D2549" s="39"/>
      <c r="E2549" s="40"/>
      <c r="F2549" s="55" t="s">
        <v>13</v>
      </c>
      <c r="G2549" s="41" t="str">
        <f>IF(ISNUMBER(F2549),E2549*F2549,"")</f>
        <v/>
      </c>
      <c r="H2549" s="42"/>
      <c r="I2549" s="38"/>
      <c r="J2549" s="37">
        <v>0</v>
      </c>
    </row>
    <row r="2550" spans="1:10" ht="25.5" hidden="1" x14ac:dyDescent="0.25">
      <c r="A2550" s="174"/>
      <c r="B2550" s="177"/>
      <c r="C2550" s="43" t="s">
        <v>10998</v>
      </c>
      <c r="D2550" s="43" t="s">
        <v>162</v>
      </c>
      <c r="E2550" s="44">
        <v>1</v>
      </c>
      <c r="F2550" s="38">
        <v>59.393999999999998</v>
      </c>
      <c r="G2550" s="41">
        <f>IF(ISNUMBER(F2550),E2550*F2550,"")</f>
        <v>59.393999999999998</v>
      </c>
      <c r="H2550" s="46">
        <f>SUM(G2550:G2550)</f>
        <v>59.393999999999998</v>
      </c>
      <c r="I2550" s="47"/>
      <c r="J2550" s="37">
        <v>0</v>
      </c>
    </row>
    <row r="2551" spans="1:10" ht="15.75" hidden="1" thickBot="1" x14ac:dyDescent="0.3">
      <c r="A2551" s="175"/>
      <c r="B2551" s="178"/>
      <c r="C2551" s="49"/>
      <c r="D2551" s="49"/>
      <c r="E2551" s="50"/>
      <c r="F2551" s="51" t="s">
        <v>13</v>
      </c>
      <c r="G2551" s="52" t="str">
        <f>IF(ISNUMBER(F2551),E2551*F2551,"")</f>
        <v/>
      </c>
      <c r="H2551" s="53"/>
      <c r="I2551" s="38"/>
      <c r="J2551" s="37">
        <v>0</v>
      </c>
    </row>
    <row r="2552" spans="1:10" ht="15.75" hidden="1" thickBot="1" x14ac:dyDescent="0.3">
      <c r="A2552" s="173" t="s">
        <v>621</v>
      </c>
      <c r="B2552" s="176" t="s">
        <v>3604</v>
      </c>
      <c r="C2552" s="31"/>
      <c r="D2552" s="32" t="s">
        <v>106</v>
      </c>
      <c r="E2552" s="33"/>
      <c r="F2552" s="54" t="s">
        <v>13</v>
      </c>
      <c r="G2552" s="34" t="str">
        <f>IF(ISNUMBER(F2552),E2552*F2552,"")</f>
        <v/>
      </c>
      <c r="H2552" s="35"/>
      <c r="I2552" s="36"/>
      <c r="J2552" s="37">
        <v>0</v>
      </c>
    </row>
    <row r="2553" spans="1:10" hidden="1" x14ac:dyDescent="0.25">
      <c r="A2553" s="174"/>
      <c r="B2553" s="177"/>
      <c r="C2553" s="39"/>
      <c r="D2553" s="39"/>
      <c r="E2553" s="40"/>
      <c r="F2553" s="55" t="s">
        <v>13</v>
      </c>
      <c r="G2553" s="41" t="str">
        <f>IF(ISNUMBER(F2553),E2553*F2553,"")</f>
        <v/>
      </c>
      <c r="H2553" s="42"/>
      <c r="I2553" s="38"/>
      <c r="J2553" s="37">
        <v>0</v>
      </c>
    </row>
    <row r="2554" spans="1:10" ht="25.5" hidden="1" x14ac:dyDescent="0.25">
      <c r="A2554" s="174"/>
      <c r="B2554" s="177"/>
      <c r="C2554" s="43" t="s">
        <v>10999</v>
      </c>
      <c r="D2554" s="43" t="s">
        <v>1044</v>
      </c>
      <c r="E2554" s="44">
        <v>1.73</v>
      </c>
      <c r="F2554" s="38">
        <v>7.6189999999999989</v>
      </c>
      <c r="G2554" s="41">
        <f>IF(ISNUMBER(F2554),E2554*F2554,"")</f>
        <v>13.180869999999999</v>
      </c>
      <c r="H2554" s="46">
        <f>SUM(G2554:G2554)</f>
        <v>13.180869999999999</v>
      </c>
      <c r="I2554" s="47"/>
      <c r="J2554" s="37">
        <v>0</v>
      </c>
    </row>
    <row r="2555" spans="1:10" ht="15.75" hidden="1" thickBot="1" x14ac:dyDescent="0.3">
      <c r="A2555" s="175"/>
      <c r="B2555" s="178"/>
      <c r="C2555" s="49"/>
      <c r="D2555" s="49"/>
      <c r="E2555" s="50"/>
      <c r="F2555" s="51" t="s">
        <v>13</v>
      </c>
      <c r="G2555" s="52" t="str">
        <f>IF(ISNUMBER(F2555),E2555*F2555,"")</f>
        <v/>
      </c>
      <c r="H2555" s="53"/>
      <c r="I2555" s="38"/>
      <c r="J2555" s="37">
        <v>0</v>
      </c>
    </row>
    <row r="2556" spans="1:10" ht="15.75" hidden="1" thickBot="1" x14ac:dyDescent="0.3">
      <c r="A2556" s="173" t="s">
        <v>622</v>
      </c>
      <c r="B2556" s="176" t="s">
        <v>3605</v>
      </c>
      <c r="C2556" s="31"/>
      <c r="D2556" s="32" t="s">
        <v>106</v>
      </c>
      <c r="E2556" s="33"/>
      <c r="F2556" s="54" t="s">
        <v>13</v>
      </c>
      <c r="G2556" s="34" t="str">
        <f>IF(ISNUMBER(F2556),E2556*F2556,"")</f>
        <v/>
      </c>
      <c r="H2556" s="35"/>
      <c r="I2556" s="36"/>
      <c r="J2556" s="37">
        <v>0</v>
      </c>
    </row>
    <row r="2557" spans="1:10" hidden="1" x14ac:dyDescent="0.25">
      <c r="A2557" s="174"/>
      <c r="B2557" s="177"/>
      <c r="C2557" s="39"/>
      <c r="D2557" s="39"/>
      <c r="E2557" s="40"/>
      <c r="F2557" s="55" t="s">
        <v>13</v>
      </c>
      <c r="G2557" s="41" t="str">
        <f>IF(ISNUMBER(F2557),E2557*F2557,"")</f>
        <v/>
      </c>
      <c r="H2557" s="42"/>
      <c r="I2557" s="38"/>
      <c r="J2557" s="37">
        <v>0</v>
      </c>
    </row>
    <row r="2558" spans="1:10" ht="25.5" hidden="1" x14ac:dyDescent="0.25">
      <c r="A2558" s="174"/>
      <c r="B2558" s="177"/>
      <c r="C2558" s="43" t="s">
        <v>10999</v>
      </c>
      <c r="D2558" s="43" t="s">
        <v>1044</v>
      </c>
      <c r="E2558" s="44">
        <v>2.2000000000000002</v>
      </c>
      <c r="F2558" s="38">
        <v>7.6189999999999989</v>
      </c>
      <c r="G2558" s="41">
        <f>IF(ISNUMBER(F2558),E2558*F2558,"")</f>
        <v>16.761799999999997</v>
      </c>
      <c r="H2558" s="46">
        <f>SUM(G2558:G2558)</f>
        <v>16.761799999999997</v>
      </c>
      <c r="I2558" s="47"/>
      <c r="J2558" s="37">
        <v>0</v>
      </c>
    </row>
    <row r="2559" spans="1:10" ht="15.75" hidden="1" thickBot="1" x14ac:dyDescent="0.3">
      <c r="A2559" s="175"/>
      <c r="B2559" s="178"/>
      <c r="C2559" s="49"/>
      <c r="D2559" s="49"/>
      <c r="E2559" s="50"/>
      <c r="F2559" s="51" t="s">
        <v>13</v>
      </c>
      <c r="G2559" s="52" t="str">
        <f>IF(ISNUMBER(F2559),E2559*F2559,"")</f>
        <v/>
      </c>
      <c r="H2559" s="53"/>
      <c r="I2559" s="38"/>
      <c r="J2559" s="37">
        <v>0</v>
      </c>
    </row>
    <row r="2560" spans="1:10" ht="15.75" hidden="1" thickBot="1" x14ac:dyDescent="0.3">
      <c r="A2560" s="173" t="s">
        <v>623</v>
      </c>
      <c r="B2560" s="176" t="s">
        <v>3606</v>
      </c>
      <c r="C2560" s="31"/>
      <c r="D2560" s="32" t="s">
        <v>106</v>
      </c>
      <c r="E2560" s="33"/>
      <c r="F2560" s="54" t="s">
        <v>13</v>
      </c>
      <c r="G2560" s="34" t="str">
        <f>IF(ISNUMBER(F2560),E2560*F2560,"")</f>
        <v/>
      </c>
      <c r="H2560" s="35"/>
      <c r="I2560" s="36"/>
      <c r="J2560" s="37">
        <v>0</v>
      </c>
    </row>
    <row r="2561" spans="1:10" hidden="1" x14ac:dyDescent="0.25">
      <c r="A2561" s="174"/>
      <c r="B2561" s="177"/>
      <c r="C2561" s="39"/>
      <c r="D2561" s="39"/>
      <c r="E2561" s="40"/>
      <c r="F2561" s="55" t="s">
        <v>13</v>
      </c>
      <c r="G2561" s="41" t="str">
        <f>IF(ISNUMBER(F2561),E2561*F2561,"")</f>
        <v/>
      </c>
      <c r="H2561" s="42"/>
      <c r="I2561" s="38"/>
      <c r="J2561" s="37">
        <v>0</v>
      </c>
    </row>
    <row r="2562" spans="1:10" ht="25.5" hidden="1" x14ac:dyDescent="0.25">
      <c r="A2562" s="174"/>
      <c r="B2562" s="177"/>
      <c r="C2562" s="43" t="s">
        <v>10999</v>
      </c>
      <c r="D2562" s="43" t="s">
        <v>1044</v>
      </c>
      <c r="E2562" s="44">
        <v>2.46</v>
      </c>
      <c r="F2562" s="38">
        <v>7.6189999999999989</v>
      </c>
      <c r="G2562" s="41">
        <f>IF(ISNUMBER(F2562),E2562*F2562,"")</f>
        <v>18.742739999999998</v>
      </c>
      <c r="H2562" s="46">
        <f>SUM(G2562:G2562)</f>
        <v>18.742739999999998</v>
      </c>
      <c r="I2562" s="47"/>
      <c r="J2562" s="37">
        <v>0</v>
      </c>
    </row>
    <row r="2563" spans="1:10" ht="15.75" hidden="1" thickBot="1" x14ac:dyDescent="0.3">
      <c r="A2563" s="175"/>
      <c r="B2563" s="178"/>
      <c r="C2563" s="49"/>
      <c r="D2563" s="49"/>
      <c r="E2563" s="50"/>
      <c r="F2563" s="51" t="s">
        <v>13</v>
      </c>
      <c r="G2563" s="52" t="str">
        <f>IF(ISNUMBER(F2563),E2563*F2563,"")</f>
        <v/>
      </c>
      <c r="H2563" s="53"/>
      <c r="I2563" s="38"/>
      <c r="J2563" s="37">
        <v>0</v>
      </c>
    </row>
    <row r="2564" spans="1:10" ht="15.75" hidden="1" thickBot="1" x14ac:dyDescent="0.3">
      <c r="A2564" s="173" t="s">
        <v>624</v>
      </c>
      <c r="B2564" s="176" t="s">
        <v>3607</v>
      </c>
      <c r="C2564" s="31"/>
      <c r="D2564" s="32" t="s">
        <v>106</v>
      </c>
      <c r="E2564" s="33"/>
      <c r="F2564" s="54" t="s">
        <v>13</v>
      </c>
      <c r="G2564" s="34" t="str">
        <f>IF(ISNUMBER(F2564),E2564*F2564,"")</f>
        <v/>
      </c>
      <c r="H2564" s="35"/>
      <c r="I2564" s="36"/>
      <c r="J2564" s="37">
        <v>0</v>
      </c>
    </row>
    <row r="2565" spans="1:10" hidden="1" x14ac:dyDescent="0.25">
      <c r="A2565" s="174"/>
      <c r="B2565" s="177"/>
      <c r="C2565" s="39"/>
      <c r="D2565" s="39"/>
      <c r="E2565" s="40"/>
      <c r="F2565" s="55" t="s">
        <v>13</v>
      </c>
      <c r="G2565" s="41" t="str">
        <f>IF(ISNUMBER(F2565),E2565*F2565,"")</f>
        <v/>
      </c>
      <c r="H2565" s="42"/>
      <c r="I2565" s="38"/>
      <c r="J2565" s="37">
        <v>0</v>
      </c>
    </row>
    <row r="2566" spans="1:10" ht="25.5" hidden="1" x14ac:dyDescent="0.25">
      <c r="A2566" s="174"/>
      <c r="B2566" s="177"/>
      <c r="C2566" s="43" t="s">
        <v>10999</v>
      </c>
      <c r="D2566" s="43" t="s">
        <v>1044</v>
      </c>
      <c r="E2566" s="44">
        <v>3.63</v>
      </c>
      <c r="F2566" s="38">
        <v>7.6189999999999989</v>
      </c>
      <c r="G2566" s="41">
        <f>IF(ISNUMBER(F2566),E2566*F2566,"")</f>
        <v>27.656969999999994</v>
      </c>
      <c r="H2566" s="46">
        <f>SUM(G2566:G2566)</f>
        <v>27.656969999999994</v>
      </c>
      <c r="I2566" s="47"/>
      <c r="J2566" s="37">
        <v>0</v>
      </c>
    </row>
    <row r="2567" spans="1:10" ht="15.75" hidden="1" thickBot="1" x14ac:dyDescent="0.3">
      <c r="A2567" s="175"/>
      <c r="B2567" s="178"/>
      <c r="C2567" s="49"/>
      <c r="D2567" s="49"/>
      <c r="E2567" s="50"/>
      <c r="F2567" s="51" t="s">
        <v>13</v>
      </c>
      <c r="G2567" s="52" t="str">
        <f>IF(ISNUMBER(F2567),E2567*F2567,"")</f>
        <v/>
      </c>
      <c r="H2567" s="53"/>
      <c r="I2567" s="38"/>
      <c r="J2567" s="37">
        <v>0</v>
      </c>
    </row>
    <row r="2568" spans="1:10" ht="15.75" hidden="1" thickBot="1" x14ac:dyDescent="0.3">
      <c r="A2568" s="173" t="s">
        <v>625</v>
      </c>
      <c r="B2568" s="176" t="s">
        <v>3608</v>
      </c>
      <c r="C2568" s="31"/>
      <c r="D2568" s="32" t="s">
        <v>106</v>
      </c>
      <c r="E2568" s="33"/>
      <c r="F2568" s="54" t="s">
        <v>13</v>
      </c>
      <c r="G2568" s="34" t="str">
        <f>IF(ISNUMBER(F2568),E2568*F2568,"")</f>
        <v/>
      </c>
      <c r="H2568" s="35"/>
      <c r="I2568" s="36"/>
      <c r="J2568" s="37">
        <v>0</v>
      </c>
    </row>
    <row r="2569" spans="1:10" hidden="1" x14ac:dyDescent="0.25">
      <c r="A2569" s="174"/>
      <c r="B2569" s="177"/>
      <c r="C2569" s="39"/>
      <c r="D2569" s="39"/>
      <c r="E2569" s="40"/>
      <c r="F2569" s="55" t="s">
        <v>13</v>
      </c>
      <c r="G2569" s="41" t="str">
        <f>IF(ISNUMBER(F2569),E2569*F2569,"")</f>
        <v/>
      </c>
      <c r="H2569" s="42"/>
      <c r="I2569" s="38"/>
      <c r="J2569" s="37">
        <v>0</v>
      </c>
    </row>
    <row r="2570" spans="1:10" ht="25.5" hidden="1" x14ac:dyDescent="0.25">
      <c r="A2570" s="174"/>
      <c r="B2570" s="177"/>
      <c r="C2570" s="43" t="s">
        <v>10999</v>
      </c>
      <c r="D2570" s="43" t="s">
        <v>1044</v>
      </c>
      <c r="E2570" s="44">
        <v>0.71</v>
      </c>
      <c r="F2570" s="38">
        <v>7.6189999999999989</v>
      </c>
      <c r="G2570" s="41">
        <f>IF(ISNUMBER(F2570),E2570*F2570,"")</f>
        <v>5.409489999999999</v>
      </c>
      <c r="H2570" s="46">
        <f>SUM(G2570:G2570)</f>
        <v>5.409489999999999</v>
      </c>
      <c r="I2570" s="47"/>
      <c r="J2570" s="37">
        <v>0</v>
      </c>
    </row>
    <row r="2571" spans="1:10" ht="15.75" hidden="1" thickBot="1" x14ac:dyDescent="0.3">
      <c r="A2571" s="175"/>
      <c r="B2571" s="178"/>
      <c r="C2571" s="49"/>
      <c r="D2571" s="49"/>
      <c r="E2571" s="50"/>
      <c r="F2571" s="51" t="s">
        <v>13</v>
      </c>
      <c r="G2571" s="52" t="str">
        <f>IF(ISNUMBER(F2571),E2571*F2571,"")</f>
        <v/>
      </c>
      <c r="H2571" s="53"/>
      <c r="I2571" s="38"/>
      <c r="J2571" s="37">
        <v>0</v>
      </c>
    </row>
    <row r="2572" spans="1:10" ht="15.75" hidden="1" thickBot="1" x14ac:dyDescent="0.3">
      <c r="A2572" s="173" t="s">
        <v>626</v>
      </c>
      <c r="B2572" s="176" t="s">
        <v>3609</v>
      </c>
      <c r="C2572" s="31"/>
      <c r="D2572" s="32" t="s">
        <v>72</v>
      </c>
      <c r="E2572" s="33"/>
      <c r="F2572" s="54" t="s">
        <v>13</v>
      </c>
      <c r="G2572" s="34" t="str">
        <f>IF(ISNUMBER(F2572),E2572*F2572,"")</f>
        <v/>
      </c>
      <c r="H2572" s="35"/>
      <c r="I2572" s="36"/>
      <c r="J2572" s="37">
        <v>0</v>
      </c>
    </row>
    <row r="2573" spans="1:10" hidden="1" x14ac:dyDescent="0.25">
      <c r="A2573" s="174"/>
      <c r="B2573" s="177"/>
      <c r="C2573" s="39"/>
      <c r="D2573" s="39"/>
      <c r="E2573" s="40"/>
      <c r="F2573" s="55" t="s">
        <v>13</v>
      </c>
      <c r="G2573" s="41" t="str">
        <f>IF(ISNUMBER(F2573),E2573*F2573,"")</f>
        <v/>
      </c>
      <c r="H2573" s="42"/>
      <c r="I2573" s="38"/>
      <c r="J2573" s="37">
        <v>0</v>
      </c>
    </row>
    <row r="2574" spans="1:10" ht="25.5" hidden="1" x14ac:dyDescent="0.25">
      <c r="A2574" s="174"/>
      <c r="B2574" s="177"/>
      <c r="C2574" s="43" t="s">
        <v>11000</v>
      </c>
      <c r="D2574" s="43" t="s">
        <v>1044</v>
      </c>
      <c r="E2574" s="44">
        <v>1</v>
      </c>
      <c r="F2574" s="38">
        <v>10.9155</v>
      </c>
      <c r="G2574" s="41">
        <f>IF(ISNUMBER(F2574),E2574*F2574,"")</f>
        <v>10.9155</v>
      </c>
      <c r="H2574" s="46">
        <f>SUM(G2574:G2574)</f>
        <v>10.9155</v>
      </c>
      <c r="I2574" s="47"/>
      <c r="J2574" s="37">
        <v>0</v>
      </c>
    </row>
    <row r="2575" spans="1:10" ht="15.75" hidden="1" thickBot="1" x14ac:dyDescent="0.3">
      <c r="A2575" s="175"/>
      <c r="B2575" s="178"/>
      <c r="C2575" s="49"/>
      <c r="D2575" s="49"/>
      <c r="E2575" s="50"/>
      <c r="F2575" s="51" t="s">
        <v>13</v>
      </c>
      <c r="G2575" s="52" t="str">
        <f>IF(ISNUMBER(F2575),E2575*F2575,"")</f>
        <v/>
      </c>
      <c r="H2575" s="53"/>
      <c r="I2575" s="38"/>
      <c r="J2575" s="37">
        <v>0</v>
      </c>
    </row>
    <row r="2576" spans="1:10" ht="15.75" hidden="1" thickBot="1" x14ac:dyDescent="0.3">
      <c r="A2576" s="173" t="s">
        <v>627</v>
      </c>
      <c r="B2576" s="176" t="s">
        <v>3610</v>
      </c>
      <c r="C2576" s="31"/>
      <c r="D2576" s="32" t="s">
        <v>106</v>
      </c>
      <c r="E2576" s="33"/>
      <c r="F2576" s="54" t="s">
        <v>13</v>
      </c>
      <c r="G2576" s="34" t="str">
        <f>IF(ISNUMBER(F2576),E2576*F2576,"")</f>
        <v/>
      </c>
      <c r="H2576" s="35"/>
      <c r="I2576" s="36"/>
      <c r="J2576" s="37">
        <v>0</v>
      </c>
    </row>
    <row r="2577" spans="1:10" hidden="1" x14ac:dyDescent="0.25">
      <c r="A2577" s="174"/>
      <c r="B2577" s="177"/>
      <c r="C2577" s="39"/>
      <c r="D2577" s="39"/>
      <c r="E2577" s="40"/>
      <c r="F2577" s="55" t="s">
        <v>13</v>
      </c>
      <c r="G2577" s="41" t="str">
        <f>IF(ISNUMBER(F2577),E2577*F2577,"")</f>
        <v/>
      </c>
      <c r="H2577" s="42"/>
      <c r="I2577" s="38"/>
      <c r="J2577" s="37">
        <v>0</v>
      </c>
    </row>
    <row r="2578" spans="1:10" hidden="1" x14ac:dyDescent="0.25">
      <c r="A2578" s="174"/>
      <c r="B2578" s="177"/>
      <c r="C2578" s="43" t="s">
        <v>11001</v>
      </c>
      <c r="D2578" s="43" t="s">
        <v>1044</v>
      </c>
      <c r="E2578" s="44">
        <v>0.63</v>
      </c>
      <c r="F2578" s="38">
        <v>10.041499999999999</v>
      </c>
      <c r="G2578" s="41">
        <f>IF(ISNUMBER(F2578),E2578*F2578,"")</f>
        <v>6.3261449999999995</v>
      </c>
      <c r="H2578" s="46">
        <f>SUM(G2578:G2578)</f>
        <v>6.3261449999999995</v>
      </c>
      <c r="I2578" s="47"/>
      <c r="J2578" s="37">
        <v>0</v>
      </c>
    </row>
    <row r="2579" spans="1:10" ht="15.75" hidden="1" thickBot="1" x14ac:dyDescent="0.3">
      <c r="A2579" s="175"/>
      <c r="B2579" s="178"/>
      <c r="C2579" s="49"/>
      <c r="D2579" s="49"/>
      <c r="E2579" s="50"/>
      <c r="F2579" s="51" t="s">
        <v>13</v>
      </c>
      <c r="G2579" s="52" t="str">
        <f>IF(ISNUMBER(F2579),E2579*F2579,"")</f>
        <v/>
      </c>
      <c r="H2579" s="53"/>
      <c r="I2579" s="38"/>
      <c r="J2579" s="37">
        <v>0</v>
      </c>
    </row>
    <row r="2580" spans="1:10" ht="15.75" hidden="1" thickBot="1" x14ac:dyDescent="0.3">
      <c r="A2580" s="173" t="s">
        <v>628</v>
      </c>
      <c r="B2580" s="176" t="s">
        <v>3611</v>
      </c>
      <c r="C2580" s="31"/>
      <c r="D2580" s="32" t="s">
        <v>106</v>
      </c>
      <c r="E2580" s="33"/>
      <c r="F2580" s="54" t="s">
        <v>13</v>
      </c>
      <c r="G2580" s="34" t="str">
        <f>IF(ISNUMBER(F2580),E2580*F2580,"")</f>
        <v/>
      </c>
      <c r="H2580" s="35"/>
      <c r="I2580" s="36"/>
      <c r="J2580" s="37">
        <v>0</v>
      </c>
    </row>
    <row r="2581" spans="1:10" hidden="1" x14ac:dyDescent="0.25">
      <c r="A2581" s="174"/>
      <c r="B2581" s="177"/>
      <c r="C2581" s="39"/>
      <c r="D2581" s="39"/>
      <c r="E2581" s="40"/>
      <c r="F2581" s="55" t="s">
        <v>13</v>
      </c>
      <c r="G2581" s="41" t="str">
        <f>IF(ISNUMBER(F2581),E2581*F2581,"")</f>
        <v/>
      </c>
      <c r="H2581" s="42"/>
      <c r="I2581" s="38"/>
      <c r="J2581" s="37">
        <v>0</v>
      </c>
    </row>
    <row r="2582" spans="1:10" hidden="1" x14ac:dyDescent="0.25">
      <c r="A2582" s="174"/>
      <c r="B2582" s="177"/>
      <c r="C2582" s="43" t="s">
        <v>11001</v>
      </c>
      <c r="D2582" s="43" t="s">
        <v>1044</v>
      </c>
      <c r="E2582" s="44">
        <v>0.95</v>
      </c>
      <c r="F2582" s="38">
        <v>10.041499999999999</v>
      </c>
      <c r="G2582" s="41">
        <f>IF(ISNUMBER(F2582),E2582*F2582,"")</f>
        <v>9.5394249999999996</v>
      </c>
      <c r="H2582" s="46">
        <f>SUM(G2582:G2582)</f>
        <v>9.5394249999999996</v>
      </c>
      <c r="I2582" s="47"/>
      <c r="J2582" s="37">
        <v>0</v>
      </c>
    </row>
    <row r="2583" spans="1:10" ht="15.75" hidden="1" thickBot="1" x14ac:dyDescent="0.3">
      <c r="A2583" s="175"/>
      <c r="B2583" s="178"/>
      <c r="C2583" s="49"/>
      <c r="D2583" s="49"/>
      <c r="E2583" s="50"/>
      <c r="F2583" s="51" t="s">
        <v>13</v>
      </c>
      <c r="G2583" s="52" t="str">
        <f>IF(ISNUMBER(F2583),E2583*F2583,"")</f>
        <v/>
      </c>
      <c r="H2583" s="53"/>
      <c r="I2583" s="38"/>
      <c r="J2583" s="37">
        <v>0</v>
      </c>
    </row>
    <row r="2584" spans="1:10" ht="15.75" hidden="1" thickBot="1" x14ac:dyDescent="0.3">
      <c r="A2584" s="173" t="s">
        <v>629</v>
      </c>
      <c r="B2584" s="176" t="s">
        <v>3612</v>
      </c>
      <c r="C2584" s="31"/>
      <c r="D2584" s="32" t="s">
        <v>106</v>
      </c>
      <c r="E2584" s="33"/>
      <c r="F2584" s="54" t="s">
        <v>13</v>
      </c>
      <c r="G2584" s="34" t="str">
        <f>IF(ISNUMBER(F2584),E2584*F2584,"")</f>
        <v/>
      </c>
      <c r="H2584" s="35"/>
      <c r="I2584" s="36"/>
      <c r="J2584" s="37">
        <v>0</v>
      </c>
    </row>
    <row r="2585" spans="1:10" hidden="1" x14ac:dyDescent="0.25">
      <c r="A2585" s="174"/>
      <c r="B2585" s="177"/>
      <c r="C2585" s="39"/>
      <c r="D2585" s="39"/>
      <c r="E2585" s="40"/>
      <c r="F2585" s="55" t="s">
        <v>13</v>
      </c>
      <c r="G2585" s="41" t="str">
        <f>IF(ISNUMBER(F2585),E2585*F2585,"")</f>
        <v/>
      </c>
      <c r="H2585" s="42"/>
      <c r="I2585" s="38"/>
      <c r="J2585" s="37">
        <v>0</v>
      </c>
    </row>
    <row r="2586" spans="1:10" hidden="1" x14ac:dyDescent="0.25">
      <c r="A2586" s="174"/>
      <c r="B2586" s="177"/>
      <c r="C2586" s="43" t="s">
        <v>11001</v>
      </c>
      <c r="D2586" s="43" t="s">
        <v>1044</v>
      </c>
      <c r="E2586" s="44">
        <v>1.1100000000000001</v>
      </c>
      <c r="F2586" s="38">
        <v>10.041499999999999</v>
      </c>
      <c r="G2586" s="41">
        <f>IF(ISNUMBER(F2586),E2586*F2586,"")</f>
        <v>11.146065</v>
      </c>
      <c r="H2586" s="46">
        <f>SUM(G2586:G2586)</f>
        <v>11.146065</v>
      </c>
      <c r="I2586" s="47"/>
      <c r="J2586" s="37">
        <v>0</v>
      </c>
    </row>
    <row r="2587" spans="1:10" ht="15.75" hidden="1" thickBot="1" x14ac:dyDescent="0.3">
      <c r="A2587" s="175"/>
      <c r="B2587" s="178"/>
      <c r="C2587" s="49"/>
      <c r="D2587" s="49"/>
      <c r="E2587" s="50"/>
      <c r="F2587" s="51" t="s">
        <v>13</v>
      </c>
      <c r="G2587" s="52" t="str">
        <f>IF(ISNUMBER(F2587),E2587*F2587,"")</f>
        <v/>
      </c>
      <c r="H2587" s="53"/>
      <c r="I2587" s="38"/>
      <c r="J2587" s="37">
        <v>0</v>
      </c>
    </row>
    <row r="2588" spans="1:10" ht="15.75" hidden="1" thickBot="1" x14ac:dyDescent="0.3">
      <c r="A2588" s="173" t="s">
        <v>630</v>
      </c>
      <c r="B2588" s="176" t="s">
        <v>3613</v>
      </c>
      <c r="C2588" s="31"/>
      <c r="D2588" s="32" t="s">
        <v>106</v>
      </c>
      <c r="E2588" s="33"/>
      <c r="F2588" s="54" t="s">
        <v>13</v>
      </c>
      <c r="G2588" s="34" t="str">
        <f>IF(ISNUMBER(F2588),E2588*F2588,"")</f>
        <v/>
      </c>
      <c r="H2588" s="35"/>
      <c r="I2588" s="36"/>
      <c r="J2588" s="37">
        <v>0</v>
      </c>
    </row>
    <row r="2589" spans="1:10" hidden="1" x14ac:dyDescent="0.25">
      <c r="A2589" s="174"/>
      <c r="B2589" s="177"/>
      <c r="C2589" s="39"/>
      <c r="D2589" s="39"/>
      <c r="E2589" s="40"/>
      <c r="F2589" s="55" t="s">
        <v>13</v>
      </c>
      <c r="G2589" s="41" t="str">
        <f>IF(ISNUMBER(F2589),E2589*F2589,"")</f>
        <v/>
      </c>
      <c r="H2589" s="42"/>
      <c r="I2589" s="38"/>
      <c r="J2589" s="37">
        <v>0</v>
      </c>
    </row>
    <row r="2590" spans="1:10" hidden="1" x14ac:dyDescent="0.25">
      <c r="A2590" s="174"/>
      <c r="B2590" s="177"/>
      <c r="C2590" s="43" t="s">
        <v>11001</v>
      </c>
      <c r="D2590" s="43" t="s">
        <v>1044</v>
      </c>
      <c r="E2590" s="44">
        <v>0.48</v>
      </c>
      <c r="F2590" s="38">
        <v>10.041499999999999</v>
      </c>
      <c r="G2590" s="41">
        <f>IF(ISNUMBER(F2590),E2590*F2590,"")</f>
        <v>4.8199199999999998</v>
      </c>
      <c r="H2590" s="46">
        <f>SUM(G2590:G2590)</f>
        <v>4.8199199999999998</v>
      </c>
      <c r="I2590" s="47"/>
      <c r="J2590" s="37">
        <v>0</v>
      </c>
    </row>
    <row r="2591" spans="1:10" ht="15.75" hidden="1" thickBot="1" x14ac:dyDescent="0.3">
      <c r="A2591" s="175"/>
      <c r="B2591" s="178"/>
      <c r="C2591" s="49"/>
      <c r="D2591" s="49"/>
      <c r="E2591" s="50"/>
      <c r="F2591" s="51" t="s">
        <v>13</v>
      </c>
      <c r="G2591" s="52" t="str">
        <f>IF(ISNUMBER(F2591),E2591*F2591,"")</f>
        <v/>
      </c>
      <c r="H2591" s="53"/>
      <c r="I2591" s="38"/>
      <c r="J2591" s="37">
        <v>0</v>
      </c>
    </row>
    <row r="2592" spans="1:10" ht="15.75" hidden="1" thickBot="1" x14ac:dyDescent="0.3">
      <c r="A2592" s="173" t="s">
        <v>631</v>
      </c>
      <c r="B2592" s="176" t="s">
        <v>3614</v>
      </c>
      <c r="C2592" s="31"/>
      <c r="D2592" s="32" t="s">
        <v>106</v>
      </c>
      <c r="E2592" s="33"/>
      <c r="F2592" s="54" t="s">
        <v>13</v>
      </c>
      <c r="G2592" s="34" t="str">
        <f>IF(ISNUMBER(F2592),E2592*F2592,"")</f>
        <v/>
      </c>
      <c r="H2592" s="35"/>
      <c r="I2592" s="36"/>
      <c r="J2592" s="37">
        <v>0</v>
      </c>
    </row>
    <row r="2593" spans="1:10" hidden="1" x14ac:dyDescent="0.25">
      <c r="A2593" s="174"/>
      <c r="B2593" s="177"/>
      <c r="C2593" s="39"/>
      <c r="D2593" s="39"/>
      <c r="E2593" s="40"/>
      <c r="F2593" s="55" t="s">
        <v>13</v>
      </c>
      <c r="G2593" s="41" t="str">
        <f>IF(ISNUMBER(F2593),E2593*F2593,"")</f>
        <v/>
      </c>
      <c r="H2593" s="42"/>
      <c r="I2593" s="38"/>
      <c r="J2593" s="37">
        <v>0</v>
      </c>
    </row>
    <row r="2594" spans="1:10" hidden="1" x14ac:dyDescent="0.25">
      <c r="A2594" s="174"/>
      <c r="B2594" s="177"/>
      <c r="C2594" s="43" t="s">
        <v>11001</v>
      </c>
      <c r="D2594" s="43" t="s">
        <v>1044</v>
      </c>
      <c r="E2594" s="44">
        <v>0.71</v>
      </c>
      <c r="F2594" s="38">
        <v>10.041499999999999</v>
      </c>
      <c r="G2594" s="41">
        <f>IF(ISNUMBER(F2594),E2594*F2594,"")</f>
        <v>7.1294649999999988</v>
      </c>
      <c r="H2594" s="46">
        <f>SUM(G2594:G2594)</f>
        <v>7.1294649999999988</v>
      </c>
      <c r="I2594" s="47"/>
      <c r="J2594" s="37">
        <v>0</v>
      </c>
    </row>
    <row r="2595" spans="1:10" ht="15.75" hidden="1" thickBot="1" x14ac:dyDescent="0.3">
      <c r="A2595" s="175"/>
      <c r="B2595" s="178"/>
      <c r="C2595" s="49"/>
      <c r="D2595" s="49"/>
      <c r="E2595" s="50"/>
      <c r="F2595" s="51" t="s">
        <v>13</v>
      </c>
      <c r="G2595" s="52" t="str">
        <f>IF(ISNUMBER(F2595),E2595*F2595,"")</f>
        <v/>
      </c>
      <c r="H2595" s="53"/>
      <c r="I2595" s="38"/>
      <c r="J2595" s="37">
        <v>0</v>
      </c>
    </row>
    <row r="2596" spans="1:10" ht="15.75" hidden="1" thickBot="1" x14ac:dyDescent="0.3">
      <c r="A2596" s="173" t="s">
        <v>632</v>
      </c>
      <c r="B2596" s="176" t="s">
        <v>3615</v>
      </c>
      <c r="C2596" s="31"/>
      <c r="D2596" s="32" t="s">
        <v>106</v>
      </c>
      <c r="E2596" s="33"/>
      <c r="F2596" s="54" t="s">
        <v>13</v>
      </c>
      <c r="G2596" s="34" t="str">
        <f>IF(ISNUMBER(F2596),E2596*F2596,"")</f>
        <v/>
      </c>
      <c r="H2596" s="35"/>
      <c r="I2596" s="36"/>
      <c r="J2596" s="37">
        <v>0</v>
      </c>
    </row>
    <row r="2597" spans="1:10" hidden="1" x14ac:dyDescent="0.25">
      <c r="A2597" s="174"/>
      <c r="B2597" s="177"/>
      <c r="C2597" s="39"/>
      <c r="D2597" s="39"/>
      <c r="E2597" s="40"/>
      <c r="F2597" s="55" t="s">
        <v>13</v>
      </c>
      <c r="G2597" s="41" t="str">
        <f>IF(ISNUMBER(F2597),E2597*F2597,"")</f>
        <v/>
      </c>
      <c r="H2597" s="42"/>
      <c r="I2597" s="38"/>
      <c r="J2597" s="37">
        <v>0</v>
      </c>
    </row>
    <row r="2598" spans="1:10" hidden="1" x14ac:dyDescent="0.25">
      <c r="A2598" s="174"/>
      <c r="B2598" s="177"/>
      <c r="C2598" s="43" t="s">
        <v>11001</v>
      </c>
      <c r="D2598" s="43" t="s">
        <v>1044</v>
      </c>
      <c r="E2598" s="44">
        <v>0.4</v>
      </c>
      <c r="F2598" s="38">
        <v>10.041499999999999</v>
      </c>
      <c r="G2598" s="41">
        <f>IF(ISNUMBER(F2598),E2598*F2598,"")</f>
        <v>4.0165999999999995</v>
      </c>
      <c r="H2598" s="46">
        <f>SUM(G2598:G2598)</f>
        <v>4.0165999999999995</v>
      </c>
      <c r="I2598" s="47"/>
      <c r="J2598" s="37">
        <v>0</v>
      </c>
    </row>
    <row r="2599" spans="1:10" ht="15.75" hidden="1" thickBot="1" x14ac:dyDescent="0.3">
      <c r="A2599" s="175"/>
      <c r="B2599" s="178"/>
      <c r="C2599" s="49"/>
      <c r="D2599" s="49"/>
      <c r="E2599" s="50"/>
      <c r="F2599" s="51" t="s">
        <v>13</v>
      </c>
      <c r="G2599" s="52" t="str">
        <f>IF(ISNUMBER(F2599),E2599*F2599,"")</f>
        <v/>
      </c>
      <c r="H2599" s="53"/>
      <c r="I2599" s="38"/>
      <c r="J2599" s="37">
        <v>0</v>
      </c>
    </row>
    <row r="2600" spans="1:10" ht="15.75" hidden="1" thickBot="1" x14ac:dyDescent="0.3">
      <c r="A2600" s="173" t="s">
        <v>633</v>
      </c>
      <c r="B2600" s="176" t="s">
        <v>3616</v>
      </c>
      <c r="C2600" s="31"/>
      <c r="D2600" s="32" t="s">
        <v>106</v>
      </c>
      <c r="E2600" s="33"/>
      <c r="F2600" s="54" t="s">
        <v>13</v>
      </c>
      <c r="G2600" s="34" t="str">
        <f>IF(ISNUMBER(F2600),E2600*F2600,"")</f>
        <v/>
      </c>
      <c r="H2600" s="35"/>
      <c r="I2600" s="36"/>
      <c r="J2600" s="37">
        <v>0</v>
      </c>
    </row>
    <row r="2601" spans="1:10" hidden="1" x14ac:dyDescent="0.25">
      <c r="A2601" s="174"/>
      <c r="B2601" s="177"/>
      <c r="C2601" s="39"/>
      <c r="D2601" s="39"/>
      <c r="E2601" s="40"/>
      <c r="F2601" s="55" t="s">
        <v>13</v>
      </c>
      <c r="G2601" s="41" t="str">
        <f>IF(ISNUMBER(F2601),E2601*F2601,"")</f>
        <v/>
      </c>
      <c r="H2601" s="42"/>
      <c r="I2601" s="38"/>
      <c r="J2601" s="37">
        <v>0</v>
      </c>
    </row>
    <row r="2602" spans="1:10" hidden="1" x14ac:dyDescent="0.25">
      <c r="A2602" s="174"/>
      <c r="B2602" s="177"/>
      <c r="C2602" s="43" t="s">
        <v>11001</v>
      </c>
      <c r="D2602" s="43" t="s">
        <v>1044</v>
      </c>
      <c r="E2602" s="44">
        <v>0.79</v>
      </c>
      <c r="F2602" s="38">
        <v>10.041499999999999</v>
      </c>
      <c r="G2602" s="41">
        <f>IF(ISNUMBER(F2602),E2602*F2602,"")</f>
        <v>7.932785</v>
      </c>
      <c r="H2602" s="46">
        <f>SUM(G2602:G2602)</f>
        <v>7.932785</v>
      </c>
      <c r="I2602" s="47"/>
      <c r="J2602" s="37">
        <v>0</v>
      </c>
    </row>
    <row r="2603" spans="1:10" ht="15.75" hidden="1" thickBot="1" x14ac:dyDescent="0.3">
      <c r="A2603" s="175"/>
      <c r="B2603" s="178"/>
      <c r="C2603" s="49"/>
      <c r="D2603" s="49"/>
      <c r="E2603" s="50"/>
      <c r="F2603" s="51" t="s">
        <v>13</v>
      </c>
      <c r="G2603" s="52" t="str">
        <f>IF(ISNUMBER(F2603),E2603*F2603,"")</f>
        <v/>
      </c>
      <c r="H2603" s="53"/>
      <c r="I2603" s="38"/>
      <c r="J2603" s="37">
        <v>0</v>
      </c>
    </row>
    <row r="2604" spans="1:10" ht="15.75" hidden="1" thickBot="1" x14ac:dyDescent="0.3">
      <c r="A2604" s="173" t="s">
        <v>634</v>
      </c>
      <c r="B2604" s="176" t="s">
        <v>3617</v>
      </c>
      <c r="C2604" s="31"/>
      <c r="D2604" s="32" t="s">
        <v>106</v>
      </c>
      <c r="E2604" s="33"/>
      <c r="F2604" s="54" t="s">
        <v>13</v>
      </c>
      <c r="G2604" s="34" t="str">
        <f>IF(ISNUMBER(F2604),E2604*F2604,"")</f>
        <v/>
      </c>
      <c r="H2604" s="35"/>
      <c r="I2604" s="36"/>
      <c r="J2604" s="37">
        <v>0</v>
      </c>
    </row>
    <row r="2605" spans="1:10" hidden="1" x14ac:dyDescent="0.25">
      <c r="A2605" s="174"/>
      <c r="B2605" s="177"/>
      <c r="C2605" s="39"/>
      <c r="D2605" s="39"/>
      <c r="E2605" s="40"/>
      <c r="F2605" s="55" t="s">
        <v>13</v>
      </c>
      <c r="G2605" s="41" t="str">
        <f>IF(ISNUMBER(F2605),E2605*F2605,"")</f>
        <v/>
      </c>
      <c r="H2605" s="42"/>
      <c r="I2605" s="38"/>
      <c r="J2605" s="37">
        <v>0</v>
      </c>
    </row>
    <row r="2606" spans="1:10" hidden="1" x14ac:dyDescent="0.25">
      <c r="A2606" s="174"/>
      <c r="B2606" s="177"/>
      <c r="C2606" s="43" t="s">
        <v>11001</v>
      </c>
      <c r="D2606" s="43" t="s">
        <v>1044</v>
      </c>
      <c r="E2606" s="44">
        <v>0.55000000000000004</v>
      </c>
      <c r="F2606" s="38">
        <v>10.041499999999999</v>
      </c>
      <c r="G2606" s="41">
        <f>IF(ISNUMBER(F2606),E2606*F2606,"")</f>
        <v>5.5228250000000001</v>
      </c>
      <c r="H2606" s="46">
        <f>SUM(G2606:G2606)</f>
        <v>5.5228250000000001</v>
      </c>
      <c r="I2606" s="47"/>
      <c r="J2606" s="37">
        <v>0</v>
      </c>
    </row>
    <row r="2607" spans="1:10" ht="15.75" hidden="1" thickBot="1" x14ac:dyDescent="0.3">
      <c r="A2607" s="175"/>
      <c r="B2607" s="178"/>
      <c r="C2607" s="49"/>
      <c r="D2607" s="49"/>
      <c r="E2607" s="50"/>
      <c r="F2607" s="51" t="s">
        <v>13</v>
      </c>
      <c r="G2607" s="52" t="str">
        <f>IF(ISNUMBER(F2607),E2607*F2607,"")</f>
        <v/>
      </c>
      <c r="H2607" s="53"/>
      <c r="I2607" s="38"/>
      <c r="J2607" s="37">
        <v>0</v>
      </c>
    </row>
    <row r="2608" spans="1:10" ht="15.75" hidden="1" thickBot="1" x14ac:dyDescent="0.3">
      <c r="A2608" s="173" t="s">
        <v>635</v>
      </c>
      <c r="B2608" s="176" t="s">
        <v>3618</v>
      </c>
      <c r="C2608" s="31"/>
      <c r="D2608" s="32" t="s">
        <v>106</v>
      </c>
      <c r="E2608" s="33"/>
      <c r="F2608" s="54" t="s">
        <v>13</v>
      </c>
      <c r="G2608" s="34" t="str">
        <f>IF(ISNUMBER(F2608),E2608*F2608,"")</f>
        <v/>
      </c>
      <c r="H2608" s="35"/>
      <c r="I2608" s="36"/>
      <c r="J2608" s="37">
        <v>0</v>
      </c>
    </row>
    <row r="2609" spans="1:10" hidden="1" x14ac:dyDescent="0.25">
      <c r="A2609" s="174"/>
      <c r="B2609" s="177"/>
      <c r="C2609" s="39"/>
      <c r="D2609" s="39"/>
      <c r="E2609" s="40"/>
      <c r="F2609" s="55" t="s">
        <v>13</v>
      </c>
      <c r="G2609" s="41" t="str">
        <f>IF(ISNUMBER(F2609),E2609*F2609,"")</f>
        <v/>
      </c>
      <c r="H2609" s="42"/>
      <c r="I2609" s="38"/>
      <c r="J2609" s="37">
        <v>0</v>
      </c>
    </row>
    <row r="2610" spans="1:10" hidden="1" x14ac:dyDescent="0.25">
      <c r="A2610" s="174"/>
      <c r="B2610" s="177"/>
      <c r="C2610" s="43" t="s">
        <v>11001</v>
      </c>
      <c r="D2610" s="43" t="s">
        <v>1044</v>
      </c>
      <c r="E2610" s="44">
        <v>0.83</v>
      </c>
      <c r="F2610" s="38">
        <v>10.041499999999999</v>
      </c>
      <c r="G2610" s="41">
        <f>IF(ISNUMBER(F2610),E2610*F2610,"")</f>
        <v>8.3344449999999988</v>
      </c>
      <c r="H2610" s="46">
        <f>SUM(G2610:G2610)</f>
        <v>8.3344449999999988</v>
      </c>
      <c r="I2610" s="47"/>
      <c r="J2610" s="37">
        <v>0</v>
      </c>
    </row>
    <row r="2611" spans="1:10" ht="15.75" hidden="1" thickBot="1" x14ac:dyDescent="0.3">
      <c r="A2611" s="175"/>
      <c r="B2611" s="178"/>
      <c r="C2611" s="49"/>
      <c r="D2611" s="49"/>
      <c r="E2611" s="50"/>
      <c r="F2611" s="51" t="s">
        <v>13</v>
      </c>
      <c r="G2611" s="52" t="str">
        <f>IF(ISNUMBER(F2611),E2611*F2611,"")</f>
        <v/>
      </c>
      <c r="H2611" s="53"/>
      <c r="I2611" s="38"/>
      <c r="J2611" s="37">
        <v>0</v>
      </c>
    </row>
    <row r="2612" spans="1:10" ht="15.75" hidden="1" thickBot="1" x14ac:dyDescent="0.3">
      <c r="A2612" s="173" t="s">
        <v>636</v>
      </c>
      <c r="B2612" s="176" t="s">
        <v>3704</v>
      </c>
      <c r="C2612" s="31"/>
      <c r="D2612" s="32" t="s">
        <v>68</v>
      </c>
      <c r="E2612" s="33"/>
      <c r="F2612" s="54" t="s">
        <v>13</v>
      </c>
      <c r="G2612" s="34" t="str">
        <f>IF(ISNUMBER(F2612),E2612*F2612,"")</f>
        <v/>
      </c>
      <c r="H2612" s="35"/>
      <c r="I2612" s="36"/>
      <c r="J2612" s="37">
        <v>0</v>
      </c>
    </row>
    <row r="2613" spans="1:10" hidden="1" x14ac:dyDescent="0.25">
      <c r="A2613" s="174"/>
      <c r="B2613" s="177"/>
      <c r="C2613" s="39"/>
      <c r="D2613" s="39"/>
      <c r="E2613" s="40"/>
      <c r="F2613" s="55" t="s">
        <v>13</v>
      </c>
      <c r="G2613" s="41" t="str">
        <f>IF(ISNUMBER(F2613),E2613*F2613,"")</f>
        <v/>
      </c>
      <c r="H2613" s="42"/>
      <c r="I2613" s="38"/>
      <c r="J2613" s="37">
        <v>0</v>
      </c>
    </row>
    <row r="2614" spans="1:10" hidden="1" x14ac:dyDescent="0.25">
      <c r="A2614" s="174"/>
      <c r="B2614" s="177"/>
      <c r="C2614" s="43" t="s">
        <v>11002</v>
      </c>
      <c r="D2614" s="43" t="s">
        <v>162</v>
      </c>
      <c r="E2614" s="44">
        <v>1</v>
      </c>
      <c r="F2614" s="38">
        <v>4.4175000000000004</v>
      </c>
      <c r="G2614" s="41">
        <f>IF(ISNUMBER(F2614),E2614*F2614,"")</f>
        <v>4.4175000000000004</v>
      </c>
      <c r="H2614" s="46">
        <f>SUM(G2614:G2614)</f>
        <v>4.4175000000000004</v>
      </c>
      <c r="I2614" s="47"/>
      <c r="J2614" s="37">
        <v>0</v>
      </c>
    </row>
    <row r="2615" spans="1:10" ht="15.75" hidden="1" thickBot="1" x14ac:dyDescent="0.3">
      <c r="A2615" s="175"/>
      <c r="B2615" s="178"/>
      <c r="C2615" s="49"/>
      <c r="D2615" s="49"/>
      <c r="E2615" s="50"/>
      <c r="F2615" s="51" t="s">
        <v>13</v>
      </c>
      <c r="G2615" s="52" t="str">
        <f>IF(ISNUMBER(F2615),E2615*F2615,"")</f>
        <v/>
      </c>
      <c r="H2615" s="53"/>
      <c r="I2615" s="38"/>
      <c r="J2615" s="37">
        <v>0</v>
      </c>
    </row>
    <row r="2616" spans="1:10" ht="15.75" hidden="1" thickBot="1" x14ac:dyDescent="0.3">
      <c r="A2616" s="173" t="s">
        <v>637</v>
      </c>
      <c r="B2616" s="176" t="s">
        <v>3707</v>
      </c>
      <c r="C2616" s="31"/>
      <c r="D2616" s="32" t="s">
        <v>72</v>
      </c>
      <c r="E2616" s="33"/>
      <c r="F2616" s="54" t="s">
        <v>13</v>
      </c>
      <c r="G2616" s="34" t="str">
        <f>IF(ISNUMBER(F2616),E2616*F2616,"")</f>
        <v/>
      </c>
      <c r="H2616" s="35"/>
      <c r="I2616" s="36"/>
      <c r="J2616" s="37">
        <v>0</v>
      </c>
    </row>
    <row r="2617" spans="1:10" hidden="1" x14ac:dyDescent="0.25">
      <c r="A2617" s="174"/>
      <c r="B2617" s="177"/>
      <c r="C2617" s="39"/>
      <c r="D2617" s="39"/>
      <c r="E2617" s="40"/>
      <c r="F2617" s="55" t="s">
        <v>13</v>
      </c>
      <c r="G2617" s="41" t="str">
        <f>IF(ISNUMBER(F2617),E2617*F2617,"")</f>
        <v/>
      </c>
      <c r="H2617" s="42"/>
      <c r="I2617" s="38"/>
      <c r="J2617" s="37">
        <v>0</v>
      </c>
    </row>
    <row r="2618" spans="1:10" hidden="1" x14ac:dyDescent="0.25">
      <c r="A2618" s="174"/>
      <c r="B2618" s="177"/>
      <c r="C2618" s="43" t="s">
        <v>11003</v>
      </c>
      <c r="D2618" s="43" t="s">
        <v>1044</v>
      </c>
      <c r="E2618" s="44">
        <v>1</v>
      </c>
      <c r="F2618" s="38">
        <v>24.975499999999997</v>
      </c>
      <c r="G2618" s="41">
        <f>IF(ISNUMBER(F2618),E2618*F2618,"")</f>
        <v>24.975499999999997</v>
      </c>
      <c r="H2618" s="46">
        <f>SUM(G2618:G2618)</f>
        <v>24.975499999999997</v>
      </c>
      <c r="I2618" s="47"/>
      <c r="J2618" s="37">
        <v>0</v>
      </c>
    </row>
    <row r="2619" spans="1:10" ht="15.75" hidden="1" thickBot="1" x14ac:dyDescent="0.3">
      <c r="A2619" s="175"/>
      <c r="B2619" s="178"/>
      <c r="C2619" s="49"/>
      <c r="D2619" s="49"/>
      <c r="E2619" s="50"/>
      <c r="F2619" s="51" t="s">
        <v>13</v>
      </c>
      <c r="G2619" s="52" t="str">
        <f>IF(ISNUMBER(F2619),E2619*F2619,"")</f>
        <v/>
      </c>
      <c r="H2619" s="53"/>
      <c r="I2619" s="38"/>
      <c r="J2619" s="37">
        <v>0</v>
      </c>
    </row>
    <row r="2620" spans="1:10" ht="15.75" hidden="1" thickBot="1" x14ac:dyDescent="0.3">
      <c r="A2620" s="173" t="s">
        <v>638</v>
      </c>
      <c r="B2620" s="176" t="s">
        <v>3710</v>
      </c>
      <c r="C2620" s="31"/>
      <c r="D2620" s="32" t="s">
        <v>68</v>
      </c>
      <c r="E2620" s="33"/>
      <c r="F2620" s="54" t="s">
        <v>13</v>
      </c>
      <c r="G2620" s="34" t="str">
        <f>IF(ISNUMBER(F2620),E2620*F2620,"")</f>
        <v/>
      </c>
      <c r="H2620" s="35"/>
      <c r="I2620" s="36"/>
      <c r="J2620" s="37">
        <v>0</v>
      </c>
    </row>
    <row r="2621" spans="1:10" hidden="1" x14ac:dyDescent="0.25">
      <c r="A2621" s="174"/>
      <c r="B2621" s="177"/>
      <c r="C2621" s="39"/>
      <c r="D2621" s="39"/>
      <c r="E2621" s="40"/>
      <c r="F2621" s="55" t="s">
        <v>13</v>
      </c>
      <c r="G2621" s="41" t="str">
        <f>IF(ISNUMBER(F2621),E2621*F2621,"")</f>
        <v/>
      </c>
      <c r="H2621" s="42"/>
      <c r="I2621" s="38"/>
      <c r="J2621" s="37">
        <v>0</v>
      </c>
    </row>
    <row r="2622" spans="1:10" ht="25.5" hidden="1" x14ac:dyDescent="0.25">
      <c r="A2622" s="174"/>
      <c r="B2622" s="177"/>
      <c r="C2622" s="43" t="s">
        <v>11004</v>
      </c>
      <c r="D2622" s="43" t="s">
        <v>162</v>
      </c>
      <c r="E2622" s="44">
        <v>1</v>
      </c>
      <c r="F2622" s="38">
        <v>31.463999999999995</v>
      </c>
      <c r="G2622" s="41">
        <f>IF(ISNUMBER(F2622),E2622*F2622,"")</f>
        <v>31.463999999999995</v>
      </c>
      <c r="H2622" s="46">
        <f>SUM(G2622:G2622)</f>
        <v>31.463999999999995</v>
      </c>
      <c r="I2622" s="47"/>
      <c r="J2622" s="37">
        <v>0</v>
      </c>
    </row>
    <row r="2623" spans="1:10" ht="15.75" hidden="1" thickBot="1" x14ac:dyDescent="0.3">
      <c r="A2623" s="175"/>
      <c r="B2623" s="178"/>
      <c r="C2623" s="49"/>
      <c r="D2623" s="49"/>
      <c r="E2623" s="50"/>
      <c r="F2623" s="51" t="s">
        <v>13</v>
      </c>
      <c r="G2623" s="52" t="str">
        <f>IF(ISNUMBER(F2623),E2623*F2623,"")</f>
        <v/>
      </c>
      <c r="H2623" s="53"/>
      <c r="I2623" s="38"/>
      <c r="J2623" s="37">
        <v>0</v>
      </c>
    </row>
    <row r="2624" spans="1:10" ht="15.75" hidden="1" thickBot="1" x14ac:dyDescent="0.3">
      <c r="A2624" s="173" t="s">
        <v>639</v>
      </c>
      <c r="B2624" s="176" t="s">
        <v>3711</v>
      </c>
      <c r="C2624" s="31"/>
      <c r="D2624" s="32" t="s">
        <v>18</v>
      </c>
      <c r="E2624" s="33"/>
      <c r="F2624" s="54" t="s">
        <v>13</v>
      </c>
      <c r="G2624" s="34" t="str">
        <f>IF(ISNUMBER(F2624),E2624*F2624,"")</f>
        <v/>
      </c>
      <c r="H2624" s="35"/>
      <c r="I2624" s="36"/>
      <c r="J2624" s="37">
        <v>0</v>
      </c>
    </row>
    <row r="2625" spans="1:10" hidden="1" x14ac:dyDescent="0.25">
      <c r="A2625" s="174"/>
      <c r="B2625" s="177"/>
      <c r="C2625" s="39"/>
      <c r="D2625" s="39"/>
      <c r="E2625" s="40"/>
      <c r="F2625" s="55" t="s">
        <v>13</v>
      </c>
      <c r="G2625" s="41" t="str">
        <f>IF(ISNUMBER(F2625),E2625*F2625,"")</f>
        <v/>
      </c>
      <c r="H2625" s="42"/>
      <c r="I2625" s="38"/>
      <c r="J2625" s="37">
        <v>0</v>
      </c>
    </row>
    <row r="2626" spans="1:10" hidden="1" x14ac:dyDescent="0.25">
      <c r="A2626" s="174"/>
      <c r="B2626" s="177"/>
      <c r="C2626" s="43" t="s">
        <v>10875</v>
      </c>
      <c r="D2626" s="43" t="s">
        <v>1044</v>
      </c>
      <c r="E2626" s="44">
        <v>0.4</v>
      </c>
      <c r="F2626" s="38">
        <v>27.777999999999999</v>
      </c>
      <c r="G2626" s="41">
        <f>IF(ISNUMBER(F2626),E2626*F2626,"")</f>
        <v>11.1112</v>
      </c>
      <c r="H2626" s="46">
        <f>SUM(G2626:G2626)</f>
        <v>11.1112</v>
      </c>
      <c r="I2626" s="47"/>
      <c r="J2626" s="37">
        <v>0</v>
      </c>
    </row>
    <row r="2627" spans="1:10" ht="15.75" hidden="1" thickBot="1" x14ac:dyDescent="0.3">
      <c r="A2627" s="175"/>
      <c r="B2627" s="178"/>
      <c r="C2627" s="49"/>
      <c r="D2627" s="49"/>
      <c r="E2627" s="50"/>
      <c r="F2627" s="51" t="s">
        <v>13</v>
      </c>
      <c r="G2627" s="52" t="str">
        <f>IF(ISNUMBER(F2627),E2627*F2627,"")</f>
        <v/>
      </c>
      <c r="H2627" s="53"/>
      <c r="I2627" s="38"/>
      <c r="J2627" s="37">
        <v>0</v>
      </c>
    </row>
    <row r="2628" spans="1:10" ht="15.75" hidden="1" thickBot="1" x14ac:dyDescent="0.3">
      <c r="A2628" s="173" t="s">
        <v>640</v>
      </c>
      <c r="B2628" s="176" t="s">
        <v>3712</v>
      </c>
      <c r="C2628" s="31"/>
      <c r="D2628" s="32" t="s">
        <v>3713</v>
      </c>
      <c r="E2628" s="33"/>
      <c r="F2628" s="54" t="s">
        <v>13</v>
      </c>
      <c r="G2628" s="34" t="str">
        <f>IF(ISNUMBER(F2628),E2628*F2628,"")</f>
        <v/>
      </c>
      <c r="H2628" s="35"/>
      <c r="I2628" s="36"/>
      <c r="J2628" s="37">
        <v>0</v>
      </c>
    </row>
    <row r="2629" spans="1:10" hidden="1" x14ac:dyDescent="0.25">
      <c r="A2629" s="174"/>
      <c r="B2629" s="177"/>
      <c r="C2629" s="39"/>
      <c r="D2629" s="39"/>
      <c r="E2629" s="40"/>
      <c r="F2629" s="55" t="s">
        <v>13</v>
      </c>
      <c r="G2629" s="41" t="str">
        <f>IF(ISNUMBER(F2629),E2629*F2629,"")</f>
        <v/>
      </c>
      <c r="H2629" s="42"/>
      <c r="I2629" s="38"/>
      <c r="J2629" s="37">
        <v>0</v>
      </c>
    </row>
    <row r="2630" spans="1:10" hidden="1" x14ac:dyDescent="0.25">
      <c r="A2630" s="174"/>
      <c r="B2630" s="177"/>
      <c r="C2630" s="43" t="s">
        <v>11005</v>
      </c>
      <c r="D2630" s="43" t="s">
        <v>1044</v>
      </c>
      <c r="E2630" s="44">
        <v>40</v>
      </c>
      <c r="F2630" s="38">
        <v>0.59849999999999992</v>
      </c>
      <c r="G2630" s="41">
        <f>IF(ISNUMBER(F2630),E2630*F2630,"")</f>
        <v>23.939999999999998</v>
      </c>
      <c r="H2630" s="46">
        <f>SUM(G2630:G2630)</f>
        <v>23.939999999999998</v>
      </c>
      <c r="I2630" s="47"/>
      <c r="J2630" s="37">
        <v>0</v>
      </c>
    </row>
    <row r="2631" spans="1:10" ht="15.75" hidden="1" thickBot="1" x14ac:dyDescent="0.3">
      <c r="A2631" s="175"/>
      <c r="B2631" s="178"/>
      <c r="C2631" s="49"/>
      <c r="D2631" s="49"/>
      <c r="E2631" s="50"/>
      <c r="F2631" s="51" t="s">
        <v>13</v>
      </c>
      <c r="G2631" s="52" t="str">
        <f>IF(ISNUMBER(F2631),E2631*F2631,"")</f>
        <v/>
      </c>
      <c r="H2631" s="53"/>
      <c r="I2631" s="38"/>
      <c r="J2631" s="37">
        <v>0</v>
      </c>
    </row>
    <row r="2632" spans="1:10" ht="15.75" hidden="1" thickBot="1" x14ac:dyDescent="0.3">
      <c r="A2632" s="173" t="s">
        <v>641</v>
      </c>
      <c r="B2632" s="176" t="s">
        <v>3714</v>
      </c>
      <c r="C2632" s="31"/>
      <c r="D2632" s="32" t="s">
        <v>3713</v>
      </c>
      <c r="E2632" s="33"/>
      <c r="F2632" s="54" t="s">
        <v>13</v>
      </c>
      <c r="G2632" s="34" t="str">
        <f>IF(ISNUMBER(F2632),E2632*F2632,"")</f>
        <v/>
      </c>
      <c r="H2632" s="35"/>
      <c r="I2632" s="36"/>
      <c r="J2632" s="37">
        <v>0</v>
      </c>
    </row>
    <row r="2633" spans="1:10" hidden="1" x14ac:dyDescent="0.25">
      <c r="A2633" s="174"/>
      <c r="B2633" s="177"/>
      <c r="C2633" s="39"/>
      <c r="D2633" s="39"/>
      <c r="E2633" s="40"/>
      <c r="F2633" s="55" t="s">
        <v>13</v>
      </c>
      <c r="G2633" s="41" t="str">
        <f>IF(ISNUMBER(F2633),E2633*F2633,"")</f>
        <v/>
      </c>
      <c r="H2633" s="42"/>
      <c r="I2633" s="38"/>
      <c r="J2633" s="37">
        <v>0</v>
      </c>
    </row>
    <row r="2634" spans="1:10" ht="25.5" hidden="1" x14ac:dyDescent="0.25">
      <c r="A2634" s="174"/>
      <c r="B2634" s="177"/>
      <c r="C2634" s="43" t="s">
        <v>10863</v>
      </c>
      <c r="D2634" s="43" t="s">
        <v>1044</v>
      </c>
      <c r="E2634" s="44">
        <v>40</v>
      </c>
      <c r="F2634" s="38">
        <v>0.627</v>
      </c>
      <c r="G2634" s="41">
        <f>IF(ISNUMBER(F2634),E2634*F2634,"")</f>
        <v>25.08</v>
      </c>
      <c r="H2634" s="46">
        <f>SUM(G2634:G2634)</f>
        <v>25.08</v>
      </c>
      <c r="I2634" s="47"/>
      <c r="J2634" s="37">
        <v>0</v>
      </c>
    </row>
    <row r="2635" spans="1:10" ht="15.75" hidden="1" thickBot="1" x14ac:dyDescent="0.3">
      <c r="A2635" s="175"/>
      <c r="B2635" s="178"/>
      <c r="C2635" s="49"/>
      <c r="D2635" s="49"/>
      <c r="E2635" s="50"/>
      <c r="F2635" s="51" t="s">
        <v>13</v>
      </c>
      <c r="G2635" s="52" t="str">
        <f>IF(ISNUMBER(F2635),E2635*F2635,"")</f>
        <v/>
      </c>
      <c r="H2635" s="53"/>
      <c r="I2635" s="38"/>
      <c r="J2635" s="37">
        <v>0</v>
      </c>
    </row>
    <row r="2636" spans="1:10" ht="15.75" hidden="1" thickBot="1" x14ac:dyDescent="0.3">
      <c r="A2636" s="173" t="s">
        <v>642</v>
      </c>
      <c r="B2636" s="176" t="s">
        <v>3715</v>
      </c>
      <c r="C2636" s="31"/>
      <c r="D2636" s="32" t="s">
        <v>3716</v>
      </c>
      <c r="E2636" s="33"/>
      <c r="F2636" s="54" t="s">
        <v>13</v>
      </c>
      <c r="G2636" s="34" t="str">
        <f>IF(ISNUMBER(F2636),E2636*F2636,"")</f>
        <v/>
      </c>
      <c r="H2636" s="35"/>
      <c r="I2636" s="36"/>
      <c r="J2636" s="37">
        <v>0</v>
      </c>
    </row>
    <row r="2637" spans="1:10" hidden="1" x14ac:dyDescent="0.25">
      <c r="A2637" s="174"/>
      <c r="B2637" s="177"/>
      <c r="C2637" s="39"/>
      <c r="D2637" s="39"/>
      <c r="E2637" s="40"/>
      <c r="F2637" s="55" t="s">
        <v>13</v>
      </c>
      <c r="G2637" s="41" t="str">
        <f>IF(ISNUMBER(F2637),E2637*F2637,"")</f>
        <v/>
      </c>
      <c r="H2637" s="42"/>
      <c r="I2637" s="38"/>
      <c r="J2637" s="37">
        <v>0</v>
      </c>
    </row>
    <row r="2638" spans="1:10" hidden="1" x14ac:dyDescent="0.25">
      <c r="A2638" s="174"/>
      <c r="B2638" s="177"/>
      <c r="C2638" s="43" t="s">
        <v>10648</v>
      </c>
      <c r="D2638" s="43" t="s">
        <v>1044</v>
      </c>
      <c r="E2638" s="44">
        <v>50</v>
      </c>
      <c r="F2638" s="38">
        <v>0.64600000000000002</v>
      </c>
      <c r="G2638" s="41">
        <f>IF(ISNUMBER(F2638),E2638*F2638,"")</f>
        <v>32.300000000000004</v>
      </c>
      <c r="H2638" s="46">
        <f>SUM(G2638:G2638)</f>
        <v>32.300000000000004</v>
      </c>
      <c r="I2638" s="47"/>
      <c r="J2638" s="37">
        <v>0</v>
      </c>
    </row>
    <row r="2639" spans="1:10" ht="15.75" hidden="1" thickBot="1" x14ac:dyDescent="0.3">
      <c r="A2639" s="175"/>
      <c r="B2639" s="178"/>
      <c r="C2639" s="49"/>
      <c r="D2639" s="49"/>
      <c r="E2639" s="50"/>
      <c r="F2639" s="51" t="s">
        <v>13</v>
      </c>
      <c r="G2639" s="52" t="str">
        <f>IF(ISNUMBER(F2639),E2639*F2639,"")</f>
        <v/>
      </c>
      <c r="H2639" s="53"/>
      <c r="I2639" s="38"/>
      <c r="J2639" s="37">
        <v>0</v>
      </c>
    </row>
    <row r="2640" spans="1:10" ht="15.75" hidden="1" thickBot="1" x14ac:dyDescent="0.3">
      <c r="A2640" s="173" t="s">
        <v>643</v>
      </c>
      <c r="B2640" s="176" t="s">
        <v>3717</v>
      </c>
      <c r="C2640" s="31"/>
      <c r="D2640" s="32" t="s">
        <v>3718</v>
      </c>
      <c r="E2640" s="33"/>
      <c r="F2640" s="54" t="s">
        <v>13</v>
      </c>
      <c r="G2640" s="34" t="str">
        <f>IF(ISNUMBER(F2640),E2640*F2640,"")</f>
        <v/>
      </c>
      <c r="H2640" s="35"/>
      <c r="I2640" s="36"/>
      <c r="J2640" s="37">
        <v>0</v>
      </c>
    </row>
    <row r="2641" spans="1:10" hidden="1" x14ac:dyDescent="0.25">
      <c r="A2641" s="174"/>
      <c r="B2641" s="177"/>
      <c r="C2641" s="39"/>
      <c r="D2641" s="39"/>
      <c r="E2641" s="40"/>
      <c r="F2641" s="55" t="s">
        <v>13</v>
      </c>
      <c r="G2641" s="41" t="str">
        <f>IF(ISNUMBER(F2641),E2641*F2641,"")</f>
        <v/>
      </c>
      <c r="H2641" s="42"/>
      <c r="I2641" s="38"/>
      <c r="J2641" s="37">
        <v>0</v>
      </c>
    </row>
    <row r="2642" spans="1:10" hidden="1" x14ac:dyDescent="0.25">
      <c r="A2642" s="174"/>
      <c r="B2642" s="177"/>
      <c r="C2642" s="43" t="s">
        <v>10872</v>
      </c>
      <c r="D2642" s="43" t="s">
        <v>1044</v>
      </c>
      <c r="E2642" s="44">
        <v>20</v>
      </c>
      <c r="F2642" s="38">
        <v>1.7765</v>
      </c>
      <c r="G2642" s="41">
        <f>IF(ISNUMBER(F2642),E2642*F2642,"")</f>
        <v>35.53</v>
      </c>
      <c r="H2642" s="46">
        <f>SUM(G2642:G2642)</f>
        <v>35.53</v>
      </c>
      <c r="I2642" s="47"/>
      <c r="J2642" s="37">
        <v>0</v>
      </c>
    </row>
    <row r="2643" spans="1:10" ht="15.75" hidden="1" thickBot="1" x14ac:dyDescent="0.3">
      <c r="A2643" s="175"/>
      <c r="B2643" s="178"/>
      <c r="C2643" s="49"/>
      <c r="D2643" s="49"/>
      <c r="E2643" s="50"/>
      <c r="F2643" s="51" t="s">
        <v>13</v>
      </c>
      <c r="G2643" s="52" t="str">
        <f>IF(ISNUMBER(F2643),E2643*F2643,"")</f>
        <v/>
      </c>
      <c r="H2643" s="53"/>
      <c r="I2643" s="38"/>
      <c r="J2643" s="37">
        <v>0</v>
      </c>
    </row>
    <row r="2644" spans="1:10" ht="15.75" hidden="1" thickBot="1" x14ac:dyDescent="0.3">
      <c r="A2644" s="173" t="s">
        <v>644</v>
      </c>
      <c r="B2644" s="176" t="s">
        <v>3719</v>
      </c>
      <c r="C2644" s="31"/>
      <c r="D2644" s="32" t="s">
        <v>3713</v>
      </c>
      <c r="E2644" s="33"/>
      <c r="F2644" s="54" t="s">
        <v>13</v>
      </c>
      <c r="G2644" s="34" t="str">
        <f>IF(ISNUMBER(F2644),E2644*F2644,"")</f>
        <v/>
      </c>
      <c r="H2644" s="35"/>
      <c r="I2644" s="36"/>
      <c r="J2644" s="37">
        <v>0</v>
      </c>
    </row>
    <row r="2645" spans="1:10" hidden="1" x14ac:dyDescent="0.25">
      <c r="A2645" s="174"/>
      <c r="B2645" s="177"/>
      <c r="C2645" s="39"/>
      <c r="D2645" s="39"/>
      <c r="E2645" s="40"/>
      <c r="F2645" s="55" t="s">
        <v>13</v>
      </c>
      <c r="G2645" s="41" t="str">
        <f>IF(ISNUMBER(F2645),E2645*F2645,"")</f>
        <v/>
      </c>
      <c r="H2645" s="42"/>
      <c r="I2645" s="38"/>
      <c r="J2645" s="37">
        <v>0</v>
      </c>
    </row>
    <row r="2646" spans="1:10" ht="25.5" hidden="1" x14ac:dyDescent="0.25">
      <c r="A2646" s="174"/>
      <c r="B2646" s="177"/>
      <c r="C2646" s="43" t="s">
        <v>11006</v>
      </c>
      <c r="D2646" s="43" t="s">
        <v>1044</v>
      </c>
      <c r="E2646" s="44">
        <v>40</v>
      </c>
      <c r="F2646" s="38">
        <v>0.71249999999999991</v>
      </c>
      <c r="G2646" s="41">
        <f>IF(ISNUMBER(F2646),E2646*F2646,"")</f>
        <v>28.499999999999996</v>
      </c>
      <c r="H2646" s="46">
        <f>SUM(G2646:G2646)</f>
        <v>28.499999999999996</v>
      </c>
      <c r="I2646" s="47"/>
      <c r="J2646" s="37">
        <v>0</v>
      </c>
    </row>
    <row r="2647" spans="1:10" ht="15.75" hidden="1" thickBot="1" x14ac:dyDescent="0.3">
      <c r="A2647" s="175"/>
      <c r="B2647" s="178"/>
      <c r="C2647" s="49"/>
      <c r="D2647" s="49"/>
      <c r="E2647" s="50"/>
      <c r="F2647" s="51" t="s">
        <v>13</v>
      </c>
      <c r="G2647" s="52" t="str">
        <f>IF(ISNUMBER(F2647),E2647*F2647,"")</f>
        <v/>
      </c>
      <c r="H2647" s="53"/>
      <c r="I2647" s="38"/>
      <c r="J2647" s="37">
        <v>0</v>
      </c>
    </row>
    <row r="2648" spans="1:10" ht="15.75" hidden="1" thickBot="1" x14ac:dyDescent="0.3">
      <c r="A2648" s="173" t="s">
        <v>645</v>
      </c>
      <c r="B2648" s="176" t="s">
        <v>3720</v>
      </c>
      <c r="C2648" s="31"/>
      <c r="D2648" s="32" t="s">
        <v>1788</v>
      </c>
      <c r="E2648" s="33"/>
      <c r="F2648" s="54" t="s">
        <v>13</v>
      </c>
      <c r="G2648" s="34" t="str">
        <f>IF(ISNUMBER(F2648),E2648*F2648,"")</f>
        <v/>
      </c>
      <c r="H2648" s="35"/>
      <c r="I2648" s="36"/>
      <c r="J2648" s="37">
        <v>0</v>
      </c>
    </row>
    <row r="2649" spans="1:10" hidden="1" x14ac:dyDescent="0.25">
      <c r="A2649" s="174"/>
      <c r="B2649" s="177"/>
      <c r="C2649" s="39"/>
      <c r="D2649" s="39"/>
      <c r="E2649" s="40"/>
      <c r="F2649" s="55" t="s">
        <v>13</v>
      </c>
      <c r="G2649" s="41" t="str">
        <f>IF(ISNUMBER(F2649),E2649*F2649,"")</f>
        <v/>
      </c>
      <c r="H2649" s="42"/>
      <c r="I2649" s="38"/>
      <c r="J2649" s="37">
        <v>0</v>
      </c>
    </row>
    <row r="2650" spans="1:10" ht="25.5" hidden="1" x14ac:dyDescent="0.25">
      <c r="A2650" s="174"/>
      <c r="B2650" s="177"/>
      <c r="C2650" s="43" t="s">
        <v>10647</v>
      </c>
      <c r="D2650" s="43" t="s">
        <v>2880</v>
      </c>
      <c r="E2650" s="44">
        <v>1</v>
      </c>
      <c r="F2650" s="38">
        <v>199.71849999999998</v>
      </c>
      <c r="G2650" s="41">
        <f>IF(ISNUMBER(F2650),E2650*F2650,"")</f>
        <v>199.71849999999998</v>
      </c>
      <c r="H2650" s="46">
        <f>SUM(G2650:G2652)</f>
        <v>247.31711474999997</v>
      </c>
      <c r="I2650" s="47"/>
      <c r="J2650" s="37">
        <v>0</v>
      </c>
    </row>
    <row r="2651" spans="1:10" ht="51" hidden="1" x14ac:dyDescent="0.25">
      <c r="A2651" s="174"/>
      <c r="B2651" s="177"/>
      <c r="C2651" s="43" t="s">
        <v>10624</v>
      </c>
      <c r="D2651" s="43" t="s">
        <v>2880</v>
      </c>
      <c r="E2651" s="44">
        <f>E2650</f>
        <v>1</v>
      </c>
      <c r="F2651" s="41">
        <v>8.5522277500000001</v>
      </c>
      <c r="G2651" s="41">
        <f>IF(ISNUMBER(F2651),E2651*F2651,"")</f>
        <v>8.5522277500000001</v>
      </c>
      <c r="H2651" s="42"/>
      <c r="I2651" s="38"/>
      <c r="J2651" s="37">
        <v>0</v>
      </c>
    </row>
    <row r="2652" spans="1:10" ht="38.25" hidden="1" x14ac:dyDescent="0.25">
      <c r="A2652" s="174"/>
      <c r="B2652" s="177"/>
      <c r="C2652" s="43" t="s">
        <v>10696</v>
      </c>
      <c r="D2652" s="43" t="s">
        <v>10816</v>
      </c>
      <c r="E2652" s="44">
        <f>E2650*20</f>
        <v>20</v>
      </c>
      <c r="F2652" s="38">
        <v>1.9523193499999996</v>
      </c>
      <c r="G2652" s="41">
        <f>IF(ISNUMBER(F2652),E2652*F2652,"")</f>
        <v>39.046386999999989</v>
      </c>
      <c r="H2652" s="42"/>
      <c r="I2652" s="38"/>
      <c r="J2652" s="37">
        <v>0</v>
      </c>
    </row>
    <row r="2653" spans="1:10" hidden="1" x14ac:dyDescent="0.25">
      <c r="A2653" s="174"/>
      <c r="B2653" s="177"/>
      <c r="C2653" s="43"/>
      <c r="D2653" s="62"/>
      <c r="E2653" s="44"/>
      <c r="F2653" s="38" t="s">
        <v>13</v>
      </c>
      <c r="G2653" s="41" t="str">
        <f>IF(ISNUMBER(F2653),E2653*F2653,"")</f>
        <v/>
      </c>
      <c r="H2653" s="42"/>
      <c r="I2653" s="38"/>
      <c r="J2653" s="37">
        <v>0</v>
      </c>
    </row>
    <row r="2654" spans="1:10" hidden="1" x14ac:dyDescent="0.25">
      <c r="A2654" s="174"/>
      <c r="B2654" s="177"/>
      <c r="C2654" s="4" t="s">
        <v>646</v>
      </c>
      <c r="D2654" s="62"/>
      <c r="E2654" s="44"/>
      <c r="F2654" s="38" t="s">
        <v>13</v>
      </c>
      <c r="G2654" s="41" t="str">
        <f>IF(ISNUMBER(F2654),E2654*F2654,"")</f>
        <v/>
      </c>
      <c r="H2654" s="42"/>
      <c r="I2654" s="38"/>
      <c r="J2654" s="37">
        <v>0</v>
      </c>
    </row>
    <row r="2655" spans="1:10" ht="15.75" hidden="1" thickBot="1" x14ac:dyDescent="0.3">
      <c r="A2655" s="175"/>
      <c r="B2655" s="178"/>
      <c r="C2655" s="49"/>
      <c r="D2655" s="49"/>
      <c r="E2655" s="50"/>
      <c r="F2655" s="51" t="s">
        <v>13</v>
      </c>
      <c r="G2655" s="52" t="str">
        <f>IF(ISNUMBER(F2655),E2655*F2655,"")</f>
        <v/>
      </c>
      <c r="H2655" s="53"/>
      <c r="I2655" s="38"/>
      <c r="J2655" s="37">
        <v>0</v>
      </c>
    </row>
    <row r="2656" spans="1:10" ht="15.75" hidden="1" thickBot="1" x14ac:dyDescent="0.3">
      <c r="A2656" s="173" t="s">
        <v>647</v>
      </c>
      <c r="B2656" s="176" t="s">
        <v>3721</v>
      </c>
      <c r="C2656" s="31"/>
      <c r="D2656" s="32" t="s">
        <v>1788</v>
      </c>
      <c r="E2656" s="33"/>
      <c r="F2656" s="54" t="s">
        <v>13</v>
      </c>
      <c r="G2656" s="34" t="str">
        <f>IF(ISNUMBER(F2656),E2656*F2656,"")</f>
        <v/>
      </c>
      <c r="H2656" s="35"/>
      <c r="I2656" s="36"/>
      <c r="J2656" s="37">
        <v>0</v>
      </c>
    </row>
    <row r="2657" spans="1:10" hidden="1" x14ac:dyDescent="0.25">
      <c r="A2657" s="174"/>
      <c r="B2657" s="177"/>
      <c r="C2657" s="39"/>
      <c r="D2657" s="39"/>
      <c r="E2657" s="40"/>
      <c r="F2657" s="55" t="s">
        <v>13</v>
      </c>
      <c r="G2657" s="41" t="str">
        <f>IF(ISNUMBER(F2657),E2657*F2657,"")</f>
        <v/>
      </c>
      <c r="H2657" s="42"/>
      <c r="I2657" s="38"/>
      <c r="J2657" s="37">
        <v>0</v>
      </c>
    </row>
    <row r="2658" spans="1:10" ht="25.5" hidden="1" x14ac:dyDescent="0.25">
      <c r="A2658" s="174"/>
      <c r="B2658" s="177"/>
      <c r="C2658" s="43" t="s">
        <v>10665</v>
      </c>
      <c r="D2658" s="43" t="s">
        <v>2880</v>
      </c>
      <c r="E2658" s="44">
        <v>1</v>
      </c>
      <c r="F2658" s="38">
        <v>224.941</v>
      </c>
      <c r="G2658" s="41">
        <f>IF(ISNUMBER(F2658),E2658*F2658,"")</f>
        <v>224.941</v>
      </c>
      <c r="H2658" s="46">
        <f>SUM(G2658:G2660)</f>
        <v>272.53961475</v>
      </c>
      <c r="I2658" s="47"/>
      <c r="J2658" s="37">
        <v>0</v>
      </c>
    </row>
    <row r="2659" spans="1:10" ht="51" hidden="1" x14ac:dyDescent="0.25">
      <c r="A2659" s="174"/>
      <c r="B2659" s="177"/>
      <c r="C2659" s="43" t="s">
        <v>10624</v>
      </c>
      <c r="D2659" s="43" t="s">
        <v>2880</v>
      </c>
      <c r="E2659" s="44">
        <f>E2658</f>
        <v>1</v>
      </c>
      <c r="F2659" s="41">
        <v>8.5522277500000001</v>
      </c>
      <c r="G2659" s="41">
        <f>IF(ISNUMBER(F2659),E2659*F2659,"")</f>
        <v>8.5522277500000001</v>
      </c>
      <c r="H2659" s="42"/>
      <c r="I2659" s="38"/>
      <c r="J2659" s="37">
        <v>0</v>
      </c>
    </row>
    <row r="2660" spans="1:10" ht="38.25" hidden="1" x14ac:dyDescent="0.25">
      <c r="A2660" s="174"/>
      <c r="B2660" s="177"/>
      <c r="C2660" s="43" t="s">
        <v>10696</v>
      </c>
      <c r="D2660" s="43" t="s">
        <v>10816</v>
      </c>
      <c r="E2660" s="44">
        <f>E2658*20</f>
        <v>20</v>
      </c>
      <c r="F2660" s="38">
        <v>1.9523193499999996</v>
      </c>
      <c r="G2660" s="41">
        <f>IF(ISNUMBER(F2660),E2660*F2660,"")</f>
        <v>39.046386999999989</v>
      </c>
      <c r="H2660" s="42"/>
      <c r="I2660" s="38"/>
      <c r="J2660" s="37">
        <v>0</v>
      </c>
    </row>
    <row r="2661" spans="1:10" hidden="1" x14ac:dyDescent="0.25">
      <c r="A2661" s="174"/>
      <c r="B2661" s="177"/>
      <c r="C2661" s="43"/>
      <c r="D2661" s="62"/>
      <c r="E2661" s="44"/>
      <c r="F2661" s="38" t="s">
        <v>13</v>
      </c>
      <c r="G2661" s="41" t="str">
        <f>IF(ISNUMBER(F2661),E2661*F2661,"")</f>
        <v/>
      </c>
      <c r="H2661" s="42"/>
      <c r="I2661" s="38"/>
      <c r="J2661" s="37">
        <v>0</v>
      </c>
    </row>
    <row r="2662" spans="1:10" hidden="1" x14ac:dyDescent="0.25">
      <c r="A2662" s="174"/>
      <c r="B2662" s="177"/>
      <c r="C2662" s="4" t="s">
        <v>648</v>
      </c>
      <c r="D2662" s="62"/>
      <c r="E2662" s="44"/>
      <c r="F2662" s="38" t="s">
        <v>13</v>
      </c>
      <c r="G2662" s="41" t="str">
        <f>IF(ISNUMBER(F2662),E2662*F2662,"")</f>
        <v/>
      </c>
      <c r="H2662" s="42"/>
      <c r="I2662" s="38"/>
      <c r="J2662" s="37">
        <v>0</v>
      </c>
    </row>
    <row r="2663" spans="1:10" ht="15.75" hidden="1" thickBot="1" x14ac:dyDescent="0.3">
      <c r="A2663" s="175"/>
      <c r="B2663" s="178"/>
      <c r="C2663" s="49"/>
      <c r="D2663" s="49"/>
      <c r="E2663" s="50"/>
      <c r="F2663" s="51" t="s">
        <v>13</v>
      </c>
      <c r="G2663" s="52" t="str">
        <f>IF(ISNUMBER(F2663),E2663*F2663,"")</f>
        <v/>
      </c>
      <c r="H2663" s="53"/>
      <c r="I2663" s="38"/>
      <c r="J2663" s="37">
        <v>0</v>
      </c>
    </row>
    <row r="2664" spans="1:10" ht="15.75" hidden="1" thickBot="1" x14ac:dyDescent="0.3">
      <c r="A2664" s="173" t="s">
        <v>649</v>
      </c>
      <c r="B2664" s="176" t="s">
        <v>3722</v>
      </c>
      <c r="C2664" s="31"/>
      <c r="D2664" s="32" t="s">
        <v>1788</v>
      </c>
      <c r="E2664" s="33"/>
      <c r="F2664" s="54" t="s">
        <v>13</v>
      </c>
      <c r="G2664" s="34" t="str">
        <f>IF(ISNUMBER(F2664),E2664*F2664,"")</f>
        <v/>
      </c>
      <c r="H2664" s="35"/>
      <c r="I2664" s="36"/>
      <c r="J2664" s="37">
        <v>0</v>
      </c>
    </row>
    <row r="2665" spans="1:10" hidden="1" x14ac:dyDescent="0.25">
      <c r="A2665" s="174"/>
      <c r="B2665" s="177"/>
      <c r="C2665" s="39"/>
      <c r="D2665" s="39"/>
      <c r="E2665" s="40"/>
      <c r="F2665" s="55" t="s">
        <v>13</v>
      </c>
      <c r="G2665" s="41" t="str">
        <f>IF(ISNUMBER(F2665),E2665*F2665,"")</f>
        <v/>
      </c>
      <c r="H2665" s="42"/>
      <c r="I2665" s="38"/>
      <c r="J2665" s="37">
        <v>0</v>
      </c>
    </row>
    <row r="2666" spans="1:10" ht="25.5" hidden="1" x14ac:dyDescent="0.25">
      <c r="A2666" s="174"/>
      <c r="B2666" s="177"/>
      <c r="C2666" s="43" t="s">
        <v>10662</v>
      </c>
      <c r="D2666" s="43" t="s">
        <v>2880</v>
      </c>
      <c r="E2666" s="44">
        <v>1</v>
      </c>
      <c r="F2666" s="38">
        <v>194.8355</v>
      </c>
      <c r="G2666" s="41">
        <f>IF(ISNUMBER(F2666),E2666*F2666,"")</f>
        <v>194.8355</v>
      </c>
      <c r="H2666" s="46">
        <f>SUM(G2666:G2668)</f>
        <v>242.43411474999999</v>
      </c>
      <c r="I2666" s="47"/>
      <c r="J2666" s="37">
        <v>0</v>
      </c>
    </row>
    <row r="2667" spans="1:10" ht="51" hidden="1" x14ac:dyDescent="0.25">
      <c r="A2667" s="174"/>
      <c r="B2667" s="177"/>
      <c r="C2667" s="43" t="s">
        <v>10624</v>
      </c>
      <c r="D2667" s="43" t="s">
        <v>2880</v>
      </c>
      <c r="E2667" s="44">
        <f>E2666</f>
        <v>1</v>
      </c>
      <c r="F2667" s="41">
        <v>8.5522277500000001</v>
      </c>
      <c r="G2667" s="41">
        <f>IF(ISNUMBER(F2667),E2667*F2667,"")</f>
        <v>8.5522277500000001</v>
      </c>
      <c r="H2667" s="42"/>
      <c r="I2667" s="38"/>
      <c r="J2667" s="37">
        <v>0</v>
      </c>
    </row>
    <row r="2668" spans="1:10" ht="38.25" hidden="1" x14ac:dyDescent="0.25">
      <c r="A2668" s="174"/>
      <c r="B2668" s="177"/>
      <c r="C2668" s="43" t="s">
        <v>10696</v>
      </c>
      <c r="D2668" s="43" t="s">
        <v>10816</v>
      </c>
      <c r="E2668" s="44">
        <f>E2666*20</f>
        <v>20</v>
      </c>
      <c r="F2668" s="38">
        <v>1.9523193499999996</v>
      </c>
      <c r="G2668" s="41">
        <f>IF(ISNUMBER(F2668),E2668*F2668,"")</f>
        <v>39.046386999999989</v>
      </c>
      <c r="H2668" s="42"/>
      <c r="I2668" s="38"/>
      <c r="J2668" s="37">
        <v>0</v>
      </c>
    </row>
    <row r="2669" spans="1:10" hidden="1" x14ac:dyDescent="0.25">
      <c r="A2669" s="174"/>
      <c r="B2669" s="177"/>
      <c r="C2669" s="43"/>
      <c r="D2669" s="62"/>
      <c r="E2669" s="44"/>
      <c r="F2669" s="38" t="s">
        <v>13</v>
      </c>
      <c r="G2669" s="41" t="str">
        <f>IF(ISNUMBER(F2669),E2669*F2669,"")</f>
        <v/>
      </c>
      <c r="H2669" s="42"/>
      <c r="I2669" s="38"/>
      <c r="J2669" s="37">
        <v>0</v>
      </c>
    </row>
    <row r="2670" spans="1:10" hidden="1" x14ac:dyDescent="0.25">
      <c r="A2670" s="174"/>
      <c r="B2670" s="177"/>
      <c r="C2670" s="4" t="s">
        <v>648</v>
      </c>
      <c r="D2670" s="62"/>
      <c r="E2670" s="44"/>
      <c r="F2670" s="38" t="s">
        <v>13</v>
      </c>
      <c r="G2670" s="41" t="str">
        <f>IF(ISNUMBER(F2670),E2670*F2670,"")</f>
        <v/>
      </c>
      <c r="H2670" s="42"/>
      <c r="I2670" s="38"/>
      <c r="J2670" s="37">
        <v>0</v>
      </c>
    </row>
    <row r="2671" spans="1:10" ht="15.75" hidden="1" thickBot="1" x14ac:dyDescent="0.3">
      <c r="A2671" s="175"/>
      <c r="B2671" s="178"/>
      <c r="C2671" s="49"/>
      <c r="D2671" s="49"/>
      <c r="E2671" s="50"/>
      <c r="F2671" s="51" t="s">
        <v>13</v>
      </c>
      <c r="G2671" s="52" t="str">
        <f>IF(ISNUMBER(F2671),E2671*F2671,"")</f>
        <v/>
      </c>
      <c r="H2671" s="53"/>
      <c r="I2671" s="38"/>
      <c r="J2671" s="37">
        <v>0</v>
      </c>
    </row>
    <row r="2672" spans="1:10" ht="15.75" hidden="1" thickBot="1" x14ac:dyDescent="0.3">
      <c r="A2672" s="173" t="s">
        <v>650</v>
      </c>
      <c r="B2672" s="176" t="s">
        <v>3723</v>
      </c>
      <c r="C2672" s="31"/>
      <c r="D2672" s="32" t="s">
        <v>18</v>
      </c>
      <c r="E2672" s="33"/>
      <c r="F2672" s="54" t="s">
        <v>13</v>
      </c>
      <c r="G2672" s="34" t="str">
        <f>IF(ISNUMBER(F2672),E2672*F2672,"")</f>
        <v/>
      </c>
      <c r="H2672" s="35"/>
      <c r="I2672" s="36"/>
      <c r="J2672" s="37">
        <v>0</v>
      </c>
    </row>
    <row r="2673" spans="1:10" hidden="1" x14ac:dyDescent="0.25">
      <c r="A2673" s="174"/>
      <c r="B2673" s="177"/>
      <c r="C2673" s="39"/>
      <c r="D2673" s="39"/>
      <c r="E2673" s="40"/>
      <c r="F2673" s="55" t="s">
        <v>13</v>
      </c>
      <c r="G2673" s="41" t="str">
        <f>IF(ISNUMBER(F2673),E2673*F2673,"")</f>
        <v/>
      </c>
      <c r="H2673" s="42"/>
      <c r="I2673" s="38"/>
      <c r="J2673" s="37">
        <v>0</v>
      </c>
    </row>
    <row r="2674" spans="1:10" ht="25.5" hidden="1" x14ac:dyDescent="0.25">
      <c r="A2674" s="174"/>
      <c r="B2674" s="177"/>
      <c r="C2674" s="43" t="s">
        <v>10851</v>
      </c>
      <c r="D2674" s="43" t="s">
        <v>83</v>
      </c>
      <c r="E2674" s="44">
        <v>1</v>
      </c>
      <c r="F2674" s="38">
        <v>1.0449999999999999</v>
      </c>
      <c r="G2674" s="41">
        <f>IF(ISNUMBER(F2674),E2674*F2674,"")</f>
        <v>1.0449999999999999</v>
      </c>
      <c r="H2674" s="46">
        <f>SUM(G2674:G2674)</f>
        <v>1.0449999999999999</v>
      </c>
      <c r="I2674" s="47"/>
      <c r="J2674" s="37">
        <v>0</v>
      </c>
    </row>
    <row r="2675" spans="1:10" ht="15.75" hidden="1" thickBot="1" x14ac:dyDescent="0.3">
      <c r="A2675" s="175"/>
      <c r="B2675" s="178"/>
      <c r="C2675" s="49"/>
      <c r="D2675" s="49"/>
      <c r="E2675" s="50"/>
      <c r="F2675" s="51" t="s">
        <v>13</v>
      </c>
      <c r="G2675" s="52" t="str">
        <f>IF(ISNUMBER(F2675),E2675*F2675,"")</f>
        <v/>
      </c>
      <c r="H2675" s="53"/>
      <c r="I2675" s="38"/>
      <c r="J2675" s="37">
        <v>0</v>
      </c>
    </row>
    <row r="2676" spans="1:10" ht="15.75" hidden="1" thickBot="1" x14ac:dyDescent="0.3">
      <c r="A2676" s="173" t="s">
        <v>651</v>
      </c>
      <c r="B2676" s="176" t="s">
        <v>3724</v>
      </c>
      <c r="C2676" s="31"/>
      <c r="D2676" s="32" t="s">
        <v>18</v>
      </c>
      <c r="E2676" s="33"/>
      <c r="F2676" s="54" t="s">
        <v>13</v>
      </c>
      <c r="G2676" s="34" t="str">
        <f>IF(ISNUMBER(F2676),E2676*F2676,"")</f>
        <v/>
      </c>
      <c r="H2676" s="35"/>
      <c r="I2676" s="36"/>
      <c r="J2676" s="37">
        <v>0</v>
      </c>
    </row>
    <row r="2677" spans="1:10" hidden="1" x14ac:dyDescent="0.25">
      <c r="A2677" s="174"/>
      <c r="B2677" s="177"/>
      <c r="C2677" s="39"/>
      <c r="D2677" s="39"/>
      <c r="E2677" s="40"/>
      <c r="F2677" s="55" t="s">
        <v>13</v>
      </c>
      <c r="G2677" s="41" t="str">
        <f>IF(ISNUMBER(F2677),E2677*F2677,"")</f>
        <v/>
      </c>
      <c r="H2677" s="42"/>
      <c r="I2677" s="38"/>
      <c r="J2677" s="37">
        <v>0</v>
      </c>
    </row>
    <row r="2678" spans="1:10" hidden="1" x14ac:dyDescent="0.25">
      <c r="A2678" s="174"/>
      <c r="B2678" s="177"/>
      <c r="C2678" s="43" t="s">
        <v>10861</v>
      </c>
      <c r="D2678" s="43" t="s">
        <v>83</v>
      </c>
      <c r="E2678" s="44">
        <v>1</v>
      </c>
      <c r="F2678" s="38">
        <v>0.71249999999999991</v>
      </c>
      <c r="G2678" s="41">
        <f>IF(ISNUMBER(F2678),E2678*F2678,"")</f>
        <v>0.71249999999999991</v>
      </c>
      <c r="H2678" s="46">
        <f>SUM(G2678:G2678)</f>
        <v>0.71249999999999991</v>
      </c>
      <c r="I2678" s="47"/>
      <c r="J2678" s="37">
        <v>0</v>
      </c>
    </row>
    <row r="2679" spans="1:10" ht="15.75" hidden="1" thickBot="1" x14ac:dyDescent="0.3">
      <c r="A2679" s="175"/>
      <c r="B2679" s="178"/>
      <c r="C2679" s="49"/>
      <c r="D2679" s="49"/>
      <c r="E2679" s="50"/>
      <c r="F2679" s="51" t="s">
        <v>13</v>
      </c>
      <c r="G2679" s="52" t="str">
        <f>IF(ISNUMBER(F2679),E2679*F2679,"")</f>
        <v/>
      </c>
      <c r="H2679" s="53"/>
      <c r="I2679" s="38"/>
      <c r="J2679" s="37">
        <v>0</v>
      </c>
    </row>
    <row r="2680" spans="1:10" ht="15.75" hidden="1" thickBot="1" x14ac:dyDescent="0.3">
      <c r="A2680" s="173" t="s">
        <v>652</v>
      </c>
      <c r="B2680" s="176" t="s">
        <v>3725</v>
      </c>
      <c r="C2680" s="31"/>
      <c r="D2680" s="32" t="s">
        <v>18</v>
      </c>
      <c r="E2680" s="33"/>
      <c r="F2680" s="54" t="s">
        <v>13</v>
      </c>
      <c r="G2680" s="34" t="str">
        <f>IF(ISNUMBER(F2680),E2680*F2680,"")</f>
        <v/>
      </c>
      <c r="H2680" s="35"/>
      <c r="I2680" s="36"/>
      <c r="J2680" s="37">
        <v>0</v>
      </c>
    </row>
    <row r="2681" spans="1:10" hidden="1" x14ac:dyDescent="0.25">
      <c r="A2681" s="174"/>
      <c r="B2681" s="177"/>
      <c r="C2681" s="39"/>
      <c r="D2681" s="39"/>
      <c r="E2681" s="40"/>
      <c r="F2681" s="55" t="s">
        <v>13</v>
      </c>
      <c r="G2681" s="41" t="str">
        <f>IF(ISNUMBER(F2681),E2681*F2681,"")</f>
        <v/>
      </c>
      <c r="H2681" s="42"/>
      <c r="I2681" s="38"/>
      <c r="J2681" s="37">
        <v>0</v>
      </c>
    </row>
    <row r="2682" spans="1:10" ht="25.5" hidden="1" x14ac:dyDescent="0.25">
      <c r="A2682" s="174"/>
      <c r="B2682" s="177"/>
      <c r="C2682" s="43" t="s">
        <v>11007</v>
      </c>
      <c r="D2682" s="43" t="s">
        <v>83</v>
      </c>
      <c r="E2682" s="44">
        <v>1</v>
      </c>
      <c r="F2682" s="38">
        <v>3.4104999999999999</v>
      </c>
      <c r="G2682" s="41">
        <f>IF(ISNUMBER(F2682),E2682*F2682,"")</f>
        <v>3.4104999999999999</v>
      </c>
      <c r="H2682" s="46">
        <f>SUM(G2682:G2682)</f>
        <v>3.4104999999999999</v>
      </c>
      <c r="I2682" s="47"/>
      <c r="J2682" s="37">
        <v>0</v>
      </c>
    </row>
    <row r="2683" spans="1:10" ht="15.75" hidden="1" thickBot="1" x14ac:dyDescent="0.3">
      <c r="A2683" s="175"/>
      <c r="B2683" s="178"/>
      <c r="C2683" s="49"/>
      <c r="D2683" s="49"/>
      <c r="E2683" s="50"/>
      <c r="F2683" s="51" t="s">
        <v>13</v>
      </c>
      <c r="G2683" s="52" t="str">
        <f>IF(ISNUMBER(F2683),E2683*F2683,"")</f>
        <v/>
      </c>
      <c r="H2683" s="53"/>
      <c r="I2683" s="38"/>
      <c r="J2683" s="37">
        <v>0</v>
      </c>
    </row>
    <row r="2684" spans="1:10" ht="15.75" hidden="1" thickBot="1" x14ac:dyDescent="0.3">
      <c r="A2684" s="173" t="s">
        <v>653</v>
      </c>
      <c r="B2684" s="176" t="s">
        <v>3726</v>
      </c>
      <c r="C2684" s="31"/>
      <c r="D2684" s="32" t="s">
        <v>18</v>
      </c>
      <c r="E2684" s="33"/>
      <c r="F2684" s="54" t="s">
        <v>13</v>
      </c>
      <c r="G2684" s="34" t="str">
        <f>IF(ISNUMBER(F2684),E2684*F2684,"")</f>
        <v/>
      </c>
      <c r="H2684" s="35"/>
      <c r="I2684" s="36"/>
      <c r="J2684" s="37">
        <v>0</v>
      </c>
    </row>
    <row r="2685" spans="1:10" hidden="1" x14ac:dyDescent="0.25">
      <c r="A2685" s="174"/>
      <c r="B2685" s="177"/>
      <c r="C2685" s="39"/>
      <c r="D2685" s="39"/>
      <c r="E2685" s="40"/>
      <c r="F2685" s="55" t="s">
        <v>13</v>
      </c>
      <c r="G2685" s="41" t="str">
        <f>IF(ISNUMBER(F2685),E2685*F2685,"")</f>
        <v/>
      </c>
      <c r="H2685" s="42"/>
      <c r="I2685" s="38"/>
      <c r="J2685" s="37">
        <v>0</v>
      </c>
    </row>
    <row r="2686" spans="1:10" ht="25.5" hidden="1" x14ac:dyDescent="0.25">
      <c r="A2686" s="174"/>
      <c r="B2686" s="177"/>
      <c r="C2686" s="43" t="s">
        <v>654</v>
      </c>
      <c r="D2686" s="43" t="s">
        <v>87</v>
      </c>
      <c r="E2686" s="44">
        <v>1</v>
      </c>
      <c r="F2686" s="38" t="s">
        <v>13</v>
      </c>
      <c r="G2686" s="41" t="str">
        <f>IF(ISNUMBER(F2686),E2686*F2686,"")</f>
        <v/>
      </c>
      <c r="H2686" s="46">
        <f>SUM(G2686:G2686)</f>
        <v>0</v>
      </c>
      <c r="I2686" s="47"/>
      <c r="J2686" s="37">
        <v>0</v>
      </c>
    </row>
    <row r="2687" spans="1:10" ht="15.75" hidden="1" thickBot="1" x14ac:dyDescent="0.3">
      <c r="A2687" s="175"/>
      <c r="B2687" s="178"/>
      <c r="C2687" s="49"/>
      <c r="D2687" s="49"/>
      <c r="E2687" s="50"/>
      <c r="F2687" s="51" t="s">
        <v>13</v>
      </c>
      <c r="G2687" s="52" t="str">
        <f>IF(ISNUMBER(F2687),E2687*F2687,"")</f>
        <v/>
      </c>
      <c r="H2687" s="53"/>
      <c r="I2687" s="38"/>
      <c r="J2687" s="37">
        <v>0</v>
      </c>
    </row>
    <row r="2688" spans="1:10" ht="15.75" hidden="1" thickBot="1" x14ac:dyDescent="0.3">
      <c r="A2688" s="173" t="s">
        <v>655</v>
      </c>
      <c r="B2688" s="176" t="s">
        <v>3727</v>
      </c>
      <c r="C2688" s="31"/>
      <c r="D2688" s="32" t="s">
        <v>106</v>
      </c>
      <c r="E2688" s="33"/>
      <c r="F2688" s="54" t="s">
        <v>13</v>
      </c>
      <c r="G2688" s="34" t="str">
        <f>IF(ISNUMBER(F2688),E2688*F2688,"")</f>
        <v/>
      </c>
      <c r="H2688" s="35"/>
      <c r="I2688" s="36"/>
      <c r="J2688" s="37">
        <v>0</v>
      </c>
    </row>
    <row r="2689" spans="1:10" hidden="1" x14ac:dyDescent="0.25">
      <c r="A2689" s="174"/>
      <c r="B2689" s="177"/>
      <c r="C2689" s="39"/>
      <c r="D2689" s="39"/>
      <c r="E2689" s="40"/>
      <c r="F2689" s="55" t="s">
        <v>13</v>
      </c>
      <c r="G2689" s="41" t="str">
        <f>IF(ISNUMBER(F2689),E2689*F2689,"")</f>
        <v/>
      </c>
      <c r="H2689" s="42"/>
      <c r="I2689" s="38"/>
      <c r="J2689" s="37">
        <v>0</v>
      </c>
    </row>
    <row r="2690" spans="1:10" hidden="1" x14ac:dyDescent="0.25">
      <c r="A2690" s="174"/>
      <c r="B2690" s="177"/>
      <c r="C2690" s="43" t="s">
        <v>10642</v>
      </c>
      <c r="D2690" s="43" t="s">
        <v>1044</v>
      </c>
      <c r="E2690" s="44">
        <v>0.154</v>
      </c>
      <c r="F2690" s="38">
        <v>6.9729999999999999</v>
      </c>
      <c r="G2690" s="41">
        <f>IF(ISNUMBER(F2690),E2690*F2690,"")</f>
        <v>1.073842</v>
      </c>
      <c r="H2690" s="46">
        <f>SUM(G2690:G2690)</f>
        <v>1.073842</v>
      </c>
      <c r="I2690" s="47"/>
      <c r="J2690" s="37">
        <v>0</v>
      </c>
    </row>
    <row r="2691" spans="1:10" ht="15.75" hidden="1" thickBot="1" x14ac:dyDescent="0.3">
      <c r="A2691" s="175"/>
      <c r="B2691" s="178"/>
      <c r="C2691" s="49"/>
      <c r="D2691" s="49"/>
      <c r="E2691" s="50"/>
      <c r="F2691" s="51" t="s">
        <v>13</v>
      </c>
      <c r="G2691" s="52" t="str">
        <f>IF(ISNUMBER(F2691),E2691*F2691,"")</f>
        <v/>
      </c>
      <c r="H2691" s="53"/>
      <c r="I2691" s="38"/>
      <c r="J2691" s="37">
        <v>0</v>
      </c>
    </row>
    <row r="2692" spans="1:10" ht="15.75" hidden="1" thickBot="1" x14ac:dyDescent="0.3">
      <c r="A2692" s="173" t="s">
        <v>656</v>
      </c>
      <c r="B2692" s="176" t="s">
        <v>3728</v>
      </c>
      <c r="C2692" s="31"/>
      <c r="D2692" s="32" t="s">
        <v>106</v>
      </c>
      <c r="E2692" s="33"/>
      <c r="F2692" s="54" t="s">
        <v>13</v>
      </c>
      <c r="G2692" s="34" t="str">
        <f>IF(ISNUMBER(F2692),E2692*F2692,"")</f>
        <v/>
      </c>
      <c r="H2692" s="35"/>
      <c r="I2692" s="36"/>
      <c r="J2692" s="37">
        <v>0</v>
      </c>
    </row>
    <row r="2693" spans="1:10" hidden="1" x14ac:dyDescent="0.25">
      <c r="A2693" s="174"/>
      <c r="B2693" s="177"/>
      <c r="C2693" s="39"/>
      <c r="D2693" s="39"/>
      <c r="E2693" s="40"/>
      <c r="F2693" s="55" t="s">
        <v>13</v>
      </c>
      <c r="G2693" s="41" t="str">
        <f>IF(ISNUMBER(F2693),E2693*F2693,"")</f>
        <v/>
      </c>
      <c r="H2693" s="42"/>
      <c r="I2693" s="38"/>
      <c r="J2693" s="37">
        <v>0</v>
      </c>
    </row>
    <row r="2694" spans="1:10" hidden="1" x14ac:dyDescent="0.25">
      <c r="A2694" s="174"/>
      <c r="B2694" s="177"/>
      <c r="C2694" s="43" t="s">
        <v>11008</v>
      </c>
      <c r="D2694" s="43" t="s">
        <v>1044</v>
      </c>
      <c r="E2694" s="44">
        <v>0.245</v>
      </c>
      <c r="F2694" s="38">
        <v>7.770999999999999</v>
      </c>
      <c r="G2694" s="41">
        <f>IF(ISNUMBER(F2694),E2694*F2694,"")</f>
        <v>1.9038949999999997</v>
      </c>
      <c r="H2694" s="46">
        <f>SUM(G2694:G2694)</f>
        <v>1.9038949999999997</v>
      </c>
      <c r="I2694" s="47"/>
      <c r="J2694" s="37">
        <v>0</v>
      </c>
    </row>
    <row r="2695" spans="1:10" ht="15.75" hidden="1" thickBot="1" x14ac:dyDescent="0.3">
      <c r="A2695" s="175"/>
      <c r="B2695" s="178"/>
      <c r="C2695" s="49"/>
      <c r="D2695" s="49"/>
      <c r="E2695" s="50"/>
      <c r="F2695" s="51" t="s">
        <v>13</v>
      </c>
      <c r="G2695" s="52" t="str">
        <f>IF(ISNUMBER(F2695),E2695*F2695,"")</f>
        <v/>
      </c>
      <c r="H2695" s="53"/>
      <c r="I2695" s="38"/>
      <c r="J2695" s="37">
        <v>0</v>
      </c>
    </row>
    <row r="2696" spans="1:10" ht="15.75" hidden="1" thickBot="1" x14ac:dyDescent="0.3">
      <c r="A2696" s="173" t="s">
        <v>657</v>
      </c>
      <c r="B2696" s="176" t="s">
        <v>3729</v>
      </c>
      <c r="C2696" s="31"/>
      <c r="D2696" s="32" t="s">
        <v>106</v>
      </c>
      <c r="E2696" s="33"/>
      <c r="F2696" s="54" t="s">
        <v>13</v>
      </c>
      <c r="G2696" s="34" t="str">
        <f>IF(ISNUMBER(F2696),E2696*F2696,"")</f>
        <v/>
      </c>
      <c r="H2696" s="35"/>
      <c r="I2696" s="36"/>
      <c r="J2696" s="37">
        <v>0</v>
      </c>
    </row>
    <row r="2697" spans="1:10" hidden="1" x14ac:dyDescent="0.25">
      <c r="A2697" s="174"/>
      <c r="B2697" s="177"/>
      <c r="C2697" s="39"/>
      <c r="D2697" s="39"/>
      <c r="E2697" s="40"/>
      <c r="F2697" s="55" t="s">
        <v>13</v>
      </c>
      <c r="G2697" s="41" t="str">
        <f>IF(ISNUMBER(F2697),E2697*F2697,"")</f>
        <v/>
      </c>
      <c r="H2697" s="42"/>
      <c r="I2697" s="38"/>
      <c r="J2697" s="37">
        <v>0</v>
      </c>
    </row>
    <row r="2698" spans="1:10" hidden="1" x14ac:dyDescent="0.25">
      <c r="A2698" s="174"/>
      <c r="B2698" s="177"/>
      <c r="C2698" s="43" t="s">
        <v>10768</v>
      </c>
      <c r="D2698" s="43" t="s">
        <v>1044</v>
      </c>
      <c r="E2698" s="44">
        <v>0.39500000000000002</v>
      </c>
      <c r="F2698" s="38">
        <v>7.8185000000000002</v>
      </c>
      <c r="G2698" s="41">
        <f>IF(ISNUMBER(F2698),E2698*F2698,"")</f>
        <v>3.0883075000000004</v>
      </c>
      <c r="H2698" s="46">
        <f>SUM(G2698:G2698)</f>
        <v>3.0883075000000004</v>
      </c>
      <c r="I2698" s="47"/>
      <c r="J2698" s="37">
        <v>0</v>
      </c>
    </row>
    <row r="2699" spans="1:10" ht="15.75" hidden="1" thickBot="1" x14ac:dyDescent="0.3">
      <c r="A2699" s="175"/>
      <c r="B2699" s="178"/>
      <c r="C2699" s="49"/>
      <c r="D2699" s="49"/>
      <c r="E2699" s="50"/>
      <c r="F2699" s="51" t="s">
        <v>13</v>
      </c>
      <c r="G2699" s="52" t="str">
        <f>IF(ISNUMBER(F2699),E2699*F2699,"")</f>
        <v/>
      </c>
      <c r="H2699" s="53"/>
      <c r="I2699" s="38"/>
      <c r="J2699" s="37">
        <v>0</v>
      </c>
    </row>
    <row r="2700" spans="1:10" ht="15.75" hidden="1" thickBot="1" x14ac:dyDescent="0.3">
      <c r="A2700" s="173" t="s">
        <v>658</v>
      </c>
      <c r="B2700" s="176" t="s">
        <v>3730</v>
      </c>
      <c r="C2700" s="31"/>
      <c r="D2700" s="32" t="s">
        <v>106</v>
      </c>
      <c r="E2700" s="33"/>
      <c r="F2700" s="54" t="s">
        <v>13</v>
      </c>
      <c r="G2700" s="34" t="str">
        <f>IF(ISNUMBER(F2700),E2700*F2700,"")</f>
        <v/>
      </c>
      <c r="H2700" s="35"/>
      <c r="I2700" s="36"/>
      <c r="J2700" s="37">
        <v>0</v>
      </c>
    </row>
    <row r="2701" spans="1:10" hidden="1" x14ac:dyDescent="0.25">
      <c r="A2701" s="174"/>
      <c r="B2701" s="177"/>
      <c r="C2701" s="39"/>
      <c r="D2701" s="39"/>
      <c r="E2701" s="40"/>
      <c r="F2701" s="55" t="s">
        <v>13</v>
      </c>
      <c r="G2701" s="41" t="str">
        <f>IF(ISNUMBER(F2701),E2701*F2701,"")</f>
        <v/>
      </c>
      <c r="H2701" s="42"/>
      <c r="I2701" s="38"/>
      <c r="J2701" s="37">
        <v>0</v>
      </c>
    </row>
    <row r="2702" spans="1:10" hidden="1" x14ac:dyDescent="0.25">
      <c r="A2702" s="174"/>
      <c r="B2702" s="177"/>
      <c r="C2702" s="43" t="s">
        <v>10785</v>
      </c>
      <c r="D2702" s="43" t="s">
        <v>1044</v>
      </c>
      <c r="E2702" s="44">
        <v>0.61699999999999999</v>
      </c>
      <c r="F2702" s="38">
        <v>7.3719999999999999</v>
      </c>
      <c r="G2702" s="41">
        <f>IF(ISNUMBER(F2702),E2702*F2702,"")</f>
        <v>4.5485239999999996</v>
      </c>
      <c r="H2702" s="46">
        <f>SUM(G2702:G2702)</f>
        <v>4.5485239999999996</v>
      </c>
      <c r="I2702" s="47"/>
      <c r="J2702" s="37">
        <v>0</v>
      </c>
    </row>
    <row r="2703" spans="1:10" ht="15.75" hidden="1" thickBot="1" x14ac:dyDescent="0.3">
      <c r="A2703" s="175"/>
      <c r="B2703" s="178"/>
      <c r="C2703" s="49"/>
      <c r="D2703" s="49"/>
      <c r="E2703" s="50"/>
      <c r="F2703" s="51" t="s">
        <v>13</v>
      </c>
      <c r="G2703" s="52" t="str">
        <f>IF(ISNUMBER(F2703),E2703*F2703,"")</f>
        <v/>
      </c>
      <c r="H2703" s="53"/>
      <c r="I2703" s="38"/>
      <c r="J2703" s="37">
        <v>0</v>
      </c>
    </row>
    <row r="2704" spans="1:10" ht="15.75" hidden="1" thickBot="1" x14ac:dyDescent="0.3">
      <c r="A2704" s="173" t="s">
        <v>659</v>
      </c>
      <c r="B2704" s="176" t="s">
        <v>3731</v>
      </c>
      <c r="C2704" s="31"/>
      <c r="D2704" s="32" t="s">
        <v>106</v>
      </c>
      <c r="E2704" s="33"/>
      <c r="F2704" s="54" t="s">
        <v>13</v>
      </c>
      <c r="G2704" s="34" t="str">
        <f>IF(ISNUMBER(F2704),E2704*F2704,"")</f>
        <v/>
      </c>
      <c r="H2704" s="35"/>
      <c r="I2704" s="36"/>
      <c r="J2704" s="37">
        <v>0</v>
      </c>
    </row>
    <row r="2705" spans="1:10" hidden="1" x14ac:dyDescent="0.25">
      <c r="A2705" s="174"/>
      <c r="B2705" s="177"/>
      <c r="C2705" s="39"/>
      <c r="D2705" s="39"/>
      <c r="E2705" s="40"/>
      <c r="F2705" s="55" t="s">
        <v>13</v>
      </c>
      <c r="G2705" s="41" t="str">
        <f>IF(ISNUMBER(F2705),E2705*F2705,"")</f>
        <v/>
      </c>
      <c r="H2705" s="42"/>
      <c r="I2705" s="38"/>
      <c r="J2705" s="37">
        <v>0</v>
      </c>
    </row>
    <row r="2706" spans="1:10" hidden="1" x14ac:dyDescent="0.25">
      <c r="A2706" s="174"/>
      <c r="B2706" s="177"/>
      <c r="C2706" s="43" t="s">
        <v>10667</v>
      </c>
      <c r="D2706" s="43" t="s">
        <v>1044</v>
      </c>
      <c r="E2706" s="44">
        <v>0.96299999999999997</v>
      </c>
      <c r="F2706" s="38">
        <v>6.3839999999999995</v>
      </c>
      <c r="G2706" s="41">
        <f>IF(ISNUMBER(F2706),E2706*F2706,"")</f>
        <v>6.147791999999999</v>
      </c>
      <c r="H2706" s="46">
        <f>SUM(G2706:G2706)</f>
        <v>6.147791999999999</v>
      </c>
      <c r="I2706" s="47"/>
      <c r="J2706" s="37">
        <v>0</v>
      </c>
    </row>
    <row r="2707" spans="1:10" ht="15.75" hidden="1" thickBot="1" x14ac:dyDescent="0.3">
      <c r="A2707" s="175"/>
      <c r="B2707" s="178"/>
      <c r="C2707" s="49"/>
      <c r="D2707" s="49"/>
      <c r="E2707" s="50"/>
      <c r="F2707" s="51" t="s">
        <v>13</v>
      </c>
      <c r="G2707" s="52" t="str">
        <f>IF(ISNUMBER(F2707),E2707*F2707,"")</f>
        <v/>
      </c>
      <c r="H2707" s="53"/>
      <c r="I2707" s="38"/>
      <c r="J2707" s="37">
        <v>0</v>
      </c>
    </row>
    <row r="2708" spans="1:10" ht="15.75" hidden="1" thickBot="1" x14ac:dyDescent="0.3">
      <c r="A2708" s="173" t="s">
        <v>660</v>
      </c>
      <c r="B2708" s="176" t="s">
        <v>3732</v>
      </c>
      <c r="C2708" s="31"/>
      <c r="D2708" s="32" t="s">
        <v>72</v>
      </c>
      <c r="E2708" s="33"/>
      <c r="F2708" s="54" t="s">
        <v>13</v>
      </c>
      <c r="G2708" s="34" t="str">
        <f>IF(ISNUMBER(F2708),E2708*F2708,"")</f>
        <v/>
      </c>
      <c r="H2708" s="35"/>
      <c r="I2708" s="36"/>
      <c r="J2708" s="37">
        <v>0</v>
      </c>
    </row>
    <row r="2709" spans="1:10" hidden="1" x14ac:dyDescent="0.25">
      <c r="A2709" s="174"/>
      <c r="B2709" s="177"/>
      <c r="C2709" s="39"/>
      <c r="D2709" s="39"/>
      <c r="E2709" s="40"/>
      <c r="F2709" s="55" t="s">
        <v>13</v>
      </c>
      <c r="G2709" s="41" t="str">
        <f>IF(ISNUMBER(F2709),E2709*F2709,"")</f>
        <v/>
      </c>
      <c r="H2709" s="42"/>
      <c r="I2709" s="38"/>
      <c r="J2709" s="37">
        <v>0</v>
      </c>
    </row>
    <row r="2710" spans="1:10" ht="25.5" hidden="1" x14ac:dyDescent="0.25">
      <c r="A2710" s="174"/>
      <c r="B2710" s="177"/>
      <c r="C2710" s="43" t="s">
        <v>10661</v>
      </c>
      <c r="D2710" s="43" t="s">
        <v>1044</v>
      </c>
      <c r="E2710" s="44">
        <v>1</v>
      </c>
      <c r="F2710" s="38">
        <v>19</v>
      </c>
      <c r="G2710" s="41">
        <f>IF(ISNUMBER(F2710),E2710*F2710,"")</f>
        <v>19</v>
      </c>
      <c r="H2710" s="46">
        <f>SUM(G2710:G2710)</f>
        <v>19</v>
      </c>
      <c r="I2710" s="47"/>
      <c r="J2710" s="37">
        <v>0</v>
      </c>
    </row>
    <row r="2711" spans="1:10" ht="15.75" hidden="1" thickBot="1" x14ac:dyDescent="0.3">
      <c r="A2711" s="175"/>
      <c r="B2711" s="178"/>
      <c r="C2711" s="49"/>
      <c r="D2711" s="49"/>
      <c r="E2711" s="50"/>
      <c r="F2711" s="51" t="s">
        <v>13</v>
      </c>
      <c r="G2711" s="52" t="str">
        <f>IF(ISNUMBER(F2711),E2711*F2711,"")</f>
        <v/>
      </c>
      <c r="H2711" s="53"/>
      <c r="I2711" s="38"/>
      <c r="J2711" s="37">
        <v>0</v>
      </c>
    </row>
    <row r="2712" spans="1:10" ht="15.75" hidden="1" thickBot="1" x14ac:dyDescent="0.3">
      <c r="A2712" s="173" t="s">
        <v>661</v>
      </c>
      <c r="B2712" s="176" t="s">
        <v>3733</v>
      </c>
      <c r="C2712" s="31"/>
      <c r="D2712" s="32" t="s">
        <v>72</v>
      </c>
      <c r="E2712" s="33"/>
      <c r="F2712" s="54" t="s">
        <v>13</v>
      </c>
      <c r="G2712" s="34" t="str">
        <f>IF(ISNUMBER(F2712),E2712*F2712,"")</f>
        <v/>
      </c>
      <c r="H2712" s="35"/>
      <c r="I2712" s="36"/>
      <c r="J2712" s="37">
        <v>0</v>
      </c>
    </row>
    <row r="2713" spans="1:10" hidden="1" x14ac:dyDescent="0.25">
      <c r="A2713" s="174"/>
      <c r="B2713" s="177"/>
      <c r="C2713" s="39"/>
      <c r="D2713" s="39"/>
      <c r="E2713" s="40"/>
      <c r="F2713" s="55" t="s">
        <v>13</v>
      </c>
      <c r="G2713" s="41" t="str">
        <f>IF(ISNUMBER(F2713),E2713*F2713,"")</f>
        <v/>
      </c>
      <c r="H2713" s="42"/>
      <c r="I2713" s="38"/>
      <c r="J2713" s="37">
        <v>0</v>
      </c>
    </row>
    <row r="2714" spans="1:10" ht="25.5" hidden="1" x14ac:dyDescent="0.25">
      <c r="A2714" s="174"/>
      <c r="B2714" s="177"/>
      <c r="C2714" s="43" t="s">
        <v>11009</v>
      </c>
      <c r="D2714" s="43" t="s">
        <v>1044</v>
      </c>
      <c r="E2714" s="44">
        <v>1</v>
      </c>
      <c r="F2714" s="38">
        <v>65.834999999999994</v>
      </c>
      <c r="G2714" s="41">
        <f>IF(ISNUMBER(F2714),E2714*F2714,"")</f>
        <v>65.834999999999994</v>
      </c>
      <c r="H2714" s="46">
        <f>SUM(G2714:G2714)</f>
        <v>65.834999999999994</v>
      </c>
      <c r="I2714" s="47"/>
      <c r="J2714" s="37">
        <v>0</v>
      </c>
    </row>
    <row r="2715" spans="1:10" ht="15.75" hidden="1" thickBot="1" x14ac:dyDescent="0.3">
      <c r="A2715" s="175"/>
      <c r="B2715" s="178"/>
      <c r="C2715" s="49"/>
      <c r="D2715" s="49"/>
      <c r="E2715" s="50"/>
      <c r="F2715" s="51" t="s">
        <v>13</v>
      </c>
      <c r="G2715" s="52" t="str">
        <f>IF(ISNUMBER(F2715),E2715*F2715,"")</f>
        <v/>
      </c>
      <c r="H2715" s="53"/>
      <c r="I2715" s="38"/>
      <c r="J2715" s="37">
        <v>0</v>
      </c>
    </row>
    <row r="2716" spans="1:10" ht="15.75" hidden="1" thickBot="1" x14ac:dyDescent="0.3">
      <c r="A2716" s="173" t="s">
        <v>662</v>
      </c>
      <c r="B2716" s="176" t="s">
        <v>3734</v>
      </c>
      <c r="C2716" s="31"/>
      <c r="D2716" s="32" t="s">
        <v>18</v>
      </c>
      <c r="E2716" s="33"/>
      <c r="F2716" s="54" t="s">
        <v>13</v>
      </c>
      <c r="G2716" s="34" t="str">
        <f>IF(ISNUMBER(F2716),E2716*F2716,"")</f>
        <v/>
      </c>
      <c r="H2716" s="35"/>
      <c r="I2716" s="36"/>
      <c r="J2716" s="37">
        <v>0</v>
      </c>
    </row>
    <row r="2717" spans="1:10" hidden="1" x14ac:dyDescent="0.25">
      <c r="A2717" s="174"/>
      <c r="B2717" s="177"/>
      <c r="C2717" s="39"/>
      <c r="D2717" s="39"/>
      <c r="E2717" s="40"/>
      <c r="F2717" s="55" t="s">
        <v>13</v>
      </c>
      <c r="G2717" s="41" t="str">
        <f>IF(ISNUMBER(F2717),E2717*F2717,"")</f>
        <v/>
      </c>
      <c r="H2717" s="42"/>
      <c r="I2717" s="38"/>
      <c r="J2717" s="37">
        <v>0</v>
      </c>
    </row>
    <row r="2718" spans="1:10" ht="25.5" hidden="1" x14ac:dyDescent="0.25">
      <c r="A2718" s="174"/>
      <c r="B2718" s="177"/>
      <c r="C2718" s="43" t="s">
        <v>10803</v>
      </c>
      <c r="D2718" s="43" t="s">
        <v>10820</v>
      </c>
      <c r="E2718" s="44">
        <v>1</v>
      </c>
      <c r="F2718" s="38">
        <v>42.597999999999999</v>
      </c>
      <c r="G2718" s="41">
        <f>IF(ISNUMBER(F2718),E2718*F2718,"")</f>
        <v>42.597999999999999</v>
      </c>
      <c r="H2718" s="46">
        <f>SUM(G2718:G2718)</f>
        <v>42.597999999999999</v>
      </c>
      <c r="I2718" s="47"/>
      <c r="J2718" s="37">
        <v>0</v>
      </c>
    </row>
    <row r="2719" spans="1:10" ht="15.75" hidden="1" thickBot="1" x14ac:dyDescent="0.3">
      <c r="A2719" s="175"/>
      <c r="B2719" s="178"/>
      <c r="C2719" s="49"/>
      <c r="D2719" s="49"/>
      <c r="E2719" s="50"/>
      <c r="F2719" s="51" t="s">
        <v>13</v>
      </c>
      <c r="G2719" s="52" t="str">
        <f>IF(ISNUMBER(F2719),E2719*F2719,"")</f>
        <v/>
      </c>
      <c r="H2719" s="53"/>
      <c r="I2719" s="38"/>
      <c r="J2719" s="37">
        <v>0</v>
      </c>
    </row>
    <row r="2720" spans="1:10" ht="15.75" hidden="1" thickBot="1" x14ac:dyDescent="0.3">
      <c r="A2720" s="173" t="s">
        <v>663</v>
      </c>
      <c r="B2720" s="176" t="s">
        <v>3735</v>
      </c>
      <c r="C2720" s="31"/>
      <c r="D2720" s="32" t="s">
        <v>18</v>
      </c>
      <c r="E2720" s="33"/>
      <c r="F2720" s="54" t="s">
        <v>13</v>
      </c>
      <c r="G2720" s="34" t="str">
        <f>IF(ISNUMBER(F2720),E2720*F2720,"")</f>
        <v/>
      </c>
      <c r="H2720" s="35"/>
      <c r="I2720" s="36"/>
      <c r="J2720" s="37">
        <v>0</v>
      </c>
    </row>
    <row r="2721" spans="1:10" hidden="1" x14ac:dyDescent="0.25">
      <c r="A2721" s="174"/>
      <c r="B2721" s="177"/>
      <c r="C2721" s="39"/>
      <c r="D2721" s="39"/>
      <c r="E2721" s="40"/>
      <c r="F2721" s="55" t="s">
        <v>13</v>
      </c>
      <c r="G2721" s="41" t="str">
        <f>IF(ISNUMBER(F2721),E2721*F2721,"")</f>
        <v/>
      </c>
      <c r="H2721" s="42"/>
      <c r="I2721" s="38"/>
      <c r="J2721" s="37">
        <v>0</v>
      </c>
    </row>
    <row r="2722" spans="1:10" hidden="1" x14ac:dyDescent="0.25">
      <c r="A2722" s="174"/>
      <c r="B2722" s="177"/>
      <c r="C2722" s="43" t="s">
        <v>10893</v>
      </c>
      <c r="D2722" s="43" t="s">
        <v>83</v>
      </c>
      <c r="E2722" s="44">
        <v>1</v>
      </c>
      <c r="F2722" s="38">
        <v>28.148499999999999</v>
      </c>
      <c r="G2722" s="41">
        <f>IF(ISNUMBER(F2722),E2722*F2722,"")</f>
        <v>28.148499999999999</v>
      </c>
      <c r="H2722" s="46">
        <f>SUM(G2722:G2722)</f>
        <v>28.148499999999999</v>
      </c>
      <c r="I2722" s="47"/>
      <c r="J2722" s="37">
        <v>0</v>
      </c>
    </row>
    <row r="2723" spans="1:10" ht="15.75" hidden="1" thickBot="1" x14ac:dyDescent="0.3">
      <c r="A2723" s="175"/>
      <c r="B2723" s="178"/>
      <c r="C2723" s="49"/>
      <c r="D2723" s="49"/>
      <c r="E2723" s="50"/>
      <c r="F2723" s="51" t="s">
        <v>13</v>
      </c>
      <c r="G2723" s="52" t="str">
        <f>IF(ISNUMBER(F2723),E2723*F2723,"")</f>
        <v/>
      </c>
      <c r="H2723" s="53"/>
      <c r="I2723" s="38"/>
      <c r="J2723" s="37">
        <v>0</v>
      </c>
    </row>
    <row r="2724" spans="1:10" ht="15.75" hidden="1" thickBot="1" x14ac:dyDescent="0.3">
      <c r="A2724" s="173" t="s">
        <v>664</v>
      </c>
      <c r="B2724" s="176" t="s">
        <v>3744</v>
      </c>
      <c r="C2724" s="31"/>
      <c r="D2724" s="32" t="s">
        <v>70</v>
      </c>
      <c r="E2724" s="33"/>
      <c r="F2724" s="54" t="s">
        <v>13</v>
      </c>
      <c r="G2724" s="34" t="str">
        <f>IF(ISNUMBER(F2724),E2724*F2724,"")</f>
        <v/>
      </c>
      <c r="H2724" s="35"/>
      <c r="I2724" s="36"/>
      <c r="J2724" s="37">
        <v>0</v>
      </c>
    </row>
    <row r="2725" spans="1:10" hidden="1" x14ac:dyDescent="0.25">
      <c r="A2725" s="174"/>
      <c r="B2725" s="177"/>
      <c r="C2725" s="39"/>
      <c r="D2725" s="39"/>
      <c r="E2725" s="40"/>
      <c r="F2725" s="55" t="s">
        <v>13</v>
      </c>
      <c r="G2725" s="41" t="str">
        <f>IF(ISNUMBER(F2725),E2725*F2725,"")</f>
        <v/>
      </c>
      <c r="H2725" s="42"/>
      <c r="I2725" s="38"/>
      <c r="J2725" s="37">
        <v>0</v>
      </c>
    </row>
    <row r="2726" spans="1:10" ht="38.25" hidden="1" x14ac:dyDescent="0.25">
      <c r="A2726" s="174"/>
      <c r="B2726" s="177"/>
      <c r="C2726" s="43" t="s">
        <v>10788</v>
      </c>
      <c r="D2726" s="43" t="s">
        <v>70</v>
      </c>
      <c r="E2726" s="44">
        <v>1</v>
      </c>
      <c r="F2726" s="38">
        <v>8.8824999999999985</v>
      </c>
      <c r="G2726" s="41">
        <f>IF(ISNUMBER(F2726),E2726*F2726,"")</f>
        <v>8.8824999999999985</v>
      </c>
      <c r="H2726" s="46">
        <f>SUM(G2726:G2726)</f>
        <v>8.8824999999999985</v>
      </c>
      <c r="I2726" s="47"/>
      <c r="J2726" s="37">
        <v>0</v>
      </c>
    </row>
    <row r="2727" spans="1:10" ht="15.75" hidden="1" thickBot="1" x14ac:dyDescent="0.3">
      <c r="A2727" s="175"/>
      <c r="B2727" s="178"/>
      <c r="C2727" s="49"/>
      <c r="D2727" s="49"/>
      <c r="E2727" s="50"/>
      <c r="F2727" s="51" t="s">
        <v>13</v>
      </c>
      <c r="G2727" s="52" t="str">
        <f>IF(ISNUMBER(F2727),E2727*F2727,"")</f>
        <v/>
      </c>
      <c r="H2727" s="53"/>
      <c r="I2727" s="38"/>
      <c r="J2727" s="37">
        <v>0</v>
      </c>
    </row>
    <row r="2728" spans="1:10" ht="15.75" hidden="1" thickBot="1" x14ac:dyDescent="0.3">
      <c r="A2728" s="173" t="s">
        <v>665</v>
      </c>
      <c r="B2728" s="176" t="s">
        <v>3751</v>
      </c>
      <c r="C2728" s="31"/>
      <c r="D2728" s="32" t="s">
        <v>68</v>
      </c>
      <c r="E2728" s="33"/>
      <c r="F2728" s="54" t="s">
        <v>13</v>
      </c>
      <c r="G2728" s="34" t="str">
        <f>IF(ISNUMBER(F2728),E2728*F2728,"")</f>
        <v/>
      </c>
      <c r="H2728" s="35"/>
      <c r="I2728" s="36"/>
      <c r="J2728" s="37">
        <v>0</v>
      </c>
    </row>
    <row r="2729" spans="1:10" hidden="1" x14ac:dyDescent="0.25">
      <c r="A2729" s="174"/>
      <c r="B2729" s="177"/>
      <c r="C2729" s="39"/>
      <c r="D2729" s="39"/>
      <c r="E2729" s="40"/>
      <c r="F2729" s="55" t="s">
        <v>13</v>
      </c>
      <c r="G2729" s="41" t="str">
        <f>IF(ISNUMBER(F2729),E2729*F2729,"")</f>
        <v/>
      </c>
      <c r="H2729" s="42"/>
      <c r="I2729" s="38"/>
      <c r="J2729" s="37">
        <v>0</v>
      </c>
    </row>
    <row r="2730" spans="1:10" hidden="1" x14ac:dyDescent="0.25">
      <c r="A2730" s="174"/>
      <c r="B2730" s="177"/>
      <c r="C2730" s="43" t="s">
        <v>11010</v>
      </c>
      <c r="D2730" s="43" t="s">
        <v>162</v>
      </c>
      <c r="E2730" s="44">
        <v>1</v>
      </c>
      <c r="F2730" s="38">
        <v>2.109</v>
      </c>
      <c r="G2730" s="41">
        <f>IF(ISNUMBER(F2730),E2730*F2730,"")</f>
        <v>2.109</v>
      </c>
      <c r="H2730" s="46">
        <f>SUM(G2730:G2730)</f>
        <v>2.109</v>
      </c>
      <c r="I2730" s="47"/>
      <c r="J2730" s="37">
        <v>0</v>
      </c>
    </row>
    <row r="2731" spans="1:10" ht="15.75" hidden="1" thickBot="1" x14ac:dyDescent="0.3">
      <c r="A2731" s="175"/>
      <c r="B2731" s="178"/>
      <c r="C2731" s="49"/>
      <c r="D2731" s="49"/>
      <c r="E2731" s="50"/>
      <c r="F2731" s="51" t="s">
        <v>13</v>
      </c>
      <c r="G2731" s="52" t="str">
        <f>IF(ISNUMBER(F2731),E2731*F2731,"")</f>
        <v/>
      </c>
      <c r="H2731" s="53"/>
      <c r="I2731" s="38"/>
      <c r="J2731" s="37">
        <v>0</v>
      </c>
    </row>
    <row r="2732" spans="1:10" ht="15.75" hidden="1" thickBot="1" x14ac:dyDescent="0.3">
      <c r="A2732" s="173" t="s">
        <v>666</v>
      </c>
      <c r="B2732" s="176" t="s">
        <v>3928</v>
      </c>
      <c r="C2732" s="31"/>
      <c r="D2732" s="32" t="s">
        <v>68</v>
      </c>
      <c r="E2732" s="33"/>
      <c r="F2732" s="54" t="s">
        <v>13</v>
      </c>
      <c r="G2732" s="34" t="str">
        <f>IF(ISNUMBER(F2732),E2732*F2732,"")</f>
        <v/>
      </c>
      <c r="H2732" s="35"/>
      <c r="I2732" s="36"/>
      <c r="J2732" s="37">
        <v>0</v>
      </c>
    </row>
    <row r="2733" spans="1:10" hidden="1" x14ac:dyDescent="0.25">
      <c r="A2733" s="174"/>
      <c r="B2733" s="177"/>
      <c r="C2733" s="39"/>
      <c r="D2733" s="39"/>
      <c r="E2733" s="40"/>
      <c r="F2733" s="55" t="s">
        <v>13</v>
      </c>
      <c r="G2733" s="41" t="str">
        <f>IF(ISNUMBER(F2733),E2733*F2733,"")</f>
        <v/>
      </c>
      <c r="H2733" s="42"/>
      <c r="I2733" s="38"/>
      <c r="J2733" s="37">
        <v>0</v>
      </c>
    </row>
    <row r="2734" spans="1:10" hidden="1" x14ac:dyDescent="0.25">
      <c r="A2734" s="174"/>
      <c r="B2734" s="177"/>
      <c r="C2734" s="43" t="s">
        <v>11011</v>
      </c>
      <c r="D2734" s="43" t="s">
        <v>162</v>
      </c>
      <c r="E2734" s="44">
        <v>1</v>
      </c>
      <c r="F2734" s="38">
        <v>1.8619999999999999</v>
      </c>
      <c r="G2734" s="41">
        <f>IF(ISNUMBER(F2734),E2734*F2734,"")</f>
        <v>1.8619999999999999</v>
      </c>
      <c r="H2734" s="46">
        <f>SUM(G2734:G2734)</f>
        <v>1.8619999999999999</v>
      </c>
      <c r="I2734" s="47"/>
      <c r="J2734" s="37">
        <v>0</v>
      </c>
    </row>
    <row r="2735" spans="1:10" ht="15.75" hidden="1" thickBot="1" x14ac:dyDescent="0.3">
      <c r="A2735" s="175"/>
      <c r="B2735" s="178"/>
      <c r="C2735" s="49"/>
      <c r="D2735" s="49"/>
      <c r="E2735" s="50"/>
      <c r="F2735" s="51" t="s">
        <v>13</v>
      </c>
      <c r="G2735" s="52" t="str">
        <f>IF(ISNUMBER(F2735),E2735*F2735,"")</f>
        <v/>
      </c>
      <c r="H2735" s="53"/>
      <c r="I2735" s="38"/>
      <c r="J2735" s="37">
        <v>0</v>
      </c>
    </row>
    <row r="2736" spans="1:10" ht="15.75" hidden="1" thickBot="1" x14ac:dyDescent="0.3">
      <c r="A2736" s="173" t="s">
        <v>667</v>
      </c>
      <c r="B2736" s="176" t="s">
        <v>3981</v>
      </c>
      <c r="C2736" s="31"/>
      <c r="D2736" s="32" t="s">
        <v>3982</v>
      </c>
      <c r="E2736" s="33"/>
      <c r="F2736" s="54" t="s">
        <v>13</v>
      </c>
      <c r="G2736" s="34" t="str">
        <f>IF(ISNUMBER(F2736),E2736*F2736,"")</f>
        <v/>
      </c>
      <c r="H2736" s="35"/>
      <c r="I2736" s="36"/>
      <c r="J2736" s="37">
        <v>0</v>
      </c>
    </row>
    <row r="2737" spans="1:10" hidden="1" x14ac:dyDescent="0.25">
      <c r="A2737" s="174"/>
      <c r="B2737" s="177"/>
      <c r="C2737" s="39"/>
      <c r="D2737" s="39"/>
      <c r="E2737" s="40"/>
      <c r="F2737" s="55" t="s">
        <v>13</v>
      </c>
      <c r="G2737" s="41" t="str">
        <f>IF(ISNUMBER(F2737),E2737*F2737,"")</f>
        <v/>
      </c>
      <c r="H2737" s="42"/>
      <c r="I2737" s="38"/>
      <c r="J2737" s="37">
        <v>0</v>
      </c>
    </row>
    <row r="2738" spans="1:10" ht="25.5" hidden="1" x14ac:dyDescent="0.25">
      <c r="A2738" s="174"/>
      <c r="B2738" s="177"/>
      <c r="C2738" s="43" t="s">
        <v>10611</v>
      </c>
      <c r="D2738" s="43" t="s">
        <v>2800</v>
      </c>
      <c r="E2738" s="44" t="e">
        <f>IF(#REF!="Desonerado",ROUND(220/(1+'[1]Serviços SINAPI'!$E$6),4),ROUND(220/(1+'[1]Serviços SINAPI'!$F$6),4))</f>
        <v>#REF!</v>
      </c>
      <c r="F2738" s="38">
        <v>142.75650000000002</v>
      </c>
      <c r="G2738" s="41" t="e">
        <f>IF(ISNUMBER(F2738),E2738*F2738,"")</f>
        <v>#REF!</v>
      </c>
      <c r="H2738" s="46" t="e">
        <f>SUM(G2738:G2738)</f>
        <v>#REF!</v>
      </c>
      <c r="I2738" s="47"/>
      <c r="J2738" s="37">
        <v>0</v>
      </c>
    </row>
    <row r="2739" spans="1:10" hidden="1" x14ac:dyDescent="0.25">
      <c r="A2739" s="174"/>
      <c r="B2739" s="177"/>
      <c r="C2739" s="43"/>
      <c r="D2739" s="62"/>
      <c r="E2739" s="44"/>
      <c r="F2739" s="38" t="s">
        <v>13</v>
      </c>
      <c r="G2739" s="41" t="str">
        <f>IF(ISNUMBER(F2739),E2739*F2739,"")</f>
        <v/>
      </c>
      <c r="H2739" s="42"/>
      <c r="I2739" s="47"/>
      <c r="J2739" s="37">
        <v>0</v>
      </c>
    </row>
    <row r="2740" spans="1:10" ht="25.5" hidden="1" x14ac:dyDescent="0.25">
      <c r="A2740" s="174"/>
      <c r="B2740" s="177"/>
      <c r="C2740" s="4" t="s">
        <v>668</v>
      </c>
      <c r="D2740" s="62"/>
      <c r="E2740" s="44"/>
      <c r="F2740" s="38" t="s">
        <v>13</v>
      </c>
      <c r="G2740" s="41" t="str">
        <f>IF(ISNUMBER(F2740),E2740*F2740,"")</f>
        <v/>
      </c>
      <c r="H2740" s="42"/>
      <c r="I2740" s="47"/>
      <c r="J2740" s="37">
        <v>0</v>
      </c>
    </row>
    <row r="2741" spans="1:10" ht="15.75" hidden="1" thickBot="1" x14ac:dyDescent="0.3">
      <c r="A2741" s="175"/>
      <c r="B2741" s="178"/>
      <c r="C2741" s="49"/>
      <c r="D2741" s="49"/>
      <c r="E2741" s="50"/>
      <c r="F2741" s="51" t="s">
        <v>13</v>
      </c>
      <c r="G2741" s="52" t="str">
        <f>IF(ISNUMBER(F2741),E2741*F2741,"")</f>
        <v/>
      </c>
      <c r="H2741" s="53"/>
      <c r="I2741" s="38"/>
      <c r="J2741" s="37">
        <v>0</v>
      </c>
    </row>
    <row r="2742" spans="1:10" ht="15.75" hidden="1" thickBot="1" x14ac:dyDescent="0.3">
      <c r="A2742" s="173" t="s">
        <v>669</v>
      </c>
      <c r="B2742" s="176" t="s">
        <v>3983</v>
      </c>
      <c r="C2742" s="31"/>
      <c r="D2742" s="32" t="s">
        <v>3982</v>
      </c>
      <c r="E2742" s="33"/>
      <c r="F2742" s="54" t="s">
        <v>13</v>
      </c>
      <c r="G2742" s="34" t="str">
        <f>IF(ISNUMBER(F2742),E2742*F2742,"")</f>
        <v/>
      </c>
      <c r="H2742" s="35"/>
      <c r="I2742" s="36"/>
      <c r="J2742" s="37">
        <v>0</v>
      </c>
    </row>
    <row r="2743" spans="1:10" hidden="1" x14ac:dyDescent="0.25">
      <c r="A2743" s="179"/>
      <c r="B2743" s="177"/>
      <c r="C2743" s="39"/>
      <c r="D2743" s="39"/>
      <c r="E2743" s="40"/>
      <c r="F2743" s="55" t="s">
        <v>13</v>
      </c>
      <c r="G2743" s="41" t="str">
        <f>IF(ISNUMBER(F2743),E2743*F2743,"")</f>
        <v/>
      </c>
      <c r="H2743" s="42"/>
      <c r="I2743" s="38"/>
      <c r="J2743" s="37">
        <v>0</v>
      </c>
    </row>
    <row r="2744" spans="1:10" hidden="1" x14ac:dyDescent="0.25">
      <c r="A2744" s="179"/>
      <c r="B2744" s="177"/>
      <c r="C2744" s="43" t="s">
        <v>11012</v>
      </c>
      <c r="D2744" s="43" t="s">
        <v>2800</v>
      </c>
      <c r="E2744" s="44" t="e">
        <f>IF(#REF!="Desonerado",ROUND(220/(1+'[1]Serviços SINAPI'!$E$6),4),ROUND(220/(1+'[1]Serviços SINAPI'!$F$6),4))</f>
        <v>#REF!</v>
      </c>
      <c r="F2744" s="38">
        <v>39.244500000000002</v>
      </c>
      <c r="G2744" s="41" t="e">
        <f>IF(ISNUMBER(F2744),E2744*F2744,"")</f>
        <v>#REF!</v>
      </c>
      <c r="H2744" s="46" t="e">
        <f>SUM(G2744:G2744)</f>
        <v>#REF!</v>
      </c>
      <c r="I2744" s="47"/>
      <c r="J2744" s="37">
        <v>0</v>
      </c>
    </row>
    <row r="2745" spans="1:10" hidden="1" x14ac:dyDescent="0.25">
      <c r="A2745" s="179"/>
      <c r="B2745" s="177"/>
      <c r="C2745" s="43"/>
      <c r="D2745" s="62"/>
      <c r="E2745" s="44"/>
      <c r="F2745" s="38" t="s">
        <v>13</v>
      </c>
      <c r="G2745" s="41" t="str">
        <f>IF(ISNUMBER(F2745),E2745*F2745,"")</f>
        <v/>
      </c>
      <c r="H2745" s="42"/>
      <c r="I2745" s="47"/>
      <c r="J2745" s="37">
        <v>0</v>
      </c>
    </row>
    <row r="2746" spans="1:10" ht="25.5" hidden="1" x14ac:dyDescent="0.25">
      <c r="A2746" s="179"/>
      <c r="B2746" s="177"/>
      <c r="C2746" s="4" t="s">
        <v>668</v>
      </c>
      <c r="D2746" s="62"/>
      <c r="E2746" s="44"/>
      <c r="F2746" s="38" t="s">
        <v>13</v>
      </c>
      <c r="G2746" s="41" t="str">
        <f>IF(ISNUMBER(F2746),E2746*F2746,"")</f>
        <v/>
      </c>
      <c r="H2746" s="42"/>
      <c r="I2746" s="47"/>
      <c r="J2746" s="37">
        <v>0</v>
      </c>
    </row>
    <row r="2747" spans="1:10" ht="15.75" hidden="1" thickBot="1" x14ac:dyDescent="0.3">
      <c r="A2747" s="180"/>
      <c r="B2747" s="178"/>
      <c r="C2747" s="49"/>
      <c r="D2747" s="49"/>
      <c r="E2747" s="50"/>
      <c r="F2747" s="51" t="s">
        <v>13</v>
      </c>
      <c r="G2747" s="52" t="str">
        <f>IF(ISNUMBER(F2747),E2747*F2747,"")</f>
        <v/>
      </c>
      <c r="H2747" s="53"/>
      <c r="I2747" s="38"/>
      <c r="J2747" s="37">
        <v>0</v>
      </c>
    </row>
    <row r="2748" spans="1:10" ht="15.75" hidden="1" thickBot="1" x14ac:dyDescent="0.3">
      <c r="A2748" s="173" t="s">
        <v>670</v>
      </c>
      <c r="B2748" s="176" t="s">
        <v>3984</v>
      </c>
      <c r="C2748" s="31"/>
      <c r="D2748" s="32" t="s">
        <v>3982</v>
      </c>
      <c r="E2748" s="33"/>
      <c r="F2748" s="54" t="s">
        <v>13</v>
      </c>
      <c r="G2748" s="34" t="str">
        <f>IF(ISNUMBER(F2748),E2748*F2748,"")</f>
        <v/>
      </c>
      <c r="H2748" s="35"/>
      <c r="I2748" s="36"/>
      <c r="J2748" s="37">
        <v>0</v>
      </c>
    </row>
    <row r="2749" spans="1:10" hidden="1" x14ac:dyDescent="0.25">
      <c r="A2749" s="174"/>
      <c r="B2749" s="177"/>
      <c r="C2749" s="39"/>
      <c r="D2749" s="39"/>
      <c r="E2749" s="40"/>
      <c r="F2749" s="55" t="s">
        <v>13</v>
      </c>
      <c r="G2749" s="41" t="str">
        <f>IF(ISNUMBER(F2749),E2749*F2749,"")</f>
        <v/>
      </c>
      <c r="H2749" s="42"/>
      <c r="I2749" s="38"/>
      <c r="J2749" s="37">
        <v>0</v>
      </c>
    </row>
    <row r="2750" spans="1:10" hidden="1" x14ac:dyDescent="0.25">
      <c r="A2750" s="174"/>
      <c r="B2750" s="177"/>
      <c r="C2750" s="43" t="s">
        <v>10614</v>
      </c>
      <c r="D2750" s="43" t="s">
        <v>2800</v>
      </c>
      <c r="E2750" s="44" t="e">
        <f>IF(#REF!="Desonerado",ROUND(220/(1+'[1]Serviços SINAPI'!$E$6),4),ROUND(220/(1+'[1]Serviços SINAPI'!$F$6),4))</f>
        <v>#REF!</v>
      </c>
      <c r="F2750" s="38">
        <v>23.693000000000001</v>
      </c>
      <c r="G2750" s="41" t="e">
        <f>IF(ISNUMBER(F2750),E2750*F2750,"")</f>
        <v>#REF!</v>
      </c>
      <c r="H2750" s="46" t="e">
        <f>SUM(G2750:G2750)</f>
        <v>#REF!</v>
      </c>
      <c r="I2750" s="47"/>
      <c r="J2750" s="37">
        <v>0</v>
      </c>
    </row>
    <row r="2751" spans="1:10" hidden="1" x14ac:dyDescent="0.25">
      <c r="A2751" s="174"/>
      <c r="B2751" s="177"/>
      <c r="C2751" s="43"/>
      <c r="D2751" s="62"/>
      <c r="E2751" s="44"/>
      <c r="F2751" s="38" t="s">
        <v>13</v>
      </c>
      <c r="G2751" s="41" t="str">
        <f>IF(ISNUMBER(F2751),E2751*F2751,"")</f>
        <v/>
      </c>
      <c r="H2751" s="42"/>
      <c r="I2751" s="47"/>
      <c r="J2751" s="37">
        <v>0</v>
      </c>
    </row>
    <row r="2752" spans="1:10" ht="25.5" hidden="1" x14ac:dyDescent="0.25">
      <c r="A2752" s="174"/>
      <c r="B2752" s="177"/>
      <c r="C2752" s="4" t="s">
        <v>668</v>
      </c>
      <c r="D2752" s="62"/>
      <c r="E2752" s="44"/>
      <c r="F2752" s="38" t="s">
        <v>13</v>
      </c>
      <c r="G2752" s="41" t="str">
        <f>IF(ISNUMBER(F2752),E2752*F2752,"")</f>
        <v/>
      </c>
      <c r="H2752" s="42"/>
      <c r="I2752" s="47"/>
      <c r="J2752" s="37">
        <v>0</v>
      </c>
    </row>
    <row r="2753" spans="1:10" ht="15.75" hidden="1" thickBot="1" x14ac:dyDescent="0.3">
      <c r="A2753" s="175"/>
      <c r="B2753" s="178"/>
      <c r="C2753" s="49"/>
      <c r="D2753" s="49"/>
      <c r="E2753" s="50"/>
      <c r="F2753" s="51" t="s">
        <v>13</v>
      </c>
      <c r="G2753" s="52" t="str">
        <f>IF(ISNUMBER(F2753),E2753*F2753,"")</f>
        <v/>
      </c>
      <c r="H2753" s="53"/>
      <c r="I2753" s="38"/>
      <c r="J2753" s="37">
        <v>0</v>
      </c>
    </row>
    <row r="2754" spans="1:10" ht="15.75" hidden="1" thickBot="1" x14ac:dyDescent="0.3">
      <c r="A2754" s="173" t="s">
        <v>671</v>
      </c>
      <c r="B2754" s="176" t="s">
        <v>3985</v>
      </c>
      <c r="C2754" s="31"/>
      <c r="D2754" s="32" t="s">
        <v>3982</v>
      </c>
      <c r="E2754" s="33"/>
      <c r="F2754" s="54" t="s">
        <v>13</v>
      </c>
      <c r="G2754" s="34" t="str">
        <f>IF(ISNUMBER(F2754),E2754*F2754,"")</f>
        <v/>
      </c>
      <c r="H2754" s="35"/>
      <c r="I2754" s="36"/>
      <c r="J2754" s="37">
        <v>0</v>
      </c>
    </row>
    <row r="2755" spans="1:10" hidden="1" x14ac:dyDescent="0.25">
      <c r="A2755" s="174"/>
      <c r="B2755" s="177"/>
      <c r="C2755" s="39"/>
      <c r="D2755" s="39"/>
      <c r="E2755" s="40"/>
      <c r="F2755" s="55" t="s">
        <v>13</v>
      </c>
      <c r="G2755" s="41" t="str">
        <f>IF(ISNUMBER(F2755),E2755*F2755,"")</f>
        <v/>
      </c>
      <c r="H2755" s="42"/>
      <c r="I2755" s="38"/>
      <c r="J2755" s="37">
        <v>0</v>
      </c>
    </row>
    <row r="2756" spans="1:10" hidden="1" x14ac:dyDescent="0.25">
      <c r="A2756" s="174"/>
      <c r="B2756" s="177"/>
      <c r="C2756" s="43" t="s">
        <v>10655</v>
      </c>
      <c r="D2756" s="43" t="s">
        <v>2800</v>
      </c>
      <c r="E2756" s="44" t="e">
        <f>IF(#REF!="Desonerado",ROUND(220/(1+'[1]Serviços SINAPI'!$E$6),4),ROUND(220/(1+'[1]Serviços SINAPI'!$F$6),4))</f>
        <v>#REF!</v>
      </c>
      <c r="F2756" s="38">
        <v>24.358000000000001</v>
      </c>
      <c r="G2756" s="41" t="e">
        <f>IF(ISNUMBER(F2756),E2756*F2756,"")</f>
        <v>#REF!</v>
      </c>
      <c r="H2756" s="46" t="e">
        <f>SUM(G2756:G2756)</f>
        <v>#REF!</v>
      </c>
      <c r="I2756" s="47"/>
      <c r="J2756" s="37">
        <v>0</v>
      </c>
    </row>
    <row r="2757" spans="1:10" hidden="1" x14ac:dyDescent="0.25">
      <c r="A2757" s="174"/>
      <c r="B2757" s="177"/>
      <c r="C2757" s="43"/>
      <c r="D2757" s="62"/>
      <c r="E2757" s="44"/>
      <c r="F2757" s="38" t="s">
        <v>13</v>
      </c>
      <c r="G2757" s="41" t="str">
        <f>IF(ISNUMBER(F2757),E2757*F2757,"")</f>
        <v/>
      </c>
      <c r="H2757" s="42"/>
      <c r="I2757" s="47"/>
      <c r="J2757" s="37">
        <v>0</v>
      </c>
    </row>
    <row r="2758" spans="1:10" ht="25.5" hidden="1" x14ac:dyDescent="0.25">
      <c r="A2758" s="174"/>
      <c r="B2758" s="177"/>
      <c r="C2758" s="4" t="s">
        <v>668</v>
      </c>
      <c r="D2758" s="62"/>
      <c r="E2758" s="44"/>
      <c r="F2758" s="38" t="s">
        <v>13</v>
      </c>
      <c r="G2758" s="41" t="str">
        <f>IF(ISNUMBER(F2758),E2758*F2758,"")</f>
        <v/>
      </c>
      <c r="H2758" s="42"/>
      <c r="I2758" s="47"/>
      <c r="J2758" s="37">
        <v>0</v>
      </c>
    </row>
    <row r="2759" spans="1:10" ht="15.75" hidden="1" thickBot="1" x14ac:dyDescent="0.3">
      <c r="A2759" s="175"/>
      <c r="B2759" s="178"/>
      <c r="C2759" s="49"/>
      <c r="D2759" s="49"/>
      <c r="E2759" s="50"/>
      <c r="F2759" s="51" t="s">
        <v>13</v>
      </c>
      <c r="G2759" s="52" t="str">
        <f>IF(ISNUMBER(F2759),E2759*F2759,"")</f>
        <v/>
      </c>
      <c r="H2759" s="53"/>
      <c r="I2759" s="38"/>
      <c r="J2759" s="37">
        <v>0</v>
      </c>
    </row>
    <row r="2760" spans="1:10" ht="15.75" hidden="1" thickBot="1" x14ac:dyDescent="0.3">
      <c r="A2760" s="173" t="s">
        <v>672</v>
      </c>
      <c r="B2760" s="176" t="s">
        <v>3986</v>
      </c>
      <c r="C2760" s="31"/>
      <c r="D2760" s="32" t="s">
        <v>3982</v>
      </c>
      <c r="E2760" s="33"/>
      <c r="F2760" s="54" t="s">
        <v>13</v>
      </c>
      <c r="G2760" s="34" t="str">
        <f>IF(ISNUMBER(F2760),E2760*F2760,"")</f>
        <v/>
      </c>
      <c r="H2760" s="35"/>
      <c r="I2760" s="36"/>
      <c r="J2760" s="37">
        <v>0</v>
      </c>
    </row>
    <row r="2761" spans="1:10" hidden="1" x14ac:dyDescent="0.25">
      <c r="A2761" s="174"/>
      <c r="B2761" s="177"/>
      <c r="C2761" s="39"/>
      <c r="D2761" s="39"/>
      <c r="E2761" s="40"/>
      <c r="F2761" s="55" t="s">
        <v>13</v>
      </c>
      <c r="G2761" s="41" t="str">
        <f>IF(ISNUMBER(F2761),E2761*F2761,"")</f>
        <v/>
      </c>
      <c r="H2761" s="42"/>
      <c r="I2761" s="38"/>
      <c r="J2761" s="37">
        <v>0</v>
      </c>
    </row>
    <row r="2762" spans="1:10" hidden="1" x14ac:dyDescent="0.25">
      <c r="A2762" s="174"/>
      <c r="B2762" s="177"/>
      <c r="C2762" s="43" t="s">
        <v>11013</v>
      </c>
      <c r="D2762" s="43" t="s">
        <v>2800</v>
      </c>
      <c r="E2762" s="44" t="e">
        <f>IF(#REF!="Desonerado",ROUND(220/(1+'[1]Serviços SINAPI'!$E$6),4),ROUND(220/(1+'[1]Serviços SINAPI'!$F$6),4))</f>
        <v>#REF!</v>
      </c>
      <c r="F2762" s="38">
        <v>24.519499999999997</v>
      </c>
      <c r="G2762" s="41" t="e">
        <f>IF(ISNUMBER(F2762),E2762*F2762,"")</f>
        <v>#REF!</v>
      </c>
      <c r="H2762" s="46" t="e">
        <f>SUM(G2762:G2762)</f>
        <v>#REF!</v>
      </c>
      <c r="I2762" s="47"/>
      <c r="J2762" s="37">
        <v>0</v>
      </c>
    </row>
    <row r="2763" spans="1:10" hidden="1" x14ac:dyDescent="0.25">
      <c r="A2763" s="174"/>
      <c r="B2763" s="177"/>
      <c r="C2763" s="43"/>
      <c r="D2763" s="62"/>
      <c r="E2763" s="44"/>
      <c r="F2763" s="38" t="s">
        <v>13</v>
      </c>
      <c r="G2763" s="41" t="str">
        <f>IF(ISNUMBER(F2763),E2763*F2763,"")</f>
        <v/>
      </c>
      <c r="H2763" s="42"/>
      <c r="I2763" s="47"/>
      <c r="J2763" s="37">
        <v>0</v>
      </c>
    </row>
    <row r="2764" spans="1:10" ht="25.5" hidden="1" x14ac:dyDescent="0.25">
      <c r="A2764" s="174"/>
      <c r="B2764" s="177"/>
      <c r="C2764" s="4" t="s">
        <v>668</v>
      </c>
      <c r="D2764" s="62"/>
      <c r="E2764" s="44"/>
      <c r="F2764" s="38" t="s">
        <v>13</v>
      </c>
      <c r="G2764" s="41" t="str">
        <f>IF(ISNUMBER(F2764),E2764*F2764,"")</f>
        <v/>
      </c>
      <c r="H2764" s="42"/>
      <c r="I2764" s="47"/>
      <c r="J2764" s="37">
        <v>0</v>
      </c>
    </row>
    <row r="2765" spans="1:10" ht="15.75" hidden="1" thickBot="1" x14ac:dyDescent="0.3">
      <c r="A2765" s="175"/>
      <c r="B2765" s="178"/>
      <c r="C2765" s="49"/>
      <c r="D2765" s="49"/>
      <c r="E2765" s="50"/>
      <c r="F2765" s="51" t="s">
        <v>13</v>
      </c>
      <c r="G2765" s="52" t="str">
        <f>IF(ISNUMBER(F2765),E2765*F2765,"")</f>
        <v/>
      </c>
      <c r="H2765" s="53"/>
      <c r="I2765" s="38"/>
      <c r="J2765" s="37">
        <v>0</v>
      </c>
    </row>
    <row r="2766" spans="1:10" ht="15.75" hidden="1" thickBot="1" x14ac:dyDescent="0.3">
      <c r="A2766" s="173" t="s">
        <v>673</v>
      </c>
      <c r="B2766" s="176" t="s">
        <v>3987</v>
      </c>
      <c r="C2766" s="31"/>
      <c r="D2766" s="32" t="s">
        <v>3982</v>
      </c>
      <c r="E2766" s="33"/>
      <c r="F2766" s="54" t="s">
        <v>13</v>
      </c>
      <c r="G2766" s="34" t="str">
        <f>IF(ISNUMBER(F2766),E2766*F2766,"")</f>
        <v/>
      </c>
      <c r="H2766" s="35"/>
      <c r="I2766" s="36"/>
      <c r="J2766" s="37">
        <v>0</v>
      </c>
    </row>
    <row r="2767" spans="1:10" hidden="1" x14ac:dyDescent="0.25">
      <c r="A2767" s="174"/>
      <c r="B2767" s="177"/>
      <c r="C2767" s="39"/>
      <c r="D2767" s="39"/>
      <c r="E2767" s="40"/>
      <c r="F2767" s="55" t="s">
        <v>13</v>
      </c>
      <c r="G2767" s="41" t="str">
        <f>IF(ISNUMBER(F2767),E2767*F2767,"")</f>
        <v/>
      </c>
      <c r="H2767" s="42"/>
      <c r="I2767" s="38"/>
      <c r="J2767" s="37">
        <v>0</v>
      </c>
    </row>
    <row r="2768" spans="1:10" hidden="1" x14ac:dyDescent="0.25">
      <c r="A2768" s="174"/>
      <c r="B2768" s="177"/>
      <c r="C2768" s="43" t="s">
        <v>10956</v>
      </c>
      <c r="D2768" s="43" t="s">
        <v>2800</v>
      </c>
      <c r="E2768" s="44" t="e">
        <f>IF(#REF!="Desonerado",ROUND(220/(1+'[1]Serviços SINAPI'!$E$6),4),ROUND(220/(1+'[1]Serviços SINAPI'!$F$6),4))</f>
        <v>#REF!</v>
      </c>
      <c r="F2768" s="38">
        <v>29.060499999999998</v>
      </c>
      <c r="G2768" s="41" t="e">
        <f>IF(ISNUMBER(F2768),E2768*F2768,"")</f>
        <v>#REF!</v>
      </c>
      <c r="H2768" s="46" t="e">
        <f>SUM(G2768:G2768)</f>
        <v>#REF!</v>
      </c>
      <c r="I2768" s="47"/>
      <c r="J2768" s="37">
        <v>0</v>
      </c>
    </row>
    <row r="2769" spans="1:10" hidden="1" x14ac:dyDescent="0.25">
      <c r="A2769" s="174"/>
      <c r="B2769" s="177"/>
      <c r="C2769" s="43"/>
      <c r="D2769" s="62"/>
      <c r="E2769" s="44"/>
      <c r="F2769" s="38" t="s">
        <v>13</v>
      </c>
      <c r="G2769" s="41" t="str">
        <f>IF(ISNUMBER(F2769),E2769*F2769,"")</f>
        <v/>
      </c>
      <c r="H2769" s="42"/>
      <c r="I2769" s="47"/>
      <c r="J2769" s="37">
        <v>0</v>
      </c>
    </row>
    <row r="2770" spans="1:10" ht="25.5" hidden="1" x14ac:dyDescent="0.25">
      <c r="A2770" s="174"/>
      <c r="B2770" s="177"/>
      <c r="C2770" s="4" t="s">
        <v>668</v>
      </c>
      <c r="D2770" s="62"/>
      <c r="E2770" s="44"/>
      <c r="F2770" s="38" t="s">
        <v>13</v>
      </c>
      <c r="G2770" s="41" t="str">
        <f>IF(ISNUMBER(F2770),E2770*F2770,"")</f>
        <v/>
      </c>
      <c r="H2770" s="42"/>
      <c r="I2770" s="47"/>
      <c r="J2770" s="37">
        <v>0</v>
      </c>
    </row>
    <row r="2771" spans="1:10" ht="15.75" hidden="1" thickBot="1" x14ac:dyDescent="0.3">
      <c r="A2771" s="175"/>
      <c r="B2771" s="178"/>
      <c r="C2771" s="49"/>
      <c r="D2771" s="49"/>
      <c r="E2771" s="50"/>
      <c r="F2771" s="51" t="s">
        <v>13</v>
      </c>
      <c r="G2771" s="52" t="str">
        <f>IF(ISNUMBER(F2771),E2771*F2771,"")</f>
        <v/>
      </c>
      <c r="H2771" s="53"/>
      <c r="I2771" s="38"/>
      <c r="J2771" s="37">
        <v>0</v>
      </c>
    </row>
    <row r="2772" spans="1:10" ht="15.75" hidden="1" thickBot="1" x14ac:dyDescent="0.3">
      <c r="A2772" s="173" t="s">
        <v>674</v>
      </c>
      <c r="B2772" s="176" t="s">
        <v>3988</v>
      </c>
      <c r="C2772" s="31"/>
      <c r="D2772" s="32" t="s">
        <v>3982</v>
      </c>
      <c r="E2772" s="33"/>
      <c r="F2772" s="54" t="s">
        <v>13</v>
      </c>
      <c r="G2772" s="34" t="str">
        <f>IF(ISNUMBER(F2772),E2772*F2772,"")</f>
        <v/>
      </c>
      <c r="H2772" s="35"/>
      <c r="I2772" s="36"/>
      <c r="J2772" s="37">
        <v>0</v>
      </c>
    </row>
    <row r="2773" spans="1:10" hidden="1" x14ac:dyDescent="0.25">
      <c r="A2773" s="174"/>
      <c r="B2773" s="177"/>
      <c r="C2773" s="39"/>
      <c r="D2773" s="39"/>
      <c r="E2773" s="40"/>
      <c r="F2773" s="55" t="s">
        <v>13</v>
      </c>
      <c r="G2773" s="41" t="str">
        <f>IF(ISNUMBER(F2773),E2773*F2773,"")</f>
        <v/>
      </c>
      <c r="H2773" s="42"/>
      <c r="I2773" s="38"/>
      <c r="J2773" s="37">
        <v>0</v>
      </c>
    </row>
    <row r="2774" spans="1:10" hidden="1" x14ac:dyDescent="0.25">
      <c r="A2774" s="174"/>
      <c r="B2774" s="177"/>
      <c r="C2774" s="43" t="s">
        <v>10956</v>
      </c>
      <c r="D2774" s="43" t="s">
        <v>2800</v>
      </c>
      <c r="E2774" s="44" t="e">
        <f>IF(#REF!="Desonerado",ROUND(220/(1+'[1]Serviços SINAPI'!$E$6),4),ROUND(220/(1+'[1]Serviços SINAPI'!$F$6),4))</f>
        <v>#REF!</v>
      </c>
      <c r="F2774" s="38">
        <v>29.060499999999998</v>
      </c>
      <c r="G2774" s="41" t="e">
        <f>IF(ISNUMBER(F2774),E2774*F2774,"")</f>
        <v>#REF!</v>
      </c>
      <c r="H2774" s="46" t="e">
        <f>SUM(G2774:G2774)</f>
        <v>#REF!</v>
      </c>
      <c r="I2774" s="47"/>
      <c r="J2774" s="37">
        <v>0</v>
      </c>
    </row>
    <row r="2775" spans="1:10" hidden="1" x14ac:dyDescent="0.25">
      <c r="A2775" s="174"/>
      <c r="B2775" s="177"/>
      <c r="C2775" s="43"/>
      <c r="D2775" s="62"/>
      <c r="E2775" s="44"/>
      <c r="F2775" s="38" t="s">
        <v>13</v>
      </c>
      <c r="G2775" s="41" t="str">
        <f>IF(ISNUMBER(F2775),E2775*F2775,"")</f>
        <v/>
      </c>
      <c r="H2775" s="42"/>
      <c r="I2775" s="47"/>
      <c r="J2775" s="37">
        <v>0</v>
      </c>
    </row>
    <row r="2776" spans="1:10" ht="25.5" hidden="1" x14ac:dyDescent="0.25">
      <c r="A2776" s="174"/>
      <c r="B2776" s="177"/>
      <c r="C2776" s="4" t="s">
        <v>668</v>
      </c>
      <c r="D2776" s="62"/>
      <c r="E2776" s="44"/>
      <c r="F2776" s="38" t="s">
        <v>13</v>
      </c>
      <c r="G2776" s="41" t="str">
        <f>IF(ISNUMBER(F2776),E2776*F2776,"")</f>
        <v/>
      </c>
      <c r="H2776" s="42"/>
      <c r="I2776" s="47"/>
      <c r="J2776" s="37">
        <v>0</v>
      </c>
    </row>
    <row r="2777" spans="1:10" ht="15.75" hidden="1" thickBot="1" x14ac:dyDescent="0.3">
      <c r="A2777" s="175"/>
      <c r="B2777" s="178"/>
      <c r="C2777" s="49"/>
      <c r="D2777" s="49"/>
      <c r="E2777" s="50"/>
      <c r="F2777" s="51" t="s">
        <v>13</v>
      </c>
      <c r="G2777" s="52" t="str">
        <f>IF(ISNUMBER(F2777),E2777*F2777,"")</f>
        <v/>
      </c>
      <c r="H2777" s="53"/>
      <c r="I2777" s="38"/>
      <c r="J2777" s="37">
        <v>0</v>
      </c>
    </row>
    <row r="2778" spans="1:10" ht="15.75" hidden="1" thickBot="1" x14ac:dyDescent="0.3">
      <c r="A2778" s="173" t="s">
        <v>675</v>
      </c>
      <c r="B2778" s="176" t="s">
        <v>3989</v>
      </c>
      <c r="C2778" s="31"/>
      <c r="D2778" s="32" t="s">
        <v>3982</v>
      </c>
      <c r="E2778" s="33"/>
      <c r="F2778" s="54" t="s">
        <v>13</v>
      </c>
      <c r="G2778" s="34" t="str">
        <f>IF(ISNUMBER(F2778),E2778*F2778,"")</f>
        <v/>
      </c>
      <c r="H2778" s="35"/>
      <c r="I2778" s="36"/>
      <c r="J2778" s="37">
        <v>0</v>
      </c>
    </row>
    <row r="2779" spans="1:10" hidden="1" x14ac:dyDescent="0.25">
      <c r="A2779" s="174"/>
      <c r="B2779" s="177"/>
      <c r="C2779" s="39"/>
      <c r="D2779" s="39"/>
      <c r="E2779" s="40"/>
      <c r="F2779" s="55" t="s">
        <v>13</v>
      </c>
      <c r="G2779" s="41" t="str">
        <f>IF(ISNUMBER(F2779),E2779*F2779,"")</f>
        <v/>
      </c>
      <c r="H2779" s="42"/>
      <c r="I2779" s="38"/>
      <c r="J2779" s="37">
        <v>0</v>
      </c>
    </row>
    <row r="2780" spans="1:10" hidden="1" x14ac:dyDescent="0.25">
      <c r="A2780" s="174"/>
      <c r="B2780" s="177"/>
      <c r="C2780" s="43" t="s">
        <v>11014</v>
      </c>
      <c r="D2780" s="43" t="s">
        <v>2800</v>
      </c>
      <c r="E2780" s="44" t="e">
        <f>IF(#REF!="Desonerado",ROUND(220/(1+'[1]Serviços SINAPI'!$E$6),4),ROUND(220/(1+'[1]Serviços SINAPI'!$F$6),4))</f>
        <v>#REF!</v>
      </c>
      <c r="F2780" s="38">
        <v>30.837</v>
      </c>
      <c r="G2780" s="41" t="e">
        <f>IF(ISNUMBER(F2780),E2780*F2780,"")</f>
        <v>#REF!</v>
      </c>
      <c r="H2780" s="46" t="e">
        <f>SUM(G2780:G2780)</f>
        <v>#REF!</v>
      </c>
      <c r="I2780" s="47"/>
      <c r="J2780" s="37">
        <v>0</v>
      </c>
    </row>
    <row r="2781" spans="1:10" hidden="1" x14ac:dyDescent="0.25">
      <c r="A2781" s="174"/>
      <c r="B2781" s="177"/>
      <c r="C2781" s="43"/>
      <c r="D2781" s="62"/>
      <c r="E2781" s="44"/>
      <c r="F2781" s="38" t="s">
        <v>13</v>
      </c>
      <c r="G2781" s="41" t="str">
        <f>IF(ISNUMBER(F2781),E2781*F2781,"")</f>
        <v/>
      </c>
      <c r="H2781" s="42"/>
      <c r="I2781" s="47"/>
      <c r="J2781" s="37">
        <v>0</v>
      </c>
    </row>
    <row r="2782" spans="1:10" ht="25.5" hidden="1" x14ac:dyDescent="0.25">
      <c r="A2782" s="174"/>
      <c r="B2782" s="177"/>
      <c r="C2782" s="4" t="s">
        <v>668</v>
      </c>
      <c r="D2782" s="62"/>
      <c r="E2782" s="44"/>
      <c r="F2782" s="38" t="s">
        <v>13</v>
      </c>
      <c r="G2782" s="41" t="str">
        <f>IF(ISNUMBER(F2782),E2782*F2782,"")</f>
        <v/>
      </c>
      <c r="H2782" s="42"/>
      <c r="I2782" s="47"/>
      <c r="J2782" s="37">
        <v>0</v>
      </c>
    </row>
    <row r="2783" spans="1:10" ht="15.75" hidden="1" thickBot="1" x14ac:dyDescent="0.3">
      <c r="A2783" s="175"/>
      <c r="B2783" s="178"/>
      <c r="C2783" s="49"/>
      <c r="D2783" s="49"/>
      <c r="E2783" s="50"/>
      <c r="F2783" s="51" t="s">
        <v>13</v>
      </c>
      <c r="G2783" s="52" t="str">
        <f>IF(ISNUMBER(F2783),E2783*F2783,"")</f>
        <v/>
      </c>
      <c r="H2783" s="53"/>
      <c r="I2783" s="38"/>
      <c r="J2783" s="37">
        <v>0</v>
      </c>
    </row>
    <row r="2784" spans="1:10" ht="15.75" hidden="1" thickBot="1" x14ac:dyDescent="0.3">
      <c r="A2784" s="173" t="s">
        <v>676</v>
      </c>
      <c r="B2784" s="176" t="s">
        <v>3990</v>
      </c>
      <c r="C2784" s="31"/>
      <c r="D2784" s="32" t="s">
        <v>3982</v>
      </c>
      <c r="E2784" s="33"/>
      <c r="F2784" s="54" t="s">
        <v>13</v>
      </c>
      <c r="G2784" s="34" t="str">
        <f>IF(ISNUMBER(F2784),E2784*F2784,"")</f>
        <v/>
      </c>
      <c r="H2784" s="35"/>
      <c r="I2784" s="36"/>
      <c r="J2784" s="37">
        <v>0</v>
      </c>
    </row>
    <row r="2785" spans="1:10" hidden="1" x14ac:dyDescent="0.25">
      <c r="A2785" s="174"/>
      <c r="B2785" s="177"/>
      <c r="C2785" s="39"/>
      <c r="D2785" s="39"/>
      <c r="E2785" s="40"/>
      <c r="F2785" s="55" t="s">
        <v>13</v>
      </c>
      <c r="G2785" s="41" t="str">
        <f>IF(ISNUMBER(F2785),E2785*F2785,"")</f>
        <v/>
      </c>
      <c r="H2785" s="42"/>
      <c r="I2785" s="38"/>
      <c r="J2785" s="37">
        <v>0</v>
      </c>
    </row>
    <row r="2786" spans="1:10" hidden="1" x14ac:dyDescent="0.25">
      <c r="A2786" s="174"/>
      <c r="B2786" s="177"/>
      <c r="C2786" s="43" t="s">
        <v>10824</v>
      </c>
      <c r="D2786" s="43" t="s">
        <v>2800</v>
      </c>
      <c r="E2786" s="44" t="e">
        <f>IF(#REF!="Desonerado",ROUND(220/(1+'[1]Serviços SINAPI'!$E$6),4),ROUND(220/(1+'[1]Serviços SINAPI'!$F$6),4))</f>
        <v>#REF!</v>
      </c>
      <c r="F2786" s="38">
        <v>51.186</v>
      </c>
      <c r="G2786" s="41" t="e">
        <f>IF(ISNUMBER(F2786),E2786*F2786,"")</f>
        <v>#REF!</v>
      </c>
      <c r="H2786" s="46" t="e">
        <f>SUM(G2786:G2786)</f>
        <v>#REF!</v>
      </c>
      <c r="I2786" s="47"/>
      <c r="J2786" s="37">
        <v>0</v>
      </c>
    </row>
    <row r="2787" spans="1:10" hidden="1" x14ac:dyDescent="0.25">
      <c r="A2787" s="174"/>
      <c r="B2787" s="177"/>
      <c r="C2787" s="43"/>
      <c r="D2787" s="62"/>
      <c r="E2787" s="44"/>
      <c r="F2787" s="38" t="s">
        <v>13</v>
      </c>
      <c r="G2787" s="41" t="str">
        <f>IF(ISNUMBER(F2787),E2787*F2787,"")</f>
        <v/>
      </c>
      <c r="H2787" s="42"/>
      <c r="I2787" s="47"/>
      <c r="J2787" s="37">
        <v>0</v>
      </c>
    </row>
    <row r="2788" spans="1:10" ht="25.5" hidden="1" x14ac:dyDescent="0.25">
      <c r="A2788" s="174"/>
      <c r="B2788" s="177"/>
      <c r="C2788" s="4" t="s">
        <v>668</v>
      </c>
      <c r="D2788" s="62"/>
      <c r="E2788" s="44"/>
      <c r="F2788" s="38" t="s">
        <v>13</v>
      </c>
      <c r="G2788" s="41" t="str">
        <f>IF(ISNUMBER(F2788),E2788*F2788,"")</f>
        <v/>
      </c>
      <c r="H2788" s="42"/>
      <c r="I2788" s="47"/>
      <c r="J2788" s="37">
        <v>0</v>
      </c>
    </row>
    <row r="2789" spans="1:10" ht="15.75" hidden="1" thickBot="1" x14ac:dyDescent="0.3">
      <c r="A2789" s="175"/>
      <c r="B2789" s="178"/>
      <c r="C2789" s="49"/>
      <c r="D2789" s="49"/>
      <c r="E2789" s="50"/>
      <c r="F2789" s="51" t="s">
        <v>13</v>
      </c>
      <c r="G2789" s="52" t="str">
        <f>IF(ISNUMBER(F2789),E2789*F2789,"")</f>
        <v/>
      </c>
      <c r="H2789" s="53"/>
      <c r="I2789" s="38"/>
      <c r="J2789" s="37">
        <v>0</v>
      </c>
    </row>
    <row r="2790" spans="1:10" ht="15.75" hidden="1" thickBot="1" x14ac:dyDescent="0.3">
      <c r="A2790" s="173" t="s">
        <v>677</v>
      </c>
      <c r="B2790" s="176" t="s">
        <v>3991</v>
      </c>
      <c r="C2790" s="31"/>
      <c r="D2790" s="32" t="s">
        <v>3982</v>
      </c>
      <c r="E2790" s="33"/>
      <c r="F2790" s="54" t="s">
        <v>13</v>
      </c>
      <c r="G2790" s="34" t="str">
        <f>IF(ISNUMBER(F2790),E2790*F2790,"")</f>
        <v/>
      </c>
      <c r="H2790" s="35"/>
      <c r="I2790" s="36"/>
      <c r="J2790" s="37">
        <v>0</v>
      </c>
    </row>
    <row r="2791" spans="1:10" hidden="1" x14ac:dyDescent="0.25">
      <c r="A2791" s="174"/>
      <c r="B2791" s="177"/>
      <c r="C2791" s="39"/>
      <c r="D2791" s="39"/>
      <c r="E2791" s="40"/>
      <c r="F2791" s="55" t="s">
        <v>13</v>
      </c>
      <c r="G2791" s="41" t="str">
        <f>IF(ISNUMBER(F2791),E2791*F2791,"")</f>
        <v/>
      </c>
      <c r="H2791" s="42"/>
      <c r="I2791" s="38"/>
      <c r="J2791" s="37">
        <v>0</v>
      </c>
    </row>
    <row r="2792" spans="1:10" hidden="1" x14ac:dyDescent="0.25">
      <c r="A2792" s="174"/>
      <c r="B2792" s="177"/>
      <c r="C2792" s="43" t="s">
        <v>10757</v>
      </c>
      <c r="D2792" s="43" t="s">
        <v>2800</v>
      </c>
      <c r="E2792" s="44" t="e">
        <f>IF(#REF!="Desonerado",ROUND(220/(1+'[1]Serviços SINAPI'!$E$6),4),ROUND(220/(1+'[1]Serviços SINAPI'!$F$6),4))</f>
        <v>#REF!</v>
      </c>
      <c r="F2792" s="38">
        <v>31.055499999999995</v>
      </c>
      <c r="G2792" s="41" t="e">
        <f>IF(ISNUMBER(F2792),E2792*F2792,"")</f>
        <v>#REF!</v>
      </c>
      <c r="H2792" s="46" t="e">
        <f>SUM(G2792:G2792)</f>
        <v>#REF!</v>
      </c>
      <c r="I2792" s="47"/>
      <c r="J2792" s="37">
        <v>0</v>
      </c>
    </row>
    <row r="2793" spans="1:10" hidden="1" x14ac:dyDescent="0.25">
      <c r="A2793" s="174"/>
      <c r="B2793" s="177"/>
      <c r="C2793" s="43"/>
      <c r="D2793" s="62"/>
      <c r="E2793" s="44"/>
      <c r="F2793" s="38" t="s">
        <v>13</v>
      </c>
      <c r="G2793" s="41" t="str">
        <f>IF(ISNUMBER(F2793),E2793*F2793,"")</f>
        <v/>
      </c>
      <c r="H2793" s="42"/>
      <c r="I2793" s="47"/>
      <c r="J2793" s="37">
        <v>0</v>
      </c>
    </row>
    <row r="2794" spans="1:10" ht="25.5" hidden="1" x14ac:dyDescent="0.25">
      <c r="A2794" s="174"/>
      <c r="B2794" s="177"/>
      <c r="C2794" s="4" t="s">
        <v>668</v>
      </c>
      <c r="D2794" s="62"/>
      <c r="E2794" s="44"/>
      <c r="F2794" s="38" t="s">
        <v>13</v>
      </c>
      <c r="G2794" s="41" t="str">
        <f>IF(ISNUMBER(F2794),E2794*F2794,"")</f>
        <v/>
      </c>
      <c r="H2794" s="42"/>
      <c r="I2794" s="47"/>
      <c r="J2794" s="37">
        <v>0</v>
      </c>
    </row>
    <row r="2795" spans="1:10" ht="15.75" hidden="1" thickBot="1" x14ac:dyDescent="0.3">
      <c r="A2795" s="175"/>
      <c r="B2795" s="178"/>
      <c r="C2795" s="49"/>
      <c r="D2795" s="49"/>
      <c r="E2795" s="50"/>
      <c r="F2795" s="51" t="s">
        <v>13</v>
      </c>
      <c r="G2795" s="52" t="str">
        <f>IF(ISNUMBER(F2795),E2795*F2795,"")</f>
        <v/>
      </c>
      <c r="H2795" s="53"/>
      <c r="I2795" s="38"/>
      <c r="J2795" s="37">
        <v>0</v>
      </c>
    </row>
    <row r="2796" spans="1:10" ht="15.75" hidden="1" thickBot="1" x14ac:dyDescent="0.3">
      <c r="A2796" s="173" t="s">
        <v>678</v>
      </c>
      <c r="B2796" s="176" t="s">
        <v>3992</v>
      </c>
      <c r="C2796" s="31"/>
      <c r="D2796" s="32" t="s">
        <v>18</v>
      </c>
      <c r="E2796" s="33"/>
      <c r="F2796" s="60" t="s">
        <v>13</v>
      </c>
      <c r="G2796" s="34" t="str">
        <f>IF(ISNUMBER(F2796),E2796*F2796,"")</f>
        <v/>
      </c>
      <c r="H2796" s="35"/>
      <c r="I2796" s="36"/>
      <c r="J2796" s="37">
        <v>0</v>
      </c>
    </row>
    <row r="2797" spans="1:10" hidden="1" x14ac:dyDescent="0.25">
      <c r="A2797" s="179"/>
      <c r="B2797" s="177"/>
      <c r="C2797" s="39"/>
      <c r="D2797" s="39"/>
      <c r="E2797" s="40"/>
      <c r="F2797" s="70" t="s">
        <v>13</v>
      </c>
      <c r="G2797" s="70" t="str">
        <f>IF(ISNUMBER(F2797),E2797*F2797,"")</f>
        <v/>
      </c>
      <c r="H2797" s="71"/>
      <c r="I2797" s="72"/>
      <c r="J2797" s="37">
        <v>0</v>
      </c>
    </row>
    <row r="2798" spans="1:10" hidden="1" x14ac:dyDescent="0.25">
      <c r="A2798" s="179"/>
      <c r="B2798" s="177"/>
      <c r="C2798" s="43" t="s">
        <v>11015</v>
      </c>
      <c r="D2798" s="43" t="s">
        <v>83</v>
      </c>
      <c r="E2798" s="44">
        <v>1</v>
      </c>
      <c r="F2798" s="38">
        <v>36.992999999999995</v>
      </c>
      <c r="G2798" s="70">
        <f>IF(ISNUMBER(F2798),E2798*F2798,"")</f>
        <v>36.992999999999995</v>
      </c>
      <c r="H2798" s="46">
        <f>SUM(G2798:G2798)</f>
        <v>36.992999999999995</v>
      </c>
      <c r="I2798" s="47"/>
      <c r="J2798" s="37">
        <v>0</v>
      </c>
    </row>
    <row r="2799" spans="1:10" ht="15.75" hidden="1" thickBot="1" x14ac:dyDescent="0.3">
      <c r="A2799" s="180"/>
      <c r="B2799" s="178"/>
      <c r="C2799" s="49"/>
      <c r="D2799" s="63"/>
      <c r="E2799" s="50"/>
      <c r="F2799" s="83" t="s">
        <v>13</v>
      </c>
      <c r="G2799" s="83" t="str">
        <f>IF(ISNUMBER(F2799),E2799*F2799,"")</f>
        <v/>
      </c>
      <c r="H2799" s="84"/>
      <c r="I2799" s="72"/>
      <c r="J2799" s="37">
        <v>0</v>
      </c>
    </row>
    <row r="2800" spans="1:10" ht="15.75" hidden="1" thickBot="1" x14ac:dyDescent="0.3">
      <c r="A2800" s="173" t="s">
        <v>679</v>
      </c>
      <c r="B2800" s="176" t="s">
        <v>4011</v>
      </c>
      <c r="C2800" s="31"/>
      <c r="D2800" s="32" t="s">
        <v>18</v>
      </c>
      <c r="E2800" s="33"/>
      <c r="F2800" s="60" t="s">
        <v>13</v>
      </c>
      <c r="G2800" s="34" t="str">
        <f>IF(ISNUMBER(F2800),E2800*F2800,"")</f>
        <v/>
      </c>
      <c r="H2800" s="35"/>
      <c r="I2800" s="36"/>
      <c r="J2800" s="37">
        <v>0</v>
      </c>
    </row>
    <row r="2801" spans="1:10" hidden="1" x14ac:dyDescent="0.25">
      <c r="A2801" s="179"/>
      <c r="B2801" s="177"/>
      <c r="C2801" s="39"/>
      <c r="D2801" s="39"/>
      <c r="E2801" s="40"/>
      <c r="F2801" s="70" t="s">
        <v>13</v>
      </c>
      <c r="G2801" s="70" t="str">
        <f>IF(ISNUMBER(F2801),E2801*F2801,"")</f>
        <v/>
      </c>
      <c r="H2801" s="71"/>
      <c r="I2801" s="72"/>
      <c r="J2801" s="37">
        <v>0</v>
      </c>
    </row>
    <row r="2802" spans="1:10" ht="25.5" hidden="1" x14ac:dyDescent="0.25">
      <c r="A2802" s="179"/>
      <c r="B2802" s="177"/>
      <c r="C2802" s="43" t="s">
        <v>11016</v>
      </c>
      <c r="D2802" s="43" t="s">
        <v>83</v>
      </c>
      <c r="E2802" s="44">
        <v>1</v>
      </c>
      <c r="F2802" s="38">
        <v>211.66</v>
      </c>
      <c r="G2802" s="70">
        <f>IF(ISNUMBER(F2802),E2802*F2802,"")</f>
        <v>211.66</v>
      </c>
      <c r="H2802" s="46">
        <f>SUM(G2802:G2802)</f>
        <v>211.66</v>
      </c>
      <c r="I2802" s="47"/>
      <c r="J2802" s="37">
        <v>0</v>
      </c>
    </row>
    <row r="2803" spans="1:10" ht="15.75" hidden="1" thickBot="1" x14ac:dyDescent="0.3">
      <c r="A2803" s="180"/>
      <c r="B2803" s="178"/>
      <c r="C2803" s="49"/>
      <c r="D2803" s="63"/>
      <c r="E2803" s="50"/>
      <c r="F2803" s="83" t="s">
        <v>13</v>
      </c>
      <c r="G2803" s="83" t="str">
        <f>IF(ISNUMBER(F2803),E2803*F2803,"")</f>
        <v/>
      </c>
      <c r="H2803" s="84"/>
      <c r="I2803" s="72"/>
      <c r="J2803" s="37">
        <v>0</v>
      </c>
    </row>
    <row r="2804" spans="1:10" ht="15.75" hidden="1" thickBot="1" x14ac:dyDescent="0.3">
      <c r="A2804" s="173" t="s">
        <v>680</v>
      </c>
      <c r="B2804" s="176" t="s">
        <v>4028</v>
      </c>
      <c r="C2804" s="31"/>
      <c r="D2804" s="32" t="s">
        <v>18</v>
      </c>
      <c r="E2804" s="33"/>
      <c r="F2804" s="60" t="s">
        <v>13</v>
      </c>
      <c r="G2804" s="34" t="str">
        <f>IF(ISNUMBER(F2804),E2804*F2804,"")</f>
        <v/>
      </c>
      <c r="H2804" s="35"/>
      <c r="I2804" s="36"/>
      <c r="J2804" s="37">
        <v>0</v>
      </c>
    </row>
    <row r="2805" spans="1:10" hidden="1" x14ac:dyDescent="0.25">
      <c r="A2805" s="179"/>
      <c r="B2805" s="177"/>
      <c r="C2805" s="39"/>
      <c r="D2805" s="39"/>
      <c r="E2805" s="40"/>
      <c r="F2805" s="70" t="s">
        <v>13</v>
      </c>
      <c r="G2805" s="70" t="str">
        <f>IF(ISNUMBER(F2805),E2805*F2805,"")</f>
        <v/>
      </c>
      <c r="H2805" s="71"/>
      <c r="I2805" s="72"/>
      <c r="J2805" s="37">
        <v>0</v>
      </c>
    </row>
    <row r="2806" spans="1:10" ht="25.5" hidden="1" x14ac:dyDescent="0.25">
      <c r="A2806" s="179"/>
      <c r="B2806" s="177"/>
      <c r="C2806" s="43" t="s">
        <v>11017</v>
      </c>
      <c r="D2806" s="43" t="s">
        <v>83</v>
      </c>
      <c r="E2806" s="44">
        <v>1</v>
      </c>
      <c r="F2806" s="38">
        <v>67.953499999999991</v>
      </c>
      <c r="G2806" s="70">
        <f>IF(ISNUMBER(F2806),E2806*F2806,"")</f>
        <v>67.953499999999991</v>
      </c>
      <c r="H2806" s="46">
        <f>SUM(G2806:G2806)</f>
        <v>67.953499999999991</v>
      </c>
      <c r="I2806" s="47"/>
      <c r="J2806" s="37">
        <v>0</v>
      </c>
    </row>
    <row r="2807" spans="1:10" ht="15.75" hidden="1" thickBot="1" x14ac:dyDescent="0.3">
      <c r="A2807" s="180"/>
      <c r="B2807" s="178"/>
      <c r="C2807" s="49"/>
      <c r="D2807" s="63"/>
      <c r="E2807" s="50"/>
      <c r="F2807" s="83" t="s">
        <v>13</v>
      </c>
      <c r="G2807" s="83" t="str">
        <f>IF(ISNUMBER(F2807),E2807*F2807,"")</f>
        <v/>
      </c>
      <c r="H2807" s="84"/>
      <c r="I2807" s="72"/>
      <c r="J2807" s="37">
        <v>0</v>
      </c>
    </row>
    <row r="2808" spans="1:10" ht="15.75" hidden="1" thickBot="1" x14ac:dyDescent="0.3">
      <c r="A2808" s="173" t="s">
        <v>681</v>
      </c>
      <c r="B2808" s="176" t="s">
        <v>4043</v>
      </c>
      <c r="C2808" s="31"/>
      <c r="D2808" s="32" t="s">
        <v>18</v>
      </c>
      <c r="E2808" s="33"/>
      <c r="F2808" s="60" t="s">
        <v>13</v>
      </c>
      <c r="G2808" s="34" t="str">
        <f>IF(ISNUMBER(F2808),E2808*F2808,"")</f>
        <v/>
      </c>
      <c r="H2808" s="35"/>
      <c r="I2808" s="36"/>
      <c r="J2808" s="37">
        <v>0</v>
      </c>
    </row>
    <row r="2809" spans="1:10" hidden="1" x14ac:dyDescent="0.25">
      <c r="A2809" s="179"/>
      <c r="B2809" s="177"/>
      <c r="C2809" s="39"/>
      <c r="D2809" s="39"/>
      <c r="E2809" s="40"/>
      <c r="F2809" s="70" t="s">
        <v>13</v>
      </c>
      <c r="G2809" s="70" t="str">
        <f>IF(ISNUMBER(F2809),E2809*F2809,"")</f>
        <v/>
      </c>
      <c r="H2809" s="71"/>
      <c r="I2809" s="72"/>
      <c r="J2809" s="37">
        <v>0</v>
      </c>
    </row>
    <row r="2810" spans="1:10" ht="25.5" hidden="1" x14ac:dyDescent="0.25">
      <c r="A2810" s="179"/>
      <c r="B2810" s="177"/>
      <c r="C2810" s="43" t="s">
        <v>11018</v>
      </c>
      <c r="D2810" s="43" t="s">
        <v>83</v>
      </c>
      <c r="E2810" s="44">
        <v>1</v>
      </c>
      <c r="F2810" s="38">
        <v>12.8725</v>
      </c>
      <c r="G2810" s="70">
        <f>IF(ISNUMBER(F2810),E2810*F2810,"")</f>
        <v>12.8725</v>
      </c>
      <c r="H2810" s="46">
        <f>SUM(G2810:G2810)</f>
        <v>12.8725</v>
      </c>
      <c r="I2810" s="47"/>
      <c r="J2810" s="37">
        <v>0</v>
      </c>
    </row>
    <row r="2811" spans="1:10" ht="15.75" hidden="1" thickBot="1" x14ac:dyDescent="0.3">
      <c r="A2811" s="180"/>
      <c r="B2811" s="178"/>
      <c r="C2811" s="49"/>
      <c r="D2811" s="63"/>
      <c r="E2811" s="50"/>
      <c r="F2811" s="83" t="s">
        <v>13</v>
      </c>
      <c r="G2811" s="83" t="str">
        <f>IF(ISNUMBER(F2811),E2811*F2811,"")</f>
        <v/>
      </c>
      <c r="H2811" s="84"/>
      <c r="I2811" s="72"/>
      <c r="J2811" s="37">
        <v>0</v>
      </c>
    </row>
    <row r="2812" spans="1:10" ht="15.75" hidden="1" thickBot="1" x14ac:dyDescent="0.3">
      <c r="A2812" s="173" t="s">
        <v>682</v>
      </c>
      <c r="B2812" s="176" t="s">
        <v>4044</v>
      </c>
      <c r="C2812" s="31"/>
      <c r="D2812" s="32" t="s">
        <v>18</v>
      </c>
      <c r="E2812" s="33"/>
      <c r="F2812" s="60" t="s">
        <v>13</v>
      </c>
      <c r="G2812" s="34" t="str">
        <f>IF(ISNUMBER(F2812),E2812*F2812,"")</f>
        <v/>
      </c>
      <c r="H2812" s="35"/>
      <c r="I2812" s="36"/>
      <c r="J2812" s="37">
        <v>0</v>
      </c>
    </row>
    <row r="2813" spans="1:10" hidden="1" x14ac:dyDescent="0.25">
      <c r="A2813" s="174"/>
      <c r="B2813" s="177"/>
      <c r="C2813" s="39"/>
      <c r="D2813" s="39"/>
      <c r="E2813" s="40"/>
      <c r="F2813" s="70" t="s">
        <v>13</v>
      </c>
      <c r="G2813" s="70" t="str">
        <f>IF(ISNUMBER(F2813),E2813*F2813,"")</f>
        <v/>
      </c>
      <c r="H2813" s="71"/>
      <c r="I2813" s="38"/>
      <c r="J2813" s="37">
        <v>0</v>
      </c>
    </row>
    <row r="2814" spans="1:10" hidden="1" x14ac:dyDescent="0.25">
      <c r="A2814" s="174"/>
      <c r="B2814" s="177"/>
      <c r="C2814" s="43" t="s">
        <v>11019</v>
      </c>
      <c r="D2814" s="43" t="s">
        <v>83</v>
      </c>
      <c r="E2814" s="44">
        <v>1</v>
      </c>
      <c r="F2814" s="38">
        <v>21.422499999999999</v>
      </c>
      <c r="G2814" s="70">
        <f>IF(ISNUMBER(F2814),E2814*F2814,"")</f>
        <v>21.422499999999999</v>
      </c>
      <c r="H2814" s="46">
        <f>SUM(G2814:G2814)</f>
        <v>21.422499999999999</v>
      </c>
      <c r="I2814" s="47"/>
      <c r="J2814" s="37">
        <v>0</v>
      </c>
    </row>
    <row r="2815" spans="1:10" ht="15.75" hidden="1" thickBot="1" x14ac:dyDescent="0.3">
      <c r="A2815" s="175"/>
      <c r="B2815" s="178"/>
      <c r="C2815" s="49"/>
      <c r="D2815" s="49"/>
      <c r="E2815" s="50"/>
      <c r="F2815" s="51" t="s">
        <v>13</v>
      </c>
      <c r="G2815" s="52" t="str">
        <f>IF(ISNUMBER(F2815),E2815*F2815,"")</f>
        <v/>
      </c>
      <c r="H2815" s="53"/>
      <c r="I2815" s="38"/>
      <c r="J2815" s="37">
        <v>0</v>
      </c>
    </row>
    <row r="2816" spans="1:10" ht="15.75" hidden="1" thickBot="1" x14ac:dyDescent="0.3">
      <c r="A2816" s="173" t="s">
        <v>683</v>
      </c>
      <c r="B2816" s="176" t="s">
        <v>4089</v>
      </c>
      <c r="C2816" s="31"/>
      <c r="D2816" s="32" t="s">
        <v>18</v>
      </c>
      <c r="E2816" s="33"/>
      <c r="F2816" s="60" t="s">
        <v>13</v>
      </c>
      <c r="G2816" s="34" t="str">
        <f>IF(ISNUMBER(F2816),E2816*F2816,"")</f>
        <v/>
      </c>
      <c r="H2816" s="35"/>
      <c r="I2816" s="36"/>
      <c r="J2816" s="37">
        <v>0</v>
      </c>
    </row>
    <row r="2817" spans="1:10" hidden="1" x14ac:dyDescent="0.25">
      <c r="A2817" s="179"/>
      <c r="B2817" s="177"/>
      <c r="C2817" s="39"/>
      <c r="D2817" s="39"/>
      <c r="E2817" s="40"/>
      <c r="F2817" s="70" t="s">
        <v>13</v>
      </c>
      <c r="G2817" s="70" t="str">
        <f>IF(ISNUMBER(F2817),E2817*F2817,"")</f>
        <v/>
      </c>
      <c r="H2817" s="71"/>
      <c r="I2817" s="72"/>
      <c r="J2817" s="37">
        <v>0</v>
      </c>
    </row>
    <row r="2818" spans="1:10" ht="25.5" hidden="1" x14ac:dyDescent="0.25">
      <c r="A2818" s="179"/>
      <c r="B2818" s="177"/>
      <c r="C2818" s="43" t="s">
        <v>11020</v>
      </c>
      <c r="D2818" s="43" t="s">
        <v>83</v>
      </c>
      <c r="E2818" s="44">
        <v>1</v>
      </c>
      <c r="F2818" s="38">
        <v>29.4785</v>
      </c>
      <c r="G2818" s="70">
        <f>IF(ISNUMBER(F2818),E2818*F2818,"")</f>
        <v>29.4785</v>
      </c>
      <c r="H2818" s="46">
        <f>SUM(G2818:G2818)</f>
        <v>29.4785</v>
      </c>
      <c r="I2818" s="47"/>
      <c r="J2818" s="37">
        <v>0</v>
      </c>
    </row>
    <row r="2819" spans="1:10" ht="15.75" hidden="1" thickBot="1" x14ac:dyDescent="0.3">
      <c r="A2819" s="180"/>
      <c r="B2819" s="178"/>
      <c r="C2819" s="49"/>
      <c r="D2819" s="63"/>
      <c r="E2819" s="50"/>
      <c r="F2819" s="83" t="s">
        <v>13</v>
      </c>
      <c r="G2819" s="83" t="str">
        <f>IF(ISNUMBER(F2819),E2819*F2819,"")</f>
        <v/>
      </c>
      <c r="H2819" s="84"/>
      <c r="I2819" s="72"/>
      <c r="J2819" s="37">
        <v>0</v>
      </c>
    </row>
    <row r="2820" spans="1:10" ht="15.75" hidden="1" thickBot="1" x14ac:dyDescent="0.3">
      <c r="A2820" s="173" t="s">
        <v>684</v>
      </c>
      <c r="B2820" s="176" t="s">
        <v>4090</v>
      </c>
      <c r="C2820" s="31"/>
      <c r="D2820" s="32" t="s">
        <v>18</v>
      </c>
      <c r="E2820" s="33"/>
      <c r="F2820" s="60" t="s">
        <v>13</v>
      </c>
      <c r="G2820" s="34" t="str">
        <f>IF(ISNUMBER(F2820),E2820*F2820,"")</f>
        <v/>
      </c>
      <c r="H2820" s="35"/>
      <c r="I2820" s="36"/>
      <c r="J2820" s="37">
        <v>0</v>
      </c>
    </row>
    <row r="2821" spans="1:10" hidden="1" x14ac:dyDescent="0.25">
      <c r="A2821" s="174"/>
      <c r="B2821" s="177"/>
      <c r="C2821" s="39"/>
      <c r="D2821" s="39"/>
      <c r="E2821" s="40"/>
      <c r="F2821" s="70" t="s">
        <v>13</v>
      </c>
      <c r="G2821" s="70" t="str">
        <f>IF(ISNUMBER(F2821),E2821*F2821,"")</f>
        <v/>
      </c>
      <c r="H2821" s="71"/>
      <c r="I2821" s="38"/>
      <c r="J2821" s="37">
        <v>0</v>
      </c>
    </row>
    <row r="2822" spans="1:10" ht="25.5" hidden="1" x14ac:dyDescent="0.25">
      <c r="A2822" s="174"/>
      <c r="B2822" s="177"/>
      <c r="C2822" s="43" t="s">
        <v>11021</v>
      </c>
      <c r="D2822" s="43" t="s">
        <v>83</v>
      </c>
      <c r="E2822" s="44">
        <v>1</v>
      </c>
      <c r="F2822" s="38">
        <v>34.095500000000001</v>
      </c>
      <c r="G2822" s="70">
        <f>IF(ISNUMBER(F2822),E2822*F2822,"")</f>
        <v>34.095500000000001</v>
      </c>
      <c r="H2822" s="46">
        <f>SUM(G2822:G2822)</f>
        <v>34.095500000000001</v>
      </c>
      <c r="I2822" s="47"/>
      <c r="J2822" s="37">
        <v>0</v>
      </c>
    </row>
    <row r="2823" spans="1:10" ht="15.75" hidden="1" thickBot="1" x14ac:dyDescent="0.3">
      <c r="A2823" s="175"/>
      <c r="B2823" s="178"/>
      <c r="C2823" s="49"/>
      <c r="D2823" s="49"/>
      <c r="E2823" s="50"/>
      <c r="F2823" s="51" t="s">
        <v>13</v>
      </c>
      <c r="G2823" s="52" t="str">
        <f>IF(ISNUMBER(F2823),E2823*F2823,"")</f>
        <v/>
      </c>
      <c r="H2823" s="53"/>
      <c r="I2823" s="38"/>
      <c r="J2823" s="37">
        <v>0</v>
      </c>
    </row>
    <row r="2824" spans="1:10" ht="15.75" hidden="1" thickBot="1" x14ac:dyDescent="0.3">
      <c r="A2824" s="173" t="s">
        <v>685</v>
      </c>
      <c r="B2824" s="176" t="s">
        <v>4093</v>
      </c>
      <c r="C2824" s="31"/>
      <c r="D2824" s="32" t="s">
        <v>18</v>
      </c>
      <c r="E2824" s="33"/>
      <c r="F2824" s="60" t="s">
        <v>13</v>
      </c>
      <c r="G2824" s="34" t="str">
        <f>IF(ISNUMBER(F2824),E2824*F2824,"")</f>
        <v/>
      </c>
      <c r="H2824" s="35"/>
      <c r="I2824" s="36"/>
      <c r="J2824" s="37">
        <v>0</v>
      </c>
    </row>
    <row r="2825" spans="1:10" hidden="1" x14ac:dyDescent="0.25">
      <c r="A2825" s="174"/>
      <c r="B2825" s="177"/>
      <c r="C2825" s="39"/>
      <c r="D2825" s="39"/>
      <c r="E2825" s="40"/>
      <c r="F2825" s="70" t="s">
        <v>13</v>
      </c>
      <c r="G2825" s="70" t="str">
        <f>IF(ISNUMBER(F2825),E2825*F2825,"")</f>
        <v/>
      </c>
      <c r="H2825" s="71"/>
      <c r="I2825" s="38"/>
      <c r="J2825" s="37">
        <v>0</v>
      </c>
    </row>
    <row r="2826" spans="1:10" hidden="1" x14ac:dyDescent="0.25">
      <c r="A2826" s="174"/>
      <c r="B2826" s="177"/>
      <c r="C2826" s="43" t="s">
        <v>11022</v>
      </c>
      <c r="D2826" s="43" t="s">
        <v>83</v>
      </c>
      <c r="E2826" s="44">
        <v>1</v>
      </c>
      <c r="F2826" s="38">
        <v>37.524999999999999</v>
      </c>
      <c r="G2826" s="70">
        <f>IF(ISNUMBER(F2826),E2826*F2826,"")</f>
        <v>37.524999999999999</v>
      </c>
      <c r="H2826" s="46">
        <f>SUM(G2826:G2826)</f>
        <v>37.524999999999999</v>
      </c>
      <c r="I2826" s="47"/>
      <c r="J2826" s="37">
        <v>0</v>
      </c>
    </row>
    <row r="2827" spans="1:10" ht="15.75" hidden="1" thickBot="1" x14ac:dyDescent="0.3">
      <c r="A2827" s="175"/>
      <c r="B2827" s="178"/>
      <c r="C2827" s="49"/>
      <c r="D2827" s="49"/>
      <c r="E2827" s="50"/>
      <c r="F2827" s="51" t="s">
        <v>13</v>
      </c>
      <c r="G2827" s="52" t="str">
        <f>IF(ISNUMBER(F2827),E2827*F2827,"")</f>
        <v/>
      </c>
      <c r="H2827" s="53"/>
      <c r="I2827" s="38"/>
      <c r="J2827" s="37">
        <v>0</v>
      </c>
    </row>
    <row r="2828" spans="1:10" ht="15.75" hidden="1" thickBot="1" x14ac:dyDescent="0.3">
      <c r="A2828" s="173" t="s">
        <v>686</v>
      </c>
      <c r="B2828" s="176" t="s">
        <v>4176</v>
      </c>
      <c r="C2828" s="31"/>
      <c r="D2828" s="32" t="s">
        <v>18</v>
      </c>
      <c r="E2828" s="33"/>
      <c r="F2828" s="60" t="s">
        <v>13</v>
      </c>
      <c r="G2828" s="34" t="str">
        <f>IF(ISNUMBER(F2828),E2828*F2828,"")</f>
        <v/>
      </c>
      <c r="H2828" s="35"/>
      <c r="I2828" s="36"/>
      <c r="J2828" s="37">
        <v>0</v>
      </c>
    </row>
    <row r="2829" spans="1:10" hidden="1" x14ac:dyDescent="0.25">
      <c r="A2829" s="179"/>
      <c r="B2829" s="177"/>
      <c r="C2829" s="39"/>
      <c r="D2829" s="39"/>
      <c r="E2829" s="40"/>
      <c r="F2829" s="70" t="s">
        <v>13</v>
      </c>
      <c r="G2829" s="70" t="str">
        <f>IF(ISNUMBER(F2829),E2829*F2829,"")</f>
        <v/>
      </c>
      <c r="H2829" s="71"/>
      <c r="I2829" s="72"/>
      <c r="J2829" s="37">
        <v>0</v>
      </c>
    </row>
    <row r="2830" spans="1:10" ht="25.5" hidden="1" x14ac:dyDescent="0.25">
      <c r="A2830" s="179"/>
      <c r="B2830" s="177"/>
      <c r="C2830" s="43" t="s">
        <v>11023</v>
      </c>
      <c r="D2830" s="43" t="s">
        <v>83</v>
      </c>
      <c r="E2830" s="44">
        <v>1</v>
      </c>
      <c r="F2830" s="38">
        <v>13.328499999999998</v>
      </c>
      <c r="G2830" s="70">
        <f>IF(ISNUMBER(F2830),E2830*F2830,"")</f>
        <v>13.328499999999998</v>
      </c>
      <c r="H2830" s="46">
        <f>SUM(G2830:G2830)</f>
        <v>13.328499999999998</v>
      </c>
      <c r="I2830" s="47"/>
      <c r="J2830" s="37">
        <v>0</v>
      </c>
    </row>
    <row r="2831" spans="1:10" ht="15.75" hidden="1" thickBot="1" x14ac:dyDescent="0.3">
      <c r="A2831" s="180"/>
      <c r="B2831" s="178"/>
      <c r="C2831" s="49"/>
      <c r="D2831" s="63"/>
      <c r="E2831" s="50"/>
      <c r="F2831" s="83" t="s">
        <v>13</v>
      </c>
      <c r="G2831" s="83" t="str">
        <f>IF(ISNUMBER(F2831),E2831*F2831,"")</f>
        <v/>
      </c>
      <c r="H2831" s="84"/>
      <c r="I2831" s="72"/>
      <c r="J2831" s="37">
        <v>0</v>
      </c>
    </row>
    <row r="2832" spans="1:10" ht="15.75" hidden="1" thickBot="1" x14ac:dyDescent="0.3">
      <c r="A2832" s="173" t="s">
        <v>687</v>
      </c>
      <c r="B2832" s="176" t="s">
        <v>4177</v>
      </c>
      <c r="C2832" s="31"/>
      <c r="D2832" s="32" t="s">
        <v>18</v>
      </c>
      <c r="E2832" s="33"/>
      <c r="F2832" s="60" t="s">
        <v>13</v>
      </c>
      <c r="G2832" s="34" t="str">
        <f>IF(ISNUMBER(F2832),E2832*F2832,"")</f>
        <v/>
      </c>
      <c r="H2832" s="35"/>
      <c r="I2832" s="36"/>
      <c r="J2832" s="37">
        <v>0</v>
      </c>
    </row>
    <row r="2833" spans="1:10" hidden="1" x14ac:dyDescent="0.25">
      <c r="A2833" s="174"/>
      <c r="B2833" s="177"/>
      <c r="C2833" s="39"/>
      <c r="D2833" s="39"/>
      <c r="E2833" s="40"/>
      <c r="F2833" s="70" t="s">
        <v>13</v>
      </c>
      <c r="G2833" s="70" t="str">
        <f>IF(ISNUMBER(F2833),E2833*F2833,"")</f>
        <v/>
      </c>
      <c r="H2833" s="71"/>
      <c r="I2833" s="38"/>
      <c r="J2833" s="37">
        <v>0</v>
      </c>
    </row>
    <row r="2834" spans="1:10" hidden="1" x14ac:dyDescent="0.25">
      <c r="A2834" s="174"/>
      <c r="B2834" s="177"/>
      <c r="C2834" s="43" t="s">
        <v>11024</v>
      </c>
      <c r="D2834" s="43" t="s">
        <v>83</v>
      </c>
      <c r="E2834" s="44">
        <v>1</v>
      </c>
      <c r="F2834" s="38">
        <v>13.8985</v>
      </c>
      <c r="G2834" s="70">
        <f>IF(ISNUMBER(F2834),E2834*F2834,"")</f>
        <v>13.8985</v>
      </c>
      <c r="H2834" s="46">
        <f>SUM(G2834:G2834)</f>
        <v>13.8985</v>
      </c>
      <c r="I2834" s="47"/>
      <c r="J2834" s="37">
        <v>0</v>
      </c>
    </row>
    <row r="2835" spans="1:10" ht="15.75" hidden="1" thickBot="1" x14ac:dyDescent="0.3">
      <c r="A2835" s="175"/>
      <c r="B2835" s="178"/>
      <c r="C2835" s="49"/>
      <c r="D2835" s="49"/>
      <c r="E2835" s="50"/>
      <c r="F2835" s="51" t="s">
        <v>13</v>
      </c>
      <c r="G2835" s="52" t="str">
        <f>IF(ISNUMBER(F2835),E2835*F2835,"")</f>
        <v/>
      </c>
      <c r="H2835" s="53"/>
      <c r="I2835" s="38"/>
      <c r="J2835" s="37">
        <v>0</v>
      </c>
    </row>
    <row r="2836" spans="1:10" ht="15.75" hidden="1" thickBot="1" x14ac:dyDescent="0.3">
      <c r="A2836" s="173" t="s">
        <v>688</v>
      </c>
      <c r="B2836" s="176" t="s">
        <v>4203</v>
      </c>
      <c r="C2836" s="31"/>
      <c r="D2836" s="32" t="s">
        <v>3474</v>
      </c>
      <c r="E2836" s="33"/>
      <c r="F2836" s="60" t="s">
        <v>13</v>
      </c>
      <c r="G2836" s="34" t="str">
        <f>IF(ISNUMBER(F2836),E2836*F2836,"")</f>
        <v/>
      </c>
      <c r="H2836" s="35"/>
      <c r="I2836" s="36"/>
      <c r="J2836" s="37">
        <v>0</v>
      </c>
    </row>
    <row r="2837" spans="1:10" hidden="1" x14ac:dyDescent="0.25">
      <c r="A2837" s="179"/>
      <c r="B2837" s="177"/>
      <c r="C2837" s="39"/>
      <c r="D2837" s="39"/>
      <c r="E2837" s="40"/>
      <c r="F2837" s="70" t="s">
        <v>13</v>
      </c>
      <c r="G2837" s="70" t="str">
        <f>IF(ISNUMBER(F2837),E2837*F2837,"")</f>
        <v/>
      </c>
      <c r="H2837" s="71"/>
      <c r="I2837" s="72"/>
      <c r="J2837" s="37">
        <v>0</v>
      </c>
    </row>
    <row r="2838" spans="1:10" hidden="1" x14ac:dyDescent="0.25">
      <c r="A2838" s="179"/>
      <c r="B2838" s="177"/>
      <c r="C2838" s="43" t="s">
        <v>11025</v>
      </c>
      <c r="D2838" s="43" t="s">
        <v>11903</v>
      </c>
      <c r="E2838" s="44">
        <v>1</v>
      </c>
      <c r="F2838" s="38">
        <v>39.691000000000003</v>
      </c>
      <c r="G2838" s="70">
        <f>IF(ISNUMBER(F2838),E2838*F2838,"")</f>
        <v>39.691000000000003</v>
      </c>
      <c r="H2838" s="46">
        <f>SUM(G2838:G2838)</f>
        <v>39.691000000000003</v>
      </c>
      <c r="I2838" s="47"/>
      <c r="J2838" s="37">
        <v>0</v>
      </c>
    </row>
    <row r="2839" spans="1:10" ht="15.75" hidden="1" thickBot="1" x14ac:dyDescent="0.3">
      <c r="A2839" s="180"/>
      <c r="B2839" s="178"/>
      <c r="C2839" s="49"/>
      <c r="D2839" s="63"/>
      <c r="E2839" s="50"/>
      <c r="F2839" s="83" t="s">
        <v>13</v>
      </c>
      <c r="G2839" s="83" t="str">
        <f>IF(ISNUMBER(F2839),E2839*F2839,"")</f>
        <v/>
      </c>
      <c r="H2839" s="84"/>
      <c r="I2839" s="72"/>
      <c r="J2839" s="37">
        <v>0</v>
      </c>
    </row>
    <row r="2840" spans="1:10" ht="15.75" hidden="1" thickBot="1" x14ac:dyDescent="0.3">
      <c r="A2840" s="173" t="s">
        <v>689</v>
      </c>
      <c r="B2840" s="176" t="s">
        <v>4204</v>
      </c>
      <c r="C2840" s="31"/>
      <c r="D2840" s="32" t="s">
        <v>18</v>
      </c>
      <c r="E2840" s="33"/>
      <c r="F2840" s="60" t="s">
        <v>13</v>
      </c>
      <c r="G2840" s="34" t="str">
        <f>IF(ISNUMBER(F2840),E2840*F2840,"")</f>
        <v/>
      </c>
      <c r="H2840" s="35"/>
      <c r="I2840" s="36"/>
      <c r="J2840" s="37">
        <v>0</v>
      </c>
    </row>
    <row r="2841" spans="1:10" hidden="1" x14ac:dyDescent="0.25">
      <c r="A2841" s="179"/>
      <c r="B2841" s="177"/>
      <c r="C2841" s="39"/>
      <c r="D2841" s="39"/>
      <c r="E2841" s="40"/>
      <c r="F2841" s="70" t="s">
        <v>13</v>
      </c>
      <c r="G2841" s="70" t="str">
        <f>IF(ISNUMBER(F2841),E2841*F2841,"")</f>
        <v/>
      </c>
      <c r="H2841" s="71"/>
      <c r="I2841" s="72"/>
      <c r="J2841" s="37">
        <v>0</v>
      </c>
    </row>
    <row r="2842" spans="1:10" ht="25.5" hidden="1" x14ac:dyDescent="0.25">
      <c r="A2842" s="179"/>
      <c r="B2842" s="177"/>
      <c r="C2842" s="43" t="s">
        <v>11026</v>
      </c>
      <c r="D2842" s="43" t="s">
        <v>83</v>
      </c>
      <c r="E2842" s="44">
        <v>1</v>
      </c>
      <c r="F2842" s="38">
        <v>19</v>
      </c>
      <c r="G2842" s="70">
        <f>IF(ISNUMBER(F2842),E2842*F2842,"")</f>
        <v>19</v>
      </c>
      <c r="H2842" s="46">
        <f>SUM(G2842:G2842)</f>
        <v>19</v>
      </c>
      <c r="I2842" s="47"/>
      <c r="J2842" s="37">
        <v>0</v>
      </c>
    </row>
    <row r="2843" spans="1:10" ht="15.75" hidden="1" thickBot="1" x14ac:dyDescent="0.3">
      <c r="A2843" s="180"/>
      <c r="B2843" s="178"/>
      <c r="C2843" s="49"/>
      <c r="D2843" s="63"/>
      <c r="E2843" s="50"/>
      <c r="F2843" s="83" t="s">
        <v>13</v>
      </c>
      <c r="G2843" s="83" t="str">
        <f>IF(ISNUMBER(F2843),E2843*F2843,"")</f>
        <v/>
      </c>
      <c r="H2843" s="84"/>
      <c r="I2843" s="72"/>
      <c r="J2843" s="37">
        <v>0</v>
      </c>
    </row>
    <row r="2844" spans="1:10" ht="15.75" hidden="1" thickBot="1" x14ac:dyDescent="0.3">
      <c r="A2844" s="173" t="s">
        <v>690</v>
      </c>
      <c r="B2844" s="176" t="s">
        <v>4225</v>
      </c>
      <c r="C2844" s="31"/>
      <c r="D2844" s="32" t="s">
        <v>18</v>
      </c>
      <c r="E2844" s="33"/>
      <c r="F2844" s="60" t="s">
        <v>13</v>
      </c>
      <c r="G2844" s="34" t="str">
        <f>IF(ISNUMBER(F2844),E2844*F2844,"")</f>
        <v/>
      </c>
      <c r="H2844" s="35"/>
      <c r="I2844" s="36"/>
      <c r="J2844" s="37">
        <v>0</v>
      </c>
    </row>
    <row r="2845" spans="1:10" hidden="1" x14ac:dyDescent="0.25">
      <c r="A2845" s="174"/>
      <c r="B2845" s="177"/>
      <c r="C2845" s="39"/>
      <c r="D2845" s="39"/>
      <c r="E2845" s="40"/>
      <c r="F2845" s="70" t="s">
        <v>13</v>
      </c>
      <c r="G2845" s="70" t="str">
        <f>IF(ISNUMBER(F2845),E2845*F2845,"")</f>
        <v/>
      </c>
      <c r="H2845" s="71"/>
      <c r="I2845" s="38"/>
      <c r="J2845" s="37">
        <v>0</v>
      </c>
    </row>
    <row r="2846" spans="1:10" ht="25.5" hidden="1" x14ac:dyDescent="0.25">
      <c r="A2846" s="174"/>
      <c r="B2846" s="177"/>
      <c r="C2846" s="43" t="s">
        <v>11027</v>
      </c>
      <c r="D2846" s="43" t="s">
        <v>83</v>
      </c>
      <c r="E2846" s="44">
        <v>1</v>
      </c>
      <c r="F2846" s="38">
        <v>180.386</v>
      </c>
      <c r="G2846" s="70">
        <f>IF(ISNUMBER(F2846),E2846*F2846,"")</f>
        <v>180.386</v>
      </c>
      <c r="H2846" s="46">
        <f>SUM(G2846:G2846)</f>
        <v>180.386</v>
      </c>
      <c r="I2846" s="47"/>
      <c r="J2846" s="37">
        <v>0</v>
      </c>
    </row>
    <row r="2847" spans="1:10" ht="15.75" hidden="1" thickBot="1" x14ac:dyDescent="0.3">
      <c r="A2847" s="175"/>
      <c r="B2847" s="178"/>
      <c r="C2847" s="49"/>
      <c r="D2847" s="49"/>
      <c r="E2847" s="50"/>
      <c r="F2847" s="51" t="s">
        <v>13</v>
      </c>
      <c r="G2847" s="52" t="str">
        <f>IF(ISNUMBER(F2847),E2847*F2847,"")</f>
        <v/>
      </c>
      <c r="H2847" s="53"/>
      <c r="I2847" s="38"/>
      <c r="J2847" s="37">
        <v>0</v>
      </c>
    </row>
    <row r="2848" spans="1:10" ht="15.75" hidden="1" thickBot="1" x14ac:dyDescent="0.3">
      <c r="A2848" s="173" t="s">
        <v>691</v>
      </c>
      <c r="B2848" s="176" t="s">
        <v>4225</v>
      </c>
      <c r="C2848" s="31"/>
      <c r="D2848" s="32" t="s">
        <v>18</v>
      </c>
      <c r="E2848" s="33"/>
      <c r="F2848" s="60" t="s">
        <v>13</v>
      </c>
      <c r="G2848" s="34" t="str">
        <f>IF(ISNUMBER(F2848),E2848*F2848,"")</f>
        <v/>
      </c>
      <c r="H2848" s="35"/>
      <c r="I2848" s="36"/>
      <c r="J2848" s="37">
        <v>0</v>
      </c>
    </row>
    <row r="2849" spans="1:10" hidden="1" x14ac:dyDescent="0.25">
      <c r="A2849" s="179"/>
      <c r="B2849" s="177"/>
      <c r="C2849" s="39"/>
      <c r="D2849" s="39"/>
      <c r="E2849" s="40"/>
      <c r="F2849" s="70" t="s">
        <v>13</v>
      </c>
      <c r="G2849" s="70" t="str">
        <f>IF(ISNUMBER(F2849),E2849*F2849,"")</f>
        <v/>
      </c>
      <c r="H2849" s="71"/>
      <c r="I2849" s="72"/>
      <c r="J2849" s="37">
        <v>0</v>
      </c>
    </row>
    <row r="2850" spans="1:10" ht="25.5" hidden="1" x14ac:dyDescent="0.25">
      <c r="A2850" s="179"/>
      <c r="B2850" s="177"/>
      <c r="C2850" s="43" t="s">
        <v>11028</v>
      </c>
      <c r="D2850" s="43" t="s">
        <v>83</v>
      </c>
      <c r="E2850" s="44">
        <v>1</v>
      </c>
      <c r="F2850" s="38">
        <v>158.18449999999999</v>
      </c>
      <c r="G2850" s="70">
        <f>IF(ISNUMBER(F2850),E2850*F2850,"")</f>
        <v>158.18449999999999</v>
      </c>
      <c r="H2850" s="46">
        <f>SUM(G2850:G2850)</f>
        <v>158.18449999999999</v>
      </c>
      <c r="I2850" s="47"/>
      <c r="J2850" s="37">
        <v>0</v>
      </c>
    </row>
    <row r="2851" spans="1:10" ht="15.75" hidden="1" thickBot="1" x14ac:dyDescent="0.3">
      <c r="A2851" s="180"/>
      <c r="B2851" s="178"/>
      <c r="C2851" s="49"/>
      <c r="D2851" s="63"/>
      <c r="E2851" s="50"/>
      <c r="F2851" s="83" t="s">
        <v>13</v>
      </c>
      <c r="G2851" s="83" t="str">
        <f>IF(ISNUMBER(F2851),E2851*F2851,"")</f>
        <v/>
      </c>
      <c r="H2851" s="84"/>
      <c r="I2851" s="72"/>
      <c r="J2851" s="37">
        <v>0</v>
      </c>
    </row>
    <row r="2852" spans="1:10" ht="15.75" hidden="1" thickBot="1" x14ac:dyDescent="0.3">
      <c r="A2852" s="173" t="s">
        <v>692</v>
      </c>
      <c r="B2852" s="176" t="s">
        <v>4231</v>
      </c>
      <c r="C2852" s="31"/>
      <c r="D2852" s="32" t="s">
        <v>68</v>
      </c>
      <c r="E2852" s="33"/>
      <c r="F2852" s="54" t="s">
        <v>13</v>
      </c>
      <c r="G2852" s="34" t="str">
        <f>IF(ISNUMBER(F2852),E2852*F2852,"")</f>
        <v/>
      </c>
      <c r="H2852" s="35"/>
      <c r="I2852" s="36"/>
      <c r="J2852" s="37">
        <v>0</v>
      </c>
    </row>
    <row r="2853" spans="1:10" hidden="1" x14ac:dyDescent="0.25">
      <c r="A2853" s="174"/>
      <c r="B2853" s="177"/>
      <c r="C2853" s="39"/>
      <c r="D2853" s="39"/>
      <c r="E2853" s="40"/>
      <c r="F2853" s="55" t="s">
        <v>13</v>
      </c>
      <c r="G2853" s="41" t="str">
        <f>IF(ISNUMBER(F2853),E2853*F2853,"")</f>
        <v/>
      </c>
      <c r="H2853" s="42"/>
      <c r="I2853" s="38"/>
      <c r="J2853" s="37">
        <v>0</v>
      </c>
    </row>
    <row r="2854" spans="1:10" hidden="1" x14ac:dyDescent="0.25">
      <c r="A2854" s="174"/>
      <c r="B2854" s="177"/>
      <c r="C2854" s="43" t="s">
        <v>10831</v>
      </c>
      <c r="D2854" s="43" t="s">
        <v>2800</v>
      </c>
      <c r="E2854" s="44">
        <v>1</v>
      </c>
      <c r="F2854" s="38">
        <v>28.6615</v>
      </c>
      <c r="G2854" s="41">
        <f>IF(ISNUMBER(F2854),E2854*F2854,"")</f>
        <v>28.6615</v>
      </c>
      <c r="H2854" s="46">
        <f>SUM(G2854:G2855)</f>
        <v>47.832499999999996</v>
      </c>
      <c r="I2854" s="47"/>
      <c r="J2854" s="37">
        <v>0</v>
      </c>
    </row>
    <row r="2855" spans="1:10" hidden="1" x14ac:dyDescent="0.25">
      <c r="A2855" s="174"/>
      <c r="B2855" s="177"/>
      <c r="C2855" s="43" t="s">
        <v>10892</v>
      </c>
      <c r="D2855" s="43" t="s">
        <v>1044</v>
      </c>
      <c r="E2855" s="44">
        <v>2</v>
      </c>
      <c r="F2855" s="41">
        <v>9.5854999999999997</v>
      </c>
      <c r="G2855" s="41">
        <f>IF(ISNUMBER(F2855),E2855*F2855,"")</f>
        <v>19.170999999999999</v>
      </c>
      <c r="H2855" s="42"/>
      <c r="I2855" s="38"/>
      <c r="J2855" s="37">
        <v>0</v>
      </c>
    </row>
    <row r="2856" spans="1:10" ht="15.75" hidden="1" thickBot="1" x14ac:dyDescent="0.3">
      <c r="A2856" s="175"/>
      <c r="B2856" s="178"/>
      <c r="C2856" s="49"/>
      <c r="D2856" s="49"/>
      <c r="E2856" s="50"/>
      <c r="F2856" s="51" t="s">
        <v>13</v>
      </c>
      <c r="G2856" s="52" t="str">
        <f>IF(ISNUMBER(F2856),E2856*F2856,"")</f>
        <v/>
      </c>
      <c r="H2856" s="53"/>
      <c r="I2856" s="38"/>
      <c r="J2856" s="37">
        <v>0</v>
      </c>
    </row>
    <row r="2857" spans="1:10" ht="15.75" hidden="1" thickBot="1" x14ac:dyDescent="0.3">
      <c r="A2857" s="173" t="s">
        <v>693</v>
      </c>
      <c r="B2857" s="176" t="s">
        <v>4232</v>
      </c>
      <c r="C2857" s="31"/>
      <c r="D2857" s="32" t="s">
        <v>68</v>
      </c>
      <c r="E2857" s="33"/>
      <c r="F2857" s="54" t="s">
        <v>13</v>
      </c>
      <c r="G2857" s="34" t="str">
        <f>IF(ISNUMBER(F2857),E2857*F2857,"")</f>
        <v/>
      </c>
      <c r="H2857" s="35"/>
      <c r="I2857" s="36"/>
      <c r="J2857" s="37">
        <v>0</v>
      </c>
    </row>
    <row r="2858" spans="1:10" hidden="1" x14ac:dyDescent="0.25">
      <c r="A2858" s="174"/>
      <c r="B2858" s="177"/>
      <c r="C2858" s="39"/>
      <c r="D2858" s="39"/>
      <c r="E2858" s="40"/>
      <c r="F2858" s="55" t="s">
        <v>13</v>
      </c>
      <c r="G2858" s="41" t="str">
        <f>IF(ISNUMBER(F2858),E2858*F2858,"")</f>
        <v/>
      </c>
      <c r="H2858" s="42"/>
      <c r="I2858" s="38"/>
      <c r="J2858" s="37">
        <v>0</v>
      </c>
    </row>
    <row r="2859" spans="1:10" hidden="1" x14ac:dyDescent="0.25">
      <c r="A2859" s="174"/>
      <c r="B2859" s="177"/>
      <c r="C2859" s="43" t="s">
        <v>11029</v>
      </c>
      <c r="D2859" s="43" t="s">
        <v>162</v>
      </c>
      <c r="E2859" s="44">
        <v>1</v>
      </c>
      <c r="F2859" s="41">
        <v>223.94349999999997</v>
      </c>
      <c r="G2859" s="41">
        <f>IF(ISNUMBER(F2859),E2859*F2859,"")</f>
        <v>223.94349999999997</v>
      </c>
      <c r="H2859" s="46">
        <f>SUM(G2859:G2865)</f>
        <v>353.42506099999991</v>
      </c>
      <c r="I2859" s="47"/>
      <c r="J2859" s="37">
        <v>0</v>
      </c>
    </row>
    <row r="2860" spans="1:10" ht="38.25" hidden="1" x14ac:dyDescent="0.25">
      <c r="A2860" s="174"/>
      <c r="B2860" s="177"/>
      <c r="C2860" s="43" t="s">
        <v>10931</v>
      </c>
      <c r="D2860" s="43" t="s">
        <v>83</v>
      </c>
      <c r="E2860" s="44">
        <v>1.913</v>
      </c>
      <c r="F2860" s="41">
        <v>0.38949999999999996</v>
      </c>
      <c r="G2860" s="41">
        <f>IF(ISNUMBER(F2860),E2860*F2860,"")</f>
        <v>0.74511349999999998</v>
      </c>
      <c r="H2860" s="42"/>
      <c r="I2860" s="38"/>
      <c r="J2860" s="37">
        <v>0</v>
      </c>
    </row>
    <row r="2861" spans="1:10" hidden="1" x14ac:dyDescent="0.25">
      <c r="A2861" s="174"/>
      <c r="B2861" s="177"/>
      <c r="C2861" s="43" t="s">
        <v>11030</v>
      </c>
      <c r="D2861" s="43" t="s">
        <v>1044</v>
      </c>
      <c r="E2861" s="44">
        <v>0.83899999999999997</v>
      </c>
      <c r="F2861" s="41">
        <v>41.001999999999995</v>
      </c>
      <c r="G2861" s="41">
        <f>IF(ISNUMBER(F2861),E2861*F2861,"")</f>
        <v>34.400677999999992</v>
      </c>
      <c r="H2861" s="42"/>
      <c r="I2861" s="38"/>
      <c r="J2861" s="37">
        <v>0</v>
      </c>
    </row>
    <row r="2862" spans="1:10" ht="25.5" hidden="1" x14ac:dyDescent="0.25">
      <c r="A2862" s="174"/>
      <c r="B2862" s="177"/>
      <c r="C2862" s="43" t="s">
        <v>10857</v>
      </c>
      <c r="D2862" s="43" t="s">
        <v>1302</v>
      </c>
      <c r="E2862" s="44">
        <v>2.605</v>
      </c>
      <c r="F2862" s="41">
        <v>2.4889999999999999</v>
      </c>
      <c r="G2862" s="41">
        <f>IF(ISNUMBER(F2862),E2862*F2862,"")</f>
        <v>6.4838449999999996</v>
      </c>
      <c r="H2862" s="42"/>
      <c r="I2862" s="38"/>
      <c r="J2862" s="37">
        <v>0</v>
      </c>
    </row>
    <row r="2863" spans="1:10" hidden="1" x14ac:dyDescent="0.25">
      <c r="A2863" s="174"/>
      <c r="B2863" s="177"/>
      <c r="C2863" s="43" t="s">
        <v>10893</v>
      </c>
      <c r="D2863" s="43" t="s">
        <v>83</v>
      </c>
      <c r="E2863" s="44">
        <v>0.34599999999999997</v>
      </c>
      <c r="F2863" s="41">
        <v>28.148499999999999</v>
      </c>
      <c r="G2863" s="41">
        <f>IF(ISNUMBER(F2863),E2863*F2863,"")</f>
        <v>9.7393809999999981</v>
      </c>
      <c r="H2863" s="42"/>
      <c r="I2863" s="38"/>
      <c r="J2863" s="37">
        <v>0</v>
      </c>
    </row>
    <row r="2864" spans="1:10" hidden="1" x14ac:dyDescent="0.25">
      <c r="A2864" s="174"/>
      <c r="B2864" s="177"/>
      <c r="C2864" s="43" t="s">
        <v>10614</v>
      </c>
      <c r="D2864" s="43" t="s">
        <v>2800</v>
      </c>
      <c r="E2864" s="44">
        <v>1.4690000000000001</v>
      </c>
      <c r="F2864" s="41">
        <v>23.693000000000001</v>
      </c>
      <c r="G2864" s="41">
        <f>IF(ISNUMBER(F2864),E2864*F2864,"")</f>
        <v>34.805017000000007</v>
      </c>
      <c r="H2864" s="42"/>
      <c r="I2864" s="38"/>
      <c r="J2864" s="37">
        <v>0</v>
      </c>
    </row>
    <row r="2865" spans="1:10" hidden="1" x14ac:dyDescent="0.25">
      <c r="A2865" s="174"/>
      <c r="B2865" s="177"/>
      <c r="C2865" s="43" t="s">
        <v>10831</v>
      </c>
      <c r="D2865" s="43" t="s">
        <v>2800</v>
      </c>
      <c r="E2865" s="44">
        <v>1.5109999999999999</v>
      </c>
      <c r="F2865" s="41">
        <v>28.6615</v>
      </c>
      <c r="G2865" s="41">
        <f>IF(ISNUMBER(F2865),E2865*F2865,"")</f>
        <v>43.307526499999994</v>
      </c>
      <c r="H2865" s="42"/>
      <c r="I2865" s="38"/>
      <c r="J2865" s="37">
        <v>0</v>
      </c>
    </row>
    <row r="2866" spans="1:10" ht="15.75" hidden="1" thickBot="1" x14ac:dyDescent="0.3">
      <c r="A2866" s="175"/>
      <c r="B2866" s="178"/>
      <c r="C2866" s="49"/>
      <c r="D2866" s="49"/>
      <c r="E2866" s="50"/>
      <c r="F2866" s="51" t="s">
        <v>13</v>
      </c>
      <c r="G2866" s="52" t="str">
        <f>IF(ISNUMBER(F2866),E2866*F2866,"")</f>
        <v/>
      </c>
      <c r="H2866" s="53"/>
      <c r="I2866" s="38"/>
      <c r="J2866" s="37">
        <v>0</v>
      </c>
    </row>
    <row r="2867" spans="1:10" ht="15.75" hidden="1" thickBot="1" x14ac:dyDescent="0.3">
      <c r="A2867" s="173" t="s">
        <v>694</v>
      </c>
      <c r="B2867" s="176" t="s">
        <v>4233</v>
      </c>
      <c r="C2867" s="31"/>
      <c r="D2867" s="32" t="s">
        <v>68</v>
      </c>
      <c r="E2867" s="33"/>
      <c r="F2867" s="54" t="s">
        <v>13</v>
      </c>
      <c r="G2867" s="34" t="str">
        <f>IF(ISNUMBER(F2867),E2867*F2867,"")</f>
        <v/>
      </c>
      <c r="H2867" s="35"/>
      <c r="I2867" s="36"/>
      <c r="J2867" s="37">
        <v>0</v>
      </c>
    </row>
    <row r="2868" spans="1:10" hidden="1" x14ac:dyDescent="0.25">
      <c r="A2868" s="174"/>
      <c r="B2868" s="177"/>
      <c r="C2868" s="39"/>
      <c r="D2868" s="39"/>
      <c r="E2868" s="40"/>
      <c r="F2868" s="55" t="s">
        <v>13</v>
      </c>
      <c r="G2868" s="41" t="str">
        <f>IF(ISNUMBER(F2868),E2868*F2868,"")</f>
        <v/>
      </c>
      <c r="H2868" s="42"/>
      <c r="I2868" s="38"/>
      <c r="J2868" s="37">
        <v>0</v>
      </c>
    </row>
    <row r="2869" spans="1:10" hidden="1" x14ac:dyDescent="0.25">
      <c r="A2869" s="174"/>
      <c r="B2869" s="177"/>
      <c r="C2869" s="43" t="s">
        <v>10831</v>
      </c>
      <c r="D2869" s="43" t="s">
        <v>2800</v>
      </c>
      <c r="E2869" s="44">
        <v>1</v>
      </c>
      <c r="F2869" s="41">
        <v>28.6615</v>
      </c>
      <c r="G2869" s="41">
        <f>IF(ISNUMBER(F2869),E2869*F2869,"")</f>
        <v>28.6615</v>
      </c>
      <c r="H2869" s="46">
        <f>SUM(G2869:G2871)</f>
        <v>223.49699999999996</v>
      </c>
      <c r="I2869" s="47"/>
      <c r="J2869" s="37">
        <v>0</v>
      </c>
    </row>
    <row r="2870" spans="1:10" hidden="1" x14ac:dyDescent="0.25">
      <c r="A2870" s="174"/>
      <c r="B2870" s="177"/>
      <c r="C2870" s="43" t="s">
        <v>10892</v>
      </c>
      <c r="D2870" s="43" t="s">
        <v>1044</v>
      </c>
      <c r="E2870" s="44">
        <v>2</v>
      </c>
      <c r="F2870" s="38">
        <v>9.5854999999999997</v>
      </c>
      <c r="G2870" s="41">
        <f>IF(ISNUMBER(F2870),E2870*F2870,"")</f>
        <v>19.170999999999999</v>
      </c>
      <c r="H2870" s="42"/>
      <c r="I2870" s="38"/>
      <c r="J2870" s="37">
        <v>0</v>
      </c>
    </row>
    <row r="2871" spans="1:10" hidden="1" x14ac:dyDescent="0.25">
      <c r="A2871" s="174"/>
      <c r="B2871" s="177"/>
      <c r="C2871" s="43" t="s">
        <v>11031</v>
      </c>
      <c r="D2871" s="43" t="s">
        <v>162</v>
      </c>
      <c r="E2871" s="44">
        <v>1</v>
      </c>
      <c r="F2871" s="38">
        <v>175.66449999999998</v>
      </c>
      <c r="G2871" s="41">
        <f>IF(ISNUMBER(F2871),E2871*F2871,"")</f>
        <v>175.66449999999998</v>
      </c>
      <c r="H2871" s="42"/>
      <c r="I2871" s="38"/>
      <c r="J2871" s="37">
        <v>0</v>
      </c>
    </row>
    <row r="2872" spans="1:10" ht="15.75" hidden="1" thickBot="1" x14ac:dyDescent="0.3">
      <c r="A2872" s="175"/>
      <c r="B2872" s="178"/>
      <c r="C2872" s="49"/>
      <c r="D2872" s="49"/>
      <c r="E2872" s="50"/>
      <c r="F2872" s="51" t="s">
        <v>13</v>
      </c>
      <c r="G2872" s="52" t="str">
        <f>IF(ISNUMBER(F2872),E2872*F2872,"")</f>
        <v/>
      </c>
      <c r="H2872" s="53"/>
      <c r="I2872" s="38"/>
      <c r="J2872" s="37">
        <v>0</v>
      </c>
    </row>
    <row r="2873" spans="1:10" ht="15.75" hidden="1" thickBot="1" x14ac:dyDescent="0.3">
      <c r="A2873" s="173" t="s">
        <v>695</v>
      </c>
      <c r="B2873" s="176" t="s">
        <v>4234</v>
      </c>
      <c r="C2873" s="31"/>
      <c r="D2873" s="32" t="s">
        <v>106</v>
      </c>
      <c r="E2873" s="33"/>
      <c r="F2873" s="54" t="s">
        <v>13</v>
      </c>
      <c r="G2873" s="34" t="str">
        <f>IF(ISNUMBER(F2873),E2873*F2873,"")</f>
        <v/>
      </c>
      <c r="H2873" s="35"/>
      <c r="I2873" s="36"/>
      <c r="J2873" s="37">
        <v>0</v>
      </c>
    </row>
    <row r="2874" spans="1:10" hidden="1" x14ac:dyDescent="0.25">
      <c r="A2874" s="174"/>
      <c r="B2874" s="177"/>
      <c r="C2874" s="39"/>
      <c r="D2874" s="39"/>
      <c r="E2874" s="40"/>
      <c r="F2874" s="55" t="s">
        <v>13</v>
      </c>
      <c r="G2874" s="41" t="str">
        <f>IF(ISNUMBER(F2874),E2874*F2874,"")</f>
        <v/>
      </c>
      <c r="H2874" s="42"/>
      <c r="I2874" s="38"/>
      <c r="J2874" s="37">
        <v>0</v>
      </c>
    </row>
    <row r="2875" spans="1:10" hidden="1" x14ac:dyDescent="0.25">
      <c r="A2875" s="174"/>
      <c r="B2875" s="177"/>
      <c r="C2875" s="43" t="s">
        <v>10831</v>
      </c>
      <c r="D2875" s="43" t="s">
        <v>2800</v>
      </c>
      <c r="E2875" s="44">
        <v>0.5</v>
      </c>
      <c r="F2875" s="38">
        <v>28.6615</v>
      </c>
      <c r="G2875" s="41">
        <f>IF(ISNUMBER(F2875),E2875*F2875,"")</f>
        <v>14.33075</v>
      </c>
      <c r="H2875" s="46">
        <f>SUM(G2875:G2876)</f>
        <v>26.177250000000001</v>
      </c>
      <c r="I2875" s="47"/>
      <c r="J2875" s="37">
        <v>0</v>
      </c>
    </row>
    <row r="2876" spans="1:10" hidden="1" x14ac:dyDescent="0.25">
      <c r="A2876" s="174"/>
      <c r="B2876" s="177"/>
      <c r="C2876" s="43" t="s">
        <v>10614</v>
      </c>
      <c r="D2876" s="43" t="s">
        <v>2800</v>
      </c>
      <c r="E2876" s="44">
        <v>0.5</v>
      </c>
      <c r="F2876" s="38">
        <v>23.693000000000001</v>
      </c>
      <c r="G2876" s="41">
        <f>IF(ISNUMBER(F2876),E2876*F2876,"")</f>
        <v>11.846500000000001</v>
      </c>
      <c r="H2876" s="42"/>
      <c r="I2876" s="38"/>
      <c r="J2876" s="37">
        <v>0</v>
      </c>
    </row>
    <row r="2877" spans="1:10" ht="15.75" hidden="1" thickBot="1" x14ac:dyDescent="0.3">
      <c r="A2877" s="175"/>
      <c r="B2877" s="178"/>
      <c r="C2877" s="49"/>
      <c r="D2877" s="49"/>
      <c r="E2877" s="50"/>
      <c r="F2877" s="51" t="s">
        <v>13</v>
      </c>
      <c r="G2877" s="52" t="str">
        <f>IF(ISNUMBER(F2877),E2877*F2877,"")</f>
        <v/>
      </c>
      <c r="H2877" s="53"/>
      <c r="I2877" s="38"/>
      <c r="J2877" s="37">
        <v>0</v>
      </c>
    </row>
    <row r="2878" spans="1:10" ht="15.75" hidden="1" thickBot="1" x14ac:dyDescent="0.3">
      <c r="A2878" s="173" t="s">
        <v>696</v>
      </c>
      <c r="B2878" s="176" t="s">
        <v>4235</v>
      </c>
      <c r="C2878" s="31"/>
      <c r="D2878" s="32" t="s">
        <v>106</v>
      </c>
      <c r="E2878" s="33"/>
      <c r="F2878" s="54" t="s">
        <v>13</v>
      </c>
      <c r="G2878" s="34" t="str">
        <f>IF(ISNUMBER(F2878),E2878*F2878,"")</f>
        <v/>
      </c>
      <c r="H2878" s="35"/>
      <c r="I2878" s="36"/>
      <c r="J2878" s="37">
        <v>0</v>
      </c>
    </row>
    <row r="2879" spans="1:10" hidden="1" x14ac:dyDescent="0.25">
      <c r="A2879" s="174"/>
      <c r="B2879" s="177"/>
      <c r="C2879" s="39"/>
      <c r="D2879" s="39"/>
      <c r="E2879" s="40"/>
      <c r="F2879" s="55" t="s">
        <v>13</v>
      </c>
      <c r="G2879" s="41" t="str">
        <f>IF(ISNUMBER(F2879),E2879*F2879,"")</f>
        <v/>
      </c>
      <c r="H2879" s="42"/>
      <c r="I2879" s="38"/>
      <c r="J2879" s="37">
        <v>0</v>
      </c>
    </row>
    <row r="2880" spans="1:10" hidden="1" x14ac:dyDescent="0.25">
      <c r="A2880" s="174"/>
      <c r="B2880" s="177"/>
      <c r="C2880" s="43" t="s">
        <v>10831</v>
      </c>
      <c r="D2880" s="43" t="s">
        <v>2800</v>
      </c>
      <c r="E2880" s="44">
        <v>0.75</v>
      </c>
      <c r="F2880" s="38">
        <v>28.6615</v>
      </c>
      <c r="G2880" s="41">
        <f>IF(ISNUMBER(F2880),E2880*F2880,"")</f>
        <v>21.496124999999999</v>
      </c>
      <c r="H2880" s="46">
        <f>SUM(G2880:G2881)</f>
        <v>39.265875000000001</v>
      </c>
      <c r="I2880" s="47"/>
      <c r="J2880" s="37">
        <v>0</v>
      </c>
    </row>
    <row r="2881" spans="1:10" hidden="1" x14ac:dyDescent="0.25">
      <c r="A2881" s="174"/>
      <c r="B2881" s="177"/>
      <c r="C2881" s="43" t="s">
        <v>10614</v>
      </c>
      <c r="D2881" s="43" t="s">
        <v>2800</v>
      </c>
      <c r="E2881" s="44">
        <v>0.75</v>
      </c>
      <c r="F2881" s="38">
        <v>23.693000000000001</v>
      </c>
      <c r="G2881" s="41">
        <f>IF(ISNUMBER(F2881),E2881*F2881,"")</f>
        <v>17.769750000000002</v>
      </c>
      <c r="H2881" s="42"/>
      <c r="I2881" s="38"/>
      <c r="J2881" s="37">
        <v>0</v>
      </c>
    </row>
    <row r="2882" spans="1:10" ht="15.75" hidden="1" thickBot="1" x14ac:dyDescent="0.3">
      <c r="A2882" s="175"/>
      <c r="B2882" s="178"/>
      <c r="C2882" s="49"/>
      <c r="D2882" s="49"/>
      <c r="E2882" s="50"/>
      <c r="F2882" s="51" t="s">
        <v>13</v>
      </c>
      <c r="G2882" s="52" t="str">
        <f>IF(ISNUMBER(F2882),E2882*F2882,"")</f>
        <v/>
      </c>
      <c r="H2882" s="53"/>
      <c r="I2882" s="38"/>
      <c r="J2882" s="37">
        <v>0</v>
      </c>
    </row>
    <row r="2883" spans="1:10" ht="15.75" hidden="1" thickBot="1" x14ac:dyDescent="0.3">
      <c r="A2883" s="173" t="s">
        <v>697</v>
      </c>
      <c r="B2883" s="176" t="s">
        <v>4236</v>
      </c>
      <c r="C2883" s="31"/>
      <c r="D2883" s="32" t="s">
        <v>68</v>
      </c>
      <c r="E2883" s="33"/>
      <c r="F2883" s="54" t="s">
        <v>13</v>
      </c>
      <c r="G2883" s="34" t="str">
        <f>IF(ISNUMBER(F2883),E2883*F2883,"")</f>
        <v/>
      </c>
      <c r="H2883" s="35"/>
      <c r="I2883" s="36"/>
      <c r="J2883" s="37">
        <v>0</v>
      </c>
    </row>
    <row r="2884" spans="1:10" hidden="1" x14ac:dyDescent="0.25">
      <c r="A2884" s="174"/>
      <c r="B2884" s="177"/>
      <c r="C2884" s="39"/>
      <c r="D2884" s="39"/>
      <c r="E2884" s="40"/>
      <c r="F2884" s="55" t="s">
        <v>13</v>
      </c>
      <c r="G2884" s="41" t="str">
        <f>IF(ISNUMBER(F2884),E2884*F2884,"")</f>
        <v/>
      </c>
      <c r="H2884" s="42"/>
      <c r="I2884" s="38"/>
      <c r="J2884" s="37">
        <v>0</v>
      </c>
    </row>
    <row r="2885" spans="1:10" hidden="1" x14ac:dyDescent="0.25">
      <c r="A2885" s="174"/>
      <c r="B2885" s="177"/>
      <c r="C2885" s="43" t="s">
        <v>11032</v>
      </c>
      <c r="D2885" s="43" t="s">
        <v>162</v>
      </c>
      <c r="E2885" s="44">
        <v>1</v>
      </c>
      <c r="F2885" s="41">
        <v>290.71899999999999</v>
      </c>
      <c r="G2885" s="41">
        <f>IF(ISNUMBER(F2885),E2885*F2885,"")</f>
        <v>290.71899999999999</v>
      </c>
      <c r="H2885" s="46">
        <f>SUM(G2885:G2891)</f>
        <v>409.82089899999994</v>
      </c>
      <c r="I2885" s="47"/>
      <c r="J2885" s="37">
        <v>0</v>
      </c>
    </row>
    <row r="2886" spans="1:10" ht="38.25" hidden="1" x14ac:dyDescent="0.25">
      <c r="A2886" s="174"/>
      <c r="B2886" s="177"/>
      <c r="C2886" s="43" t="s">
        <v>10931</v>
      </c>
      <c r="D2886" s="43" t="s">
        <v>83</v>
      </c>
      <c r="E2886" s="44">
        <v>1.7050000000000001</v>
      </c>
      <c r="F2886" s="41">
        <v>0.38949999999999996</v>
      </c>
      <c r="G2886" s="41">
        <f>IF(ISNUMBER(F2886),E2886*F2886,"")</f>
        <v>0.66409750000000001</v>
      </c>
      <c r="H2886" s="42"/>
      <c r="I2886" s="38"/>
      <c r="J2886" s="37">
        <v>0</v>
      </c>
    </row>
    <row r="2887" spans="1:10" hidden="1" x14ac:dyDescent="0.25">
      <c r="A2887" s="174"/>
      <c r="B2887" s="177"/>
      <c r="C2887" s="43" t="s">
        <v>11030</v>
      </c>
      <c r="D2887" s="43" t="s">
        <v>1044</v>
      </c>
      <c r="E2887" s="44">
        <v>0.748</v>
      </c>
      <c r="F2887" s="41">
        <v>41.001999999999995</v>
      </c>
      <c r="G2887" s="41">
        <f>IF(ISNUMBER(F2887),E2887*F2887,"")</f>
        <v>30.669495999999995</v>
      </c>
      <c r="H2887" s="42"/>
      <c r="I2887" s="38"/>
      <c r="J2887" s="37">
        <v>0</v>
      </c>
    </row>
    <row r="2888" spans="1:10" ht="25.5" hidden="1" x14ac:dyDescent="0.25">
      <c r="A2888" s="174"/>
      <c r="B2888" s="177"/>
      <c r="C2888" s="43" t="s">
        <v>10857</v>
      </c>
      <c r="D2888" s="43" t="s">
        <v>1302</v>
      </c>
      <c r="E2888" s="44">
        <v>2.3220000000000001</v>
      </c>
      <c r="F2888" s="41">
        <v>2.4889999999999999</v>
      </c>
      <c r="G2888" s="41">
        <f>IF(ISNUMBER(F2888),E2888*F2888,"")</f>
        <v>5.779458</v>
      </c>
      <c r="H2888" s="42"/>
      <c r="I2888" s="38"/>
      <c r="J2888" s="37">
        <v>0</v>
      </c>
    </row>
    <row r="2889" spans="1:10" hidden="1" x14ac:dyDescent="0.25">
      <c r="A2889" s="174"/>
      <c r="B2889" s="177"/>
      <c r="C2889" s="43" t="s">
        <v>10893</v>
      </c>
      <c r="D2889" s="43" t="s">
        <v>83</v>
      </c>
      <c r="E2889" s="44">
        <v>0.309</v>
      </c>
      <c r="F2889" s="41">
        <v>28.148499999999999</v>
      </c>
      <c r="G2889" s="41">
        <f>IF(ISNUMBER(F2889),E2889*F2889,"")</f>
        <v>8.6978864999999992</v>
      </c>
      <c r="H2889" s="42"/>
      <c r="I2889" s="38"/>
      <c r="J2889" s="37">
        <v>0</v>
      </c>
    </row>
    <row r="2890" spans="1:10" hidden="1" x14ac:dyDescent="0.25">
      <c r="A2890" s="174"/>
      <c r="B2890" s="177"/>
      <c r="C2890" s="43" t="s">
        <v>10614</v>
      </c>
      <c r="D2890" s="43" t="s">
        <v>2800</v>
      </c>
      <c r="E2890" s="44">
        <v>1.3779999999999999</v>
      </c>
      <c r="F2890" s="38">
        <v>23.693000000000001</v>
      </c>
      <c r="G2890" s="41">
        <f>IF(ISNUMBER(F2890),E2890*F2890,"")</f>
        <v>32.648953999999996</v>
      </c>
      <c r="H2890" s="42"/>
      <c r="I2890" s="38"/>
      <c r="J2890" s="37">
        <v>0</v>
      </c>
    </row>
    <row r="2891" spans="1:10" hidden="1" x14ac:dyDescent="0.25">
      <c r="A2891" s="174"/>
      <c r="B2891" s="177"/>
      <c r="C2891" s="43" t="s">
        <v>10831</v>
      </c>
      <c r="D2891" s="43" t="s">
        <v>2800</v>
      </c>
      <c r="E2891" s="44">
        <v>1.4179999999999999</v>
      </c>
      <c r="F2891" s="38">
        <v>28.6615</v>
      </c>
      <c r="G2891" s="41">
        <f>IF(ISNUMBER(F2891),E2891*F2891,"")</f>
        <v>40.642007</v>
      </c>
      <c r="H2891" s="42"/>
      <c r="I2891" s="38"/>
      <c r="J2891" s="37">
        <v>0</v>
      </c>
    </row>
    <row r="2892" spans="1:10" ht="15.75" hidden="1" thickBot="1" x14ac:dyDescent="0.3">
      <c r="A2892" s="175"/>
      <c r="B2892" s="178"/>
      <c r="C2892" s="49"/>
      <c r="D2892" s="49"/>
      <c r="E2892" s="50"/>
      <c r="F2892" s="51" t="s">
        <v>13</v>
      </c>
      <c r="G2892" s="52" t="str">
        <f>IF(ISNUMBER(F2892),E2892*F2892,"")</f>
        <v/>
      </c>
      <c r="H2892" s="53"/>
      <c r="I2892" s="38"/>
      <c r="J2892" s="37">
        <v>0</v>
      </c>
    </row>
    <row r="2893" spans="1:10" ht="15.75" hidden="1" thickBot="1" x14ac:dyDescent="0.3">
      <c r="A2893" s="173" t="s">
        <v>698</v>
      </c>
      <c r="B2893" s="176" t="s">
        <v>4237</v>
      </c>
      <c r="C2893" s="31"/>
      <c r="D2893" s="32" t="s">
        <v>18</v>
      </c>
      <c r="E2893" s="33"/>
      <c r="F2893" s="54" t="s">
        <v>13</v>
      </c>
      <c r="G2893" s="34" t="str">
        <f>IF(ISNUMBER(F2893),E2893*F2893,"")</f>
        <v/>
      </c>
      <c r="H2893" s="35"/>
      <c r="I2893" s="36"/>
      <c r="J2893" s="37">
        <v>0</v>
      </c>
    </row>
    <row r="2894" spans="1:10" hidden="1" x14ac:dyDescent="0.25">
      <c r="A2894" s="174"/>
      <c r="B2894" s="177"/>
      <c r="C2894" s="39"/>
      <c r="D2894" s="39"/>
      <c r="E2894" s="40"/>
      <c r="F2894" s="55" t="s">
        <v>13</v>
      </c>
      <c r="G2894" s="41" t="str">
        <f>IF(ISNUMBER(F2894),E2894*F2894,"")</f>
        <v/>
      </c>
      <c r="H2894" s="42"/>
      <c r="I2894" s="38"/>
      <c r="J2894" s="37">
        <v>0</v>
      </c>
    </row>
    <row r="2895" spans="1:10" hidden="1" x14ac:dyDescent="0.25">
      <c r="A2895" s="174"/>
      <c r="B2895" s="177"/>
      <c r="C2895" s="43" t="s">
        <v>10831</v>
      </c>
      <c r="D2895" s="43" t="s">
        <v>2800</v>
      </c>
      <c r="E2895" s="44">
        <v>0.15</v>
      </c>
      <c r="F2895" s="41">
        <v>28.6615</v>
      </c>
      <c r="G2895" s="41">
        <f>IF(ISNUMBER(F2895),E2895*F2895,"")</f>
        <v>4.2992249999999999</v>
      </c>
      <c r="H2895" s="46">
        <f>SUM(G2895:G2896)</f>
        <v>4.2992249999999999</v>
      </c>
      <c r="I2895" s="47"/>
      <c r="J2895" s="37">
        <v>0</v>
      </c>
    </row>
    <row r="2896" spans="1:10" ht="25.5" hidden="1" x14ac:dyDescent="0.25">
      <c r="A2896" s="174"/>
      <c r="B2896" s="177"/>
      <c r="C2896" s="43" t="s">
        <v>699</v>
      </c>
      <c r="D2896" s="43" t="s">
        <v>18</v>
      </c>
      <c r="E2896" s="44">
        <v>1</v>
      </c>
      <c r="F2896" s="38" t="s">
        <v>13</v>
      </c>
      <c r="G2896" s="41" t="str">
        <f>IF(ISNUMBER(F2896),E2896*F2896,"")</f>
        <v/>
      </c>
      <c r="H2896" s="42"/>
      <c r="I2896" s="38"/>
      <c r="J2896" s="37">
        <v>0</v>
      </c>
    </row>
    <row r="2897" spans="1:10" ht="15.75" hidden="1" thickBot="1" x14ac:dyDescent="0.3">
      <c r="A2897" s="175"/>
      <c r="B2897" s="178"/>
      <c r="C2897" s="49"/>
      <c r="D2897" s="49"/>
      <c r="E2897" s="50"/>
      <c r="F2897" s="51" t="s">
        <v>13</v>
      </c>
      <c r="G2897" s="52" t="str">
        <f>IF(ISNUMBER(F2897),E2897*F2897,"")</f>
        <v/>
      </c>
      <c r="H2897" s="53"/>
      <c r="I2897" s="38"/>
      <c r="J2897" s="37">
        <v>0</v>
      </c>
    </row>
    <row r="2898" spans="1:10" ht="15.75" hidden="1" thickBot="1" x14ac:dyDescent="0.3">
      <c r="A2898" s="173" t="s">
        <v>700</v>
      </c>
      <c r="B2898" s="176" t="s">
        <v>4238</v>
      </c>
      <c r="C2898" s="31"/>
      <c r="D2898" s="32" t="s">
        <v>18</v>
      </c>
      <c r="E2898" s="33"/>
      <c r="F2898" s="54" t="s">
        <v>13</v>
      </c>
      <c r="G2898" s="34" t="str">
        <f>IF(ISNUMBER(F2898),E2898*F2898,"")</f>
        <v/>
      </c>
      <c r="H2898" s="35"/>
      <c r="I2898" s="36"/>
      <c r="J2898" s="37">
        <v>0</v>
      </c>
    </row>
    <row r="2899" spans="1:10" hidden="1" x14ac:dyDescent="0.25">
      <c r="A2899" s="174"/>
      <c r="B2899" s="177"/>
      <c r="C2899" s="39"/>
      <c r="D2899" s="39"/>
      <c r="E2899" s="40"/>
      <c r="F2899" s="55" t="s">
        <v>13</v>
      </c>
      <c r="G2899" s="41" t="str">
        <f>IF(ISNUMBER(F2899),E2899*F2899,"")</f>
        <v/>
      </c>
      <c r="H2899" s="42"/>
      <c r="I2899" s="38"/>
      <c r="J2899" s="37">
        <v>0</v>
      </c>
    </row>
    <row r="2900" spans="1:10" hidden="1" x14ac:dyDescent="0.25">
      <c r="A2900" s="174"/>
      <c r="B2900" s="177"/>
      <c r="C2900" s="43" t="s">
        <v>10831</v>
      </c>
      <c r="D2900" s="43" t="s">
        <v>2800</v>
      </c>
      <c r="E2900" s="44">
        <v>0.3</v>
      </c>
      <c r="F2900" s="41">
        <v>28.6615</v>
      </c>
      <c r="G2900" s="41">
        <f>IF(ISNUMBER(F2900),E2900*F2900,"")</f>
        <v>8.5984499999999997</v>
      </c>
      <c r="H2900" s="46">
        <f>SUM(G2900:G2901)</f>
        <v>8.5984499999999997</v>
      </c>
      <c r="I2900" s="47"/>
      <c r="J2900" s="37">
        <v>0</v>
      </c>
    </row>
    <row r="2901" spans="1:10" ht="25.5" hidden="1" x14ac:dyDescent="0.25">
      <c r="A2901" s="174"/>
      <c r="B2901" s="177"/>
      <c r="C2901" s="43" t="s">
        <v>701</v>
      </c>
      <c r="D2901" s="62" t="s">
        <v>18</v>
      </c>
      <c r="E2901" s="44">
        <v>1</v>
      </c>
      <c r="F2901" s="38" t="s">
        <v>13</v>
      </c>
      <c r="G2901" s="41" t="str">
        <f>IF(ISNUMBER(F2901),E2901*F2901,"")</f>
        <v/>
      </c>
      <c r="H2901" s="42"/>
      <c r="I2901" s="38"/>
      <c r="J2901" s="37">
        <v>0</v>
      </c>
    </row>
    <row r="2902" spans="1:10" ht="15.75" hidden="1" thickBot="1" x14ac:dyDescent="0.3">
      <c r="A2902" s="175"/>
      <c r="B2902" s="178"/>
      <c r="C2902" s="49"/>
      <c r="D2902" s="49"/>
      <c r="E2902" s="50"/>
      <c r="F2902" s="51" t="s">
        <v>13</v>
      </c>
      <c r="G2902" s="52" t="str">
        <f>IF(ISNUMBER(F2902),E2902*F2902,"")</f>
        <v/>
      </c>
      <c r="H2902" s="53"/>
      <c r="I2902" s="38"/>
      <c r="J2902" s="37">
        <v>0</v>
      </c>
    </row>
    <row r="2903" spans="1:10" ht="15.75" hidden="1" thickBot="1" x14ac:dyDescent="0.3">
      <c r="A2903" s="173" t="s">
        <v>702</v>
      </c>
      <c r="B2903" s="176" t="s">
        <v>4239</v>
      </c>
      <c r="C2903" s="31"/>
      <c r="D2903" s="32" t="s">
        <v>18</v>
      </c>
      <c r="E2903" s="33"/>
      <c r="F2903" s="54" t="s">
        <v>13</v>
      </c>
      <c r="G2903" s="34" t="str">
        <f>IF(ISNUMBER(F2903),E2903*F2903,"")</f>
        <v/>
      </c>
      <c r="H2903" s="35"/>
      <c r="I2903" s="36"/>
      <c r="J2903" s="37">
        <v>0</v>
      </c>
    </row>
    <row r="2904" spans="1:10" hidden="1" x14ac:dyDescent="0.25">
      <c r="A2904" s="174"/>
      <c r="B2904" s="177"/>
      <c r="C2904" s="39"/>
      <c r="D2904" s="39"/>
      <c r="E2904" s="40"/>
      <c r="F2904" s="55" t="s">
        <v>13</v>
      </c>
      <c r="G2904" s="41" t="str">
        <f>IF(ISNUMBER(F2904),E2904*F2904,"")</f>
        <v/>
      </c>
      <c r="H2904" s="42"/>
      <c r="I2904" s="38"/>
      <c r="J2904" s="37">
        <v>0</v>
      </c>
    </row>
    <row r="2905" spans="1:10" hidden="1" x14ac:dyDescent="0.25">
      <c r="A2905" s="174"/>
      <c r="B2905" s="177"/>
      <c r="C2905" s="43" t="s">
        <v>10831</v>
      </c>
      <c r="D2905" s="43" t="s">
        <v>2800</v>
      </c>
      <c r="E2905" s="44">
        <v>0.15</v>
      </c>
      <c r="F2905" s="41">
        <v>28.6615</v>
      </c>
      <c r="G2905" s="41">
        <f>IF(ISNUMBER(F2905),E2905*F2905,"")</f>
        <v>4.2992249999999999</v>
      </c>
      <c r="H2905" s="46">
        <f>SUM(G2905:G2906)</f>
        <v>4.2992249999999999</v>
      </c>
      <c r="I2905" s="47"/>
      <c r="J2905" s="37">
        <v>0</v>
      </c>
    </row>
    <row r="2906" spans="1:10" ht="25.5" hidden="1" x14ac:dyDescent="0.25">
      <c r="A2906" s="174"/>
      <c r="B2906" s="177"/>
      <c r="C2906" s="43" t="s">
        <v>703</v>
      </c>
      <c r="D2906" s="43" t="s">
        <v>18</v>
      </c>
      <c r="E2906" s="44">
        <v>1</v>
      </c>
      <c r="F2906" s="38" t="s">
        <v>13</v>
      </c>
      <c r="G2906" s="41" t="str">
        <f>IF(ISNUMBER(F2906),E2906*F2906,"")</f>
        <v/>
      </c>
      <c r="H2906" s="42"/>
      <c r="I2906" s="38"/>
      <c r="J2906" s="37">
        <v>0</v>
      </c>
    </row>
    <row r="2907" spans="1:10" ht="15.75" hidden="1" thickBot="1" x14ac:dyDescent="0.3">
      <c r="A2907" s="175"/>
      <c r="B2907" s="178"/>
      <c r="C2907" s="49"/>
      <c r="D2907" s="49"/>
      <c r="E2907" s="50"/>
      <c r="F2907" s="51" t="s">
        <v>13</v>
      </c>
      <c r="G2907" s="52" t="str">
        <f>IF(ISNUMBER(F2907),E2907*F2907,"")</f>
        <v/>
      </c>
      <c r="H2907" s="53"/>
      <c r="I2907" s="38"/>
      <c r="J2907" s="37">
        <v>0</v>
      </c>
    </row>
    <row r="2908" spans="1:10" ht="15.75" hidden="1" thickBot="1" x14ac:dyDescent="0.3">
      <c r="A2908" s="173" t="s">
        <v>704</v>
      </c>
      <c r="B2908" s="176" t="s">
        <v>4240</v>
      </c>
      <c r="C2908" s="31"/>
      <c r="D2908" s="32" t="s">
        <v>18</v>
      </c>
      <c r="E2908" s="33"/>
      <c r="F2908" s="54" t="s">
        <v>13</v>
      </c>
      <c r="G2908" s="34" t="str">
        <f>IF(ISNUMBER(F2908),E2908*F2908,"")</f>
        <v/>
      </c>
      <c r="H2908" s="35"/>
      <c r="I2908" s="36"/>
      <c r="J2908" s="37">
        <v>0</v>
      </c>
    </row>
    <row r="2909" spans="1:10" hidden="1" x14ac:dyDescent="0.25">
      <c r="A2909" s="174"/>
      <c r="B2909" s="177"/>
      <c r="C2909" s="39"/>
      <c r="D2909" s="39"/>
      <c r="E2909" s="40"/>
      <c r="F2909" s="55" t="s">
        <v>13</v>
      </c>
      <c r="G2909" s="41" t="str">
        <f>IF(ISNUMBER(F2909),E2909*F2909,"")</f>
        <v/>
      </c>
      <c r="H2909" s="42"/>
      <c r="I2909" s="38"/>
      <c r="J2909" s="37">
        <v>0</v>
      </c>
    </row>
    <row r="2910" spans="1:10" hidden="1" x14ac:dyDescent="0.25">
      <c r="A2910" s="174"/>
      <c r="B2910" s="177"/>
      <c r="C2910" s="43" t="s">
        <v>10831</v>
      </c>
      <c r="D2910" s="43" t="s">
        <v>2800</v>
      </c>
      <c r="E2910" s="44">
        <v>0.3</v>
      </c>
      <c r="F2910" s="41">
        <v>28.6615</v>
      </c>
      <c r="G2910" s="41">
        <f>IF(ISNUMBER(F2910),E2910*F2910,"")</f>
        <v>8.5984499999999997</v>
      </c>
      <c r="H2910" s="46">
        <f>SUM(G2910:G2911)</f>
        <v>8.5984499999999997</v>
      </c>
      <c r="I2910" s="47"/>
      <c r="J2910" s="37">
        <v>0</v>
      </c>
    </row>
    <row r="2911" spans="1:10" ht="25.5" hidden="1" x14ac:dyDescent="0.25">
      <c r="A2911" s="174"/>
      <c r="B2911" s="177"/>
      <c r="C2911" s="43" t="s">
        <v>705</v>
      </c>
      <c r="D2911" s="43" t="s">
        <v>18</v>
      </c>
      <c r="E2911" s="44">
        <v>1</v>
      </c>
      <c r="F2911" s="38" t="s">
        <v>13</v>
      </c>
      <c r="G2911" s="41" t="str">
        <f>IF(ISNUMBER(F2911),E2911*F2911,"")</f>
        <v/>
      </c>
      <c r="H2911" s="42"/>
      <c r="I2911" s="38"/>
      <c r="J2911" s="37">
        <v>0</v>
      </c>
    </row>
    <row r="2912" spans="1:10" hidden="1" x14ac:dyDescent="0.25">
      <c r="A2912" s="174"/>
      <c r="B2912" s="177"/>
      <c r="C2912" s="43"/>
      <c r="D2912" s="43"/>
      <c r="E2912" s="44"/>
      <c r="F2912" s="38" t="s">
        <v>13</v>
      </c>
      <c r="G2912" s="41" t="str">
        <f>IF(ISNUMBER(F2912),E2912*F2912,"")</f>
        <v/>
      </c>
      <c r="H2912" s="42"/>
      <c r="I2912" s="38"/>
      <c r="J2912" s="37">
        <v>0</v>
      </c>
    </row>
    <row r="2913" spans="1:10" ht="39" hidden="1" x14ac:dyDescent="0.25">
      <c r="A2913" s="174"/>
      <c r="B2913" s="177"/>
      <c r="C2913" s="85" t="s">
        <v>706</v>
      </c>
      <c r="D2913" s="43"/>
      <c r="E2913" s="44"/>
      <c r="F2913" s="38" t="s">
        <v>13</v>
      </c>
      <c r="G2913" s="41" t="str">
        <f>IF(ISNUMBER(F2913),E2913*F2913,"")</f>
        <v/>
      </c>
      <c r="H2913" s="42"/>
      <c r="I2913" s="38"/>
      <c r="J2913" s="37">
        <v>0</v>
      </c>
    </row>
    <row r="2914" spans="1:10" ht="15.75" hidden="1" thickBot="1" x14ac:dyDescent="0.3">
      <c r="A2914" s="175"/>
      <c r="B2914" s="178"/>
      <c r="C2914" s="49"/>
      <c r="D2914" s="49"/>
      <c r="E2914" s="50"/>
      <c r="F2914" s="51" t="s">
        <v>13</v>
      </c>
      <c r="G2914" s="52" t="str">
        <f>IF(ISNUMBER(F2914),E2914*F2914,"")</f>
        <v/>
      </c>
      <c r="H2914" s="53"/>
      <c r="I2914" s="38"/>
      <c r="J2914" s="37">
        <v>0</v>
      </c>
    </row>
    <row r="2915" spans="1:10" ht="15.75" hidden="1" thickBot="1" x14ac:dyDescent="0.3">
      <c r="A2915" s="173" t="s">
        <v>707</v>
      </c>
      <c r="B2915" s="176" t="s">
        <v>4241</v>
      </c>
      <c r="C2915" s="31"/>
      <c r="D2915" s="32" t="s">
        <v>18</v>
      </c>
      <c r="E2915" s="33"/>
      <c r="F2915" s="54" t="s">
        <v>13</v>
      </c>
      <c r="G2915" s="34" t="str">
        <f>IF(ISNUMBER(F2915),E2915*F2915,"")</f>
        <v/>
      </c>
      <c r="H2915" s="35"/>
      <c r="I2915" s="36"/>
      <c r="J2915" s="37">
        <v>0</v>
      </c>
    </row>
    <row r="2916" spans="1:10" hidden="1" x14ac:dyDescent="0.25">
      <c r="A2916" s="174"/>
      <c r="B2916" s="177"/>
      <c r="C2916" s="39"/>
      <c r="D2916" s="39"/>
      <c r="E2916" s="40"/>
      <c r="F2916" s="55" t="s">
        <v>13</v>
      </c>
      <c r="G2916" s="41" t="str">
        <f>IF(ISNUMBER(F2916),E2916*F2916,"")</f>
        <v/>
      </c>
      <c r="H2916" s="42"/>
      <c r="I2916" s="38"/>
      <c r="J2916" s="37">
        <v>0</v>
      </c>
    </row>
    <row r="2917" spans="1:10" hidden="1" x14ac:dyDescent="0.25">
      <c r="A2917" s="174"/>
      <c r="B2917" s="177"/>
      <c r="C2917" s="43" t="s">
        <v>10831</v>
      </c>
      <c r="D2917" s="43" t="s">
        <v>2800</v>
      </c>
      <c r="E2917" s="44">
        <v>0.15</v>
      </c>
      <c r="F2917" s="41">
        <v>28.6615</v>
      </c>
      <c r="G2917" s="41">
        <f>IF(ISNUMBER(F2917),E2917*F2917,"")</f>
        <v>4.2992249999999999</v>
      </c>
      <c r="H2917" s="46">
        <f>SUM(G2917:G2918)</f>
        <v>4.2992249999999999</v>
      </c>
      <c r="I2917" s="47"/>
      <c r="J2917" s="37">
        <v>0</v>
      </c>
    </row>
    <row r="2918" spans="1:10" hidden="1" x14ac:dyDescent="0.25">
      <c r="A2918" s="174"/>
      <c r="B2918" s="177"/>
      <c r="C2918" s="43" t="s">
        <v>708</v>
      </c>
      <c r="D2918" s="43" t="s">
        <v>18</v>
      </c>
      <c r="E2918" s="44">
        <v>1</v>
      </c>
      <c r="F2918" s="38" t="s">
        <v>13</v>
      </c>
      <c r="G2918" s="41" t="str">
        <f>IF(ISNUMBER(F2918),E2918*F2918,"")</f>
        <v/>
      </c>
      <c r="H2918" s="42"/>
      <c r="I2918" s="38"/>
      <c r="J2918" s="37">
        <v>0</v>
      </c>
    </row>
    <row r="2919" spans="1:10" ht="15.75" hidden="1" thickBot="1" x14ac:dyDescent="0.3">
      <c r="A2919" s="175"/>
      <c r="B2919" s="178"/>
      <c r="C2919" s="49"/>
      <c r="D2919" s="49"/>
      <c r="E2919" s="50"/>
      <c r="F2919" s="51" t="s">
        <v>13</v>
      </c>
      <c r="G2919" s="52" t="str">
        <f>IF(ISNUMBER(F2919),E2919*F2919,"")</f>
        <v/>
      </c>
      <c r="H2919" s="53"/>
      <c r="I2919" s="38"/>
      <c r="J2919" s="37">
        <v>0</v>
      </c>
    </row>
    <row r="2920" spans="1:10" ht="15.75" hidden="1" thickBot="1" x14ac:dyDescent="0.3">
      <c r="A2920" s="173" t="s">
        <v>709</v>
      </c>
      <c r="B2920" s="176" t="s">
        <v>4242</v>
      </c>
      <c r="C2920" s="31"/>
      <c r="D2920" s="32" t="s">
        <v>18</v>
      </c>
      <c r="E2920" s="33"/>
      <c r="F2920" s="54" t="s">
        <v>13</v>
      </c>
      <c r="G2920" s="34" t="str">
        <f>IF(ISNUMBER(F2920),E2920*F2920,"")</f>
        <v/>
      </c>
      <c r="H2920" s="35"/>
      <c r="I2920" s="36"/>
      <c r="J2920" s="37">
        <v>0</v>
      </c>
    </row>
    <row r="2921" spans="1:10" hidden="1" x14ac:dyDescent="0.25">
      <c r="A2921" s="174"/>
      <c r="B2921" s="177"/>
      <c r="C2921" s="39"/>
      <c r="D2921" s="39"/>
      <c r="E2921" s="40"/>
      <c r="F2921" s="55" t="s">
        <v>13</v>
      </c>
      <c r="G2921" s="41" t="str">
        <f>IF(ISNUMBER(F2921),E2921*F2921,"")</f>
        <v/>
      </c>
      <c r="H2921" s="42"/>
      <c r="I2921" s="38"/>
      <c r="J2921" s="37">
        <v>0</v>
      </c>
    </row>
    <row r="2922" spans="1:10" hidden="1" x14ac:dyDescent="0.25">
      <c r="A2922" s="174"/>
      <c r="B2922" s="177"/>
      <c r="C2922" s="43" t="s">
        <v>10831</v>
      </c>
      <c r="D2922" s="43" t="s">
        <v>2800</v>
      </c>
      <c r="E2922" s="44">
        <v>0.4</v>
      </c>
      <c r="F2922" s="41">
        <v>28.6615</v>
      </c>
      <c r="G2922" s="41">
        <f>IF(ISNUMBER(F2922),E2922*F2922,"")</f>
        <v>11.464600000000001</v>
      </c>
      <c r="H2922" s="46">
        <f>SUM(G2922:G2923)</f>
        <v>11.464600000000001</v>
      </c>
      <c r="I2922" s="47"/>
      <c r="J2922" s="37">
        <v>0</v>
      </c>
    </row>
    <row r="2923" spans="1:10" ht="25.5" hidden="1" x14ac:dyDescent="0.25">
      <c r="A2923" s="174"/>
      <c r="B2923" s="177"/>
      <c r="C2923" s="43" t="s">
        <v>710</v>
      </c>
      <c r="D2923" s="43" t="s">
        <v>18</v>
      </c>
      <c r="E2923" s="44">
        <v>1</v>
      </c>
      <c r="F2923" s="38" t="s">
        <v>13</v>
      </c>
      <c r="G2923" s="41" t="str">
        <f>IF(ISNUMBER(F2923),E2923*F2923,"")</f>
        <v/>
      </c>
      <c r="H2923" s="42"/>
      <c r="I2923" s="38"/>
      <c r="J2923" s="37">
        <v>0</v>
      </c>
    </row>
    <row r="2924" spans="1:10" ht="15.75" hidden="1" thickBot="1" x14ac:dyDescent="0.3">
      <c r="A2924" s="175"/>
      <c r="B2924" s="178"/>
      <c r="C2924" s="49"/>
      <c r="D2924" s="49"/>
      <c r="E2924" s="50"/>
      <c r="F2924" s="51" t="s">
        <v>13</v>
      </c>
      <c r="G2924" s="52" t="str">
        <f>IF(ISNUMBER(F2924),E2924*F2924,"")</f>
        <v/>
      </c>
      <c r="H2924" s="53"/>
      <c r="I2924" s="38"/>
      <c r="J2924" s="37">
        <v>0</v>
      </c>
    </row>
    <row r="2925" spans="1:10" ht="15.75" hidden="1" thickBot="1" x14ac:dyDescent="0.3">
      <c r="A2925" s="173" t="s">
        <v>711</v>
      </c>
      <c r="B2925" s="176" t="s">
        <v>4243</v>
      </c>
      <c r="C2925" s="31"/>
      <c r="D2925" s="32" t="s">
        <v>18</v>
      </c>
      <c r="E2925" s="33"/>
      <c r="F2925" s="54" t="s">
        <v>13</v>
      </c>
      <c r="G2925" s="34" t="str">
        <f>IF(ISNUMBER(F2925),E2925*F2925,"")</f>
        <v/>
      </c>
      <c r="H2925" s="35"/>
      <c r="I2925" s="36"/>
      <c r="J2925" s="37">
        <v>0</v>
      </c>
    </row>
    <row r="2926" spans="1:10" hidden="1" x14ac:dyDescent="0.25">
      <c r="A2926" s="174"/>
      <c r="B2926" s="177"/>
      <c r="C2926" s="39"/>
      <c r="D2926" s="39"/>
      <c r="E2926" s="40"/>
      <c r="F2926" s="55" t="s">
        <v>13</v>
      </c>
      <c r="G2926" s="41" t="str">
        <f>IF(ISNUMBER(F2926),E2926*F2926,"")</f>
        <v/>
      </c>
      <c r="H2926" s="42"/>
      <c r="I2926" s="38"/>
      <c r="J2926" s="37">
        <v>0</v>
      </c>
    </row>
    <row r="2927" spans="1:10" hidden="1" x14ac:dyDescent="0.25">
      <c r="A2927" s="174"/>
      <c r="B2927" s="177"/>
      <c r="C2927" s="43" t="s">
        <v>10831</v>
      </c>
      <c r="D2927" s="43" t="s">
        <v>2800</v>
      </c>
      <c r="E2927" s="44">
        <v>0.4</v>
      </c>
      <c r="F2927" s="41">
        <v>28.6615</v>
      </c>
      <c r="G2927" s="41">
        <f>IF(ISNUMBER(F2927),E2927*F2927,"")</f>
        <v>11.464600000000001</v>
      </c>
      <c r="H2927" s="46">
        <f>SUM(G2927:G2928)</f>
        <v>11.464600000000001</v>
      </c>
      <c r="I2927" s="47"/>
      <c r="J2927" s="37">
        <v>0</v>
      </c>
    </row>
    <row r="2928" spans="1:10" ht="38.25" hidden="1" x14ac:dyDescent="0.25">
      <c r="A2928" s="174"/>
      <c r="B2928" s="177"/>
      <c r="C2928" s="43" t="s">
        <v>712</v>
      </c>
      <c r="D2928" s="43" t="s">
        <v>18</v>
      </c>
      <c r="E2928" s="44">
        <v>1</v>
      </c>
      <c r="F2928" s="38" t="s">
        <v>13</v>
      </c>
      <c r="G2928" s="41" t="str">
        <f>IF(ISNUMBER(F2928),E2928*F2928,"")</f>
        <v/>
      </c>
      <c r="H2928" s="42"/>
      <c r="I2928" s="38"/>
      <c r="J2928" s="37">
        <v>0</v>
      </c>
    </row>
    <row r="2929" spans="1:10" ht="15.75" hidden="1" thickBot="1" x14ac:dyDescent="0.3">
      <c r="A2929" s="175"/>
      <c r="B2929" s="178"/>
      <c r="C2929" s="49"/>
      <c r="D2929" s="49"/>
      <c r="E2929" s="50"/>
      <c r="F2929" s="51" t="s">
        <v>13</v>
      </c>
      <c r="G2929" s="52" t="str">
        <f>IF(ISNUMBER(F2929),E2929*F2929,"")</f>
        <v/>
      </c>
      <c r="H2929" s="53"/>
      <c r="I2929" s="38"/>
      <c r="J2929" s="37">
        <v>0</v>
      </c>
    </row>
    <row r="2930" spans="1:10" ht="15.75" hidden="1" thickBot="1" x14ac:dyDescent="0.3">
      <c r="A2930" s="173" t="s">
        <v>713</v>
      </c>
      <c r="B2930" s="176" t="s">
        <v>4244</v>
      </c>
      <c r="C2930" s="31"/>
      <c r="D2930" s="32" t="s">
        <v>18</v>
      </c>
      <c r="E2930" s="33"/>
      <c r="F2930" s="54" t="s">
        <v>13</v>
      </c>
      <c r="G2930" s="34" t="str">
        <f>IF(ISNUMBER(F2930),E2930*F2930,"")</f>
        <v/>
      </c>
      <c r="H2930" s="35"/>
      <c r="I2930" s="36"/>
      <c r="J2930" s="37">
        <v>0</v>
      </c>
    </row>
    <row r="2931" spans="1:10" hidden="1" x14ac:dyDescent="0.25">
      <c r="A2931" s="174"/>
      <c r="B2931" s="177"/>
      <c r="C2931" s="39"/>
      <c r="D2931" s="39"/>
      <c r="E2931" s="40"/>
      <c r="F2931" s="55" t="s">
        <v>13</v>
      </c>
      <c r="G2931" s="41" t="str">
        <f>IF(ISNUMBER(F2931),E2931*F2931,"")</f>
        <v/>
      </c>
      <c r="H2931" s="42"/>
      <c r="I2931" s="38"/>
      <c r="J2931" s="37">
        <v>0</v>
      </c>
    </row>
    <row r="2932" spans="1:10" hidden="1" x14ac:dyDescent="0.25">
      <c r="A2932" s="174"/>
      <c r="B2932" s="177"/>
      <c r="C2932" s="43" t="s">
        <v>10831</v>
      </c>
      <c r="D2932" s="43" t="s">
        <v>2800</v>
      </c>
      <c r="E2932" s="44">
        <v>0.4</v>
      </c>
      <c r="F2932" s="41">
        <v>28.6615</v>
      </c>
      <c r="G2932" s="41">
        <f>IF(ISNUMBER(F2932),E2932*F2932,"")</f>
        <v>11.464600000000001</v>
      </c>
      <c r="H2932" s="46">
        <f>SUM(G2932:G2933)</f>
        <v>11.464600000000001</v>
      </c>
      <c r="I2932" s="47"/>
      <c r="J2932" s="37">
        <v>0</v>
      </c>
    </row>
    <row r="2933" spans="1:10" ht="25.5" hidden="1" x14ac:dyDescent="0.25">
      <c r="A2933" s="174"/>
      <c r="B2933" s="177"/>
      <c r="C2933" s="43" t="s">
        <v>714</v>
      </c>
      <c r="D2933" s="43" t="s">
        <v>18</v>
      </c>
      <c r="E2933" s="44">
        <v>1</v>
      </c>
      <c r="F2933" s="38" t="s">
        <v>13</v>
      </c>
      <c r="G2933" s="41" t="str">
        <f>IF(ISNUMBER(F2933),E2933*F2933,"")</f>
        <v/>
      </c>
      <c r="H2933" s="42"/>
      <c r="I2933" s="38"/>
      <c r="J2933" s="37">
        <v>0</v>
      </c>
    </row>
    <row r="2934" spans="1:10" ht="15.75" hidden="1" thickBot="1" x14ac:dyDescent="0.3">
      <c r="A2934" s="175"/>
      <c r="B2934" s="178"/>
      <c r="C2934" s="49"/>
      <c r="D2934" s="49"/>
      <c r="E2934" s="50"/>
      <c r="F2934" s="51" t="s">
        <v>13</v>
      </c>
      <c r="G2934" s="52" t="str">
        <f>IF(ISNUMBER(F2934),E2934*F2934,"")</f>
        <v/>
      </c>
      <c r="H2934" s="53"/>
      <c r="I2934" s="38"/>
      <c r="J2934" s="37">
        <v>0</v>
      </c>
    </row>
    <row r="2935" spans="1:10" ht="15.75" hidden="1" thickBot="1" x14ac:dyDescent="0.3">
      <c r="A2935" s="173" t="s">
        <v>715</v>
      </c>
      <c r="B2935" s="176" t="s">
        <v>4245</v>
      </c>
      <c r="C2935" s="31"/>
      <c r="D2935" s="32" t="s">
        <v>18</v>
      </c>
      <c r="E2935" s="33"/>
      <c r="F2935" s="54" t="s">
        <v>13</v>
      </c>
      <c r="G2935" s="34" t="str">
        <f>IF(ISNUMBER(F2935),E2935*F2935,"")</f>
        <v/>
      </c>
      <c r="H2935" s="35"/>
      <c r="I2935" s="36"/>
      <c r="J2935" s="37">
        <v>0</v>
      </c>
    </row>
    <row r="2936" spans="1:10" hidden="1" x14ac:dyDescent="0.25">
      <c r="A2936" s="174"/>
      <c r="B2936" s="177"/>
      <c r="C2936" s="39"/>
      <c r="D2936" s="39"/>
      <c r="E2936" s="40"/>
      <c r="F2936" s="55" t="s">
        <v>13</v>
      </c>
      <c r="G2936" s="41" t="str">
        <f>IF(ISNUMBER(F2936),E2936*F2936,"")</f>
        <v/>
      </c>
      <c r="H2936" s="42"/>
      <c r="I2936" s="38"/>
      <c r="J2936" s="37">
        <v>0</v>
      </c>
    </row>
    <row r="2937" spans="1:10" hidden="1" x14ac:dyDescent="0.25">
      <c r="A2937" s="174"/>
      <c r="B2937" s="177"/>
      <c r="C2937" s="43" t="s">
        <v>10831</v>
      </c>
      <c r="D2937" s="43" t="s">
        <v>2800</v>
      </c>
      <c r="E2937" s="44">
        <v>0.25</v>
      </c>
      <c r="F2937" s="41">
        <v>28.6615</v>
      </c>
      <c r="G2937" s="41">
        <f>IF(ISNUMBER(F2937),E2937*F2937,"")</f>
        <v>7.165375</v>
      </c>
      <c r="H2937" s="46">
        <f>SUM(G2937:G2938)</f>
        <v>7.165375</v>
      </c>
      <c r="I2937" s="47"/>
      <c r="J2937" s="37">
        <v>0</v>
      </c>
    </row>
    <row r="2938" spans="1:10" ht="38.25" hidden="1" x14ac:dyDescent="0.25">
      <c r="A2938" s="174"/>
      <c r="B2938" s="177"/>
      <c r="C2938" s="43" t="s">
        <v>716</v>
      </c>
      <c r="D2938" s="43" t="s">
        <v>18</v>
      </c>
      <c r="E2938" s="44">
        <v>1</v>
      </c>
      <c r="F2938" s="38" t="s">
        <v>13</v>
      </c>
      <c r="G2938" s="41" t="str">
        <f>IF(ISNUMBER(F2938),E2938*F2938,"")</f>
        <v/>
      </c>
      <c r="H2938" s="42"/>
      <c r="I2938" s="38"/>
      <c r="J2938" s="37">
        <v>0</v>
      </c>
    </row>
    <row r="2939" spans="1:10" ht="15.75" hidden="1" thickBot="1" x14ac:dyDescent="0.3">
      <c r="A2939" s="175"/>
      <c r="B2939" s="178"/>
      <c r="C2939" s="49"/>
      <c r="D2939" s="49"/>
      <c r="E2939" s="50"/>
      <c r="F2939" s="51" t="s">
        <v>13</v>
      </c>
      <c r="G2939" s="52" t="str">
        <f>IF(ISNUMBER(F2939),E2939*F2939,"")</f>
        <v/>
      </c>
      <c r="H2939" s="53"/>
      <c r="I2939" s="38"/>
      <c r="J2939" s="37">
        <v>0</v>
      </c>
    </row>
    <row r="2940" spans="1:10" ht="15.75" hidden="1" thickBot="1" x14ac:dyDescent="0.3">
      <c r="A2940" s="173" t="s">
        <v>717</v>
      </c>
      <c r="B2940" s="176" t="s">
        <v>4246</v>
      </c>
      <c r="C2940" s="31"/>
      <c r="D2940" s="32" t="s">
        <v>18</v>
      </c>
      <c r="E2940" s="33"/>
      <c r="F2940" s="54" t="s">
        <v>13</v>
      </c>
      <c r="G2940" s="34" t="str">
        <f>IF(ISNUMBER(F2940),E2940*F2940,"")</f>
        <v/>
      </c>
      <c r="H2940" s="35"/>
      <c r="I2940" s="36"/>
      <c r="J2940" s="37">
        <v>0</v>
      </c>
    </row>
    <row r="2941" spans="1:10" hidden="1" x14ac:dyDescent="0.25">
      <c r="A2941" s="174"/>
      <c r="B2941" s="177"/>
      <c r="C2941" s="39"/>
      <c r="D2941" s="39"/>
      <c r="E2941" s="40"/>
      <c r="F2941" s="55" t="s">
        <v>13</v>
      </c>
      <c r="G2941" s="41" t="str">
        <f>IF(ISNUMBER(F2941),E2941*F2941,"")</f>
        <v/>
      </c>
      <c r="H2941" s="42"/>
      <c r="I2941" s="38"/>
      <c r="J2941" s="37">
        <v>0</v>
      </c>
    </row>
    <row r="2942" spans="1:10" hidden="1" x14ac:dyDescent="0.25">
      <c r="A2942" s="174"/>
      <c r="B2942" s="177"/>
      <c r="C2942" s="43" t="s">
        <v>10831</v>
      </c>
      <c r="D2942" s="43" t="s">
        <v>2800</v>
      </c>
      <c r="E2942" s="44">
        <v>0.25</v>
      </c>
      <c r="F2942" s="41">
        <v>28.6615</v>
      </c>
      <c r="G2942" s="41">
        <f>IF(ISNUMBER(F2942),E2942*F2942,"")</f>
        <v>7.165375</v>
      </c>
      <c r="H2942" s="46">
        <f>SUM(G2942:G2943)</f>
        <v>7.165375</v>
      </c>
      <c r="I2942" s="47"/>
      <c r="J2942" s="37">
        <v>0</v>
      </c>
    </row>
    <row r="2943" spans="1:10" ht="38.25" hidden="1" x14ac:dyDescent="0.25">
      <c r="A2943" s="174"/>
      <c r="B2943" s="177"/>
      <c r="C2943" s="43" t="s">
        <v>718</v>
      </c>
      <c r="D2943" s="43" t="s">
        <v>18</v>
      </c>
      <c r="E2943" s="44">
        <v>1</v>
      </c>
      <c r="F2943" s="38" t="s">
        <v>13</v>
      </c>
      <c r="G2943" s="41" t="str">
        <f>IF(ISNUMBER(F2943),E2943*F2943,"")</f>
        <v/>
      </c>
      <c r="H2943" s="42"/>
      <c r="I2943" s="38"/>
      <c r="J2943" s="37">
        <v>0</v>
      </c>
    </row>
    <row r="2944" spans="1:10" ht="15.75" hidden="1" thickBot="1" x14ac:dyDescent="0.3">
      <c r="A2944" s="175"/>
      <c r="B2944" s="178"/>
      <c r="C2944" s="49"/>
      <c r="D2944" s="49"/>
      <c r="E2944" s="50"/>
      <c r="F2944" s="51" t="s">
        <v>13</v>
      </c>
      <c r="G2944" s="52" t="str">
        <f>IF(ISNUMBER(F2944),E2944*F2944,"")</f>
        <v/>
      </c>
      <c r="H2944" s="53"/>
      <c r="I2944" s="38"/>
      <c r="J2944" s="37">
        <v>0</v>
      </c>
    </row>
    <row r="2945" spans="1:10" ht="15.75" hidden="1" thickBot="1" x14ac:dyDescent="0.3">
      <c r="A2945" s="173" t="s">
        <v>719</v>
      </c>
      <c r="B2945" s="176" t="s">
        <v>4247</v>
      </c>
      <c r="C2945" s="31"/>
      <c r="D2945" s="32" t="s">
        <v>18</v>
      </c>
      <c r="E2945" s="33"/>
      <c r="F2945" s="54" t="s">
        <v>13</v>
      </c>
      <c r="G2945" s="34" t="str">
        <f>IF(ISNUMBER(F2945),E2945*F2945,"")</f>
        <v/>
      </c>
      <c r="H2945" s="35"/>
      <c r="I2945" s="36"/>
      <c r="J2945" s="37">
        <v>0</v>
      </c>
    </row>
    <row r="2946" spans="1:10" hidden="1" x14ac:dyDescent="0.25">
      <c r="A2946" s="174"/>
      <c r="B2946" s="177"/>
      <c r="C2946" s="39"/>
      <c r="D2946" s="39"/>
      <c r="E2946" s="40"/>
      <c r="F2946" s="55" t="s">
        <v>13</v>
      </c>
      <c r="G2946" s="41" t="str">
        <f>IF(ISNUMBER(F2946),E2946*F2946,"")</f>
        <v/>
      </c>
      <c r="H2946" s="42"/>
      <c r="I2946" s="38"/>
      <c r="J2946" s="37">
        <v>0</v>
      </c>
    </row>
    <row r="2947" spans="1:10" hidden="1" x14ac:dyDescent="0.25">
      <c r="A2947" s="174"/>
      <c r="B2947" s="177"/>
      <c r="C2947" s="43" t="s">
        <v>10831</v>
      </c>
      <c r="D2947" s="43" t="s">
        <v>2800</v>
      </c>
      <c r="E2947" s="44">
        <v>0.25</v>
      </c>
      <c r="F2947" s="41">
        <v>28.6615</v>
      </c>
      <c r="G2947" s="41">
        <f>IF(ISNUMBER(F2947),E2947*F2947,"")</f>
        <v>7.165375</v>
      </c>
      <c r="H2947" s="46">
        <f>SUM(G2947:G2948)</f>
        <v>7.165375</v>
      </c>
      <c r="I2947" s="47"/>
      <c r="J2947" s="37">
        <v>0</v>
      </c>
    </row>
    <row r="2948" spans="1:10" ht="38.25" hidden="1" x14ac:dyDescent="0.25">
      <c r="A2948" s="174"/>
      <c r="B2948" s="177"/>
      <c r="C2948" s="43" t="s">
        <v>720</v>
      </c>
      <c r="D2948" s="43" t="s">
        <v>18</v>
      </c>
      <c r="E2948" s="44">
        <v>1</v>
      </c>
      <c r="F2948" s="38" t="s">
        <v>13</v>
      </c>
      <c r="G2948" s="41" t="str">
        <f>IF(ISNUMBER(F2948),E2948*F2948,"")</f>
        <v/>
      </c>
      <c r="H2948" s="42"/>
      <c r="I2948" s="38"/>
      <c r="J2948" s="37">
        <v>0</v>
      </c>
    </row>
    <row r="2949" spans="1:10" ht="15.75" hidden="1" thickBot="1" x14ac:dyDescent="0.3">
      <c r="A2949" s="175"/>
      <c r="B2949" s="178"/>
      <c r="C2949" s="49"/>
      <c r="D2949" s="49"/>
      <c r="E2949" s="50"/>
      <c r="F2949" s="51" t="s">
        <v>13</v>
      </c>
      <c r="G2949" s="52" t="str">
        <f>IF(ISNUMBER(F2949),E2949*F2949,"")</f>
        <v/>
      </c>
      <c r="H2949" s="53"/>
      <c r="I2949" s="38"/>
      <c r="J2949" s="37">
        <v>0</v>
      </c>
    </row>
    <row r="2950" spans="1:10" ht="15.75" hidden="1" thickBot="1" x14ac:dyDescent="0.3">
      <c r="A2950" s="173" t="s">
        <v>721</v>
      </c>
      <c r="B2950" s="176" t="s">
        <v>4248</v>
      </c>
      <c r="C2950" s="31"/>
      <c r="D2950" s="32" t="s">
        <v>18</v>
      </c>
      <c r="E2950" s="33"/>
      <c r="F2950" s="54" t="s">
        <v>13</v>
      </c>
      <c r="G2950" s="34" t="str">
        <f>IF(ISNUMBER(F2950),E2950*F2950,"")</f>
        <v/>
      </c>
      <c r="H2950" s="35"/>
      <c r="I2950" s="36"/>
      <c r="J2950" s="37">
        <v>0</v>
      </c>
    </row>
    <row r="2951" spans="1:10" hidden="1" x14ac:dyDescent="0.25">
      <c r="A2951" s="174"/>
      <c r="B2951" s="177"/>
      <c r="C2951" s="39"/>
      <c r="D2951" s="39"/>
      <c r="E2951" s="40"/>
      <c r="F2951" s="55" t="s">
        <v>13</v>
      </c>
      <c r="G2951" s="41" t="str">
        <f>IF(ISNUMBER(F2951),E2951*F2951,"")</f>
        <v/>
      </c>
      <c r="H2951" s="42"/>
      <c r="I2951" s="38"/>
      <c r="J2951" s="37">
        <v>0</v>
      </c>
    </row>
    <row r="2952" spans="1:10" hidden="1" x14ac:dyDescent="0.25">
      <c r="A2952" s="174"/>
      <c r="B2952" s="177"/>
      <c r="C2952" s="43" t="s">
        <v>10831</v>
      </c>
      <c r="D2952" s="43" t="s">
        <v>2800</v>
      </c>
      <c r="E2952" s="44">
        <v>0.25</v>
      </c>
      <c r="F2952" s="41">
        <v>28.6615</v>
      </c>
      <c r="G2952" s="41">
        <f>IF(ISNUMBER(F2952),E2952*F2952,"")</f>
        <v>7.165375</v>
      </c>
      <c r="H2952" s="46">
        <f>SUM(G2952:G2953)</f>
        <v>7.165375</v>
      </c>
      <c r="I2952" s="47"/>
      <c r="J2952" s="37">
        <v>0</v>
      </c>
    </row>
    <row r="2953" spans="1:10" ht="25.5" hidden="1" x14ac:dyDescent="0.25">
      <c r="A2953" s="174"/>
      <c r="B2953" s="177"/>
      <c r="C2953" s="43" t="s">
        <v>722</v>
      </c>
      <c r="D2953" s="43" t="s">
        <v>18</v>
      </c>
      <c r="E2953" s="44">
        <v>1</v>
      </c>
      <c r="F2953" s="38" t="s">
        <v>13</v>
      </c>
      <c r="G2953" s="41" t="str">
        <f>IF(ISNUMBER(F2953),E2953*F2953,"")</f>
        <v/>
      </c>
      <c r="H2953" s="42"/>
      <c r="I2953" s="38"/>
      <c r="J2953" s="37">
        <v>0</v>
      </c>
    </row>
    <row r="2954" spans="1:10" ht="15.75" hidden="1" thickBot="1" x14ac:dyDescent="0.3">
      <c r="A2954" s="175"/>
      <c r="B2954" s="178"/>
      <c r="C2954" s="49"/>
      <c r="D2954" s="49"/>
      <c r="E2954" s="50"/>
      <c r="F2954" s="51" t="s">
        <v>13</v>
      </c>
      <c r="G2954" s="52" t="str">
        <f>IF(ISNUMBER(F2954),E2954*F2954,"")</f>
        <v/>
      </c>
      <c r="H2954" s="53"/>
      <c r="I2954" s="38"/>
      <c r="J2954" s="37">
        <v>0</v>
      </c>
    </row>
    <row r="2955" spans="1:10" ht="15.75" hidden="1" thickBot="1" x14ac:dyDescent="0.3">
      <c r="A2955" s="173" t="s">
        <v>723</v>
      </c>
      <c r="B2955" s="176" t="s">
        <v>4249</v>
      </c>
      <c r="C2955" s="31"/>
      <c r="D2955" s="32" t="s">
        <v>18</v>
      </c>
      <c r="E2955" s="33"/>
      <c r="F2955" s="54" t="s">
        <v>13</v>
      </c>
      <c r="G2955" s="34" t="str">
        <f>IF(ISNUMBER(F2955),E2955*F2955,"")</f>
        <v/>
      </c>
      <c r="H2955" s="35"/>
      <c r="I2955" s="36"/>
      <c r="J2955" s="37">
        <v>0</v>
      </c>
    </row>
    <row r="2956" spans="1:10" hidden="1" x14ac:dyDescent="0.25">
      <c r="A2956" s="174"/>
      <c r="B2956" s="177"/>
      <c r="C2956" s="39"/>
      <c r="D2956" s="39"/>
      <c r="E2956" s="40"/>
      <c r="F2956" s="55" t="s">
        <v>13</v>
      </c>
      <c r="G2956" s="41" t="str">
        <f>IF(ISNUMBER(F2956),E2956*F2956,"")</f>
        <v/>
      </c>
      <c r="H2956" s="42"/>
      <c r="I2956" s="38"/>
      <c r="J2956" s="37">
        <v>0</v>
      </c>
    </row>
    <row r="2957" spans="1:10" hidden="1" x14ac:dyDescent="0.25">
      <c r="A2957" s="174"/>
      <c r="B2957" s="177"/>
      <c r="C2957" s="43" t="s">
        <v>10831</v>
      </c>
      <c r="D2957" s="43" t="s">
        <v>2800</v>
      </c>
      <c r="E2957" s="44">
        <v>1.8180000000000001</v>
      </c>
      <c r="F2957" s="41">
        <v>28.6615</v>
      </c>
      <c r="G2957" s="41">
        <f>IF(ISNUMBER(F2957),E2957*F2957,"")</f>
        <v>52.106607000000004</v>
      </c>
      <c r="H2957" s="46">
        <f>SUM(G2957:G2960)</f>
        <v>93.972138000000001</v>
      </c>
      <c r="I2957" s="47"/>
      <c r="J2957" s="37">
        <v>0</v>
      </c>
    </row>
    <row r="2958" spans="1:10" hidden="1" x14ac:dyDescent="0.25">
      <c r="A2958" s="174"/>
      <c r="B2958" s="177"/>
      <c r="C2958" s="43" t="s">
        <v>10614</v>
      </c>
      <c r="D2958" s="43" t="s">
        <v>2800</v>
      </c>
      <c r="E2958" s="44">
        <v>1.7669999999999999</v>
      </c>
      <c r="F2958" s="38">
        <v>23.693000000000001</v>
      </c>
      <c r="G2958" s="41">
        <f>IF(ISNUMBER(F2958),E2958*F2958,"")</f>
        <v>41.865530999999997</v>
      </c>
      <c r="H2958" s="42"/>
      <c r="I2958" s="38"/>
      <c r="J2958" s="37">
        <v>0</v>
      </c>
    </row>
    <row r="2959" spans="1:10" hidden="1" x14ac:dyDescent="0.25">
      <c r="A2959" s="174"/>
      <c r="B2959" s="177"/>
      <c r="C2959" s="43" t="s">
        <v>206</v>
      </c>
      <c r="D2959" s="43" t="s">
        <v>18</v>
      </c>
      <c r="E2959" s="44">
        <v>1</v>
      </c>
      <c r="F2959" s="38" t="s">
        <v>13</v>
      </c>
      <c r="G2959" s="38" t="str">
        <f>IF(ISNUMBER(F2959),E2959*F2959,"")</f>
        <v/>
      </c>
      <c r="H2959" s="42"/>
      <c r="I2959" s="38"/>
      <c r="J2959" s="37">
        <v>0</v>
      </c>
    </row>
    <row r="2960" spans="1:10" ht="38.25" hidden="1" x14ac:dyDescent="0.25">
      <c r="A2960" s="174"/>
      <c r="B2960" s="177"/>
      <c r="C2960" s="43" t="s">
        <v>205</v>
      </c>
      <c r="D2960" s="43" t="s">
        <v>18</v>
      </c>
      <c r="E2960" s="44">
        <v>1</v>
      </c>
      <c r="F2960" s="38" t="s">
        <v>13</v>
      </c>
      <c r="G2960" s="41" t="str">
        <f>IF(ISNUMBER(F2960),E2960*F2960,"")</f>
        <v/>
      </c>
      <c r="H2960" s="42"/>
      <c r="I2960" s="38"/>
      <c r="J2960" s="37">
        <v>0</v>
      </c>
    </row>
    <row r="2961" spans="1:10" ht="15.75" hidden="1" thickBot="1" x14ac:dyDescent="0.3">
      <c r="A2961" s="175"/>
      <c r="B2961" s="178"/>
      <c r="C2961" s="49"/>
      <c r="D2961" s="49"/>
      <c r="E2961" s="50"/>
      <c r="F2961" s="51" t="s">
        <v>13</v>
      </c>
      <c r="G2961" s="52" t="str">
        <f>IF(ISNUMBER(F2961),E2961*F2961,"")</f>
        <v/>
      </c>
      <c r="H2961" s="53"/>
      <c r="I2961" s="38"/>
      <c r="J2961" s="37">
        <v>0</v>
      </c>
    </row>
    <row r="2962" spans="1:10" ht="15.75" hidden="1" thickBot="1" x14ac:dyDescent="0.3">
      <c r="A2962" s="173" t="s">
        <v>724</v>
      </c>
      <c r="B2962" s="176" t="s">
        <v>4250</v>
      </c>
      <c r="C2962" s="31"/>
      <c r="D2962" s="32" t="s">
        <v>18</v>
      </c>
      <c r="E2962" s="33"/>
      <c r="F2962" s="54" t="s">
        <v>13</v>
      </c>
      <c r="G2962" s="34" t="str">
        <f>IF(ISNUMBER(F2962),E2962*F2962,"")</f>
        <v/>
      </c>
      <c r="H2962" s="35"/>
      <c r="I2962" s="36"/>
      <c r="J2962" s="37">
        <v>0</v>
      </c>
    </row>
    <row r="2963" spans="1:10" hidden="1" x14ac:dyDescent="0.25">
      <c r="A2963" s="174"/>
      <c r="B2963" s="177"/>
      <c r="C2963" s="39"/>
      <c r="D2963" s="39"/>
      <c r="E2963" s="40"/>
      <c r="F2963" s="55" t="s">
        <v>13</v>
      </c>
      <c r="G2963" s="41" t="str">
        <f>IF(ISNUMBER(F2963),E2963*F2963,"")</f>
        <v/>
      </c>
      <c r="H2963" s="42"/>
      <c r="I2963" s="38"/>
      <c r="J2963" s="37">
        <v>0</v>
      </c>
    </row>
    <row r="2964" spans="1:10" hidden="1" x14ac:dyDescent="0.25">
      <c r="A2964" s="174"/>
      <c r="B2964" s="177"/>
      <c r="C2964" s="43" t="s">
        <v>10831</v>
      </c>
      <c r="D2964" s="43" t="s">
        <v>2800</v>
      </c>
      <c r="E2964" s="44">
        <v>0.2</v>
      </c>
      <c r="F2964" s="41">
        <v>28.6615</v>
      </c>
      <c r="G2964" s="41">
        <f>IF(ISNUMBER(F2964),E2964*F2964,"")</f>
        <v>5.7323000000000004</v>
      </c>
      <c r="H2964" s="46">
        <f>SUM(G2964:G2965)</f>
        <v>5.7323000000000004</v>
      </c>
      <c r="I2964" s="47"/>
      <c r="J2964" s="37">
        <v>0</v>
      </c>
    </row>
    <row r="2965" spans="1:10" ht="38.25" hidden="1" x14ac:dyDescent="0.25">
      <c r="A2965" s="174"/>
      <c r="B2965" s="177"/>
      <c r="C2965" s="43" t="s">
        <v>725</v>
      </c>
      <c r="D2965" s="43" t="s">
        <v>18</v>
      </c>
      <c r="E2965" s="44">
        <v>1</v>
      </c>
      <c r="F2965" s="38" t="s">
        <v>13</v>
      </c>
      <c r="G2965" s="41" t="str">
        <f>IF(ISNUMBER(F2965),E2965*F2965,"")</f>
        <v/>
      </c>
      <c r="H2965" s="42"/>
      <c r="I2965" s="38"/>
      <c r="J2965" s="37">
        <v>0</v>
      </c>
    </row>
    <row r="2966" spans="1:10" ht="15.75" hidden="1" thickBot="1" x14ac:dyDescent="0.3">
      <c r="A2966" s="175"/>
      <c r="B2966" s="178"/>
      <c r="C2966" s="49"/>
      <c r="D2966" s="49"/>
      <c r="E2966" s="50"/>
      <c r="F2966" s="51" t="s">
        <v>13</v>
      </c>
      <c r="G2966" s="52" t="str">
        <f>IF(ISNUMBER(F2966),E2966*F2966,"")</f>
        <v/>
      </c>
      <c r="H2966" s="53"/>
      <c r="I2966" s="38"/>
      <c r="J2966" s="37">
        <v>0</v>
      </c>
    </row>
    <row r="2967" spans="1:10" ht="15.75" hidden="1" thickBot="1" x14ac:dyDescent="0.3">
      <c r="A2967" s="173" t="s">
        <v>726</v>
      </c>
      <c r="B2967" s="176" t="s">
        <v>4251</v>
      </c>
      <c r="C2967" s="31"/>
      <c r="D2967" s="32" t="s">
        <v>18</v>
      </c>
      <c r="E2967" s="33"/>
      <c r="F2967" s="54" t="s">
        <v>13</v>
      </c>
      <c r="G2967" s="34" t="str">
        <f>IF(ISNUMBER(F2967),E2967*F2967,"")</f>
        <v/>
      </c>
      <c r="H2967" s="35"/>
      <c r="I2967" s="36"/>
      <c r="J2967" s="37">
        <v>0</v>
      </c>
    </row>
    <row r="2968" spans="1:10" hidden="1" x14ac:dyDescent="0.25">
      <c r="A2968" s="174"/>
      <c r="B2968" s="177"/>
      <c r="C2968" s="39"/>
      <c r="D2968" s="39"/>
      <c r="E2968" s="40"/>
      <c r="F2968" s="55" t="s">
        <v>13</v>
      </c>
      <c r="G2968" s="41" t="str">
        <f>IF(ISNUMBER(F2968),E2968*F2968,"")</f>
        <v/>
      </c>
      <c r="H2968" s="42"/>
      <c r="I2968" s="38"/>
      <c r="J2968" s="37">
        <v>0</v>
      </c>
    </row>
    <row r="2969" spans="1:10" hidden="1" x14ac:dyDescent="0.25">
      <c r="A2969" s="174"/>
      <c r="B2969" s="177"/>
      <c r="C2969" s="43" t="s">
        <v>10831</v>
      </c>
      <c r="D2969" s="43" t="s">
        <v>2800</v>
      </c>
      <c r="E2969" s="44">
        <v>0.4</v>
      </c>
      <c r="F2969" s="41">
        <v>28.6615</v>
      </c>
      <c r="G2969" s="41">
        <f>IF(ISNUMBER(F2969),E2969*F2969,"")</f>
        <v>11.464600000000001</v>
      </c>
      <c r="H2969" s="46">
        <f>SUM(G2969:G2970)</f>
        <v>11.464600000000001</v>
      </c>
      <c r="I2969" s="47"/>
      <c r="J2969" s="37">
        <v>0</v>
      </c>
    </row>
    <row r="2970" spans="1:10" hidden="1" x14ac:dyDescent="0.25">
      <c r="A2970" s="174"/>
      <c r="B2970" s="177"/>
      <c r="C2970" s="43" t="s">
        <v>727</v>
      </c>
      <c r="D2970" s="62" t="s">
        <v>18</v>
      </c>
      <c r="E2970" s="44">
        <v>1</v>
      </c>
      <c r="F2970" s="38" t="s">
        <v>13</v>
      </c>
      <c r="G2970" s="41" t="str">
        <f>IF(ISNUMBER(F2970),E2970*F2970,"")</f>
        <v/>
      </c>
      <c r="H2970" s="42"/>
      <c r="I2970" s="38"/>
      <c r="J2970" s="37">
        <v>0</v>
      </c>
    </row>
    <row r="2971" spans="1:10" ht="15.75" hidden="1" thickBot="1" x14ac:dyDescent="0.3">
      <c r="A2971" s="175"/>
      <c r="B2971" s="178"/>
      <c r="C2971" s="49"/>
      <c r="D2971" s="49"/>
      <c r="E2971" s="50"/>
      <c r="F2971" s="51" t="s">
        <v>13</v>
      </c>
      <c r="G2971" s="52" t="str">
        <f>IF(ISNUMBER(F2971),E2971*F2971,"")</f>
        <v/>
      </c>
      <c r="H2971" s="53"/>
      <c r="I2971" s="38"/>
      <c r="J2971" s="37">
        <v>0</v>
      </c>
    </row>
    <row r="2972" spans="1:10" ht="15.75" hidden="1" thickBot="1" x14ac:dyDescent="0.3">
      <c r="A2972" s="173" t="s">
        <v>728</v>
      </c>
      <c r="B2972" s="176" t="s">
        <v>4252</v>
      </c>
      <c r="C2972" s="31"/>
      <c r="D2972" s="32" t="s">
        <v>18</v>
      </c>
      <c r="E2972" s="33"/>
      <c r="F2972" s="54" t="s">
        <v>13</v>
      </c>
      <c r="G2972" s="34" t="str">
        <f>IF(ISNUMBER(F2972),E2972*F2972,"")</f>
        <v/>
      </c>
      <c r="H2972" s="35"/>
      <c r="I2972" s="36"/>
      <c r="J2972" s="37">
        <v>0</v>
      </c>
    </row>
    <row r="2973" spans="1:10" hidden="1" x14ac:dyDescent="0.25">
      <c r="A2973" s="174"/>
      <c r="B2973" s="177"/>
      <c r="C2973" s="39"/>
      <c r="D2973" s="39"/>
      <c r="E2973" s="40"/>
      <c r="F2973" s="55" t="s">
        <v>13</v>
      </c>
      <c r="G2973" s="41" t="str">
        <f>IF(ISNUMBER(F2973),E2973*F2973,"")</f>
        <v/>
      </c>
      <c r="H2973" s="42"/>
      <c r="I2973" s="38"/>
      <c r="J2973" s="37">
        <v>0</v>
      </c>
    </row>
    <row r="2974" spans="1:10" hidden="1" x14ac:dyDescent="0.25">
      <c r="A2974" s="174"/>
      <c r="B2974" s="177"/>
      <c r="C2974" s="43" t="s">
        <v>10831</v>
      </c>
      <c r="D2974" s="43" t="s">
        <v>2800</v>
      </c>
      <c r="E2974" s="44">
        <v>0.3</v>
      </c>
      <c r="F2974" s="41">
        <v>28.6615</v>
      </c>
      <c r="G2974" s="41">
        <f>IF(ISNUMBER(F2974),E2974*F2974,"")</f>
        <v>8.5984499999999997</v>
      </c>
      <c r="H2974" s="46">
        <f>SUM(G2974:G2975)</f>
        <v>8.5984499999999997</v>
      </c>
      <c r="I2974" s="47"/>
      <c r="J2974" s="37">
        <v>0</v>
      </c>
    </row>
    <row r="2975" spans="1:10" ht="25.5" hidden="1" x14ac:dyDescent="0.25">
      <c r="A2975" s="174"/>
      <c r="B2975" s="177"/>
      <c r="C2975" s="43" t="s">
        <v>729</v>
      </c>
      <c r="D2975" s="62" t="s">
        <v>18</v>
      </c>
      <c r="E2975" s="44">
        <v>1</v>
      </c>
      <c r="F2975" s="38" t="s">
        <v>13</v>
      </c>
      <c r="G2975" s="41" t="str">
        <f>IF(ISNUMBER(F2975),E2975*F2975,"")</f>
        <v/>
      </c>
      <c r="H2975" s="42"/>
      <c r="I2975" s="38"/>
      <c r="J2975" s="37">
        <v>0</v>
      </c>
    </row>
    <row r="2976" spans="1:10" ht="15.75" hidden="1" thickBot="1" x14ac:dyDescent="0.3">
      <c r="A2976" s="175"/>
      <c r="B2976" s="178"/>
      <c r="C2976" s="49"/>
      <c r="D2976" s="49"/>
      <c r="E2976" s="50"/>
      <c r="F2976" s="51" t="s">
        <v>13</v>
      </c>
      <c r="G2976" s="52" t="str">
        <f>IF(ISNUMBER(F2976),E2976*F2976,"")</f>
        <v/>
      </c>
      <c r="H2976" s="53"/>
      <c r="I2976" s="38"/>
      <c r="J2976" s="37">
        <v>0</v>
      </c>
    </row>
    <row r="2977" spans="1:10" ht="15.75" hidden="1" thickBot="1" x14ac:dyDescent="0.3">
      <c r="A2977" s="173" t="s">
        <v>730</v>
      </c>
      <c r="B2977" s="176" t="s">
        <v>4253</v>
      </c>
      <c r="C2977" s="31"/>
      <c r="D2977" s="32" t="s">
        <v>106</v>
      </c>
      <c r="E2977" s="33"/>
      <c r="F2977" s="54" t="s">
        <v>13</v>
      </c>
      <c r="G2977" s="34" t="str">
        <f>IF(ISNUMBER(F2977),E2977*F2977,"")</f>
        <v/>
      </c>
      <c r="H2977" s="35"/>
      <c r="I2977" s="36"/>
      <c r="J2977" s="37">
        <v>0</v>
      </c>
    </row>
    <row r="2978" spans="1:10" hidden="1" x14ac:dyDescent="0.25">
      <c r="A2978" s="174"/>
      <c r="B2978" s="177"/>
      <c r="C2978" s="39"/>
      <c r="D2978" s="39"/>
      <c r="E2978" s="40"/>
      <c r="F2978" s="55" t="s">
        <v>13</v>
      </c>
      <c r="G2978" s="41" t="str">
        <f>IF(ISNUMBER(F2978),E2978*F2978,"")</f>
        <v/>
      </c>
      <c r="H2978" s="42"/>
      <c r="I2978" s="38"/>
      <c r="J2978" s="37">
        <v>0</v>
      </c>
    </row>
    <row r="2979" spans="1:10" hidden="1" x14ac:dyDescent="0.25">
      <c r="A2979" s="174"/>
      <c r="B2979" s="177"/>
      <c r="C2979" s="43" t="s">
        <v>10831</v>
      </c>
      <c r="D2979" s="43" t="s">
        <v>2800</v>
      </c>
      <c r="E2979" s="44">
        <v>0.2</v>
      </c>
      <c r="F2979" s="41">
        <v>28.6615</v>
      </c>
      <c r="G2979" s="41">
        <f>IF(ISNUMBER(F2979),E2979*F2979,"")</f>
        <v>5.7323000000000004</v>
      </c>
      <c r="H2979" s="46">
        <f>SUM(G2979:G2980)</f>
        <v>13.522679999999999</v>
      </c>
      <c r="I2979" s="47"/>
      <c r="J2979" s="37">
        <v>0</v>
      </c>
    </row>
    <row r="2980" spans="1:10" hidden="1" x14ac:dyDescent="0.25">
      <c r="A2980" s="174"/>
      <c r="B2980" s="177"/>
      <c r="C2980" s="43" t="s">
        <v>11030</v>
      </c>
      <c r="D2980" s="43" t="s">
        <v>1044</v>
      </c>
      <c r="E2980" s="44">
        <v>0.19</v>
      </c>
      <c r="F2980" s="38">
        <v>41.001999999999995</v>
      </c>
      <c r="G2980" s="41">
        <f>IF(ISNUMBER(F2980),E2980*F2980,"")</f>
        <v>7.790379999999999</v>
      </c>
      <c r="H2980" s="42"/>
      <c r="I2980" s="38"/>
      <c r="J2980" s="37">
        <v>0</v>
      </c>
    </row>
    <row r="2981" spans="1:10" hidden="1" x14ac:dyDescent="0.25">
      <c r="A2981" s="174"/>
      <c r="B2981" s="177"/>
      <c r="C2981" s="43"/>
      <c r="D2981" s="43"/>
      <c r="E2981" s="44"/>
      <c r="F2981" s="38" t="s">
        <v>13</v>
      </c>
      <c r="G2981" s="41" t="str">
        <f>IF(ISNUMBER(F2981),E2981*F2981,"")</f>
        <v/>
      </c>
      <c r="H2981" s="42"/>
      <c r="I2981" s="38"/>
      <c r="J2981" s="37">
        <v>0</v>
      </c>
    </row>
    <row r="2982" spans="1:10" ht="25.5" hidden="1" x14ac:dyDescent="0.25">
      <c r="A2982" s="174"/>
      <c r="B2982" s="177"/>
      <c r="C2982" s="4" t="s">
        <v>731</v>
      </c>
      <c r="D2982" s="43"/>
      <c r="E2982" s="44"/>
      <c r="F2982" s="38" t="s">
        <v>13</v>
      </c>
      <c r="G2982" s="41" t="str">
        <f>IF(ISNUMBER(F2982),E2982*F2982,"")</f>
        <v/>
      </c>
      <c r="H2982" s="42"/>
      <c r="I2982" s="38"/>
      <c r="J2982" s="37">
        <v>0</v>
      </c>
    </row>
    <row r="2983" spans="1:10" ht="38.25" hidden="1" x14ac:dyDescent="0.25">
      <c r="A2983" s="174"/>
      <c r="B2983" s="177"/>
      <c r="C2983" s="65" t="s">
        <v>732</v>
      </c>
      <c r="D2983" s="86"/>
      <c r="E2983" s="44"/>
      <c r="F2983" s="38" t="s">
        <v>13</v>
      </c>
      <c r="G2983" s="41" t="str">
        <f>IF(ISNUMBER(F2983),E2983*F2983,"")</f>
        <v/>
      </c>
      <c r="H2983" s="42"/>
      <c r="I2983" s="38"/>
      <c r="J2983" s="37">
        <v>0</v>
      </c>
    </row>
    <row r="2984" spans="1:10" ht="15.75" hidden="1" thickBot="1" x14ac:dyDescent="0.3">
      <c r="A2984" s="175"/>
      <c r="B2984" s="178"/>
      <c r="C2984" s="49"/>
      <c r="D2984" s="49"/>
      <c r="E2984" s="50"/>
      <c r="F2984" s="51" t="s">
        <v>13</v>
      </c>
      <c r="G2984" s="52" t="str">
        <f>IF(ISNUMBER(F2984),E2984*F2984,"")</f>
        <v/>
      </c>
      <c r="H2984" s="53"/>
      <c r="I2984" s="38"/>
      <c r="J2984" s="37">
        <v>0</v>
      </c>
    </row>
    <row r="2985" spans="1:10" ht="15.75" hidden="1" thickBot="1" x14ac:dyDescent="0.3">
      <c r="A2985" s="173" t="s">
        <v>733</v>
      </c>
      <c r="B2985" s="176" t="s">
        <v>4254</v>
      </c>
      <c r="C2985" s="31"/>
      <c r="D2985" s="32" t="s">
        <v>106</v>
      </c>
      <c r="E2985" s="33"/>
      <c r="F2985" s="54" t="s">
        <v>13</v>
      </c>
      <c r="G2985" s="34" t="str">
        <f>IF(ISNUMBER(F2985),E2985*F2985,"")</f>
        <v/>
      </c>
      <c r="H2985" s="35"/>
      <c r="I2985" s="36"/>
      <c r="J2985" s="37">
        <v>0</v>
      </c>
    </row>
    <row r="2986" spans="1:10" hidden="1" x14ac:dyDescent="0.25">
      <c r="A2986" s="179"/>
      <c r="B2986" s="177"/>
      <c r="C2986" s="39"/>
      <c r="D2986" s="39"/>
      <c r="E2986" s="40"/>
      <c r="F2986" s="55" t="s">
        <v>13</v>
      </c>
      <c r="G2986" s="41" t="str">
        <f>IF(ISNUMBER(F2986),E2986*F2986,"")</f>
        <v/>
      </c>
      <c r="H2986" s="42"/>
      <c r="I2986" s="38"/>
      <c r="J2986" s="37">
        <v>0</v>
      </c>
    </row>
    <row r="2987" spans="1:10" hidden="1" x14ac:dyDescent="0.25">
      <c r="A2987" s="179"/>
      <c r="B2987" s="177"/>
      <c r="C2987" s="43" t="s">
        <v>10831</v>
      </c>
      <c r="D2987" s="43" t="s">
        <v>2800</v>
      </c>
      <c r="E2987" s="44">
        <v>0.3</v>
      </c>
      <c r="F2987" s="41">
        <v>28.6615</v>
      </c>
      <c r="G2987" s="41">
        <f>IF(ISNUMBER(F2987),E2987*F2987,"")</f>
        <v>8.5984499999999997</v>
      </c>
      <c r="H2987" s="46">
        <f>SUM(G2987:G2988)</f>
        <v>40.292996000000002</v>
      </c>
      <c r="I2987" s="47"/>
      <c r="J2987" s="37">
        <v>0</v>
      </c>
    </row>
    <row r="2988" spans="1:10" hidden="1" x14ac:dyDescent="0.25">
      <c r="A2988" s="179"/>
      <c r="B2988" s="177"/>
      <c r="C2988" s="43" t="s">
        <v>11030</v>
      </c>
      <c r="D2988" s="43" t="s">
        <v>1044</v>
      </c>
      <c r="E2988" s="44">
        <v>0.77300000000000002</v>
      </c>
      <c r="F2988" s="38">
        <v>41.001999999999995</v>
      </c>
      <c r="G2988" s="41">
        <f>IF(ISNUMBER(F2988),E2988*F2988,"")</f>
        <v>31.694545999999999</v>
      </c>
      <c r="H2988" s="42"/>
      <c r="I2988" s="38"/>
      <c r="J2988" s="37">
        <v>0</v>
      </c>
    </row>
    <row r="2989" spans="1:10" hidden="1" x14ac:dyDescent="0.25">
      <c r="A2989" s="179"/>
      <c r="B2989" s="177"/>
      <c r="C2989" s="43"/>
      <c r="D2989" s="62"/>
      <c r="E2989" s="44"/>
      <c r="F2989" s="38" t="s">
        <v>13</v>
      </c>
      <c r="G2989" s="41" t="str">
        <f>IF(ISNUMBER(F2989),E2989*F2989,"")</f>
        <v/>
      </c>
      <c r="H2989" s="42"/>
      <c r="I2989" s="38"/>
      <c r="J2989" s="37">
        <v>0</v>
      </c>
    </row>
    <row r="2990" spans="1:10" ht="25.5" hidden="1" x14ac:dyDescent="0.25">
      <c r="A2990" s="179"/>
      <c r="B2990" s="177"/>
      <c r="C2990" s="4" t="s">
        <v>734</v>
      </c>
      <c r="D2990" s="62"/>
      <c r="E2990" s="44"/>
      <c r="F2990" s="38" t="s">
        <v>13</v>
      </c>
      <c r="G2990" s="41" t="str">
        <f>IF(ISNUMBER(F2990),E2990*F2990,"")</f>
        <v/>
      </c>
      <c r="H2990" s="42"/>
      <c r="I2990" s="38"/>
      <c r="J2990" s="37">
        <v>0</v>
      </c>
    </row>
    <row r="2991" spans="1:10" ht="25.5" hidden="1" x14ac:dyDescent="0.25">
      <c r="A2991" s="179"/>
      <c r="B2991" s="177"/>
      <c r="C2991" s="65" t="s">
        <v>735</v>
      </c>
      <c r="D2991" s="62"/>
      <c r="E2991" s="44"/>
      <c r="F2991" s="38" t="s">
        <v>13</v>
      </c>
      <c r="G2991" s="41" t="str">
        <f>IF(ISNUMBER(F2991),E2991*F2991,"")</f>
        <v/>
      </c>
      <c r="H2991" s="42"/>
      <c r="I2991" s="38"/>
      <c r="J2991" s="37">
        <v>0</v>
      </c>
    </row>
    <row r="2992" spans="1:10" ht="15.75" hidden="1" thickBot="1" x14ac:dyDescent="0.3">
      <c r="A2992" s="180"/>
      <c r="B2992" s="178"/>
      <c r="C2992" s="49"/>
      <c r="D2992" s="49"/>
      <c r="E2992" s="50"/>
      <c r="F2992" s="51" t="s">
        <v>13</v>
      </c>
      <c r="G2992" s="52" t="str">
        <f>IF(ISNUMBER(F2992),E2992*F2992,"")</f>
        <v/>
      </c>
      <c r="H2992" s="53"/>
      <c r="I2992" s="38"/>
      <c r="J2992" s="37">
        <v>0</v>
      </c>
    </row>
    <row r="2993" spans="1:10" ht="15.75" hidden="1" thickBot="1" x14ac:dyDescent="0.3">
      <c r="A2993" s="173" t="s">
        <v>736</v>
      </c>
      <c r="B2993" s="176" t="s">
        <v>4255</v>
      </c>
      <c r="C2993" s="31"/>
      <c r="D2993" s="32" t="s">
        <v>106</v>
      </c>
      <c r="E2993" s="33"/>
      <c r="F2993" s="54" t="s">
        <v>13</v>
      </c>
      <c r="G2993" s="34" t="str">
        <f>IF(ISNUMBER(F2993),E2993*F2993,"")</f>
        <v/>
      </c>
      <c r="H2993" s="35"/>
      <c r="I2993" s="36"/>
      <c r="J2993" s="37">
        <v>0</v>
      </c>
    </row>
    <row r="2994" spans="1:10" hidden="1" x14ac:dyDescent="0.25">
      <c r="A2994" s="179"/>
      <c r="B2994" s="177"/>
      <c r="C2994" s="39"/>
      <c r="D2994" s="39"/>
      <c r="E2994" s="40"/>
      <c r="F2994" s="55" t="s">
        <v>13</v>
      </c>
      <c r="G2994" s="41" t="str">
        <f>IF(ISNUMBER(F2994),E2994*F2994,"")</f>
        <v/>
      </c>
      <c r="H2994" s="42"/>
      <c r="I2994" s="38"/>
      <c r="J2994" s="37">
        <v>0</v>
      </c>
    </row>
    <row r="2995" spans="1:10" hidden="1" x14ac:dyDescent="0.25">
      <c r="A2995" s="179"/>
      <c r="B2995" s="177"/>
      <c r="C2995" s="43" t="s">
        <v>10831</v>
      </c>
      <c r="D2995" s="43" t="s">
        <v>2800</v>
      </c>
      <c r="E2995" s="44">
        <v>0.2</v>
      </c>
      <c r="F2995" s="41">
        <v>28.6615</v>
      </c>
      <c r="G2995" s="41">
        <f>IF(ISNUMBER(F2995),E2995*F2995,"")</f>
        <v>5.7323000000000004</v>
      </c>
      <c r="H2995" s="46">
        <f>SUM(G2995:G2996)</f>
        <v>17.253861999999998</v>
      </c>
      <c r="I2995" s="47"/>
      <c r="J2995" s="37">
        <v>0</v>
      </c>
    </row>
    <row r="2996" spans="1:10" hidden="1" x14ac:dyDescent="0.25">
      <c r="A2996" s="179"/>
      <c r="B2996" s="177"/>
      <c r="C2996" s="43" t="s">
        <v>11030</v>
      </c>
      <c r="D2996" s="43" t="s">
        <v>1044</v>
      </c>
      <c r="E2996" s="44">
        <v>0.28100000000000003</v>
      </c>
      <c r="F2996" s="38">
        <v>41.001999999999995</v>
      </c>
      <c r="G2996" s="41">
        <f>IF(ISNUMBER(F2996),E2996*F2996,"")</f>
        <v>11.521561999999999</v>
      </c>
      <c r="H2996" s="42"/>
      <c r="I2996" s="38"/>
      <c r="J2996" s="37">
        <v>0</v>
      </c>
    </row>
    <row r="2997" spans="1:10" hidden="1" x14ac:dyDescent="0.25">
      <c r="A2997" s="179"/>
      <c r="B2997" s="177"/>
      <c r="C2997" s="43"/>
      <c r="D2997" s="62"/>
      <c r="E2997" s="44"/>
      <c r="F2997" s="38" t="s">
        <v>13</v>
      </c>
      <c r="G2997" s="41" t="str">
        <f>IF(ISNUMBER(F2997),E2997*F2997,"")</f>
        <v/>
      </c>
      <c r="H2997" s="42"/>
      <c r="I2997" s="38"/>
      <c r="J2997" s="37">
        <v>0</v>
      </c>
    </row>
    <row r="2998" spans="1:10" ht="25.5" hidden="1" x14ac:dyDescent="0.25">
      <c r="A2998" s="179"/>
      <c r="B2998" s="177"/>
      <c r="C2998" s="4" t="s">
        <v>737</v>
      </c>
      <c r="D2998" s="62"/>
      <c r="E2998" s="44"/>
      <c r="F2998" s="38" t="s">
        <v>13</v>
      </c>
      <c r="G2998" s="41" t="str">
        <f>IF(ISNUMBER(F2998),E2998*F2998,"")</f>
        <v/>
      </c>
      <c r="H2998" s="42"/>
      <c r="I2998" s="38"/>
      <c r="J2998" s="37">
        <v>0</v>
      </c>
    </row>
    <row r="2999" spans="1:10" ht="25.5" hidden="1" x14ac:dyDescent="0.25">
      <c r="A2999" s="179"/>
      <c r="B2999" s="177"/>
      <c r="C2999" s="65" t="s">
        <v>735</v>
      </c>
      <c r="D2999" s="62"/>
      <c r="E2999" s="44"/>
      <c r="F2999" s="38" t="s">
        <v>13</v>
      </c>
      <c r="G2999" s="41" t="str">
        <f>IF(ISNUMBER(F2999),E2999*F2999,"")</f>
        <v/>
      </c>
      <c r="H2999" s="42"/>
      <c r="I2999" s="38"/>
      <c r="J2999" s="37">
        <v>0</v>
      </c>
    </row>
    <row r="3000" spans="1:10" ht="15.75" hidden="1" thickBot="1" x14ac:dyDescent="0.3">
      <c r="A3000" s="180"/>
      <c r="B3000" s="178"/>
      <c r="C3000" s="49"/>
      <c r="D3000" s="49"/>
      <c r="E3000" s="50"/>
      <c r="F3000" s="51" t="s">
        <v>13</v>
      </c>
      <c r="G3000" s="52" t="str">
        <f>IF(ISNUMBER(F3000),E3000*F3000,"")</f>
        <v/>
      </c>
      <c r="H3000" s="53"/>
      <c r="I3000" s="38"/>
      <c r="J3000" s="37">
        <v>0</v>
      </c>
    </row>
    <row r="3001" spans="1:10" ht="15.75" hidden="1" thickBot="1" x14ac:dyDescent="0.3">
      <c r="A3001" s="173" t="s">
        <v>738</v>
      </c>
      <c r="B3001" s="176" t="s">
        <v>4256</v>
      </c>
      <c r="C3001" s="31"/>
      <c r="D3001" s="32" t="s">
        <v>106</v>
      </c>
      <c r="E3001" s="33"/>
      <c r="F3001" s="54" t="s">
        <v>13</v>
      </c>
      <c r="G3001" s="34" t="str">
        <f>IF(ISNUMBER(F3001),E3001*F3001,"")</f>
        <v/>
      </c>
      <c r="H3001" s="35"/>
      <c r="I3001" s="36"/>
      <c r="J3001" s="37">
        <v>0</v>
      </c>
    </row>
    <row r="3002" spans="1:10" hidden="1" x14ac:dyDescent="0.25">
      <c r="A3002" s="179"/>
      <c r="B3002" s="177"/>
      <c r="C3002" s="39"/>
      <c r="D3002" s="39"/>
      <c r="E3002" s="40"/>
      <c r="F3002" s="55" t="s">
        <v>13</v>
      </c>
      <c r="G3002" s="41" t="str">
        <f>IF(ISNUMBER(F3002),E3002*F3002,"")</f>
        <v/>
      </c>
      <c r="H3002" s="42"/>
      <c r="I3002" s="38"/>
      <c r="J3002" s="37">
        <v>0</v>
      </c>
    </row>
    <row r="3003" spans="1:10" hidden="1" x14ac:dyDescent="0.25">
      <c r="A3003" s="179"/>
      <c r="B3003" s="177"/>
      <c r="C3003" s="43" t="s">
        <v>10831</v>
      </c>
      <c r="D3003" s="43" t="s">
        <v>2800</v>
      </c>
      <c r="E3003" s="44">
        <v>0.3</v>
      </c>
      <c r="F3003" s="41">
        <v>28.6615</v>
      </c>
      <c r="G3003" s="41">
        <f>IF(ISNUMBER(F3003),E3003*F3003,"")</f>
        <v>8.5984499999999997</v>
      </c>
      <c r="H3003" s="46">
        <f>SUM(G3003:G3004)</f>
        <v>27.090351999999999</v>
      </c>
      <c r="I3003" s="47"/>
      <c r="J3003" s="37">
        <v>0</v>
      </c>
    </row>
    <row r="3004" spans="1:10" hidden="1" x14ac:dyDescent="0.25">
      <c r="A3004" s="179"/>
      <c r="B3004" s="177"/>
      <c r="C3004" s="43" t="s">
        <v>11030</v>
      </c>
      <c r="D3004" s="43" t="s">
        <v>1044</v>
      </c>
      <c r="E3004" s="44">
        <v>0.45100000000000001</v>
      </c>
      <c r="F3004" s="38">
        <v>41.001999999999995</v>
      </c>
      <c r="G3004" s="41">
        <f>IF(ISNUMBER(F3004),E3004*F3004,"")</f>
        <v>18.491902</v>
      </c>
      <c r="H3004" s="42"/>
      <c r="I3004" s="38"/>
      <c r="J3004" s="37">
        <v>0</v>
      </c>
    </row>
    <row r="3005" spans="1:10" hidden="1" x14ac:dyDescent="0.25">
      <c r="A3005" s="179"/>
      <c r="B3005" s="177"/>
      <c r="C3005" s="43"/>
      <c r="D3005" s="62"/>
      <c r="E3005" s="44"/>
      <c r="F3005" s="38" t="s">
        <v>13</v>
      </c>
      <c r="G3005" s="41" t="str">
        <f>IF(ISNUMBER(F3005),E3005*F3005,"")</f>
        <v/>
      </c>
      <c r="H3005" s="42"/>
      <c r="I3005" s="38"/>
      <c r="J3005" s="37">
        <v>0</v>
      </c>
    </row>
    <row r="3006" spans="1:10" ht="25.5" hidden="1" x14ac:dyDescent="0.25">
      <c r="A3006" s="179"/>
      <c r="B3006" s="177"/>
      <c r="C3006" s="4" t="s">
        <v>737</v>
      </c>
      <c r="D3006" s="62"/>
      <c r="E3006" s="44"/>
      <c r="F3006" s="38" t="s">
        <v>13</v>
      </c>
      <c r="G3006" s="41" t="str">
        <f>IF(ISNUMBER(F3006),E3006*F3006,"")</f>
        <v/>
      </c>
      <c r="H3006" s="42"/>
      <c r="I3006" s="38"/>
      <c r="J3006" s="37">
        <v>0</v>
      </c>
    </row>
    <row r="3007" spans="1:10" ht="25.5" hidden="1" x14ac:dyDescent="0.25">
      <c r="A3007" s="179"/>
      <c r="B3007" s="177"/>
      <c r="C3007" s="65" t="s">
        <v>735</v>
      </c>
      <c r="D3007" s="62"/>
      <c r="E3007" s="44"/>
      <c r="F3007" s="38" t="s">
        <v>13</v>
      </c>
      <c r="G3007" s="41" t="str">
        <f>IF(ISNUMBER(F3007),E3007*F3007,"")</f>
        <v/>
      </c>
      <c r="H3007" s="42"/>
      <c r="I3007" s="38"/>
      <c r="J3007" s="37">
        <v>0</v>
      </c>
    </row>
    <row r="3008" spans="1:10" ht="15.75" hidden="1" thickBot="1" x14ac:dyDescent="0.3">
      <c r="A3008" s="180"/>
      <c r="B3008" s="178"/>
      <c r="C3008" s="49"/>
      <c r="D3008" s="49"/>
      <c r="E3008" s="50"/>
      <c r="F3008" s="51" t="s">
        <v>13</v>
      </c>
      <c r="G3008" s="52" t="str">
        <f>IF(ISNUMBER(F3008),E3008*F3008,"")</f>
        <v/>
      </c>
      <c r="H3008" s="53"/>
      <c r="I3008" s="38"/>
      <c r="J3008" s="37">
        <v>0</v>
      </c>
    </row>
    <row r="3009" spans="1:10" ht="15.75" hidden="1" thickBot="1" x14ac:dyDescent="0.3">
      <c r="A3009" s="173" t="s">
        <v>739</v>
      </c>
      <c r="B3009" s="176" t="s">
        <v>4257</v>
      </c>
      <c r="C3009" s="31"/>
      <c r="D3009" s="32" t="s">
        <v>106</v>
      </c>
      <c r="E3009" s="33"/>
      <c r="F3009" s="54" t="s">
        <v>13</v>
      </c>
      <c r="G3009" s="34" t="str">
        <f>IF(ISNUMBER(F3009),E3009*F3009,"")</f>
        <v/>
      </c>
      <c r="H3009" s="35"/>
      <c r="I3009" s="36"/>
      <c r="J3009" s="37">
        <v>0</v>
      </c>
    </row>
    <row r="3010" spans="1:10" hidden="1" x14ac:dyDescent="0.25">
      <c r="A3010" s="179"/>
      <c r="B3010" s="177"/>
      <c r="C3010" s="39"/>
      <c r="D3010" s="39"/>
      <c r="E3010" s="40"/>
      <c r="F3010" s="55" t="s">
        <v>13</v>
      </c>
      <c r="G3010" s="41" t="str">
        <f>IF(ISNUMBER(F3010),E3010*F3010,"")</f>
        <v/>
      </c>
      <c r="H3010" s="42"/>
      <c r="I3010" s="38"/>
      <c r="J3010" s="37">
        <v>0</v>
      </c>
    </row>
    <row r="3011" spans="1:10" hidden="1" x14ac:dyDescent="0.25">
      <c r="A3011" s="179"/>
      <c r="B3011" s="177"/>
      <c r="C3011" s="43" t="s">
        <v>10831</v>
      </c>
      <c r="D3011" s="43" t="s">
        <v>2800</v>
      </c>
      <c r="E3011" s="44">
        <v>0.15</v>
      </c>
      <c r="F3011" s="41">
        <v>28.6615</v>
      </c>
      <c r="G3011" s="41">
        <f>IF(ISNUMBER(F3011),E3011*F3011,"")</f>
        <v>4.2992249999999999</v>
      </c>
      <c r="H3011" s="46">
        <f>SUM(G3011:G3012)</f>
        <v>8.8094450000000002</v>
      </c>
      <c r="I3011" s="47"/>
      <c r="J3011" s="37">
        <v>0</v>
      </c>
    </row>
    <row r="3012" spans="1:10" hidden="1" x14ac:dyDescent="0.25">
      <c r="A3012" s="179"/>
      <c r="B3012" s="177"/>
      <c r="C3012" s="43" t="s">
        <v>11030</v>
      </c>
      <c r="D3012" s="43" t="s">
        <v>1044</v>
      </c>
      <c r="E3012" s="44">
        <v>0.11</v>
      </c>
      <c r="F3012" s="38">
        <v>41.001999999999995</v>
      </c>
      <c r="G3012" s="41">
        <f>IF(ISNUMBER(F3012),E3012*F3012,"")</f>
        <v>4.5102199999999995</v>
      </c>
      <c r="H3012" s="42"/>
      <c r="I3012" s="38"/>
      <c r="J3012" s="37">
        <v>0</v>
      </c>
    </row>
    <row r="3013" spans="1:10" hidden="1" x14ac:dyDescent="0.25">
      <c r="A3013" s="179"/>
      <c r="B3013" s="177"/>
      <c r="C3013" s="43"/>
      <c r="D3013" s="62"/>
      <c r="E3013" s="44"/>
      <c r="F3013" s="38" t="s">
        <v>13</v>
      </c>
      <c r="G3013" s="41" t="str">
        <f>IF(ISNUMBER(F3013),E3013*F3013,"")</f>
        <v/>
      </c>
      <c r="H3013" s="42"/>
      <c r="I3013" s="38"/>
      <c r="J3013" s="37">
        <v>0</v>
      </c>
    </row>
    <row r="3014" spans="1:10" ht="25.5" hidden="1" x14ac:dyDescent="0.25">
      <c r="A3014" s="179"/>
      <c r="B3014" s="177"/>
      <c r="C3014" s="4" t="s">
        <v>740</v>
      </c>
      <c r="D3014" s="62"/>
      <c r="E3014" s="44"/>
      <c r="F3014" s="38" t="s">
        <v>13</v>
      </c>
      <c r="G3014" s="41" t="str">
        <f>IF(ISNUMBER(F3014),E3014*F3014,"")</f>
        <v/>
      </c>
      <c r="H3014" s="42"/>
      <c r="I3014" s="38"/>
      <c r="J3014" s="37">
        <v>0</v>
      </c>
    </row>
    <row r="3015" spans="1:10" ht="25.5" hidden="1" x14ac:dyDescent="0.25">
      <c r="A3015" s="179"/>
      <c r="B3015" s="177"/>
      <c r="C3015" s="65" t="s">
        <v>735</v>
      </c>
      <c r="D3015" s="62"/>
      <c r="E3015" s="44"/>
      <c r="F3015" s="38" t="s">
        <v>13</v>
      </c>
      <c r="G3015" s="41" t="str">
        <f>IF(ISNUMBER(F3015),E3015*F3015,"")</f>
        <v/>
      </c>
      <c r="H3015" s="42"/>
      <c r="I3015" s="38"/>
      <c r="J3015" s="37">
        <v>0</v>
      </c>
    </row>
    <row r="3016" spans="1:10" ht="15.75" hidden="1" thickBot="1" x14ac:dyDescent="0.3">
      <c r="A3016" s="180"/>
      <c r="B3016" s="178"/>
      <c r="C3016" s="49"/>
      <c r="D3016" s="49"/>
      <c r="E3016" s="50"/>
      <c r="F3016" s="51" t="s">
        <v>13</v>
      </c>
      <c r="G3016" s="52" t="str">
        <f>IF(ISNUMBER(F3016),E3016*F3016,"")</f>
        <v/>
      </c>
      <c r="H3016" s="53"/>
      <c r="I3016" s="38"/>
      <c r="J3016" s="37">
        <v>0</v>
      </c>
    </row>
    <row r="3017" spans="1:10" ht="15.75" hidden="1" thickBot="1" x14ac:dyDescent="0.3">
      <c r="A3017" s="173" t="s">
        <v>741</v>
      </c>
      <c r="B3017" s="176" t="s">
        <v>4258</v>
      </c>
      <c r="C3017" s="31"/>
      <c r="D3017" s="32" t="s">
        <v>18</v>
      </c>
      <c r="E3017" s="33"/>
      <c r="F3017" s="54" t="s">
        <v>13</v>
      </c>
      <c r="G3017" s="34" t="str">
        <f>IF(ISNUMBER(F3017),E3017*F3017,"")</f>
        <v/>
      </c>
      <c r="H3017" s="35"/>
      <c r="I3017" s="36"/>
      <c r="J3017" s="37">
        <v>0</v>
      </c>
    </row>
    <row r="3018" spans="1:10" hidden="1" x14ac:dyDescent="0.25">
      <c r="A3018" s="174"/>
      <c r="B3018" s="177"/>
      <c r="C3018" s="39"/>
      <c r="D3018" s="39"/>
      <c r="E3018" s="40"/>
      <c r="F3018" s="55" t="s">
        <v>13</v>
      </c>
      <c r="G3018" s="41" t="str">
        <f>IF(ISNUMBER(F3018),E3018*F3018,"")</f>
        <v/>
      </c>
      <c r="H3018" s="42"/>
      <c r="I3018" s="38"/>
      <c r="J3018" s="37">
        <v>0</v>
      </c>
    </row>
    <row r="3019" spans="1:10" hidden="1" x14ac:dyDescent="0.25">
      <c r="A3019" s="174"/>
      <c r="B3019" s="177"/>
      <c r="C3019" s="43" t="s">
        <v>10831</v>
      </c>
      <c r="D3019" s="43" t="s">
        <v>2800</v>
      </c>
      <c r="E3019" s="44">
        <v>0.3</v>
      </c>
      <c r="F3019" s="41">
        <v>28.6615</v>
      </c>
      <c r="G3019" s="41">
        <f>IF(ISNUMBER(F3019),E3019*F3019,"")</f>
        <v>8.5984499999999997</v>
      </c>
      <c r="H3019" s="46">
        <f>SUM(G3019:G3020)</f>
        <v>8.5984499999999997</v>
      </c>
      <c r="I3019" s="47"/>
      <c r="J3019" s="37">
        <v>0</v>
      </c>
    </row>
    <row r="3020" spans="1:10" ht="25.5" hidden="1" x14ac:dyDescent="0.25">
      <c r="A3020" s="174"/>
      <c r="B3020" s="177"/>
      <c r="C3020" s="43" t="s">
        <v>742</v>
      </c>
      <c r="D3020" s="43" t="s">
        <v>18</v>
      </c>
      <c r="E3020" s="44">
        <v>1</v>
      </c>
      <c r="F3020" s="38" t="s">
        <v>13</v>
      </c>
      <c r="G3020" s="41" t="str">
        <f>IF(ISNUMBER(F3020),E3020*F3020,"")</f>
        <v/>
      </c>
      <c r="H3020" s="42"/>
      <c r="I3020" s="38"/>
      <c r="J3020" s="37">
        <v>0</v>
      </c>
    </row>
    <row r="3021" spans="1:10" ht="15.75" hidden="1" thickBot="1" x14ac:dyDescent="0.3">
      <c r="A3021" s="175"/>
      <c r="B3021" s="178"/>
      <c r="C3021" s="49"/>
      <c r="D3021" s="49"/>
      <c r="E3021" s="50"/>
      <c r="F3021" s="51" t="s">
        <v>13</v>
      </c>
      <c r="G3021" s="52" t="str">
        <f>IF(ISNUMBER(F3021),E3021*F3021,"")</f>
        <v/>
      </c>
      <c r="H3021" s="53"/>
      <c r="I3021" s="38"/>
      <c r="J3021" s="37">
        <v>0</v>
      </c>
    </row>
    <row r="3022" spans="1:10" ht="15.75" hidden="1" thickBot="1" x14ac:dyDescent="0.3">
      <c r="A3022" s="173" t="s">
        <v>743</v>
      </c>
      <c r="B3022" s="176" t="s">
        <v>4259</v>
      </c>
      <c r="C3022" s="31"/>
      <c r="D3022" s="32" t="s">
        <v>106</v>
      </c>
      <c r="E3022" s="33"/>
      <c r="F3022" s="54" t="s">
        <v>13</v>
      </c>
      <c r="G3022" s="34" t="str">
        <f>IF(ISNUMBER(F3022),E3022*F3022,"")</f>
        <v/>
      </c>
      <c r="H3022" s="35"/>
      <c r="I3022" s="36"/>
      <c r="J3022" s="37">
        <v>0</v>
      </c>
    </row>
    <row r="3023" spans="1:10" hidden="1" x14ac:dyDescent="0.25">
      <c r="A3023" s="174"/>
      <c r="B3023" s="177"/>
      <c r="C3023" s="39"/>
      <c r="D3023" s="39"/>
      <c r="E3023" s="40"/>
      <c r="F3023" s="55" t="s">
        <v>13</v>
      </c>
      <c r="G3023" s="41" t="str">
        <f>IF(ISNUMBER(F3023),E3023*F3023,"")</f>
        <v/>
      </c>
      <c r="H3023" s="42"/>
      <c r="I3023" s="38"/>
      <c r="J3023" s="37">
        <v>0</v>
      </c>
    </row>
    <row r="3024" spans="1:10" hidden="1" x14ac:dyDescent="0.25">
      <c r="A3024" s="174"/>
      <c r="B3024" s="177"/>
      <c r="C3024" s="43" t="s">
        <v>10831</v>
      </c>
      <c r="D3024" s="43" t="s">
        <v>2800</v>
      </c>
      <c r="E3024" s="44">
        <v>0.3</v>
      </c>
      <c r="F3024" s="41">
        <v>28.6615</v>
      </c>
      <c r="G3024" s="41">
        <f>IF(ISNUMBER(F3024),E3024*F3024,"")</f>
        <v>8.5984499999999997</v>
      </c>
      <c r="H3024" s="46">
        <f>SUM(G3024:G3025)</f>
        <v>8.5984499999999997</v>
      </c>
      <c r="I3024" s="47"/>
      <c r="J3024" s="37">
        <v>0</v>
      </c>
    </row>
    <row r="3025" spans="1:10" ht="51" hidden="1" x14ac:dyDescent="0.25">
      <c r="A3025" s="174"/>
      <c r="B3025" s="177"/>
      <c r="C3025" s="43" t="s">
        <v>744</v>
      </c>
      <c r="D3025" s="43" t="s">
        <v>18</v>
      </c>
      <c r="E3025" s="44">
        <v>1</v>
      </c>
      <c r="F3025" s="38" t="s">
        <v>13</v>
      </c>
      <c r="G3025" s="41" t="str">
        <f>IF(ISNUMBER(F3025),E3025*F3025,"")</f>
        <v/>
      </c>
      <c r="H3025" s="42"/>
      <c r="I3025" s="38"/>
      <c r="J3025" s="37">
        <v>0</v>
      </c>
    </row>
    <row r="3026" spans="1:10" ht="15.75" hidden="1" thickBot="1" x14ac:dyDescent="0.3">
      <c r="A3026" s="175"/>
      <c r="B3026" s="178"/>
      <c r="C3026" s="49"/>
      <c r="D3026" s="49"/>
      <c r="E3026" s="50"/>
      <c r="F3026" s="51" t="s">
        <v>13</v>
      </c>
      <c r="G3026" s="52" t="str">
        <f>IF(ISNUMBER(F3026),E3026*F3026,"")</f>
        <v/>
      </c>
      <c r="H3026" s="53"/>
      <c r="I3026" s="38"/>
      <c r="J3026" s="37">
        <v>0</v>
      </c>
    </row>
    <row r="3027" spans="1:10" ht="15.75" hidden="1" thickBot="1" x14ac:dyDescent="0.3">
      <c r="A3027" s="173" t="s">
        <v>745</v>
      </c>
      <c r="B3027" s="176" t="s">
        <v>4260</v>
      </c>
      <c r="C3027" s="31"/>
      <c r="D3027" s="32" t="s">
        <v>18</v>
      </c>
      <c r="E3027" s="33"/>
      <c r="F3027" s="54" t="s">
        <v>13</v>
      </c>
      <c r="G3027" s="34" t="str">
        <f>IF(ISNUMBER(F3027),E3027*F3027,"")</f>
        <v/>
      </c>
      <c r="H3027" s="35"/>
      <c r="I3027" s="36"/>
      <c r="J3027" s="37">
        <v>0</v>
      </c>
    </row>
    <row r="3028" spans="1:10" hidden="1" x14ac:dyDescent="0.25">
      <c r="A3028" s="174"/>
      <c r="B3028" s="177"/>
      <c r="C3028" s="39"/>
      <c r="D3028" s="39"/>
      <c r="E3028" s="40"/>
      <c r="F3028" s="55" t="s">
        <v>13</v>
      </c>
      <c r="G3028" s="41" t="str">
        <f>IF(ISNUMBER(F3028),E3028*F3028,"")</f>
        <v/>
      </c>
      <c r="H3028" s="42"/>
      <c r="I3028" s="38"/>
      <c r="J3028" s="37">
        <v>0</v>
      </c>
    </row>
    <row r="3029" spans="1:10" hidden="1" x14ac:dyDescent="0.25">
      <c r="A3029" s="174"/>
      <c r="B3029" s="177"/>
      <c r="C3029" s="43" t="s">
        <v>10831</v>
      </c>
      <c r="D3029" s="43" t="s">
        <v>2800</v>
      </c>
      <c r="E3029" s="44">
        <v>0.15</v>
      </c>
      <c r="F3029" s="41">
        <v>28.6615</v>
      </c>
      <c r="G3029" s="41">
        <f>IF(ISNUMBER(F3029),E3029*F3029,"")</f>
        <v>4.2992249999999999</v>
      </c>
      <c r="H3029" s="46">
        <f>SUM(G3029:G3030)</f>
        <v>4.2992249999999999</v>
      </c>
      <c r="I3029" s="47"/>
      <c r="J3029" s="37">
        <v>0</v>
      </c>
    </row>
    <row r="3030" spans="1:10" ht="25.5" hidden="1" x14ac:dyDescent="0.25">
      <c r="A3030" s="174"/>
      <c r="B3030" s="177"/>
      <c r="C3030" s="43" t="s">
        <v>746</v>
      </c>
      <c r="D3030" s="43" t="s">
        <v>18</v>
      </c>
      <c r="E3030" s="44">
        <v>1</v>
      </c>
      <c r="F3030" s="38" t="s">
        <v>13</v>
      </c>
      <c r="G3030" s="41" t="str">
        <f>IF(ISNUMBER(F3030),E3030*F3030,"")</f>
        <v/>
      </c>
      <c r="H3030" s="42"/>
      <c r="I3030" s="38"/>
      <c r="J3030" s="37">
        <v>0</v>
      </c>
    </row>
    <row r="3031" spans="1:10" ht="15.75" hidden="1" thickBot="1" x14ac:dyDescent="0.3">
      <c r="A3031" s="175"/>
      <c r="B3031" s="178"/>
      <c r="C3031" s="49"/>
      <c r="D3031" s="49"/>
      <c r="E3031" s="50"/>
      <c r="F3031" s="51" t="s">
        <v>13</v>
      </c>
      <c r="G3031" s="52" t="str">
        <f>IF(ISNUMBER(F3031),E3031*F3031,"")</f>
        <v/>
      </c>
      <c r="H3031" s="53"/>
      <c r="I3031" s="38"/>
      <c r="J3031" s="37">
        <v>0</v>
      </c>
    </row>
    <row r="3032" spans="1:10" ht="15.75" hidden="1" thickBot="1" x14ac:dyDescent="0.3">
      <c r="A3032" s="173" t="s">
        <v>747</v>
      </c>
      <c r="B3032" s="176" t="s">
        <v>4261</v>
      </c>
      <c r="C3032" s="31"/>
      <c r="D3032" s="32" t="s">
        <v>18</v>
      </c>
      <c r="E3032" s="33"/>
      <c r="F3032" s="54" t="s">
        <v>13</v>
      </c>
      <c r="G3032" s="34" t="str">
        <f>IF(ISNUMBER(F3032),E3032*F3032,"")</f>
        <v/>
      </c>
      <c r="H3032" s="35"/>
      <c r="I3032" s="36"/>
      <c r="J3032" s="37">
        <v>0</v>
      </c>
    </row>
    <row r="3033" spans="1:10" hidden="1" x14ac:dyDescent="0.25">
      <c r="A3033" s="174"/>
      <c r="B3033" s="177"/>
      <c r="C3033" s="39"/>
      <c r="D3033" s="39"/>
      <c r="E3033" s="40"/>
      <c r="F3033" s="55" t="s">
        <v>13</v>
      </c>
      <c r="G3033" s="41" t="str">
        <f>IF(ISNUMBER(F3033),E3033*F3033,"")</f>
        <v/>
      </c>
      <c r="H3033" s="42"/>
      <c r="I3033" s="38"/>
      <c r="J3033" s="37">
        <v>0</v>
      </c>
    </row>
    <row r="3034" spans="1:10" hidden="1" x14ac:dyDescent="0.25">
      <c r="A3034" s="174"/>
      <c r="B3034" s="177"/>
      <c r="C3034" s="43" t="s">
        <v>10831</v>
      </c>
      <c r="D3034" s="43" t="s">
        <v>2800</v>
      </c>
      <c r="E3034" s="44">
        <v>0.15</v>
      </c>
      <c r="F3034" s="41">
        <v>28.6615</v>
      </c>
      <c r="G3034" s="41">
        <f>IF(ISNUMBER(F3034),E3034*F3034,"")</f>
        <v>4.2992249999999999</v>
      </c>
      <c r="H3034" s="46">
        <f>SUM(G3034:G3035)</f>
        <v>4.2992249999999999</v>
      </c>
      <c r="I3034" s="47"/>
      <c r="J3034" s="37">
        <v>0</v>
      </c>
    </row>
    <row r="3035" spans="1:10" ht="25.5" hidden="1" x14ac:dyDescent="0.25">
      <c r="A3035" s="174"/>
      <c r="B3035" s="177"/>
      <c r="C3035" s="43" t="s">
        <v>748</v>
      </c>
      <c r="D3035" s="43" t="s">
        <v>18</v>
      </c>
      <c r="E3035" s="44">
        <v>1</v>
      </c>
      <c r="F3035" s="38" t="s">
        <v>13</v>
      </c>
      <c r="G3035" s="41" t="str">
        <f>IF(ISNUMBER(F3035),E3035*F3035,"")</f>
        <v/>
      </c>
      <c r="H3035" s="42"/>
      <c r="I3035" s="38"/>
      <c r="J3035" s="37">
        <v>0</v>
      </c>
    </row>
    <row r="3036" spans="1:10" ht="15.75" hidden="1" thickBot="1" x14ac:dyDescent="0.3">
      <c r="A3036" s="175"/>
      <c r="B3036" s="178"/>
      <c r="C3036" s="49"/>
      <c r="D3036" s="49"/>
      <c r="E3036" s="50"/>
      <c r="F3036" s="51" t="s">
        <v>13</v>
      </c>
      <c r="G3036" s="52" t="str">
        <f>IF(ISNUMBER(F3036),E3036*F3036,"")</f>
        <v/>
      </c>
      <c r="H3036" s="53"/>
      <c r="I3036" s="38"/>
      <c r="J3036" s="37">
        <v>0</v>
      </c>
    </row>
    <row r="3037" spans="1:10" ht="15.75" hidden="1" thickBot="1" x14ac:dyDescent="0.3">
      <c r="A3037" s="173" t="s">
        <v>749</v>
      </c>
      <c r="B3037" s="176" t="s">
        <v>4262</v>
      </c>
      <c r="C3037" s="31"/>
      <c r="D3037" s="32" t="s">
        <v>18</v>
      </c>
      <c r="E3037" s="33"/>
      <c r="F3037" s="54" t="s">
        <v>13</v>
      </c>
      <c r="G3037" s="34" t="str">
        <f>IF(ISNUMBER(F3037),E3037*F3037,"")</f>
        <v/>
      </c>
      <c r="H3037" s="35"/>
      <c r="I3037" s="36"/>
      <c r="J3037" s="37">
        <v>0</v>
      </c>
    </row>
    <row r="3038" spans="1:10" hidden="1" x14ac:dyDescent="0.25">
      <c r="A3038" s="174"/>
      <c r="B3038" s="177"/>
      <c r="C3038" s="39"/>
      <c r="D3038" s="39"/>
      <c r="E3038" s="40"/>
      <c r="F3038" s="55" t="s">
        <v>13</v>
      </c>
      <c r="G3038" s="41" t="str">
        <f>IF(ISNUMBER(F3038),E3038*F3038,"")</f>
        <v/>
      </c>
      <c r="H3038" s="42"/>
      <c r="I3038" s="38"/>
      <c r="J3038" s="37">
        <v>0</v>
      </c>
    </row>
    <row r="3039" spans="1:10" hidden="1" x14ac:dyDescent="0.25">
      <c r="A3039" s="174"/>
      <c r="B3039" s="177"/>
      <c r="C3039" s="43" t="s">
        <v>10831</v>
      </c>
      <c r="D3039" s="43" t="s">
        <v>2800</v>
      </c>
      <c r="E3039" s="44">
        <v>0.1</v>
      </c>
      <c r="F3039" s="41">
        <v>28.6615</v>
      </c>
      <c r="G3039" s="41">
        <f>IF(ISNUMBER(F3039),E3039*F3039,"")</f>
        <v>2.8661500000000002</v>
      </c>
      <c r="H3039" s="46">
        <f>SUM(G3039:G3040)</f>
        <v>2.8661500000000002</v>
      </c>
      <c r="I3039" s="47"/>
      <c r="J3039" s="37">
        <v>0</v>
      </c>
    </row>
    <row r="3040" spans="1:10" ht="38.25" hidden="1" x14ac:dyDescent="0.25">
      <c r="A3040" s="174"/>
      <c r="B3040" s="177"/>
      <c r="C3040" s="43" t="s">
        <v>750</v>
      </c>
      <c r="D3040" s="43" t="s">
        <v>18</v>
      </c>
      <c r="E3040" s="44">
        <v>1</v>
      </c>
      <c r="F3040" s="38" t="s">
        <v>13</v>
      </c>
      <c r="G3040" s="41" t="str">
        <f>IF(ISNUMBER(F3040),E3040*F3040,"")</f>
        <v/>
      </c>
      <c r="H3040" s="42"/>
      <c r="I3040" s="38"/>
      <c r="J3040" s="37">
        <v>0</v>
      </c>
    </row>
    <row r="3041" spans="1:10" ht="15.75" hidden="1" thickBot="1" x14ac:dyDescent="0.3">
      <c r="A3041" s="175"/>
      <c r="B3041" s="178"/>
      <c r="C3041" s="49"/>
      <c r="D3041" s="49"/>
      <c r="E3041" s="50"/>
      <c r="F3041" s="51" t="s">
        <v>13</v>
      </c>
      <c r="G3041" s="52" t="str">
        <f>IF(ISNUMBER(F3041),E3041*F3041,"")</f>
        <v/>
      </c>
      <c r="H3041" s="53"/>
      <c r="I3041" s="38"/>
      <c r="J3041" s="37">
        <v>0</v>
      </c>
    </row>
    <row r="3042" spans="1:10" ht="15.75" hidden="1" thickBot="1" x14ac:dyDescent="0.3">
      <c r="A3042" s="173" t="s">
        <v>751</v>
      </c>
      <c r="B3042" s="176" t="s">
        <v>4263</v>
      </c>
      <c r="C3042" s="31"/>
      <c r="D3042" s="32" t="s">
        <v>18</v>
      </c>
      <c r="E3042" s="33"/>
      <c r="F3042" s="54" t="s">
        <v>13</v>
      </c>
      <c r="G3042" s="34" t="str">
        <f>IF(ISNUMBER(F3042),E3042*F3042,"")</f>
        <v/>
      </c>
      <c r="H3042" s="35"/>
      <c r="I3042" s="36"/>
      <c r="J3042" s="37">
        <v>0</v>
      </c>
    </row>
    <row r="3043" spans="1:10" hidden="1" x14ac:dyDescent="0.25">
      <c r="A3043" s="174"/>
      <c r="B3043" s="177"/>
      <c r="C3043" s="39"/>
      <c r="D3043" s="39"/>
      <c r="E3043" s="40"/>
      <c r="F3043" s="55" t="s">
        <v>13</v>
      </c>
      <c r="G3043" s="41" t="str">
        <f>IF(ISNUMBER(F3043),E3043*F3043,"")</f>
        <v/>
      </c>
      <c r="H3043" s="42"/>
      <c r="I3043" s="38"/>
      <c r="J3043" s="37">
        <v>0</v>
      </c>
    </row>
    <row r="3044" spans="1:10" hidden="1" x14ac:dyDescent="0.25">
      <c r="A3044" s="174"/>
      <c r="B3044" s="177"/>
      <c r="C3044" s="43" t="s">
        <v>10831</v>
      </c>
      <c r="D3044" s="43" t="s">
        <v>2800</v>
      </c>
      <c r="E3044" s="44">
        <v>0.4</v>
      </c>
      <c r="F3044" s="41">
        <v>28.6615</v>
      </c>
      <c r="G3044" s="41">
        <f>IF(ISNUMBER(F3044),E3044*F3044,"")</f>
        <v>11.464600000000001</v>
      </c>
      <c r="H3044" s="46">
        <f>SUM(G3044:G3045)</f>
        <v>11.464600000000001</v>
      </c>
      <c r="I3044" s="47"/>
      <c r="J3044" s="37">
        <v>0</v>
      </c>
    </row>
    <row r="3045" spans="1:10" ht="38.25" hidden="1" x14ac:dyDescent="0.25">
      <c r="A3045" s="174"/>
      <c r="B3045" s="177"/>
      <c r="C3045" s="43" t="s">
        <v>752</v>
      </c>
      <c r="D3045" s="43" t="s">
        <v>18</v>
      </c>
      <c r="E3045" s="44">
        <v>1</v>
      </c>
      <c r="F3045" s="38" t="s">
        <v>13</v>
      </c>
      <c r="G3045" s="41" t="str">
        <f>IF(ISNUMBER(F3045),E3045*F3045,"")</f>
        <v/>
      </c>
      <c r="H3045" s="42"/>
      <c r="I3045" s="38"/>
      <c r="J3045" s="37">
        <v>0</v>
      </c>
    </row>
    <row r="3046" spans="1:10" ht="15.75" hidden="1" thickBot="1" x14ac:dyDescent="0.3">
      <c r="A3046" s="175"/>
      <c r="B3046" s="178"/>
      <c r="C3046" s="49"/>
      <c r="D3046" s="49"/>
      <c r="E3046" s="50"/>
      <c r="F3046" s="51" t="s">
        <v>13</v>
      </c>
      <c r="G3046" s="52" t="str">
        <f>IF(ISNUMBER(F3046),E3046*F3046,"")</f>
        <v/>
      </c>
      <c r="H3046" s="53"/>
      <c r="I3046" s="38"/>
      <c r="J3046" s="37">
        <v>0</v>
      </c>
    </row>
    <row r="3047" spans="1:10" ht="15.75" hidden="1" thickBot="1" x14ac:dyDescent="0.3">
      <c r="A3047" s="173" t="s">
        <v>753</v>
      </c>
      <c r="B3047" s="176" t="s">
        <v>4264</v>
      </c>
      <c r="C3047" s="31"/>
      <c r="D3047" s="32" t="s">
        <v>18</v>
      </c>
      <c r="E3047" s="33"/>
      <c r="F3047" s="54" t="s">
        <v>13</v>
      </c>
      <c r="G3047" s="34" t="str">
        <f>IF(ISNUMBER(F3047),E3047*F3047,"")</f>
        <v/>
      </c>
      <c r="H3047" s="35"/>
      <c r="I3047" s="36"/>
      <c r="J3047" s="37">
        <v>0</v>
      </c>
    </row>
    <row r="3048" spans="1:10" hidden="1" x14ac:dyDescent="0.25">
      <c r="A3048" s="174"/>
      <c r="B3048" s="177"/>
      <c r="C3048" s="39"/>
      <c r="D3048" s="39"/>
      <c r="E3048" s="40"/>
      <c r="F3048" s="55" t="s">
        <v>13</v>
      </c>
      <c r="G3048" s="41" t="str">
        <f>IF(ISNUMBER(F3048),E3048*F3048,"")</f>
        <v/>
      </c>
      <c r="H3048" s="42"/>
      <c r="I3048" s="38"/>
      <c r="J3048" s="37">
        <v>0</v>
      </c>
    </row>
    <row r="3049" spans="1:10" hidden="1" x14ac:dyDescent="0.25">
      <c r="A3049" s="174"/>
      <c r="B3049" s="177"/>
      <c r="C3049" s="43" t="s">
        <v>10831</v>
      </c>
      <c r="D3049" s="43" t="s">
        <v>2800</v>
      </c>
      <c r="E3049" s="44">
        <v>0.4</v>
      </c>
      <c r="F3049" s="41">
        <v>28.6615</v>
      </c>
      <c r="G3049" s="41">
        <f>IF(ISNUMBER(F3049),E3049*F3049,"")</f>
        <v>11.464600000000001</v>
      </c>
      <c r="H3049" s="46">
        <f>SUM(G3049:G3050)</f>
        <v>11.464600000000001</v>
      </c>
      <c r="I3049" s="47"/>
      <c r="J3049" s="37">
        <v>0</v>
      </c>
    </row>
    <row r="3050" spans="1:10" ht="38.25" hidden="1" x14ac:dyDescent="0.25">
      <c r="A3050" s="174"/>
      <c r="B3050" s="177"/>
      <c r="C3050" s="43" t="s">
        <v>754</v>
      </c>
      <c r="D3050" s="43" t="s">
        <v>18</v>
      </c>
      <c r="E3050" s="44">
        <v>1</v>
      </c>
      <c r="F3050" s="38" t="s">
        <v>13</v>
      </c>
      <c r="G3050" s="41" t="str">
        <f>IF(ISNUMBER(F3050),E3050*F3050,"")</f>
        <v/>
      </c>
      <c r="H3050" s="42"/>
      <c r="I3050" s="38"/>
      <c r="J3050" s="37">
        <v>0</v>
      </c>
    </row>
    <row r="3051" spans="1:10" ht="15.75" hidden="1" thickBot="1" x14ac:dyDescent="0.3">
      <c r="A3051" s="175"/>
      <c r="B3051" s="178"/>
      <c r="C3051" s="49"/>
      <c r="D3051" s="49"/>
      <c r="E3051" s="50"/>
      <c r="F3051" s="51" t="s">
        <v>13</v>
      </c>
      <c r="G3051" s="52" t="str">
        <f>IF(ISNUMBER(F3051),E3051*F3051,"")</f>
        <v/>
      </c>
      <c r="H3051" s="53"/>
      <c r="I3051" s="38"/>
      <c r="J3051" s="37">
        <v>0</v>
      </c>
    </row>
    <row r="3052" spans="1:10" ht="15.75" hidden="1" thickBot="1" x14ac:dyDescent="0.3">
      <c r="A3052" s="173" t="s">
        <v>755</v>
      </c>
      <c r="B3052" s="176" t="s">
        <v>4265</v>
      </c>
      <c r="C3052" s="31"/>
      <c r="D3052" s="32" t="s">
        <v>18</v>
      </c>
      <c r="E3052" s="33"/>
      <c r="F3052" s="54" t="s">
        <v>13</v>
      </c>
      <c r="G3052" s="34" t="str">
        <f>IF(ISNUMBER(F3052),E3052*F3052,"")</f>
        <v/>
      </c>
      <c r="H3052" s="35"/>
      <c r="I3052" s="36"/>
      <c r="J3052" s="37">
        <v>0</v>
      </c>
    </row>
    <row r="3053" spans="1:10" hidden="1" x14ac:dyDescent="0.25">
      <c r="A3053" s="174"/>
      <c r="B3053" s="177"/>
      <c r="C3053" s="39"/>
      <c r="D3053" s="39"/>
      <c r="E3053" s="40"/>
      <c r="F3053" s="55" t="s">
        <v>13</v>
      </c>
      <c r="G3053" s="41" t="str">
        <f>IF(ISNUMBER(F3053),E3053*F3053,"")</f>
        <v/>
      </c>
      <c r="H3053" s="42"/>
      <c r="I3053" s="38"/>
      <c r="J3053" s="37">
        <v>0</v>
      </c>
    </row>
    <row r="3054" spans="1:10" hidden="1" x14ac:dyDescent="0.25">
      <c r="A3054" s="174"/>
      <c r="B3054" s="177"/>
      <c r="C3054" s="43" t="s">
        <v>10831</v>
      </c>
      <c r="D3054" s="43" t="s">
        <v>2800</v>
      </c>
      <c r="E3054" s="44">
        <v>0.3</v>
      </c>
      <c r="F3054" s="41">
        <v>28.6615</v>
      </c>
      <c r="G3054" s="41">
        <f>IF(ISNUMBER(F3054),E3054*F3054,"")</f>
        <v>8.5984499999999997</v>
      </c>
      <c r="H3054" s="46">
        <f>SUM(G3054:G3055)</f>
        <v>8.5984499999999997</v>
      </c>
      <c r="I3054" s="47"/>
      <c r="J3054" s="37">
        <v>0</v>
      </c>
    </row>
    <row r="3055" spans="1:10" ht="25.5" hidden="1" x14ac:dyDescent="0.25">
      <c r="A3055" s="174"/>
      <c r="B3055" s="177"/>
      <c r="C3055" s="43" t="s">
        <v>756</v>
      </c>
      <c r="D3055" s="43" t="s">
        <v>18</v>
      </c>
      <c r="E3055" s="44">
        <v>1</v>
      </c>
      <c r="F3055" s="38" t="s">
        <v>13</v>
      </c>
      <c r="G3055" s="41" t="str">
        <f>IF(ISNUMBER(F3055),E3055*F3055,"")</f>
        <v/>
      </c>
      <c r="H3055" s="42"/>
      <c r="I3055" s="38"/>
      <c r="J3055" s="37">
        <v>0</v>
      </c>
    </row>
    <row r="3056" spans="1:10" ht="15.75" hidden="1" thickBot="1" x14ac:dyDescent="0.3">
      <c r="A3056" s="175"/>
      <c r="B3056" s="178"/>
      <c r="C3056" s="49"/>
      <c r="D3056" s="49"/>
      <c r="E3056" s="50"/>
      <c r="F3056" s="51" t="s">
        <v>13</v>
      </c>
      <c r="G3056" s="52" t="str">
        <f>IF(ISNUMBER(F3056),E3056*F3056,"")</f>
        <v/>
      </c>
      <c r="H3056" s="53"/>
      <c r="I3056" s="38"/>
      <c r="J3056" s="37">
        <v>0</v>
      </c>
    </row>
    <row r="3057" spans="1:10" ht="15.75" hidden="1" thickBot="1" x14ac:dyDescent="0.3">
      <c r="A3057" s="173" t="s">
        <v>757</v>
      </c>
      <c r="B3057" s="176" t="s">
        <v>4266</v>
      </c>
      <c r="C3057" s="31"/>
      <c r="D3057" s="32" t="s">
        <v>18</v>
      </c>
      <c r="E3057" s="33"/>
      <c r="F3057" s="54" t="s">
        <v>13</v>
      </c>
      <c r="G3057" s="34" t="str">
        <f>IF(ISNUMBER(F3057),E3057*F3057,"")</f>
        <v/>
      </c>
      <c r="H3057" s="35"/>
      <c r="I3057" s="36"/>
      <c r="J3057" s="37">
        <v>0</v>
      </c>
    </row>
    <row r="3058" spans="1:10" hidden="1" x14ac:dyDescent="0.25">
      <c r="A3058" s="174"/>
      <c r="B3058" s="177"/>
      <c r="C3058" s="39"/>
      <c r="D3058" s="39"/>
      <c r="E3058" s="40"/>
      <c r="F3058" s="55" t="s">
        <v>13</v>
      </c>
      <c r="G3058" s="41" t="str">
        <f>IF(ISNUMBER(F3058),E3058*F3058,"")</f>
        <v/>
      </c>
      <c r="H3058" s="42"/>
      <c r="I3058" s="38"/>
      <c r="J3058" s="37">
        <v>0</v>
      </c>
    </row>
    <row r="3059" spans="1:10" hidden="1" x14ac:dyDescent="0.25">
      <c r="A3059" s="174"/>
      <c r="B3059" s="177"/>
      <c r="C3059" s="43" t="s">
        <v>10831</v>
      </c>
      <c r="D3059" s="43" t="s">
        <v>2800</v>
      </c>
      <c r="E3059" s="44">
        <v>0.2</v>
      </c>
      <c r="F3059" s="41">
        <v>28.6615</v>
      </c>
      <c r="G3059" s="41">
        <f>IF(ISNUMBER(F3059),E3059*F3059,"")</f>
        <v>5.7323000000000004</v>
      </c>
      <c r="H3059" s="46">
        <f>SUM(G3059:G3060)</f>
        <v>5.7323000000000004</v>
      </c>
      <c r="I3059" s="47"/>
      <c r="J3059" s="37">
        <v>0</v>
      </c>
    </row>
    <row r="3060" spans="1:10" ht="25.5" hidden="1" x14ac:dyDescent="0.25">
      <c r="A3060" s="174"/>
      <c r="B3060" s="177"/>
      <c r="C3060" s="43" t="s">
        <v>758</v>
      </c>
      <c r="D3060" s="43" t="s">
        <v>18</v>
      </c>
      <c r="E3060" s="44">
        <v>1</v>
      </c>
      <c r="F3060" s="38" t="s">
        <v>13</v>
      </c>
      <c r="G3060" s="41" t="str">
        <f>IF(ISNUMBER(F3060),E3060*F3060,"")</f>
        <v/>
      </c>
      <c r="H3060" s="42"/>
      <c r="I3060" s="38"/>
      <c r="J3060" s="37">
        <v>0</v>
      </c>
    </row>
    <row r="3061" spans="1:10" ht="15.75" hidden="1" thickBot="1" x14ac:dyDescent="0.3">
      <c r="A3061" s="175"/>
      <c r="B3061" s="178"/>
      <c r="C3061" s="49"/>
      <c r="D3061" s="49"/>
      <c r="E3061" s="50"/>
      <c r="F3061" s="51" t="s">
        <v>13</v>
      </c>
      <c r="G3061" s="52" t="str">
        <f>IF(ISNUMBER(F3061),E3061*F3061,"")</f>
        <v/>
      </c>
      <c r="H3061" s="53"/>
      <c r="I3061" s="38"/>
      <c r="J3061" s="37">
        <v>0</v>
      </c>
    </row>
    <row r="3062" spans="1:10" ht="15.75" hidden="1" thickBot="1" x14ac:dyDescent="0.3">
      <c r="A3062" s="173" t="s">
        <v>759</v>
      </c>
      <c r="B3062" s="176" t="s">
        <v>4267</v>
      </c>
      <c r="C3062" s="31"/>
      <c r="D3062" s="32" t="s">
        <v>18</v>
      </c>
      <c r="E3062" s="33"/>
      <c r="F3062" s="54" t="s">
        <v>13</v>
      </c>
      <c r="G3062" s="34" t="str">
        <f>IF(ISNUMBER(F3062),E3062*F3062,"")</f>
        <v/>
      </c>
      <c r="H3062" s="35"/>
      <c r="I3062" s="36"/>
      <c r="J3062" s="37">
        <v>0</v>
      </c>
    </row>
    <row r="3063" spans="1:10" hidden="1" x14ac:dyDescent="0.25">
      <c r="A3063" s="174"/>
      <c r="B3063" s="177"/>
      <c r="C3063" s="39"/>
      <c r="D3063" s="39"/>
      <c r="E3063" s="40"/>
      <c r="F3063" s="55" t="s">
        <v>13</v>
      </c>
      <c r="G3063" s="41" t="str">
        <f>IF(ISNUMBER(F3063),E3063*F3063,"")</f>
        <v/>
      </c>
      <c r="H3063" s="42"/>
      <c r="I3063" s="38"/>
      <c r="J3063" s="37">
        <v>0</v>
      </c>
    </row>
    <row r="3064" spans="1:10" hidden="1" x14ac:dyDescent="0.25">
      <c r="A3064" s="174"/>
      <c r="B3064" s="177"/>
      <c r="C3064" s="43" t="s">
        <v>10831</v>
      </c>
      <c r="D3064" s="43" t="s">
        <v>2800</v>
      </c>
      <c r="E3064" s="44">
        <v>0.2</v>
      </c>
      <c r="F3064" s="41">
        <v>28.6615</v>
      </c>
      <c r="G3064" s="41">
        <f>IF(ISNUMBER(F3064),E3064*F3064,"")</f>
        <v>5.7323000000000004</v>
      </c>
      <c r="H3064" s="46">
        <f>SUM(G3064:G3065)</f>
        <v>5.7323000000000004</v>
      </c>
      <c r="I3064" s="47"/>
      <c r="J3064" s="37">
        <v>0</v>
      </c>
    </row>
    <row r="3065" spans="1:10" ht="25.5" hidden="1" x14ac:dyDescent="0.25">
      <c r="A3065" s="174"/>
      <c r="B3065" s="177"/>
      <c r="C3065" s="43" t="s">
        <v>760</v>
      </c>
      <c r="D3065" s="62" t="s">
        <v>18</v>
      </c>
      <c r="E3065" s="44">
        <v>1</v>
      </c>
      <c r="F3065" s="38" t="s">
        <v>13</v>
      </c>
      <c r="G3065" s="41" t="str">
        <f>IF(ISNUMBER(F3065),E3065*F3065,"")</f>
        <v/>
      </c>
      <c r="H3065" s="42"/>
      <c r="I3065" s="38"/>
      <c r="J3065" s="37">
        <v>0</v>
      </c>
    </row>
    <row r="3066" spans="1:10" ht="15.75" hidden="1" thickBot="1" x14ac:dyDescent="0.3">
      <c r="A3066" s="175"/>
      <c r="B3066" s="178"/>
      <c r="C3066" s="49"/>
      <c r="D3066" s="49"/>
      <c r="E3066" s="50"/>
      <c r="F3066" s="51" t="s">
        <v>13</v>
      </c>
      <c r="G3066" s="52" t="str">
        <f>IF(ISNUMBER(F3066),E3066*F3066,"")</f>
        <v/>
      </c>
      <c r="H3066" s="53"/>
      <c r="I3066" s="38"/>
      <c r="J3066" s="37">
        <v>0</v>
      </c>
    </row>
    <row r="3067" spans="1:10" ht="15.75" hidden="1" thickBot="1" x14ac:dyDescent="0.3">
      <c r="A3067" s="173" t="s">
        <v>761</v>
      </c>
      <c r="B3067" s="176" t="s">
        <v>4268</v>
      </c>
      <c r="C3067" s="31"/>
      <c r="D3067" s="32" t="s">
        <v>68</v>
      </c>
      <c r="E3067" s="33"/>
      <c r="F3067" s="54" t="s">
        <v>13</v>
      </c>
      <c r="G3067" s="34" t="str">
        <f>IF(ISNUMBER(F3067),E3067*F3067,"")</f>
        <v/>
      </c>
      <c r="H3067" s="35"/>
      <c r="I3067" s="36"/>
      <c r="J3067" s="37">
        <v>0</v>
      </c>
    </row>
    <row r="3068" spans="1:10" hidden="1" x14ac:dyDescent="0.25">
      <c r="A3068" s="174"/>
      <c r="B3068" s="177"/>
      <c r="C3068" s="39"/>
      <c r="D3068" s="39"/>
      <c r="E3068" s="40"/>
      <c r="F3068" s="55" t="s">
        <v>13</v>
      </c>
      <c r="G3068" s="41" t="str">
        <f>IF(ISNUMBER(F3068),E3068*F3068,"")</f>
        <v/>
      </c>
      <c r="H3068" s="42"/>
      <c r="I3068" s="38"/>
      <c r="J3068" s="37">
        <v>0</v>
      </c>
    </row>
    <row r="3069" spans="1:10" ht="38.25" hidden="1" x14ac:dyDescent="0.25">
      <c r="A3069" s="174"/>
      <c r="B3069" s="177"/>
      <c r="C3069" s="43" t="s">
        <v>10931</v>
      </c>
      <c r="D3069" s="43" t="s">
        <v>83</v>
      </c>
      <c r="E3069" s="44">
        <v>2.1960000000000002</v>
      </c>
      <c r="F3069" s="41">
        <v>0.38949999999999996</v>
      </c>
      <c r="G3069" s="41">
        <f>IF(ISNUMBER(F3069),E3069*F3069,"")</f>
        <v>0.85534199999999994</v>
      </c>
      <c r="H3069" s="46">
        <f>SUM(G3069:G3075)</f>
        <v>899.26612399999988</v>
      </c>
      <c r="I3069" s="47"/>
      <c r="J3069" s="37">
        <v>0</v>
      </c>
    </row>
    <row r="3070" spans="1:10" ht="25.5" hidden="1" x14ac:dyDescent="0.25">
      <c r="A3070" s="174"/>
      <c r="B3070" s="177"/>
      <c r="C3070" s="43" t="s">
        <v>11033</v>
      </c>
      <c r="D3070" s="43" t="s">
        <v>1302</v>
      </c>
      <c r="E3070" s="44">
        <v>3.4159999999999999</v>
      </c>
      <c r="F3070" s="41">
        <v>13.014999999999999</v>
      </c>
      <c r="G3070" s="41">
        <f>IF(ISNUMBER(F3070),E3070*F3070,"")</f>
        <v>44.459239999999994</v>
      </c>
      <c r="H3070" s="42"/>
      <c r="I3070" s="38"/>
      <c r="J3070" s="37">
        <v>0</v>
      </c>
    </row>
    <row r="3071" spans="1:10" hidden="1" x14ac:dyDescent="0.25">
      <c r="A3071" s="174"/>
      <c r="B3071" s="177"/>
      <c r="C3071" s="43" t="s">
        <v>11030</v>
      </c>
      <c r="D3071" s="43" t="s">
        <v>1044</v>
      </c>
      <c r="E3071" s="44">
        <v>0.96399999999999997</v>
      </c>
      <c r="F3071" s="38">
        <v>41.001999999999995</v>
      </c>
      <c r="G3071" s="41">
        <f>IF(ISNUMBER(F3071),E3071*F3071,"")</f>
        <v>39.525927999999993</v>
      </c>
      <c r="H3071" s="42"/>
      <c r="I3071" s="38"/>
      <c r="J3071" s="37">
        <v>0</v>
      </c>
    </row>
    <row r="3072" spans="1:10" ht="25.5" hidden="1" x14ac:dyDescent="0.25">
      <c r="A3072" s="174"/>
      <c r="B3072" s="177"/>
      <c r="C3072" s="43" t="s">
        <v>11034</v>
      </c>
      <c r="D3072" s="43" t="s">
        <v>162</v>
      </c>
      <c r="E3072" s="44">
        <v>1</v>
      </c>
      <c r="F3072" s="38">
        <v>720.8694999999999</v>
      </c>
      <c r="G3072" s="41">
        <f>IF(ISNUMBER(F3072),E3072*F3072,"")</f>
        <v>720.8694999999999</v>
      </c>
      <c r="H3072" s="42"/>
      <c r="I3072" s="38"/>
      <c r="J3072" s="37">
        <v>0</v>
      </c>
    </row>
    <row r="3073" spans="1:10" ht="25.5" hidden="1" x14ac:dyDescent="0.25">
      <c r="A3073" s="174"/>
      <c r="B3073" s="177"/>
      <c r="C3073" s="43" t="s">
        <v>10857</v>
      </c>
      <c r="D3073" s="43" t="s">
        <v>1302</v>
      </c>
      <c r="E3073" s="44">
        <v>2.992</v>
      </c>
      <c r="F3073" s="38">
        <v>2.4889999999999999</v>
      </c>
      <c r="G3073" s="41">
        <f>IF(ISNUMBER(F3073),E3073*F3073,"")</f>
        <v>7.4470879999999999</v>
      </c>
      <c r="H3073" s="42"/>
      <c r="I3073" s="38"/>
      <c r="J3073" s="37">
        <v>0</v>
      </c>
    </row>
    <row r="3074" spans="1:10" hidden="1" x14ac:dyDescent="0.25">
      <c r="A3074" s="174"/>
      <c r="B3074" s="177"/>
      <c r="C3074" s="43" t="s">
        <v>10614</v>
      </c>
      <c r="D3074" s="43" t="s">
        <v>2800</v>
      </c>
      <c r="E3074" s="44">
        <v>1.619</v>
      </c>
      <c r="F3074" s="38">
        <v>23.693000000000001</v>
      </c>
      <c r="G3074" s="41">
        <f>IF(ISNUMBER(F3074),E3074*F3074,"")</f>
        <v>38.358967</v>
      </c>
      <c r="H3074" s="42"/>
      <c r="I3074" s="38"/>
      <c r="J3074" s="37">
        <v>0</v>
      </c>
    </row>
    <row r="3075" spans="1:10" hidden="1" x14ac:dyDescent="0.25">
      <c r="A3075" s="174"/>
      <c r="B3075" s="177"/>
      <c r="C3075" s="43" t="s">
        <v>10831</v>
      </c>
      <c r="D3075" s="43" t="s">
        <v>2800</v>
      </c>
      <c r="E3075" s="44">
        <v>1.6659999999999999</v>
      </c>
      <c r="F3075" s="38">
        <v>28.6615</v>
      </c>
      <c r="G3075" s="41">
        <f>IF(ISNUMBER(F3075),E3075*F3075,"")</f>
        <v>47.750059</v>
      </c>
      <c r="H3075" s="42"/>
      <c r="I3075" s="38"/>
      <c r="J3075" s="37">
        <v>0</v>
      </c>
    </row>
    <row r="3076" spans="1:10" ht="15.75" hidden="1" thickBot="1" x14ac:dyDescent="0.3">
      <c r="A3076" s="175"/>
      <c r="B3076" s="178"/>
      <c r="C3076" s="49"/>
      <c r="D3076" s="49"/>
      <c r="E3076" s="50"/>
      <c r="F3076" s="51" t="s">
        <v>13</v>
      </c>
      <c r="G3076" s="52" t="str">
        <f>IF(ISNUMBER(F3076),E3076*F3076,"")</f>
        <v/>
      </c>
      <c r="H3076" s="53"/>
      <c r="I3076" s="38"/>
      <c r="J3076" s="37">
        <v>0</v>
      </c>
    </row>
    <row r="3077" spans="1:10" ht="15.75" hidden="1" thickBot="1" x14ac:dyDescent="0.3">
      <c r="A3077" s="173" t="s">
        <v>762</v>
      </c>
      <c r="B3077" s="176" t="s">
        <v>4271</v>
      </c>
      <c r="C3077" s="31"/>
      <c r="D3077" s="32" t="s">
        <v>18</v>
      </c>
      <c r="E3077" s="33"/>
      <c r="F3077" s="54" t="s">
        <v>13</v>
      </c>
      <c r="G3077" s="34" t="str">
        <f>IF(ISNUMBER(F3077),E3077*F3077,"")</f>
        <v/>
      </c>
      <c r="H3077" s="35"/>
      <c r="I3077" s="36"/>
      <c r="J3077" s="37">
        <v>0</v>
      </c>
    </row>
    <row r="3078" spans="1:10" hidden="1" x14ac:dyDescent="0.25">
      <c r="A3078" s="174"/>
      <c r="B3078" s="177"/>
      <c r="C3078" s="39"/>
      <c r="D3078" s="39"/>
      <c r="E3078" s="40"/>
      <c r="F3078" s="55" t="s">
        <v>13</v>
      </c>
      <c r="G3078" s="41" t="str">
        <f>IF(ISNUMBER(F3078),E3078*F3078,"")</f>
        <v/>
      </c>
      <c r="H3078" s="42"/>
      <c r="I3078" s="38"/>
      <c r="J3078" s="37">
        <v>0</v>
      </c>
    </row>
    <row r="3079" spans="1:10" hidden="1" x14ac:dyDescent="0.25">
      <c r="A3079" s="174"/>
      <c r="B3079" s="177"/>
      <c r="C3079" s="43" t="s">
        <v>10831</v>
      </c>
      <c r="D3079" s="43" t="s">
        <v>2800</v>
      </c>
      <c r="E3079" s="44">
        <v>0.2</v>
      </c>
      <c r="F3079" s="41">
        <v>28.6615</v>
      </c>
      <c r="G3079" s="41">
        <f>IF(ISNUMBER(F3079),E3079*F3079,"")</f>
        <v>5.7323000000000004</v>
      </c>
      <c r="H3079" s="46">
        <f>SUM(G3079:G3080)</f>
        <v>5.7323000000000004</v>
      </c>
      <c r="I3079" s="47"/>
      <c r="J3079" s="37">
        <v>0</v>
      </c>
    </row>
    <row r="3080" spans="1:10" ht="25.5" hidden="1" x14ac:dyDescent="0.25">
      <c r="A3080" s="174"/>
      <c r="B3080" s="177"/>
      <c r="C3080" s="43" t="s">
        <v>763</v>
      </c>
      <c r="D3080" s="43" t="s">
        <v>18</v>
      </c>
      <c r="E3080" s="44">
        <v>1</v>
      </c>
      <c r="F3080" s="38" t="s">
        <v>13</v>
      </c>
      <c r="G3080" s="41" t="str">
        <f>IF(ISNUMBER(F3080),E3080*F3080,"")</f>
        <v/>
      </c>
      <c r="H3080" s="42"/>
      <c r="I3080" s="38"/>
      <c r="J3080" s="37">
        <v>0</v>
      </c>
    </row>
    <row r="3081" spans="1:10" ht="15.75" hidden="1" thickBot="1" x14ac:dyDescent="0.3">
      <c r="A3081" s="175"/>
      <c r="B3081" s="178"/>
      <c r="C3081" s="49"/>
      <c r="D3081" s="49"/>
      <c r="E3081" s="50"/>
      <c r="F3081" s="51" t="s">
        <v>13</v>
      </c>
      <c r="G3081" s="52" t="str">
        <f>IF(ISNUMBER(F3081),E3081*F3081,"")</f>
        <v/>
      </c>
      <c r="H3081" s="53"/>
      <c r="I3081" s="38"/>
      <c r="J3081" s="37">
        <v>0</v>
      </c>
    </row>
    <row r="3082" spans="1:10" ht="15.75" hidden="1" thickBot="1" x14ac:dyDescent="0.3">
      <c r="A3082" s="173" t="s">
        <v>764</v>
      </c>
      <c r="B3082" s="176" t="s">
        <v>4272</v>
      </c>
      <c r="C3082" s="31"/>
      <c r="D3082" s="32" t="s">
        <v>18</v>
      </c>
      <c r="E3082" s="33"/>
      <c r="F3082" s="54" t="s">
        <v>13</v>
      </c>
      <c r="G3082" s="34" t="str">
        <f>IF(ISNUMBER(F3082),E3082*F3082,"")</f>
        <v/>
      </c>
      <c r="H3082" s="35"/>
      <c r="I3082" s="36"/>
      <c r="J3082" s="37">
        <v>0</v>
      </c>
    </row>
    <row r="3083" spans="1:10" hidden="1" x14ac:dyDescent="0.25">
      <c r="A3083" s="174"/>
      <c r="B3083" s="177"/>
      <c r="C3083" s="39"/>
      <c r="D3083" s="39"/>
      <c r="E3083" s="40"/>
      <c r="F3083" s="55" t="s">
        <v>13</v>
      </c>
      <c r="G3083" s="41" t="str">
        <f>IF(ISNUMBER(F3083),E3083*F3083,"")</f>
        <v/>
      </c>
      <c r="H3083" s="42"/>
      <c r="I3083" s="38"/>
      <c r="J3083" s="37">
        <v>0</v>
      </c>
    </row>
    <row r="3084" spans="1:10" hidden="1" x14ac:dyDescent="0.25">
      <c r="A3084" s="174"/>
      <c r="B3084" s="177"/>
      <c r="C3084" s="43" t="s">
        <v>10831</v>
      </c>
      <c r="D3084" s="43" t="s">
        <v>2800</v>
      </c>
      <c r="E3084" s="44">
        <v>0.2</v>
      </c>
      <c r="F3084" s="41">
        <v>28.6615</v>
      </c>
      <c r="G3084" s="41">
        <f>IF(ISNUMBER(F3084),E3084*F3084,"")</f>
        <v>5.7323000000000004</v>
      </c>
      <c r="H3084" s="46">
        <f>SUM(G3084:G3085)</f>
        <v>5.7323000000000004</v>
      </c>
      <c r="I3084" s="47"/>
      <c r="J3084" s="37">
        <v>0</v>
      </c>
    </row>
    <row r="3085" spans="1:10" ht="38.25" hidden="1" x14ac:dyDescent="0.25">
      <c r="A3085" s="174"/>
      <c r="B3085" s="177"/>
      <c r="C3085" s="43" t="s">
        <v>765</v>
      </c>
      <c r="D3085" s="43" t="s">
        <v>18</v>
      </c>
      <c r="E3085" s="44">
        <v>1</v>
      </c>
      <c r="F3085" s="38" t="s">
        <v>13</v>
      </c>
      <c r="G3085" s="41" t="str">
        <f>IF(ISNUMBER(F3085),E3085*F3085,"")</f>
        <v/>
      </c>
      <c r="H3085" s="42"/>
      <c r="I3085" s="38"/>
      <c r="J3085" s="37">
        <v>0</v>
      </c>
    </row>
    <row r="3086" spans="1:10" ht="15.75" hidden="1" thickBot="1" x14ac:dyDescent="0.3">
      <c r="A3086" s="175"/>
      <c r="B3086" s="178"/>
      <c r="C3086" s="49"/>
      <c r="D3086" s="49"/>
      <c r="E3086" s="50"/>
      <c r="F3086" s="51" t="s">
        <v>13</v>
      </c>
      <c r="G3086" s="52" t="str">
        <f>IF(ISNUMBER(F3086),E3086*F3086,"")</f>
        <v/>
      </c>
      <c r="H3086" s="53"/>
      <c r="I3086" s="38"/>
      <c r="J3086" s="37">
        <v>0</v>
      </c>
    </row>
    <row r="3087" spans="1:10" ht="15.75" hidden="1" thickBot="1" x14ac:dyDescent="0.3">
      <c r="A3087" s="173" t="s">
        <v>766</v>
      </c>
      <c r="B3087" s="176" t="s">
        <v>4273</v>
      </c>
      <c r="C3087" s="31"/>
      <c r="D3087" s="32" t="s">
        <v>18</v>
      </c>
      <c r="E3087" s="33"/>
      <c r="F3087" s="54" t="s">
        <v>13</v>
      </c>
      <c r="G3087" s="34" t="str">
        <f>IF(ISNUMBER(F3087),E3087*F3087,"")</f>
        <v/>
      </c>
      <c r="H3087" s="35"/>
      <c r="I3087" s="36"/>
      <c r="J3087" s="37">
        <v>0</v>
      </c>
    </row>
    <row r="3088" spans="1:10" hidden="1" x14ac:dyDescent="0.25">
      <c r="A3088" s="174"/>
      <c r="B3088" s="177"/>
      <c r="C3088" s="39"/>
      <c r="D3088" s="39"/>
      <c r="E3088" s="40"/>
      <c r="F3088" s="55" t="s">
        <v>13</v>
      </c>
      <c r="G3088" s="41" t="str">
        <f>IF(ISNUMBER(F3088),E3088*F3088,"")</f>
        <v/>
      </c>
      <c r="H3088" s="42"/>
      <c r="I3088" s="38"/>
      <c r="J3088" s="37">
        <v>0</v>
      </c>
    </row>
    <row r="3089" spans="1:10" hidden="1" x14ac:dyDescent="0.25">
      <c r="A3089" s="174"/>
      <c r="B3089" s="177"/>
      <c r="C3089" s="43" t="s">
        <v>10831</v>
      </c>
      <c r="D3089" s="43" t="s">
        <v>2800</v>
      </c>
      <c r="E3089" s="44">
        <v>0.2</v>
      </c>
      <c r="F3089" s="41">
        <v>28.6615</v>
      </c>
      <c r="G3089" s="41">
        <f>IF(ISNUMBER(F3089),E3089*F3089,"")</f>
        <v>5.7323000000000004</v>
      </c>
      <c r="H3089" s="46">
        <f>SUM(G3089:G3090)</f>
        <v>5.7323000000000004</v>
      </c>
      <c r="I3089" s="47"/>
      <c r="J3089" s="37">
        <v>0</v>
      </c>
    </row>
    <row r="3090" spans="1:10" ht="25.5" hidden="1" x14ac:dyDescent="0.25">
      <c r="A3090" s="174"/>
      <c r="B3090" s="177"/>
      <c r="C3090" s="43" t="s">
        <v>767</v>
      </c>
      <c r="D3090" s="43" t="s">
        <v>18</v>
      </c>
      <c r="E3090" s="44">
        <v>1</v>
      </c>
      <c r="F3090" s="38" t="s">
        <v>13</v>
      </c>
      <c r="G3090" s="41" t="str">
        <f>IF(ISNUMBER(F3090),E3090*F3090,"")</f>
        <v/>
      </c>
      <c r="H3090" s="42"/>
      <c r="I3090" s="38"/>
      <c r="J3090" s="37">
        <v>0</v>
      </c>
    </row>
    <row r="3091" spans="1:10" ht="15.75" hidden="1" thickBot="1" x14ac:dyDescent="0.3">
      <c r="A3091" s="175"/>
      <c r="B3091" s="178"/>
      <c r="C3091" s="49"/>
      <c r="D3091" s="49"/>
      <c r="E3091" s="50"/>
      <c r="F3091" s="51" t="s">
        <v>13</v>
      </c>
      <c r="G3091" s="52" t="str">
        <f>IF(ISNUMBER(F3091),E3091*F3091,"")</f>
        <v/>
      </c>
      <c r="H3091" s="53"/>
      <c r="I3091" s="38"/>
      <c r="J3091" s="37">
        <v>0</v>
      </c>
    </row>
    <row r="3092" spans="1:10" ht="15.75" hidden="1" thickBot="1" x14ac:dyDescent="0.3">
      <c r="A3092" s="173" t="s">
        <v>768</v>
      </c>
      <c r="B3092" s="176" t="s">
        <v>4274</v>
      </c>
      <c r="C3092" s="31"/>
      <c r="D3092" s="32" t="s">
        <v>18</v>
      </c>
      <c r="E3092" s="33"/>
      <c r="F3092" s="54" t="s">
        <v>13</v>
      </c>
      <c r="G3092" s="34" t="str">
        <f>IF(ISNUMBER(F3092),E3092*F3092,"")</f>
        <v/>
      </c>
      <c r="H3092" s="35"/>
      <c r="I3092" s="36"/>
      <c r="J3092" s="37">
        <v>0</v>
      </c>
    </row>
    <row r="3093" spans="1:10" hidden="1" x14ac:dyDescent="0.25">
      <c r="A3093" s="174"/>
      <c r="B3093" s="177"/>
      <c r="C3093" s="39"/>
      <c r="D3093" s="39"/>
      <c r="E3093" s="40"/>
      <c r="F3093" s="55" t="s">
        <v>13</v>
      </c>
      <c r="G3093" s="41" t="str">
        <f>IF(ISNUMBER(F3093),E3093*F3093,"")</f>
        <v/>
      </c>
      <c r="H3093" s="42"/>
      <c r="I3093" s="38"/>
      <c r="J3093" s="37">
        <v>0</v>
      </c>
    </row>
    <row r="3094" spans="1:10" hidden="1" x14ac:dyDescent="0.25">
      <c r="A3094" s="174"/>
      <c r="B3094" s="177"/>
      <c r="C3094" s="43" t="s">
        <v>10831</v>
      </c>
      <c r="D3094" s="43" t="s">
        <v>2800</v>
      </c>
      <c r="E3094" s="44">
        <v>1.5</v>
      </c>
      <c r="F3094" s="41">
        <v>28.6615</v>
      </c>
      <c r="G3094" s="41">
        <f>IF(ISNUMBER(F3094),E3094*F3094,"")</f>
        <v>42.992249999999999</v>
      </c>
      <c r="H3094" s="46">
        <f>SUM(G3094:G3095)</f>
        <v>42.992249999999999</v>
      </c>
      <c r="I3094" s="47"/>
      <c r="J3094" s="37">
        <v>0</v>
      </c>
    </row>
    <row r="3095" spans="1:10" ht="51" hidden="1" x14ac:dyDescent="0.25">
      <c r="A3095" s="174"/>
      <c r="B3095" s="177"/>
      <c r="C3095" s="87" t="s">
        <v>769</v>
      </c>
      <c r="D3095" s="43" t="s">
        <v>18</v>
      </c>
      <c r="E3095" s="44">
        <v>1</v>
      </c>
      <c r="F3095" s="38" t="s">
        <v>13</v>
      </c>
      <c r="G3095" s="41" t="str">
        <f>IF(ISNUMBER(F3095),E3095*F3095,"")</f>
        <v/>
      </c>
      <c r="H3095" s="42"/>
      <c r="I3095" s="38"/>
      <c r="J3095" s="37">
        <v>0</v>
      </c>
    </row>
    <row r="3096" spans="1:10" ht="15.75" hidden="1" thickBot="1" x14ac:dyDescent="0.3">
      <c r="A3096" s="175"/>
      <c r="B3096" s="178"/>
      <c r="C3096" s="49"/>
      <c r="D3096" s="49"/>
      <c r="E3096" s="50"/>
      <c r="F3096" s="51" t="s">
        <v>13</v>
      </c>
      <c r="G3096" s="52" t="str">
        <f>IF(ISNUMBER(F3096),E3096*F3096,"")</f>
        <v/>
      </c>
      <c r="H3096" s="53"/>
      <c r="I3096" s="38"/>
      <c r="J3096" s="37">
        <v>0</v>
      </c>
    </row>
    <row r="3097" spans="1:10" ht="15.75" hidden="1" thickBot="1" x14ac:dyDescent="0.3">
      <c r="A3097" s="173" t="s">
        <v>770</v>
      </c>
      <c r="B3097" s="176" t="s">
        <v>4275</v>
      </c>
      <c r="C3097" s="31"/>
      <c r="D3097" s="32" t="s">
        <v>18</v>
      </c>
      <c r="E3097" s="33"/>
      <c r="F3097" s="54" t="s">
        <v>13</v>
      </c>
      <c r="G3097" s="34" t="str">
        <f>IF(ISNUMBER(F3097),E3097*F3097,"")</f>
        <v/>
      </c>
      <c r="H3097" s="35"/>
      <c r="I3097" s="36"/>
      <c r="J3097" s="37">
        <v>0</v>
      </c>
    </row>
    <row r="3098" spans="1:10" hidden="1" x14ac:dyDescent="0.25">
      <c r="A3098" s="174"/>
      <c r="B3098" s="177"/>
      <c r="C3098" s="39"/>
      <c r="D3098" s="39"/>
      <c r="E3098" s="40"/>
      <c r="F3098" s="55" t="s">
        <v>13</v>
      </c>
      <c r="G3098" s="41" t="str">
        <f>IF(ISNUMBER(F3098),E3098*F3098,"")</f>
        <v/>
      </c>
      <c r="H3098" s="42"/>
      <c r="I3098" s="38"/>
      <c r="J3098" s="37">
        <v>0</v>
      </c>
    </row>
    <row r="3099" spans="1:10" hidden="1" x14ac:dyDescent="0.25">
      <c r="A3099" s="174"/>
      <c r="B3099" s="177"/>
      <c r="C3099" s="43" t="s">
        <v>10831</v>
      </c>
      <c r="D3099" s="43" t="s">
        <v>2800</v>
      </c>
      <c r="E3099" s="44">
        <v>1.5</v>
      </c>
      <c r="F3099" s="41">
        <v>28.6615</v>
      </c>
      <c r="G3099" s="41">
        <f>IF(ISNUMBER(F3099),E3099*F3099,"")</f>
        <v>42.992249999999999</v>
      </c>
      <c r="H3099" s="46">
        <f>SUM(G3099:G3100)</f>
        <v>42.992249999999999</v>
      </c>
      <c r="I3099" s="47"/>
      <c r="J3099" s="37">
        <v>0</v>
      </c>
    </row>
    <row r="3100" spans="1:10" hidden="1" x14ac:dyDescent="0.25">
      <c r="A3100" s="174"/>
      <c r="B3100" s="177"/>
      <c r="C3100" s="43" t="s">
        <v>771</v>
      </c>
      <c r="D3100" s="43" t="s">
        <v>18</v>
      </c>
      <c r="E3100" s="44">
        <v>1</v>
      </c>
      <c r="F3100" s="38" t="s">
        <v>13</v>
      </c>
      <c r="G3100" s="41" t="str">
        <f>IF(ISNUMBER(F3100),E3100*F3100,"")</f>
        <v/>
      </c>
      <c r="H3100" s="42"/>
      <c r="I3100" s="38"/>
      <c r="J3100" s="37">
        <v>0</v>
      </c>
    </row>
    <row r="3101" spans="1:10" ht="15.75" hidden="1" thickBot="1" x14ac:dyDescent="0.3">
      <c r="A3101" s="175"/>
      <c r="B3101" s="178"/>
      <c r="C3101" s="49"/>
      <c r="D3101" s="49"/>
      <c r="E3101" s="50"/>
      <c r="F3101" s="51" t="s">
        <v>13</v>
      </c>
      <c r="G3101" s="52" t="str">
        <f>IF(ISNUMBER(F3101),E3101*F3101,"")</f>
        <v/>
      </c>
      <c r="H3101" s="53"/>
      <c r="I3101" s="38"/>
      <c r="J3101" s="37">
        <v>0</v>
      </c>
    </row>
    <row r="3102" spans="1:10" ht="15.75" hidden="1" thickBot="1" x14ac:dyDescent="0.3">
      <c r="A3102" s="173" t="s">
        <v>772</v>
      </c>
      <c r="B3102" s="176" t="s">
        <v>4276</v>
      </c>
      <c r="C3102" s="31"/>
      <c r="D3102" s="32" t="s">
        <v>18</v>
      </c>
      <c r="E3102" s="33"/>
      <c r="F3102" s="54" t="s">
        <v>13</v>
      </c>
      <c r="G3102" s="34" t="str">
        <f>IF(ISNUMBER(F3102),E3102*F3102,"")</f>
        <v/>
      </c>
      <c r="H3102" s="35"/>
      <c r="I3102" s="36"/>
      <c r="J3102" s="37">
        <v>0</v>
      </c>
    </row>
    <row r="3103" spans="1:10" hidden="1" x14ac:dyDescent="0.25">
      <c r="A3103" s="174"/>
      <c r="B3103" s="177"/>
      <c r="C3103" s="39"/>
      <c r="D3103" s="39"/>
      <c r="E3103" s="40"/>
      <c r="F3103" s="55" t="s">
        <v>13</v>
      </c>
      <c r="G3103" s="41" t="str">
        <f>IF(ISNUMBER(F3103),E3103*F3103,"")</f>
        <v/>
      </c>
      <c r="H3103" s="42"/>
      <c r="I3103" s="38"/>
      <c r="J3103" s="37">
        <v>0</v>
      </c>
    </row>
    <row r="3104" spans="1:10" hidden="1" x14ac:dyDescent="0.25">
      <c r="A3104" s="174"/>
      <c r="B3104" s="177"/>
      <c r="C3104" s="43" t="s">
        <v>10831</v>
      </c>
      <c r="D3104" s="43" t="s">
        <v>2800</v>
      </c>
      <c r="E3104" s="44">
        <v>1</v>
      </c>
      <c r="F3104" s="41">
        <v>28.6615</v>
      </c>
      <c r="G3104" s="41">
        <f>IF(ISNUMBER(F3104),E3104*F3104,"")</f>
        <v>28.6615</v>
      </c>
      <c r="H3104" s="46">
        <f>SUM(G3104:G3105)</f>
        <v>28.6615</v>
      </c>
      <c r="I3104" s="47"/>
      <c r="J3104" s="37">
        <v>0</v>
      </c>
    </row>
    <row r="3105" spans="1:10" ht="25.5" hidden="1" x14ac:dyDescent="0.25">
      <c r="A3105" s="174"/>
      <c r="B3105" s="177"/>
      <c r="C3105" s="43" t="s">
        <v>773</v>
      </c>
      <c r="D3105" s="43" t="s">
        <v>18</v>
      </c>
      <c r="E3105" s="44">
        <v>1</v>
      </c>
      <c r="F3105" s="38" t="s">
        <v>13</v>
      </c>
      <c r="G3105" s="41" t="str">
        <f>IF(ISNUMBER(F3105),E3105*F3105,"")</f>
        <v/>
      </c>
      <c r="H3105" s="42"/>
      <c r="I3105" s="38"/>
      <c r="J3105" s="37">
        <v>0</v>
      </c>
    </row>
    <row r="3106" spans="1:10" ht="15.75" hidden="1" thickBot="1" x14ac:dyDescent="0.3">
      <c r="A3106" s="175"/>
      <c r="B3106" s="178"/>
      <c r="C3106" s="49"/>
      <c r="D3106" s="49"/>
      <c r="E3106" s="50"/>
      <c r="F3106" s="51" t="s">
        <v>13</v>
      </c>
      <c r="G3106" s="52" t="str">
        <f>IF(ISNUMBER(F3106),E3106*F3106,"")</f>
        <v/>
      </c>
      <c r="H3106" s="53"/>
      <c r="I3106" s="38"/>
      <c r="J3106" s="37">
        <v>0</v>
      </c>
    </row>
    <row r="3107" spans="1:10" ht="15.75" hidden="1" thickBot="1" x14ac:dyDescent="0.3">
      <c r="A3107" s="173" t="s">
        <v>774</v>
      </c>
      <c r="B3107" s="176" t="s">
        <v>4277</v>
      </c>
      <c r="C3107" s="31"/>
      <c r="D3107" s="32" t="s">
        <v>18</v>
      </c>
      <c r="E3107" s="33"/>
      <c r="F3107" s="54" t="s">
        <v>13</v>
      </c>
      <c r="G3107" s="34" t="str">
        <f>IF(ISNUMBER(F3107),E3107*F3107,"")</f>
        <v/>
      </c>
      <c r="H3107" s="35"/>
      <c r="I3107" s="36"/>
      <c r="J3107" s="37">
        <v>0</v>
      </c>
    </row>
    <row r="3108" spans="1:10" hidden="1" x14ac:dyDescent="0.25">
      <c r="A3108" s="174"/>
      <c r="B3108" s="177"/>
      <c r="C3108" s="39"/>
      <c r="D3108" s="39"/>
      <c r="E3108" s="40"/>
      <c r="F3108" s="55" t="s">
        <v>13</v>
      </c>
      <c r="G3108" s="41" t="str">
        <f>IF(ISNUMBER(F3108),E3108*F3108,"")</f>
        <v/>
      </c>
      <c r="H3108" s="42"/>
      <c r="I3108" s="38"/>
      <c r="J3108" s="37">
        <v>0</v>
      </c>
    </row>
    <row r="3109" spans="1:10" hidden="1" x14ac:dyDescent="0.25">
      <c r="A3109" s="174"/>
      <c r="B3109" s="177"/>
      <c r="C3109" s="43" t="s">
        <v>10831</v>
      </c>
      <c r="D3109" s="43" t="s">
        <v>2800</v>
      </c>
      <c r="E3109" s="44">
        <v>0.1</v>
      </c>
      <c r="F3109" s="41">
        <v>28.6615</v>
      </c>
      <c r="G3109" s="41">
        <f>IF(ISNUMBER(F3109),E3109*F3109,"")</f>
        <v>2.8661500000000002</v>
      </c>
      <c r="H3109" s="46">
        <f>SUM(G3109:G3110)</f>
        <v>2.8661500000000002</v>
      </c>
      <c r="I3109" s="47"/>
      <c r="J3109" s="37">
        <v>0</v>
      </c>
    </row>
    <row r="3110" spans="1:10" ht="25.5" hidden="1" x14ac:dyDescent="0.25">
      <c r="A3110" s="174"/>
      <c r="B3110" s="177"/>
      <c r="C3110" s="43" t="s">
        <v>775</v>
      </c>
      <c r="D3110" s="43" t="s">
        <v>18</v>
      </c>
      <c r="E3110" s="44">
        <v>1</v>
      </c>
      <c r="F3110" s="38" t="s">
        <v>13</v>
      </c>
      <c r="G3110" s="41" t="str">
        <f>IF(ISNUMBER(F3110),E3110*F3110,"")</f>
        <v/>
      </c>
      <c r="H3110" s="42"/>
      <c r="I3110" s="38"/>
      <c r="J3110" s="37">
        <v>0</v>
      </c>
    </row>
    <row r="3111" spans="1:10" ht="15.75" hidden="1" thickBot="1" x14ac:dyDescent="0.3">
      <c r="A3111" s="175"/>
      <c r="B3111" s="178"/>
      <c r="C3111" s="49"/>
      <c r="D3111" s="49"/>
      <c r="E3111" s="50"/>
      <c r="F3111" s="51" t="s">
        <v>13</v>
      </c>
      <c r="G3111" s="52" t="str">
        <f>IF(ISNUMBER(F3111),E3111*F3111,"")</f>
        <v/>
      </c>
      <c r="H3111" s="53"/>
      <c r="I3111" s="38"/>
      <c r="J3111" s="37">
        <v>0</v>
      </c>
    </row>
    <row r="3112" spans="1:10" ht="15.75" hidden="1" thickBot="1" x14ac:dyDescent="0.3">
      <c r="A3112" s="173" t="s">
        <v>776</v>
      </c>
      <c r="B3112" s="176" t="s">
        <v>4278</v>
      </c>
      <c r="C3112" s="31"/>
      <c r="D3112" s="32" t="s">
        <v>18</v>
      </c>
      <c r="E3112" s="33"/>
      <c r="F3112" s="54" t="s">
        <v>13</v>
      </c>
      <c r="G3112" s="34" t="str">
        <f>IF(ISNUMBER(F3112),E3112*F3112,"")</f>
        <v/>
      </c>
      <c r="H3112" s="35"/>
      <c r="I3112" s="36"/>
      <c r="J3112" s="37">
        <v>0</v>
      </c>
    </row>
    <row r="3113" spans="1:10" hidden="1" x14ac:dyDescent="0.25">
      <c r="A3113" s="174"/>
      <c r="B3113" s="177"/>
      <c r="C3113" s="39"/>
      <c r="D3113" s="39"/>
      <c r="E3113" s="40"/>
      <c r="F3113" s="55" t="s">
        <v>13</v>
      </c>
      <c r="G3113" s="41" t="str">
        <f>IF(ISNUMBER(F3113),E3113*F3113,"")</f>
        <v/>
      </c>
      <c r="H3113" s="42"/>
      <c r="I3113" s="38"/>
      <c r="J3113" s="37">
        <v>0</v>
      </c>
    </row>
    <row r="3114" spans="1:10" hidden="1" x14ac:dyDescent="0.25">
      <c r="A3114" s="174"/>
      <c r="B3114" s="177"/>
      <c r="C3114" s="43" t="s">
        <v>10831</v>
      </c>
      <c r="D3114" s="43" t="s">
        <v>2800</v>
      </c>
      <c r="E3114" s="44">
        <v>0.2</v>
      </c>
      <c r="F3114" s="41">
        <v>28.6615</v>
      </c>
      <c r="G3114" s="41">
        <f>IF(ISNUMBER(F3114),E3114*F3114,"")</f>
        <v>5.7323000000000004</v>
      </c>
      <c r="H3114" s="46">
        <f>SUM(G3114:G3115)</f>
        <v>5.7323000000000004</v>
      </c>
      <c r="I3114" s="47"/>
      <c r="J3114" s="37">
        <v>0</v>
      </c>
    </row>
    <row r="3115" spans="1:10" ht="25.5" hidden="1" x14ac:dyDescent="0.25">
      <c r="A3115" s="174"/>
      <c r="B3115" s="177"/>
      <c r="C3115" s="43" t="s">
        <v>777</v>
      </c>
      <c r="D3115" s="43" t="s">
        <v>18</v>
      </c>
      <c r="E3115" s="44">
        <v>1</v>
      </c>
      <c r="F3115" s="38" t="s">
        <v>13</v>
      </c>
      <c r="G3115" s="41" t="str">
        <f>IF(ISNUMBER(F3115),E3115*F3115,"")</f>
        <v/>
      </c>
      <c r="H3115" s="42"/>
      <c r="I3115" s="38"/>
      <c r="J3115" s="37">
        <v>0</v>
      </c>
    </row>
    <row r="3116" spans="1:10" ht="15.75" hidden="1" thickBot="1" x14ac:dyDescent="0.3">
      <c r="A3116" s="175"/>
      <c r="B3116" s="178"/>
      <c r="C3116" s="49"/>
      <c r="D3116" s="49"/>
      <c r="E3116" s="50"/>
      <c r="F3116" s="51" t="s">
        <v>13</v>
      </c>
      <c r="G3116" s="52" t="str">
        <f>IF(ISNUMBER(F3116),E3116*F3116,"")</f>
        <v/>
      </c>
      <c r="H3116" s="53"/>
      <c r="I3116" s="38"/>
      <c r="J3116" s="37">
        <v>0</v>
      </c>
    </row>
    <row r="3117" spans="1:10" ht="15.75" hidden="1" thickBot="1" x14ac:dyDescent="0.3">
      <c r="A3117" s="173" t="s">
        <v>778</v>
      </c>
      <c r="B3117" s="176" t="s">
        <v>4279</v>
      </c>
      <c r="C3117" s="31"/>
      <c r="D3117" s="32" t="s">
        <v>18</v>
      </c>
      <c r="E3117" s="33"/>
      <c r="F3117" s="54" t="s">
        <v>13</v>
      </c>
      <c r="G3117" s="34" t="str">
        <f>IF(ISNUMBER(F3117),E3117*F3117,"")</f>
        <v/>
      </c>
      <c r="H3117" s="35"/>
      <c r="I3117" s="36"/>
      <c r="J3117" s="37">
        <v>0</v>
      </c>
    </row>
    <row r="3118" spans="1:10" hidden="1" x14ac:dyDescent="0.25">
      <c r="A3118" s="174"/>
      <c r="B3118" s="177"/>
      <c r="C3118" s="39"/>
      <c r="D3118" s="39"/>
      <c r="E3118" s="40"/>
      <c r="F3118" s="55" t="s">
        <v>13</v>
      </c>
      <c r="G3118" s="41" t="str">
        <f>IF(ISNUMBER(F3118),E3118*F3118,"")</f>
        <v/>
      </c>
      <c r="H3118" s="42"/>
      <c r="I3118" s="38"/>
      <c r="J3118" s="37">
        <v>0</v>
      </c>
    </row>
    <row r="3119" spans="1:10" hidden="1" x14ac:dyDescent="0.25">
      <c r="A3119" s="174"/>
      <c r="B3119" s="177"/>
      <c r="C3119" s="43" t="s">
        <v>10831</v>
      </c>
      <c r="D3119" s="43" t="s">
        <v>2800</v>
      </c>
      <c r="E3119" s="44">
        <v>0.2</v>
      </c>
      <c r="F3119" s="41">
        <v>28.6615</v>
      </c>
      <c r="G3119" s="41">
        <f>IF(ISNUMBER(F3119),E3119*F3119,"")</f>
        <v>5.7323000000000004</v>
      </c>
      <c r="H3119" s="46">
        <f>SUM(G3119:G3120)</f>
        <v>5.7323000000000004</v>
      </c>
      <c r="I3119" s="47"/>
      <c r="J3119" s="37">
        <v>0</v>
      </c>
    </row>
    <row r="3120" spans="1:10" ht="38.25" hidden="1" x14ac:dyDescent="0.25">
      <c r="A3120" s="174"/>
      <c r="B3120" s="177"/>
      <c r="C3120" s="43" t="s">
        <v>779</v>
      </c>
      <c r="D3120" s="43" t="s">
        <v>18</v>
      </c>
      <c r="E3120" s="44">
        <v>1</v>
      </c>
      <c r="F3120" s="38" t="s">
        <v>13</v>
      </c>
      <c r="G3120" s="41" t="str">
        <f>IF(ISNUMBER(F3120),E3120*F3120,"")</f>
        <v/>
      </c>
      <c r="H3120" s="42"/>
      <c r="I3120" s="38"/>
      <c r="J3120" s="37">
        <v>0</v>
      </c>
    </row>
    <row r="3121" spans="1:10" ht="15.75" hidden="1" thickBot="1" x14ac:dyDescent="0.3">
      <c r="A3121" s="175"/>
      <c r="B3121" s="178"/>
      <c r="C3121" s="49"/>
      <c r="D3121" s="49"/>
      <c r="E3121" s="50"/>
      <c r="F3121" s="51" t="s">
        <v>13</v>
      </c>
      <c r="G3121" s="52" t="str">
        <f>IF(ISNUMBER(F3121),E3121*F3121,"")</f>
        <v/>
      </c>
      <c r="H3121" s="53"/>
      <c r="I3121" s="38"/>
      <c r="J3121" s="37">
        <v>0</v>
      </c>
    </row>
    <row r="3122" spans="1:10" ht="15.75" hidden="1" thickBot="1" x14ac:dyDescent="0.3">
      <c r="A3122" s="173" t="s">
        <v>780</v>
      </c>
      <c r="B3122" s="176" t="s">
        <v>4280</v>
      </c>
      <c r="C3122" s="31"/>
      <c r="D3122" s="32" t="s">
        <v>106</v>
      </c>
      <c r="E3122" s="33"/>
      <c r="F3122" s="54" t="s">
        <v>13</v>
      </c>
      <c r="G3122" s="34" t="str">
        <f>IF(ISNUMBER(F3122),E3122*F3122,"")</f>
        <v/>
      </c>
      <c r="H3122" s="35"/>
      <c r="I3122" s="36"/>
      <c r="J3122" s="37">
        <v>0</v>
      </c>
    </row>
    <row r="3123" spans="1:10" hidden="1" x14ac:dyDescent="0.25">
      <c r="A3123" s="179"/>
      <c r="B3123" s="177"/>
      <c r="C3123" s="39"/>
      <c r="D3123" s="39"/>
      <c r="E3123" s="40"/>
      <c r="F3123" s="55" t="s">
        <v>13</v>
      </c>
      <c r="G3123" s="41" t="str">
        <f>IF(ISNUMBER(F3123),E3123*F3123,"")</f>
        <v/>
      </c>
      <c r="H3123" s="42"/>
      <c r="I3123" s="38"/>
      <c r="J3123" s="37">
        <v>0</v>
      </c>
    </row>
    <row r="3124" spans="1:10" hidden="1" x14ac:dyDescent="0.25">
      <c r="A3124" s="179"/>
      <c r="B3124" s="177"/>
      <c r="C3124" s="43" t="s">
        <v>10831</v>
      </c>
      <c r="D3124" s="43" t="s">
        <v>2800</v>
      </c>
      <c r="E3124" s="44">
        <v>0.25</v>
      </c>
      <c r="F3124" s="41">
        <v>28.6615</v>
      </c>
      <c r="G3124" s="41">
        <f>IF(ISNUMBER(F3124),E3124*F3124,"")</f>
        <v>7.165375</v>
      </c>
      <c r="H3124" s="46">
        <f>SUM(G3124:G3125)</f>
        <v>42.140080999999995</v>
      </c>
      <c r="I3124" s="47"/>
      <c r="J3124" s="37">
        <v>0</v>
      </c>
    </row>
    <row r="3125" spans="1:10" hidden="1" x14ac:dyDescent="0.25">
      <c r="A3125" s="179"/>
      <c r="B3125" s="177"/>
      <c r="C3125" s="43" t="s">
        <v>11030</v>
      </c>
      <c r="D3125" s="43" t="s">
        <v>1044</v>
      </c>
      <c r="E3125" s="44">
        <v>0.85299999999999998</v>
      </c>
      <c r="F3125" s="38">
        <v>41.001999999999995</v>
      </c>
      <c r="G3125" s="41">
        <f>IF(ISNUMBER(F3125),E3125*F3125,"")</f>
        <v>34.974705999999998</v>
      </c>
      <c r="H3125" s="42"/>
      <c r="I3125" s="38"/>
      <c r="J3125" s="37">
        <v>0</v>
      </c>
    </row>
    <row r="3126" spans="1:10" hidden="1" x14ac:dyDescent="0.25">
      <c r="A3126" s="179"/>
      <c r="B3126" s="177"/>
      <c r="C3126" s="43"/>
      <c r="D3126" s="62"/>
      <c r="E3126" s="44"/>
      <c r="F3126" s="38" t="s">
        <v>13</v>
      </c>
      <c r="G3126" s="41" t="str">
        <f>IF(ISNUMBER(F3126),E3126*F3126,"")</f>
        <v/>
      </c>
      <c r="H3126" s="42"/>
      <c r="I3126" s="38"/>
      <c r="J3126" s="37">
        <v>0</v>
      </c>
    </row>
    <row r="3127" spans="1:10" ht="25.5" hidden="1" x14ac:dyDescent="0.25">
      <c r="A3127" s="179"/>
      <c r="B3127" s="177"/>
      <c r="C3127" s="4" t="s">
        <v>781</v>
      </c>
      <c r="D3127" s="62"/>
      <c r="E3127" s="44"/>
      <c r="F3127" s="38" t="s">
        <v>13</v>
      </c>
      <c r="G3127" s="41" t="str">
        <f>IF(ISNUMBER(F3127),E3127*F3127,"")</f>
        <v/>
      </c>
      <c r="H3127" s="42"/>
      <c r="I3127" s="38"/>
      <c r="J3127" s="37">
        <v>0</v>
      </c>
    </row>
    <row r="3128" spans="1:10" ht="25.5" hidden="1" x14ac:dyDescent="0.25">
      <c r="A3128" s="179"/>
      <c r="B3128" s="177"/>
      <c r="C3128" s="65" t="s">
        <v>735</v>
      </c>
      <c r="D3128" s="62"/>
      <c r="E3128" s="44"/>
      <c r="F3128" s="38" t="s">
        <v>13</v>
      </c>
      <c r="G3128" s="41" t="str">
        <f>IF(ISNUMBER(F3128),E3128*F3128,"")</f>
        <v/>
      </c>
      <c r="H3128" s="42"/>
      <c r="I3128" s="38"/>
      <c r="J3128" s="37">
        <v>0</v>
      </c>
    </row>
    <row r="3129" spans="1:10" ht="15.75" hidden="1" thickBot="1" x14ac:dyDescent="0.3">
      <c r="A3129" s="180"/>
      <c r="B3129" s="178"/>
      <c r="C3129" s="49"/>
      <c r="D3129" s="49"/>
      <c r="E3129" s="50"/>
      <c r="F3129" s="51" t="s">
        <v>13</v>
      </c>
      <c r="G3129" s="52" t="str">
        <f>IF(ISNUMBER(F3129),E3129*F3129,"")</f>
        <v/>
      </c>
      <c r="H3129" s="53"/>
      <c r="I3129" s="38"/>
      <c r="J3129" s="37">
        <v>0</v>
      </c>
    </row>
    <row r="3130" spans="1:10" ht="15.75" hidden="1" thickBot="1" x14ac:dyDescent="0.3">
      <c r="A3130" s="173" t="s">
        <v>782</v>
      </c>
      <c r="B3130" s="176" t="s">
        <v>4281</v>
      </c>
      <c r="C3130" s="31"/>
      <c r="D3130" s="32" t="s">
        <v>106</v>
      </c>
      <c r="E3130" s="33"/>
      <c r="F3130" s="54" t="s">
        <v>13</v>
      </c>
      <c r="G3130" s="34" t="str">
        <f>IF(ISNUMBER(F3130),E3130*F3130,"")</f>
        <v/>
      </c>
      <c r="H3130" s="35"/>
      <c r="I3130" s="36"/>
      <c r="J3130" s="37">
        <v>0</v>
      </c>
    </row>
    <row r="3131" spans="1:10" hidden="1" x14ac:dyDescent="0.25">
      <c r="A3131" s="174"/>
      <c r="B3131" s="177"/>
      <c r="C3131" s="39"/>
      <c r="D3131" s="39"/>
      <c r="E3131" s="40"/>
      <c r="F3131" s="55" t="s">
        <v>13</v>
      </c>
      <c r="G3131" s="41" t="str">
        <f>IF(ISNUMBER(F3131),E3131*F3131,"")</f>
        <v/>
      </c>
      <c r="H3131" s="42"/>
      <c r="I3131" s="38"/>
      <c r="J3131" s="37">
        <v>0</v>
      </c>
    </row>
    <row r="3132" spans="1:10" hidden="1" x14ac:dyDescent="0.25">
      <c r="A3132" s="174"/>
      <c r="B3132" s="177"/>
      <c r="C3132" s="43" t="s">
        <v>10831</v>
      </c>
      <c r="D3132" s="43" t="s">
        <v>2800</v>
      </c>
      <c r="E3132" s="44">
        <v>0.2</v>
      </c>
      <c r="F3132" s="41">
        <v>28.6615</v>
      </c>
      <c r="G3132" s="41">
        <f>IF(ISNUMBER(F3132),E3132*F3132,"")</f>
        <v>5.7323000000000004</v>
      </c>
      <c r="H3132" s="46">
        <f>SUM(G3132:G3133)</f>
        <v>5.7323000000000004</v>
      </c>
      <c r="I3132" s="47"/>
      <c r="J3132" s="37">
        <v>0</v>
      </c>
    </row>
    <row r="3133" spans="1:10" ht="25.5" hidden="1" x14ac:dyDescent="0.25">
      <c r="A3133" s="174"/>
      <c r="B3133" s="177"/>
      <c r="C3133" s="43" t="s">
        <v>783</v>
      </c>
      <c r="D3133" s="43" t="s">
        <v>106</v>
      </c>
      <c r="E3133" s="44">
        <v>0.11899999999999999</v>
      </c>
      <c r="F3133" s="38" t="s">
        <v>13</v>
      </c>
      <c r="G3133" s="41" t="str">
        <f>IF(ISNUMBER(F3133),E3133*F3133,"")</f>
        <v/>
      </c>
      <c r="H3133" s="42"/>
      <c r="I3133" s="38"/>
      <c r="J3133" s="37">
        <v>0</v>
      </c>
    </row>
    <row r="3134" spans="1:10" ht="15.75" hidden="1" thickBot="1" x14ac:dyDescent="0.3">
      <c r="A3134" s="175"/>
      <c r="B3134" s="178"/>
      <c r="C3134" s="49"/>
      <c r="D3134" s="49"/>
      <c r="E3134" s="50"/>
      <c r="F3134" s="51" t="s">
        <v>13</v>
      </c>
      <c r="G3134" s="52" t="str">
        <f>IF(ISNUMBER(F3134),E3134*F3134,"")</f>
        <v/>
      </c>
      <c r="H3134" s="53"/>
      <c r="I3134" s="38"/>
      <c r="J3134" s="37">
        <v>0</v>
      </c>
    </row>
    <row r="3135" spans="1:10" ht="15.75" hidden="1" thickBot="1" x14ac:dyDescent="0.3">
      <c r="A3135" s="173" t="s">
        <v>784</v>
      </c>
      <c r="B3135" s="176" t="s">
        <v>4282</v>
      </c>
      <c r="C3135" s="31"/>
      <c r="D3135" s="32" t="s">
        <v>106</v>
      </c>
      <c r="E3135" s="33"/>
      <c r="F3135" s="54" t="s">
        <v>13</v>
      </c>
      <c r="G3135" s="34" t="str">
        <f>IF(ISNUMBER(F3135),E3135*F3135,"")</f>
        <v/>
      </c>
      <c r="H3135" s="35"/>
      <c r="I3135" s="36"/>
      <c r="J3135" s="37">
        <v>0</v>
      </c>
    </row>
    <row r="3136" spans="1:10" hidden="1" x14ac:dyDescent="0.25">
      <c r="A3136" s="179"/>
      <c r="B3136" s="177"/>
      <c r="C3136" s="39"/>
      <c r="D3136" s="39"/>
      <c r="E3136" s="40"/>
      <c r="F3136" s="55" t="s">
        <v>13</v>
      </c>
      <c r="G3136" s="41" t="str">
        <f>IF(ISNUMBER(F3136),E3136*F3136,"")</f>
        <v/>
      </c>
      <c r="H3136" s="42"/>
      <c r="I3136" s="38"/>
      <c r="J3136" s="37">
        <v>0</v>
      </c>
    </row>
    <row r="3137" spans="1:10" hidden="1" x14ac:dyDescent="0.25">
      <c r="A3137" s="179"/>
      <c r="B3137" s="177"/>
      <c r="C3137" s="43" t="s">
        <v>10831</v>
      </c>
      <c r="D3137" s="43" t="s">
        <v>2800</v>
      </c>
      <c r="E3137" s="44">
        <v>0.3</v>
      </c>
      <c r="F3137" s="41">
        <v>28.6615</v>
      </c>
      <c r="G3137" s="41">
        <f>IF(ISNUMBER(F3137),E3137*F3137,"")</f>
        <v>8.5984499999999997</v>
      </c>
      <c r="H3137" s="46">
        <f>SUM(G3137:G3138)</f>
        <v>13.477687999999999</v>
      </c>
      <c r="I3137" s="47"/>
      <c r="J3137" s="37">
        <v>0</v>
      </c>
    </row>
    <row r="3138" spans="1:10" hidden="1" x14ac:dyDescent="0.25">
      <c r="A3138" s="179"/>
      <c r="B3138" s="177"/>
      <c r="C3138" s="43" t="s">
        <v>11030</v>
      </c>
      <c r="D3138" s="43" t="s">
        <v>1044</v>
      </c>
      <c r="E3138" s="44">
        <v>0.11899999999999999</v>
      </c>
      <c r="F3138" s="38">
        <v>41.001999999999995</v>
      </c>
      <c r="G3138" s="41">
        <f>IF(ISNUMBER(F3138),E3138*F3138,"")</f>
        <v>4.8792379999999991</v>
      </c>
      <c r="H3138" s="42"/>
      <c r="I3138" s="38"/>
      <c r="J3138" s="37">
        <v>0</v>
      </c>
    </row>
    <row r="3139" spans="1:10" hidden="1" x14ac:dyDescent="0.25">
      <c r="A3139" s="179"/>
      <c r="B3139" s="177"/>
      <c r="C3139" s="43"/>
      <c r="D3139" s="43"/>
      <c r="E3139" s="44"/>
      <c r="F3139" s="38" t="s">
        <v>13</v>
      </c>
      <c r="G3139" s="41" t="str">
        <f>IF(ISNUMBER(F3139),E3139*F3139,"")</f>
        <v/>
      </c>
      <c r="H3139" s="42"/>
      <c r="I3139" s="38"/>
      <c r="J3139" s="37">
        <v>0</v>
      </c>
    </row>
    <row r="3140" spans="1:10" ht="38.25" hidden="1" x14ac:dyDescent="0.25">
      <c r="A3140" s="179"/>
      <c r="B3140" s="177"/>
      <c r="C3140" s="4" t="s">
        <v>785</v>
      </c>
      <c r="D3140" s="43"/>
      <c r="E3140" s="44"/>
      <c r="F3140" s="38" t="s">
        <v>13</v>
      </c>
      <c r="G3140" s="41" t="str">
        <f>IF(ISNUMBER(F3140),E3140*F3140,"")</f>
        <v/>
      </c>
      <c r="H3140" s="42"/>
      <c r="I3140" s="38"/>
      <c r="J3140" s="37">
        <v>0</v>
      </c>
    </row>
    <row r="3141" spans="1:10" hidden="1" x14ac:dyDescent="0.25">
      <c r="A3141" s="179"/>
      <c r="B3141" s="177"/>
      <c r="C3141" s="65" t="s">
        <v>786</v>
      </c>
      <c r="D3141" s="43"/>
      <c r="E3141" s="44"/>
      <c r="F3141" s="38" t="s">
        <v>13</v>
      </c>
      <c r="G3141" s="41" t="str">
        <f>IF(ISNUMBER(F3141),E3141*F3141,"")</f>
        <v/>
      </c>
      <c r="H3141" s="42"/>
      <c r="I3141" s="38"/>
      <c r="J3141" s="37">
        <v>0</v>
      </c>
    </row>
    <row r="3142" spans="1:10" ht="15.75" hidden="1" thickBot="1" x14ac:dyDescent="0.3">
      <c r="A3142" s="180"/>
      <c r="B3142" s="178"/>
      <c r="C3142" s="49"/>
      <c r="D3142" s="49"/>
      <c r="E3142" s="50"/>
      <c r="F3142" s="51" t="s">
        <v>13</v>
      </c>
      <c r="G3142" s="52" t="str">
        <f>IF(ISNUMBER(F3142),E3142*F3142,"")</f>
        <v/>
      </c>
      <c r="H3142" s="53"/>
      <c r="I3142" s="38"/>
      <c r="J3142" s="37">
        <v>0</v>
      </c>
    </row>
    <row r="3143" spans="1:10" ht="15.75" hidden="1" thickBot="1" x14ac:dyDescent="0.3">
      <c r="A3143" s="173" t="s">
        <v>787</v>
      </c>
      <c r="B3143" s="176" t="s">
        <v>4283</v>
      </c>
      <c r="C3143" s="31"/>
      <c r="D3143" s="32" t="s">
        <v>18</v>
      </c>
      <c r="E3143" s="33"/>
      <c r="F3143" s="54" t="s">
        <v>13</v>
      </c>
      <c r="G3143" s="34" t="str">
        <f>IF(ISNUMBER(F3143),E3143*F3143,"")</f>
        <v/>
      </c>
      <c r="H3143" s="35"/>
      <c r="I3143" s="36"/>
      <c r="J3143" s="37">
        <v>0</v>
      </c>
    </row>
    <row r="3144" spans="1:10" hidden="1" x14ac:dyDescent="0.25">
      <c r="A3144" s="174"/>
      <c r="B3144" s="177"/>
      <c r="C3144" s="39"/>
      <c r="D3144" s="39"/>
      <c r="E3144" s="40"/>
      <c r="F3144" s="55" t="s">
        <v>13</v>
      </c>
      <c r="G3144" s="41" t="str">
        <f>IF(ISNUMBER(F3144),E3144*F3144,"")</f>
        <v/>
      </c>
      <c r="H3144" s="42"/>
      <c r="I3144" s="38"/>
      <c r="J3144" s="37">
        <v>0</v>
      </c>
    </row>
    <row r="3145" spans="1:10" hidden="1" x14ac:dyDescent="0.25">
      <c r="A3145" s="174"/>
      <c r="B3145" s="177"/>
      <c r="C3145" s="43" t="s">
        <v>10831</v>
      </c>
      <c r="D3145" s="43" t="s">
        <v>2800</v>
      </c>
      <c r="E3145" s="44">
        <v>1.5</v>
      </c>
      <c r="F3145" s="41">
        <v>28.6615</v>
      </c>
      <c r="G3145" s="41">
        <f>IF(ISNUMBER(F3145),E3145*F3145,"")</f>
        <v>42.992249999999999</v>
      </c>
      <c r="H3145" s="46">
        <f>SUM(G3145:G3145)</f>
        <v>42.992249999999999</v>
      </c>
      <c r="I3145" s="47"/>
      <c r="J3145" s="37">
        <v>0</v>
      </c>
    </row>
    <row r="3146" spans="1:10" ht="15.75" hidden="1" thickBot="1" x14ac:dyDescent="0.3">
      <c r="A3146" s="175"/>
      <c r="B3146" s="178"/>
      <c r="C3146" s="49"/>
      <c r="D3146" s="49"/>
      <c r="E3146" s="50"/>
      <c r="F3146" s="51" t="s">
        <v>13</v>
      </c>
      <c r="G3146" s="52" t="str">
        <f>IF(ISNUMBER(F3146),E3146*F3146,"")</f>
        <v/>
      </c>
      <c r="H3146" s="53"/>
      <c r="I3146" s="38"/>
      <c r="J3146" s="37">
        <v>0</v>
      </c>
    </row>
    <row r="3147" spans="1:10" ht="15.75" hidden="1" thickBot="1" x14ac:dyDescent="0.3">
      <c r="A3147" s="173" t="s">
        <v>788</v>
      </c>
      <c r="B3147" s="176" t="s">
        <v>4284</v>
      </c>
      <c r="C3147" s="31"/>
      <c r="D3147" s="32" t="s">
        <v>68</v>
      </c>
      <c r="E3147" s="33"/>
      <c r="F3147" s="54" t="s">
        <v>13</v>
      </c>
      <c r="G3147" s="34" t="str">
        <f>IF(ISNUMBER(F3147),E3147*F3147,"")</f>
        <v/>
      </c>
      <c r="H3147" s="35"/>
      <c r="I3147" s="36"/>
      <c r="J3147" s="37">
        <v>0</v>
      </c>
    </row>
    <row r="3148" spans="1:10" hidden="1" x14ac:dyDescent="0.25">
      <c r="A3148" s="174"/>
      <c r="B3148" s="177"/>
      <c r="C3148" s="39"/>
      <c r="D3148" s="39"/>
      <c r="E3148" s="40"/>
      <c r="F3148" s="55" t="s">
        <v>13</v>
      </c>
      <c r="G3148" s="41" t="str">
        <f>IF(ISNUMBER(F3148),E3148*F3148,"")</f>
        <v/>
      </c>
      <c r="H3148" s="42"/>
      <c r="I3148" s="38"/>
      <c r="J3148" s="37">
        <v>0</v>
      </c>
    </row>
    <row r="3149" spans="1:10" hidden="1" x14ac:dyDescent="0.25">
      <c r="A3149" s="174"/>
      <c r="B3149" s="177"/>
      <c r="C3149" s="43" t="s">
        <v>10831</v>
      </c>
      <c r="D3149" s="43" t="s">
        <v>2800</v>
      </c>
      <c r="E3149" s="44">
        <v>0.47899999999999998</v>
      </c>
      <c r="F3149" s="41">
        <v>28.6615</v>
      </c>
      <c r="G3149" s="41">
        <f>IF(ISNUMBER(F3149),E3149*F3149,"")</f>
        <v>13.728858499999999</v>
      </c>
      <c r="H3149" s="46">
        <f>SUM(G3149:G3153)</f>
        <v>94.8015355</v>
      </c>
      <c r="I3149" s="47"/>
      <c r="J3149" s="37">
        <v>0</v>
      </c>
    </row>
    <row r="3150" spans="1:10" hidden="1" x14ac:dyDescent="0.25">
      <c r="A3150" s="174"/>
      <c r="B3150" s="177"/>
      <c r="C3150" s="43" t="s">
        <v>10614</v>
      </c>
      <c r="D3150" s="43" t="s">
        <v>2800</v>
      </c>
      <c r="E3150" s="44">
        <v>0.46600000000000003</v>
      </c>
      <c r="F3150" s="41">
        <v>23.693000000000001</v>
      </c>
      <c r="G3150" s="41">
        <f>IF(ISNUMBER(F3150),E3150*F3150,"")</f>
        <v>11.040938000000001</v>
      </c>
      <c r="H3150" s="42"/>
      <c r="I3150" s="38"/>
      <c r="J3150" s="37">
        <v>0</v>
      </c>
    </row>
    <row r="3151" spans="1:10" ht="25.5" hidden="1" x14ac:dyDescent="0.25">
      <c r="A3151" s="174"/>
      <c r="B3151" s="177"/>
      <c r="C3151" s="43" t="s">
        <v>11033</v>
      </c>
      <c r="D3151" s="43" t="s">
        <v>1302</v>
      </c>
      <c r="E3151" s="44">
        <v>4.609</v>
      </c>
      <c r="F3151" s="38">
        <v>13.014999999999999</v>
      </c>
      <c r="G3151" s="41">
        <f>IF(ISNUMBER(F3151),E3151*F3151,"")</f>
        <v>59.986134999999997</v>
      </c>
      <c r="H3151" s="42"/>
      <c r="I3151" s="38"/>
      <c r="J3151" s="37">
        <v>0</v>
      </c>
    </row>
    <row r="3152" spans="1:10" ht="25.5" hidden="1" x14ac:dyDescent="0.25">
      <c r="A3152" s="174"/>
      <c r="B3152" s="177"/>
      <c r="C3152" s="43" t="s">
        <v>10857</v>
      </c>
      <c r="D3152" s="43" t="s">
        <v>1302</v>
      </c>
      <c r="E3152" s="44">
        <v>4.0359999999999996</v>
      </c>
      <c r="F3152" s="38">
        <v>2.4889999999999999</v>
      </c>
      <c r="G3152" s="41">
        <f>IF(ISNUMBER(F3152),E3152*F3152,"")</f>
        <v>10.045603999999999</v>
      </c>
      <c r="H3152" s="42"/>
      <c r="I3152" s="38"/>
      <c r="J3152" s="37">
        <v>0</v>
      </c>
    </row>
    <row r="3153" spans="1:10" hidden="1" x14ac:dyDescent="0.25">
      <c r="A3153" s="174"/>
      <c r="B3153" s="177"/>
      <c r="C3153" s="43" t="s">
        <v>789</v>
      </c>
      <c r="D3153" s="43" t="s">
        <v>68</v>
      </c>
      <c r="E3153" s="44">
        <v>1</v>
      </c>
      <c r="F3153" s="38" t="s">
        <v>13</v>
      </c>
      <c r="G3153" s="41" t="str">
        <f>IF(ISNUMBER(F3153),E3153*F3153,"")</f>
        <v/>
      </c>
      <c r="H3153" s="42"/>
      <c r="I3153" s="38"/>
      <c r="J3153" s="37">
        <v>0</v>
      </c>
    </row>
    <row r="3154" spans="1:10" ht="15.75" hidden="1" thickBot="1" x14ac:dyDescent="0.3">
      <c r="A3154" s="175"/>
      <c r="B3154" s="178"/>
      <c r="C3154" s="49"/>
      <c r="D3154" s="49"/>
      <c r="E3154" s="50"/>
      <c r="F3154" s="51" t="s">
        <v>13</v>
      </c>
      <c r="G3154" s="52" t="str">
        <f>IF(ISNUMBER(F3154),E3154*F3154,"")</f>
        <v/>
      </c>
      <c r="H3154" s="53"/>
      <c r="I3154" s="38"/>
      <c r="J3154" s="37">
        <v>0</v>
      </c>
    </row>
    <row r="3155" spans="1:10" ht="15.75" hidden="1" thickBot="1" x14ac:dyDescent="0.3">
      <c r="A3155" s="173" t="s">
        <v>790</v>
      </c>
      <c r="B3155" s="176" t="s">
        <v>4285</v>
      </c>
      <c r="C3155" s="31"/>
      <c r="D3155" s="32" t="s">
        <v>18</v>
      </c>
      <c r="E3155" s="33"/>
      <c r="F3155" s="54" t="s">
        <v>13</v>
      </c>
      <c r="G3155" s="34" t="str">
        <f>IF(ISNUMBER(F3155),E3155*F3155,"")</f>
        <v/>
      </c>
      <c r="H3155" s="35"/>
      <c r="I3155" s="36"/>
      <c r="J3155" s="37">
        <v>0</v>
      </c>
    </row>
    <row r="3156" spans="1:10" hidden="1" x14ac:dyDescent="0.25">
      <c r="A3156" s="174"/>
      <c r="B3156" s="177"/>
      <c r="C3156" s="39"/>
      <c r="D3156" s="39"/>
      <c r="E3156" s="40"/>
      <c r="F3156" s="55" t="s">
        <v>13</v>
      </c>
      <c r="G3156" s="41" t="str">
        <f>IF(ISNUMBER(F3156),E3156*F3156,"")</f>
        <v/>
      </c>
      <c r="H3156" s="42"/>
      <c r="I3156" s="38"/>
      <c r="J3156" s="37">
        <v>0</v>
      </c>
    </row>
    <row r="3157" spans="1:10" hidden="1" x14ac:dyDescent="0.25">
      <c r="A3157" s="174"/>
      <c r="B3157" s="177"/>
      <c r="C3157" s="43" t="s">
        <v>10831</v>
      </c>
      <c r="D3157" s="43" t="s">
        <v>2800</v>
      </c>
      <c r="E3157" s="44">
        <v>0.4</v>
      </c>
      <c r="F3157" s="41">
        <v>28.6615</v>
      </c>
      <c r="G3157" s="41">
        <f>IF(ISNUMBER(F3157),E3157*F3157,"")</f>
        <v>11.464600000000001</v>
      </c>
      <c r="H3157" s="46">
        <f>SUM(G3157:G3158)</f>
        <v>11.464600000000001</v>
      </c>
      <c r="I3157" s="47"/>
      <c r="J3157" s="37">
        <v>0</v>
      </c>
    </row>
    <row r="3158" spans="1:10" hidden="1" x14ac:dyDescent="0.25">
      <c r="A3158" s="174"/>
      <c r="B3158" s="177"/>
      <c r="C3158" s="43" t="s">
        <v>791</v>
      </c>
      <c r="D3158" s="62" t="s">
        <v>18</v>
      </c>
      <c r="E3158" s="44">
        <v>1</v>
      </c>
      <c r="F3158" s="38" t="s">
        <v>13</v>
      </c>
      <c r="G3158" s="41" t="str">
        <f>IF(ISNUMBER(F3158),E3158*F3158,"")</f>
        <v/>
      </c>
      <c r="H3158" s="42"/>
      <c r="I3158" s="38"/>
      <c r="J3158" s="37">
        <v>0</v>
      </c>
    </row>
    <row r="3159" spans="1:10" ht="15.75" hidden="1" thickBot="1" x14ac:dyDescent="0.3">
      <c r="A3159" s="175"/>
      <c r="B3159" s="178"/>
      <c r="C3159" s="49"/>
      <c r="D3159" s="49"/>
      <c r="E3159" s="50"/>
      <c r="F3159" s="51" t="s">
        <v>13</v>
      </c>
      <c r="G3159" s="52" t="str">
        <f>IF(ISNUMBER(F3159),E3159*F3159,"")</f>
        <v/>
      </c>
      <c r="H3159" s="53"/>
      <c r="I3159" s="38"/>
      <c r="J3159" s="37">
        <v>0</v>
      </c>
    </row>
    <row r="3160" spans="1:10" ht="15.75" hidden="1" thickBot="1" x14ac:dyDescent="0.3">
      <c r="A3160" s="173" t="s">
        <v>792</v>
      </c>
      <c r="B3160" s="176" t="s">
        <v>4286</v>
      </c>
      <c r="C3160" s="31"/>
      <c r="D3160" s="32" t="s">
        <v>72</v>
      </c>
      <c r="E3160" s="33"/>
      <c r="F3160" s="54" t="s">
        <v>13</v>
      </c>
      <c r="G3160" s="34" t="str">
        <f>IF(ISNUMBER(F3160),E3160*F3160,"")</f>
        <v/>
      </c>
      <c r="H3160" s="35"/>
      <c r="I3160" s="36"/>
      <c r="J3160" s="37">
        <v>0</v>
      </c>
    </row>
    <row r="3161" spans="1:10" hidden="1" x14ac:dyDescent="0.25">
      <c r="A3161" s="174"/>
      <c r="B3161" s="177"/>
      <c r="C3161" s="39"/>
      <c r="D3161" s="39"/>
      <c r="E3161" s="40"/>
      <c r="F3161" s="55" t="s">
        <v>13</v>
      </c>
      <c r="G3161" s="41" t="str">
        <f>IF(ISNUMBER(F3161),E3161*F3161,"")</f>
        <v/>
      </c>
      <c r="H3161" s="42"/>
      <c r="I3161" s="38"/>
      <c r="J3161" s="37">
        <v>0</v>
      </c>
    </row>
    <row r="3162" spans="1:10" ht="38.25" hidden="1" x14ac:dyDescent="0.25">
      <c r="A3162" s="174"/>
      <c r="B3162" s="177"/>
      <c r="C3162" s="43" t="s">
        <v>10660</v>
      </c>
      <c r="D3162" s="43" t="s">
        <v>83</v>
      </c>
      <c r="E3162" s="44">
        <v>0.74299999999999999</v>
      </c>
      <c r="F3162" s="38">
        <v>0.20899999999999999</v>
      </c>
      <c r="G3162" s="41">
        <f>IF(ISNUMBER(F3162),E3162*F3162,"")</f>
        <v>0.15528699999999998</v>
      </c>
      <c r="H3162" s="46">
        <f>SUM(G3162:G3166)</f>
        <v>11.8276672</v>
      </c>
      <c r="I3162" s="47"/>
      <c r="J3162" s="37">
        <v>0</v>
      </c>
    </row>
    <row r="3163" spans="1:10" ht="25.5" hidden="1" x14ac:dyDescent="0.25">
      <c r="A3163" s="174"/>
      <c r="B3163" s="177"/>
      <c r="C3163" s="43" t="s">
        <v>10661</v>
      </c>
      <c r="D3163" s="43" t="s">
        <v>1044</v>
      </c>
      <c r="E3163" s="44">
        <v>2.5000000000000001E-2</v>
      </c>
      <c r="F3163" s="38">
        <v>19</v>
      </c>
      <c r="G3163" s="41">
        <f>IF(ISNUMBER(F3163),E3163*F3163,"")</f>
        <v>0.47500000000000003</v>
      </c>
      <c r="H3163" s="42"/>
      <c r="I3163" s="38"/>
      <c r="J3163" s="37">
        <v>0</v>
      </c>
    </row>
    <row r="3164" spans="1:10" hidden="1" x14ac:dyDescent="0.25">
      <c r="A3164" s="174"/>
      <c r="B3164" s="177"/>
      <c r="C3164" s="43" t="s">
        <v>10643</v>
      </c>
      <c r="D3164" s="43" t="s">
        <v>2800</v>
      </c>
      <c r="E3164" s="44">
        <v>9.1999999999999998E-3</v>
      </c>
      <c r="F3164" s="38">
        <v>24.519499999999997</v>
      </c>
      <c r="G3164" s="41">
        <f>IF(ISNUMBER(F3164),E3164*F3164,"")</f>
        <v>0.22557939999999996</v>
      </c>
      <c r="H3164" s="42"/>
      <c r="I3164" s="38"/>
      <c r="J3164" s="37">
        <v>0</v>
      </c>
    </row>
    <row r="3165" spans="1:10" hidden="1" x14ac:dyDescent="0.25">
      <c r="A3165" s="174"/>
      <c r="B3165" s="177"/>
      <c r="C3165" s="43" t="s">
        <v>10644</v>
      </c>
      <c r="D3165" s="43" t="s">
        <v>2800</v>
      </c>
      <c r="E3165" s="44">
        <v>5.6099999999999997E-2</v>
      </c>
      <c r="F3165" s="38">
        <v>30.837</v>
      </c>
      <c r="G3165" s="41">
        <f>IF(ISNUMBER(F3165),E3165*F3165,"")</f>
        <v>1.7299556999999999</v>
      </c>
      <c r="H3165" s="42"/>
      <c r="I3165" s="38"/>
      <c r="J3165" s="37">
        <v>0</v>
      </c>
    </row>
    <row r="3166" spans="1:10" hidden="1" x14ac:dyDescent="0.25">
      <c r="A3166" s="174"/>
      <c r="B3166" s="177"/>
      <c r="C3166" s="43" t="s">
        <v>10692</v>
      </c>
      <c r="D3166" s="43" t="s">
        <v>1044</v>
      </c>
      <c r="E3166" s="44">
        <v>1</v>
      </c>
      <c r="F3166" s="38">
        <v>9.2418451000000008</v>
      </c>
      <c r="G3166" s="41">
        <f>IF(ISNUMBER(F3166),E3166*F3166,"")</f>
        <v>9.2418451000000008</v>
      </c>
      <c r="H3166" s="42"/>
      <c r="I3166" s="38"/>
      <c r="J3166" s="37">
        <v>0</v>
      </c>
    </row>
    <row r="3167" spans="1:10" ht="15.75" hidden="1" thickBot="1" x14ac:dyDescent="0.3">
      <c r="A3167" s="175"/>
      <c r="B3167" s="178"/>
      <c r="C3167" s="49"/>
      <c r="D3167" s="49"/>
      <c r="E3167" s="50"/>
      <c r="F3167" s="51" t="s">
        <v>13</v>
      </c>
      <c r="G3167" s="52" t="str">
        <f>IF(ISNUMBER(F3167),E3167*F3167,"")</f>
        <v/>
      </c>
      <c r="H3167" s="53"/>
      <c r="I3167" s="38"/>
      <c r="J3167" s="37">
        <v>0</v>
      </c>
    </row>
    <row r="3168" spans="1:10" ht="15.75" hidden="1" thickBot="1" x14ac:dyDescent="0.3">
      <c r="A3168" s="173" t="s">
        <v>793</v>
      </c>
      <c r="B3168" s="176" t="s">
        <v>4287</v>
      </c>
      <c r="C3168" s="31"/>
      <c r="D3168" s="32" t="s">
        <v>18</v>
      </c>
      <c r="E3168" s="33"/>
      <c r="F3168" s="54" t="s">
        <v>13</v>
      </c>
      <c r="G3168" s="34" t="str">
        <f>IF(ISNUMBER(F3168),E3168*F3168,"")</f>
        <v/>
      </c>
      <c r="H3168" s="35"/>
      <c r="I3168" s="36"/>
      <c r="J3168" s="37">
        <v>0</v>
      </c>
    </row>
    <row r="3169" spans="1:10" hidden="1" x14ac:dyDescent="0.25">
      <c r="A3169" s="174"/>
      <c r="B3169" s="177"/>
      <c r="C3169" s="39"/>
      <c r="D3169" s="39"/>
      <c r="E3169" s="40"/>
      <c r="F3169" s="55" t="s">
        <v>13</v>
      </c>
      <c r="G3169" s="41" t="str">
        <f>IF(ISNUMBER(F3169),E3169*F3169,"")</f>
        <v/>
      </c>
      <c r="H3169" s="42"/>
      <c r="I3169" s="38"/>
      <c r="J3169" s="37">
        <v>0</v>
      </c>
    </row>
    <row r="3170" spans="1:10" hidden="1" x14ac:dyDescent="0.25">
      <c r="A3170" s="174"/>
      <c r="B3170" s="177"/>
      <c r="C3170" s="43" t="s">
        <v>10831</v>
      </c>
      <c r="D3170" s="43" t="s">
        <v>2800</v>
      </c>
      <c r="E3170" s="44">
        <v>0.2</v>
      </c>
      <c r="F3170" s="41">
        <v>28.6615</v>
      </c>
      <c r="G3170" s="41">
        <f>IF(ISNUMBER(F3170),E3170*F3170,"")</f>
        <v>5.7323000000000004</v>
      </c>
      <c r="H3170" s="46">
        <f>SUM(G3170:G3171)</f>
        <v>5.7323000000000004</v>
      </c>
      <c r="I3170" s="47"/>
      <c r="J3170" s="37">
        <v>0</v>
      </c>
    </row>
    <row r="3171" spans="1:10" ht="25.5" hidden="1" x14ac:dyDescent="0.25">
      <c r="A3171" s="174"/>
      <c r="B3171" s="177"/>
      <c r="C3171" s="43" t="s">
        <v>794</v>
      </c>
      <c r="D3171" s="43" t="s">
        <v>18</v>
      </c>
      <c r="E3171" s="44">
        <v>1</v>
      </c>
      <c r="F3171" s="38" t="s">
        <v>13</v>
      </c>
      <c r="G3171" s="41" t="str">
        <f>IF(ISNUMBER(F3171),E3171*F3171,"")</f>
        <v/>
      </c>
      <c r="H3171" s="42"/>
      <c r="I3171" s="38"/>
      <c r="J3171" s="37">
        <v>0</v>
      </c>
    </row>
    <row r="3172" spans="1:10" ht="15.75" hidden="1" thickBot="1" x14ac:dyDescent="0.3">
      <c r="A3172" s="175"/>
      <c r="B3172" s="178"/>
      <c r="C3172" s="49"/>
      <c r="D3172" s="49"/>
      <c r="E3172" s="50"/>
      <c r="F3172" s="51" t="s">
        <v>13</v>
      </c>
      <c r="G3172" s="52" t="str">
        <f>IF(ISNUMBER(F3172),E3172*F3172,"")</f>
        <v/>
      </c>
      <c r="H3172" s="53"/>
      <c r="I3172" s="38"/>
      <c r="J3172" s="37">
        <v>0</v>
      </c>
    </row>
    <row r="3173" spans="1:10" ht="15.75" hidden="1" thickBot="1" x14ac:dyDescent="0.3">
      <c r="A3173" s="173" t="s">
        <v>795</v>
      </c>
      <c r="B3173" s="176" t="s">
        <v>4288</v>
      </c>
      <c r="C3173" s="31"/>
      <c r="D3173" s="32" t="s">
        <v>18</v>
      </c>
      <c r="E3173" s="33"/>
      <c r="F3173" s="54" t="s">
        <v>13</v>
      </c>
      <c r="G3173" s="34" t="str">
        <f>IF(ISNUMBER(F3173),E3173*F3173,"")</f>
        <v/>
      </c>
      <c r="H3173" s="35"/>
      <c r="I3173" s="36"/>
      <c r="J3173" s="37">
        <v>0</v>
      </c>
    </row>
    <row r="3174" spans="1:10" hidden="1" x14ac:dyDescent="0.25">
      <c r="A3174" s="174"/>
      <c r="B3174" s="177"/>
      <c r="C3174" s="39"/>
      <c r="D3174" s="39"/>
      <c r="E3174" s="40"/>
      <c r="F3174" s="55" t="s">
        <v>13</v>
      </c>
      <c r="G3174" s="41" t="str">
        <f>IF(ISNUMBER(F3174),E3174*F3174,"")</f>
        <v/>
      </c>
      <c r="H3174" s="42"/>
      <c r="I3174" s="38"/>
      <c r="J3174" s="37">
        <v>0</v>
      </c>
    </row>
    <row r="3175" spans="1:10" hidden="1" x14ac:dyDescent="0.25">
      <c r="A3175" s="174"/>
      <c r="B3175" s="177"/>
      <c r="C3175" s="43" t="s">
        <v>10831</v>
      </c>
      <c r="D3175" s="43" t="s">
        <v>2800</v>
      </c>
      <c r="E3175" s="44">
        <v>0.3</v>
      </c>
      <c r="F3175" s="41">
        <v>28.6615</v>
      </c>
      <c r="G3175" s="41">
        <f>IF(ISNUMBER(F3175),E3175*F3175,"")</f>
        <v>8.5984499999999997</v>
      </c>
      <c r="H3175" s="46">
        <f>SUM(G3175:G3176)</f>
        <v>8.5984499999999997</v>
      </c>
      <c r="I3175" s="47"/>
      <c r="J3175" s="37">
        <v>0</v>
      </c>
    </row>
    <row r="3176" spans="1:10" ht="38.25" hidden="1" x14ac:dyDescent="0.25">
      <c r="A3176" s="174"/>
      <c r="B3176" s="177"/>
      <c r="C3176" s="43" t="s">
        <v>796</v>
      </c>
      <c r="D3176" s="43" t="s">
        <v>18</v>
      </c>
      <c r="E3176" s="44">
        <v>1</v>
      </c>
      <c r="F3176" s="38" t="s">
        <v>13</v>
      </c>
      <c r="G3176" s="41" t="str">
        <f>IF(ISNUMBER(F3176),E3176*F3176,"")</f>
        <v/>
      </c>
      <c r="H3176" s="42"/>
      <c r="I3176" s="38"/>
      <c r="J3176" s="37">
        <v>0</v>
      </c>
    </row>
    <row r="3177" spans="1:10" ht="15.75" hidden="1" thickBot="1" x14ac:dyDescent="0.3">
      <c r="A3177" s="175"/>
      <c r="B3177" s="178"/>
      <c r="C3177" s="49"/>
      <c r="D3177" s="49"/>
      <c r="E3177" s="50"/>
      <c r="F3177" s="51" t="s">
        <v>13</v>
      </c>
      <c r="G3177" s="52" t="str">
        <f>IF(ISNUMBER(F3177),E3177*F3177,"")</f>
        <v/>
      </c>
      <c r="H3177" s="53"/>
      <c r="I3177" s="38"/>
      <c r="J3177" s="37">
        <v>0</v>
      </c>
    </row>
    <row r="3178" spans="1:10" ht="15.75" hidden="1" thickBot="1" x14ac:dyDescent="0.3">
      <c r="A3178" s="173" t="s">
        <v>797</v>
      </c>
      <c r="B3178" s="176" t="s">
        <v>4289</v>
      </c>
      <c r="C3178" s="31"/>
      <c r="D3178" s="32" t="s">
        <v>18</v>
      </c>
      <c r="E3178" s="33"/>
      <c r="F3178" s="54" t="s">
        <v>13</v>
      </c>
      <c r="G3178" s="34" t="str">
        <f>IF(ISNUMBER(F3178),E3178*F3178,"")</f>
        <v/>
      </c>
      <c r="H3178" s="35"/>
      <c r="I3178" s="36"/>
      <c r="J3178" s="37">
        <v>0</v>
      </c>
    </row>
    <row r="3179" spans="1:10" hidden="1" x14ac:dyDescent="0.25">
      <c r="A3179" s="174"/>
      <c r="B3179" s="177"/>
      <c r="C3179" s="39"/>
      <c r="D3179" s="39"/>
      <c r="E3179" s="40"/>
      <c r="F3179" s="55" t="s">
        <v>13</v>
      </c>
      <c r="G3179" s="41" t="str">
        <f>IF(ISNUMBER(F3179),E3179*F3179,"")</f>
        <v/>
      </c>
      <c r="H3179" s="42"/>
      <c r="I3179" s="38"/>
      <c r="J3179" s="37">
        <v>0</v>
      </c>
    </row>
    <row r="3180" spans="1:10" hidden="1" x14ac:dyDescent="0.25">
      <c r="A3180" s="174"/>
      <c r="B3180" s="177"/>
      <c r="C3180" s="43" t="s">
        <v>10831</v>
      </c>
      <c r="D3180" s="43" t="s">
        <v>2800</v>
      </c>
      <c r="E3180" s="44">
        <v>0.3</v>
      </c>
      <c r="F3180" s="41">
        <v>28.6615</v>
      </c>
      <c r="G3180" s="41">
        <f>IF(ISNUMBER(F3180),E3180*F3180,"")</f>
        <v>8.5984499999999997</v>
      </c>
      <c r="H3180" s="46">
        <f>SUM(G3180:G3181)</f>
        <v>8.5984499999999997</v>
      </c>
      <c r="I3180" s="47"/>
      <c r="J3180" s="37">
        <v>0</v>
      </c>
    </row>
    <row r="3181" spans="1:10" ht="38.25" hidden="1" x14ac:dyDescent="0.25">
      <c r="A3181" s="174"/>
      <c r="B3181" s="177"/>
      <c r="C3181" s="43" t="s">
        <v>798</v>
      </c>
      <c r="D3181" s="43" t="s">
        <v>18</v>
      </c>
      <c r="E3181" s="44">
        <v>1</v>
      </c>
      <c r="F3181" s="38" t="s">
        <v>13</v>
      </c>
      <c r="G3181" s="41" t="str">
        <f>IF(ISNUMBER(F3181),E3181*F3181,"")</f>
        <v/>
      </c>
      <c r="H3181" s="42"/>
      <c r="I3181" s="38"/>
      <c r="J3181" s="37">
        <v>0</v>
      </c>
    </row>
    <row r="3182" spans="1:10" ht="15.75" hidden="1" thickBot="1" x14ac:dyDescent="0.3">
      <c r="A3182" s="175"/>
      <c r="B3182" s="178"/>
      <c r="C3182" s="49"/>
      <c r="D3182" s="49"/>
      <c r="E3182" s="50"/>
      <c r="F3182" s="51" t="s">
        <v>13</v>
      </c>
      <c r="G3182" s="52" t="str">
        <f>IF(ISNUMBER(F3182),E3182*F3182,"")</f>
        <v/>
      </c>
      <c r="H3182" s="53"/>
      <c r="I3182" s="38"/>
      <c r="J3182" s="37">
        <v>0</v>
      </c>
    </row>
    <row r="3183" spans="1:10" ht="15.75" hidden="1" thickBot="1" x14ac:dyDescent="0.3">
      <c r="A3183" s="173" t="s">
        <v>799</v>
      </c>
      <c r="B3183" s="176" t="s">
        <v>4290</v>
      </c>
      <c r="C3183" s="31"/>
      <c r="D3183" s="32" t="s">
        <v>18</v>
      </c>
      <c r="E3183" s="33"/>
      <c r="F3183" s="54" t="s">
        <v>13</v>
      </c>
      <c r="G3183" s="34" t="str">
        <f>IF(ISNUMBER(F3183),E3183*F3183,"")</f>
        <v/>
      </c>
      <c r="H3183" s="35"/>
      <c r="I3183" s="36"/>
      <c r="J3183" s="37">
        <v>0</v>
      </c>
    </row>
    <row r="3184" spans="1:10" hidden="1" x14ac:dyDescent="0.25">
      <c r="A3184" s="174"/>
      <c r="B3184" s="177"/>
      <c r="C3184" s="39"/>
      <c r="D3184" s="39"/>
      <c r="E3184" s="40"/>
      <c r="F3184" s="55" t="s">
        <v>13</v>
      </c>
      <c r="G3184" s="41" t="str">
        <f>IF(ISNUMBER(F3184),E3184*F3184,"")</f>
        <v/>
      </c>
      <c r="H3184" s="42"/>
      <c r="I3184" s="38"/>
      <c r="J3184" s="37">
        <v>0</v>
      </c>
    </row>
    <row r="3185" spans="1:10" hidden="1" x14ac:dyDescent="0.25">
      <c r="A3185" s="174"/>
      <c r="B3185" s="177"/>
      <c r="C3185" s="43" t="s">
        <v>10831</v>
      </c>
      <c r="D3185" s="43" t="s">
        <v>2800</v>
      </c>
      <c r="E3185" s="44">
        <v>0.3</v>
      </c>
      <c r="F3185" s="41">
        <v>28.6615</v>
      </c>
      <c r="G3185" s="41">
        <f>IF(ISNUMBER(F3185),E3185*F3185,"")</f>
        <v>8.5984499999999997</v>
      </c>
      <c r="H3185" s="46">
        <f>SUM(G3185:G3186)</f>
        <v>8.5984499999999997</v>
      </c>
      <c r="I3185" s="47"/>
      <c r="J3185" s="37">
        <v>0</v>
      </c>
    </row>
    <row r="3186" spans="1:10" ht="25.5" hidden="1" x14ac:dyDescent="0.25">
      <c r="A3186" s="174"/>
      <c r="B3186" s="177"/>
      <c r="C3186" s="43" t="s">
        <v>800</v>
      </c>
      <c r="D3186" s="43" t="s">
        <v>18</v>
      </c>
      <c r="E3186" s="44">
        <v>1</v>
      </c>
      <c r="F3186" s="38" t="s">
        <v>13</v>
      </c>
      <c r="G3186" s="41" t="str">
        <f>IF(ISNUMBER(F3186),E3186*F3186,"")</f>
        <v/>
      </c>
      <c r="H3186" s="42"/>
      <c r="I3186" s="38"/>
      <c r="J3186" s="37">
        <v>0</v>
      </c>
    </row>
    <row r="3187" spans="1:10" ht="15.75" hidden="1" thickBot="1" x14ac:dyDescent="0.3">
      <c r="A3187" s="175"/>
      <c r="B3187" s="178"/>
      <c r="C3187" s="49"/>
      <c r="D3187" s="49"/>
      <c r="E3187" s="50"/>
      <c r="F3187" s="51" t="s">
        <v>13</v>
      </c>
      <c r="G3187" s="52" t="str">
        <f>IF(ISNUMBER(F3187),E3187*F3187,"")</f>
        <v/>
      </c>
      <c r="H3187" s="53"/>
      <c r="I3187" s="38"/>
      <c r="J3187" s="37">
        <v>0</v>
      </c>
    </row>
    <row r="3188" spans="1:10" ht="15.75" hidden="1" thickBot="1" x14ac:dyDescent="0.3">
      <c r="A3188" s="173" t="s">
        <v>801</v>
      </c>
      <c r="B3188" s="176" t="s">
        <v>4291</v>
      </c>
      <c r="C3188" s="31"/>
      <c r="D3188" s="32" t="s">
        <v>18</v>
      </c>
      <c r="E3188" s="33"/>
      <c r="F3188" s="54" t="s">
        <v>13</v>
      </c>
      <c r="G3188" s="34" t="str">
        <f>IF(ISNUMBER(F3188),E3188*F3188,"")</f>
        <v/>
      </c>
      <c r="H3188" s="35"/>
      <c r="I3188" s="36"/>
      <c r="J3188" s="37">
        <v>0</v>
      </c>
    </row>
    <row r="3189" spans="1:10" hidden="1" x14ac:dyDescent="0.25">
      <c r="A3189" s="174"/>
      <c r="B3189" s="177"/>
      <c r="C3189" s="39"/>
      <c r="D3189" s="39"/>
      <c r="E3189" s="40"/>
      <c r="F3189" s="55" t="s">
        <v>13</v>
      </c>
      <c r="G3189" s="41" t="str">
        <f>IF(ISNUMBER(F3189),E3189*F3189,"")</f>
        <v/>
      </c>
      <c r="H3189" s="42"/>
      <c r="I3189" s="38"/>
      <c r="J3189" s="37">
        <v>0</v>
      </c>
    </row>
    <row r="3190" spans="1:10" hidden="1" x14ac:dyDescent="0.25">
      <c r="A3190" s="174"/>
      <c r="B3190" s="177"/>
      <c r="C3190" s="43" t="s">
        <v>10831</v>
      </c>
      <c r="D3190" s="43" t="s">
        <v>2800</v>
      </c>
      <c r="E3190" s="44">
        <v>0.15</v>
      </c>
      <c r="F3190" s="41">
        <v>28.6615</v>
      </c>
      <c r="G3190" s="41">
        <f>IF(ISNUMBER(F3190),E3190*F3190,"")</f>
        <v>4.2992249999999999</v>
      </c>
      <c r="H3190" s="46">
        <f>SUM(G3190:G3191)</f>
        <v>4.2992249999999999</v>
      </c>
      <c r="I3190" s="47"/>
      <c r="J3190" s="37">
        <v>0</v>
      </c>
    </row>
    <row r="3191" spans="1:10" ht="25.5" hidden="1" x14ac:dyDescent="0.25">
      <c r="A3191" s="174"/>
      <c r="B3191" s="177"/>
      <c r="C3191" s="43" t="s">
        <v>802</v>
      </c>
      <c r="D3191" s="43" t="s">
        <v>18</v>
      </c>
      <c r="E3191" s="44">
        <v>1</v>
      </c>
      <c r="F3191" s="38" t="s">
        <v>13</v>
      </c>
      <c r="G3191" s="41" t="str">
        <f>IF(ISNUMBER(F3191),E3191*F3191,"")</f>
        <v/>
      </c>
      <c r="H3191" s="42"/>
      <c r="I3191" s="38"/>
      <c r="J3191" s="37">
        <v>0</v>
      </c>
    </row>
    <row r="3192" spans="1:10" ht="15.75" hidden="1" thickBot="1" x14ac:dyDescent="0.3">
      <c r="A3192" s="175"/>
      <c r="B3192" s="178"/>
      <c r="C3192" s="49"/>
      <c r="D3192" s="49"/>
      <c r="E3192" s="50"/>
      <c r="F3192" s="51" t="s">
        <v>13</v>
      </c>
      <c r="G3192" s="52" t="str">
        <f>IF(ISNUMBER(F3192),E3192*F3192,"")</f>
        <v/>
      </c>
      <c r="H3192" s="53"/>
      <c r="I3192" s="38"/>
      <c r="J3192" s="37">
        <v>0</v>
      </c>
    </row>
    <row r="3193" spans="1:10" ht="15.75" hidden="1" thickBot="1" x14ac:dyDescent="0.3">
      <c r="A3193" s="173" t="s">
        <v>803</v>
      </c>
      <c r="B3193" s="176" t="s">
        <v>4292</v>
      </c>
      <c r="C3193" s="31"/>
      <c r="D3193" s="32" t="s">
        <v>18</v>
      </c>
      <c r="E3193" s="33"/>
      <c r="F3193" s="54" t="s">
        <v>13</v>
      </c>
      <c r="G3193" s="34" t="str">
        <f>IF(ISNUMBER(F3193),E3193*F3193,"")</f>
        <v/>
      </c>
      <c r="H3193" s="35"/>
      <c r="I3193" s="36"/>
      <c r="J3193" s="37">
        <v>0</v>
      </c>
    </row>
    <row r="3194" spans="1:10" hidden="1" x14ac:dyDescent="0.25">
      <c r="A3194" s="174"/>
      <c r="B3194" s="177"/>
      <c r="C3194" s="39"/>
      <c r="D3194" s="39"/>
      <c r="E3194" s="40"/>
      <c r="F3194" s="55" t="s">
        <v>13</v>
      </c>
      <c r="G3194" s="41" t="str">
        <f>IF(ISNUMBER(F3194),E3194*F3194,"")</f>
        <v/>
      </c>
      <c r="H3194" s="42"/>
      <c r="I3194" s="38"/>
      <c r="J3194" s="37">
        <v>0</v>
      </c>
    </row>
    <row r="3195" spans="1:10" hidden="1" x14ac:dyDescent="0.25">
      <c r="A3195" s="174"/>
      <c r="B3195" s="177"/>
      <c r="C3195" s="43" t="s">
        <v>10831</v>
      </c>
      <c r="D3195" s="43" t="s">
        <v>2800</v>
      </c>
      <c r="E3195" s="44">
        <v>0.15</v>
      </c>
      <c r="F3195" s="41">
        <v>28.6615</v>
      </c>
      <c r="G3195" s="41">
        <f>IF(ISNUMBER(F3195),E3195*F3195,"")</f>
        <v>4.2992249999999999</v>
      </c>
      <c r="H3195" s="46">
        <f>SUM(G3195:G3196)</f>
        <v>4.2992249999999999</v>
      </c>
      <c r="I3195" s="47"/>
      <c r="J3195" s="37">
        <v>0</v>
      </c>
    </row>
    <row r="3196" spans="1:10" ht="25.5" hidden="1" x14ac:dyDescent="0.25">
      <c r="A3196" s="174"/>
      <c r="B3196" s="177"/>
      <c r="C3196" s="43" t="s">
        <v>804</v>
      </c>
      <c r="D3196" s="43" t="s">
        <v>18</v>
      </c>
      <c r="E3196" s="44">
        <v>1</v>
      </c>
      <c r="F3196" s="38" t="s">
        <v>13</v>
      </c>
      <c r="G3196" s="41" t="str">
        <f>IF(ISNUMBER(F3196),E3196*F3196,"")</f>
        <v/>
      </c>
      <c r="H3196" s="42"/>
      <c r="I3196" s="38"/>
      <c r="J3196" s="37">
        <v>0</v>
      </c>
    </row>
    <row r="3197" spans="1:10" ht="15.75" hidden="1" thickBot="1" x14ac:dyDescent="0.3">
      <c r="A3197" s="175"/>
      <c r="B3197" s="178"/>
      <c r="C3197" s="49"/>
      <c r="D3197" s="49"/>
      <c r="E3197" s="50"/>
      <c r="F3197" s="51" t="s">
        <v>13</v>
      </c>
      <c r="G3197" s="52" t="str">
        <f>IF(ISNUMBER(F3197),E3197*F3197,"")</f>
        <v/>
      </c>
      <c r="H3197" s="53"/>
      <c r="I3197" s="38"/>
      <c r="J3197" s="37">
        <v>0</v>
      </c>
    </row>
    <row r="3198" spans="1:10" ht="15.75" hidden="1" thickBot="1" x14ac:dyDescent="0.3">
      <c r="A3198" s="173" t="s">
        <v>805</v>
      </c>
      <c r="B3198" s="176" t="s">
        <v>4293</v>
      </c>
      <c r="C3198" s="31"/>
      <c r="D3198" s="32" t="s">
        <v>18</v>
      </c>
      <c r="E3198" s="33"/>
      <c r="F3198" s="54" t="s">
        <v>13</v>
      </c>
      <c r="G3198" s="34" t="str">
        <f>IF(ISNUMBER(F3198),E3198*F3198,"")</f>
        <v/>
      </c>
      <c r="H3198" s="35"/>
      <c r="I3198" s="36"/>
      <c r="J3198" s="37">
        <v>0</v>
      </c>
    </row>
    <row r="3199" spans="1:10" hidden="1" x14ac:dyDescent="0.25">
      <c r="A3199" s="174"/>
      <c r="B3199" s="177"/>
      <c r="C3199" s="39"/>
      <c r="D3199" s="39"/>
      <c r="E3199" s="40"/>
      <c r="F3199" s="55" t="s">
        <v>13</v>
      </c>
      <c r="G3199" s="41" t="str">
        <f>IF(ISNUMBER(F3199),E3199*F3199,"")</f>
        <v/>
      </c>
      <c r="H3199" s="42"/>
      <c r="I3199" s="38"/>
      <c r="J3199" s="37">
        <v>0</v>
      </c>
    </row>
    <row r="3200" spans="1:10" hidden="1" x14ac:dyDescent="0.25">
      <c r="A3200" s="174"/>
      <c r="B3200" s="177"/>
      <c r="C3200" s="43" t="s">
        <v>10831</v>
      </c>
      <c r="D3200" s="43" t="s">
        <v>2800</v>
      </c>
      <c r="E3200" s="44">
        <v>0.15</v>
      </c>
      <c r="F3200" s="41">
        <v>28.6615</v>
      </c>
      <c r="G3200" s="41">
        <f>IF(ISNUMBER(F3200),E3200*F3200,"")</f>
        <v>4.2992249999999999</v>
      </c>
      <c r="H3200" s="46">
        <f>SUM(G3200:G3201)</f>
        <v>4.2992249999999999</v>
      </c>
      <c r="I3200" s="47"/>
      <c r="J3200" s="37">
        <v>0</v>
      </c>
    </row>
    <row r="3201" spans="1:10" ht="25.5" hidden="1" x14ac:dyDescent="0.25">
      <c r="A3201" s="174"/>
      <c r="B3201" s="177"/>
      <c r="C3201" s="43" t="s">
        <v>806</v>
      </c>
      <c r="D3201" s="43" t="s">
        <v>18</v>
      </c>
      <c r="E3201" s="44">
        <v>1</v>
      </c>
      <c r="F3201" s="38" t="s">
        <v>13</v>
      </c>
      <c r="G3201" s="41" t="str">
        <f>IF(ISNUMBER(F3201),E3201*F3201,"")</f>
        <v/>
      </c>
      <c r="H3201" s="42"/>
      <c r="I3201" s="38"/>
      <c r="J3201" s="37">
        <v>0</v>
      </c>
    </row>
    <row r="3202" spans="1:10" ht="15.75" hidden="1" thickBot="1" x14ac:dyDescent="0.3">
      <c r="A3202" s="175"/>
      <c r="B3202" s="178"/>
      <c r="C3202" s="49"/>
      <c r="D3202" s="49"/>
      <c r="E3202" s="50"/>
      <c r="F3202" s="51" t="s">
        <v>13</v>
      </c>
      <c r="G3202" s="52" t="str">
        <f>IF(ISNUMBER(F3202),E3202*F3202,"")</f>
        <v/>
      </c>
      <c r="H3202" s="53"/>
      <c r="I3202" s="38"/>
      <c r="J3202" s="37">
        <v>0</v>
      </c>
    </row>
    <row r="3203" spans="1:10" ht="15.75" hidden="1" thickBot="1" x14ac:dyDescent="0.3">
      <c r="A3203" s="173" t="s">
        <v>807</v>
      </c>
      <c r="B3203" s="176" t="s">
        <v>4294</v>
      </c>
      <c r="C3203" s="31"/>
      <c r="D3203" s="32" t="s">
        <v>18</v>
      </c>
      <c r="E3203" s="33"/>
      <c r="F3203" s="54" t="s">
        <v>13</v>
      </c>
      <c r="G3203" s="34" t="str">
        <f>IF(ISNUMBER(F3203),E3203*F3203,"")</f>
        <v/>
      </c>
      <c r="H3203" s="35"/>
      <c r="I3203" s="36"/>
      <c r="J3203" s="37">
        <v>0</v>
      </c>
    </row>
    <row r="3204" spans="1:10" hidden="1" x14ac:dyDescent="0.25">
      <c r="A3204" s="174"/>
      <c r="B3204" s="177"/>
      <c r="C3204" s="39"/>
      <c r="D3204" s="39"/>
      <c r="E3204" s="40"/>
      <c r="F3204" s="55" t="s">
        <v>13</v>
      </c>
      <c r="G3204" s="41" t="str">
        <f>IF(ISNUMBER(F3204),E3204*F3204,"")</f>
        <v/>
      </c>
      <c r="H3204" s="42"/>
      <c r="I3204" s="38"/>
      <c r="J3204" s="37">
        <v>0</v>
      </c>
    </row>
    <row r="3205" spans="1:10" hidden="1" x14ac:dyDescent="0.25">
      <c r="A3205" s="174"/>
      <c r="B3205" s="177"/>
      <c r="C3205" s="43" t="s">
        <v>10831</v>
      </c>
      <c r="D3205" s="43" t="s">
        <v>2800</v>
      </c>
      <c r="E3205" s="44">
        <v>0.15</v>
      </c>
      <c r="F3205" s="41">
        <v>28.6615</v>
      </c>
      <c r="G3205" s="41">
        <f>IF(ISNUMBER(F3205),E3205*F3205,"")</f>
        <v>4.2992249999999999</v>
      </c>
      <c r="H3205" s="46">
        <f>SUM(G3205:G3206)</f>
        <v>4.2992249999999999</v>
      </c>
      <c r="I3205" s="47"/>
      <c r="J3205" s="37">
        <v>0</v>
      </c>
    </row>
    <row r="3206" spans="1:10" hidden="1" x14ac:dyDescent="0.25">
      <c r="A3206" s="174"/>
      <c r="B3206" s="177"/>
      <c r="C3206" s="43" t="s">
        <v>808</v>
      </c>
      <c r="D3206" s="43" t="s">
        <v>18</v>
      </c>
      <c r="E3206" s="44">
        <v>1</v>
      </c>
      <c r="F3206" s="38" t="s">
        <v>13</v>
      </c>
      <c r="G3206" s="41" t="str">
        <f>IF(ISNUMBER(F3206),E3206*F3206,"")</f>
        <v/>
      </c>
      <c r="H3206" s="42"/>
      <c r="I3206" s="38"/>
      <c r="J3206" s="37">
        <v>0</v>
      </c>
    </row>
    <row r="3207" spans="1:10" ht="15.75" hidden="1" thickBot="1" x14ac:dyDescent="0.3">
      <c r="A3207" s="175"/>
      <c r="B3207" s="178"/>
      <c r="C3207" s="49"/>
      <c r="D3207" s="49"/>
      <c r="E3207" s="50"/>
      <c r="F3207" s="51" t="s">
        <v>13</v>
      </c>
      <c r="G3207" s="52" t="str">
        <f>IF(ISNUMBER(F3207),E3207*F3207,"")</f>
        <v/>
      </c>
      <c r="H3207" s="53"/>
      <c r="I3207" s="38"/>
      <c r="J3207" s="37">
        <v>0</v>
      </c>
    </row>
    <row r="3208" spans="1:10" ht="15.75" hidden="1" thickBot="1" x14ac:dyDescent="0.3">
      <c r="A3208" s="173" t="s">
        <v>809</v>
      </c>
      <c r="B3208" s="176" t="s">
        <v>4295</v>
      </c>
      <c r="C3208" s="31"/>
      <c r="D3208" s="32" t="s">
        <v>18</v>
      </c>
      <c r="E3208" s="33"/>
      <c r="F3208" s="54" t="s">
        <v>13</v>
      </c>
      <c r="G3208" s="34" t="str">
        <f>IF(ISNUMBER(F3208),E3208*F3208,"")</f>
        <v/>
      </c>
      <c r="H3208" s="35"/>
      <c r="I3208" s="36"/>
      <c r="J3208" s="37">
        <v>0</v>
      </c>
    </row>
    <row r="3209" spans="1:10" hidden="1" x14ac:dyDescent="0.25">
      <c r="A3209" s="174"/>
      <c r="B3209" s="177"/>
      <c r="C3209" s="39"/>
      <c r="D3209" s="39"/>
      <c r="E3209" s="40"/>
      <c r="F3209" s="55" t="s">
        <v>13</v>
      </c>
      <c r="G3209" s="41" t="str">
        <f>IF(ISNUMBER(F3209),E3209*F3209,"")</f>
        <v/>
      </c>
      <c r="H3209" s="42"/>
      <c r="I3209" s="38"/>
      <c r="J3209" s="37">
        <v>0</v>
      </c>
    </row>
    <row r="3210" spans="1:10" hidden="1" x14ac:dyDescent="0.25">
      <c r="A3210" s="174"/>
      <c r="B3210" s="177"/>
      <c r="C3210" s="43" t="s">
        <v>10831</v>
      </c>
      <c r="D3210" s="43" t="s">
        <v>2800</v>
      </c>
      <c r="E3210" s="44">
        <v>0.4</v>
      </c>
      <c r="F3210" s="41">
        <v>28.6615</v>
      </c>
      <c r="G3210" s="41">
        <f>IF(ISNUMBER(F3210),E3210*F3210,"")</f>
        <v>11.464600000000001</v>
      </c>
      <c r="H3210" s="46">
        <f>SUM(G3210:G3211)</f>
        <v>11.464600000000001</v>
      </c>
      <c r="I3210" s="47"/>
      <c r="J3210" s="37">
        <v>0</v>
      </c>
    </row>
    <row r="3211" spans="1:10" ht="38.25" hidden="1" x14ac:dyDescent="0.25">
      <c r="A3211" s="174"/>
      <c r="B3211" s="177"/>
      <c r="C3211" s="43" t="s">
        <v>810</v>
      </c>
      <c r="D3211" s="43" t="s">
        <v>18</v>
      </c>
      <c r="E3211" s="44">
        <v>1</v>
      </c>
      <c r="F3211" s="38" t="s">
        <v>13</v>
      </c>
      <c r="G3211" s="41" t="str">
        <f>IF(ISNUMBER(F3211),E3211*F3211,"")</f>
        <v/>
      </c>
      <c r="H3211" s="42"/>
      <c r="I3211" s="38"/>
      <c r="J3211" s="37">
        <v>0</v>
      </c>
    </row>
    <row r="3212" spans="1:10" ht="15.75" hidden="1" thickBot="1" x14ac:dyDescent="0.3">
      <c r="A3212" s="175"/>
      <c r="B3212" s="178"/>
      <c r="C3212" s="49"/>
      <c r="D3212" s="49"/>
      <c r="E3212" s="50"/>
      <c r="F3212" s="51" t="s">
        <v>13</v>
      </c>
      <c r="G3212" s="52" t="str">
        <f>IF(ISNUMBER(F3212),E3212*F3212,"")</f>
        <v/>
      </c>
      <c r="H3212" s="53"/>
      <c r="I3212" s="38"/>
      <c r="J3212" s="37">
        <v>0</v>
      </c>
    </row>
    <row r="3213" spans="1:10" ht="15.75" hidden="1" thickBot="1" x14ac:dyDescent="0.3">
      <c r="A3213" s="173" t="s">
        <v>811</v>
      </c>
      <c r="B3213" s="176" t="s">
        <v>4296</v>
      </c>
      <c r="C3213" s="31"/>
      <c r="D3213" s="32" t="s">
        <v>4297</v>
      </c>
      <c r="E3213" s="33"/>
      <c r="F3213" s="54" t="s">
        <v>13</v>
      </c>
      <c r="G3213" s="34" t="str">
        <f>IF(ISNUMBER(F3213),E3213*F3213,"")</f>
        <v/>
      </c>
      <c r="H3213" s="35"/>
      <c r="I3213" s="36"/>
      <c r="J3213" s="37">
        <v>0</v>
      </c>
    </row>
    <row r="3214" spans="1:10" hidden="1" x14ac:dyDescent="0.25">
      <c r="A3214" s="179"/>
      <c r="B3214" s="177"/>
      <c r="C3214" s="39"/>
      <c r="D3214" s="39"/>
      <c r="E3214" s="40"/>
      <c r="F3214" s="55" t="s">
        <v>13</v>
      </c>
      <c r="G3214" s="41" t="str">
        <f>IF(ISNUMBER(F3214),E3214*F3214,"")</f>
        <v/>
      </c>
      <c r="H3214" s="42"/>
      <c r="I3214" s="38"/>
      <c r="J3214" s="37">
        <v>0</v>
      </c>
    </row>
    <row r="3215" spans="1:10" hidden="1" x14ac:dyDescent="0.25">
      <c r="A3215" s="179"/>
      <c r="B3215" s="177"/>
      <c r="C3215" s="43" t="s">
        <v>10614</v>
      </c>
      <c r="D3215" s="43" t="s">
        <v>2800</v>
      </c>
      <c r="E3215" s="44">
        <v>2.9209999999999998</v>
      </c>
      <c r="F3215" s="41">
        <v>23.693000000000001</v>
      </c>
      <c r="G3215" s="41">
        <f>IF(ISNUMBER(F3215),E3215*F3215,"")</f>
        <v>69.207252999999994</v>
      </c>
      <c r="H3215" s="46">
        <f>SUM(G3215:G3215)</f>
        <v>69.207252999999994</v>
      </c>
      <c r="I3215" s="47"/>
      <c r="J3215" s="37">
        <v>0</v>
      </c>
    </row>
    <row r="3216" spans="1:10" hidden="1" x14ac:dyDescent="0.25">
      <c r="A3216" s="179"/>
      <c r="B3216" s="177"/>
      <c r="C3216" s="43"/>
      <c r="D3216" s="43"/>
      <c r="E3216" s="44"/>
      <c r="F3216" s="38" t="s">
        <v>13</v>
      </c>
      <c r="G3216" s="41" t="str">
        <f>IF(ISNUMBER(F3216),E3216*F3216,"")</f>
        <v/>
      </c>
      <c r="H3216" s="42"/>
      <c r="I3216" s="38"/>
      <c r="J3216" s="37">
        <v>0</v>
      </c>
    </row>
    <row r="3217" spans="1:10" hidden="1" x14ac:dyDescent="0.25">
      <c r="A3217" s="179"/>
      <c r="B3217" s="177"/>
      <c r="C3217" s="65" t="s">
        <v>786</v>
      </c>
      <c r="D3217" s="43"/>
      <c r="E3217" s="44"/>
      <c r="F3217" s="38" t="s">
        <v>13</v>
      </c>
      <c r="G3217" s="41" t="str">
        <f>IF(ISNUMBER(F3217),E3217*F3217,"")</f>
        <v/>
      </c>
      <c r="H3217" s="42"/>
      <c r="I3217" s="38"/>
      <c r="J3217" s="37">
        <v>0</v>
      </c>
    </row>
    <row r="3218" spans="1:10" ht="15.75" hidden="1" thickBot="1" x14ac:dyDescent="0.3">
      <c r="A3218" s="180"/>
      <c r="B3218" s="178"/>
      <c r="C3218" s="49"/>
      <c r="D3218" s="49"/>
      <c r="E3218" s="50"/>
      <c r="F3218" s="51" t="s">
        <v>13</v>
      </c>
      <c r="G3218" s="52" t="str">
        <f>IF(ISNUMBER(F3218),E3218*F3218,"")</f>
        <v/>
      </c>
      <c r="H3218" s="53"/>
      <c r="I3218" s="38"/>
      <c r="J3218" s="37">
        <v>0</v>
      </c>
    </row>
    <row r="3219" spans="1:10" ht="15.75" hidden="1" thickBot="1" x14ac:dyDescent="0.3">
      <c r="A3219" s="173" t="s">
        <v>812</v>
      </c>
      <c r="B3219" s="176" t="s">
        <v>4298</v>
      </c>
      <c r="C3219" s="31"/>
      <c r="D3219" s="32" t="s">
        <v>68</v>
      </c>
      <c r="E3219" s="33"/>
      <c r="F3219" s="54" t="s">
        <v>13</v>
      </c>
      <c r="G3219" s="34" t="str">
        <f>IF(ISNUMBER(F3219),E3219*F3219,"")</f>
        <v/>
      </c>
      <c r="H3219" s="35"/>
      <c r="I3219" s="36"/>
      <c r="J3219" s="37">
        <v>0</v>
      </c>
    </row>
    <row r="3220" spans="1:10" hidden="1" x14ac:dyDescent="0.25">
      <c r="A3220" s="174"/>
      <c r="B3220" s="177"/>
      <c r="C3220" s="39"/>
      <c r="D3220" s="39"/>
      <c r="E3220" s="40"/>
      <c r="F3220" s="55" t="s">
        <v>13</v>
      </c>
      <c r="G3220" s="41" t="str">
        <f>IF(ISNUMBER(F3220),E3220*F3220,"")</f>
        <v/>
      </c>
      <c r="H3220" s="42"/>
      <c r="I3220" s="38"/>
      <c r="J3220" s="37">
        <v>0</v>
      </c>
    </row>
    <row r="3221" spans="1:10" hidden="1" x14ac:dyDescent="0.25">
      <c r="A3221" s="174"/>
      <c r="B3221" s="177"/>
      <c r="C3221" s="43" t="s">
        <v>10831</v>
      </c>
      <c r="D3221" s="43" t="s">
        <v>2800</v>
      </c>
      <c r="E3221" s="44">
        <v>1.5</v>
      </c>
      <c r="F3221" s="41">
        <v>28.6615</v>
      </c>
      <c r="G3221" s="41">
        <f>IF(ISNUMBER(F3221),E3221*F3221,"")</f>
        <v>42.992249999999999</v>
      </c>
      <c r="H3221" s="46">
        <f>SUM(G3221:G3223)</f>
        <v>192.16125</v>
      </c>
      <c r="I3221" s="47"/>
      <c r="J3221" s="37">
        <v>0</v>
      </c>
    </row>
    <row r="3222" spans="1:10" hidden="1" x14ac:dyDescent="0.25">
      <c r="A3222" s="174"/>
      <c r="B3222" s="177"/>
      <c r="C3222" s="43" t="s">
        <v>10614</v>
      </c>
      <c r="D3222" s="43" t="s">
        <v>2800</v>
      </c>
      <c r="E3222" s="44">
        <v>1</v>
      </c>
      <c r="F3222" s="41">
        <v>23.693000000000001</v>
      </c>
      <c r="G3222" s="41">
        <f>IF(ISNUMBER(F3222),E3222*F3222,"")</f>
        <v>23.693000000000001</v>
      </c>
      <c r="H3222" s="42"/>
      <c r="I3222" s="38"/>
      <c r="J3222" s="37">
        <v>0</v>
      </c>
    </row>
    <row r="3223" spans="1:10" hidden="1" x14ac:dyDescent="0.25">
      <c r="A3223" s="174"/>
      <c r="B3223" s="177"/>
      <c r="C3223" s="43" t="s">
        <v>11035</v>
      </c>
      <c r="D3223" s="43" t="s">
        <v>162</v>
      </c>
      <c r="E3223" s="44">
        <v>1</v>
      </c>
      <c r="F3223" s="38">
        <v>125.476</v>
      </c>
      <c r="G3223" s="41">
        <f>IF(ISNUMBER(F3223),E3223*F3223,"")</f>
        <v>125.476</v>
      </c>
      <c r="H3223" s="42"/>
      <c r="I3223" s="38"/>
      <c r="J3223" s="37">
        <v>0</v>
      </c>
    </row>
    <row r="3224" spans="1:10" ht="15.75" hidden="1" thickBot="1" x14ac:dyDescent="0.3">
      <c r="A3224" s="175"/>
      <c r="B3224" s="178"/>
      <c r="C3224" s="49"/>
      <c r="D3224" s="49"/>
      <c r="E3224" s="50"/>
      <c r="F3224" s="51" t="s">
        <v>13</v>
      </c>
      <c r="G3224" s="52" t="str">
        <f>IF(ISNUMBER(F3224),E3224*F3224,"")</f>
        <v/>
      </c>
      <c r="H3224" s="53"/>
      <c r="I3224" s="38"/>
      <c r="J3224" s="37">
        <v>0</v>
      </c>
    </row>
    <row r="3225" spans="1:10" ht="15.75" hidden="1" thickBot="1" x14ac:dyDescent="0.3">
      <c r="A3225" s="173" t="s">
        <v>813</v>
      </c>
      <c r="B3225" s="176" t="s">
        <v>4299</v>
      </c>
      <c r="C3225" s="31"/>
      <c r="D3225" s="32" t="s">
        <v>68</v>
      </c>
      <c r="E3225" s="33"/>
      <c r="F3225" s="54" t="s">
        <v>13</v>
      </c>
      <c r="G3225" s="34" t="str">
        <f>IF(ISNUMBER(F3225),E3225*F3225,"")</f>
        <v/>
      </c>
      <c r="H3225" s="35"/>
      <c r="I3225" s="36"/>
      <c r="J3225" s="37">
        <v>0</v>
      </c>
    </row>
    <row r="3226" spans="1:10" hidden="1" x14ac:dyDescent="0.25">
      <c r="A3226" s="174"/>
      <c r="B3226" s="177"/>
      <c r="C3226" s="39"/>
      <c r="D3226" s="39"/>
      <c r="E3226" s="40"/>
      <c r="F3226" s="55" t="s">
        <v>13</v>
      </c>
      <c r="G3226" s="41" t="str">
        <f>IF(ISNUMBER(F3226),E3226*F3226,"")</f>
        <v/>
      </c>
      <c r="H3226" s="42"/>
      <c r="I3226" s="38"/>
      <c r="J3226" s="37">
        <v>0</v>
      </c>
    </row>
    <row r="3227" spans="1:10" hidden="1" x14ac:dyDescent="0.25">
      <c r="A3227" s="174"/>
      <c r="B3227" s="177"/>
      <c r="C3227" s="43" t="s">
        <v>10831</v>
      </c>
      <c r="D3227" s="43" t="s">
        <v>2800</v>
      </c>
      <c r="E3227" s="44">
        <v>1.5</v>
      </c>
      <c r="F3227" s="41">
        <v>28.6615</v>
      </c>
      <c r="G3227" s="41">
        <f>IF(ISNUMBER(F3227),E3227*F3227,"")</f>
        <v>42.992249999999999</v>
      </c>
      <c r="H3227" s="46">
        <f>SUM(G3227:G3229)</f>
        <v>283.40874999999994</v>
      </c>
      <c r="I3227" s="47"/>
      <c r="J3227" s="37">
        <v>0</v>
      </c>
    </row>
    <row r="3228" spans="1:10" hidden="1" x14ac:dyDescent="0.25">
      <c r="A3228" s="174"/>
      <c r="B3228" s="177"/>
      <c r="C3228" s="43" t="s">
        <v>10614</v>
      </c>
      <c r="D3228" s="43" t="s">
        <v>2800</v>
      </c>
      <c r="E3228" s="44">
        <v>1</v>
      </c>
      <c r="F3228" s="41">
        <v>23.693000000000001</v>
      </c>
      <c r="G3228" s="41">
        <f>IF(ISNUMBER(F3228),E3228*F3228,"")</f>
        <v>23.693000000000001</v>
      </c>
      <c r="H3228" s="42"/>
      <c r="I3228" s="38"/>
      <c r="J3228" s="37">
        <v>0</v>
      </c>
    </row>
    <row r="3229" spans="1:10" hidden="1" x14ac:dyDescent="0.25">
      <c r="A3229" s="174"/>
      <c r="B3229" s="177"/>
      <c r="C3229" s="43" t="s">
        <v>11036</v>
      </c>
      <c r="D3229" s="43" t="s">
        <v>162</v>
      </c>
      <c r="E3229" s="44">
        <v>1</v>
      </c>
      <c r="F3229" s="38">
        <v>216.72349999999997</v>
      </c>
      <c r="G3229" s="41">
        <f>IF(ISNUMBER(F3229),E3229*F3229,"")</f>
        <v>216.72349999999997</v>
      </c>
      <c r="H3229" s="42"/>
      <c r="I3229" s="38"/>
      <c r="J3229" s="37">
        <v>0</v>
      </c>
    </row>
    <row r="3230" spans="1:10" ht="15.75" hidden="1" thickBot="1" x14ac:dyDescent="0.3">
      <c r="A3230" s="175"/>
      <c r="B3230" s="178"/>
      <c r="C3230" s="49"/>
      <c r="D3230" s="49"/>
      <c r="E3230" s="50"/>
      <c r="F3230" s="51" t="s">
        <v>13</v>
      </c>
      <c r="G3230" s="52" t="str">
        <f>IF(ISNUMBER(F3230),E3230*F3230,"")</f>
        <v/>
      </c>
      <c r="H3230" s="53"/>
      <c r="I3230" s="38"/>
      <c r="J3230" s="37">
        <v>0</v>
      </c>
    </row>
    <row r="3231" spans="1:10" ht="15.75" hidden="1" thickBot="1" x14ac:dyDescent="0.3">
      <c r="A3231" s="173" t="s">
        <v>814</v>
      </c>
      <c r="B3231" s="176" t="s">
        <v>4300</v>
      </c>
      <c r="C3231" s="31"/>
      <c r="D3231" s="32" t="s">
        <v>106</v>
      </c>
      <c r="E3231" s="33"/>
      <c r="F3231" s="54" t="s">
        <v>13</v>
      </c>
      <c r="G3231" s="34" t="str">
        <f>IF(ISNUMBER(F3231),E3231*F3231,"")</f>
        <v/>
      </c>
      <c r="H3231" s="35"/>
      <c r="I3231" s="36"/>
      <c r="J3231" s="37">
        <v>0</v>
      </c>
    </row>
    <row r="3232" spans="1:10" hidden="1" x14ac:dyDescent="0.25">
      <c r="A3232" s="174"/>
      <c r="B3232" s="177"/>
      <c r="C3232" s="39"/>
      <c r="D3232" s="39"/>
      <c r="E3232" s="40"/>
      <c r="F3232" s="55" t="s">
        <v>13</v>
      </c>
      <c r="G3232" s="41" t="str">
        <f>IF(ISNUMBER(F3232),E3232*F3232,"")</f>
        <v/>
      </c>
      <c r="H3232" s="42"/>
      <c r="I3232" s="38"/>
      <c r="J3232" s="37">
        <v>0</v>
      </c>
    </row>
    <row r="3233" spans="1:10" hidden="1" x14ac:dyDescent="0.25">
      <c r="A3233" s="174"/>
      <c r="B3233" s="177"/>
      <c r="C3233" s="43" t="s">
        <v>10831</v>
      </c>
      <c r="D3233" s="43" t="s">
        <v>2800</v>
      </c>
      <c r="E3233" s="44">
        <v>0.5</v>
      </c>
      <c r="F3233" s="41">
        <v>28.6615</v>
      </c>
      <c r="G3233" s="41">
        <f>IF(ISNUMBER(F3233),E3233*F3233,"")</f>
        <v>14.33075</v>
      </c>
      <c r="H3233" s="46">
        <f>SUM(G3233:G3235)</f>
        <v>39.424999999999997</v>
      </c>
      <c r="I3233" s="47"/>
      <c r="J3233" s="37">
        <v>0</v>
      </c>
    </row>
    <row r="3234" spans="1:10" hidden="1" x14ac:dyDescent="0.25">
      <c r="A3234" s="174"/>
      <c r="B3234" s="177"/>
      <c r="C3234" s="43" t="s">
        <v>10614</v>
      </c>
      <c r="D3234" s="43" t="s">
        <v>2800</v>
      </c>
      <c r="E3234" s="44">
        <v>0.25</v>
      </c>
      <c r="F3234" s="41">
        <v>23.693000000000001</v>
      </c>
      <c r="G3234" s="41">
        <f>IF(ISNUMBER(F3234),E3234*F3234,"")</f>
        <v>5.9232500000000003</v>
      </c>
      <c r="H3234" s="42"/>
      <c r="I3234" s="38"/>
      <c r="J3234" s="37">
        <v>0</v>
      </c>
    </row>
    <row r="3235" spans="1:10" hidden="1" x14ac:dyDescent="0.25">
      <c r="A3235" s="174"/>
      <c r="B3235" s="177"/>
      <c r="C3235" s="43" t="s">
        <v>10892</v>
      </c>
      <c r="D3235" s="43" t="s">
        <v>1044</v>
      </c>
      <c r="E3235" s="44">
        <v>2</v>
      </c>
      <c r="F3235" s="38">
        <v>9.5854999999999997</v>
      </c>
      <c r="G3235" s="41">
        <f>IF(ISNUMBER(F3235),E3235*F3235,"")</f>
        <v>19.170999999999999</v>
      </c>
      <c r="H3235" s="42"/>
      <c r="I3235" s="38"/>
      <c r="J3235" s="37">
        <v>0</v>
      </c>
    </row>
    <row r="3236" spans="1:10" ht="15.75" hidden="1" thickBot="1" x14ac:dyDescent="0.3">
      <c r="A3236" s="175"/>
      <c r="B3236" s="178"/>
      <c r="C3236" s="49"/>
      <c r="D3236" s="49"/>
      <c r="E3236" s="50"/>
      <c r="F3236" s="51" t="s">
        <v>13</v>
      </c>
      <c r="G3236" s="52" t="str">
        <f>IF(ISNUMBER(F3236),E3236*F3236,"")</f>
        <v/>
      </c>
      <c r="H3236" s="53"/>
      <c r="I3236" s="38"/>
      <c r="J3236" s="37">
        <v>0</v>
      </c>
    </row>
    <row r="3237" spans="1:10" ht="15.75" hidden="1" thickBot="1" x14ac:dyDescent="0.3">
      <c r="A3237" s="173" t="s">
        <v>815</v>
      </c>
      <c r="B3237" s="176" t="s">
        <v>4301</v>
      </c>
      <c r="C3237" s="31"/>
      <c r="D3237" s="32" t="s">
        <v>68</v>
      </c>
      <c r="E3237" s="33"/>
      <c r="F3237" s="54" t="s">
        <v>13</v>
      </c>
      <c r="G3237" s="34" t="str">
        <f>IF(ISNUMBER(F3237),E3237*F3237,"")</f>
        <v/>
      </c>
      <c r="H3237" s="35"/>
      <c r="I3237" s="36"/>
      <c r="J3237" s="37">
        <v>0</v>
      </c>
    </row>
    <row r="3238" spans="1:10" hidden="1" x14ac:dyDescent="0.25">
      <c r="A3238" s="174"/>
      <c r="B3238" s="177"/>
      <c r="C3238" s="39"/>
      <c r="D3238" s="39"/>
      <c r="E3238" s="40"/>
      <c r="F3238" s="55" t="s">
        <v>13</v>
      </c>
      <c r="G3238" s="41" t="str">
        <f>IF(ISNUMBER(F3238),E3238*F3238,"")</f>
        <v/>
      </c>
      <c r="H3238" s="42"/>
      <c r="I3238" s="38"/>
      <c r="J3238" s="37">
        <v>0</v>
      </c>
    </row>
    <row r="3239" spans="1:10" hidden="1" x14ac:dyDescent="0.25">
      <c r="A3239" s="174"/>
      <c r="B3239" s="177"/>
      <c r="C3239" s="43" t="s">
        <v>10614</v>
      </c>
      <c r="D3239" s="43" t="s">
        <v>2800</v>
      </c>
      <c r="E3239" s="44">
        <v>1</v>
      </c>
      <c r="F3239" s="41">
        <v>23.693000000000001</v>
      </c>
      <c r="G3239" s="41">
        <f>IF(ISNUMBER(F3239),E3239*F3239,"")</f>
        <v>23.693000000000001</v>
      </c>
      <c r="H3239" s="46">
        <f>SUM(G3239:G3240)</f>
        <v>66.685249999999996</v>
      </c>
      <c r="I3239" s="47"/>
      <c r="J3239" s="37">
        <v>0</v>
      </c>
    </row>
    <row r="3240" spans="1:10" hidden="1" x14ac:dyDescent="0.25">
      <c r="A3240" s="174"/>
      <c r="B3240" s="177"/>
      <c r="C3240" s="43" t="s">
        <v>10831</v>
      </c>
      <c r="D3240" s="43" t="s">
        <v>2800</v>
      </c>
      <c r="E3240" s="44">
        <v>1.5</v>
      </c>
      <c r="F3240" s="41">
        <v>28.6615</v>
      </c>
      <c r="G3240" s="41">
        <f>IF(ISNUMBER(F3240),E3240*F3240,"")</f>
        <v>42.992249999999999</v>
      </c>
      <c r="H3240" s="42"/>
      <c r="I3240" s="38"/>
      <c r="J3240" s="37">
        <v>0</v>
      </c>
    </row>
    <row r="3241" spans="1:10" ht="15.75" hidden="1" thickBot="1" x14ac:dyDescent="0.3">
      <c r="A3241" s="175"/>
      <c r="B3241" s="178"/>
      <c r="C3241" s="49"/>
      <c r="D3241" s="49"/>
      <c r="E3241" s="50"/>
      <c r="F3241" s="51" t="s">
        <v>13</v>
      </c>
      <c r="G3241" s="52" t="str">
        <f>IF(ISNUMBER(F3241),E3241*F3241,"")</f>
        <v/>
      </c>
      <c r="H3241" s="53"/>
      <c r="I3241" s="38"/>
      <c r="J3241" s="37">
        <v>0</v>
      </c>
    </row>
    <row r="3242" spans="1:10" ht="15.75" hidden="1" thickBot="1" x14ac:dyDescent="0.3">
      <c r="A3242" s="173" t="s">
        <v>816</v>
      </c>
      <c r="B3242" s="176" t="s">
        <v>817</v>
      </c>
      <c r="C3242" s="31"/>
      <c r="D3242" s="32" t="s">
        <v>68</v>
      </c>
      <c r="E3242" s="33"/>
      <c r="F3242" s="54" t="s">
        <v>13</v>
      </c>
      <c r="G3242" s="34" t="str">
        <f>IF(ISNUMBER(F3242),E3242*F3242,"")</f>
        <v/>
      </c>
      <c r="H3242" s="35"/>
      <c r="I3242" s="36"/>
      <c r="J3242" s="37">
        <v>0</v>
      </c>
    </row>
    <row r="3243" spans="1:10" hidden="1" x14ac:dyDescent="0.25">
      <c r="A3243" s="174"/>
      <c r="B3243" s="177"/>
      <c r="C3243" s="39"/>
      <c r="D3243" s="39"/>
      <c r="E3243" s="40"/>
      <c r="F3243" s="55" t="s">
        <v>13</v>
      </c>
      <c r="G3243" s="41" t="str">
        <f>IF(ISNUMBER(F3243),E3243*F3243,"")</f>
        <v/>
      </c>
      <c r="H3243" s="42"/>
      <c r="I3243" s="38"/>
      <c r="J3243" s="37">
        <v>0</v>
      </c>
    </row>
    <row r="3244" spans="1:10" hidden="1" x14ac:dyDescent="0.25">
      <c r="A3244" s="174"/>
      <c r="B3244" s="177"/>
      <c r="C3244" s="43" t="s">
        <v>817</v>
      </c>
      <c r="D3244" s="62" t="s">
        <v>68</v>
      </c>
      <c r="E3244" s="44">
        <v>1</v>
      </c>
      <c r="F3244" s="41" t="s">
        <v>13</v>
      </c>
      <c r="G3244" s="41" t="str">
        <f>IF(ISNUMBER(F3244),E3244*F3244,"")</f>
        <v/>
      </c>
      <c r="H3244" s="46">
        <f>SUM(G3244:G3246)</f>
        <v>66.685249999999996</v>
      </c>
      <c r="I3244" s="47"/>
      <c r="J3244" s="37">
        <v>0</v>
      </c>
    </row>
    <row r="3245" spans="1:10" hidden="1" x14ac:dyDescent="0.25">
      <c r="A3245" s="174"/>
      <c r="B3245" s="177"/>
      <c r="C3245" s="43" t="s">
        <v>10614</v>
      </c>
      <c r="D3245" s="43" t="s">
        <v>2800</v>
      </c>
      <c r="E3245" s="44">
        <v>1</v>
      </c>
      <c r="F3245" s="38">
        <v>23.693000000000001</v>
      </c>
      <c r="G3245" s="41">
        <f>IF(ISNUMBER(F3245),E3245*F3245,"")</f>
        <v>23.693000000000001</v>
      </c>
      <c r="H3245" s="42"/>
      <c r="I3245" s="38"/>
      <c r="J3245" s="37">
        <v>0</v>
      </c>
    </row>
    <row r="3246" spans="1:10" hidden="1" x14ac:dyDescent="0.25">
      <c r="A3246" s="174"/>
      <c r="B3246" s="177"/>
      <c r="C3246" s="43" t="s">
        <v>10831</v>
      </c>
      <c r="D3246" s="43" t="s">
        <v>2800</v>
      </c>
      <c r="E3246" s="44">
        <v>1.5</v>
      </c>
      <c r="F3246" s="38">
        <v>28.6615</v>
      </c>
      <c r="G3246" s="41">
        <f>IF(ISNUMBER(F3246),E3246*F3246,"")</f>
        <v>42.992249999999999</v>
      </c>
      <c r="H3246" s="42"/>
      <c r="I3246" s="38"/>
      <c r="J3246" s="37">
        <v>0</v>
      </c>
    </row>
    <row r="3247" spans="1:10" ht="15.75" hidden="1" thickBot="1" x14ac:dyDescent="0.3">
      <c r="A3247" s="175"/>
      <c r="B3247" s="178"/>
      <c r="C3247" s="49"/>
      <c r="D3247" s="49"/>
      <c r="E3247" s="50"/>
      <c r="F3247" s="51" t="s">
        <v>13</v>
      </c>
      <c r="G3247" s="52" t="str">
        <f>IF(ISNUMBER(F3247),E3247*F3247,"")</f>
        <v/>
      </c>
      <c r="H3247" s="53"/>
      <c r="I3247" s="38"/>
      <c r="J3247" s="37">
        <v>0</v>
      </c>
    </row>
    <row r="3248" spans="1:10" ht="15.75" hidden="1" thickBot="1" x14ac:dyDescent="0.3">
      <c r="A3248" s="173" t="s">
        <v>818</v>
      </c>
      <c r="B3248" s="176" t="s">
        <v>4302</v>
      </c>
      <c r="C3248" s="31"/>
      <c r="D3248" s="32" t="s">
        <v>18</v>
      </c>
      <c r="E3248" s="33"/>
      <c r="F3248" s="54" t="s">
        <v>13</v>
      </c>
      <c r="G3248" s="34" t="str">
        <f>IF(ISNUMBER(F3248),E3248*F3248,"")</f>
        <v/>
      </c>
      <c r="H3248" s="35"/>
      <c r="I3248" s="36"/>
      <c r="J3248" s="37">
        <v>0</v>
      </c>
    </row>
    <row r="3249" spans="1:10" hidden="1" x14ac:dyDescent="0.25">
      <c r="A3249" s="174"/>
      <c r="B3249" s="177"/>
      <c r="C3249" s="39"/>
      <c r="D3249" s="39"/>
      <c r="E3249" s="40"/>
      <c r="F3249" s="55" t="s">
        <v>13</v>
      </c>
      <c r="G3249" s="41" t="str">
        <f>IF(ISNUMBER(F3249),E3249*F3249,"")</f>
        <v/>
      </c>
      <c r="H3249" s="42"/>
      <c r="I3249" s="38"/>
      <c r="J3249" s="37">
        <v>0</v>
      </c>
    </row>
    <row r="3250" spans="1:10" hidden="1" x14ac:dyDescent="0.25">
      <c r="A3250" s="174"/>
      <c r="B3250" s="177"/>
      <c r="C3250" s="43" t="s">
        <v>10831</v>
      </c>
      <c r="D3250" s="43" t="s">
        <v>2800</v>
      </c>
      <c r="E3250" s="44">
        <v>0.1</v>
      </c>
      <c r="F3250" s="41">
        <v>28.6615</v>
      </c>
      <c r="G3250" s="41">
        <f>IF(ISNUMBER(F3250),E3250*F3250,"")</f>
        <v>2.8661500000000002</v>
      </c>
      <c r="H3250" s="46">
        <f>SUM(G3250:G3251)</f>
        <v>9.6776499999999999</v>
      </c>
      <c r="I3250" s="47"/>
      <c r="J3250" s="37">
        <v>0</v>
      </c>
    </row>
    <row r="3251" spans="1:10" ht="25.5" hidden="1" x14ac:dyDescent="0.25">
      <c r="A3251" s="174"/>
      <c r="B3251" s="177"/>
      <c r="C3251" s="43" t="s">
        <v>11037</v>
      </c>
      <c r="D3251" s="43" t="s">
        <v>83</v>
      </c>
      <c r="E3251" s="44">
        <v>1</v>
      </c>
      <c r="F3251" s="38">
        <v>6.8114999999999997</v>
      </c>
      <c r="G3251" s="41">
        <f>IF(ISNUMBER(F3251),E3251*F3251,"")</f>
        <v>6.8114999999999997</v>
      </c>
      <c r="H3251" s="42"/>
      <c r="I3251" s="38"/>
      <c r="J3251" s="37">
        <v>0</v>
      </c>
    </row>
    <row r="3252" spans="1:10" ht="15.75" hidden="1" thickBot="1" x14ac:dyDescent="0.3">
      <c r="A3252" s="175"/>
      <c r="B3252" s="178"/>
      <c r="C3252" s="49"/>
      <c r="D3252" s="49"/>
      <c r="E3252" s="50"/>
      <c r="F3252" s="51" t="s">
        <v>13</v>
      </c>
      <c r="G3252" s="52" t="str">
        <f>IF(ISNUMBER(F3252),E3252*F3252,"")</f>
        <v/>
      </c>
      <c r="H3252" s="53"/>
      <c r="I3252" s="38"/>
      <c r="J3252" s="37">
        <v>0</v>
      </c>
    </row>
    <row r="3253" spans="1:10" ht="15.75" hidden="1" thickBot="1" x14ac:dyDescent="0.3">
      <c r="A3253" s="173" t="s">
        <v>819</v>
      </c>
      <c r="B3253" s="176" t="s">
        <v>4303</v>
      </c>
      <c r="C3253" s="31"/>
      <c r="D3253" s="32" t="s">
        <v>1788</v>
      </c>
      <c r="E3253" s="33"/>
      <c r="F3253" s="54" t="s">
        <v>13</v>
      </c>
      <c r="G3253" s="34" t="str">
        <f>IF(ISNUMBER(F3253),E3253*F3253,"")</f>
        <v/>
      </c>
      <c r="H3253" s="35"/>
      <c r="I3253" s="36"/>
      <c r="J3253" s="37">
        <v>0</v>
      </c>
    </row>
    <row r="3254" spans="1:10" hidden="1" x14ac:dyDescent="0.25">
      <c r="A3254" s="174"/>
      <c r="B3254" s="177"/>
      <c r="C3254" s="39"/>
      <c r="D3254" s="39"/>
      <c r="E3254" s="40"/>
      <c r="F3254" s="55" t="s">
        <v>13</v>
      </c>
      <c r="G3254" s="41" t="str">
        <f>IF(ISNUMBER(F3254),E3254*F3254,"")</f>
        <v/>
      </c>
      <c r="H3254" s="42"/>
      <c r="I3254" s="38"/>
      <c r="J3254" s="37">
        <v>0</v>
      </c>
    </row>
    <row r="3255" spans="1:10" hidden="1" x14ac:dyDescent="0.25">
      <c r="A3255" s="174"/>
      <c r="B3255" s="177"/>
      <c r="C3255" s="43" t="s">
        <v>10757</v>
      </c>
      <c r="D3255" s="43" t="s">
        <v>2800</v>
      </c>
      <c r="E3255" s="44">
        <v>4.8468999999999998</v>
      </c>
      <c r="F3255" s="38">
        <v>31.055499999999995</v>
      </c>
      <c r="G3255" s="41">
        <f>IF(ISNUMBER(F3255),E3255*F3255,"")</f>
        <v>150.52290294999997</v>
      </c>
      <c r="H3255" s="46">
        <f>SUM(G3255:G3257)</f>
        <v>4825.0820938500001</v>
      </c>
      <c r="I3255" s="47"/>
      <c r="J3255" s="37">
        <v>0</v>
      </c>
    </row>
    <row r="3256" spans="1:10" hidden="1" x14ac:dyDescent="0.25">
      <c r="A3256" s="174"/>
      <c r="B3256" s="177"/>
      <c r="C3256" s="43" t="s">
        <v>10614</v>
      </c>
      <c r="D3256" s="43" t="s">
        <v>2800</v>
      </c>
      <c r="E3256" s="44">
        <v>3.2313000000000001</v>
      </c>
      <c r="F3256" s="38">
        <v>23.693000000000001</v>
      </c>
      <c r="G3256" s="41">
        <f>IF(ISNUMBER(F3256),E3256*F3256,"")</f>
        <v>76.559190900000004</v>
      </c>
      <c r="H3256" s="42"/>
      <c r="I3256" s="38"/>
      <c r="J3256" s="37">
        <v>0</v>
      </c>
    </row>
    <row r="3257" spans="1:10" hidden="1" x14ac:dyDescent="0.25">
      <c r="A3257" s="174"/>
      <c r="B3257" s="177"/>
      <c r="C3257" s="43" t="s">
        <v>11038</v>
      </c>
      <c r="D3257" s="43" t="s">
        <v>1044</v>
      </c>
      <c r="E3257" s="44">
        <v>2200</v>
      </c>
      <c r="F3257" s="38">
        <v>2.09</v>
      </c>
      <c r="G3257" s="41">
        <f>IF(ISNUMBER(F3257),E3257*F3257,"")</f>
        <v>4598</v>
      </c>
      <c r="H3257" s="42"/>
      <c r="I3257" s="38"/>
      <c r="J3257" s="37">
        <v>0</v>
      </c>
    </row>
    <row r="3258" spans="1:10" hidden="1" x14ac:dyDescent="0.25">
      <c r="A3258" s="174"/>
      <c r="B3258" s="177"/>
      <c r="C3258" s="43"/>
      <c r="D3258" s="62"/>
      <c r="E3258" s="44"/>
      <c r="F3258" s="38" t="s">
        <v>13</v>
      </c>
      <c r="G3258" s="41" t="str">
        <f>IF(ISNUMBER(F3258),E3258*F3258,"")</f>
        <v/>
      </c>
      <c r="H3258" s="42"/>
      <c r="I3258" s="38"/>
      <c r="J3258" s="37">
        <v>0</v>
      </c>
    </row>
    <row r="3259" spans="1:10" ht="25.5" hidden="1" x14ac:dyDescent="0.25">
      <c r="A3259" s="174"/>
      <c r="B3259" s="177"/>
      <c r="C3259" s="4" t="s">
        <v>820</v>
      </c>
      <c r="D3259" s="62"/>
      <c r="E3259" s="44"/>
      <c r="F3259" s="38" t="s">
        <v>13</v>
      </c>
      <c r="G3259" s="41" t="str">
        <f>IF(ISNUMBER(F3259),E3259*F3259,"")</f>
        <v/>
      </c>
      <c r="H3259" s="42"/>
      <c r="I3259" s="38"/>
      <c r="J3259" s="37">
        <v>0</v>
      </c>
    </row>
    <row r="3260" spans="1:10" ht="30" hidden="1" x14ac:dyDescent="0.25">
      <c r="A3260" s="174"/>
      <c r="B3260" s="177"/>
      <c r="C3260" s="88" t="s">
        <v>821</v>
      </c>
      <c r="D3260" s="62"/>
      <c r="E3260" s="44"/>
      <c r="F3260" s="38" t="s">
        <v>13</v>
      </c>
      <c r="G3260" s="41" t="str">
        <f>IF(ISNUMBER(F3260),E3260*F3260,"")</f>
        <v/>
      </c>
      <c r="H3260" s="42"/>
      <c r="I3260" s="38"/>
      <c r="J3260" s="37">
        <v>0</v>
      </c>
    </row>
    <row r="3261" spans="1:10" ht="15.75" hidden="1" thickBot="1" x14ac:dyDescent="0.3">
      <c r="A3261" s="175"/>
      <c r="B3261" s="178"/>
      <c r="C3261" s="49"/>
      <c r="D3261" s="49"/>
      <c r="E3261" s="50"/>
      <c r="F3261" s="51" t="s">
        <v>13</v>
      </c>
      <c r="G3261" s="52" t="str">
        <f>IF(ISNUMBER(F3261),E3261*F3261,"")</f>
        <v/>
      </c>
      <c r="H3261" s="53"/>
      <c r="I3261" s="38"/>
      <c r="J3261" s="37">
        <v>0</v>
      </c>
    </row>
    <row r="3262" spans="1:10" ht="15.75" hidden="1" thickBot="1" x14ac:dyDescent="0.3">
      <c r="A3262" s="173" t="s">
        <v>822</v>
      </c>
      <c r="B3262" s="176" t="s">
        <v>4304</v>
      </c>
      <c r="C3262" s="31"/>
      <c r="D3262" s="32" t="s">
        <v>72</v>
      </c>
      <c r="E3262" s="33"/>
      <c r="F3262" s="54" t="s">
        <v>13</v>
      </c>
      <c r="G3262" s="34" t="str">
        <f>IF(ISNUMBER(F3262),E3262*F3262,"")</f>
        <v/>
      </c>
      <c r="H3262" s="35"/>
      <c r="I3262" s="36"/>
      <c r="J3262" s="37">
        <v>0</v>
      </c>
    </row>
    <row r="3263" spans="1:10" hidden="1" x14ac:dyDescent="0.25">
      <c r="A3263" s="174"/>
      <c r="B3263" s="177"/>
      <c r="C3263" s="39"/>
      <c r="D3263" s="39"/>
      <c r="E3263" s="40"/>
      <c r="F3263" s="55" t="s">
        <v>13</v>
      </c>
      <c r="G3263" s="41" t="str">
        <f>IF(ISNUMBER(F3263),E3263*F3263,"")</f>
        <v/>
      </c>
      <c r="H3263" s="42"/>
      <c r="I3263" s="38"/>
      <c r="J3263" s="37">
        <v>0</v>
      </c>
    </row>
    <row r="3264" spans="1:10" ht="38.25" hidden="1" x14ac:dyDescent="0.25">
      <c r="A3264" s="174"/>
      <c r="B3264" s="177"/>
      <c r="C3264" s="43" t="s">
        <v>10660</v>
      </c>
      <c r="D3264" s="43" t="s">
        <v>83</v>
      </c>
      <c r="E3264" s="44">
        <v>0.36699999999999999</v>
      </c>
      <c r="F3264" s="38">
        <v>0.20899999999999999</v>
      </c>
      <c r="G3264" s="41">
        <f>IF(ISNUMBER(F3264),E3264*F3264,"")</f>
        <v>7.6702999999999993E-2</v>
      </c>
      <c r="H3264" s="46">
        <f>SUM(G3264:G3268)</f>
        <v>8.7010690000000004</v>
      </c>
      <c r="I3264" s="47"/>
      <c r="J3264" s="37">
        <v>0</v>
      </c>
    </row>
    <row r="3265" spans="1:10" ht="25.5" hidden="1" x14ac:dyDescent="0.25">
      <c r="A3265" s="174"/>
      <c r="B3265" s="177"/>
      <c r="C3265" s="43" t="s">
        <v>10661</v>
      </c>
      <c r="D3265" s="43" t="s">
        <v>1044</v>
      </c>
      <c r="E3265" s="44">
        <v>2.5000000000000001E-2</v>
      </c>
      <c r="F3265" s="38">
        <v>19</v>
      </c>
      <c r="G3265" s="41">
        <f>IF(ISNUMBER(F3265),E3265*F3265,"")</f>
        <v>0.47500000000000003</v>
      </c>
      <c r="H3265" s="42"/>
      <c r="I3265" s="38"/>
      <c r="J3265" s="37">
        <v>0</v>
      </c>
    </row>
    <row r="3266" spans="1:10" hidden="1" x14ac:dyDescent="0.25">
      <c r="A3266" s="174"/>
      <c r="B3266" s="177"/>
      <c r="C3266" s="43" t="s">
        <v>10643</v>
      </c>
      <c r="D3266" s="43" t="s">
        <v>2800</v>
      </c>
      <c r="E3266" s="44">
        <v>4.1999999999999997E-3</v>
      </c>
      <c r="F3266" s="38">
        <v>24.519499999999997</v>
      </c>
      <c r="G3266" s="41">
        <f>IF(ISNUMBER(F3266),E3266*F3266,"")</f>
        <v>0.10298189999999999</v>
      </c>
      <c r="H3266" s="42"/>
      <c r="I3266" s="38"/>
      <c r="J3266" s="37">
        <v>0</v>
      </c>
    </row>
    <row r="3267" spans="1:10" hidden="1" x14ac:dyDescent="0.25">
      <c r="A3267" s="174"/>
      <c r="B3267" s="177"/>
      <c r="C3267" s="43" t="s">
        <v>10644</v>
      </c>
      <c r="D3267" s="43" t="s">
        <v>2800</v>
      </c>
      <c r="E3267" s="44">
        <v>2.5700000000000001E-2</v>
      </c>
      <c r="F3267" s="38">
        <v>30.837</v>
      </c>
      <c r="G3267" s="41">
        <f>IF(ISNUMBER(F3267),E3267*F3267,"")</f>
        <v>0.79251090000000002</v>
      </c>
      <c r="H3267" s="42"/>
      <c r="I3267" s="38"/>
      <c r="J3267" s="37">
        <v>0</v>
      </c>
    </row>
    <row r="3268" spans="1:10" hidden="1" x14ac:dyDescent="0.25">
      <c r="A3268" s="174"/>
      <c r="B3268" s="177"/>
      <c r="C3268" s="43" t="s">
        <v>10693</v>
      </c>
      <c r="D3268" s="43" t="s">
        <v>1044</v>
      </c>
      <c r="E3268" s="44">
        <v>1</v>
      </c>
      <c r="F3268" s="38">
        <v>7.2538732000000001</v>
      </c>
      <c r="G3268" s="41">
        <f>IF(ISNUMBER(F3268),E3268*F3268,"")</f>
        <v>7.2538732000000001</v>
      </c>
      <c r="H3268" s="42"/>
      <c r="I3268" s="38"/>
      <c r="J3268" s="37">
        <v>0</v>
      </c>
    </row>
    <row r="3269" spans="1:10" ht="15.75" hidden="1" thickBot="1" x14ac:dyDescent="0.3">
      <c r="A3269" s="175"/>
      <c r="B3269" s="178"/>
      <c r="C3269" s="49"/>
      <c r="D3269" s="49"/>
      <c r="E3269" s="50"/>
      <c r="F3269" s="51" t="s">
        <v>13</v>
      </c>
      <c r="G3269" s="52" t="str">
        <f>IF(ISNUMBER(F3269),E3269*F3269,"")</f>
        <v/>
      </c>
      <c r="H3269" s="53"/>
      <c r="I3269" s="38"/>
      <c r="J3269" s="37">
        <v>0</v>
      </c>
    </row>
    <row r="3270" spans="1:10" ht="15.75" hidden="1" thickBot="1" x14ac:dyDescent="0.3">
      <c r="A3270" s="173" t="s">
        <v>823</v>
      </c>
      <c r="B3270" s="176" t="s">
        <v>4305</v>
      </c>
      <c r="C3270" s="31"/>
      <c r="D3270" s="32" t="s">
        <v>72</v>
      </c>
      <c r="E3270" s="33"/>
      <c r="F3270" s="54" t="s">
        <v>13</v>
      </c>
      <c r="G3270" s="34" t="str">
        <f>IF(ISNUMBER(F3270),E3270*F3270,"")</f>
        <v/>
      </c>
      <c r="H3270" s="35"/>
      <c r="I3270" s="36"/>
      <c r="J3270" s="37">
        <v>0</v>
      </c>
    </row>
    <row r="3271" spans="1:10" hidden="1" x14ac:dyDescent="0.25">
      <c r="A3271" s="174"/>
      <c r="B3271" s="177"/>
      <c r="C3271" s="39"/>
      <c r="D3271" s="39"/>
      <c r="E3271" s="40"/>
      <c r="F3271" s="55" t="s">
        <v>13</v>
      </c>
      <c r="G3271" s="41" t="str">
        <f>IF(ISNUMBER(F3271),E3271*F3271,"")</f>
        <v/>
      </c>
      <c r="H3271" s="42"/>
      <c r="I3271" s="38"/>
      <c r="J3271" s="37">
        <v>0</v>
      </c>
    </row>
    <row r="3272" spans="1:10" ht="38.25" hidden="1" x14ac:dyDescent="0.25">
      <c r="A3272" s="174"/>
      <c r="B3272" s="177"/>
      <c r="C3272" s="43" t="s">
        <v>10660</v>
      </c>
      <c r="D3272" s="43" t="s">
        <v>83</v>
      </c>
      <c r="E3272" s="44">
        <v>0.21199999999999999</v>
      </c>
      <c r="F3272" s="38">
        <v>0.20899999999999999</v>
      </c>
      <c r="G3272" s="41">
        <f>IF(ISNUMBER(F3272),E3272*F3272,"")</f>
        <v>4.4308E-2</v>
      </c>
      <c r="H3272" s="46">
        <f>SUM(G3272:G3276)</f>
        <v>8.3593407000000006</v>
      </c>
      <c r="I3272" s="47"/>
      <c r="J3272" s="37">
        <v>0</v>
      </c>
    </row>
    <row r="3273" spans="1:10" ht="25.5" hidden="1" x14ac:dyDescent="0.25">
      <c r="A3273" s="174"/>
      <c r="B3273" s="177"/>
      <c r="C3273" s="43" t="s">
        <v>10661</v>
      </c>
      <c r="D3273" s="43" t="s">
        <v>1044</v>
      </c>
      <c r="E3273" s="44">
        <v>2.5000000000000001E-2</v>
      </c>
      <c r="F3273" s="38">
        <v>19</v>
      </c>
      <c r="G3273" s="41">
        <f>IF(ISNUMBER(F3273),E3273*F3273,"")</f>
        <v>0.47500000000000003</v>
      </c>
      <c r="H3273" s="42"/>
      <c r="I3273" s="38"/>
      <c r="J3273" s="37">
        <v>0</v>
      </c>
    </row>
    <row r="3274" spans="1:10" hidden="1" x14ac:dyDescent="0.25">
      <c r="A3274" s="174"/>
      <c r="B3274" s="177"/>
      <c r="C3274" s="43" t="s">
        <v>10643</v>
      </c>
      <c r="D3274" s="43" t="s">
        <v>2800</v>
      </c>
      <c r="E3274" s="44">
        <v>3.2000000000000002E-3</v>
      </c>
      <c r="F3274" s="38">
        <v>24.519499999999997</v>
      </c>
      <c r="G3274" s="41">
        <f>IF(ISNUMBER(F3274),E3274*F3274,"")</f>
        <v>7.8462400000000002E-2</v>
      </c>
      <c r="H3274" s="42"/>
      <c r="I3274" s="38"/>
      <c r="J3274" s="37">
        <v>0</v>
      </c>
    </row>
    <row r="3275" spans="1:10" hidden="1" x14ac:dyDescent="0.25">
      <c r="A3275" s="174"/>
      <c r="B3275" s="177"/>
      <c r="C3275" s="43" t="s">
        <v>10644</v>
      </c>
      <c r="D3275" s="43" t="s">
        <v>2800</v>
      </c>
      <c r="E3275" s="44">
        <v>1.9400000000000001E-2</v>
      </c>
      <c r="F3275" s="38">
        <v>30.837</v>
      </c>
      <c r="G3275" s="41">
        <f>IF(ISNUMBER(F3275),E3275*F3275,"")</f>
        <v>0.59823780000000004</v>
      </c>
      <c r="H3275" s="42"/>
      <c r="I3275" s="38"/>
      <c r="J3275" s="37">
        <v>0</v>
      </c>
    </row>
    <row r="3276" spans="1:10" hidden="1" x14ac:dyDescent="0.25">
      <c r="A3276" s="174"/>
      <c r="B3276" s="177"/>
      <c r="C3276" s="43" t="s">
        <v>10635</v>
      </c>
      <c r="D3276" s="43" t="s">
        <v>1044</v>
      </c>
      <c r="E3276" s="44">
        <v>1</v>
      </c>
      <c r="F3276" s="38">
        <v>7.1633325000000001</v>
      </c>
      <c r="G3276" s="41">
        <f>IF(ISNUMBER(F3276),E3276*F3276,"")</f>
        <v>7.1633325000000001</v>
      </c>
      <c r="H3276" s="42"/>
      <c r="I3276" s="38"/>
      <c r="J3276" s="37">
        <v>0</v>
      </c>
    </row>
    <row r="3277" spans="1:10" ht="15.75" hidden="1" thickBot="1" x14ac:dyDescent="0.3">
      <c r="A3277" s="175"/>
      <c r="B3277" s="178"/>
      <c r="C3277" s="49"/>
      <c r="D3277" s="49"/>
      <c r="E3277" s="50"/>
      <c r="F3277" s="51" t="s">
        <v>13</v>
      </c>
      <c r="G3277" s="52" t="str">
        <f>IF(ISNUMBER(F3277),E3277*F3277,"")</f>
        <v/>
      </c>
      <c r="H3277" s="53"/>
      <c r="I3277" s="38"/>
      <c r="J3277" s="37">
        <v>0</v>
      </c>
    </row>
    <row r="3278" spans="1:10" ht="15.75" hidden="1" thickBot="1" x14ac:dyDescent="0.3">
      <c r="A3278" s="173" t="s">
        <v>824</v>
      </c>
      <c r="B3278" s="176" t="s">
        <v>4306</v>
      </c>
      <c r="C3278" s="31"/>
      <c r="D3278" s="32" t="s">
        <v>18</v>
      </c>
      <c r="E3278" s="33"/>
      <c r="F3278" s="54" t="s">
        <v>13</v>
      </c>
      <c r="G3278" s="34" t="str">
        <f>IF(ISNUMBER(F3278),E3278*F3278,"")</f>
        <v/>
      </c>
      <c r="H3278" s="35"/>
      <c r="I3278" s="36"/>
      <c r="J3278" s="37">
        <v>0</v>
      </c>
    </row>
    <row r="3279" spans="1:10" hidden="1" x14ac:dyDescent="0.25">
      <c r="A3279" s="174"/>
      <c r="B3279" s="177"/>
      <c r="C3279" s="89"/>
      <c r="D3279" s="39"/>
      <c r="E3279" s="40"/>
      <c r="F3279" s="55" t="s">
        <v>13</v>
      </c>
      <c r="G3279" s="41" t="str">
        <f>IF(ISNUMBER(F3279),E3279*F3279,"")</f>
        <v/>
      </c>
      <c r="H3279" s="42"/>
      <c r="I3279" s="38"/>
      <c r="J3279" s="37">
        <v>0</v>
      </c>
    </row>
    <row r="3280" spans="1:10" hidden="1" x14ac:dyDescent="0.25">
      <c r="A3280" s="174"/>
      <c r="B3280" s="177"/>
      <c r="C3280" s="43" t="s">
        <v>10614</v>
      </c>
      <c r="D3280" s="43" t="s">
        <v>2800</v>
      </c>
      <c r="E3280" s="44">
        <v>0.55000000000000004</v>
      </c>
      <c r="F3280" s="38">
        <v>23.693000000000001</v>
      </c>
      <c r="G3280" s="41">
        <f>IF(ISNUMBER(F3280),E3280*F3280,"")</f>
        <v>13.031150000000002</v>
      </c>
      <c r="H3280" s="46">
        <f>SUM(G3280:G3281)</f>
        <v>44.558800000000005</v>
      </c>
      <c r="I3280" s="47"/>
      <c r="J3280" s="37">
        <v>0</v>
      </c>
    </row>
    <row r="3281" spans="1:10" hidden="1" x14ac:dyDescent="0.25">
      <c r="A3281" s="174"/>
      <c r="B3281" s="177"/>
      <c r="C3281" s="43" t="s">
        <v>10831</v>
      </c>
      <c r="D3281" s="43" t="s">
        <v>2800</v>
      </c>
      <c r="E3281" s="44">
        <f>0.55*2</f>
        <v>1.1000000000000001</v>
      </c>
      <c r="F3281" s="38">
        <v>28.6615</v>
      </c>
      <c r="G3281" s="41">
        <f>IF(ISNUMBER(F3281),E3281*F3281,"")</f>
        <v>31.527650000000001</v>
      </c>
      <c r="H3281" s="42"/>
      <c r="I3281" s="38"/>
      <c r="J3281" s="37">
        <v>0</v>
      </c>
    </row>
    <row r="3282" spans="1:10" ht="15.75" hidden="1" thickBot="1" x14ac:dyDescent="0.3">
      <c r="A3282" s="175"/>
      <c r="B3282" s="178"/>
      <c r="C3282" s="49"/>
      <c r="D3282" s="49"/>
      <c r="E3282" s="50"/>
      <c r="F3282" s="51" t="s">
        <v>13</v>
      </c>
      <c r="G3282" s="52" t="str">
        <f>IF(ISNUMBER(F3282),E3282*F3282,"")</f>
        <v/>
      </c>
      <c r="H3282" s="53"/>
      <c r="I3282" s="38"/>
      <c r="J3282" s="37">
        <v>0</v>
      </c>
    </row>
    <row r="3283" spans="1:10" ht="15.75" hidden="1" thickBot="1" x14ac:dyDescent="0.3">
      <c r="A3283" s="173" t="s">
        <v>825</v>
      </c>
      <c r="B3283" s="176" t="s">
        <v>4307</v>
      </c>
      <c r="C3283" s="31"/>
      <c r="D3283" s="32" t="s">
        <v>1788</v>
      </c>
      <c r="E3283" s="33"/>
      <c r="F3283" s="54" t="s">
        <v>13</v>
      </c>
      <c r="G3283" s="34" t="str">
        <f>IF(ISNUMBER(F3283),E3283*F3283,"")</f>
        <v/>
      </c>
      <c r="H3283" s="35"/>
      <c r="I3283" s="36"/>
      <c r="J3283" s="37">
        <v>0</v>
      </c>
    </row>
    <row r="3284" spans="1:10" hidden="1" x14ac:dyDescent="0.25">
      <c r="A3284" s="174"/>
      <c r="B3284" s="177"/>
      <c r="C3284" s="39"/>
      <c r="D3284" s="39"/>
      <c r="E3284" s="40"/>
      <c r="F3284" s="55" t="s">
        <v>13</v>
      </c>
      <c r="G3284" s="41" t="str">
        <f>IF(ISNUMBER(F3284),E3284*F3284,"")</f>
        <v/>
      </c>
      <c r="H3284" s="42"/>
      <c r="I3284" s="38"/>
      <c r="J3284" s="37">
        <v>0</v>
      </c>
    </row>
    <row r="3285" spans="1:10" hidden="1" x14ac:dyDescent="0.25">
      <c r="A3285" s="174"/>
      <c r="B3285" s="177"/>
      <c r="C3285" s="43" t="s">
        <v>10614</v>
      </c>
      <c r="D3285" s="43" t="s">
        <v>2800</v>
      </c>
      <c r="E3285" s="44">
        <v>3.9557666999999999</v>
      </c>
      <c r="F3285" s="38">
        <v>23.693000000000001</v>
      </c>
      <c r="G3285" s="41">
        <f>IF(ISNUMBER(F3285),E3285*F3285,"")</f>
        <v>93.723980423100002</v>
      </c>
      <c r="H3285" s="46">
        <f>SUM(G3285:G3285)</f>
        <v>93.723980423100002</v>
      </c>
      <c r="I3285" s="47"/>
      <c r="J3285" s="37">
        <v>0</v>
      </c>
    </row>
    <row r="3286" spans="1:10" ht="15.75" hidden="1" thickBot="1" x14ac:dyDescent="0.3">
      <c r="A3286" s="175"/>
      <c r="B3286" s="178"/>
      <c r="C3286" s="49"/>
      <c r="D3286" s="49"/>
      <c r="E3286" s="50"/>
      <c r="F3286" s="51" t="s">
        <v>13</v>
      </c>
      <c r="G3286" s="52" t="str">
        <f>IF(ISNUMBER(F3286),E3286*F3286,"")</f>
        <v/>
      </c>
      <c r="H3286" s="53"/>
      <c r="I3286" s="38"/>
      <c r="J3286" s="37">
        <v>0</v>
      </c>
    </row>
    <row r="3287" spans="1:10" ht="15.75" hidden="1" thickBot="1" x14ac:dyDescent="0.3">
      <c r="A3287" s="173" t="s">
        <v>826</v>
      </c>
      <c r="B3287" s="176" t="s">
        <v>4308</v>
      </c>
      <c r="C3287" s="31"/>
      <c r="D3287" s="32" t="s">
        <v>1788</v>
      </c>
      <c r="E3287" s="33"/>
      <c r="F3287" s="54" t="s">
        <v>13</v>
      </c>
      <c r="G3287" s="34" t="str">
        <f>IF(ISNUMBER(F3287),E3287*F3287,"")</f>
        <v/>
      </c>
      <c r="H3287" s="35"/>
      <c r="I3287" s="36"/>
      <c r="J3287" s="37">
        <v>0</v>
      </c>
    </row>
    <row r="3288" spans="1:10" hidden="1" x14ac:dyDescent="0.25">
      <c r="A3288" s="174"/>
      <c r="B3288" s="177"/>
      <c r="C3288" s="39"/>
      <c r="D3288" s="39"/>
      <c r="E3288" s="40"/>
      <c r="F3288" s="55" t="s">
        <v>13</v>
      </c>
      <c r="G3288" s="41" t="str">
        <f>IF(ISNUMBER(F3288),E3288*F3288,"")</f>
        <v/>
      </c>
      <c r="H3288" s="42"/>
      <c r="I3288" s="38"/>
      <c r="J3288" s="37">
        <v>0</v>
      </c>
    </row>
    <row r="3289" spans="1:10" ht="51" hidden="1" x14ac:dyDescent="0.25">
      <c r="A3289" s="174"/>
      <c r="B3289" s="177"/>
      <c r="C3289" s="43" t="s">
        <v>11039</v>
      </c>
      <c r="D3289" s="43" t="s">
        <v>1050</v>
      </c>
      <c r="E3289" s="44">
        <v>5.4000000000000003E-3</v>
      </c>
      <c r="F3289" s="38">
        <v>306.53649999999999</v>
      </c>
      <c r="G3289" s="41">
        <f>IF(ISNUMBER(F3289),E3289*F3289,"")</f>
        <v>1.6552971000000001</v>
      </c>
      <c r="H3289" s="46">
        <f>SUM(G3289:G3292)</f>
        <v>27.070097999999998</v>
      </c>
      <c r="I3289" s="47"/>
      <c r="J3289" s="37">
        <v>0</v>
      </c>
    </row>
    <row r="3290" spans="1:10" ht="51" hidden="1" x14ac:dyDescent="0.25">
      <c r="A3290" s="174"/>
      <c r="B3290" s="177"/>
      <c r="C3290" s="43" t="s">
        <v>11040</v>
      </c>
      <c r="D3290" s="43" t="s">
        <v>10677</v>
      </c>
      <c r="E3290" s="44">
        <v>5.9999999999999995E-4</v>
      </c>
      <c r="F3290" s="38">
        <v>72.693999999999988</v>
      </c>
      <c r="G3290" s="41">
        <f>IF(ISNUMBER(F3290),E3290*F3290,"")</f>
        <v>4.3616399999999993E-2</v>
      </c>
      <c r="H3290" s="42"/>
      <c r="I3290" s="38"/>
      <c r="J3290" s="37">
        <v>0</v>
      </c>
    </row>
    <row r="3291" spans="1:10" hidden="1" x14ac:dyDescent="0.25">
      <c r="A3291" s="174"/>
      <c r="B3291" s="177"/>
      <c r="C3291" s="43" t="s">
        <v>10614</v>
      </c>
      <c r="D3291" s="43" t="s">
        <v>2800</v>
      </c>
      <c r="E3291" s="44">
        <v>0.78659999999999997</v>
      </c>
      <c r="F3291" s="38">
        <v>23.693000000000001</v>
      </c>
      <c r="G3291" s="41">
        <f>IF(ISNUMBER(F3291),E3291*F3291,"")</f>
        <v>18.636913799999999</v>
      </c>
      <c r="H3291" s="42"/>
      <c r="I3291" s="38"/>
      <c r="J3291" s="37">
        <v>0</v>
      </c>
    </row>
    <row r="3292" spans="1:10" ht="38.25" hidden="1" x14ac:dyDescent="0.25">
      <c r="A3292" s="174"/>
      <c r="B3292" s="177"/>
      <c r="C3292" s="43" t="s">
        <v>10783</v>
      </c>
      <c r="D3292" s="43" t="s">
        <v>1050</v>
      </c>
      <c r="E3292" s="44">
        <v>0.19620000000000001</v>
      </c>
      <c r="F3292" s="38">
        <v>34.323500000000003</v>
      </c>
      <c r="G3292" s="41">
        <f>IF(ISNUMBER(F3292),E3292*F3292,"")</f>
        <v>6.7342707000000006</v>
      </c>
      <c r="H3292" s="42"/>
      <c r="I3292" s="38"/>
      <c r="J3292" s="37">
        <v>0</v>
      </c>
    </row>
    <row r="3293" spans="1:10" ht="15.75" hidden="1" thickBot="1" x14ac:dyDescent="0.3">
      <c r="A3293" s="175"/>
      <c r="B3293" s="178"/>
      <c r="C3293" s="49"/>
      <c r="D3293" s="49"/>
      <c r="E3293" s="50"/>
      <c r="F3293" s="51" t="s">
        <v>13</v>
      </c>
      <c r="G3293" s="52" t="str">
        <f>IF(ISNUMBER(F3293),E3293*F3293,"")</f>
        <v/>
      </c>
      <c r="H3293" s="53"/>
      <c r="I3293" s="38"/>
      <c r="J3293" s="37">
        <v>0</v>
      </c>
    </row>
    <row r="3294" spans="1:10" ht="15.75" hidden="1" thickBot="1" x14ac:dyDescent="0.3">
      <c r="A3294" s="173" t="s">
        <v>827</v>
      </c>
      <c r="B3294" s="176" t="s">
        <v>4309</v>
      </c>
      <c r="C3294" s="31"/>
      <c r="D3294" s="32" t="s">
        <v>1788</v>
      </c>
      <c r="E3294" s="33"/>
      <c r="F3294" s="54" t="s">
        <v>13</v>
      </c>
      <c r="G3294" s="34" t="str">
        <f>IF(ISNUMBER(F3294),E3294*F3294,"")</f>
        <v/>
      </c>
      <c r="H3294" s="35"/>
      <c r="I3294" s="36"/>
      <c r="J3294" s="37">
        <v>0</v>
      </c>
    </row>
    <row r="3295" spans="1:10" hidden="1" x14ac:dyDescent="0.25">
      <c r="A3295" s="174"/>
      <c r="B3295" s="177"/>
      <c r="C3295" s="39"/>
      <c r="D3295" s="39"/>
      <c r="E3295" s="40"/>
      <c r="F3295" s="55" t="s">
        <v>13</v>
      </c>
      <c r="G3295" s="41" t="str">
        <f>IF(ISNUMBER(F3295),E3295*F3295,"")</f>
        <v/>
      </c>
      <c r="H3295" s="42"/>
      <c r="I3295" s="38"/>
      <c r="J3295" s="37">
        <v>0</v>
      </c>
    </row>
    <row r="3296" spans="1:10" ht="51" hidden="1" x14ac:dyDescent="0.25">
      <c r="A3296" s="174"/>
      <c r="B3296" s="177"/>
      <c r="C3296" s="43" t="s">
        <v>11039</v>
      </c>
      <c r="D3296" s="43" t="s">
        <v>1050</v>
      </c>
      <c r="E3296" s="44">
        <v>5.4000000000000003E-3</v>
      </c>
      <c r="F3296" s="38">
        <v>306.53649999999999</v>
      </c>
      <c r="G3296" s="41">
        <f>IF(ISNUMBER(F3296),E3296*F3296,"")</f>
        <v>1.6552971000000001</v>
      </c>
      <c r="H3296" s="46">
        <f>SUM(G3296:G3302)</f>
        <v>171.18456861487499</v>
      </c>
      <c r="I3296" s="47"/>
      <c r="J3296" s="37">
        <v>0</v>
      </c>
    </row>
    <row r="3297" spans="1:10" ht="51" hidden="1" x14ac:dyDescent="0.25">
      <c r="A3297" s="174"/>
      <c r="B3297" s="177"/>
      <c r="C3297" s="43" t="s">
        <v>11040</v>
      </c>
      <c r="D3297" s="43" t="s">
        <v>10677</v>
      </c>
      <c r="E3297" s="44">
        <v>5.9999999999999995E-4</v>
      </c>
      <c r="F3297" s="38">
        <v>72.693999999999988</v>
      </c>
      <c r="G3297" s="41">
        <f>IF(ISNUMBER(F3297),E3297*F3297,"")</f>
        <v>4.3616399999999993E-2</v>
      </c>
      <c r="H3297" s="42"/>
      <c r="I3297" s="38"/>
      <c r="J3297" s="37">
        <v>0</v>
      </c>
    </row>
    <row r="3298" spans="1:10" ht="25.5" hidden="1" x14ac:dyDescent="0.25">
      <c r="A3298" s="174"/>
      <c r="B3298" s="177"/>
      <c r="C3298" s="43" t="s">
        <v>11041</v>
      </c>
      <c r="D3298" s="43" t="s">
        <v>2880</v>
      </c>
      <c r="E3298" s="44">
        <v>1.3889</v>
      </c>
      <c r="F3298" s="38">
        <v>36.821999999999996</v>
      </c>
      <c r="G3298" s="41">
        <f>IF(ISNUMBER(F3298),E3298*F3298,"")</f>
        <v>51.142075799999994</v>
      </c>
      <c r="H3298" s="42"/>
      <c r="I3298" s="38"/>
      <c r="J3298" s="37">
        <v>0</v>
      </c>
    </row>
    <row r="3299" spans="1:10" hidden="1" x14ac:dyDescent="0.25">
      <c r="A3299" s="174"/>
      <c r="B3299" s="177"/>
      <c r="C3299" s="43" t="s">
        <v>10614</v>
      </c>
      <c r="D3299" s="43" t="s">
        <v>2800</v>
      </c>
      <c r="E3299" s="44">
        <v>0.78659999999999997</v>
      </c>
      <c r="F3299" s="38">
        <v>23.693000000000001</v>
      </c>
      <c r="G3299" s="41">
        <f>IF(ISNUMBER(F3299),E3299*F3299,"")</f>
        <v>18.636913799999999</v>
      </c>
      <c r="H3299" s="42"/>
      <c r="I3299" s="38"/>
      <c r="J3299" s="37">
        <v>0</v>
      </c>
    </row>
    <row r="3300" spans="1:10" ht="38.25" hidden="1" x14ac:dyDescent="0.25">
      <c r="A3300" s="174"/>
      <c r="B3300" s="177"/>
      <c r="C3300" s="43" t="s">
        <v>10783</v>
      </c>
      <c r="D3300" s="43" t="s">
        <v>1050</v>
      </c>
      <c r="E3300" s="44">
        <v>0.19620000000000001</v>
      </c>
      <c r="F3300" s="38">
        <v>34.323500000000003</v>
      </c>
      <c r="G3300" s="41">
        <f>IF(ISNUMBER(F3300),E3300*F3300,"")</f>
        <v>6.7342707000000006</v>
      </c>
      <c r="H3300" s="42"/>
      <c r="I3300" s="38"/>
      <c r="J3300" s="37">
        <v>0</v>
      </c>
    </row>
    <row r="3301" spans="1:10" ht="51" hidden="1" x14ac:dyDescent="0.25">
      <c r="A3301" s="174"/>
      <c r="B3301" s="177"/>
      <c r="C3301" s="43" t="s">
        <v>10624</v>
      </c>
      <c r="D3301" s="43" t="s">
        <v>2880</v>
      </c>
      <c r="E3301" s="44">
        <f>E3298*1</f>
        <v>1.3889</v>
      </c>
      <c r="F3301" s="41">
        <v>8.5522277500000001</v>
      </c>
      <c r="G3301" s="41">
        <f>IF(ISNUMBER(F3301),E3301*F3301,"")</f>
        <v>11.878189121975</v>
      </c>
      <c r="H3301" s="42"/>
      <c r="I3301" s="38"/>
      <c r="J3301" s="37">
        <v>0</v>
      </c>
    </row>
    <row r="3302" spans="1:10" ht="38.25" hidden="1" x14ac:dyDescent="0.25">
      <c r="A3302" s="174"/>
      <c r="B3302" s="177"/>
      <c r="C3302" s="43" t="s">
        <v>10622</v>
      </c>
      <c r="D3302" s="43" t="s">
        <v>10676</v>
      </c>
      <c r="E3302" s="44">
        <f>E3298*20</f>
        <v>27.777999999999999</v>
      </c>
      <c r="F3302" s="41">
        <v>2.9193680499999997</v>
      </c>
      <c r="G3302" s="41">
        <f>IF(ISNUMBER(F3302),E3302*F3302,"")</f>
        <v>81.09420569289999</v>
      </c>
      <c r="H3302" s="42"/>
      <c r="I3302" s="38"/>
      <c r="J3302" s="37">
        <v>0</v>
      </c>
    </row>
    <row r="3303" spans="1:10" hidden="1" x14ac:dyDescent="0.25">
      <c r="A3303" s="174"/>
      <c r="B3303" s="177"/>
      <c r="C3303" s="61"/>
      <c r="D3303" s="62"/>
      <c r="E3303" s="44"/>
      <c r="F3303" s="41" t="s">
        <v>13</v>
      </c>
      <c r="G3303" s="41" t="str">
        <f>IF(ISNUMBER(F3303),E3303*F3303,"")</f>
        <v/>
      </c>
      <c r="H3303" s="42"/>
      <c r="I3303" s="38"/>
      <c r="J3303" s="37">
        <v>0</v>
      </c>
    </row>
    <row r="3304" spans="1:10" ht="25.5" hidden="1" x14ac:dyDescent="0.25">
      <c r="A3304" s="174"/>
      <c r="B3304" s="177"/>
      <c r="C3304" s="4" t="s">
        <v>828</v>
      </c>
      <c r="D3304" s="62"/>
      <c r="E3304" s="44"/>
      <c r="F3304" s="41" t="s">
        <v>13</v>
      </c>
      <c r="G3304" s="41" t="str">
        <f>IF(ISNUMBER(F3304),E3304*F3304,"")</f>
        <v/>
      </c>
      <c r="H3304" s="42"/>
      <c r="I3304" s="38"/>
      <c r="J3304" s="37">
        <v>0</v>
      </c>
    </row>
    <row r="3305" spans="1:10" ht="15.75" hidden="1" thickBot="1" x14ac:dyDescent="0.3">
      <c r="A3305" s="175"/>
      <c r="B3305" s="178"/>
      <c r="C3305" s="49"/>
      <c r="D3305" s="49"/>
      <c r="E3305" s="50"/>
      <c r="F3305" s="51" t="s">
        <v>13</v>
      </c>
      <c r="G3305" s="51" t="str">
        <f>IF(ISNUMBER(F3305),E3305*F3305,"")</f>
        <v/>
      </c>
      <c r="H3305" s="53"/>
      <c r="I3305" s="38"/>
      <c r="J3305" s="37">
        <v>0</v>
      </c>
    </row>
    <row r="3306" spans="1:10" ht="15.75" hidden="1" thickBot="1" x14ac:dyDescent="0.3">
      <c r="A3306" s="173" t="s">
        <v>829</v>
      </c>
      <c r="B3306" s="176" t="s">
        <v>4310</v>
      </c>
      <c r="C3306" s="31"/>
      <c r="D3306" s="32" t="s">
        <v>106</v>
      </c>
      <c r="E3306" s="33"/>
      <c r="F3306" s="54" t="s">
        <v>13</v>
      </c>
      <c r="G3306" s="34" t="str">
        <f>IF(ISNUMBER(F3306),E3306*F3306,"")</f>
        <v/>
      </c>
      <c r="H3306" s="35"/>
      <c r="I3306" s="36"/>
      <c r="J3306" s="37">
        <v>0</v>
      </c>
    </row>
    <row r="3307" spans="1:10" hidden="1" x14ac:dyDescent="0.25">
      <c r="A3307" s="174"/>
      <c r="B3307" s="177"/>
      <c r="C3307" s="39"/>
      <c r="D3307" s="39"/>
      <c r="E3307" s="40"/>
      <c r="F3307" s="55" t="s">
        <v>13</v>
      </c>
      <c r="G3307" s="41" t="str">
        <f>IF(ISNUMBER(F3307),E3307*F3307,"")</f>
        <v/>
      </c>
      <c r="H3307" s="42"/>
      <c r="I3307" s="38"/>
      <c r="J3307" s="37">
        <v>0</v>
      </c>
    </row>
    <row r="3308" spans="1:10" ht="25.5" hidden="1" x14ac:dyDescent="0.25">
      <c r="A3308" s="174"/>
      <c r="B3308" s="177"/>
      <c r="C3308" s="43" t="s">
        <v>11042</v>
      </c>
      <c r="D3308" s="43" t="s">
        <v>1302</v>
      </c>
      <c r="E3308" s="44">
        <v>1.0225</v>
      </c>
      <c r="F3308" s="38">
        <v>85.176999999999992</v>
      </c>
      <c r="G3308" s="41">
        <f>IF(ISNUMBER(F3308),E3308*F3308,"")</f>
        <v>87.093482499999993</v>
      </c>
      <c r="H3308" s="46">
        <f>SUM(G3308:G3310)</f>
        <v>95.611537799999994</v>
      </c>
      <c r="I3308" s="47"/>
      <c r="J3308" s="37">
        <v>0</v>
      </c>
    </row>
    <row r="3309" spans="1:10" ht="25.5" hidden="1" x14ac:dyDescent="0.25">
      <c r="A3309" s="174"/>
      <c r="B3309" s="177"/>
      <c r="C3309" s="43" t="s">
        <v>10753</v>
      </c>
      <c r="D3309" s="43" t="s">
        <v>2800</v>
      </c>
      <c r="E3309" s="44">
        <v>0.15670000000000001</v>
      </c>
      <c r="F3309" s="38">
        <v>23.997</v>
      </c>
      <c r="G3309" s="41">
        <f>IF(ISNUMBER(F3309),E3309*F3309,"")</f>
        <v>3.7603299000000003</v>
      </c>
      <c r="H3309" s="42"/>
      <c r="I3309" s="38"/>
      <c r="J3309" s="37">
        <v>0</v>
      </c>
    </row>
    <row r="3310" spans="1:10" ht="25.5" hidden="1" x14ac:dyDescent="0.25">
      <c r="A3310" s="174"/>
      <c r="B3310" s="177"/>
      <c r="C3310" s="43" t="s">
        <v>10754</v>
      </c>
      <c r="D3310" s="43" t="s">
        <v>2800</v>
      </c>
      <c r="E3310" s="44">
        <v>0.15670000000000001</v>
      </c>
      <c r="F3310" s="38">
        <v>30.361999999999998</v>
      </c>
      <c r="G3310" s="41">
        <f>IF(ISNUMBER(F3310),E3310*F3310,"")</f>
        <v>4.7577254</v>
      </c>
      <c r="H3310" s="42"/>
      <c r="I3310" s="38"/>
      <c r="J3310" s="37">
        <v>0</v>
      </c>
    </row>
    <row r="3311" spans="1:10" ht="15.75" hidden="1" thickBot="1" x14ac:dyDescent="0.3">
      <c r="A3311" s="175"/>
      <c r="B3311" s="178"/>
      <c r="C3311" s="49"/>
      <c r="D3311" s="49"/>
      <c r="E3311" s="50"/>
      <c r="F3311" s="51" t="s">
        <v>13</v>
      </c>
      <c r="G3311" s="52" t="str">
        <f>IF(ISNUMBER(F3311),E3311*F3311,"")</f>
        <v/>
      </c>
      <c r="H3311" s="53"/>
      <c r="I3311" s="38"/>
      <c r="J3311" s="37">
        <v>0</v>
      </c>
    </row>
    <row r="3312" spans="1:10" ht="15.75" hidden="1" thickBot="1" x14ac:dyDescent="0.3">
      <c r="A3312" s="173" t="s">
        <v>830</v>
      </c>
      <c r="B3312" s="176" t="s">
        <v>4311</v>
      </c>
      <c r="C3312" s="31"/>
      <c r="D3312" s="32" t="s">
        <v>106</v>
      </c>
      <c r="E3312" s="33"/>
      <c r="F3312" s="54" t="s">
        <v>13</v>
      </c>
      <c r="G3312" s="34" t="str">
        <f>IF(ISNUMBER(F3312),E3312*F3312,"")</f>
        <v/>
      </c>
      <c r="H3312" s="35"/>
      <c r="I3312" s="36"/>
      <c r="J3312" s="37">
        <v>0</v>
      </c>
    </row>
    <row r="3313" spans="1:10" hidden="1" x14ac:dyDescent="0.25">
      <c r="A3313" s="174"/>
      <c r="B3313" s="177"/>
      <c r="C3313" s="39"/>
      <c r="D3313" s="39"/>
      <c r="E3313" s="40"/>
      <c r="F3313" s="55" t="s">
        <v>13</v>
      </c>
      <c r="G3313" s="41" t="str">
        <f>IF(ISNUMBER(F3313),E3313*F3313,"")</f>
        <v/>
      </c>
      <c r="H3313" s="42"/>
      <c r="I3313" s="38"/>
      <c r="J3313" s="37">
        <v>0</v>
      </c>
    </row>
    <row r="3314" spans="1:10" ht="25.5" hidden="1" x14ac:dyDescent="0.25">
      <c r="A3314" s="174"/>
      <c r="B3314" s="177"/>
      <c r="C3314" s="43" t="s">
        <v>11043</v>
      </c>
      <c r="D3314" s="43" t="s">
        <v>1302</v>
      </c>
      <c r="E3314" s="44">
        <v>1.0225</v>
      </c>
      <c r="F3314" s="38">
        <v>108.1005</v>
      </c>
      <c r="G3314" s="41">
        <f>IF(ISNUMBER(F3314),E3314*F3314,"")</f>
        <v>110.53276124999999</v>
      </c>
      <c r="H3314" s="46">
        <f>SUM(G3314:G3316)</f>
        <v>120.02384264999999</v>
      </c>
      <c r="I3314" s="47"/>
      <c r="J3314" s="37">
        <v>0</v>
      </c>
    </row>
    <row r="3315" spans="1:10" ht="25.5" hidden="1" x14ac:dyDescent="0.25">
      <c r="A3315" s="174"/>
      <c r="B3315" s="177"/>
      <c r="C3315" s="43" t="s">
        <v>10753</v>
      </c>
      <c r="D3315" s="43" t="s">
        <v>2800</v>
      </c>
      <c r="E3315" s="44">
        <v>0.17460000000000001</v>
      </c>
      <c r="F3315" s="38">
        <v>23.997</v>
      </c>
      <c r="G3315" s="41">
        <f>IF(ISNUMBER(F3315),E3315*F3315,"")</f>
        <v>4.1898762000000005</v>
      </c>
      <c r="H3315" s="42"/>
      <c r="I3315" s="38"/>
      <c r="J3315" s="37">
        <v>0</v>
      </c>
    </row>
    <row r="3316" spans="1:10" ht="25.5" hidden="1" x14ac:dyDescent="0.25">
      <c r="A3316" s="174"/>
      <c r="B3316" s="177"/>
      <c r="C3316" s="43" t="s">
        <v>10754</v>
      </c>
      <c r="D3316" s="43" t="s">
        <v>2800</v>
      </c>
      <c r="E3316" s="44">
        <v>0.17460000000000001</v>
      </c>
      <c r="F3316" s="38">
        <v>30.361999999999998</v>
      </c>
      <c r="G3316" s="41">
        <f>IF(ISNUMBER(F3316),E3316*F3316,"")</f>
        <v>5.3012052000000001</v>
      </c>
      <c r="H3316" s="42"/>
      <c r="I3316" s="38"/>
      <c r="J3316" s="37">
        <v>0</v>
      </c>
    </row>
    <row r="3317" spans="1:10" ht="15.75" hidden="1" thickBot="1" x14ac:dyDescent="0.3">
      <c r="A3317" s="175"/>
      <c r="B3317" s="178"/>
      <c r="C3317" s="49"/>
      <c r="D3317" s="49"/>
      <c r="E3317" s="50"/>
      <c r="F3317" s="51" t="s">
        <v>13</v>
      </c>
      <c r="G3317" s="52" t="str">
        <f>IF(ISNUMBER(F3317),E3317*F3317,"")</f>
        <v/>
      </c>
      <c r="H3317" s="53"/>
      <c r="I3317" s="38"/>
      <c r="J3317" s="37">
        <v>0</v>
      </c>
    </row>
    <row r="3318" spans="1:10" ht="15.75" hidden="1" thickBot="1" x14ac:dyDescent="0.3">
      <c r="A3318" s="173" t="s">
        <v>831</v>
      </c>
      <c r="B3318" s="176" t="s">
        <v>4312</v>
      </c>
      <c r="C3318" s="31"/>
      <c r="D3318" s="32" t="s">
        <v>106</v>
      </c>
      <c r="E3318" s="33"/>
      <c r="F3318" s="54" t="s">
        <v>13</v>
      </c>
      <c r="G3318" s="34" t="str">
        <f>IF(ISNUMBER(F3318),E3318*F3318,"")</f>
        <v/>
      </c>
      <c r="H3318" s="35"/>
      <c r="I3318" s="36"/>
      <c r="J3318" s="37">
        <v>0</v>
      </c>
    </row>
    <row r="3319" spans="1:10" hidden="1" x14ac:dyDescent="0.25">
      <c r="A3319" s="174"/>
      <c r="B3319" s="177"/>
      <c r="C3319" s="39"/>
      <c r="D3319" s="39"/>
      <c r="E3319" s="40"/>
      <c r="F3319" s="55" t="s">
        <v>13</v>
      </c>
      <c r="G3319" s="41" t="str">
        <f>IF(ISNUMBER(F3319),E3319*F3319,"")</f>
        <v/>
      </c>
      <c r="H3319" s="42"/>
      <c r="I3319" s="38"/>
      <c r="J3319" s="37">
        <v>0</v>
      </c>
    </row>
    <row r="3320" spans="1:10" ht="25.5" hidden="1" x14ac:dyDescent="0.25">
      <c r="A3320" s="174"/>
      <c r="B3320" s="177"/>
      <c r="C3320" s="43" t="s">
        <v>11044</v>
      </c>
      <c r="D3320" s="43" t="s">
        <v>1302</v>
      </c>
      <c r="E3320" s="44">
        <v>1.0225</v>
      </c>
      <c r="F3320" s="38">
        <v>211.98299999999998</v>
      </c>
      <c r="G3320" s="41">
        <f>IF(ISNUMBER(F3320),E3320*F3320,"")</f>
        <v>216.75261749999996</v>
      </c>
      <c r="H3320" s="46">
        <f>SUM(G3320:G3322)</f>
        <v>221.44923509999998</v>
      </c>
      <c r="I3320" s="47"/>
      <c r="J3320" s="37">
        <v>0</v>
      </c>
    </row>
    <row r="3321" spans="1:10" ht="25.5" hidden="1" x14ac:dyDescent="0.25">
      <c r="A3321" s="174"/>
      <c r="B3321" s="177"/>
      <c r="C3321" s="43" t="s">
        <v>10753</v>
      </c>
      <c r="D3321" s="43" t="s">
        <v>2800</v>
      </c>
      <c r="E3321" s="44">
        <v>8.6400000000000005E-2</v>
      </c>
      <c r="F3321" s="38">
        <v>23.997</v>
      </c>
      <c r="G3321" s="41">
        <f>IF(ISNUMBER(F3321),E3321*F3321,"")</f>
        <v>2.0733408</v>
      </c>
      <c r="H3321" s="42"/>
      <c r="I3321" s="38"/>
      <c r="J3321" s="37">
        <v>0</v>
      </c>
    </row>
    <row r="3322" spans="1:10" ht="25.5" hidden="1" x14ac:dyDescent="0.25">
      <c r="A3322" s="174"/>
      <c r="B3322" s="177"/>
      <c r="C3322" s="43" t="s">
        <v>10754</v>
      </c>
      <c r="D3322" s="43" t="s">
        <v>2800</v>
      </c>
      <c r="E3322" s="44">
        <v>8.6400000000000005E-2</v>
      </c>
      <c r="F3322" s="38">
        <v>30.361999999999998</v>
      </c>
      <c r="G3322" s="41">
        <f>IF(ISNUMBER(F3322),E3322*F3322,"")</f>
        <v>2.6232768000000002</v>
      </c>
      <c r="H3322" s="42"/>
      <c r="I3322" s="38"/>
      <c r="J3322" s="37">
        <v>0</v>
      </c>
    </row>
    <row r="3323" spans="1:10" ht="15.75" hidden="1" thickBot="1" x14ac:dyDescent="0.3">
      <c r="A3323" s="175"/>
      <c r="B3323" s="178"/>
      <c r="C3323" s="49"/>
      <c r="D3323" s="49"/>
      <c r="E3323" s="50"/>
      <c r="F3323" s="51" t="s">
        <v>13</v>
      </c>
      <c r="G3323" s="52" t="str">
        <f>IF(ISNUMBER(F3323),E3323*F3323,"")</f>
        <v/>
      </c>
      <c r="H3323" s="53"/>
      <c r="I3323" s="38"/>
      <c r="J3323" s="37">
        <v>0</v>
      </c>
    </row>
    <row r="3324" spans="1:10" ht="15.75" hidden="1" thickBot="1" x14ac:dyDescent="0.3">
      <c r="A3324" s="173" t="s">
        <v>832</v>
      </c>
      <c r="B3324" s="176" t="s">
        <v>4313</v>
      </c>
      <c r="C3324" s="31"/>
      <c r="D3324" s="32" t="s">
        <v>18</v>
      </c>
      <c r="E3324" s="33"/>
      <c r="F3324" s="54" t="s">
        <v>13</v>
      </c>
      <c r="G3324" s="34" t="str">
        <f>IF(ISNUMBER(F3324),E3324*F3324,"")</f>
        <v/>
      </c>
      <c r="H3324" s="35"/>
      <c r="I3324" s="36"/>
      <c r="J3324" s="37">
        <v>0</v>
      </c>
    </row>
    <row r="3325" spans="1:10" hidden="1" x14ac:dyDescent="0.25">
      <c r="A3325" s="174"/>
      <c r="B3325" s="177"/>
      <c r="C3325" s="39"/>
      <c r="D3325" s="39"/>
      <c r="E3325" s="40"/>
      <c r="F3325" s="55" t="s">
        <v>13</v>
      </c>
      <c r="G3325" s="41" t="str">
        <f>IF(ISNUMBER(F3325),E3325*F3325,"")</f>
        <v/>
      </c>
      <c r="H3325" s="42"/>
      <c r="I3325" s="38"/>
      <c r="J3325" s="37">
        <v>0</v>
      </c>
    </row>
    <row r="3326" spans="1:10" ht="38.25" hidden="1" x14ac:dyDescent="0.25">
      <c r="A3326" s="174"/>
      <c r="B3326" s="177"/>
      <c r="C3326" s="43" t="s">
        <v>10914</v>
      </c>
      <c r="D3326" s="43" t="s">
        <v>83</v>
      </c>
      <c r="E3326" s="44">
        <v>2</v>
      </c>
      <c r="F3326" s="38">
        <v>19.741</v>
      </c>
      <c r="G3326" s="41">
        <f>IF(ISNUMBER(F3326),E3326*F3326,"")</f>
        <v>39.481999999999999</v>
      </c>
      <c r="H3326" s="46">
        <f>SUM(G3326:G3332)</f>
        <v>721.67435330000001</v>
      </c>
      <c r="I3326" s="47"/>
      <c r="J3326" s="37">
        <v>0</v>
      </c>
    </row>
    <row r="3327" spans="1:10" ht="25.5" hidden="1" x14ac:dyDescent="0.25">
      <c r="A3327" s="174"/>
      <c r="B3327" s="177"/>
      <c r="C3327" s="43" t="s">
        <v>10897</v>
      </c>
      <c r="D3327" s="43" t="s">
        <v>83</v>
      </c>
      <c r="E3327" s="44">
        <v>1</v>
      </c>
      <c r="F3327" s="38">
        <v>15.266499999999999</v>
      </c>
      <c r="G3327" s="41">
        <f>IF(ISNUMBER(F3327),E3327*F3327,"")</f>
        <v>15.266499999999999</v>
      </c>
      <c r="H3327" s="42"/>
      <c r="I3327" s="38"/>
      <c r="J3327" s="37">
        <v>0</v>
      </c>
    </row>
    <row r="3328" spans="1:10" ht="25.5" hidden="1" x14ac:dyDescent="0.25">
      <c r="A3328" s="174"/>
      <c r="B3328" s="177"/>
      <c r="C3328" s="43" t="s">
        <v>11045</v>
      </c>
      <c r="D3328" s="43" t="s">
        <v>83</v>
      </c>
      <c r="E3328" s="44">
        <v>1</v>
      </c>
      <c r="F3328" s="38">
        <v>612.38900000000001</v>
      </c>
      <c r="G3328" s="41">
        <f>IF(ISNUMBER(F3328),E3328*F3328,"")</f>
        <v>612.38900000000001</v>
      </c>
      <c r="H3328" s="42"/>
      <c r="I3328" s="38"/>
      <c r="J3328" s="37">
        <v>0</v>
      </c>
    </row>
    <row r="3329" spans="1:10" hidden="1" x14ac:dyDescent="0.25">
      <c r="A3329" s="174"/>
      <c r="B3329" s="177"/>
      <c r="C3329" s="43" t="s">
        <v>10877</v>
      </c>
      <c r="D3329" s="43" t="s">
        <v>1044</v>
      </c>
      <c r="E3329" s="44">
        <v>8.8099999999999998E-2</v>
      </c>
      <c r="F3329" s="38">
        <v>71.667999999999992</v>
      </c>
      <c r="G3329" s="41">
        <f>IF(ISNUMBER(F3329),E3329*F3329,"")</f>
        <v>6.3139507999999989</v>
      </c>
      <c r="H3329" s="42"/>
      <c r="I3329" s="38"/>
      <c r="J3329" s="37">
        <v>0</v>
      </c>
    </row>
    <row r="3330" spans="1:10" ht="25.5" hidden="1" x14ac:dyDescent="0.25">
      <c r="A3330" s="174"/>
      <c r="B3330" s="177"/>
      <c r="C3330" s="43" t="s">
        <v>10754</v>
      </c>
      <c r="D3330" s="43" t="s">
        <v>2800</v>
      </c>
      <c r="E3330" s="44">
        <v>1.1539999999999999</v>
      </c>
      <c r="F3330" s="38">
        <v>30.361999999999998</v>
      </c>
      <c r="G3330" s="41">
        <f>IF(ISNUMBER(F3330),E3330*F3330,"")</f>
        <v>35.037747999999993</v>
      </c>
      <c r="H3330" s="42"/>
      <c r="I3330" s="38"/>
      <c r="J3330" s="37">
        <v>0</v>
      </c>
    </row>
    <row r="3331" spans="1:10" hidden="1" x14ac:dyDescent="0.25">
      <c r="A3331" s="174"/>
      <c r="B3331" s="177"/>
      <c r="C3331" s="43" t="s">
        <v>10614</v>
      </c>
      <c r="D3331" s="43" t="s">
        <v>2800</v>
      </c>
      <c r="E3331" s="44">
        <v>0.55649999999999999</v>
      </c>
      <c r="F3331" s="38">
        <v>23.693000000000001</v>
      </c>
      <c r="G3331" s="41">
        <f>IF(ISNUMBER(F3331),E3331*F3331,"")</f>
        <v>13.185154500000001</v>
      </c>
      <c r="H3331" s="42"/>
      <c r="I3331" s="38"/>
      <c r="J3331" s="37">
        <v>0</v>
      </c>
    </row>
    <row r="3332" spans="1:10" ht="25.5" hidden="1" x14ac:dyDescent="0.25">
      <c r="A3332" s="174"/>
      <c r="B3332" s="177"/>
      <c r="C3332" s="43" t="s">
        <v>211</v>
      </c>
      <c r="D3332" s="43" t="s">
        <v>18</v>
      </c>
      <c r="E3332" s="44">
        <v>1</v>
      </c>
      <c r="F3332" s="41" t="s">
        <v>13</v>
      </c>
      <c r="G3332" s="41" t="str">
        <f>IF(ISNUMBER(F3332),E3332*F3332,"")</f>
        <v/>
      </c>
      <c r="H3332" s="42"/>
      <c r="I3332" s="38"/>
      <c r="J3332" s="37">
        <v>0</v>
      </c>
    </row>
    <row r="3333" spans="1:10" ht="15.75" hidden="1" thickBot="1" x14ac:dyDescent="0.3">
      <c r="A3333" s="175"/>
      <c r="B3333" s="178"/>
      <c r="C3333" s="49"/>
      <c r="D3333" s="49"/>
      <c r="E3333" s="50"/>
      <c r="F3333" s="51" t="s">
        <v>13</v>
      </c>
      <c r="G3333" s="52" t="str">
        <f>IF(ISNUMBER(F3333),E3333*F3333,"")</f>
        <v/>
      </c>
      <c r="H3333" s="53"/>
      <c r="I3333" s="38"/>
      <c r="J3333" s="37">
        <v>0</v>
      </c>
    </row>
    <row r="3334" spans="1:10" ht="15.75" hidden="1" thickBot="1" x14ac:dyDescent="0.3">
      <c r="A3334" s="173" t="s">
        <v>833</v>
      </c>
      <c r="B3334" s="176" t="s">
        <v>4314</v>
      </c>
      <c r="C3334" s="31"/>
      <c r="D3334" s="32" t="s">
        <v>18</v>
      </c>
      <c r="E3334" s="33"/>
      <c r="F3334" s="54" t="s">
        <v>13</v>
      </c>
      <c r="G3334" s="34" t="str">
        <f>IF(ISNUMBER(F3334),E3334*F3334,"")</f>
        <v/>
      </c>
      <c r="H3334" s="35"/>
      <c r="I3334" s="36"/>
      <c r="J3334" s="37">
        <v>0</v>
      </c>
    </row>
    <row r="3335" spans="1:10" hidden="1" x14ac:dyDescent="0.25">
      <c r="A3335" s="174"/>
      <c r="B3335" s="177"/>
      <c r="C3335" s="39"/>
      <c r="D3335" s="39"/>
      <c r="E3335" s="40"/>
      <c r="F3335" s="55" t="s">
        <v>13</v>
      </c>
      <c r="G3335" s="41" t="str">
        <f>IF(ISNUMBER(F3335),E3335*F3335,"")</f>
        <v/>
      </c>
      <c r="H3335" s="42"/>
      <c r="I3335" s="38"/>
      <c r="J3335" s="37">
        <v>0</v>
      </c>
    </row>
    <row r="3336" spans="1:10" ht="25.5" hidden="1" x14ac:dyDescent="0.25">
      <c r="A3336" s="174"/>
      <c r="B3336" s="177"/>
      <c r="C3336" s="43" t="s">
        <v>834</v>
      </c>
      <c r="D3336" s="62" t="s">
        <v>87</v>
      </c>
      <c r="E3336" s="44">
        <v>1</v>
      </c>
      <c r="F3336" s="38" t="s">
        <v>13</v>
      </c>
      <c r="G3336" s="41" t="str">
        <f>IF(ISNUMBER(F3336),E3336*F3336,"")</f>
        <v/>
      </c>
      <c r="H3336" s="46">
        <f>SUM(G3336:G3337)</f>
        <v>2.3693000000000004</v>
      </c>
      <c r="I3336" s="47"/>
      <c r="J3336" s="37">
        <v>0</v>
      </c>
    </row>
    <row r="3337" spans="1:10" hidden="1" x14ac:dyDescent="0.25">
      <c r="A3337" s="174"/>
      <c r="B3337" s="177"/>
      <c r="C3337" s="43" t="s">
        <v>10614</v>
      </c>
      <c r="D3337" s="43" t="s">
        <v>2800</v>
      </c>
      <c r="E3337" s="44">
        <v>0.1</v>
      </c>
      <c r="F3337" s="38">
        <v>23.693000000000001</v>
      </c>
      <c r="G3337" s="41">
        <f>IF(ISNUMBER(F3337),E3337*F3337,"")</f>
        <v>2.3693000000000004</v>
      </c>
      <c r="H3337" s="42"/>
      <c r="I3337" s="38"/>
      <c r="J3337" s="37">
        <v>0</v>
      </c>
    </row>
    <row r="3338" spans="1:10" ht="15.75" hidden="1" thickBot="1" x14ac:dyDescent="0.3">
      <c r="A3338" s="175"/>
      <c r="B3338" s="178"/>
      <c r="C3338" s="49"/>
      <c r="D3338" s="49"/>
      <c r="E3338" s="50"/>
      <c r="F3338" s="51" t="s">
        <v>13</v>
      </c>
      <c r="G3338" s="52" t="str">
        <f>IF(ISNUMBER(F3338),E3338*F3338,"")</f>
        <v/>
      </c>
      <c r="H3338" s="53"/>
      <c r="I3338" s="38"/>
      <c r="J3338" s="37">
        <v>0</v>
      </c>
    </row>
    <row r="3339" spans="1:10" ht="15.75" hidden="1" thickBot="1" x14ac:dyDescent="0.3">
      <c r="A3339" s="173" t="s">
        <v>835</v>
      </c>
      <c r="B3339" s="176" t="s">
        <v>4315</v>
      </c>
      <c r="C3339" s="31"/>
      <c r="D3339" s="32" t="s">
        <v>18</v>
      </c>
      <c r="E3339" s="33"/>
      <c r="F3339" s="54" t="s">
        <v>13</v>
      </c>
      <c r="G3339" s="34" t="str">
        <f>IF(ISNUMBER(F3339),E3339*F3339,"")</f>
        <v/>
      </c>
      <c r="H3339" s="35"/>
      <c r="I3339" s="36"/>
      <c r="J3339" s="37">
        <v>0</v>
      </c>
    </row>
    <row r="3340" spans="1:10" hidden="1" x14ac:dyDescent="0.25">
      <c r="A3340" s="174"/>
      <c r="B3340" s="177"/>
      <c r="C3340" s="39"/>
      <c r="D3340" s="39"/>
      <c r="E3340" s="40"/>
      <c r="F3340" s="55" t="s">
        <v>13</v>
      </c>
      <c r="G3340" s="41" t="str">
        <f>IF(ISNUMBER(F3340),E3340*F3340,"")</f>
        <v/>
      </c>
      <c r="H3340" s="42"/>
      <c r="I3340" s="38"/>
      <c r="J3340" s="37">
        <v>0</v>
      </c>
    </row>
    <row r="3341" spans="1:10" ht="25.5" hidden="1" x14ac:dyDescent="0.25">
      <c r="A3341" s="174"/>
      <c r="B3341" s="177"/>
      <c r="C3341" s="43" t="s">
        <v>836</v>
      </c>
      <c r="D3341" s="62" t="s">
        <v>87</v>
      </c>
      <c r="E3341" s="44">
        <v>1</v>
      </c>
      <c r="F3341" s="38" t="s">
        <v>13</v>
      </c>
      <c r="G3341" s="41" t="str">
        <f>IF(ISNUMBER(F3341),E3341*F3341,"")</f>
        <v/>
      </c>
      <c r="H3341" s="46">
        <f>SUM(G3341:G3344)</f>
        <v>14.595262299999998</v>
      </c>
      <c r="I3341" s="47"/>
      <c r="J3341" s="37">
        <v>0</v>
      </c>
    </row>
    <row r="3342" spans="1:10" hidden="1" x14ac:dyDescent="0.25">
      <c r="A3342" s="174"/>
      <c r="B3342" s="177"/>
      <c r="C3342" s="43" t="s">
        <v>10907</v>
      </c>
      <c r="D3342" s="43" t="s">
        <v>83</v>
      </c>
      <c r="E3342" s="44">
        <v>1.9199999999999998E-2</v>
      </c>
      <c r="F3342" s="38">
        <v>14.715499999999999</v>
      </c>
      <c r="G3342" s="41">
        <f>IF(ISNUMBER(F3342),E3342*F3342,"")</f>
        <v>0.28253759999999994</v>
      </c>
      <c r="H3342" s="42"/>
      <c r="I3342" s="38"/>
      <c r="J3342" s="37">
        <v>0</v>
      </c>
    </row>
    <row r="3343" spans="1:10" ht="25.5" hidden="1" x14ac:dyDescent="0.25">
      <c r="A3343" s="174"/>
      <c r="B3343" s="177"/>
      <c r="C3343" s="43" t="s">
        <v>10754</v>
      </c>
      <c r="D3343" s="43" t="s">
        <v>2800</v>
      </c>
      <c r="E3343" s="44">
        <v>0.26329999999999998</v>
      </c>
      <c r="F3343" s="38">
        <v>30.361999999999998</v>
      </c>
      <c r="G3343" s="41">
        <f>IF(ISNUMBER(F3343),E3343*F3343,"")</f>
        <v>7.9943145999999992</v>
      </c>
      <c r="H3343" s="42"/>
      <c r="I3343" s="38"/>
      <c r="J3343" s="37">
        <v>0</v>
      </c>
    </row>
    <row r="3344" spans="1:10" ht="25.5" hidden="1" x14ac:dyDescent="0.25">
      <c r="A3344" s="174"/>
      <c r="B3344" s="177"/>
      <c r="C3344" s="43" t="s">
        <v>10753</v>
      </c>
      <c r="D3344" s="43" t="s">
        <v>2800</v>
      </c>
      <c r="E3344" s="44">
        <v>0.26329999999999998</v>
      </c>
      <c r="F3344" s="38">
        <v>23.997</v>
      </c>
      <c r="G3344" s="41">
        <f>IF(ISNUMBER(F3344),E3344*F3344,"")</f>
        <v>6.3184100999999995</v>
      </c>
      <c r="H3344" s="42"/>
      <c r="I3344" s="38"/>
      <c r="J3344" s="37">
        <v>0</v>
      </c>
    </row>
    <row r="3345" spans="1:10" ht="15.75" hidden="1" thickBot="1" x14ac:dyDescent="0.3">
      <c r="A3345" s="175"/>
      <c r="B3345" s="178"/>
      <c r="C3345" s="49"/>
      <c r="D3345" s="49"/>
      <c r="E3345" s="50"/>
      <c r="F3345" s="51" t="s">
        <v>13</v>
      </c>
      <c r="G3345" s="52" t="str">
        <f>IF(ISNUMBER(F3345),E3345*F3345,"")</f>
        <v/>
      </c>
      <c r="H3345" s="53"/>
      <c r="I3345" s="38"/>
      <c r="J3345" s="37">
        <v>0</v>
      </c>
    </row>
    <row r="3346" spans="1:10" ht="15.75" hidden="1" thickBot="1" x14ac:dyDescent="0.3">
      <c r="A3346" s="173" t="s">
        <v>837</v>
      </c>
      <c r="B3346" s="176" t="s">
        <v>4316</v>
      </c>
      <c r="C3346" s="31"/>
      <c r="D3346" s="32" t="s">
        <v>106</v>
      </c>
      <c r="E3346" s="33"/>
      <c r="F3346" s="54" t="s">
        <v>13</v>
      </c>
      <c r="G3346" s="34" t="str">
        <f>IF(ISNUMBER(F3346),E3346*F3346,"")</f>
        <v/>
      </c>
      <c r="H3346" s="35"/>
      <c r="I3346" s="36"/>
      <c r="J3346" s="37">
        <v>0</v>
      </c>
    </row>
    <row r="3347" spans="1:10" hidden="1" x14ac:dyDescent="0.25">
      <c r="A3347" s="174"/>
      <c r="B3347" s="177"/>
      <c r="C3347" s="39"/>
      <c r="D3347" s="39"/>
      <c r="E3347" s="40"/>
      <c r="F3347" s="55" t="s">
        <v>13</v>
      </c>
      <c r="G3347" s="41" t="str">
        <f>IF(ISNUMBER(F3347),E3347*F3347,"")</f>
        <v/>
      </c>
      <c r="H3347" s="42"/>
      <c r="I3347" s="38"/>
      <c r="J3347" s="37">
        <v>0</v>
      </c>
    </row>
    <row r="3348" spans="1:10" hidden="1" x14ac:dyDescent="0.25">
      <c r="A3348" s="174"/>
      <c r="B3348" s="177"/>
      <c r="C3348" s="43" t="s">
        <v>838</v>
      </c>
      <c r="D3348" s="43" t="s">
        <v>106</v>
      </c>
      <c r="E3348" s="44">
        <v>1.0149999999999999</v>
      </c>
      <c r="F3348" s="38" t="s">
        <v>13</v>
      </c>
      <c r="G3348" s="41" t="str">
        <f>IF(ISNUMBER(F3348),E3348*F3348,"")</f>
        <v/>
      </c>
      <c r="H3348" s="46">
        <f>SUM(G3348:G3351)</f>
        <v>3.4673004999999999</v>
      </c>
      <c r="I3348" s="47"/>
      <c r="J3348" s="37">
        <v>0</v>
      </c>
    </row>
    <row r="3349" spans="1:10" ht="25.5" hidden="1" x14ac:dyDescent="0.25">
      <c r="A3349" s="174"/>
      <c r="B3349" s="177"/>
      <c r="C3349" s="43" t="s">
        <v>10946</v>
      </c>
      <c r="D3349" s="43" t="s">
        <v>83</v>
      </c>
      <c r="E3349" s="44">
        <v>8.9999999999999993E-3</v>
      </c>
      <c r="F3349" s="38">
        <v>4.3605</v>
      </c>
      <c r="G3349" s="41">
        <f>IF(ISNUMBER(F3349),E3349*F3349,"")</f>
        <v>3.9244499999999995E-2</v>
      </c>
      <c r="H3349" s="42"/>
      <c r="I3349" s="38"/>
      <c r="J3349" s="37">
        <v>0</v>
      </c>
    </row>
    <row r="3350" spans="1:10" hidden="1" x14ac:dyDescent="0.25">
      <c r="A3350" s="174"/>
      <c r="B3350" s="177"/>
      <c r="C3350" s="43" t="s">
        <v>10762</v>
      </c>
      <c r="D3350" s="43" t="s">
        <v>2800</v>
      </c>
      <c r="E3350" s="44">
        <v>6.08E-2</v>
      </c>
      <c r="F3350" s="38">
        <v>24.946999999999999</v>
      </c>
      <c r="G3350" s="41">
        <f>IF(ISNUMBER(F3350),E3350*F3350,"")</f>
        <v>1.5167775999999999</v>
      </c>
      <c r="H3350" s="42"/>
      <c r="I3350" s="38"/>
      <c r="J3350" s="37">
        <v>0</v>
      </c>
    </row>
    <row r="3351" spans="1:10" hidden="1" x14ac:dyDescent="0.25">
      <c r="A3351" s="174"/>
      <c r="B3351" s="177"/>
      <c r="C3351" s="43" t="s">
        <v>10763</v>
      </c>
      <c r="D3351" s="43" t="s">
        <v>2800</v>
      </c>
      <c r="E3351" s="44">
        <v>6.08E-2</v>
      </c>
      <c r="F3351" s="38">
        <v>31.435500000000001</v>
      </c>
      <c r="G3351" s="41">
        <f>IF(ISNUMBER(F3351),E3351*F3351,"")</f>
        <v>1.9112784</v>
      </c>
      <c r="H3351" s="42"/>
      <c r="I3351" s="38"/>
      <c r="J3351" s="37">
        <v>0</v>
      </c>
    </row>
    <row r="3352" spans="1:10" ht="15.75" hidden="1" thickBot="1" x14ac:dyDescent="0.3">
      <c r="A3352" s="175"/>
      <c r="B3352" s="178"/>
      <c r="C3352" s="49"/>
      <c r="D3352" s="49"/>
      <c r="E3352" s="50"/>
      <c r="F3352" s="51" t="s">
        <v>13</v>
      </c>
      <c r="G3352" s="52" t="str">
        <f>IF(ISNUMBER(F3352),E3352*F3352,"")</f>
        <v/>
      </c>
      <c r="H3352" s="53"/>
      <c r="I3352" s="38"/>
      <c r="J3352" s="37">
        <v>0</v>
      </c>
    </row>
    <row r="3353" spans="1:10" ht="15.75" hidden="1" thickBot="1" x14ac:dyDescent="0.3">
      <c r="A3353" s="173" t="s">
        <v>839</v>
      </c>
      <c r="B3353" s="176" t="s">
        <v>4317</v>
      </c>
      <c r="C3353" s="31"/>
      <c r="D3353" s="32" t="s">
        <v>106</v>
      </c>
      <c r="E3353" s="33"/>
      <c r="F3353" s="54" t="s">
        <v>13</v>
      </c>
      <c r="G3353" s="34" t="str">
        <f>IF(ISNUMBER(F3353),E3353*F3353,"")</f>
        <v/>
      </c>
      <c r="H3353" s="35"/>
      <c r="I3353" s="36"/>
      <c r="J3353" s="37">
        <v>0</v>
      </c>
    </row>
    <row r="3354" spans="1:10" hidden="1" x14ac:dyDescent="0.25">
      <c r="A3354" s="174"/>
      <c r="B3354" s="177"/>
      <c r="C3354" s="39"/>
      <c r="D3354" s="39"/>
      <c r="E3354" s="40"/>
      <c r="F3354" s="55" t="s">
        <v>13</v>
      </c>
      <c r="G3354" s="41" t="str">
        <f>IF(ISNUMBER(F3354),E3354*F3354,"")</f>
        <v/>
      </c>
      <c r="H3354" s="42"/>
      <c r="I3354" s="38"/>
      <c r="J3354" s="37">
        <v>0</v>
      </c>
    </row>
    <row r="3355" spans="1:10" hidden="1" x14ac:dyDescent="0.25">
      <c r="A3355" s="174"/>
      <c r="B3355" s="177"/>
      <c r="C3355" s="43" t="s">
        <v>840</v>
      </c>
      <c r="D3355" s="43" t="s">
        <v>106</v>
      </c>
      <c r="E3355" s="44">
        <v>1.0149999999999999</v>
      </c>
      <c r="F3355" s="38" t="s">
        <v>13</v>
      </c>
      <c r="G3355" s="41" t="str">
        <f>IF(ISNUMBER(F3355),E3355*F3355,"")</f>
        <v/>
      </c>
      <c r="H3355" s="46">
        <f>SUM(G3355:G3358)</f>
        <v>3.9691047499999996</v>
      </c>
      <c r="I3355" s="47"/>
      <c r="J3355" s="37">
        <v>0</v>
      </c>
    </row>
    <row r="3356" spans="1:10" ht="25.5" hidden="1" x14ac:dyDescent="0.25">
      <c r="A3356" s="174"/>
      <c r="B3356" s="177"/>
      <c r="C3356" s="43" t="s">
        <v>10946</v>
      </c>
      <c r="D3356" s="43" t="s">
        <v>83</v>
      </c>
      <c r="E3356" s="44">
        <v>8.9999999999999993E-3</v>
      </c>
      <c r="F3356" s="38">
        <v>4.3605</v>
      </c>
      <c r="G3356" s="41">
        <f>IF(ISNUMBER(F3356),E3356*F3356,"")</f>
        <v>3.9244499999999995E-2</v>
      </c>
      <c r="H3356" s="42"/>
      <c r="I3356" s="38"/>
      <c r="J3356" s="37">
        <v>0</v>
      </c>
    </row>
    <row r="3357" spans="1:10" hidden="1" x14ac:dyDescent="0.25">
      <c r="A3357" s="174"/>
      <c r="B3357" s="177"/>
      <c r="C3357" s="43" t="s">
        <v>10762</v>
      </c>
      <c r="D3357" s="43" t="s">
        <v>2800</v>
      </c>
      <c r="E3357" s="44">
        <v>6.9699999999999998E-2</v>
      </c>
      <c r="F3357" s="38">
        <v>24.946999999999999</v>
      </c>
      <c r="G3357" s="41">
        <f>IF(ISNUMBER(F3357),E3357*F3357,"")</f>
        <v>1.7388058999999998</v>
      </c>
      <c r="H3357" s="42"/>
      <c r="I3357" s="38"/>
      <c r="J3357" s="37">
        <v>0</v>
      </c>
    </row>
    <row r="3358" spans="1:10" hidden="1" x14ac:dyDescent="0.25">
      <c r="A3358" s="174"/>
      <c r="B3358" s="177"/>
      <c r="C3358" s="43" t="s">
        <v>10763</v>
      </c>
      <c r="D3358" s="43" t="s">
        <v>2800</v>
      </c>
      <c r="E3358" s="44">
        <v>6.9699999999999998E-2</v>
      </c>
      <c r="F3358" s="38">
        <v>31.435500000000001</v>
      </c>
      <c r="G3358" s="41">
        <f>IF(ISNUMBER(F3358),E3358*F3358,"")</f>
        <v>2.1910543499999999</v>
      </c>
      <c r="H3358" s="42"/>
      <c r="I3358" s="38"/>
      <c r="J3358" s="37">
        <v>0</v>
      </c>
    </row>
    <row r="3359" spans="1:10" ht="15.75" hidden="1" thickBot="1" x14ac:dyDescent="0.3">
      <c r="A3359" s="175"/>
      <c r="B3359" s="178"/>
      <c r="C3359" s="49"/>
      <c r="D3359" s="49"/>
      <c r="E3359" s="50"/>
      <c r="F3359" s="51" t="s">
        <v>13</v>
      </c>
      <c r="G3359" s="52" t="str">
        <f>IF(ISNUMBER(F3359),E3359*F3359,"")</f>
        <v/>
      </c>
      <c r="H3359" s="53"/>
      <c r="I3359" s="38"/>
      <c r="J3359" s="37">
        <v>0</v>
      </c>
    </row>
    <row r="3360" spans="1:10" ht="15.75" hidden="1" thickBot="1" x14ac:dyDescent="0.3">
      <c r="A3360" s="173" t="s">
        <v>841</v>
      </c>
      <c r="B3360" s="176" t="s">
        <v>4318</v>
      </c>
      <c r="C3360" s="31"/>
      <c r="D3360" s="32" t="s">
        <v>106</v>
      </c>
      <c r="E3360" s="33"/>
      <c r="F3360" s="54" t="s">
        <v>13</v>
      </c>
      <c r="G3360" s="34" t="str">
        <f>IF(ISNUMBER(F3360),E3360*F3360,"")</f>
        <v/>
      </c>
      <c r="H3360" s="35"/>
      <c r="I3360" s="36"/>
      <c r="J3360" s="37">
        <v>0</v>
      </c>
    </row>
    <row r="3361" spans="1:10" hidden="1" x14ac:dyDescent="0.25">
      <c r="A3361" s="174"/>
      <c r="B3361" s="177"/>
      <c r="C3361" s="39"/>
      <c r="D3361" s="39"/>
      <c r="E3361" s="40"/>
      <c r="F3361" s="55" t="s">
        <v>13</v>
      </c>
      <c r="G3361" s="41" t="str">
        <f>IF(ISNUMBER(F3361),E3361*F3361,"")</f>
        <v/>
      </c>
      <c r="H3361" s="42"/>
      <c r="I3361" s="38"/>
      <c r="J3361" s="37">
        <v>0</v>
      </c>
    </row>
    <row r="3362" spans="1:10" hidden="1" x14ac:dyDescent="0.25">
      <c r="A3362" s="174"/>
      <c r="B3362" s="177"/>
      <c r="C3362" s="43" t="s">
        <v>842</v>
      </c>
      <c r="D3362" s="43" t="s">
        <v>106</v>
      </c>
      <c r="E3362" s="44">
        <v>1.0149999999999999</v>
      </c>
      <c r="F3362" s="38" t="s">
        <v>13</v>
      </c>
      <c r="G3362" s="41" t="str">
        <f>IF(ISNUMBER(F3362),E3362*F3362,"")</f>
        <v/>
      </c>
      <c r="H3362" s="46">
        <f>SUM(G3362:G3365)</f>
        <v>4.7189920000000001</v>
      </c>
      <c r="I3362" s="47"/>
      <c r="J3362" s="37">
        <v>0</v>
      </c>
    </row>
    <row r="3363" spans="1:10" ht="25.5" hidden="1" x14ac:dyDescent="0.25">
      <c r="A3363" s="174"/>
      <c r="B3363" s="177"/>
      <c r="C3363" s="43" t="s">
        <v>10946</v>
      </c>
      <c r="D3363" s="43" t="s">
        <v>83</v>
      </c>
      <c r="E3363" s="44">
        <v>8.9999999999999993E-3</v>
      </c>
      <c r="F3363" s="38">
        <v>4.3605</v>
      </c>
      <c r="G3363" s="41">
        <f>IF(ISNUMBER(F3363),E3363*F3363,"")</f>
        <v>3.9244499999999995E-2</v>
      </c>
      <c r="H3363" s="42"/>
      <c r="I3363" s="38"/>
      <c r="J3363" s="37">
        <v>0</v>
      </c>
    </row>
    <row r="3364" spans="1:10" hidden="1" x14ac:dyDescent="0.25">
      <c r="A3364" s="174"/>
      <c r="B3364" s="177"/>
      <c r="C3364" s="43" t="s">
        <v>10762</v>
      </c>
      <c r="D3364" s="43" t="s">
        <v>2800</v>
      </c>
      <c r="E3364" s="44">
        <v>8.3000000000000004E-2</v>
      </c>
      <c r="F3364" s="38">
        <v>24.946999999999999</v>
      </c>
      <c r="G3364" s="41">
        <f>IF(ISNUMBER(F3364),E3364*F3364,"")</f>
        <v>2.0706009999999999</v>
      </c>
      <c r="H3364" s="42"/>
      <c r="I3364" s="38"/>
      <c r="J3364" s="37">
        <v>0</v>
      </c>
    </row>
    <row r="3365" spans="1:10" hidden="1" x14ac:dyDescent="0.25">
      <c r="A3365" s="174"/>
      <c r="B3365" s="177"/>
      <c r="C3365" s="43" t="s">
        <v>10763</v>
      </c>
      <c r="D3365" s="43" t="s">
        <v>2800</v>
      </c>
      <c r="E3365" s="44">
        <v>8.3000000000000004E-2</v>
      </c>
      <c r="F3365" s="38">
        <v>31.435500000000001</v>
      </c>
      <c r="G3365" s="41">
        <f>IF(ISNUMBER(F3365),E3365*F3365,"")</f>
        <v>2.6091465</v>
      </c>
      <c r="H3365" s="42"/>
      <c r="I3365" s="38"/>
      <c r="J3365" s="37">
        <v>0</v>
      </c>
    </row>
    <row r="3366" spans="1:10" ht="15.75" hidden="1" thickBot="1" x14ac:dyDescent="0.3">
      <c r="A3366" s="175"/>
      <c r="B3366" s="178"/>
      <c r="C3366" s="49"/>
      <c r="D3366" s="49"/>
      <c r="E3366" s="50"/>
      <c r="F3366" s="51" t="s">
        <v>13</v>
      </c>
      <c r="G3366" s="52" t="str">
        <f>IF(ISNUMBER(F3366),E3366*F3366,"")</f>
        <v/>
      </c>
      <c r="H3366" s="53"/>
      <c r="I3366" s="38"/>
      <c r="J3366" s="37">
        <v>0</v>
      </c>
    </row>
    <row r="3367" spans="1:10" ht="15.75" hidden="1" thickBot="1" x14ac:dyDescent="0.3">
      <c r="A3367" s="173" t="s">
        <v>843</v>
      </c>
      <c r="B3367" s="176" t="s">
        <v>4319</v>
      </c>
      <c r="C3367" s="31"/>
      <c r="D3367" s="32" t="s">
        <v>106</v>
      </c>
      <c r="E3367" s="33"/>
      <c r="F3367" s="54" t="s">
        <v>13</v>
      </c>
      <c r="G3367" s="34" t="str">
        <f>IF(ISNUMBER(F3367),E3367*F3367,"")</f>
        <v/>
      </c>
      <c r="H3367" s="35"/>
      <c r="I3367" s="36"/>
      <c r="J3367" s="37">
        <v>0</v>
      </c>
    </row>
    <row r="3368" spans="1:10" hidden="1" x14ac:dyDescent="0.25">
      <c r="A3368" s="174"/>
      <c r="B3368" s="177"/>
      <c r="C3368" s="39"/>
      <c r="D3368" s="39"/>
      <c r="E3368" s="40"/>
      <c r="F3368" s="55" t="s">
        <v>13</v>
      </c>
      <c r="G3368" s="41" t="str">
        <f>IF(ISNUMBER(F3368),E3368*F3368,"")</f>
        <v/>
      </c>
      <c r="H3368" s="42"/>
      <c r="I3368" s="38"/>
      <c r="J3368" s="37">
        <v>0</v>
      </c>
    </row>
    <row r="3369" spans="1:10" hidden="1" x14ac:dyDescent="0.25">
      <c r="A3369" s="174"/>
      <c r="B3369" s="177"/>
      <c r="C3369" s="43" t="s">
        <v>844</v>
      </c>
      <c r="D3369" s="43" t="s">
        <v>106</v>
      </c>
      <c r="E3369" s="44">
        <v>1.0149999999999999</v>
      </c>
      <c r="F3369" s="38" t="s">
        <v>13</v>
      </c>
      <c r="G3369" s="41" t="str">
        <f>IF(ISNUMBER(F3369),E3369*F3369,"")</f>
        <v/>
      </c>
      <c r="H3369" s="46">
        <f>SUM(G3369:G3372)</f>
        <v>5.7169622499999999</v>
      </c>
      <c r="I3369" s="47"/>
      <c r="J3369" s="37">
        <v>0</v>
      </c>
    </row>
    <row r="3370" spans="1:10" ht="25.5" hidden="1" x14ac:dyDescent="0.25">
      <c r="A3370" s="174"/>
      <c r="B3370" s="177"/>
      <c r="C3370" s="43" t="s">
        <v>10946</v>
      </c>
      <c r="D3370" s="43" t="s">
        <v>83</v>
      </c>
      <c r="E3370" s="44">
        <v>8.9999999999999993E-3</v>
      </c>
      <c r="F3370" s="38">
        <v>4.3605</v>
      </c>
      <c r="G3370" s="41">
        <f>IF(ISNUMBER(F3370),E3370*F3370,"")</f>
        <v>3.9244499999999995E-2</v>
      </c>
      <c r="H3370" s="42"/>
      <c r="I3370" s="38"/>
      <c r="J3370" s="37">
        <v>0</v>
      </c>
    </row>
    <row r="3371" spans="1:10" hidden="1" x14ac:dyDescent="0.25">
      <c r="A3371" s="174"/>
      <c r="B3371" s="177"/>
      <c r="C3371" s="43" t="s">
        <v>10762</v>
      </c>
      <c r="D3371" s="43" t="s">
        <v>2800</v>
      </c>
      <c r="E3371" s="44">
        <v>0.1007</v>
      </c>
      <c r="F3371" s="38">
        <v>24.946999999999999</v>
      </c>
      <c r="G3371" s="41">
        <f>IF(ISNUMBER(F3371),E3371*F3371,"")</f>
        <v>2.5121628999999999</v>
      </c>
      <c r="H3371" s="42"/>
      <c r="I3371" s="38"/>
      <c r="J3371" s="37">
        <v>0</v>
      </c>
    </row>
    <row r="3372" spans="1:10" hidden="1" x14ac:dyDescent="0.25">
      <c r="A3372" s="174"/>
      <c r="B3372" s="177"/>
      <c r="C3372" s="43" t="s">
        <v>10763</v>
      </c>
      <c r="D3372" s="43" t="s">
        <v>2800</v>
      </c>
      <c r="E3372" s="44">
        <v>0.1007</v>
      </c>
      <c r="F3372" s="38">
        <v>31.435500000000001</v>
      </c>
      <c r="G3372" s="41">
        <f>IF(ISNUMBER(F3372),E3372*F3372,"")</f>
        <v>3.1655548499999999</v>
      </c>
      <c r="H3372" s="42"/>
      <c r="I3372" s="38"/>
      <c r="J3372" s="37">
        <v>0</v>
      </c>
    </row>
    <row r="3373" spans="1:10" ht="15.75" hidden="1" thickBot="1" x14ac:dyDescent="0.3">
      <c r="A3373" s="175"/>
      <c r="B3373" s="178"/>
      <c r="C3373" s="49"/>
      <c r="D3373" s="49"/>
      <c r="E3373" s="50"/>
      <c r="F3373" s="51" t="s">
        <v>13</v>
      </c>
      <c r="G3373" s="52" t="str">
        <f>IF(ISNUMBER(F3373),E3373*F3373,"")</f>
        <v/>
      </c>
      <c r="H3373" s="53"/>
      <c r="I3373" s="38"/>
      <c r="J3373" s="37">
        <v>0</v>
      </c>
    </row>
    <row r="3374" spans="1:10" ht="15.75" hidden="1" thickBot="1" x14ac:dyDescent="0.3">
      <c r="A3374" s="173" t="s">
        <v>845</v>
      </c>
      <c r="B3374" s="176" t="s">
        <v>4320</v>
      </c>
      <c r="C3374" s="31"/>
      <c r="D3374" s="32" t="s">
        <v>106</v>
      </c>
      <c r="E3374" s="33"/>
      <c r="F3374" s="54" t="s">
        <v>13</v>
      </c>
      <c r="G3374" s="34" t="str">
        <f>IF(ISNUMBER(F3374),E3374*F3374,"")</f>
        <v/>
      </c>
      <c r="H3374" s="35"/>
      <c r="I3374" s="36"/>
      <c r="J3374" s="37">
        <v>0</v>
      </c>
    </row>
    <row r="3375" spans="1:10" hidden="1" x14ac:dyDescent="0.25">
      <c r="A3375" s="174"/>
      <c r="B3375" s="177"/>
      <c r="C3375" s="39"/>
      <c r="D3375" s="39"/>
      <c r="E3375" s="40"/>
      <c r="F3375" s="55" t="s">
        <v>13</v>
      </c>
      <c r="G3375" s="41" t="str">
        <f>IF(ISNUMBER(F3375),E3375*F3375,"")</f>
        <v/>
      </c>
      <c r="H3375" s="42"/>
      <c r="I3375" s="38"/>
      <c r="J3375" s="37">
        <v>0</v>
      </c>
    </row>
    <row r="3376" spans="1:10" hidden="1" x14ac:dyDescent="0.25">
      <c r="A3376" s="174"/>
      <c r="B3376" s="177"/>
      <c r="C3376" s="43" t="s">
        <v>846</v>
      </c>
      <c r="D3376" s="43" t="s">
        <v>106</v>
      </c>
      <c r="E3376" s="44">
        <v>1.0149999999999999</v>
      </c>
      <c r="F3376" s="38" t="s">
        <v>13</v>
      </c>
      <c r="G3376" s="41" t="str">
        <f>IF(ISNUMBER(F3376),E3376*F3376,"")</f>
        <v/>
      </c>
      <c r="H3376" s="46">
        <f>SUM(G3376:G3379)</f>
        <v>6.9630155000000009</v>
      </c>
      <c r="I3376" s="47"/>
      <c r="J3376" s="37">
        <v>0</v>
      </c>
    </row>
    <row r="3377" spans="1:10" ht="25.5" hidden="1" x14ac:dyDescent="0.25">
      <c r="A3377" s="174"/>
      <c r="B3377" s="177"/>
      <c r="C3377" s="43" t="s">
        <v>10946</v>
      </c>
      <c r="D3377" s="43" t="s">
        <v>83</v>
      </c>
      <c r="E3377" s="44">
        <v>8.9999999999999993E-3</v>
      </c>
      <c r="F3377" s="38">
        <v>4.3605</v>
      </c>
      <c r="G3377" s="41">
        <f>IF(ISNUMBER(F3377),E3377*F3377,"")</f>
        <v>3.9244499999999995E-2</v>
      </c>
      <c r="H3377" s="42"/>
      <c r="I3377" s="38"/>
      <c r="J3377" s="37">
        <v>0</v>
      </c>
    </row>
    <row r="3378" spans="1:10" hidden="1" x14ac:dyDescent="0.25">
      <c r="A3378" s="174"/>
      <c r="B3378" s="177"/>
      <c r="C3378" s="43" t="s">
        <v>10762</v>
      </c>
      <c r="D3378" s="43" t="s">
        <v>2800</v>
      </c>
      <c r="E3378" s="44">
        <v>0.12280000000000001</v>
      </c>
      <c r="F3378" s="38">
        <v>24.946999999999999</v>
      </c>
      <c r="G3378" s="41">
        <f>IF(ISNUMBER(F3378),E3378*F3378,"")</f>
        <v>3.0634915999999999</v>
      </c>
      <c r="H3378" s="42"/>
      <c r="I3378" s="38"/>
      <c r="J3378" s="37">
        <v>0</v>
      </c>
    </row>
    <row r="3379" spans="1:10" hidden="1" x14ac:dyDescent="0.25">
      <c r="A3379" s="174"/>
      <c r="B3379" s="177"/>
      <c r="C3379" s="43" t="s">
        <v>10763</v>
      </c>
      <c r="D3379" s="43" t="s">
        <v>2800</v>
      </c>
      <c r="E3379" s="44">
        <v>0.12280000000000001</v>
      </c>
      <c r="F3379" s="38">
        <v>31.435500000000001</v>
      </c>
      <c r="G3379" s="41">
        <f>IF(ISNUMBER(F3379),E3379*F3379,"")</f>
        <v>3.8602794000000005</v>
      </c>
      <c r="H3379" s="42"/>
      <c r="I3379" s="38"/>
      <c r="J3379" s="37">
        <v>0</v>
      </c>
    </row>
    <row r="3380" spans="1:10" ht="15.75" hidden="1" thickBot="1" x14ac:dyDescent="0.3">
      <c r="A3380" s="175"/>
      <c r="B3380" s="178"/>
      <c r="C3380" s="49"/>
      <c r="D3380" s="49"/>
      <c r="E3380" s="50"/>
      <c r="F3380" s="51" t="s">
        <v>13</v>
      </c>
      <c r="G3380" s="52" t="str">
        <f>IF(ISNUMBER(F3380),E3380*F3380,"")</f>
        <v/>
      </c>
      <c r="H3380" s="53"/>
      <c r="I3380" s="38"/>
      <c r="J3380" s="37">
        <v>0</v>
      </c>
    </row>
    <row r="3381" spans="1:10" ht="15.75" hidden="1" thickBot="1" x14ac:dyDescent="0.3">
      <c r="A3381" s="173" t="s">
        <v>847</v>
      </c>
      <c r="B3381" s="176" t="s">
        <v>4321</v>
      </c>
      <c r="C3381" s="31"/>
      <c r="D3381" s="32" t="s">
        <v>106</v>
      </c>
      <c r="E3381" s="33"/>
      <c r="F3381" s="54" t="s">
        <v>13</v>
      </c>
      <c r="G3381" s="34" t="str">
        <f>IF(ISNUMBER(F3381),E3381*F3381,"")</f>
        <v/>
      </c>
      <c r="H3381" s="35"/>
      <c r="I3381" s="36"/>
      <c r="J3381" s="37">
        <v>0</v>
      </c>
    </row>
    <row r="3382" spans="1:10" hidden="1" x14ac:dyDescent="0.25">
      <c r="A3382" s="174"/>
      <c r="B3382" s="177"/>
      <c r="C3382" s="39"/>
      <c r="D3382" s="39"/>
      <c r="E3382" s="40"/>
      <c r="F3382" s="55" t="s">
        <v>13</v>
      </c>
      <c r="G3382" s="41" t="str">
        <f>IF(ISNUMBER(F3382),E3382*F3382,"")</f>
        <v/>
      </c>
      <c r="H3382" s="42"/>
      <c r="I3382" s="38"/>
      <c r="J3382" s="37">
        <v>0</v>
      </c>
    </row>
    <row r="3383" spans="1:10" hidden="1" x14ac:dyDescent="0.25">
      <c r="A3383" s="174"/>
      <c r="B3383" s="177"/>
      <c r="C3383" s="43" t="s">
        <v>848</v>
      </c>
      <c r="D3383" s="43" t="s">
        <v>106</v>
      </c>
      <c r="E3383" s="44">
        <v>1.0149999999999999</v>
      </c>
      <c r="F3383" s="38" t="s">
        <v>13</v>
      </c>
      <c r="G3383" s="41" t="str">
        <f>IF(ISNUMBER(F3383),E3383*F3383,"")</f>
        <v/>
      </c>
      <c r="H3383" s="46">
        <f>SUM(G3383:G3386)</f>
        <v>8.2147069999999989</v>
      </c>
      <c r="I3383" s="47"/>
      <c r="J3383" s="37">
        <v>0</v>
      </c>
    </row>
    <row r="3384" spans="1:10" ht="25.5" hidden="1" x14ac:dyDescent="0.25">
      <c r="A3384" s="174"/>
      <c r="B3384" s="177"/>
      <c r="C3384" s="43" t="s">
        <v>10946</v>
      </c>
      <c r="D3384" s="43" t="s">
        <v>83</v>
      </c>
      <c r="E3384" s="44">
        <v>8.9999999999999993E-3</v>
      </c>
      <c r="F3384" s="38">
        <v>4.3605</v>
      </c>
      <c r="G3384" s="41">
        <f>IF(ISNUMBER(F3384),E3384*F3384,"")</f>
        <v>3.9244499999999995E-2</v>
      </c>
      <c r="H3384" s="42"/>
      <c r="I3384" s="38"/>
      <c r="J3384" s="37">
        <v>0</v>
      </c>
    </row>
    <row r="3385" spans="1:10" hidden="1" x14ac:dyDescent="0.25">
      <c r="A3385" s="174"/>
      <c r="B3385" s="177"/>
      <c r="C3385" s="43" t="s">
        <v>10762</v>
      </c>
      <c r="D3385" s="43" t="s">
        <v>2800</v>
      </c>
      <c r="E3385" s="44">
        <v>0.14499999999999999</v>
      </c>
      <c r="F3385" s="38">
        <v>24.946999999999999</v>
      </c>
      <c r="G3385" s="41">
        <f>IF(ISNUMBER(F3385),E3385*F3385,"")</f>
        <v>3.6173149999999996</v>
      </c>
      <c r="H3385" s="42"/>
      <c r="I3385" s="38"/>
      <c r="J3385" s="37">
        <v>0</v>
      </c>
    </row>
    <row r="3386" spans="1:10" hidden="1" x14ac:dyDescent="0.25">
      <c r="A3386" s="174"/>
      <c r="B3386" s="177"/>
      <c r="C3386" s="43" t="s">
        <v>10763</v>
      </c>
      <c r="D3386" s="43" t="s">
        <v>2800</v>
      </c>
      <c r="E3386" s="44">
        <v>0.14499999999999999</v>
      </c>
      <c r="F3386" s="38">
        <v>31.435500000000001</v>
      </c>
      <c r="G3386" s="41">
        <f>IF(ISNUMBER(F3386),E3386*F3386,"")</f>
        <v>4.5581474999999996</v>
      </c>
      <c r="H3386" s="42"/>
      <c r="I3386" s="38"/>
      <c r="J3386" s="37">
        <v>0</v>
      </c>
    </row>
    <row r="3387" spans="1:10" ht="15.75" hidden="1" thickBot="1" x14ac:dyDescent="0.3">
      <c r="A3387" s="175"/>
      <c r="B3387" s="178"/>
      <c r="C3387" s="49"/>
      <c r="D3387" s="49"/>
      <c r="E3387" s="50"/>
      <c r="F3387" s="51" t="s">
        <v>13</v>
      </c>
      <c r="G3387" s="52" t="str">
        <f>IF(ISNUMBER(F3387),E3387*F3387,"")</f>
        <v/>
      </c>
      <c r="H3387" s="53"/>
      <c r="I3387" s="38"/>
      <c r="J3387" s="37">
        <v>0</v>
      </c>
    </row>
    <row r="3388" spans="1:10" ht="15.75" hidden="1" thickBot="1" x14ac:dyDescent="0.3">
      <c r="A3388" s="173" t="s">
        <v>849</v>
      </c>
      <c r="B3388" s="176" t="s">
        <v>4322</v>
      </c>
      <c r="C3388" s="31"/>
      <c r="D3388" s="32" t="s">
        <v>106</v>
      </c>
      <c r="E3388" s="33"/>
      <c r="F3388" s="54" t="s">
        <v>13</v>
      </c>
      <c r="G3388" s="34" t="str">
        <f>IF(ISNUMBER(F3388),E3388*F3388,"")</f>
        <v/>
      </c>
      <c r="H3388" s="35"/>
      <c r="I3388" s="36"/>
      <c r="J3388" s="37">
        <v>0</v>
      </c>
    </row>
    <row r="3389" spans="1:10" hidden="1" x14ac:dyDescent="0.25">
      <c r="A3389" s="174"/>
      <c r="B3389" s="177"/>
      <c r="C3389" s="39"/>
      <c r="D3389" s="39"/>
      <c r="E3389" s="40"/>
      <c r="F3389" s="55" t="s">
        <v>13</v>
      </c>
      <c r="G3389" s="41" t="str">
        <f>IF(ISNUMBER(F3389),E3389*F3389,"")</f>
        <v/>
      </c>
      <c r="H3389" s="42"/>
      <c r="I3389" s="38"/>
      <c r="J3389" s="37">
        <v>0</v>
      </c>
    </row>
    <row r="3390" spans="1:10" hidden="1" x14ac:dyDescent="0.25">
      <c r="A3390" s="174"/>
      <c r="B3390" s="177"/>
      <c r="C3390" s="43" t="s">
        <v>850</v>
      </c>
      <c r="D3390" s="43" t="s">
        <v>106</v>
      </c>
      <c r="E3390" s="44">
        <v>1.0149999999999999</v>
      </c>
      <c r="F3390" s="38" t="s">
        <v>13</v>
      </c>
      <c r="G3390" s="41" t="str">
        <f>IF(ISNUMBER(F3390),E3390*F3390,"")</f>
        <v/>
      </c>
      <c r="H3390" s="46">
        <f>SUM(G3390:G3393)</f>
        <v>9.708843250000001</v>
      </c>
      <c r="I3390" s="47"/>
      <c r="J3390" s="37">
        <v>0</v>
      </c>
    </row>
    <row r="3391" spans="1:10" ht="25.5" hidden="1" x14ac:dyDescent="0.25">
      <c r="A3391" s="174"/>
      <c r="B3391" s="177"/>
      <c r="C3391" s="43" t="s">
        <v>10946</v>
      </c>
      <c r="D3391" s="43" t="s">
        <v>83</v>
      </c>
      <c r="E3391" s="44">
        <v>8.9999999999999993E-3</v>
      </c>
      <c r="F3391" s="38">
        <v>4.3605</v>
      </c>
      <c r="G3391" s="41">
        <f>IF(ISNUMBER(F3391),E3391*F3391,"")</f>
        <v>3.9244499999999995E-2</v>
      </c>
      <c r="H3391" s="42"/>
      <c r="I3391" s="38"/>
      <c r="J3391" s="37">
        <v>0</v>
      </c>
    </row>
    <row r="3392" spans="1:10" hidden="1" x14ac:dyDescent="0.25">
      <c r="A3392" s="174"/>
      <c r="B3392" s="177"/>
      <c r="C3392" s="43" t="s">
        <v>10762</v>
      </c>
      <c r="D3392" s="43" t="s">
        <v>2800</v>
      </c>
      <c r="E3392" s="44">
        <v>0.17150000000000001</v>
      </c>
      <c r="F3392" s="38">
        <v>24.946999999999999</v>
      </c>
      <c r="G3392" s="41">
        <f>IF(ISNUMBER(F3392),E3392*F3392,"")</f>
        <v>4.2784105000000006</v>
      </c>
      <c r="H3392" s="42"/>
      <c r="I3392" s="38"/>
      <c r="J3392" s="37">
        <v>0</v>
      </c>
    </row>
    <row r="3393" spans="1:10" hidden="1" x14ac:dyDescent="0.25">
      <c r="A3393" s="174"/>
      <c r="B3393" s="177"/>
      <c r="C3393" s="43" t="s">
        <v>10763</v>
      </c>
      <c r="D3393" s="43" t="s">
        <v>2800</v>
      </c>
      <c r="E3393" s="44">
        <v>0.17150000000000001</v>
      </c>
      <c r="F3393" s="38">
        <v>31.435500000000001</v>
      </c>
      <c r="G3393" s="41">
        <f>IF(ISNUMBER(F3393),E3393*F3393,"")</f>
        <v>5.3911882500000008</v>
      </c>
      <c r="H3393" s="42"/>
      <c r="I3393" s="38"/>
      <c r="J3393" s="37">
        <v>0</v>
      </c>
    </row>
    <row r="3394" spans="1:10" ht="15.75" hidden="1" thickBot="1" x14ac:dyDescent="0.3">
      <c r="A3394" s="175"/>
      <c r="B3394" s="178"/>
      <c r="C3394" s="49"/>
      <c r="D3394" s="49"/>
      <c r="E3394" s="50"/>
      <c r="F3394" s="51" t="s">
        <v>13</v>
      </c>
      <c r="G3394" s="52" t="str">
        <f>IF(ISNUMBER(F3394),E3394*F3394,"")</f>
        <v/>
      </c>
      <c r="H3394" s="53"/>
      <c r="I3394" s="38"/>
      <c r="J3394" s="37">
        <v>0</v>
      </c>
    </row>
    <row r="3395" spans="1:10" ht="15.75" hidden="1" thickBot="1" x14ac:dyDescent="0.3">
      <c r="A3395" s="173" t="s">
        <v>851</v>
      </c>
      <c r="B3395" s="176" t="s">
        <v>4323</v>
      </c>
      <c r="C3395" s="31"/>
      <c r="D3395" s="32" t="s">
        <v>106</v>
      </c>
      <c r="E3395" s="33"/>
      <c r="F3395" s="54" t="s">
        <v>13</v>
      </c>
      <c r="G3395" s="34" t="str">
        <f>IF(ISNUMBER(F3395),E3395*F3395,"")</f>
        <v/>
      </c>
      <c r="H3395" s="35"/>
      <c r="I3395" s="36"/>
      <c r="J3395" s="37">
        <v>0</v>
      </c>
    </row>
    <row r="3396" spans="1:10" hidden="1" x14ac:dyDescent="0.25">
      <c r="A3396" s="174"/>
      <c r="B3396" s="177"/>
      <c r="C3396" s="39"/>
      <c r="D3396" s="39"/>
      <c r="E3396" s="40"/>
      <c r="F3396" s="55" t="s">
        <v>13</v>
      </c>
      <c r="G3396" s="41" t="str">
        <f>IF(ISNUMBER(F3396),E3396*F3396,"")</f>
        <v/>
      </c>
      <c r="H3396" s="42"/>
      <c r="I3396" s="38"/>
      <c r="J3396" s="37">
        <v>0</v>
      </c>
    </row>
    <row r="3397" spans="1:10" hidden="1" x14ac:dyDescent="0.25">
      <c r="A3397" s="174"/>
      <c r="B3397" s="177"/>
      <c r="C3397" s="43" t="s">
        <v>852</v>
      </c>
      <c r="D3397" s="43" t="s">
        <v>106</v>
      </c>
      <c r="E3397" s="44">
        <v>1.0149999999999999</v>
      </c>
      <c r="F3397" s="38" t="s">
        <v>13</v>
      </c>
      <c r="G3397" s="41" t="str">
        <f>IF(ISNUMBER(F3397),E3397*F3397,"")</f>
        <v/>
      </c>
      <c r="H3397" s="46">
        <f>SUM(G3397:G3400)</f>
        <v>11.45670075</v>
      </c>
      <c r="I3397" s="47"/>
      <c r="J3397" s="37">
        <v>0</v>
      </c>
    </row>
    <row r="3398" spans="1:10" ht="25.5" hidden="1" x14ac:dyDescent="0.25">
      <c r="A3398" s="174"/>
      <c r="B3398" s="177"/>
      <c r="C3398" s="43" t="s">
        <v>10946</v>
      </c>
      <c r="D3398" s="43" t="s">
        <v>83</v>
      </c>
      <c r="E3398" s="44">
        <v>8.9999999999999993E-3</v>
      </c>
      <c r="F3398" s="38">
        <v>4.3605</v>
      </c>
      <c r="G3398" s="41">
        <f>IF(ISNUMBER(F3398),E3398*F3398,"")</f>
        <v>3.9244499999999995E-2</v>
      </c>
      <c r="H3398" s="42"/>
      <c r="I3398" s="38"/>
      <c r="J3398" s="37">
        <v>0</v>
      </c>
    </row>
    <row r="3399" spans="1:10" hidden="1" x14ac:dyDescent="0.25">
      <c r="A3399" s="174"/>
      <c r="B3399" s="177"/>
      <c r="C3399" s="43" t="s">
        <v>10762</v>
      </c>
      <c r="D3399" s="43" t="s">
        <v>2800</v>
      </c>
      <c r="E3399" s="44">
        <v>0.20250000000000001</v>
      </c>
      <c r="F3399" s="38">
        <v>24.946999999999999</v>
      </c>
      <c r="G3399" s="41">
        <f>IF(ISNUMBER(F3399),E3399*F3399,"")</f>
        <v>5.0517675000000004</v>
      </c>
      <c r="H3399" s="42"/>
      <c r="I3399" s="38"/>
      <c r="J3399" s="37">
        <v>0</v>
      </c>
    </row>
    <row r="3400" spans="1:10" hidden="1" x14ac:dyDescent="0.25">
      <c r="A3400" s="174"/>
      <c r="B3400" s="177"/>
      <c r="C3400" s="43" t="s">
        <v>10763</v>
      </c>
      <c r="D3400" s="43" t="s">
        <v>2800</v>
      </c>
      <c r="E3400" s="44">
        <v>0.20250000000000001</v>
      </c>
      <c r="F3400" s="38">
        <v>31.435500000000001</v>
      </c>
      <c r="G3400" s="41">
        <f>IF(ISNUMBER(F3400),E3400*F3400,"")</f>
        <v>6.3656887500000003</v>
      </c>
      <c r="H3400" s="42"/>
      <c r="I3400" s="38"/>
      <c r="J3400" s="37">
        <v>0</v>
      </c>
    </row>
    <row r="3401" spans="1:10" ht="15.75" hidden="1" thickBot="1" x14ac:dyDescent="0.3">
      <c r="A3401" s="175"/>
      <c r="B3401" s="178"/>
      <c r="C3401" s="49"/>
      <c r="D3401" s="49"/>
      <c r="E3401" s="50"/>
      <c r="F3401" s="51" t="s">
        <v>13</v>
      </c>
      <c r="G3401" s="52" t="str">
        <f>IF(ISNUMBER(F3401),E3401*F3401,"")</f>
        <v/>
      </c>
      <c r="H3401" s="53"/>
      <c r="I3401" s="38"/>
      <c r="J3401" s="37">
        <v>0</v>
      </c>
    </row>
    <row r="3402" spans="1:10" ht="15.75" hidden="1" thickBot="1" x14ac:dyDescent="0.3">
      <c r="A3402" s="173" t="s">
        <v>853</v>
      </c>
      <c r="B3402" s="176" t="s">
        <v>4324</v>
      </c>
      <c r="C3402" s="31"/>
      <c r="D3402" s="32" t="s">
        <v>106</v>
      </c>
      <c r="E3402" s="33"/>
      <c r="F3402" s="54" t="s">
        <v>13</v>
      </c>
      <c r="G3402" s="34" t="str">
        <f>IF(ISNUMBER(F3402),E3402*F3402,"")</f>
        <v/>
      </c>
      <c r="H3402" s="35"/>
      <c r="I3402" s="36"/>
      <c r="J3402" s="37">
        <v>0</v>
      </c>
    </row>
    <row r="3403" spans="1:10" hidden="1" x14ac:dyDescent="0.25">
      <c r="A3403" s="174"/>
      <c r="B3403" s="177"/>
      <c r="C3403" s="39"/>
      <c r="D3403" s="39"/>
      <c r="E3403" s="40"/>
      <c r="F3403" s="55" t="s">
        <v>13</v>
      </c>
      <c r="G3403" s="41" t="str">
        <f>IF(ISNUMBER(F3403),E3403*F3403,"")</f>
        <v/>
      </c>
      <c r="H3403" s="42"/>
      <c r="I3403" s="38"/>
      <c r="J3403" s="37">
        <v>0</v>
      </c>
    </row>
    <row r="3404" spans="1:10" hidden="1" x14ac:dyDescent="0.25">
      <c r="A3404" s="174"/>
      <c r="B3404" s="177"/>
      <c r="C3404" s="43" t="s">
        <v>854</v>
      </c>
      <c r="D3404" s="43" t="s">
        <v>106</v>
      </c>
      <c r="E3404" s="44">
        <v>1.0149999999999999</v>
      </c>
      <c r="F3404" s="38" t="s">
        <v>13</v>
      </c>
      <c r="G3404" s="41" t="str">
        <f>IF(ISNUMBER(F3404),E3404*F3404,"")</f>
        <v/>
      </c>
      <c r="H3404" s="46">
        <f>SUM(G3404:G3407)</f>
        <v>14.2025285</v>
      </c>
      <c r="I3404" s="47"/>
      <c r="J3404" s="37">
        <v>0</v>
      </c>
    </row>
    <row r="3405" spans="1:10" ht="25.5" hidden="1" x14ac:dyDescent="0.25">
      <c r="A3405" s="174"/>
      <c r="B3405" s="177"/>
      <c r="C3405" s="43" t="s">
        <v>10946</v>
      </c>
      <c r="D3405" s="43" t="s">
        <v>83</v>
      </c>
      <c r="E3405" s="44">
        <v>8.9999999999999993E-3</v>
      </c>
      <c r="F3405" s="38">
        <v>4.3605</v>
      </c>
      <c r="G3405" s="41">
        <f>IF(ISNUMBER(F3405),E3405*F3405,"")</f>
        <v>3.9244499999999995E-2</v>
      </c>
      <c r="H3405" s="42"/>
      <c r="I3405" s="38"/>
      <c r="J3405" s="37">
        <v>0</v>
      </c>
    </row>
    <row r="3406" spans="1:10" hidden="1" x14ac:dyDescent="0.25">
      <c r="A3406" s="174"/>
      <c r="B3406" s="177"/>
      <c r="C3406" s="43" t="s">
        <v>10762</v>
      </c>
      <c r="D3406" s="43" t="s">
        <v>2800</v>
      </c>
      <c r="E3406" s="44">
        <v>0.25119999999999998</v>
      </c>
      <c r="F3406" s="38">
        <v>24.946999999999999</v>
      </c>
      <c r="G3406" s="41">
        <f>IF(ISNUMBER(F3406),E3406*F3406,"")</f>
        <v>6.2666863999999993</v>
      </c>
      <c r="H3406" s="42"/>
      <c r="I3406" s="38"/>
      <c r="J3406" s="37">
        <v>0</v>
      </c>
    </row>
    <row r="3407" spans="1:10" hidden="1" x14ac:dyDescent="0.25">
      <c r="A3407" s="174"/>
      <c r="B3407" s="177"/>
      <c r="C3407" s="43" t="s">
        <v>10763</v>
      </c>
      <c r="D3407" s="43" t="s">
        <v>2800</v>
      </c>
      <c r="E3407" s="44">
        <v>0.25119999999999998</v>
      </c>
      <c r="F3407" s="38">
        <v>31.435500000000001</v>
      </c>
      <c r="G3407" s="41">
        <f>IF(ISNUMBER(F3407),E3407*F3407,"")</f>
        <v>7.8965975999999998</v>
      </c>
      <c r="H3407" s="42"/>
      <c r="I3407" s="38"/>
      <c r="J3407" s="37">
        <v>0</v>
      </c>
    </row>
    <row r="3408" spans="1:10" ht="15.75" hidden="1" thickBot="1" x14ac:dyDescent="0.3">
      <c r="A3408" s="175"/>
      <c r="B3408" s="178"/>
      <c r="C3408" s="49"/>
      <c r="D3408" s="49"/>
      <c r="E3408" s="50"/>
      <c r="F3408" s="51" t="s">
        <v>13</v>
      </c>
      <c r="G3408" s="52" t="str">
        <f>IF(ISNUMBER(F3408),E3408*F3408,"")</f>
        <v/>
      </c>
      <c r="H3408" s="53"/>
      <c r="I3408" s="38"/>
      <c r="J3408" s="37">
        <v>0</v>
      </c>
    </row>
    <row r="3409" spans="1:10" ht="15.75" hidden="1" thickBot="1" x14ac:dyDescent="0.3">
      <c r="A3409" s="173" t="s">
        <v>855</v>
      </c>
      <c r="B3409" s="176" t="s">
        <v>4325</v>
      </c>
      <c r="C3409" s="31"/>
      <c r="D3409" s="32" t="s">
        <v>68</v>
      </c>
      <c r="E3409" s="33"/>
      <c r="F3409" s="54" t="s">
        <v>13</v>
      </c>
      <c r="G3409" s="34" t="str">
        <f>IF(ISNUMBER(F3409),E3409*F3409,"")</f>
        <v/>
      </c>
      <c r="H3409" s="35"/>
      <c r="I3409" s="36"/>
      <c r="J3409" s="37">
        <v>0</v>
      </c>
    </row>
    <row r="3410" spans="1:10" hidden="1" x14ac:dyDescent="0.25">
      <c r="A3410" s="174"/>
      <c r="B3410" s="177"/>
      <c r="C3410" s="39"/>
      <c r="D3410" s="39"/>
      <c r="E3410" s="40"/>
      <c r="F3410" s="55" t="s">
        <v>13</v>
      </c>
      <c r="G3410" s="41" t="str">
        <f>IF(ISNUMBER(F3410),E3410*F3410,"")</f>
        <v/>
      </c>
      <c r="H3410" s="42"/>
      <c r="I3410" s="38"/>
      <c r="J3410" s="37">
        <v>0</v>
      </c>
    </row>
    <row r="3411" spans="1:10" ht="25.5" hidden="1" x14ac:dyDescent="0.25">
      <c r="A3411" s="174"/>
      <c r="B3411" s="177"/>
      <c r="C3411" s="43" t="s">
        <v>10825</v>
      </c>
      <c r="D3411" s="43" t="s">
        <v>2800</v>
      </c>
      <c r="E3411" s="44">
        <v>0.55459999999999998</v>
      </c>
      <c r="F3411" s="38">
        <v>25.383999999999997</v>
      </c>
      <c r="G3411" s="41">
        <f>IF(ISNUMBER(F3411),E3411*F3411,"")</f>
        <v>14.077966399999998</v>
      </c>
      <c r="H3411" s="46">
        <f>SUM(G3411:G3413)</f>
        <v>19.01071015902</v>
      </c>
      <c r="I3411" s="47"/>
      <c r="J3411" s="37">
        <v>0</v>
      </c>
    </row>
    <row r="3412" spans="1:10" hidden="1" x14ac:dyDescent="0.25">
      <c r="A3412" s="174"/>
      <c r="B3412" s="177"/>
      <c r="C3412" s="43" t="s">
        <v>10614</v>
      </c>
      <c r="D3412" s="43" t="s">
        <v>2800</v>
      </c>
      <c r="E3412" s="44">
        <v>0.10584</v>
      </c>
      <c r="F3412" s="38">
        <v>23.693000000000001</v>
      </c>
      <c r="G3412" s="41">
        <f>IF(ISNUMBER(F3412),E3412*F3412,"")</f>
        <v>2.5076671200000002</v>
      </c>
      <c r="H3412" s="42"/>
      <c r="I3412" s="38"/>
      <c r="J3412" s="37">
        <v>0</v>
      </c>
    </row>
    <row r="3413" spans="1:10" ht="51" hidden="1" x14ac:dyDescent="0.25">
      <c r="A3413" s="174"/>
      <c r="B3413" s="177"/>
      <c r="C3413" s="43" t="s">
        <v>10694</v>
      </c>
      <c r="D3413" s="43" t="s">
        <v>10815</v>
      </c>
      <c r="E3413" s="44">
        <v>0.1673</v>
      </c>
      <c r="F3413" s="38">
        <v>14.495377400000001</v>
      </c>
      <c r="G3413" s="41">
        <f>IF(ISNUMBER(F3413),E3413*F3413,"")</f>
        <v>2.4250766390200003</v>
      </c>
      <c r="H3413" s="42"/>
      <c r="I3413" s="38"/>
      <c r="J3413" s="37">
        <v>0</v>
      </c>
    </row>
    <row r="3414" spans="1:10" ht="15.75" hidden="1" thickBot="1" x14ac:dyDescent="0.3">
      <c r="A3414" s="175"/>
      <c r="B3414" s="178"/>
      <c r="C3414" s="49"/>
      <c r="D3414" s="49"/>
      <c r="E3414" s="50"/>
      <c r="F3414" s="51" t="s">
        <v>13</v>
      </c>
      <c r="G3414" s="52" t="str">
        <f>IF(ISNUMBER(F3414),E3414*F3414,"")</f>
        <v/>
      </c>
      <c r="H3414" s="53"/>
      <c r="I3414" s="38"/>
      <c r="J3414" s="37">
        <v>0</v>
      </c>
    </row>
    <row r="3415" spans="1:10" ht="15.75" hidden="1" thickBot="1" x14ac:dyDescent="0.3">
      <c r="A3415" s="173" t="s">
        <v>856</v>
      </c>
      <c r="B3415" s="176" t="s">
        <v>4326</v>
      </c>
      <c r="C3415" s="31"/>
      <c r="D3415" s="32" t="s">
        <v>106</v>
      </c>
      <c r="E3415" s="33"/>
      <c r="F3415" s="54" t="s">
        <v>13</v>
      </c>
      <c r="G3415" s="34" t="str">
        <f>IF(ISNUMBER(F3415),E3415*F3415,"")</f>
        <v/>
      </c>
      <c r="H3415" s="35"/>
      <c r="I3415" s="36"/>
      <c r="J3415" s="37">
        <v>0</v>
      </c>
    </row>
    <row r="3416" spans="1:10" hidden="1" x14ac:dyDescent="0.25">
      <c r="A3416" s="174"/>
      <c r="B3416" s="177"/>
      <c r="C3416" s="39"/>
      <c r="D3416" s="39"/>
      <c r="E3416" s="40"/>
      <c r="F3416" s="55" t="s">
        <v>13</v>
      </c>
      <c r="G3416" s="41" t="str">
        <f>IF(ISNUMBER(F3416),E3416*F3416,"")</f>
        <v/>
      </c>
      <c r="H3416" s="42"/>
      <c r="I3416" s="38"/>
      <c r="J3416" s="37">
        <v>0</v>
      </c>
    </row>
    <row r="3417" spans="1:10" ht="25.5" hidden="1" x14ac:dyDescent="0.25">
      <c r="A3417" s="174"/>
      <c r="B3417" s="177"/>
      <c r="C3417" s="43" t="s">
        <v>10825</v>
      </c>
      <c r="D3417" s="43" t="s">
        <v>2800</v>
      </c>
      <c r="E3417" s="44">
        <v>0.69767999999999997</v>
      </c>
      <c r="F3417" s="38">
        <v>25.383999999999997</v>
      </c>
      <c r="G3417" s="41">
        <f>IF(ISNUMBER(F3417),E3417*F3417,"")</f>
        <v>17.709909119999995</v>
      </c>
      <c r="H3417" s="46">
        <f>SUM(G3417:G3419)</f>
        <v>26.691536854799995</v>
      </c>
      <c r="I3417" s="47"/>
      <c r="J3417" s="37">
        <v>0</v>
      </c>
    </row>
    <row r="3418" spans="1:10" hidden="1" x14ac:dyDescent="0.25">
      <c r="A3418" s="174"/>
      <c r="B3418" s="177"/>
      <c r="C3418" s="43" t="s">
        <v>10614</v>
      </c>
      <c r="D3418" s="43" t="s">
        <v>2800</v>
      </c>
      <c r="E3418" s="44">
        <v>0.13314000000000001</v>
      </c>
      <c r="F3418" s="38">
        <v>23.693000000000001</v>
      </c>
      <c r="G3418" s="41">
        <f>IF(ISNUMBER(F3418),E3418*F3418,"")</f>
        <v>3.1544860200000002</v>
      </c>
      <c r="H3418" s="42"/>
      <c r="I3418" s="47"/>
      <c r="J3418" s="37">
        <v>0</v>
      </c>
    </row>
    <row r="3419" spans="1:10" ht="51" hidden="1" x14ac:dyDescent="0.25">
      <c r="A3419" s="174"/>
      <c r="B3419" s="177"/>
      <c r="C3419" s="43" t="s">
        <v>10694</v>
      </c>
      <c r="D3419" s="43" t="s">
        <v>10815</v>
      </c>
      <c r="E3419" s="44">
        <v>0.40200000000000002</v>
      </c>
      <c r="F3419" s="38">
        <v>14.495377400000001</v>
      </c>
      <c r="G3419" s="41">
        <f>IF(ISNUMBER(F3419),E3419*F3419,"")</f>
        <v>5.8271417148000006</v>
      </c>
      <c r="H3419" s="42"/>
      <c r="I3419" s="38"/>
      <c r="J3419" s="37">
        <v>0</v>
      </c>
    </row>
    <row r="3420" spans="1:10" ht="15.75" hidden="1" thickBot="1" x14ac:dyDescent="0.3">
      <c r="A3420" s="175"/>
      <c r="B3420" s="178"/>
      <c r="C3420" s="49"/>
      <c r="D3420" s="49"/>
      <c r="E3420" s="50"/>
      <c r="F3420" s="51" t="s">
        <v>13</v>
      </c>
      <c r="G3420" s="52" t="str">
        <f>IF(ISNUMBER(F3420),E3420*F3420,"")</f>
        <v/>
      </c>
      <c r="H3420" s="53"/>
      <c r="I3420" s="38"/>
      <c r="J3420" s="37">
        <v>0</v>
      </c>
    </row>
    <row r="3421" spans="1:10" ht="15.75" hidden="1" thickBot="1" x14ac:dyDescent="0.3">
      <c r="A3421" s="173" t="s">
        <v>857</v>
      </c>
      <c r="B3421" s="176" t="s">
        <v>4329</v>
      </c>
      <c r="C3421" s="31"/>
      <c r="D3421" s="32" t="s">
        <v>3025</v>
      </c>
      <c r="E3421" s="33"/>
      <c r="F3421" s="54" t="s">
        <v>13</v>
      </c>
      <c r="G3421" s="34" t="str">
        <f>IF(ISNUMBER(F3421),E3421*F3421,"")</f>
        <v/>
      </c>
      <c r="H3421" s="35"/>
      <c r="I3421" s="36"/>
      <c r="J3421" s="37">
        <v>0</v>
      </c>
    </row>
    <row r="3422" spans="1:10" hidden="1" x14ac:dyDescent="0.25">
      <c r="A3422" s="174"/>
      <c r="B3422" s="177"/>
      <c r="C3422" s="39"/>
      <c r="D3422" s="39"/>
      <c r="E3422" s="40"/>
      <c r="F3422" s="55" t="s">
        <v>13</v>
      </c>
      <c r="G3422" s="41" t="str">
        <f>IF(ISNUMBER(F3422),E3422*F3422,"")</f>
        <v/>
      </c>
      <c r="H3422" s="42"/>
      <c r="I3422" s="38"/>
      <c r="J3422" s="37">
        <v>0</v>
      </c>
    </row>
    <row r="3423" spans="1:10" ht="25.5" hidden="1" x14ac:dyDescent="0.25">
      <c r="A3423" s="174"/>
      <c r="B3423" s="177"/>
      <c r="C3423" s="43" t="s">
        <v>11046</v>
      </c>
      <c r="D3423" s="43" t="s">
        <v>83</v>
      </c>
      <c r="E3423" s="44">
        <v>0.54900000000000004</v>
      </c>
      <c r="F3423" s="38">
        <v>0.19949999999999998</v>
      </c>
      <c r="G3423" s="41">
        <f>IF(ISNUMBER(F3423),E3423*F3423,"")</f>
        <v>0.1095255</v>
      </c>
      <c r="H3423" s="46">
        <f>SUM(G3423:G3426)</f>
        <v>4.8292254779999997</v>
      </c>
      <c r="I3423" s="47"/>
      <c r="J3423" s="37">
        <v>0</v>
      </c>
    </row>
    <row r="3424" spans="1:10" ht="25.5" hidden="1" x14ac:dyDescent="0.25">
      <c r="A3424" s="174"/>
      <c r="B3424" s="177"/>
      <c r="C3424" s="43" t="s">
        <v>11047</v>
      </c>
      <c r="D3424" s="43" t="s">
        <v>162</v>
      </c>
      <c r="E3424" s="44">
        <f>ROUND(1.199*(1/3),4)</f>
        <v>0.3997</v>
      </c>
      <c r="F3424" s="38">
        <v>2.5745</v>
      </c>
      <c r="G3424" s="41">
        <f>IF(ISNUMBER(F3424),E3424*F3424,"")</f>
        <v>1.02902765</v>
      </c>
      <c r="H3424" s="42"/>
      <c r="I3424" s="38"/>
      <c r="J3424" s="37">
        <v>0</v>
      </c>
    </row>
    <row r="3425" spans="1:10" hidden="1" x14ac:dyDescent="0.25">
      <c r="A3425" s="174"/>
      <c r="B3425" s="177"/>
      <c r="C3425" s="43" t="s">
        <v>10655</v>
      </c>
      <c r="D3425" s="43" t="s">
        <v>2800</v>
      </c>
      <c r="E3425" s="44">
        <v>6.5339999999999995E-2</v>
      </c>
      <c r="F3425" s="38">
        <v>24.358000000000001</v>
      </c>
      <c r="G3425" s="41">
        <f>IF(ISNUMBER(F3425),E3425*F3425,"")</f>
        <v>1.59155172</v>
      </c>
      <c r="H3425" s="42"/>
      <c r="I3425" s="38"/>
      <c r="J3425" s="37">
        <v>0</v>
      </c>
    </row>
    <row r="3426" spans="1:10" hidden="1" x14ac:dyDescent="0.25">
      <c r="A3426" s="174"/>
      <c r="B3426" s="177"/>
      <c r="C3426" s="43" t="s">
        <v>10613</v>
      </c>
      <c r="D3426" s="43" t="s">
        <v>2800</v>
      </c>
      <c r="E3426" s="44">
        <v>6.8536E-2</v>
      </c>
      <c r="F3426" s="38">
        <v>30.628</v>
      </c>
      <c r="G3426" s="41">
        <f>IF(ISNUMBER(F3426),E3426*F3426,"")</f>
        <v>2.0991206079999998</v>
      </c>
      <c r="H3426" s="42"/>
      <c r="I3426" s="38"/>
      <c r="J3426" s="37">
        <v>0</v>
      </c>
    </row>
    <row r="3427" spans="1:10" hidden="1" x14ac:dyDescent="0.25">
      <c r="A3427" s="174"/>
      <c r="B3427" s="177"/>
      <c r="C3427" s="43"/>
      <c r="D3427" s="62"/>
      <c r="E3427" s="44"/>
      <c r="F3427" s="38" t="s">
        <v>13</v>
      </c>
      <c r="G3427" s="41" t="str">
        <f>IF(ISNUMBER(F3427),E3427*F3427,"")</f>
        <v/>
      </c>
      <c r="H3427" s="42"/>
      <c r="I3427" s="38"/>
      <c r="J3427" s="37">
        <v>0</v>
      </c>
    </row>
    <row r="3428" spans="1:10" ht="25.5" hidden="1" x14ac:dyDescent="0.25">
      <c r="A3428" s="174"/>
      <c r="B3428" s="177"/>
      <c r="C3428" s="65" t="s">
        <v>858</v>
      </c>
      <c r="D3428" s="62"/>
      <c r="E3428" s="44"/>
      <c r="F3428" s="38" t="s">
        <v>13</v>
      </c>
      <c r="G3428" s="41" t="str">
        <f>IF(ISNUMBER(F3428),E3428*F3428,"")</f>
        <v/>
      </c>
      <c r="H3428" s="42"/>
      <c r="I3428" s="38"/>
      <c r="J3428" s="37">
        <v>0</v>
      </c>
    </row>
    <row r="3429" spans="1:10" ht="15.75" hidden="1" thickBot="1" x14ac:dyDescent="0.3">
      <c r="A3429" s="175"/>
      <c r="B3429" s="178"/>
      <c r="C3429" s="49"/>
      <c r="D3429" s="49"/>
      <c r="E3429" s="50"/>
      <c r="F3429" s="51" t="s">
        <v>13</v>
      </c>
      <c r="G3429" s="52" t="str">
        <f>IF(ISNUMBER(F3429),E3429*F3429,"")</f>
        <v/>
      </c>
      <c r="H3429" s="53"/>
      <c r="I3429" s="38"/>
      <c r="J3429" s="37">
        <v>0</v>
      </c>
    </row>
    <row r="3430" spans="1:10" ht="15.75" hidden="1" thickBot="1" x14ac:dyDescent="0.3">
      <c r="A3430" s="173" t="s">
        <v>859</v>
      </c>
      <c r="B3430" s="176" t="s">
        <v>4332</v>
      </c>
      <c r="C3430" s="31"/>
      <c r="D3430" s="32" t="s">
        <v>18</v>
      </c>
      <c r="E3430" s="33"/>
      <c r="F3430" s="54" t="s">
        <v>13</v>
      </c>
      <c r="G3430" s="34" t="str">
        <f>IF(ISNUMBER(F3430),E3430*F3430,"")</f>
        <v/>
      </c>
      <c r="H3430" s="35"/>
      <c r="I3430" s="36"/>
      <c r="J3430" s="37">
        <v>0</v>
      </c>
    </row>
    <row r="3431" spans="1:10" hidden="1" x14ac:dyDescent="0.25">
      <c r="A3431" s="174"/>
      <c r="B3431" s="177"/>
      <c r="C3431" s="39"/>
      <c r="D3431" s="39"/>
      <c r="E3431" s="40"/>
      <c r="F3431" s="55" t="s">
        <v>13</v>
      </c>
      <c r="G3431" s="41" t="str">
        <f>IF(ISNUMBER(F3431),E3431*F3431,"")</f>
        <v/>
      </c>
      <c r="H3431" s="42"/>
      <c r="I3431" s="38"/>
      <c r="J3431" s="37">
        <v>0</v>
      </c>
    </row>
    <row r="3432" spans="1:10" hidden="1" x14ac:dyDescent="0.25">
      <c r="A3432" s="174"/>
      <c r="B3432" s="177"/>
      <c r="C3432" s="43" t="s">
        <v>11014</v>
      </c>
      <c r="D3432" s="43" t="s">
        <v>2800</v>
      </c>
      <c r="E3432" s="44">
        <v>2.5</v>
      </c>
      <c r="F3432" s="38">
        <v>30.837</v>
      </c>
      <c r="G3432" s="41">
        <f>IF(ISNUMBER(F3432),E3432*F3432,"")</f>
        <v>77.092500000000001</v>
      </c>
      <c r="H3432" s="46">
        <f>SUM(G3432:G3433)</f>
        <v>199.69</v>
      </c>
      <c r="I3432" s="47"/>
      <c r="J3432" s="37">
        <v>0</v>
      </c>
    </row>
    <row r="3433" spans="1:10" hidden="1" x14ac:dyDescent="0.25">
      <c r="A3433" s="174"/>
      <c r="B3433" s="177"/>
      <c r="C3433" s="43" t="s">
        <v>11013</v>
      </c>
      <c r="D3433" s="43" t="s">
        <v>2800</v>
      </c>
      <c r="E3433" s="44">
        <v>5</v>
      </c>
      <c r="F3433" s="38">
        <v>24.519499999999997</v>
      </c>
      <c r="G3433" s="41">
        <f>IF(ISNUMBER(F3433),E3433*F3433,"")</f>
        <v>122.59749999999998</v>
      </c>
      <c r="H3433" s="42"/>
      <c r="I3433" s="38"/>
      <c r="J3433" s="37">
        <v>0</v>
      </c>
    </row>
    <row r="3434" spans="1:10" ht="15.75" hidden="1" thickBot="1" x14ac:dyDescent="0.3">
      <c r="A3434" s="175"/>
      <c r="B3434" s="178"/>
      <c r="C3434" s="49"/>
      <c r="D3434" s="49"/>
      <c r="E3434" s="50"/>
      <c r="F3434" s="51" t="s">
        <v>13</v>
      </c>
      <c r="G3434" s="52" t="str">
        <f>IF(ISNUMBER(F3434),E3434*F3434,"")</f>
        <v/>
      </c>
      <c r="H3434" s="53"/>
      <c r="I3434" s="38"/>
      <c r="J3434" s="37">
        <v>0</v>
      </c>
    </row>
    <row r="3435" spans="1:10" ht="15.75" hidden="1" thickBot="1" x14ac:dyDescent="0.3">
      <c r="A3435" s="173" t="s">
        <v>860</v>
      </c>
      <c r="B3435" s="176" t="s">
        <v>4333</v>
      </c>
      <c r="C3435" s="31"/>
      <c r="D3435" s="32" t="s">
        <v>18</v>
      </c>
      <c r="E3435" s="33"/>
      <c r="F3435" s="54" t="s">
        <v>13</v>
      </c>
      <c r="G3435" s="34" t="str">
        <f>IF(ISNUMBER(F3435),E3435*F3435,"")</f>
        <v/>
      </c>
      <c r="H3435" s="35"/>
      <c r="I3435" s="36"/>
      <c r="J3435" s="37">
        <v>0</v>
      </c>
    </row>
    <row r="3436" spans="1:10" hidden="1" x14ac:dyDescent="0.25">
      <c r="A3436" s="174"/>
      <c r="B3436" s="177"/>
      <c r="C3436" s="39"/>
      <c r="D3436" s="39"/>
      <c r="E3436" s="40"/>
      <c r="F3436" s="55" t="s">
        <v>13</v>
      </c>
      <c r="G3436" s="41" t="str">
        <f>IF(ISNUMBER(F3436),E3436*F3436,"")</f>
        <v/>
      </c>
      <c r="H3436" s="42"/>
      <c r="I3436" s="38"/>
      <c r="J3436" s="37">
        <v>0</v>
      </c>
    </row>
    <row r="3437" spans="1:10" ht="25.5" hidden="1" x14ac:dyDescent="0.25">
      <c r="A3437" s="174"/>
      <c r="B3437" s="177"/>
      <c r="C3437" s="43" t="s">
        <v>861</v>
      </c>
      <c r="D3437" s="62" t="s">
        <v>87</v>
      </c>
      <c r="E3437" s="44">
        <v>1</v>
      </c>
      <c r="F3437" s="38" t="s">
        <v>13</v>
      </c>
      <c r="G3437" s="41" t="str">
        <f>IF(ISNUMBER(F3437),E3437*F3437,"")</f>
        <v/>
      </c>
      <c r="H3437" s="46">
        <f>SUM(G3437:G3440)</f>
        <v>8.266556099999999</v>
      </c>
      <c r="I3437" s="47"/>
      <c r="J3437" s="37">
        <v>0</v>
      </c>
    </row>
    <row r="3438" spans="1:10" hidden="1" x14ac:dyDescent="0.25">
      <c r="A3438" s="174"/>
      <c r="B3438" s="177"/>
      <c r="C3438" s="43" t="s">
        <v>10907</v>
      </c>
      <c r="D3438" s="43" t="s">
        <v>83</v>
      </c>
      <c r="E3438" s="44">
        <v>1.32E-2</v>
      </c>
      <c r="F3438" s="38">
        <v>14.715499999999999</v>
      </c>
      <c r="G3438" s="41">
        <f>IF(ISNUMBER(F3438),E3438*F3438,"")</f>
        <v>0.19424459999999999</v>
      </c>
      <c r="H3438" s="42"/>
      <c r="I3438" s="38"/>
      <c r="J3438" s="37">
        <v>0</v>
      </c>
    </row>
    <row r="3439" spans="1:10" ht="25.5" hidden="1" x14ac:dyDescent="0.25">
      <c r="A3439" s="174"/>
      <c r="B3439" s="177"/>
      <c r="C3439" s="43" t="s">
        <v>10754</v>
      </c>
      <c r="D3439" s="43" t="s">
        <v>2800</v>
      </c>
      <c r="E3439" s="44">
        <v>0.14849999999999999</v>
      </c>
      <c r="F3439" s="38">
        <v>30.361999999999998</v>
      </c>
      <c r="G3439" s="41">
        <f>IF(ISNUMBER(F3439),E3439*F3439,"")</f>
        <v>4.5087569999999992</v>
      </c>
      <c r="H3439" s="42"/>
      <c r="I3439" s="38"/>
      <c r="J3439" s="37">
        <v>0</v>
      </c>
    </row>
    <row r="3440" spans="1:10" ht="25.5" hidden="1" x14ac:dyDescent="0.25">
      <c r="A3440" s="174"/>
      <c r="B3440" s="177"/>
      <c r="C3440" s="43" t="s">
        <v>10753</v>
      </c>
      <c r="D3440" s="43" t="s">
        <v>2800</v>
      </c>
      <c r="E3440" s="44">
        <v>0.14849999999999999</v>
      </c>
      <c r="F3440" s="38">
        <v>23.997</v>
      </c>
      <c r="G3440" s="41">
        <f>IF(ISNUMBER(F3440),E3440*F3440,"")</f>
        <v>3.5635545</v>
      </c>
      <c r="H3440" s="42"/>
      <c r="I3440" s="38"/>
      <c r="J3440" s="37">
        <v>0</v>
      </c>
    </row>
    <row r="3441" spans="1:10" ht="15.75" hidden="1" thickBot="1" x14ac:dyDescent="0.3">
      <c r="A3441" s="175"/>
      <c r="B3441" s="178"/>
      <c r="C3441" s="49"/>
      <c r="D3441" s="49"/>
      <c r="E3441" s="50"/>
      <c r="F3441" s="51" t="s">
        <v>13</v>
      </c>
      <c r="G3441" s="52" t="str">
        <f>IF(ISNUMBER(F3441),E3441*F3441,"")</f>
        <v/>
      </c>
      <c r="H3441" s="53"/>
      <c r="I3441" s="38"/>
      <c r="J3441" s="37">
        <v>0</v>
      </c>
    </row>
    <row r="3442" spans="1:10" ht="15.75" hidden="1" thickBot="1" x14ac:dyDescent="0.3">
      <c r="A3442" s="173" t="s">
        <v>862</v>
      </c>
      <c r="B3442" s="176" t="s">
        <v>4334</v>
      </c>
      <c r="C3442" s="31"/>
      <c r="D3442" s="32" t="s">
        <v>18</v>
      </c>
      <c r="E3442" s="33"/>
      <c r="F3442" s="54" t="s">
        <v>13</v>
      </c>
      <c r="G3442" s="34" t="str">
        <f>IF(ISNUMBER(F3442),E3442*F3442,"")</f>
        <v/>
      </c>
      <c r="H3442" s="35"/>
      <c r="I3442" s="36"/>
      <c r="J3442" s="37">
        <v>0</v>
      </c>
    </row>
    <row r="3443" spans="1:10" hidden="1" x14ac:dyDescent="0.25">
      <c r="A3443" s="174"/>
      <c r="B3443" s="177"/>
      <c r="C3443" s="39"/>
      <c r="D3443" s="39"/>
      <c r="E3443" s="40"/>
      <c r="F3443" s="55" t="s">
        <v>13</v>
      </c>
      <c r="G3443" s="41" t="str">
        <f>IF(ISNUMBER(F3443),E3443*F3443,"")</f>
        <v/>
      </c>
      <c r="H3443" s="42"/>
      <c r="I3443" s="38"/>
      <c r="J3443" s="37">
        <v>0</v>
      </c>
    </row>
    <row r="3444" spans="1:10" hidden="1" x14ac:dyDescent="0.25">
      <c r="A3444" s="174"/>
      <c r="B3444" s="177"/>
      <c r="C3444" s="43" t="s">
        <v>10907</v>
      </c>
      <c r="D3444" s="43" t="s">
        <v>83</v>
      </c>
      <c r="E3444" s="44">
        <v>1.06E-2</v>
      </c>
      <c r="F3444" s="38">
        <v>14.715499999999999</v>
      </c>
      <c r="G3444" s="41">
        <f>IF(ISNUMBER(F3444),E3444*F3444,"")</f>
        <v>0.15598429999999999</v>
      </c>
      <c r="H3444" s="46">
        <f>SUM(G3444:G3447)</f>
        <v>6.1463461000000006</v>
      </c>
      <c r="I3444" s="47"/>
      <c r="J3444" s="37">
        <v>0</v>
      </c>
    </row>
    <row r="3445" spans="1:10" ht="25.5" hidden="1" x14ac:dyDescent="0.25">
      <c r="A3445" s="174"/>
      <c r="B3445" s="177"/>
      <c r="C3445" s="43" t="s">
        <v>863</v>
      </c>
      <c r="D3445" s="62" t="s">
        <v>87</v>
      </c>
      <c r="E3445" s="44">
        <v>1</v>
      </c>
      <c r="F3445" s="38" t="s">
        <v>13</v>
      </c>
      <c r="G3445" s="41" t="str">
        <f>IF(ISNUMBER(F3445),E3445*F3445,"")</f>
        <v/>
      </c>
      <c r="H3445" s="42"/>
      <c r="I3445" s="38"/>
      <c r="J3445" s="37">
        <v>0</v>
      </c>
    </row>
    <row r="3446" spans="1:10" ht="25.5" hidden="1" x14ac:dyDescent="0.25">
      <c r="A3446" s="174"/>
      <c r="B3446" s="177"/>
      <c r="C3446" s="43" t="s">
        <v>10753</v>
      </c>
      <c r="D3446" s="43" t="s">
        <v>2800</v>
      </c>
      <c r="E3446" s="44">
        <v>0.11020000000000001</v>
      </c>
      <c r="F3446" s="38">
        <v>23.997</v>
      </c>
      <c r="G3446" s="41">
        <f>IF(ISNUMBER(F3446),E3446*F3446,"")</f>
        <v>2.6444694000000002</v>
      </c>
      <c r="H3446" s="42"/>
      <c r="I3446" s="38"/>
      <c r="J3446" s="37">
        <v>0</v>
      </c>
    </row>
    <row r="3447" spans="1:10" ht="25.5" hidden="1" x14ac:dyDescent="0.25">
      <c r="A3447" s="174"/>
      <c r="B3447" s="177"/>
      <c r="C3447" s="43" t="s">
        <v>10754</v>
      </c>
      <c r="D3447" s="43" t="s">
        <v>2800</v>
      </c>
      <c r="E3447" s="44">
        <v>0.11020000000000001</v>
      </c>
      <c r="F3447" s="38">
        <v>30.361999999999998</v>
      </c>
      <c r="G3447" s="41">
        <f>IF(ISNUMBER(F3447),E3447*F3447,"")</f>
        <v>3.3458923999999999</v>
      </c>
      <c r="H3447" s="42"/>
      <c r="I3447" s="38"/>
      <c r="J3447" s="37">
        <v>0</v>
      </c>
    </row>
    <row r="3448" spans="1:10" ht="15.75" hidden="1" thickBot="1" x14ac:dyDescent="0.3">
      <c r="A3448" s="175"/>
      <c r="B3448" s="178"/>
      <c r="C3448" s="49"/>
      <c r="D3448" s="49"/>
      <c r="E3448" s="50"/>
      <c r="F3448" s="51" t="s">
        <v>13</v>
      </c>
      <c r="G3448" s="52" t="str">
        <f>IF(ISNUMBER(F3448),E3448*F3448,"")</f>
        <v/>
      </c>
      <c r="H3448" s="53"/>
      <c r="I3448" s="38"/>
      <c r="J3448" s="37">
        <v>0</v>
      </c>
    </row>
    <row r="3449" spans="1:10" ht="15.75" hidden="1" thickBot="1" x14ac:dyDescent="0.3">
      <c r="A3449" s="173" t="s">
        <v>864</v>
      </c>
      <c r="B3449" s="176" t="s">
        <v>4337</v>
      </c>
      <c r="C3449" s="31"/>
      <c r="D3449" s="32" t="s">
        <v>18</v>
      </c>
      <c r="E3449" s="33"/>
      <c r="F3449" s="54" t="s">
        <v>13</v>
      </c>
      <c r="G3449" s="34" t="str">
        <f>IF(ISNUMBER(F3449),E3449*F3449,"")</f>
        <v/>
      </c>
      <c r="H3449" s="35"/>
      <c r="I3449" s="36"/>
      <c r="J3449" s="37">
        <v>0</v>
      </c>
    </row>
    <row r="3450" spans="1:10" hidden="1" x14ac:dyDescent="0.25">
      <c r="A3450" s="174"/>
      <c r="B3450" s="177"/>
      <c r="C3450" s="39"/>
      <c r="D3450" s="39"/>
      <c r="E3450" s="40"/>
      <c r="F3450" s="55" t="s">
        <v>13</v>
      </c>
      <c r="G3450" s="41" t="str">
        <f>IF(ISNUMBER(F3450),E3450*F3450,"")</f>
        <v/>
      </c>
      <c r="H3450" s="42"/>
      <c r="I3450" s="38"/>
      <c r="J3450" s="37">
        <v>0</v>
      </c>
    </row>
    <row r="3451" spans="1:10" ht="38.25" hidden="1" x14ac:dyDescent="0.25">
      <c r="A3451" s="174"/>
      <c r="B3451" s="177"/>
      <c r="C3451" s="43" t="s">
        <v>11048</v>
      </c>
      <c r="D3451" s="43" t="s">
        <v>83</v>
      </c>
      <c r="E3451" s="44">
        <v>1</v>
      </c>
      <c r="F3451" s="38">
        <v>209.0855</v>
      </c>
      <c r="G3451" s="41">
        <f>IF(ISNUMBER(F3451),E3451*F3451,"")</f>
        <v>209.0855</v>
      </c>
      <c r="H3451" s="46">
        <f>SUM(G3451:G3454)</f>
        <v>262.22714479583499</v>
      </c>
      <c r="I3451" s="47"/>
      <c r="J3451" s="37">
        <v>0</v>
      </c>
    </row>
    <row r="3452" spans="1:10" ht="25.5" hidden="1" x14ac:dyDescent="0.25">
      <c r="A3452" s="174"/>
      <c r="B3452" s="177"/>
      <c r="C3452" s="43" t="s">
        <v>10713</v>
      </c>
      <c r="D3452" s="43" t="s">
        <v>2880</v>
      </c>
      <c r="E3452" s="44">
        <v>4.4000000000000003E-3</v>
      </c>
      <c r="F3452" s="38">
        <v>688.25221496250003</v>
      </c>
      <c r="G3452" s="41">
        <f>IF(ISNUMBER(F3452),E3452*F3452,"")</f>
        <v>3.0283097458350001</v>
      </c>
      <c r="H3452" s="42"/>
      <c r="I3452" s="38"/>
      <c r="J3452" s="37">
        <v>0</v>
      </c>
    </row>
    <row r="3453" spans="1:10" hidden="1" x14ac:dyDescent="0.25">
      <c r="A3453" s="174"/>
      <c r="B3453" s="177"/>
      <c r="C3453" s="43" t="s">
        <v>10757</v>
      </c>
      <c r="D3453" s="43" t="s">
        <v>2800</v>
      </c>
      <c r="E3453" s="44">
        <v>1.0088999999999999</v>
      </c>
      <c r="F3453" s="38">
        <v>31.055499999999995</v>
      </c>
      <c r="G3453" s="41">
        <f>IF(ISNUMBER(F3453),E3453*F3453,"")</f>
        <v>31.331893949999991</v>
      </c>
      <c r="H3453" s="42"/>
      <c r="I3453" s="38"/>
      <c r="J3453" s="37">
        <v>0</v>
      </c>
    </row>
    <row r="3454" spans="1:10" hidden="1" x14ac:dyDescent="0.25">
      <c r="A3454" s="174"/>
      <c r="B3454" s="177"/>
      <c r="C3454" s="43" t="s">
        <v>10614</v>
      </c>
      <c r="D3454" s="43" t="s">
        <v>2800</v>
      </c>
      <c r="E3454" s="44">
        <v>0.79269999999999996</v>
      </c>
      <c r="F3454" s="38">
        <v>23.693000000000001</v>
      </c>
      <c r="G3454" s="41">
        <f>IF(ISNUMBER(F3454),E3454*F3454,"")</f>
        <v>18.781441099999999</v>
      </c>
      <c r="H3454" s="42"/>
      <c r="I3454" s="38"/>
      <c r="J3454" s="37">
        <v>0</v>
      </c>
    </row>
    <row r="3455" spans="1:10" ht="15.75" hidden="1" thickBot="1" x14ac:dyDescent="0.3">
      <c r="A3455" s="175"/>
      <c r="B3455" s="178"/>
      <c r="C3455" s="49"/>
      <c r="D3455" s="49"/>
      <c r="E3455" s="50"/>
      <c r="F3455" s="51" t="s">
        <v>13</v>
      </c>
      <c r="G3455" s="52" t="str">
        <f>IF(ISNUMBER(F3455),E3455*F3455,"")</f>
        <v/>
      </c>
      <c r="H3455" s="53"/>
      <c r="I3455" s="38"/>
      <c r="J3455" s="37">
        <v>0</v>
      </c>
    </row>
    <row r="3456" spans="1:10" ht="15.75" hidden="1" thickBot="1" x14ac:dyDescent="0.3">
      <c r="A3456" s="179" t="s">
        <v>865</v>
      </c>
      <c r="B3456" s="177" t="s">
        <v>4338</v>
      </c>
      <c r="C3456" s="31"/>
      <c r="D3456" s="32" t="s">
        <v>2975</v>
      </c>
      <c r="E3456" s="33"/>
      <c r="F3456" s="34" t="s">
        <v>13</v>
      </c>
      <c r="G3456" s="34" t="str">
        <f>IF(ISNUMBER(F3456),E3456*F3456,"")</f>
        <v/>
      </c>
      <c r="H3456" s="35"/>
      <c r="I3456" s="36"/>
      <c r="J3456" s="37">
        <v>0</v>
      </c>
    </row>
    <row r="3457" spans="1:10" hidden="1" x14ac:dyDescent="0.25">
      <c r="A3457" s="174"/>
      <c r="B3457" s="177"/>
      <c r="C3457" s="39"/>
      <c r="D3457" s="39"/>
      <c r="E3457" s="40"/>
      <c r="F3457" s="38" t="s">
        <v>13</v>
      </c>
      <c r="G3457" s="41" t="str">
        <f>IF(ISNUMBER(F3457),E3457*F3457,"")</f>
        <v/>
      </c>
      <c r="H3457" s="42"/>
      <c r="I3457" s="38"/>
      <c r="J3457" s="37">
        <v>0</v>
      </c>
    </row>
    <row r="3458" spans="1:10" hidden="1" x14ac:dyDescent="0.25">
      <c r="A3458" s="174"/>
      <c r="B3458" s="177"/>
      <c r="C3458" s="43" t="s">
        <v>11049</v>
      </c>
      <c r="D3458" s="43" t="s">
        <v>2800</v>
      </c>
      <c r="E3458" s="44">
        <v>1</v>
      </c>
      <c r="F3458" s="38">
        <v>124.89649999999999</v>
      </c>
      <c r="G3458" s="41">
        <f>IF(ISNUMBER(F3458),E3458*F3458,"")</f>
        <v>124.89649999999999</v>
      </c>
      <c r="H3458" s="46">
        <f>SUM(G3458:G3458)</f>
        <v>124.89649999999999</v>
      </c>
      <c r="I3458" s="47"/>
      <c r="J3458" s="37">
        <v>0</v>
      </c>
    </row>
    <row r="3459" spans="1:10" ht="15.75" hidden="1" thickBot="1" x14ac:dyDescent="0.3">
      <c r="A3459" s="175"/>
      <c r="B3459" s="178"/>
      <c r="C3459" s="49"/>
      <c r="D3459" s="49"/>
      <c r="E3459" s="50"/>
      <c r="F3459" s="51" t="s">
        <v>13</v>
      </c>
      <c r="G3459" s="52" t="str">
        <f>IF(ISNUMBER(F3459),E3459*F3459,"")</f>
        <v/>
      </c>
      <c r="H3459" s="53"/>
      <c r="I3459" s="38"/>
      <c r="J3459" s="37">
        <v>0</v>
      </c>
    </row>
    <row r="3460" spans="1:10" ht="15.75" hidden="1" thickBot="1" x14ac:dyDescent="0.3">
      <c r="A3460" s="173" t="s">
        <v>866</v>
      </c>
      <c r="B3460" s="176" t="s">
        <v>4339</v>
      </c>
      <c r="C3460" s="31"/>
      <c r="D3460" s="32" t="s">
        <v>4340</v>
      </c>
      <c r="E3460" s="33"/>
      <c r="F3460" s="54" t="s">
        <v>13</v>
      </c>
      <c r="G3460" s="34" t="str">
        <f>IF(ISNUMBER(F3460),E3460*F3460,"")</f>
        <v/>
      </c>
      <c r="H3460" s="35"/>
      <c r="I3460" s="36"/>
      <c r="J3460" s="37">
        <v>0</v>
      </c>
    </row>
    <row r="3461" spans="1:10" hidden="1" x14ac:dyDescent="0.25">
      <c r="A3461" s="179"/>
      <c r="B3461" s="177"/>
      <c r="C3461" s="39"/>
      <c r="D3461" s="39"/>
      <c r="E3461" s="40"/>
      <c r="F3461" s="55" t="s">
        <v>13</v>
      </c>
      <c r="G3461" s="41" t="str">
        <f>IF(ISNUMBER(F3461),E3461*F3461,"")</f>
        <v/>
      </c>
      <c r="H3461" s="42"/>
      <c r="I3461" s="38"/>
      <c r="J3461" s="37">
        <v>0</v>
      </c>
    </row>
    <row r="3462" spans="1:10" ht="38.25" hidden="1" x14ac:dyDescent="0.25">
      <c r="A3462" s="179"/>
      <c r="B3462" s="177"/>
      <c r="C3462" s="43" t="s">
        <v>11050</v>
      </c>
      <c r="D3462" s="43" t="s">
        <v>10821</v>
      </c>
      <c r="E3462" s="44">
        <v>1</v>
      </c>
      <c r="F3462" s="38">
        <v>819.375</v>
      </c>
      <c r="G3462" s="41">
        <f>IF(ISNUMBER(F3462),E3462*F3462,"")</f>
        <v>819.375</v>
      </c>
      <c r="H3462" s="46">
        <f>SUM(G3462:G3462)</f>
        <v>819.375</v>
      </c>
      <c r="I3462" s="47"/>
      <c r="J3462" s="37">
        <v>0</v>
      </c>
    </row>
    <row r="3463" spans="1:10" ht="15.75" hidden="1" thickBot="1" x14ac:dyDescent="0.3">
      <c r="A3463" s="180"/>
      <c r="B3463" s="178"/>
      <c r="C3463" s="49"/>
      <c r="D3463" s="49"/>
      <c r="E3463" s="50"/>
      <c r="F3463" s="51" t="s">
        <v>13</v>
      </c>
      <c r="G3463" s="52" t="str">
        <f>IF(ISNUMBER(F3463),E3463*F3463,"")</f>
        <v/>
      </c>
      <c r="H3463" s="53"/>
      <c r="I3463" s="38"/>
      <c r="J3463" s="37">
        <v>0</v>
      </c>
    </row>
    <row r="3464" spans="1:10" ht="15.75" hidden="1" thickBot="1" x14ac:dyDescent="0.3">
      <c r="A3464" s="173" t="s">
        <v>867</v>
      </c>
      <c r="B3464" s="176" t="s">
        <v>4343</v>
      </c>
      <c r="C3464" s="31"/>
      <c r="D3464" s="32" t="s">
        <v>68</v>
      </c>
      <c r="E3464" s="33"/>
      <c r="F3464" s="54" t="s">
        <v>13</v>
      </c>
      <c r="G3464" s="34" t="str">
        <f>IF(ISNUMBER(F3464),E3464*F3464,"")</f>
        <v/>
      </c>
      <c r="H3464" s="35"/>
      <c r="I3464" s="36"/>
      <c r="J3464" s="37">
        <v>0</v>
      </c>
    </row>
    <row r="3465" spans="1:10" hidden="1" x14ac:dyDescent="0.25">
      <c r="A3465" s="174"/>
      <c r="B3465" s="177"/>
      <c r="C3465" s="39"/>
      <c r="D3465" s="39"/>
      <c r="E3465" s="40"/>
      <c r="F3465" s="55" t="s">
        <v>13</v>
      </c>
      <c r="G3465" s="41" t="str">
        <f>IF(ISNUMBER(F3465),E3465*F3465,"")</f>
        <v/>
      </c>
      <c r="H3465" s="42"/>
      <c r="I3465" s="38"/>
      <c r="J3465" s="37">
        <v>0</v>
      </c>
    </row>
    <row r="3466" spans="1:10" hidden="1" x14ac:dyDescent="0.25">
      <c r="A3466" s="174"/>
      <c r="B3466" s="177"/>
      <c r="C3466" s="43" t="s">
        <v>10614</v>
      </c>
      <c r="D3466" s="43" t="s">
        <v>2800</v>
      </c>
      <c r="E3466" s="44">
        <v>8.8999999999999996E-2</v>
      </c>
      <c r="F3466" s="38">
        <v>23.693000000000001</v>
      </c>
      <c r="G3466" s="41">
        <f>IF(ISNUMBER(F3466),E3466*F3466,"")</f>
        <v>2.1086770000000001</v>
      </c>
      <c r="H3466" s="46">
        <f>SUM(G3466:G3467)</f>
        <v>2.1582669999999999</v>
      </c>
      <c r="I3466" s="47"/>
      <c r="J3466" s="37">
        <v>0</v>
      </c>
    </row>
    <row r="3467" spans="1:10" ht="38.25" hidden="1" x14ac:dyDescent="0.25">
      <c r="A3467" s="174"/>
      <c r="B3467" s="177"/>
      <c r="C3467" s="43" t="s">
        <v>11051</v>
      </c>
      <c r="D3467" s="43" t="s">
        <v>1050</v>
      </c>
      <c r="E3467" s="44">
        <v>1.4999999999999999E-2</v>
      </c>
      <c r="F3467" s="38">
        <v>3.306</v>
      </c>
      <c r="G3467" s="41">
        <f>IF(ISNUMBER(F3467),E3467*F3467,"")</f>
        <v>4.9590000000000002E-2</v>
      </c>
      <c r="H3467" s="42"/>
      <c r="I3467" s="38"/>
      <c r="J3467" s="37">
        <v>0</v>
      </c>
    </row>
    <row r="3468" spans="1:10" ht="15.75" hidden="1" thickBot="1" x14ac:dyDescent="0.3">
      <c r="A3468" s="175"/>
      <c r="B3468" s="178"/>
      <c r="C3468" s="49"/>
      <c r="D3468" s="49"/>
      <c r="E3468" s="50"/>
      <c r="F3468" s="51" t="s">
        <v>13</v>
      </c>
      <c r="G3468" s="52" t="str">
        <f>IF(ISNUMBER(F3468),E3468*F3468,"")</f>
        <v/>
      </c>
      <c r="H3468" s="53"/>
      <c r="I3468" s="38"/>
      <c r="J3468" s="37">
        <v>0</v>
      </c>
    </row>
    <row r="3469" spans="1:10" ht="15.75" hidden="1" thickBot="1" x14ac:dyDescent="0.3">
      <c r="A3469" s="173" t="s">
        <v>868</v>
      </c>
      <c r="B3469" s="176" t="s">
        <v>4344</v>
      </c>
      <c r="C3469" s="31"/>
      <c r="D3469" s="32" t="s">
        <v>68</v>
      </c>
      <c r="E3469" s="33"/>
      <c r="F3469" s="60" t="s">
        <v>13</v>
      </c>
      <c r="G3469" s="34" t="str">
        <f>IF(ISNUMBER(F3469),E3469*F3469,"")</f>
        <v/>
      </c>
      <c r="H3469" s="35"/>
      <c r="I3469" s="36"/>
      <c r="J3469" s="37">
        <v>0</v>
      </c>
    </row>
    <row r="3470" spans="1:10" hidden="1" x14ac:dyDescent="0.25">
      <c r="A3470" s="174"/>
      <c r="B3470" s="177"/>
      <c r="C3470" s="39"/>
      <c r="D3470" s="39"/>
      <c r="E3470" s="40"/>
      <c r="F3470" s="70" t="s">
        <v>13</v>
      </c>
      <c r="G3470" s="70" t="str">
        <f>IF(ISNUMBER(F3470),E3470*F3470,"")</f>
        <v/>
      </c>
      <c r="H3470" s="71"/>
      <c r="I3470" s="72"/>
      <c r="J3470" s="37">
        <v>0</v>
      </c>
    </row>
    <row r="3471" spans="1:10" hidden="1" x14ac:dyDescent="0.25">
      <c r="A3471" s="174"/>
      <c r="B3471" s="177"/>
      <c r="C3471" s="43" t="s">
        <v>10830</v>
      </c>
      <c r="D3471" s="43" t="s">
        <v>2800</v>
      </c>
      <c r="E3471" s="44">
        <v>0.25</v>
      </c>
      <c r="F3471" s="70">
        <v>30.912999999999997</v>
      </c>
      <c r="G3471" s="70">
        <f>IF(ISNUMBER(F3471),E3471*F3471,"")</f>
        <v>7.7282499999999992</v>
      </c>
      <c r="H3471" s="46">
        <f>SUM(G3471:G3472)</f>
        <v>7.7282499999999992</v>
      </c>
      <c r="I3471" s="47"/>
      <c r="J3471" s="37">
        <v>0</v>
      </c>
    </row>
    <row r="3472" spans="1:10" ht="15.75" hidden="1" thickBot="1" x14ac:dyDescent="0.3">
      <c r="A3472" s="175"/>
      <c r="B3472" s="178"/>
      <c r="C3472" s="49"/>
      <c r="D3472" s="49"/>
      <c r="E3472" s="50"/>
      <c r="F3472" s="83" t="s">
        <v>13</v>
      </c>
      <c r="G3472" s="83" t="str">
        <f>IF(ISNUMBER(F3472),E3472*F3472,"")</f>
        <v/>
      </c>
      <c r="H3472" s="84"/>
      <c r="I3472" s="72"/>
      <c r="J3472" s="37">
        <v>0</v>
      </c>
    </row>
    <row r="3473" spans="1:10" ht="15.75" hidden="1" thickBot="1" x14ac:dyDescent="0.3">
      <c r="A3473" s="173" t="s">
        <v>869</v>
      </c>
      <c r="B3473" s="176" t="s">
        <v>4345</v>
      </c>
      <c r="C3473" s="31"/>
      <c r="D3473" s="32" t="s">
        <v>68</v>
      </c>
      <c r="E3473" s="33"/>
      <c r="F3473" s="60" t="s">
        <v>13</v>
      </c>
      <c r="G3473" s="34" t="str">
        <f>IF(ISNUMBER(F3473),E3473*F3473,"")</f>
        <v/>
      </c>
      <c r="H3473" s="35"/>
      <c r="I3473" s="36"/>
      <c r="J3473" s="37">
        <v>0</v>
      </c>
    </row>
    <row r="3474" spans="1:10" hidden="1" x14ac:dyDescent="0.25">
      <c r="A3474" s="174"/>
      <c r="B3474" s="177"/>
      <c r="C3474" s="39"/>
      <c r="D3474" s="39"/>
      <c r="E3474" s="40"/>
      <c r="F3474" s="70" t="s">
        <v>13</v>
      </c>
      <c r="G3474" s="70" t="str">
        <f>IF(ISNUMBER(F3474),E3474*F3474,"")</f>
        <v/>
      </c>
      <c r="H3474" s="71"/>
      <c r="I3474" s="72"/>
      <c r="J3474" s="37">
        <v>0</v>
      </c>
    </row>
    <row r="3475" spans="1:10" hidden="1" x14ac:dyDescent="0.25">
      <c r="A3475" s="174"/>
      <c r="B3475" s="177"/>
      <c r="C3475" s="43" t="s">
        <v>10614</v>
      </c>
      <c r="D3475" s="43" t="s">
        <v>2800</v>
      </c>
      <c r="E3475" s="44">
        <v>1.25</v>
      </c>
      <c r="F3475" s="70">
        <v>23.693000000000001</v>
      </c>
      <c r="G3475" s="70">
        <f>IF(ISNUMBER(F3475),E3475*F3475,"")</f>
        <v>29.616250000000001</v>
      </c>
      <c r="H3475" s="46">
        <f>SUM(G3475:G3475)</f>
        <v>29.616250000000001</v>
      </c>
      <c r="I3475" s="47"/>
      <c r="J3475" s="37">
        <v>0</v>
      </c>
    </row>
    <row r="3476" spans="1:10" ht="15.75" hidden="1" thickBot="1" x14ac:dyDescent="0.3">
      <c r="A3476" s="175"/>
      <c r="B3476" s="178"/>
      <c r="C3476" s="49"/>
      <c r="D3476" s="49"/>
      <c r="E3476" s="50"/>
      <c r="F3476" s="83" t="s">
        <v>13</v>
      </c>
      <c r="G3476" s="83" t="str">
        <f>IF(ISNUMBER(F3476),E3476*F3476,"")</f>
        <v/>
      </c>
      <c r="H3476" s="84"/>
      <c r="I3476" s="72"/>
      <c r="J3476" s="37">
        <v>0</v>
      </c>
    </row>
    <row r="3477" spans="1:10" ht="15.75" hidden="1" thickBot="1" x14ac:dyDescent="0.3">
      <c r="A3477" s="173" t="s">
        <v>870</v>
      </c>
      <c r="B3477" s="176" t="s">
        <v>4346</v>
      </c>
      <c r="C3477" s="31"/>
      <c r="D3477" s="32" t="s">
        <v>68</v>
      </c>
      <c r="E3477" s="33"/>
      <c r="F3477" s="60" t="s">
        <v>13</v>
      </c>
      <c r="G3477" s="34" t="str">
        <f>IF(ISNUMBER(F3477),E3477*F3477,"")</f>
        <v/>
      </c>
      <c r="H3477" s="35"/>
      <c r="I3477" s="36"/>
      <c r="J3477" s="37">
        <v>0</v>
      </c>
    </row>
    <row r="3478" spans="1:10" hidden="1" x14ac:dyDescent="0.25">
      <c r="A3478" s="174"/>
      <c r="B3478" s="177"/>
      <c r="C3478" s="39"/>
      <c r="D3478" s="39"/>
      <c r="E3478" s="40"/>
      <c r="F3478" s="70" t="s">
        <v>13</v>
      </c>
      <c r="G3478" s="70" t="str">
        <f>IF(ISNUMBER(F3478),E3478*F3478,"")</f>
        <v/>
      </c>
      <c r="H3478" s="71"/>
      <c r="I3478" s="72"/>
      <c r="J3478" s="37">
        <v>0</v>
      </c>
    </row>
    <row r="3479" spans="1:10" ht="51" hidden="1" x14ac:dyDescent="0.25">
      <c r="A3479" s="174"/>
      <c r="B3479" s="177"/>
      <c r="C3479" s="43" t="s">
        <v>11052</v>
      </c>
      <c r="D3479" s="43" t="s">
        <v>1044</v>
      </c>
      <c r="E3479" s="44">
        <v>1.5</v>
      </c>
      <c r="F3479" s="70">
        <v>18.230499999999999</v>
      </c>
      <c r="G3479" s="70">
        <f>IF(ISNUMBER(F3479),E3479*F3479,"")</f>
        <v>27.345749999999999</v>
      </c>
      <c r="H3479" s="46">
        <f>SUM(G3479:G3482)</f>
        <v>52.017269949999999</v>
      </c>
      <c r="I3479" s="47"/>
      <c r="J3479" s="37">
        <v>0</v>
      </c>
    </row>
    <row r="3480" spans="1:10" hidden="1" x14ac:dyDescent="0.25">
      <c r="A3480" s="174"/>
      <c r="B3480" s="177"/>
      <c r="C3480" s="43" t="s">
        <v>11053</v>
      </c>
      <c r="D3480" s="43" t="s">
        <v>162</v>
      </c>
      <c r="E3480" s="44">
        <v>1.3512999999999999</v>
      </c>
      <c r="F3480" s="70">
        <v>6.6310000000000002</v>
      </c>
      <c r="G3480" s="70">
        <f>IF(ISNUMBER(F3480),E3480*F3480,"")</f>
        <v>8.9604703000000008</v>
      </c>
      <c r="H3480" s="71"/>
      <c r="I3480" s="47"/>
      <c r="J3480" s="37">
        <v>0</v>
      </c>
    </row>
    <row r="3481" spans="1:10" hidden="1" x14ac:dyDescent="0.25">
      <c r="A3481" s="174"/>
      <c r="B3481" s="177"/>
      <c r="C3481" s="43" t="s">
        <v>10750</v>
      </c>
      <c r="D3481" s="43" t="s">
        <v>2800</v>
      </c>
      <c r="E3481" s="44">
        <v>9.69E-2</v>
      </c>
      <c r="F3481" s="70">
        <v>24.358000000000001</v>
      </c>
      <c r="G3481" s="70">
        <f>IF(ISNUMBER(F3481),E3481*F3481,"")</f>
        <v>2.3602902000000001</v>
      </c>
      <c r="H3481" s="71"/>
      <c r="I3481" s="72"/>
      <c r="J3481" s="37">
        <v>0</v>
      </c>
    </row>
    <row r="3482" spans="1:10" hidden="1" x14ac:dyDescent="0.25">
      <c r="A3482" s="174"/>
      <c r="B3482" s="177"/>
      <c r="C3482" s="43" t="s">
        <v>10850</v>
      </c>
      <c r="D3482" s="43" t="s">
        <v>2800</v>
      </c>
      <c r="E3482" s="44">
        <v>0.4299</v>
      </c>
      <c r="F3482" s="70">
        <v>31.055499999999995</v>
      </c>
      <c r="G3482" s="70">
        <f>IF(ISNUMBER(F3482),E3482*F3482,"")</f>
        <v>13.350759449999998</v>
      </c>
      <c r="H3482" s="71"/>
      <c r="I3482" s="72"/>
      <c r="J3482" s="37">
        <v>0</v>
      </c>
    </row>
    <row r="3483" spans="1:10" ht="15.75" hidden="1" thickBot="1" x14ac:dyDescent="0.3">
      <c r="A3483" s="175"/>
      <c r="B3483" s="178"/>
      <c r="C3483" s="49"/>
      <c r="D3483" s="49"/>
      <c r="E3483" s="50"/>
      <c r="F3483" s="83" t="s">
        <v>13</v>
      </c>
      <c r="G3483" s="83" t="str">
        <f>IF(ISNUMBER(F3483),E3483*F3483,"")</f>
        <v/>
      </c>
      <c r="H3483" s="84"/>
      <c r="I3483" s="72"/>
      <c r="J3483" s="37">
        <v>0</v>
      </c>
    </row>
    <row r="3484" spans="1:10" ht="15.75" hidden="1" thickBot="1" x14ac:dyDescent="0.3">
      <c r="A3484" s="173" t="s">
        <v>871</v>
      </c>
      <c r="B3484" s="176" t="s">
        <v>4347</v>
      </c>
      <c r="C3484" s="31"/>
      <c r="D3484" s="32" t="s">
        <v>68</v>
      </c>
      <c r="E3484" s="33"/>
      <c r="F3484" s="60" t="s">
        <v>13</v>
      </c>
      <c r="G3484" s="34" t="str">
        <f>IF(ISNUMBER(F3484),E3484*F3484,"")</f>
        <v/>
      </c>
      <c r="H3484" s="35"/>
      <c r="I3484" s="36"/>
      <c r="J3484" s="37">
        <v>0</v>
      </c>
    </row>
    <row r="3485" spans="1:10" hidden="1" x14ac:dyDescent="0.25">
      <c r="A3485" s="174"/>
      <c r="B3485" s="177"/>
      <c r="C3485" s="39"/>
      <c r="D3485" s="39"/>
      <c r="E3485" s="40"/>
      <c r="F3485" s="70" t="s">
        <v>13</v>
      </c>
      <c r="G3485" s="70" t="str">
        <f>IF(ISNUMBER(F3485),E3485*F3485,"")</f>
        <v/>
      </c>
      <c r="H3485" s="71"/>
      <c r="I3485" s="72"/>
      <c r="J3485" s="37">
        <v>0</v>
      </c>
    </row>
    <row r="3486" spans="1:10" hidden="1" x14ac:dyDescent="0.25">
      <c r="A3486" s="174"/>
      <c r="B3486" s="177"/>
      <c r="C3486" s="43" t="s">
        <v>11054</v>
      </c>
      <c r="D3486" s="43" t="s">
        <v>162</v>
      </c>
      <c r="E3486" s="44">
        <v>1.04</v>
      </c>
      <c r="F3486" s="70">
        <v>1.9569999999999999</v>
      </c>
      <c r="G3486" s="70">
        <f>IF(ISNUMBER(F3486),E3486*F3486,"")</f>
        <v>2.0352799999999998</v>
      </c>
      <c r="H3486" s="46">
        <f>SUM(G3486:G3489)</f>
        <v>61.262093032812501</v>
      </c>
      <c r="I3486" s="47"/>
      <c r="J3486" s="37">
        <v>0</v>
      </c>
    </row>
    <row r="3487" spans="1:10" ht="25.5" hidden="1" x14ac:dyDescent="0.25">
      <c r="A3487" s="174"/>
      <c r="B3487" s="177"/>
      <c r="C3487" s="43" t="s">
        <v>10700</v>
      </c>
      <c r="D3487" s="43" t="s">
        <v>2880</v>
      </c>
      <c r="E3487" s="44">
        <v>3.5000000000000003E-2</v>
      </c>
      <c r="F3487" s="70">
        <v>973.42520093750011</v>
      </c>
      <c r="G3487" s="70">
        <f>IF(ISNUMBER(F3487),E3487*F3487,"")</f>
        <v>34.069882032812508</v>
      </c>
      <c r="H3487" s="71"/>
      <c r="I3487" s="72"/>
      <c r="J3487" s="37">
        <v>0</v>
      </c>
    </row>
    <row r="3488" spans="1:10" hidden="1" x14ac:dyDescent="0.25">
      <c r="A3488" s="174"/>
      <c r="B3488" s="177"/>
      <c r="C3488" s="43" t="s">
        <v>10757</v>
      </c>
      <c r="D3488" s="43" t="s">
        <v>2800</v>
      </c>
      <c r="E3488" s="44">
        <v>0.69120000000000004</v>
      </c>
      <c r="F3488" s="70">
        <v>31.055499999999995</v>
      </c>
      <c r="G3488" s="70">
        <f>IF(ISNUMBER(F3488),E3488*F3488,"")</f>
        <v>21.465561599999997</v>
      </c>
      <c r="H3488" s="71"/>
      <c r="I3488" s="72"/>
      <c r="J3488" s="37">
        <v>0</v>
      </c>
    </row>
    <row r="3489" spans="1:10" hidden="1" x14ac:dyDescent="0.25">
      <c r="A3489" s="174"/>
      <c r="B3489" s="177"/>
      <c r="C3489" s="43" t="s">
        <v>10614</v>
      </c>
      <c r="D3489" s="43" t="s">
        <v>2800</v>
      </c>
      <c r="E3489" s="44">
        <v>0.15579999999999999</v>
      </c>
      <c r="F3489" s="70">
        <v>23.693000000000001</v>
      </c>
      <c r="G3489" s="70">
        <f>IF(ISNUMBER(F3489),E3489*F3489,"")</f>
        <v>3.6913694000000001</v>
      </c>
      <c r="H3489" s="71"/>
      <c r="I3489" s="72"/>
      <c r="J3489" s="37">
        <v>0</v>
      </c>
    </row>
    <row r="3490" spans="1:10" ht="15.75" hidden="1" thickBot="1" x14ac:dyDescent="0.3">
      <c r="A3490" s="175"/>
      <c r="B3490" s="178"/>
      <c r="C3490" s="49"/>
      <c r="D3490" s="49"/>
      <c r="E3490" s="50"/>
      <c r="F3490" s="83" t="s">
        <v>13</v>
      </c>
      <c r="G3490" s="83" t="str">
        <f>IF(ISNUMBER(F3490),E3490*F3490,"")</f>
        <v/>
      </c>
      <c r="H3490" s="84"/>
      <c r="I3490" s="72"/>
      <c r="J3490" s="37">
        <v>0</v>
      </c>
    </row>
    <row r="3491" spans="1:10" ht="15.75" hidden="1" thickBot="1" x14ac:dyDescent="0.3">
      <c r="A3491" s="173" t="s">
        <v>872</v>
      </c>
      <c r="B3491" s="176" t="s">
        <v>4348</v>
      </c>
      <c r="C3491" s="31"/>
      <c r="D3491" s="32" t="s">
        <v>68</v>
      </c>
      <c r="E3491" s="33"/>
      <c r="F3491" s="60" t="s">
        <v>13</v>
      </c>
      <c r="G3491" s="34" t="str">
        <f>IF(ISNUMBER(F3491),E3491*F3491,"")</f>
        <v/>
      </c>
      <c r="H3491" s="35"/>
      <c r="I3491" s="36"/>
      <c r="J3491" s="37">
        <v>0</v>
      </c>
    </row>
    <row r="3492" spans="1:10" hidden="1" x14ac:dyDescent="0.25">
      <c r="A3492" s="174"/>
      <c r="B3492" s="177"/>
      <c r="C3492" s="39"/>
      <c r="D3492" s="39"/>
      <c r="E3492" s="40"/>
      <c r="F3492" s="70" t="s">
        <v>13</v>
      </c>
      <c r="G3492" s="70" t="str">
        <f>IF(ISNUMBER(F3492),E3492*F3492,"")</f>
        <v/>
      </c>
      <c r="H3492" s="71"/>
      <c r="I3492" s="72"/>
      <c r="J3492" s="37">
        <v>0</v>
      </c>
    </row>
    <row r="3493" spans="1:10" ht="25.5" hidden="1" x14ac:dyDescent="0.25">
      <c r="A3493" s="174"/>
      <c r="B3493" s="177"/>
      <c r="C3493" s="43" t="s">
        <v>11055</v>
      </c>
      <c r="D3493" s="43" t="s">
        <v>162</v>
      </c>
      <c r="E3493" s="44">
        <v>1.05</v>
      </c>
      <c r="F3493" s="70">
        <v>10.734999999999999</v>
      </c>
      <c r="G3493" s="70">
        <f>IF(ISNUMBER(F3493),E3493*F3493,"")</f>
        <v>11.271749999999999</v>
      </c>
      <c r="H3493" s="46">
        <f>SUM(G3493:G3496)</f>
        <v>72.731597882812494</v>
      </c>
      <c r="I3493" s="47"/>
      <c r="J3493" s="37">
        <v>0</v>
      </c>
    </row>
    <row r="3494" spans="1:10" ht="25.5" hidden="1" x14ac:dyDescent="0.25">
      <c r="A3494" s="174"/>
      <c r="B3494" s="177"/>
      <c r="C3494" s="43" t="s">
        <v>10700</v>
      </c>
      <c r="D3494" s="43" t="s">
        <v>2880</v>
      </c>
      <c r="E3494" s="44">
        <v>3.5000000000000003E-2</v>
      </c>
      <c r="F3494" s="70">
        <v>973.42520093750011</v>
      </c>
      <c r="G3494" s="70">
        <f>IF(ISNUMBER(F3494),E3494*F3494,"")</f>
        <v>34.069882032812508</v>
      </c>
      <c r="H3494" s="71"/>
      <c r="I3494" s="72"/>
      <c r="J3494" s="37">
        <v>0</v>
      </c>
    </row>
    <row r="3495" spans="1:10" hidden="1" x14ac:dyDescent="0.25">
      <c r="A3495" s="174"/>
      <c r="B3495" s="177"/>
      <c r="C3495" s="43" t="s">
        <v>10757</v>
      </c>
      <c r="D3495" s="43" t="s">
        <v>2800</v>
      </c>
      <c r="E3495" s="44">
        <v>0.75249999999999995</v>
      </c>
      <c r="F3495" s="70">
        <v>31.055499999999995</v>
      </c>
      <c r="G3495" s="70">
        <f>IF(ISNUMBER(F3495),E3495*F3495,"")</f>
        <v>23.369263749999995</v>
      </c>
      <c r="H3495" s="71"/>
      <c r="I3495" s="72"/>
      <c r="J3495" s="37">
        <v>0</v>
      </c>
    </row>
    <row r="3496" spans="1:10" hidden="1" x14ac:dyDescent="0.25">
      <c r="A3496" s="174"/>
      <c r="B3496" s="177"/>
      <c r="C3496" s="43" t="s">
        <v>10614</v>
      </c>
      <c r="D3496" s="43" t="s">
        <v>2800</v>
      </c>
      <c r="E3496" s="44">
        <v>0.16969999999999999</v>
      </c>
      <c r="F3496" s="70">
        <v>23.693000000000001</v>
      </c>
      <c r="G3496" s="70">
        <f>IF(ISNUMBER(F3496),E3496*F3496,"")</f>
        <v>4.0207021000000003</v>
      </c>
      <c r="H3496" s="71"/>
      <c r="I3496" s="72"/>
      <c r="J3496" s="37">
        <v>0</v>
      </c>
    </row>
    <row r="3497" spans="1:10" ht="15.75" hidden="1" thickBot="1" x14ac:dyDescent="0.3">
      <c r="A3497" s="175"/>
      <c r="B3497" s="178"/>
      <c r="C3497" s="49"/>
      <c r="D3497" s="49"/>
      <c r="E3497" s="50"/>
      <c r="F3497" s="83" t="s">
        <v>13</v>
      </c>
      <c r="G3497" s="83" t="str">
        <f>IF(ISNUMBER(F3497),E3497*F3497,"")</f>
        <v/>
      </c>
      <c r="H3497" s="84"/>
      <c r="I3497" s="72"/>
      <c r="J3497" s="37">
        <v>0</v>
      </c>
    </row>
    <row r="3498" spans="1:10" ht="15.75" hidden="1" thickBot="1" x14ac:dyDescent="0.3">
      <c r="A3498" s="173" t="s">
        <v>873</v>
      </c>
      <c r="B3498" s="176" t="s">
        <v>4349</v>
      </c>
      <c r="C3498" s="31"/>
      <c r="D3498" s="32" t="s">
        <v>68</v>
      </c>
      <c r="E3498" s="33"/>
      <c r="F3498" s="60" t="s">
        <v>13</v>
      </c>
      <c r="G3498" s="34" t="str">
        <f>IF(ISNUMBER(F3498),E3498*F3498,"")</f>
        <v/>
      </c>
      <c r="H3498" s="35"/>
      <c r="I3498" s="36"/>
      <c r="J3498" s="37">
        <v>0</v>
      </c>
    </row>
    <row r="3499" spans="1:10" hidden="1" x14ac:dyDescent="0.25">
      <c r="A3499" s="174"/>
      <c r="B3499" s="177"/>
      <c r="C3499" s="39"/>
      <c r="D3499" s="39"/>
      <c r="E3499" s="40"/>
      <c r="F3499" s="70" t="s">
        <v>13</v>
      </c>
      <c r="G3499" s="70" t="str">
        <f>IF(ISNUMBER(F3499),E3499*F3499,"")</f>
        <v/>
      </c>
      <c r="H3499" s="71"/>
      <c r="I3499" s="72"/>
      <c r="J3499" s="37">
        <v>0</v>
      </c>
    </row>
    <row r="3500" spans="1:10" hidden="1" x14ac:dyDescent="0.25">
      <c r="A3500" s="174"/>
      <c r="B3500" s="177"/>
      <c r="C3500" s="43" t="s">
        <v>10830</v>
      </c>
      <c r="D3500" s="43" t="s">
        <v>2800</v>
      </c>
      <c r="E3500" s="44">
        <v>0.4</v>
      </c>
      <c r="F3500" s="70">
        <v>30.912999999999997</v>
      </c>
      <c r="G3500" s="70">
        <f>IF(ISNUMBER(F3500),E3500*F3500,"")</f>
        <v>12.3652</v>
      </c>
      <c r="H3500" s="46">
        <f>SUM(G3500:G3501)</f>
        <v>21.842400000000001</v>
      </c>
      <c r="I3500" s="47"/>
      <c r="J3500" s="37">
        <v>0</v>
      </c>
    </row>
    <row r="3501" spans="1:10" hidden="1" x14ac:dyDescent="0.25">
      <c r="A3501" s="174"/>
      <c r="B3501" s="177"/>
      <c r="C3501" s="43" t="s">
        <v>10614</v>
      </c>
      <c r="D3501" s="43" t="s">
        <v>2800</v>
      </c>
      <c r="E3501" s="44">
        <v>0.4</v>
      </c>
      <c r="F3501" s="70">
        <v>23.693000000000001</v>
      </c>
      <c r="G3501" s="70">
        <f>IF(ISNUMBER(F3501),E3501*F3501,"")</f>
        <v>9.4772000000000016</v>
      </c>
      <c r="H3501" s="71"/>
      <c r="I3501" s="72"/>
      <c r="J3501" s="37">
        <v>0</v>
      </c>
    </row>
    <row r="3502" spans="1:10" ht="15.75" hidden="1" thickBot="1" x14ac:dyDescent="0.3">
      <c r="A3502" s="175"/>
      <c r="B3502" s="178"/>
      <c r="C3502" s="49"/>
      <c r="D3502" s="49"/>
      <c r="E3502" s="50"/>
      <c r="F3502" s="83" t="s">
        <v>13</v>
      </c>
      <c r="G3502" s="83" t="str">
        <f>IF(ISNUMBER(F3502),E3502*F3502,"")</f>
        <v/>
      </c>
      <c r="H3502" s="84"/>
      <c r="I3502" s="72"/>
      <c r="J3502" s="37">
        <v>0</v>
      </c>
    </row>
    <row r="3503" spans="1:10" ht="15.75" hidden="1" thickBot="1" x14ac:dyDescent="0.3">
      <c r="A3503" s="173" t="s">
        <v>874</v>
      </c>
      <c r="B3503" s="176" t="s">
        <v>4350</v>
      </c>
      <c r="C3503" s="31"/>
      <c r="D3503" s="32" t="s">
        <v>68</v>
      </c>
      <c r="E3503" s="33"/>
      <c r="F3503" s="60" t="s">
        <v>13</v>
      </c>
      <c r="G3503" s="34" t="str">
        <f>IF(ISNUMBER(F3503),E3503*F3503,"")</f>
        <v/>
      </c>
      <c r="H3503" s="35"/>
      <c r="I3503" s="36"/>
      <c r="J3503" s="37">
        <v>0</v>
      </c>
    </row>
    <row r="3504" spans="1:10" hidden="1" x14ac:dyDescent="0.25">
      <c r="A3504" s="174"/>
      <c r="B3504" s="177"/>
      <c r="C3504" s="39"/>
      <c r="D3504" s="39"/>
      <c r="E3504" s="40"/>
      <c r="F3504" s="70" t="s">
        <v>13</v>
      </c>
      <c r="G3504" s="70" t="str">
        <f>IF(ISNUMBER(F3504),E3504*F3504,"")</f>
        <v/>
      </c>
      <c r="H3504" s="71"/>
      <c r="I3504" s="72"/>
      <c r="J3504" s="37">
        <v>0</v>
      </c>
    </row>
    <row r="3505" spans="1:10" hidden="1" x14ac:dyDescent="0.25">
      <c r="A3505" s="174"/>
      <c r="B3505" s="177"/>
      <c r="C3505" s="43" t="s">
        <v>10830</v>
      </c>
      <c r="D3505" s="43" t="s">
        <v>2800</v>
      </c>
      <c r="E3505" s="44">
        <v>1.2</v>
      </c>
      <c r="F3505" s="70">
        <v>30.912999999999997</v>
      </c>
      <c r="G3505" s="70">
        <f>IF(ISNUMBER(F3505),E3505*F3505,"")</f>
        <v>37.095599999999997</v>
      </c>
      <c r="H3505" s="46">
        <f>SUM(G3505:G3506)</f>
        <v>65.527199999999993</v>
      </c>
      <c r="I3505" s="47"/>
      <c r="J3505" s="37">
        <v>0</v>
      </c>
    </row>
    <row r="3506" spans="1:10" hidden="1" x14ac:dyDescent="0.25">
      <c r="A3506" s="174"/>
      <c r="B3506" s="177"/>
      <c r="C3506" s="43" t="s">
        <v>10614</v>
      </c>
      <c r="D3506" s="43" t="s">
        <v>2800</v>
      </c>
      <c r="E3506" s="44">
        <v>1.2</v>
      </c>
      <c r="F3506" s="70">
        <v>23.693000000000001</v>
      </c>
      <c r="G3506" s="70">
        <f>IF(ISNUMBER(F3506),E3506*F3506,"")</f>
        <v>28.4316</v>
      </c>
      <c r="H3506" s="71"/>
      <c r="I3506" s="72"/>
      <c r="J3506" s="37">
        <v>0</v>
      </c>
    </row>
    <row r="3507" spans="1:10" ht="15.75" hidden="1" thickBot="1" x14ac:dyDescent="0.3">
      <c r="A3507" s="175"/>
      <c r="B3507" s="178"/>
      <c r="C3507" s="49"/>
      <c r="D3507" s="49"/>
      <c r="E3507" s="50"/>
      <c r="F3507" s="83" t="s">
        <v>13</v>
      </c>
      <c r="G3507" s="83" t="str">
        <f>IF(ISNUMBER(F3507),E3507*F3507,"")</f>
        <v/>
      </c>
      <c r="H3507" s="84"/>
      <c r="I3507" s="72"/>
      <c r="J3507" s="37">
        <v>0</v>
      </c>
    </row>
    <row r="3508" spans="1:10" ht="15.75" hidden="1" thickBot="1" x14ac:dyDescent="0.3">
      <c r="A3508" s="173" t="s">
        <v>875</v>
      </c>
      <c r="B3508" s="176" t="s">
        <v>4351</v>
      </c>
      <c r="C3508" s="31"/>
      <c r="D3508" s="32" t="s">
        <v>68</v>
      </c>
      <c r="E3508" s="33"/>
      <c r="F3508" s="60" t="s">
        <v>13</v>
      </c>
      <c r="G3508" s="34" t="str">
        <f>IF(ISNUMBER(F3508),E3508*F3508,"")</f>
        <v/>
      </c>
      <c r="H3508" s="35"/>
      <c r="I3508" s="36"/>
      <c r="J3508" s="37">
        <v>0</v>
      </c>
    </row>
    <row r="3509" spans="1:10" hidden="1" x14ac:dyDescent="0.25">
      <c r="A3509" s="174"/>
      <c r="B3509" s="177"/>
      <c r="C3509" s="39"/>
      <c r="D3509" s="39"/>
      <c r="E3509" s="40"/>
      <c r="F3509" s="70" t="s">
        <v>13</v>
      </c>
      <c r="G3509" s="70" t="str">
        <f>IF(ISNUMBER(F3509),E3509*F3509,"")</f>
        <v/>
      </c>
      <c r="H3509" s="71"/>
      <c r="I3509" s="72"/>
      <c r="J3509" s="37">
        <v>0</v>
      </c>
    </row>
    <row r="3510" spans="1:10" hidden="1" x14ac:dyDescent="0.25">
      <c r="A3510" s="174"/>
      <c r="B3510" s="177"/>
      <c r="C3510" s="43" t="s">
        <v>11056</v>
      </c>
      <c r="D3510" s="43" t="s">
        <v>162</v>
      </c>
      <c r="E3510" s="44">
        <v>1.05</v>
      </c>
      <c r="F3510" s="70">
        <v>5.1869999999999994</v>
      </c>
      <c r="G3510" s="70">
        <f>IF(ISNUMBER(F3510),E3510*F3510,"")</f>
        <v>5.4463499999999998</v>
      </c>
      <c r="H3510" s="46">
        <f>SUM(G3510:G3511)</f>
        <v>10.184950000000001</v>
      </c>
      <c r="I3510" s="47"/>
      <c r="J3510" s="37">
        <v>0</v>
      </c>
    </row>
    <row r="3511" spans="1:10" hidden="1" x14ac:dyDescent="0.25">
      <c r="A3511" s="174"/>
      <c r="B3511" s="177"/>
      <c r="C3511" s="43" t="s">
        <v>10614</v>
      </c>
      <c r="D3511" s="43" t="s">
        <v>2800</v>
      </c>
      <c r="E3511" s="44">
        <v>0.2</v>
      </c>
      <c r="F3511" s="70">
        <v>23.693000000000001</v>
      </c>
      <c r="G3511" s="70">
        <f>IF(ISNUMBER(F3511),E3511*F3511,"")</f>
        <v>4.7386000000000008</v>
      </c>
      <c r="H3511" s="71"/>
      <c r="I3511" s="72"/>
      <c r="J3511" s="37">
        <v>0</v>
      </c>
    </row>
    <row r="3512" spans="1:10" ht="15.75" hidden="1" thickBot="1" x14ac:dyDescent="0.3">
      <c r="A3512" s="175"/>
      <c r="B3512" s="178"/>
      <c r="C3512" s="49"/>
      <c r="D3512" s="49"/>
      <c r="E3512" s="50"/>
      <c r="F3512" s="83" t="s">
        <v>13</v>
      </c>
      <c r="G3512" s="83" t="str">
        <f>IF(ISNUMBER(F3512),E3512*F3512,"")</f>
        <v/>
      </c>
      <c r="H3512" s="84"/>
      <c r="I3512" s="72"/>
      <c r="J3512" s="37">
        <v>0</v>
      </c>
    </row>
    <row r="3513" spans="1:10" ht="15.75" hidden="1" thickBot="1" x14ac:dyDescent="0.3">
      <c r="A3513" s="173" t="s">
        <v>876</v>
      </c>
      <c r="B3513" s="176" t="s">
        <v>4352</v>
      </c>
      <c r="C3513" s="31"/>
      <c r="D3513" s="32" t="s">
        <v>68</v>
      </c>
      <c r="E3513" s="33"/>
      <c r="F3513" s="60" t="s">
        <v>13</v>
      </c>
      <c r="G3513" s="34" t="str">
        <f>IF(ISNUMBER(F3513),E3513*F3513,"")</f>
        <v/>
      </c>
      <c r="H3513" s="35"/>
      <c r="I3513" s="36"/>
      <c r="J3513" s="37">
        <v>0</v>
      </c>
    </row>
    <row r="3514" spans="1:10" hidden="1" x14ac:dyDescent="0.25">
      <c r="A3514" s="174"/>
      <c r="B3514" s="177"/>
      <c r="C3514" s="39"/>
      <c r="D3514" s="39"/>
      <c r="E3514" s="40"/>
      <c r="F3514" s="70" t="s">
        <v>13</v>
      </c>
      <c r="G3514" s="70" t="str">
        <f>IF(ISNUMBER(F3514),E3514*F3514,"")</f>
        <v/>
      </c>
      <c r="H3514" s="71"/>
      <c r="I3514" s="72"/>
      <c r="J3514" s="37">
        <v>0</v>
      </c>
    </row>
    <row r="3515" spans="1:10" hidden="1" x14ac:dyDescent="0.25">
      <c r="A3515" s="174"/>
      <c r="B3515" s="177"/>
      <c r="C3515" s="43" t="s">
        <v>10614</v>
      </c>
      <c r="D3515" s="43" t="s">
        <v>2800</v>
      </c>
      <c r="E3515" s="44">
        <v>0.3</v>
      </c>
      <c r="F3515" s="70">
        <v>23.693000000000001</v>
      </c>
      <c r="G3515" s="70">
        <f>IF(ISNUMBER(F3515),E3515*F3515,"")</f>
        <v>7.1078999999999999</v>
      </c>
      <c r="H3515" s="46">
        <f>SUM(G3515)</f>
        <v>7.1078999999999999</v>
      </c>
      <c r="I3515" s="47"/>
      <c r="J3515" s="37">
        <v>0</v>
      </c>
    </row>
    <row r="3516" spans="1:10" ht="15.75" hidden="1" thickBot="1" x14ac:dyDescent="0.3">
      <c r="A3516" s="175"/>
      <c r="B3516" s="178"/>
      <c r="C3516" s="49"/>
      <c r="D3516" s="49"/>
      <c r="E3516" s="50"/>
      <c r="F3516" s="83" t="s">
        <v>13</v>
      </c>
      <c r="G3516" s="83" t="str">
        <f>IF(ISNUMBER(F3516),E3516*F3516,"")</f>
        <v/>
      </c>
      <c r="H3516" s="84"/>
      <c r="I3516" s="72"/>
      <c r="J3516" s="37">
        <v>0</v>
      </c>
    </row>
    <row r="3517" spans="1:10" ht="15.75" hidden="1" thickBot="1" x14ac:dyDescent="0.3">
      <c r="A3517" s="173" t="s">
        <v>877</v>
      </c>
      <c r="B3517" s="176" t="s">
        <v>4353</v>
      </c>
      <c r="C3517" s="31"/>
      <c r="D3517" s="32" t="s">
        <v>18</v>
      </c>
      <c r="E3517" s="33"/>
      <c r="F3517" s="60" t="s">
        <v>13</v>
      </c>
      <c r="G3517" s="34" t="str">
        <f>IF(ISNUMBER(F3517),E3517*F3517,"")</f>
        <v/>
      </c>
      <c r="H3517" s="35"/>
      <c r="I3517" s="36"/>
      <c r="J3517" s="37">
        <v>0</v>
      </c>
    </row>
    <row r="3518" spans="1:10" hidden="1" x14ac:dyDescent="0.25">
      <c r="A3518" s="174"/>
      <c r="B3518" s="177"/>
      <c r="C3518" s="39"/>
      <c r="D3518" s="39"/>
      <c r="E3518" s="40"/>
      <c r="F3518" s="70" t="s">
        <v>13</v>
      </c>
      <c r="G3518" s="70" t="str">
        <f>IF(ISNUMBER(F3518),E3518*F3518,"")</f>
        <v/>
      </c>
      <c r="H3518" s="71"/>
      <c r="I3518" s="72"/>
      <c r="J3518" s="37">
        <v>0</v>
      </c>
    </row>
    <row r="3519" spans="1:10" hidden="1" x14ac:dyDescent="0.25">
      <c r="A3519" s="174"/>
      <c r="B3519" s="177"/>
      <c r="C3519" s="43" t="s">
        <v>10614</v>
      </c>
      <c r="D3519" s="43" t="s">
        <v>2800</v>
      </c>
      <c r="E3519" s="44">
        <v>0.1</v>
      </c>
      <c r="F3519" s="70">
        <v>23.693000000000001</v>
      </c>
      <c r="G3519" s="70">
        <f>IF(ISNUMBER(F3519),E3519*F3519,"")</f>
        <v>2.3693000000000004</v>
      </c>
      <c r="H3519" s="46">
        <f>SUM(G3519)</f>
        <v>2.3693000000000004</v>
      </c>
      <c r="I3519" s="47"/>
      <c r="J3519" s="37">
        <v>0</v>
      </c>
    </row>
    <row r="3520" spans="1:10" ht="15.75" hidden="1" thickBot="1" x14ac:dyDescent="0.3">
      <c r="A3520" s="175"/>
      <c r="B3520" s="178"/>
      <c r="C3520" s="49"/>
      <c r="D3520" s="49"/>
      <c r="E3520" s="50"/>
      <c r="F3520" s="83" t="s">
        <v>13</v>
      </c>
      <c r="G3520" s="83" t="str">
        <f>IF(ISNUMBER(F3520),E3520*F3520,"")</f>
        <v/>
      </c>
      <c r="H3520" s="84"/>
      <c r="I3520" s="72"/>
      <c r="J3520" s="37">
        <v>0</v>
      </c>
    </row>
    <row r="3521" spans="1:10" ht="15.75" hidden="1" thickBot="1" x14ac:dyDescent="0.3">
      <c r="A3521" s="173" t="s">
        <v>878</v>
      </c>
      <c r="B3521" s="176" t="s">
        <v>4354</v>
      </c>
      <c r="C3521" s="31"/>
      <c r="D3521" s="32" t="s">
        <v>18</v>
      </c>
      <c r="E3521" s="33"/>
      <c r="F3521" s="60" t="s">
        <v>13</v>
      </c>
      <c r="G3521" s="34" t="str">
        <f>IF(ISNUMBER(F3521),E3521*F3521,"")</f>
        <v/>
      </c>
      <c r="H3521" s="35"/>
      <c r="I3521" s="36"/>
      <c r="J3521" s="37">
        <v>0</v>
      </c>
    </row>
    <row r="3522" spans="1:10" hidden="1" x14ac:dyDescent="0.25">
      <c r="A3522" s="174"/>
      <c r="B3522" s="177"/>
      <c r="C3522" s="39"/>
      <c r="D3522" s="39"/>
      <c r="E3522" s="40"/>
      <c r="F3522" s="70" t="s">
        <v>13</v>
      </c>
      <c r="G3522" s="70" t="str">
        <f>IF(ISNUMBER(F3522),E3522*F3522,"")</f>
        <v/>
      </c>
      <c r="H3522" s="71"/>
      <c r="I3522" s="72"/>
      <c r="J3522" s="37">
        <v>0</v>
      </c>
    </row>
    <row r="3523" spans="1:10" hidden="1" x14ac:dyDescent="0.25">
      <c r="A3523" s="174"/>
      <c r="B3523" s="177"/>
      <c r="C3523" s="43" t="s">
        <v>10757</v>
      </c>
      <c r="D3523" s="43" t="s">
        <v>2800</v>
      </c>
      <c r="E3523" s="44">
        <f>0.1+0.1</f>
        <v>0.2</v>
      </c>
      <c r="F3523" s="70">
        <v>31.055499999999995</v>
      </c>
      <c r="G3523" s="70">
        <f>IF(ISNUMBER(F3523),E3523*F3523,"")</f>
        <v>6.2110999999999992</v>
      </c>
      <c r="H3523" s="46">
        <f>SUM(G3523:G3527)</f>
        <v>11.260342539851401</v>
      </c>
      <c r="I3523" s="47"/>
      <c r="J3523" s="37">
        <v>0</v>
      </c>
    </row>
    <row r="3524" spans="1:10" hidden="1" x14ac:dyDescent="0.25">
      <c r="A3524" s="174"/>
      <c r="B3524" s="177"/>
      <c r="C3524" s="43" t="s">
        <v>10614</v>
      </c>
      <c r="D3524" s="43" t="s">
        <v>2800</v>
      </c>
      <c r="E3524" s="44">
        <f>0.1+0.1</f>
        <v>0.2</v>
      </c>
      <c r="F3524" s="70">
        <v>23.693000000000001</v>
      </c>
      <c r="G3524" s="70">
        <f>IF(ISNUMBER(F3524),E3524*F3524,"")</f>
        <v>4.7386000000000008</v>
      </c>
      <c r="H3524" s="71"/>
      <c r="I3524" s="72"/>
      <c r="J3524" s="37">
        <v>0</v>
      </c>
    </row>
    <row r="3525" spans="1:10" hidden="1" x14ac:dyDescent="0.25">
      <c r="A3525" s="174"/>
      <c r="B3525" s="177"/>
      <c r="C3525" s="43" t="s">
        <v>879</v>
      </c>
      <c r="D3525" s="43" t="s">
        <v>87</v>
      </c>
      <c r="E3525" s="44">
        <f>0.016*2</f>
        <v>3.2000000000000001E-2</v>
      </c>
      <c r="F3525" s="70" t="s">
        <v>13</v>
      </c>
      <c r="G3525" s="70" t="str">
        <f>IF(ISNUMBER(F3525),E3525*F3525,"")</f>
        <v/>
      </c>
      <c r="H3525" s="71"/>
      <c r="I3525" s="72"/>
      <c r="J3525" s="37">
        <v>0</v>
      </c>
    </row>
    <row r="3526" spans="1:10" hidden="1" x14ac:dyDescent="0.25">
      <c r="A3526" s="174"/>
      <c r="B3526" s="177"/>
      <c r="C3526" s="43" t="s">
        <v>880</v>
      </c>
      <c r="D3526" s="43" t="s">
        <v>881</v>
      </c>
      <c r="E3526" s="44">
        <f>0.1*2</f>
        <v>0.2</v>
      </c>
      <c r="F3526" s="70" t="s">
        <v>13</v>
      </c>
      <c r="G3526" s="70" t="str">
        <f>IF(ISNUMBER(F3526),E3526*F3526,"")</f>
        <v/>
      </c>
      <c r="H3526" s="71"/>
      <c r="I3526" s="72"/>
      <c r="J3526" s="37">
        <v>0</v>
      </c>
    </row>
    <row r="3527" spans="1:10" ht="38.25" hidden="1" x14ac:dyDescent="0.25">
      <c r="A3527" s="174"/>
      <c r="B3527" s="177"/>
      <c r="C3527" s="43" t="s">
        <v>10699</v>
      </c>
      <c r="D3527" s="43" t="s">
        <v>2880</v>
      </c>
      <c r="E3527" s="44">
        <f>ROUND(0.15*0.05*0.05,4)</f>
        <v>4.0000000000000002E-4</v>
      </c>
      <c r="F3527" s="70">
        <v>776.60634962849986</v>
      </c>
      <c r="G3527" s="70">
        <f>IF(ISNUMBER(F3527),E3527*F3527,"")</f>
        <v>0.31064253985139995</v>
      </c>
      <c r="H3527" s="71"/>
      <c r="I3527" s="72"/>
      <c r="J3527" s="37">
        <v>0</v>
      </c>
    </row>
    <row r="3528" spans="1:10" hidden="1" x14ac:dyDescent="0.25">
      <c r="A3528" s="174"/>
      <c r="B3528" s="177"/>
      <c r="C3528" s="43"/>
      <c r="D3528" s="43"/>
      <c r="E3528" s="44"/>
      <c r="F3528" s="70" t="s">
        <v>13</v>
      </c>
      <c r="G3528" s="70" t="str">
        <f>IF(ISNUMBER(F3528),E3528*F3528,"")</f>
        <v/>
      </c>
      <c r="H3528" s="71"/>
      <c r="I3528" s="72"/>
      <c r="J3528" s="37">
        <v>0</v>
      </c>
    </row>
    <row r="3529" spans="1:10" hidden="1" x14ac:dyDescent="0.25">
      <c r="A3529" s="174"/>
      <c r="B3529" s="177"/>
      <c r="C3529" s="90" t="s">
        <v>882</v>
      </c>
      <c r="D3529" s="43"/>
      <c r="E3529" s="44"/>
      <c r="F3529" s="70" t="s">
        <v>13</v>
      </c>
      <c r="G3529" s="70" t="str">
        <f>IF(ISNUMBER(F3529),E3529*F3529,"")</f>
        <v/>
      </c>
      <c r="H3529" s="71"/>
      <c r="I3529" s="72"/>
      <c r="J3529" s="37">
        <v>0</v>
      </c>
    </row>
    <row r="3530" spans="1:10" ht="15.75" hidden="1" thickBot="1" x14ac:dyDescent="0.3">
      <c r="A3530" s="175"/>
      <c r="B3530" s="178"/>
      <c r="C3530" s="49"/>
      <c r="D3530" s="49"/>
      <c r="E3530" s="50"/>
      <c r="F3530" s="83" t="s">
        <v>13</v>
      </c>
      <c r="G3530" s="83" t="str">
        <f>IF(ISNUMBER(F3530),E3530*F3530,"")</f>
        <v/>
      </c>
      <c r="H3530" s="84"/>
      <c r="I3530" s="72"/>
      <c r="J3530" s="37">
        <v>0</v>
      </c>
    </row>
    <row r="3531" spans="1:10" ht="15.75" hidden="1" thickBot="1" x14ac:dyDescent="0.3">
      <c r="A3531" s="173" t="s">
        <v>883</v>
      </c>
      <c r="B3531" s="176" t="s">
        <v>4355</v>
      </c>
      <c r="C3531" s="31"/>
      <c r="D3531" s="32" t="s">
        <v>18</v>
      </c>
      <c r="E3531" s="33"/>
      <c r="F3531" s="60" t="s">
        <v>13</v>
      </c>
      <c r="G3531" s="34" t="str">
        <f>IF(ISNUMBER(F3531),E3531*F3531,"")</f>
        <v/>
      </c>
      <c r="H3531" s="35"/>
      <c r="I3531" s="36"/>
      <c r="J3531" s="37">
        <v>0</v>
      </c>
    </row>
    <row r="3532" spans="1:10" hidden="1" x14ac:dyDescent="0.25">
      <c r="A3532" s="174"/>
      <c r="B3532" s="177"/>
      <c r="C3532" s="39"/>
      <c r="D3532" s="39"/>
      <c r="E3532" s="40"/>
      <c r="F3532" s="70" t="s">
        <v>13</v>
      </c>
      <c r="G3532" s="70" t="str">
        <f>IF(ISNUMBER(F3532),E3532*F3532,"")</f>
        <v/>
      </c>
      <c r="H3532" s="71"/>
      <c r="I3532" s="72"/>
      <c r="J3532" s="37">
        <v>0</v>
      </c>
    </row>
    <row r="3533" spans="1:10" hidden="1" x14ac:dyDescent="0.25">
      <c r="A3533" s="174"/>
      <c r="B3533" s="177"/>
      <c r="C3533" s="43" t="s">
        <v>10757</v>
      </c>
      <c r="D3533" s="43" t="s">
        <v>2800</v>
      </c>
      <c r="E3533" s="44">
        <f>0.1+0.1</f>
        <v>0.2</v>
      </c>
      <c r="F3533" s="70">
        <v>31.055499999999995</v>
      </c>
      <c r="G3533" s="70">
        <f>IF(ISNUMBER(F3533),E3533*F3533,"")</f>
        <v>6.2110999999999992</v>
      </c>
      <c r="H3533" s="46">
        <f>SUM(G3533:G3538)</f>
        <v>11.260342539851401</v>
      </c>
      <c r="I3533" s="47"/>
      <c r="J3533" s="37">
        <v>0</v>
      </c>
    </row>
    <row r="3534" spans="1:10" hidden="1" x14ac:dyDescent="0.25">
      <c r="A3534" s="174"/>
      <c r="B3534" s="177"/>
      <c r="C3534" s="43" t="s">
        <v>10614</v>
      </c>
      <c r="D3534" s="43" t="s">
        <v>2800</v>
      </c>
      <c r="E3534" s="44">
        <f>0.1+0.1</f>
        <v>0.2</v>
      </c>
      <c r="F3534" s="70">
        <v>23.693000000000001</v>
      </c>
      <c r="G3534" s="70">
        <f>IF(ISNUMBER(F3534),E3534*F3534,"")</f>
        <v>4.7386000000000008</v>
      </c>
      <c r="H3534" s="71"/>
      <c r="I3534" s="72"/>
      <c r="J3534" s="37">
        <v>0</v>
      </c>
    </row>
    <row r="3535" spans="1:10" hidden="1" x14ac:dyDescent="0.25">
      <c r="A3535" s="174"/>
      <c r="B3535" s="177"/>
      <c r="C3535" s="43" t="s">
        <v>879</v>
      </c>
      <c r="D3535" s="43" t="s">
        <v>87</v>
      </c>
      <c r="E3535" s="44">
        <f>0.016*2</f>
        <v>3.2000000000000001E-2</v>
      </c>
      <c r="F3535" s="70" t="s">
        <v>13</v>
      </c>
      <c r="G3535" s="70" t="str">
        <f>IF(ISNUMBER(F3535),E3535*F3535,"")</f>
        <v/>
      </c>
      <c r="H3535" s="71"/>
      <c r="I3535" s="72"/>
      <c r="J3535" s="37">
        <v>0</v>
      </c>
    </row>
    <row r="3536" spans="1:10" hidden="1" x14ac:dyDescent="0.25">
      <c r="A3536" s="174"/>
      <c r="B3536" s="177"/>
      <c r="C3536" s="43" t="s">
        <v>880</v>
      </c>
      <c r="D3536" s="43" t="s">
        <v>881</v>
      </c>
      <c r="E3536" s="44">
        <f>0.1*2</f>
        <v>0.2</v>
      </c>
      <c r="F3536" s="70" t="s">
        <v>13</v>
      </c>
      <c r="G3536" s="70" t="str">
        <f>IF(ISNUMBER(F3536),E3536*F3536,"")</f>
        <v/>
      </c>
      <c r="H3536" s="71"/>
      <c r="I3536" s="72"/>
      <c r="J3536" s="37">
        <v>0</v>
      </c>
    </row>
    <row r="3537" spans="1:10" hidden="1" x14ac:dyDescent="0.25">
      <c r="A3537" s="174"/>
      <c r="B3537" s="177"/>
      <c r="C3537" s="43" t="s">
        <v>884</v>
      </c>
      <c r="D3537" s="43" t="s">
        <v>87</v>
      </c>
      <c r="E3537" s="44">
        <v>1</v>
      </c>
      <c r="F3537" s="70" t="s">
        <v>13</v>
      </c>
      <c r="G3537" s="70" t="str">
        <f>IF(ISNUMBER(F3537),E3537*F3537,"")</f>
        <v/>
      </c>
      <c r="H3537" s="71"/>
      <c r="I3537" s="72"/>
      <c r="J3537" s="37">
        <v>0</v>
      </c>
    </row>
    <row r="3538" spans="1:10" ht="38.25" hidden="1" x14ac:dyDescent="0.25">
      <c r="A3538" s="174"/>
      <c r="B3538" s="177"/>
      <c r="C3538" s="43" t="s">
        <v>10699</v>
      </c>
      <c r="D3538" s="43" t="s">
        <v>2880</v>
      </c>
      <c r="E3538" s="44">
        <f>ROUND(0.15*0.05*0.05,4)</f>
        <v>4.0000000000000002E-4</v>
      </c>
      <c r="F3538" s="70">
        <v>776.60634962849986</v>
      </c>
      <c r="G3538" s="70">
        <f>IF(ISNUMBER(F3538),E3538*F3538,"")</f>
        <v>0.31064253985139995</v>
      </c>
      <c r="H3538" s="71"/>
      <c r="I3538" s="72"/>
      <c r="J3538" s="37">
        <v>0</v>
      </c>
    </row>
    <row r="3539" spans="1:10" hidden="1" x14ac:dyDescent="0.25">
      <c r="A3539" s="174"/>
      <c r="B3539" s="177"/>
      <c r="C3539" s="43"/>
      <c r="D3539" s="43"/>
      <c r="E3539" s="44"/>
      <c r="F3539" s="70" t="s">
        <v>13</v>
      </c>
      <c r="G3539" s="70" t="str">
        <f>IF(ISNUMBER(F3539),E3539*F3539,"")</f>
        <v/>
      </c>
      <c r="H3539" s="71"/>
      <c r="I3539" s="72"/>
      <c r="J3539" s="37">
        <v>0</v>
      </c>
    </row>
    <row r="3540" spans="1:10" hidden="1" x14ac:dyDescent="0.25">
      <c r="A3540" s="174"/>
      <c r="B3540" s="177"/>
      <c r="C3540" s="90" t="s">
        <v>882</v>
      </c>
      <c r="D3540" s="43"/>
      <c r="E3540" s="44"/>
      <c r="F3540" s="70" t="s">
        <v>13</v>
      </c>
      <c r="G3540" s="70" t="str">
        <f>IF(ISNUMBER(F3540),E3540*F3540,"")</f>
        <v/>
      </c>
      <c r="H3540" s="71"/>
      <c r="I3540" s="72"/>
      <c r="J3540" s="37">
        <v>0</v>
      </c>
    </row>
    <row r="3541" spans="1:10" ht="15.75" hidden="1" thickBot="1" x14ac:dyDescent="0.3">
      <c r="A3541" s="175"/>
      <c r="B3541" s="178"/>
      <c r="C3541" s="43"/>
      <c r="D3541" s="43"/>
      <c r="E3541" s="44"/>
      <c r="F3541" s="70" t="s">
        <v>13</v>
      </c>
      <c r="G3541" s="70" t="str">
        <f>IF(ISNUMBER(F3541),E3541*F3541,"")</f>
        <v/>
      </c>
      <c r="H3541" s="71"/>
      <c r="I3541" s="72"/>
      <c r="J3541" s="37">
        <v>0</v>
      </c>
    </row>
    <row r="3542" spans="1:10" ht="15.75" hidden="1" thickBot="1" x14ac:dyDescent="0.3">
      <c r="A3542" s="173" t="s">
        <v>885</v>
      </c>
      <c r="B3542" s="176" t="s">
        <v>4356</v>
      </c>
      <c r="C3542" s="31"/>
      <c r="D3542" s="32" t="s">
        <v>18</v>
      </c>
      <c r="E3542" s="33"/>
      <c r="F3542" s="60" t="s">
        <v>13</v>
      </c>
      <c r="G3542" s="34" t="str">
        <f>IF(ISNUMBER(F3542),E3542*F3542,"")</f>
        <v/>
      </c>
      <c r="H3542" s="35"/>
      <c r="I3542" s="36"/>
      <c r="J3542" s="37">
        <v>0</v>
      </c>
    </row>
    <row r="3543" spans="1:10" hidden="1" x14ac:dyDescent="0.25">
      <c r="A3543" s="174"/>
      <c r="B3543" s="177"/>
      <c r="C3543" s="39"/>
      <c r="D3543" s="39"/>
      <c r="E3543" s="40"/>
      <c r="F3543" s="70" t="s">
        <v>13</v>
      </c>
      <c r="G3543" s="70" t="str">
        <f>IF(ISNUMBER(F3543),E3543*F3543,"")</f>
        <v/>
      </c>
      <c r="H3543" s="71"/>
      <c r="I3543" s="72"/>
      <c r="J3543" s="37">
        <v>0</v>
      </c>
    </row>
    <row r="3544" spans="1:10" hidden="1" x14ac:dyDescent="0.25">
      <c r="A3544" s="174"/>
      <c r="B3544" s="177"/>
      <c r="C3544" s="43" t="s">
        <v>10757</v>
      </c>
      <c r="D3544" s="43" t="s">
        <v>2800</v>
      </c>
      <c r="E3544" s="44">
        <f>0.1+0.1</f>
        <v>0.2</v>
      </c>
      <c r="F3544" s="70">
        <v>31.055499999999995</v>
      </c>
      <c r="G3544" s="70">
        <f>IF(ISNUMBER(F3544),E3544*F3544,"")</f>
        <v>6.2110999999999992</v>
      </c>
      <c r="H3544" s="46">
        <f>SUM(G3544:G3549)</f>
        <v>11.260342539851401</v>
      </c>
      <c r="I3544" s="47"/>
      <c r="J3544" s="37">
        <v>0</v>
      </c>
    </row>
    <row r="3545" spans="1:10" hidden="1" x14ac:dyDescent="0.25">
      <c r="A3545" s="174"/>
      <c r="B3545" s="177"/>
      <c r="C3545" s="43" t="s">
        <v>10614</v>
      </c>
      <c r="D3545" s="43" t="s">
        <v>2800</v>
      </c>
      <c r="E3545" s="44">
        <f>0.1+0.1</f>
        <v>0.2</v>
      </c>
      <c r="F3545" s="70">
        <v>23.693000000000001</v>
      </c>
      <c r="G3545" s="70">
        <f>IF(ISNUMBER(F3545),E3545*F3545,"")</f>
        <v>4.7386000000000008</v>
      </c>
      <c r="H3545" s="71"/>
      <c r="I3545" s="72"/>
      <c r="J3545" s="37">
        <v>0</v>
      </c>
    </row>
    <row r="3546" spans="1:10" hidden="1" x14ac:dyDescent="0.25">
      <c r="A3546" s="174"/>
      <c r="B3546" s="177"/>
      <c r="C3546" s="43" t="s">
        <v>879</v>
      </c>
      <c r="D3546" s="43" t="s">
        <v>87</v>
      </c>
      <c r="E3546" s="44">
        <f>0.016*2</f>
        <v>3.2000000000000001E-2</v>
      </c>
      <c r="F3546" s="70" t="s">
        <v>13</v>
      </c>
      <c r="G3546" s="70" t="str">
        <f>IF(ISNUMBER(F3546),E3546*F3546,"")</f>
        <v/>
      </c>
      <c r="H3546" s="71"/>
      <c r="I3546" s="72"/>
      <c r="J3546" s="37">
        <v>0</v>
      </c>
    </row>
    <row r="3547" spans="1:10" hidden="1" x14ac:dyDescent="0.25">
      <c r="A3547" s="174"/>
      <c r="B3547" s="177"/>
      <c r="C3547" s="43" t="s">
        <v>880</v>
      </c>
      <c r="D3547" s="43" t="s">
        <v>881</v>
      </c>
      <c r="E3547" s="44">
        <f>0.1*2</f>
        <v>0.2</v>
      </c>
      <c r="F3547" s="70" t="s">
        <v>13</v>
      </c>
      <c r="G3547" s="70" t="str">
        <f>IF(ISNUMBER(F3547),E3547*F3547,"")</f>
        <v/>
      </c>
      <c r="H3547" s="71"/>
      <c r="I3547" s="72"/>
      <c r="J3547" s="37">
        <v>0</v>
      </c>
    </row>
    <row r="3548" spans="1:10" hidden="1" x14ac:dyDescent="0.25">
      <c r="A3548" s="174"/>
      <c r="B3548" s="177"/>
      <c r="C3548" s="43" t="s">
        <v>886</v>
      </c>
      <c r="D3548" s="43" t="s">
        <v>87</v>
      </c>
      <c r="E3548" s="44">
        <v>1</v>
      </c>
      <c r="F3548" s="70" t="s">
        <v>13</v>
      </c>
      <c r="G3548" s="70" t="str">
        <f>IF(ISNUMBER(F3548),E3548*F3548,"")</f>
        <v/>
      </c>
      <c r="H3548" s="71"/>
      <c r="I3548" s="72"/>
      <c r="J3548" s="37">
        <v>0</v>
      </c>
    </row>
    <row r="3549" spans="1:10" ht="38.25" hidden="1" x14ac:dyDescent="0.25">
      <c r="A3549" s="174"/>
      <c r="B3549" s="177"/>
      <c r="C3549" s="43" t="s">
        <v>10699</v>
      </c>
      <c r="D3549" s="43" t="s">
        <v>2880</v>
      </c>
      <c r="E3549" s="44">
        <f>ROUND(0.15*0.05*0.05,4)</f>
        <v>4.0000000000000002E-4</v>
      </c>
      <c r="F3549" s="70">
        <v>776.60634962849986</v>
      </c>
      <c r="G3549" s="70">
        <f>IF(ISNUMBER(F3549),E3549*F3549,"")</f>
        <v>0.31064253985139995</v>
      </c>
      <c r="H3549" s="71"/>
      <c r="I3549" s="72"/>
      <c r="J3549" s="37">
        <v>0</v>
      </c>
    </row>
    <row r="3550" spans="1:10" hidden="1" x14ac:dyDescent="0.25">
      <c r="A3550" s="174"/>
      <c r="B3550" s="177"/>
      <c r="C3550" s="43"/>
      <c r="D3550" s="43"/>
      <c r="E3550" s="44"/>
      <c r="F3550" s="70" t="s">
        <v>13</v>
      </c>
      <c r="G3550" s="70" t="str">
        <f>IF(ISNUMBER(F3550),E3550*F3550,"")</f>
        <v/>
      </c>
      <c r="H3550" s="71"/>
      <c r="I3550" s="72"/>
      <c r="J3550" s="37">
        <v>0</v>
      </c>
    </row>
    <row r="3551" spans="1:10" hidden="1" x14ac:dyDescent="0.25">
      <c r="A3551" s="174"/>
      <c r="B3551" s="177"/>
      <c r="C3551" s="90" t="s">
        <v>882</v>
      </c>
      <c r="D3551" s="43"/>
      <c r="E3551" s="44"/>
      <c r="F3551" s="70" t="s">
        <v>13</v>
      </c>
      <c r="G3551" s="70" t="str">
        <f>IF(ISNUMBER(F3551),E3551*F3551,"")</f>
        <v/>
      </c>
      <c r="H3551" s="71"/>
      <c r="I3551" s="72"/>
      <c r="J3551" s="37">
        <v>0</v>
      </c>
    </row>
    <row r="3552" spans="1:10" ht="15.75" hidden="1" thickBot="1" x14ac:dyDescent="0.3">
      <c r="A3552" s="175"/>
      <c r="B3552" s="178"/>
      <c r="C3552" s="49"/>
      <c r="D3552" s="49"/>
      <c r="E3552" s="50"/>
      <c r="F3552" s="83" t="s">
        <v>13</v>
      </c>
      <c r="G3552" s="83" t="str">
        <f>IF(ISNUMBER(F3552),E3552*F3552,"")</f>
        <v/>
      </c>
      <c r="H3552" s="84"/>
      <c r="I3552" s="72"/>
      <c r="J3552" s="37">
        <v>0</v>
      </c>
    </row>
    <row r="3553" spans="1:10" ht="15.75" hidden="1" thickBot="1" x14ac:dyDescent="0.3">
      <c r="A3553" s="173" t="s">
        <v>887</v>
      </c>
      <c r="B3553" s="176" t="s">
        <v>4357</v>
      </c>
      <c r="C3553" s="31"/>
      <c r="D3553" s="32" t="s">
        <v>68</v>
      </c>
      <c r="E3553" s="33"/>
      <c r="F3553" s="60" t="s">
        <v>13</v>
      </c>
      <c r="G3553" s="34" t="str">
        <f>IF(ISNUMBER(F3553),E3553*F3553,"")</f>
        <v/>
      </c>
      <c r="H3553" s="35"/>
      <c r="I3553" s="36"/>
      <c r="J3553" s="37">
        <v>0</v>
      </c>
    </row>
    <row r="3554" spans="1:10" hidden="1" x14ac:dyDescent="0.25">
      <c r="A3554" s="174"/>
      <c r="B3554" s="177"/>
      <c r="C3554" s="39"/>
      <c r="D3554" s="39"/>
      <c r="E3554" s="40"/>
      <c r="F3554" s="70" t="s">
        <v>13</v>
      </c>
      <c r="G3554" s="70" t="str">
        <f>IF(ISNUMBER(F3554),E3554*F3554,"")</f>
        <v/>
      </c>
      <c r="H3554" s="71"/>
      <c r="I3554" s="72"/>
      <c r="J3554" s="37">
        <v>0</v>
      </c>
    </row>
    <row r="3555" spans="1:10" hidden="1" x14ac:dyDescent="0.25">
      <c r="A3555" s="174"/>
      <c r="B3555" s="177"/>
      <c r="C3555" s="43" t="s">
        <v>888</v>
      </c>
      <c r="D3555" s="43" t="s">
        <v>68</v>
      </c>
      <c r="E3555" s="44">
        <v>1.05</v>
      </c>
      <c r="F3555" s="70" t="s">
        <v>13</v>
      </c>
      <c r="G3555" s="70" t="str">
        <f>IF(ISNUMBER(F3555),E3555*F3555,"")</f>
        <v/>
      </c>
      <c r="H3555" s="46">
        <f>SUM(G3555:G3559)</f>
        <v>64.962900000000005</v>
      </c>
      <c r="I3555" s="47"/>
      <c r="J3555" s="37">
        <v>0</v>
      </c>
    </row>
    <row r="3556" spans="1:10" hidden="1" x14ac:dyDescent="0.25">
      <c r="A3556" s="174"/>
      <c r="B3556" s="177"/>
      <c r="C3556" s="43" t="s">
        <v>10830</v>
      </c>
      <c r="D3556" s="43" t="s">
        <v>2800</v>
      </c>
      <c r="E3556" s="44">
        <v>1.35</v>
      </c>
      <c r="F3556" s="70">
        <v>30.912999999999997</v>
      </c>
      <c r="G3556" s="70">
        <f>IF(ISNUMBER(F3556),E3556*F3556,"")</f>
        <v>41.732549999999996</v>
      </c>
      <c r="H3556" s="71"/>
      <c r="I3556" s="72"/>
      <c r="J3556" s="37">
        <v>0</v>
      </c>
    </row>
    <row r="3557" spans="1:10" hidden="1" x14ac:dyDescent="0.25">
      <c r="A3557" s="174"/>
      <c r="B3557" s="177"/>
      <c r="C3557" s="43" t="s">
        <v>10614</v>
      </c>
      <c r="D3557" s="43" t="s">
        <v>2800</v>
      </c>
      <c r="E3557" s="44">
        <v>0.6</v>
      </c>
      <c r="F3557" s="70">
        <v>23.693000000000001</v>
      </c>
      <c r="G3557" s="70">
        <f>IF(ISNUMBER(F3557),E3557*F3557,"")</f>
        <v>14.2158</v>
      </c>
      <c r="H3557" s="71"/>
      <c r="I3557" s="72"/>
      <c r="J3557" s="37">
        <v>0</v>
      </c>
    </row>
    <row r="3558" spans="1:10" hidden="1" x14ac:dyDescent="0.25">
      <c r="A3558" s="174"/>
      <c r="B3558" s="177"/>
      <c r="C3558" s="43" t="s">
        <v>10872</v>
      </c>
      <c r="D3558" s="43" t="s">
        <v>1044</v>
      </c>
      <c r="E3558" s="44">
        <v>4.5</v>
      </c>
      <c r="F3558" s="70">
        <v>1.7765</v>
      </c>
      <c r="G3558" s="70">
        <f>IF(ISNUMBER(F3558),E3558*F3558,"")</f>
        <v>7.9942500000000001</v>
      </c>
      <c r="H3558" s="71"/>
      <c r="I3558" s="72"/>
      <c r="J3558" s="37">
        <v>0</v>
      </c>
    </row>
    <row r="3559" spans="1:10" hidden="1" x14ac:dyDescent="0.25">
      <c r="A3559" s="174"/>
      <c r="B3559" s="177"/>
      <c r="C3559" s="43" t="s">
        <v>10871</v>
      </c>
      <c r="D3559" s="43" t="s">
        <v>1044</v>
      </c>
      <c r="E3559" s="44">
        <v>0.3</v>
      </c>
      <c r="F3559" s="70">
        <v>3.4009999999999998</v>
      </c>
      <c r="G3559" s="70">
        <f>IF(ISNUMBER(F3559),E3559*F3559,"")</f>
        <v>1.0203</v>
      </c>
      <c r="H3559" s="71"/>
      <c r="I3559" s="72"/>
      <c r="J3559" s="37">
        <v>0</v>
      </c>
    </row>
    <row r="3560" spans="1:10" ht="15.75" hidden="1" thickBot="1" x14ac:dyDescent="0.3">
      <c r="A3560" s="175"/>
      <c r="B3560" s="178"/>
      <c r="C3560" s="49"/>
      <c r="D3560" s="49"/>
      <c r="E3560" s="50"/>
      <c r="F3560" s="83" t="s">
        <v>13</v>
      </c>
      <c r="G3560" s="83" t="str">
        <f>IF(ISNUMBER(F3560),E3560*F3560,"")</f>
        <v/>
      </c>
      <c r="H3560" s="84"/>
      <c r="I3560" s="72"/>
      <c r="J3560" s="37">
        <v>0</v>
      </c>
    </row>
    <row r="3561" spans="1:10" ht="15.75" hidden="1" thickBot="1" x14ac:dyDescent="0.3">
      <c r="A3561" s="173" t="s">
        <v>889</v>
      </c>
      <c r="B3561" s="176" t="s">
        <v>4358</v>
      </c>
      <c r="C3561" s="31"/>
      <c r="D3561" s="32" t="s">
        <v>68</v>
      </c>
      <c r="E3561" s="33"/>
      <c r="F3561" s="60" t="s">
        <v>13</v>
      </c>
      <c r="G3561" s="34" t="str">
        <f>IF(ISNUMBER(F3561),E3561*F3561,"")</f>
        <v/>
      </c>
      <c r="H3561" s="35"/>
      <c r="I3561" s="36"/>
      <c r="J3561" s="37">
        <v>0</v>
      </c>
    </row>
    <row r="3562" spans="1:10" hidden="1" x14ac:dyDescent="0.25">
      <c r="A3562" s="174"/>
      <c r="B3562" s="177"/>
      <c r="C3562" s="39"/>
      <c r="D3562" s="39"/>
      <c r="E3562" s="40"/>
      <c r="F3562" s="70" t="s">
        <v>13</v>
      </c>
      <c r="G3562" s="70" t="str">
        <f>IF(ISNUMBER(F3562),E3562*F3562,"")</f>
        <v/>
      </c>
      <c r="H3562" s="71"/>
      <c r="I3562" s="72"/>
      <c r="J3562" s="37">
        <v>0</v>
      </c>
    </row>
    <row r="3563" spans="1:10" hidden="1" x14ac:dyDescent="0.25">
      <c r="A3563" s="174"/>
      <c r="B3563" s="177"/>
      <c r="C3563" s="43" t="s">
        <v>888</v>
      </c>
      <c r="D3563" s="43" t="s">
        <v>68</v>
      </c>
      <c r="E3563" s="44">
        <v>1.05</v>
      </c>
      <c r="F3563" s="70" t="s">
        <v>13</v>
      </c>
      <c r="G3563" s="70" t="str">
        <f>IF(ISNUMBER(F3563),E3563*F3563,"")</f>
        <v/>
      </c>
      <c r="H3563" s="46">
        <f>SUM(G3563:G3573)</f>
        <v>85.947210634962858</v>
      </c>
      <c r="I3563" s="47"/>
      <c r="J3563" s="37">
        <v>0</v>
      </c>
    </row>
    <row r="3564" spans="1:10" hidden="1" x14ac:dyDescent="0.25">
      <c r="A3564" s="174"/>
      <c r="B3564" s="177"/>
      <c r="C3564" s="43" t="s">
        <v>10830</v>
      </c>
      <c r="D3564" s="43" t="s">
        <v>2800</v>
      </c>
      <c r="E3564" s="44">
        <f>1.35</f>
        <v>1.35</v>
      </c>
      <c r="F3564" s="70">
        <v>30.912999999999997</v>
      </c>
      <c r="G3564" s="70">
        <f>IF(ISNUMBER(F3564),E3564*F3564,"")</f>
        <v>41.732549999999996</v>
      </c>
      <c r="H3564" s="71"/>
      <c r="I3564" s="72"/>
      <c r="J3564" s="37">
        <v>0</v>
      </c>
    </row>
    <row r="3565" spans="1:10" hidden="1" x14ac:dyDescent="0.25">
      <c r="A3565" s="174"/>
      <c r="B3565" s="177"/>
      <c r="C3565" s="43" t="s">
        <v>10757</v>
      </c>
      <c r="D3565" s="43" t="s">
        <v>2800</v>
      </c>
      <c r="E3565" s="44">
        <v>0.1</v>
      </c>
      <c r="F3565" s="70">
        <v>31.055499999999995</v>
      </c>
      <c r="G3565" s="70">
        <f>IF(ISNUMBER(F3565),E3565*F3565,"")</f>
        <v>3.1055499999999996</v>
      </c>
      <c r="H3565" s="71"/>
      <c r="I3565" s="72"/>
      <c r="J3565" s="37">
        <v>0</v>
      </c>
    </row>
    <row r="3566" spans="1:10" hidden="1" x14ac:dyDescent="0.25">
      <c r="A3566" s="174"/>
      <c r="B3566" s="177"/>
      <c r="C3566" s="43" t="s">
        <v>10614</v>
      </c>
      <c r="D3566" s="43" t="s">
        <v>2800</v>
      </c>
      <c r="E3566" s="44">
        <f>0.6+0.1+0.1</f>
        <v>0.79999999999999993</v>
      </c>
      <c r="F3566" s="70">
        <v>23.693000000000001</v>
      </c>
      <c r="G3566" s="70">
        <f>IF(ISNUMBER(F3566),E3566*F3566,"")</f>
        <v>18.9544</v>
      </c>
      <c r="H3566" s="71"/>
      <c r="I3566" s="72"/>
      <c r="J3566" s="37">
        <v>0</v>
      </c>
    </row>
    <row r="3567" spans="1:10" hidden="1" x14ac:dyDescent="0.25">
      <c r="A3567" s="174"/>
      <c r="B3567" s="177"/>
      <c r="C3567" s="43" t="s">
        <v>10872</v>
      </c>
      <c r="D3567" s="43" t="s">
        <v>1044</v>
      </c>
      <c r="E3567" s="44">
        <v>4.5</v>
      </c>
      <c r="F3567" s="70">
        <v>1.7765</v>
      </c>
      <c r="G3567" s="70">
        <f>IF(ISNUMBER(F3567),E3567*F3567,"")</f>
        <v>7.9942500000000001</v>
      </c>
      <c r="H3567" s="71"/>
      <c r="I3567" s="72"/>
      <c r="J3567" s="37">
        <v>0</v>
      </c>
    </row>
    <row r="3568" spans="1:10" hidden="1" x14ac:dyDescent="0.25">
      <c r="A3568" s="174"/>
      <c r="B3568" s="177"/>
      <c r="C3568" s="43" t="s">
        <v>10871</v>
      </c>
      <c r="D3568" s="43" t="s">
        <v>1044</v>
      </c>
      <c r="E3568" s="44">
        <v>0.3</v>
      </c>
      <c r="F3568" s="70">
        <v>3.4009999999999998</v>
      </c>
      <c r="G3568" s="70">
        <f>IF(ISNUMBER(F3568),E3568*F3568,"")</f>
        <v>1.0203</v>
      </c>
      <c r="H3568" s="71"/>
      <c r="I3568" s="72"/>
      <c r="J3568" s="37">
        <v>0</v>
      </c>
    </row>
    <row r="3569" spans="1:10" ht="25.5" hidden="1" x14ac:dyDescent="0.25">
      <c r="A3569" s="174"/>
      <c r="B3569" s="177"/>
      <c r="C3569" s="43" t="s">
        <v>11057</v>
      </c>
      <c r="D3569" s="43" t="s">
        <v>83</v>
      </c>
      <c r="E3569" s="44">
        <f>2/(0.4*0.8)</f>
        <v>6.2499999999999991</v>
      </c>
      <c r="F3569" s="70">
        <v>2.09</v>
      </c>
      <c r="G3569" s="70">
        <f>IF(ISNUMBER(F3569),E3569*F3569,"")</f>
        <v>13.062499999999996</v>
      </c>
      <c r="H3569" s="71"/>
      <c r="I3569" s="72"/>
      <c r="J3569" s="37">
        <v>0</v>
      </c>
    </row>
    <row r="3570" spans="1:10" hidden="1" x14ac:dyDescent="0.25">
      <c r="A3570" s="174"/>
      <c r="B3570" s="177"/>
      <c r="C3570" s="43" t="s">
        <v>879</v>
      </c>
      <c r="D3570" s="43" t="s">
        <v>87</v>
      </c>
      <c r="E3570" s="44">
        <f>(2/(0.4*0.8))*(0.016)*1.5</f>
        <v>0.15</v>
      </c>
      <c r="F3570" s="70" t="s">
        <v>13</v>
      </c>
      <c r="G3570" s="70" t="str">
        <f>IF(ISNUMBER(F3570),E3570*F3570,"")</f>
        <v/>
      </c>
      <c r="H3570" s="71"/>
      <c r="I3570" s="72"/>
      <c r="J3570" s="37">
        <v>0</v>
      </c>
    </row>
    <row r="3571" spans="1:10" hidden="1" x14ac:dyDescent="0.25">
      <c r="A3571" s="174"/>
      <c r="B3571" s="177"/>
      <c r="C3571" s="43" t="s">
        <v>880</v>
      </c>
      <c r="D3571" s="43" t="s">
        <v>881</v>
      </c>
      <c r="E3571" s="44">
        <f>(2/(0.4*0.8))*0.1*1.5</f>
        <v>0.9375</v>
      </c>
      <c r="F3571" s="70" t="s">
        <v>13</v>
      </c>
      <c r="G3571" s="70" t="str">
        <f>IF(ISNUMBER(F3571),E3571*F3571,"")</f>
        <v/>
      </c>
      <c r="H3571" s="71"/>
      <c r="I3571" s="72"/>
      <c r="J3571" s="37">
        <v>0</v>
      </c>
    </row>
    <row r="3572" spans="1:10" hidden="1" x14ac:dyDescent="0.25">
      <c r="A3572" s="174"/>
      <c r="B3572" s="177"/>
      <c r="C3572" s="43" t="s">
        <v>890</v>
      </c>
      <c r="D3572" s="43" t="s">
        <v>87</v>
      </c>
      <c r="E3572" s="44">
        <f>2/(0.4*0.8)</f>
        <v>6.2499999999999991</v>
      </c>
      <c r="F3572" s="70" t="s">
        <v>13</v>
      </c>
      <c r="G3572" s="70" t="str">
        <f>IF(ISNUMBER(F3572),E3572*F3572,"")</f>
        <v/>
      </c>
      <c r="H3572" s="71"/>
      <c r="I3572" s="72"/>
      <c r="J3572" s="37">
        <v>0</v>
      </c>
    </row>
    <row r="3573" spans="1:10" ht="38.25" hidden="1" x14ac:dyDescent="0.25">
      <c r="A3573" s="174"/>
      <c r="B3573" s="177"/>
      <c r="C3573" s="43" t="s">
        <v>10699</v>
      </c>
      <c r="D3573" s="43" t="s">
        <v>2880</v>
      </c>
      <c r="E3573" s="44">
        <v>1E-4</v>
      </c>
      <c r="F3573" s="70">
        <v>776.60634962849986</v>
      </c>
      <c r="G3573" s="70">
        <f>IF(ISNUMBER(F3573),E3573*F3573,"")</f>
        <v>7.7660634962849986E-2</v>
      </c>
      <c r="H3573" s="71"/>
      <c r="I3573" s="72"/>
      <c r="J3573" s="37">
        <v>0</v>
      </c>
    </row>
    <row r="3574" spans="1:10" hidden="1" x14ac:dyDescent="0.25">
      <c r="A3574" s="174"/>
      <c r="B3574" s="177"/>
      <c r="C3574" s="43"/>
      <c r="D3574" s="43"/>
      <c r="E3574" s="44"/>
      <c r="F3574" s="70" t="s">
        <v>13</v>
      </c>
      <c r="G3574" s="70" t="str">
        <f>IF(ISNUMBER(F3574),E3574*F3574,"")</f>
        <v/>
      </c>
      <c r="H3574" s="71"/>
      <c r="I3574" s="72"/>
      <c r="J3574" s="37">
        <v>0</v>
      </c>
    </row>
    <row r="3575" spans="1:10" hidden="1" x14ac:dyDescent="0.25">
      <c r="A3575" s="174"/>
      <c r="B3575" s="177"/>
      <c r="C3575" s="90" t="s">
        <v>891</v>
      </c>
      <c r="D3575" s="43"/>
      <c r="E3575" s="44"/>
      <c r="F3575" s="70" t="s">
        <v>13</v>
      </c>
      <c r="G3575" s="70" t="str">
        <f>IF(ISNUMBER(F3575),E3575*F3575,"")</f>
        <v/>
      </c>
      <c r="H3575" s="71"/>
      <c r="I3575" s="72"/>
      <c r="J3575" s="37">
        <v>0</v>
      </c>
    </row>
    <row r="3576" spans="1:10" ht="25.5" hidden="1" x14ac:dyDescent="0.25">
      <c r="A3576" s="174"/>
      <c r="B3576" s="177"/>
      <c r="C3576" s="90" t="s">
        <v>892</v>
      </c>
      <c r="D3576" s="43"/>
      <c r="E3576" s="44"/>
      <c r="F3576" s="70" t="s">
        <v>13</v>
      </c>
      <c r="G3576" s="70" t="str">
        <f>IF(ISNUMBER(F3576),E3576*F3576,"")</f>
        <v/>
      </c>
      <c r="H3576" s="71"/>
      <c r="I3576" s="72"/>
      <c r="J3576" s="37">
        <v>0</v>
      </c>
    </row>
    <row r="3577" spans="1:10" ht="15.75" hidden="1" thickBot="1" x14ac:dyDescent="0.3">
      <c r="A3577" s="175"/>
      <c r="B3577" s="178"/>
      <c r="C3577" s="43"/>
      <c r="D3577" s="43"/>
      <c r="E3577" s="44"/>
      <c r="F3577" s="70" t="s">
        <v>13</v>
      </c>
      <c r="G3577" s="70" t="str">
        <f>IF(ISNUMBER(F3577),E3577*F3577,"")</f>
        <v/>
      </c>
      <c r="H3577" s="71"/>
      <c r="I3577" s="72"/>
      <c r="J3577" s="37">
        <v>0</v>
      </c>
    </row>
    <row r="3578" spans="1:10" ht="15.75" hidden="1" thickBot="1" x14ac:dyDescent="0.3">
      <c r="A3578" s="173" t="s">
        <v>893</v>
      </c>
      <c r="B3578" s="176" t="s">
        <v>4359</v>
      </c>
      <c r="C3578" s="31"/>
      <c r="D3578" s="32" t="s">
        <v>68</v>
      </c>
      <c r="E3578" s="33"/>
      <c r="F3578" s="60" t="s">
        <v>13</v>
      </c>
      <c r="G3578" s="34" t="str">
        <f>IF(ISNUMBER(F3578),E3578*F3578,"")</f>
        <v/>
      </c>
      <c r="H3578" s="35"/>
      <c r="I3578" s="36"/>
      <c r="J3578" s="37">
        <v>0</v>
      </c>
    </row>
    <row r="3579" spans="1:10" hidden="1" x14ac:dyDescent="0.25">
      <c r="A3579" s="174"/>
      <c r="B3579" s="177"/>
      <c r="C3579" s="39"/>
      <c r="D3579" s="39"/>
      <c r="E3579" s="40"/>
      <c r="F3579" s="70" t="s">
        <v>13</v>
      </c>
      <c r="G3579" s="70" t="str">
        <f>IF(ISNUMBER(F3579),E3579*F3579,"")</f>
        <v/>
      </c>
      <c r="H3579" s="71"/>
      <c r="I3579" s="72"/>
      <c r="J3579" s="37">
        <v>0</v>
      </c>
    </row>
    <row r="3580" spans="1:10" hidden="1" x14ac:dyDescent="0.25">
      <c r="A3580" s="174"/>
      <c r="B3580" s="177"/>
      <c r="C3580" s="43" t="s">
        <v>894</v>
      </c>
      <c r="D3580" s="43" t="s">
        <v>68</v>
      </c>
      <c r="E3580" s="44">
        <v>1.05</v>
      </c>
      <c r="F3580" s="70" t="s">
        <v>13</v>
      </c>
      <c r="G3580" s="70" t="str">
        <f>IF(ISNUMBER(F3580),E3580*F3580,"")</f>
        <v/>
      </c>
      <c r="H3580" s="46">
        <f>SUM(G3580:G3584)</f>
        <v>64.962900000000005</v>
      </c>
      <c r="I3580" s="47"/>
      <c r="J3580" s="37">
        <v>0</v>
      </c>
    </row>
    <row r="3581" spans="1:10" hidden="1" x14ac:dyDescent="0.25">
      <c r="A3581" s="174"/>
      <c r="B3581" s="177"/>
      <c r="C3581" s="43" t="s">
        <v>10830</v>
      </c>
      <c r="D3581" s="43" t="s">
        <v>2800</v>
      </c>
      <c r="E3581" s="44">
        <v>1.35</v>
      </c>
      <c r="F3581" s="70">
        <v>30.912999999999997</v>
      </c>
      <c r="G3581" s="70">
        <f>IF(ISNUMBER(F3581),E3581*F3581,"")</f>
        <v>41.732549999999996</v>
      </c>
      <c r="H3581" s="71"/>
      <c r="I3581" s="72"/>
      <c r="J3581" s="37">
        <v>0</v>
      </c>
    </row>
    <row r="3582" spans="1:10" hidden="1" x14ac:dyDescent="0.25">
      <c r="A3582" s="174"/>
      <c r="B3582" s="177"/>
      <c r="C3582" s="43" t="s">
        <v>10614</v>
      </c>
      <c r="D3582" s="43" t="s">
        <v>2800</v>
      </c>
      <c r="E3582" s="44">
        <v>0.6</v>
      </c>
      <c r="F3582" s="70">
        <v>23.693000000000001</v>
      </c>
      <c r="G3582" s="70">
        <f>IF(ISNUMBER(F3582),E3582*F3582,"")</f>
        <v>14.2158</v>
      </c>
      <c r="H3582" s="71"/>
      <c r="I3582" s="72"/>
      <c r="J3582" s="37">
        <v>0</v>
      </c>
    </row>
    <row r="3583" spans="1:10" hidden="1" x14ac:dyDescent="0.25">
      <c r="A3583" s="174"/>
      <c r="B3583" s="177"/>
      <c r="C3583" s="43" t="s">
        <v>10872</v>
      </c>
      <c r="D3583" s="43" t="s">
        <v>1044</v>
      </c>
      <c r="E3583" s="44">
        <v>4.5</v>
      </c>
      <c r="F3583" s="70">
        <v>1.7765</v>
      </c>
      <c r="G3583" s="70">
        <f>IF(ISNUMBER(F3583),E3583*F3583,"")</f>
        <v>7.9942500000000001</v>
      </c>
      <c r="H3583" s="71"/>
      <c r="I3583" s="72"/>
      <c r="J3583" s="37">
        <v>0</v>
      </c>
    </row>
    <row r="3584" spans="1:10" hidden="1" x14ac:dyDescent="0.25">
      <c r="A3584" s="174"/>
      <c r="B3584" s="177"/>
      <c r="C3584" s="43" t="s">
        <v>10871</v>
      </c>
      <c r="D3584" s="43" t="s">
        <v>1044</v>
      </c>
      <c r="E3584" s="44">
        <v>0.3</v>
      </c>
      <c r="F3584" s="70">
        <v>3.4009999999999998</v>
      </c>
      <c r="G3584" s="70">
        <f>IF(ISNUMBER(F3584),E3584*F3584,"")</f>
        <v>1.0203</v>
      </c>
      <c r="H3584" s="71"/>
      <c r="I3584" s="72"/>
      <c r="J3584" s="37">
        <v>0</v>
      </c>
    </row>
    <row r="3585" spans="1:10" ht="15.75" hidden="1" thickBot="1" x14ac:dyDescent="0.3">
      <c r="A3585" s="175"/>
      <c r="B3585" s="178"/>
      <c r="C3585" s="49"/>
      <c r="D3585" s="49"/>
      <c r="E3585" s="50"/>
      <c r="F3585" s="83" t="s">
        <v>13</v>
      </c>
      <c r="G3585" s="83" t="str">
        <f>IF(ISNUMBER(F3585),E3585*F3585,"")</f>
        <v/>
      </c>
      <c r="H3585" s="84"/>
      <c r="I3585" s="72"/>
      <c r="J3585" s="37">
        <v>0</v>
      </c>
    </row>
    <row r="3586" spans="1:10" ht="15.75" hidden="1" thickBot="1" x14ac:dyDescent="0.3">
      <c r="A3586" s="173" t="s">
        <v>895</v>
      </c>
      <c r="B3586" s="176" t="s">
        <v>4360</v>
      </c>
      <c r="C3586" s="31"/>
      <c r="D3586" s="32" t="s">
        <v>68</v>
      </c>
      <c r="E3586" s="33"/>
      <c r="F3586" s="60" t="s">
        <v>13</v>
      </c>
      <c r="G3586" s="34" t="str">
        <f>IF(ISNUMBER(F3586),E3586*F3586,"")</f>
        <v/>
      </c>
      <c r="H3586" s="35"/>
      <c r="I3586" s="36"/>
      <c r="J3586" s="37">
        <v>0</v>
      </c>
    </row>
    <row r="3587" spans="1:10" hidden="1" x14ac:dyDescent="0.25">
      <c r="A3587" s="174"/>
      <c r="B3587" s="177"/>
      <c r="C3587" s="39"/>
      <c r="D3587" s="39"/>
      <c r="E3587" s="40"/>
      <c r="F3587" s="70" t="s">
        <v>13</v>
      </c>
      <c r="G3587" s="70" t="str">
        <f>IF(ISNUMBER(F3587),E3587*F3587,"")</f>
        <v/>
      </c>
      <c r="H3587" s="71"/>
      <c r="I3587" s="72"/>
      <c r="J3587" s="37">
        <v>0</v>
      </c>
    </row>
    <row r="3588" spans="1:10" hidden="1" x14ac:dyDescent="0.25">
      <c r="A3588" s="174"/>
      <c r="B3588" s="177"/>
      <c r="C3588" s="43" t="s">
        <v>894</v>
      </c>
      <c r="D3588" s="43" t="s">
        <v>68</v>
      </c>
      <c r="E3588" s="44">
        <v>1.05</v>
      </c>
      <c r="F3588" s="70" t="s">
        <v>13</v>
      </c>
      <c r="G3588" s="70" t="str">
        <f>IF(ISNUMBER(F3588),E3588*F3588,"")</f>
        <v/>
      </c>
      <c r="H3588" s="46">
        <f>SUM(G3588:G3598)</f>
        <v>85.947210634962858</v>
      </c>
      <c r="I3588" s="47"/>
      <c r="J3588" s="37">
        <v>0</v>
      </c>
    </row>
    <row r="3589" spans="1:10" hidden="1" x14ac:dyDescent="0.25">
      <c r="A3589" s="174"/>
      <c r="B3589" s="177"/>
      <c r="C3589" s="43" t="s">
        <v>10830</v>
      </c>
      <c r="D3589" s="43" t="s">
        <v>2800</v>
      </c>
      <c r="E3589" s="44">
        <f>1.35</f>
        <v>1.35</v>
      </c>
      <c r="F3589" s="70">
        <v>30.912999999999997</v>
      </c>
      <c r="G3589" s="70">
        <f>IF(ISNUMBER(F3589),E3589*F3589,"")</f>
        <v>41.732549999999996</v>
      </c>
      <c r="H3589" s="71"/>
      <c r="I3589" s="72"/>
      <c r="J3589" s="37">
        <v>0</v>
      </c>
    </row>
    <row r="3590" spans="1:10" hidden="1" x14ac:dyDescent="0.25">
      <c r="A3590" s="174"/>
      <c r="B3590" s="177"/>
      <c r="C3590" s="43" t="s">
        <v>10757</v>
      </c>
      <c r="D3590" s="43" t="s">
        <v>2800</v>
      </c>
      <c r="E3590" s="44">
        <v>0.1</v>
      </c>
      <c r="F3590" s="70">
        <v>31.055499999999995</v>
      </c>
      <c r="G3590" s="70">
        <f>IF(ISNUMBER(F3590),E3590*F3590,"")</f>
        <v>3.1055499999999996</v>
      </c>
      <c r="H3590" s="71"/>
      <c r="I3590" s="72"/>
      <c r="J3590" s="37">
        <v>0</v>
      </c>
    </row>
    <row r="3591" spans="1:10" hidden="1" x14ac:dyDescent="0.25">
      <c r="A3591" s="174"/>
      <c r="B3591" s="177"/>
      <c r="C3591" s="43" t="s">
        <v>10614</v>
      </c>
      <c r="D3591" s="43" t="s">
        <v>2800</v>
      </c>
      <c r="E3591" s="44">
        <f>0.6+0.1+0.1</f>
        <v>0.79999999999999993</v>
      </c>
      <c r="F3591" s="70">
        <v>23.693000000000001</v>
      </c>
      <c r="G3591" s="70">
        <f>IF(ISNUMBER(F3591),E3591*F3591,"")</f>
        <v>18.9544</v>
      </c>
      <c r="H3591" s="71"/>
      <c r="I3591" s="72"/>
      <c r="J3591" s="37">
        <v>0</v>
      </c>
    </row>
    <row r="3592" spans="1:10" hidden="1" x14ac:dyDescent="0.25">
      <c r="A3592" s="174"/>
      <c r="B3592" s="177"/>
      <c r="C3592" s="43" t="s">
        <v>10872</v>
      </c>
      <c r="D3592" s="43" t="s">
        <v>1044</v>
      </c>
      <c r="E3592" s="44">
        <v>4.5</v>
      </c>
      <c r="F3592" s="70">
        <v>1.7765</v>
      </c>
      <c r="G3592" s="70">
        <f>IF(ISNUMBER(F3592),E3592*F3592,"")</f>
        <v>7.9942500000000001</v>
      </c>
      <c r="H3592" s="71"/>
      <c r="I3592" s="72"/>
      <c r="J3592" s="37">
        <v>0</v>
      </c>
    </row>
    <row r="3593" spans="1:10" hidden="1" x14ac:dyDescent="0.25">
      <c r="A3593" s="174"/>
      <c r="B3593" s="177"/>
      <c r="C3593" s="43" t="s">
        <v>10871</v>
      </c>
      <c r="D3593" s="43" t="s">
        <v>1044</v>
      </c>
      <c r="E3593" s="44">
        <v>0.3</v>
      </c>
      <c r="F3593" s="70">
        <v>3.4009999999999998</v>
      </c>
      <c r="G3593" s="70">
        <f>IF(ISNUMBER(F3593),E3593*F3593,"")</f>
        <v>1.0203</v>
      </c>
      <c r="H3593" s="71"/>
      <c r="I3593" s="72"/>
      <c r="J3593" s="37">
        <v>0</v>
      </c>
    </row>
    <row r="3594" spans="1:10" ht="25.5" hidden="1" x14ac:dyDescent="0.25">
      <c r="A3594" s="174"/>
      <c r="B3594" s="177"/>
      <c r="C3594" s="43" t="s">
        <v>11057</v>
      </c>
      <c r="D3594" s="43" t="s">
        <v>83</v>
      </c>
      <c r="E3594" s="44">
        <f>2/(0.4*0.8)</f>
        <v>6.2499999999999991</v>
      </c>
      <c r="F3594" s="70">
        <v>2.09</v>
      </c>
      <c r="G3594" s="70">
        <f>IF(ISNUMBER(F3594),E3594*F3594,"")</f>
        <v>13.062499999999996</v>
      </c>
      <c r="H3594" s="71"/>
      <c r="I3594" s="72"/>
      <c r="J3594" s="37">
        <v>0</v>
      </c>
    </row>
    <row r="3595" spans="1:10" hidden="1" x14ac:dyDescent="0.25">
      <c r="A3595" s="174"/>
      <c r="B3595" s="177"/>
      <c r="C3595" s="43" t="s">
        <v>879</v>
      </c>
      <c r="D3595" s="43" t="s">
        <v>87</v>
      </c>
      <c r="E3595" s="44">
        <f>(2/(0.4*0.8))*(0.016)*1.5</f>
        <v>0.15</v>
      </c>
      <c r="F3595" s="70" t="s">
        <v>13</v>
      </c>
      <c r="G3595" s="70" t="str">
        <f>IF(ISNUMBER(F3595),E3595*F3595,"")</f>
        <v/>
      </c>
      <c r="H3595" s="71"/>
      <c r="I3595" s="72"/>
      <c r="J3595" s="37">
        <v>0</v>
      </c>
    </row>
    <row r="3596" spans="1:10" hidden="1" x14ac:dyDescent="0.25">
      <c r="A3596" s="174"/>
      <c r="B3596" s="177"/>
      <c r="C3596" s="43" t="s">
        <v>880</v>
      </c>
      <c r="D3596" s="43" t="s">
        <v>881</v>
      </c>
      <c r="E3596" s="44">
        <f>(2/(0.4*0.8))*0.1*1.5</f>
        <v>0.9375</v>
      </c>
      <c r="F3596" s="70" t="s">
        <v>13</v>
      </c>
      <c r="G3596" s="70" t="str">
        <f>IF(ISNUMBER(F3596),E3596*F3596,"")</f>
        <v/>
      </c>
      <c r="H3596" s="71"/>
      <c r="I3596" s="72"/>
      <c r="J3596" s="37">
        <v>0</v>
      </c>
    </row>
    <row r="3597" spans="1:10" hidden="1" x14ac:dyDescent="0.25">
      <c r="A3597" s="174"/>
      <c r="B3597" s="177"/>
      <c r="C3597" s="43" t="s">
        <v>890</v>
      </c>
      <c r="D3597" s="43" t="s">
        <v>87</v>
      </c>
      <c r="E3597" s="44">
        <f>2/(0.4*0.8)</f>
        <v>6.2499999999999991</v>
      </c>
      <c r="F3597" s="70" t="s">
        <v>13</v>
      </c>
      <c r="G3597" s="70" t="str">
        <f>IF(ISNUMBER(F3597),E3597*F3597,"")</f>
        <v/>
      </c>
      <c r="H3597" s="71"/>
      <c r="I3597" s="72"/>
      <c r="J3597" s="37">
        <v>0</v>
      </c>
    </row>
    <row r="3598" spans="1:10" ht="38.25" hidden="1" x14ac:dyDescent="0.25">
      <c r="A3598" s="174"/>
      <c r="B3598" s="177"/>
      <c r="C3598" s="43" t="s">
        <v>10699</v>
      </c>
      <c r="D3598" s="43" t="s">
        <v>2880</v>
      </c>
      <c r="E3598" s="44">
        <v>1E-4</v>
      </c>
      <c r="F3598" s="70">
        <v>776.60634962849986</v>
      </c>
      <c r="G3598" s="70">
        <f>IF(ISNUMBER(F3598),E3598*F3598,"")</f>
        <v>7.7660634962849986E-2</v>
      </c>
      <c r="H3598" s="71"/>
      <c r="I3598" s="72"/>
      <c r="J3598" s="37">
        <v>0</v>
      </c>
    </row>
    <row r="3599" spans="1:10" hidden="1" x14ac:dyDescent="0.25">
      <c r="A3599" s="174"/>
      <c r="B3599" s="177"/>
      <c r="C3599" s="43"/>
      <c r="D3599" s="43"/>
      <c r="E3599" s="44"/>
      <c r="F3599" s="70" t="s">
        <v>13</v>
      </c>
      <c r="G3599" s="70" t="str">
        <f>IF(ISNUMBER(F3599),E3599*F3599,"")</f>
        <v/>
      </c>
      <c r="H3599" s="71"/>
      <c r="I3599" s="72"/>
      <c r="J3599" s="37">
        <v>0</v>
      </c>
    </row>
    <row r="3600" spans="1:10" hidden="1" x14ac:dyDescent="0.25">
      <c r="A3600" s="174"/>
      <c r="B3600" s="177"/>
      <c r="C3600" s="90" t="s">
        <v>891</v>
      </c>
      <c r="D3600" s="43"/>
      <c r="E3600" s="44"/>
      <c r="F3600" s="70" t="s">
        <v>13</v>
      </c>
      <c r="G3600" s="70" t="str">
        <f>IF(ISNUMBER(F3600),E3600*F3600,"")</f>
        <v/>
      </c>
      <c r="H3600" s="71"/>
      <c r="I3600" s="72"/>
      <c r="J3600" s="37">
        <v>0</v>
      </c>
    </row>
    <row r="3601" spans="1:10" ht="25.5" hidden="1" x14ac:dyDescent="0.25">
      <c r="A3601" s="174"/>
      <c r="B3601" s="177"/>
      <c r="C3601" s="90" t="s">
        <v>892</v>
      </c>
      <c r="D3601" s="43"/>
      <c r="E3601" s="44"/>
      <c r="F3601" s="70" t="s">
        <v>13</v>
      </c>
      <c r="G3601" s="70" t="str">
        <f>IF(ISNUMBER(F3601),E3601*F3601,"")</f>
        <v/>
      </c>
      <c r="H3601" s="71"/>
      <c r="I3601" s="72"/>
      <c r="J3601" s="37">
        <v>0</v>
      </c>
    </row>
    <row r="3602" spans="1:10" ht="15.75" hidden="1" thickBot="1" x14ac:dyDescent="0.3">
      <c r="A3602" s="175"/>
      <c r="B3602" s="178"/>
      <c r="C3602" s="49"/>
      <c r="D3602" s="49"/>
      <c r="E3602" s="50"/>
      <c r="F3602" s="83" t="s">
        <v>13</v>
      </c>
      <c r="G3602" s="83" t="str">
        <f>IF(ISNUMBER(F3602),E3602*F3602,"")</f>
        <v/>
      </c>
      <c r="H3602" s="84"/>
      <c r="I3602" s="72"/>
      <c r="J3602" s="37">
        <v>0</v>
      </c>
    </row>
    <row r="3603" spans="1:10" ht="15.75" hidden="1" thickBot="1" x14ac:dyDescent="0.3">
      <c r="A3603" s="173" t="s">
        <v>896</v>
      </c>
      <c r="B3603" s="176" t="s">
        <v>4361</v>
      </c>
      <c r="C3603" s="31"/>
      <c r="D3603" s="32" t="s">
        <v>68</v>
      </c>
      <c r="E3603" s="33"/>
      <c r="F3603" s="60" t="s">
        <v>13</v>
      </c>
      <c r="G3603" s="34" t="str">
        <f>IF(ISNUMBER(F3603),E3603*F3603,"")</f>
        <v/>
      </c>
      <c r="H3603" s="35"/>
      <c r="I3603" s="36"/>
      <c r="J3603" s="37">
        <v>0</v>
      </c>
    </row>
    <row r="3604" spans="1:10" hidden="1" x14ac:dyDescent="0.25">
      <c r="A3604" s="174"/>
      <c r="B3604" s="177"/>
      <c r="C3604" s="39"/>
      <c r="D3604" s="39"/>
      <c r="E3604" s="40"/>
      <c r="F3604" s="70" t="s">
        <v>13</v>
      </c>
      <c r="G3604" s="70" t="str">
        <f>IF(ISNUMBER(F3604),E3604*F3604,"")</f>
        <v/>
      </c>
      <c r="H3604" s="71"/>
      <c r="I3604" s="72"/>
      <c r="J3604" s="37">
        <v>0</v>
      </c>
    </row>
    <row r="3605" spans="1:10" hidden="1" x14ac:dyDescent="0.25">
      <c r="A3605" s="174"/>
      <c r="B3605" s="177"/>
      <c r="C3605" s="43" t="s">
        <v>894</v>
      </c>
      <c r="D3605" s="43" t="s">
        <v>68</v>
      </c>
      <c r="E3605" s="44">
        <v>1.05</v>
      </c>
      <c r="F3605" s="70" t="s">
        <v>13</v>
      </c>
      <c r="G3605" s="70" t="str">
        <f>IF(ISNUMBER(F3605),E3605*F3605,"")</f>
        <v/>
      </c>
      <c r="H3605" s="46">
        <f>SUM(G3605:G3609)</f>
        <v>10.09755</v>
      </c>
      <c r="I3605" s="47"/>
      <c r="J3605" s="37">
        <v>0</v>
      </c>
    </row>
    <row r="3606" spans="1:10" hidden="1" x14ac:dyDescent="0.25">
      <c r="A3606" s="174"/>
      <c r="B3606" s="177"/>
      <c r="C3606" s="43" t="s">
        <v>10830</v>
      </c>
      <c r="D3606" s="43" t="s">
        <v>2800</v>
      </c>
      <c r="E3606" s="44">
        <v>0.25</v>
      </c>
      <c r="F3606" s="70">
        <v>30.912999999999997</v>
      </c>
      <c r="G3606" s="70">
        <f>IF(ISNUMBER(F3606),E3606*F3606,"")</f>
        <v>7.7282499999999992</v>
      </c>
      <c r="H3606" s="71"/>
      <c r="I3606" s="72"/>
      <c r="J3606" s="37">
        <v>0</v>
      </c>
    </row>
    <row r="3607" spans="1:10" hidden="1" x14ac:dyDescent="0.25">
      <c r="A3607" s="174"/>
      <c r="B3607" s="177"/>
      <c r="C3607" s="43" t="s">
        <v>10614</v>
      </c>
      <c r="D3607" s="43" t="s">
        <v>2800</v>
      </c>
      <c r="E3607" s="44">
        <v>0.1</v>
      </c>
      <c r="F3607" s="70">
        <v>23.693000000000001</v>
      </c>
      <c r="G3607" s="70">
        <f>IF(ISNUMBER(F3607),E3607*F3607,"")</f>
        <v>2.3693000000000004</v>
      </c>
      <c r="H3607" s="71"/>
      <c r="I3607" s="72"/>
      <c r="J3607" s="37">
        <v>0</v>
      </c>
    </row>
    <row r="3608" spans="1:10" hidden="1" x14ac:dyDescent="0.25">
      <c r="A3608" s="174"/>
      <c r="B3608" s="177"/>
      <c r="C3608" s="43" t="s">
        <v>879</v>
      </c>
      <c r="D3608" s="43" t="s">
        <v>87</v>
      </c>
      <c r="E3608" s="44">
        <f>(2/(0.4*0.8))*0.016/2</f>
        <v>4.9999999999999996E-2</v>
      </c>
      <c r="F3608" s="70" t="s">
        <v>13</v>
      </c>
      <c r="G3608" s="70" t="str">
        <f>IF(ISNUMBER(F3608),E3608*F3608,"")</f>
        <v/>
      </c>
      <c r="H3608" s="71"/>
      <c r="I3608" s="72"/>
      <c r="J3608" s="37">
        <v>0</v>
      </c>
    </row>
    <row r="3609" spans="1:10" hidden="1" x14ac:dyDescent="0.25">
      <c r="A3609" s="174"/>
      <c r="B3609" s="177"/>
      <c r="C3609" s="43" t="s">
        <v>880</v>
      </c>
      <c r="D3609" s="43" t="s">
        <v>881</v>
      </c>
      <c r="E3609" s="44">
        <f>(2/(0.4*0.8))*0.1/2</f>
        <v>0.3125</v>
      </c>
      <c r="F3609" s="70" t="s">
        <v>13</v>
      </c>
      <c r="G3609" s="70" t="str">
        <f>IF(ISNUMBER(F3609),E3609*F3609,"")</f>
        <v/>
      </c>
      <c r="H3609" s="71"/>
      <c r="I3609" s="72"/>
      <c r="J3609" s="37">
        <v>0</v>
      </c>
    </row>
    <row r="3610" spans="1:10" hidden="1" x14ac:dyDescent="0.25">
      <c r="A3610" s="174"/>
      <c r="B3610" s="177"/>
      <c r="C3610" s="43"/>
      <c r="D3610" s="43"/>
      <c r="E3610" s="44"/>
      <c r="F3610" s="70" t="s">
        <v>13</v>
      </c>
      <c r="G3610" s="70" t="str">
        <f>IF(ISNUMBER(F3610),E3610*F3610,"")</f>
        <v/>
      </c>
      <c r="H3610" s="71"/>
      <c r="I3610" s="72"/>
      <c r="J3610" s="37">
        <v>0</v>
      </c>
    </row>
    <row r="3611" spans="1:10" hidden="1" x14ac:dyDescent="0.25">
      <c r="A3611" s="174"/>
      <c r="B3611" s="177"/>
      <c r="C3611" s="90" t="s">
        <v>897</v>
      </c>
      <c r="D3611" s="43"/>
      <c r="E3611" s="44"/>
      <c r="F3611" s="70" t="s">
        <v>13</v>
      </c>
      <c r="G3611" s="70" t="str">
        <f>IF(ISNUMBER(F3611),E3611*F3611,"")</f>
        <v/>
      </c>
      <c r="H3611" s="71"/>
      <c r="I3611" s="72"/>
      <c r="J3611" s="37">
        <v>0</v>
      </c>
    </row>
    <row r="3612" spans="1:10" ht="15.75" hidden="1" thickBot="1" x14ac:dyDescent="0.3">
      <c r="A3612" s="175"/>
      <c r="B3612" s="178"/>
      <c r="C3612" s="49"/>
      <c r="D3612" s="49"/>
      <c r="E3612" s="50"/>
      <c r="F3612" s="83" t="s">
        <v>13</v>
      </c>
      <c r="G3612" s="83" t="str">
        <f>IF(ISNUMBER(F3612),E3612*F3612,"")</f>
        <v/>
      </c>
      <c r="H3612" s="84"/>
      <c r="I3612" s="72"/>
      <c r="J3612" s="37">
        <v>0</v>
      </c>
    </row>
    <row r="3613" spans="1:10" ht="15.75" hidden="1" thickBot="1" x14ac:dyDescent="0.3">
      <c r="A3613" s="173" t="s">
        <v>898</v>
      </c>
      <c r="B3613" s="176" t="s">
        <v>4362</v>
      </c>
      <c r="C3613" s="31"/>
      <c r="D3613" s="32" t="s">
        <v>68</v>
      </c>
      <c r="E3613" s="33"/>
      <c r="F3613" s="60" t="s">
        <v>13</v>
      </c>
      <c r="G3613" s="34" t="str">
        <f>IF(ISNUMBER(F3613),E3613*F3613,"")</f>
        <v/>
      </c>
      <c r="H3613" s="35"/>
      <c r="I3613" s="36"/>
      <c r="J3613" s="37">
        <v>0</v>
      </c>
    </row>
    <row r="3614" spans="1:10" hidden="1" x14ac:dyDescent="0.25">
      <c r="A3614" s="174"/>
      <c r="B3614" s="177"/>
      <c r="C3614" s="39"/>
      <c r="D3614" s="39"/>
      <c r="E3614" s="40"/>
      <c r="F3614" s="70" t="s">
        <v>13</v>
      </c>
      <c r="G3614" s="70" t="str">
        <f>IF(ISNUMBER(F3614),E3614*F3614,"")</f>
        <v/>
      </c>
      <c r="H3614" s="71"/>
      <c r="I3614" s="72"/>
      <c r="J3614" s="37">
        <v>0</v>
      </c>
    </row>
    <row r="3615" spans="1:10" hidden="1" x14ac:dyDescent="0.25">
      <c r="A3615" s="174"/>
      <c r="B3615" s="177"/>
      <c r="C3615" s="43" t="s">
        <v>10830</v>
      </c>
      <c r="D3615" s="43" t="s">
        <v>2800</v>
      </c>
      <c r="E3615" s="44">
        <v>0.25</v>
      </c>
      <c r="F3615" s="70">
        <v>30.912999999999997</v>
      </c>
      <c r="G3615" s="70">
        <f>IF(ISNUMBER(F3615),E3615*F3615,"")</f>
        <v>7.7282499999999992</v>
      </c>
      <c r="H3615" s="46">
        <f>SUM(G3615:G3618)</f>
        <v>10.09755</v>
      </c>
      <c r="I3615" s="47"/>
      <c r="J3615" s="37">
        <v>0</v>
      </c>
    </row>
    <row r="3616" spans="1:10" hidden="1" x14ac:dyDescent="0.25">
      <c r="A3616" s="174"/>
      <c r="B3616" s="177"/>
      <c r="C3616" s="43" t="s">
        <v>10614</v>
      </c>
      <c r="D3616" s="43" t="s">
        <v>2800</v>
      </c>
      <c r="E3616" s="44">
        <v>0.1</v>
      </c>
      <c r="F3616" s="70">
        <v>23.693000000000001</v>
      </c>
      <c r="G3616" s="70">
        <f>IF(ISNUMBER(F3616),E3616*F3616,"")</f>
        <v>2.3693000000000004</v>
      </c>
      <c r="H3616" s="71"/>
      <c r="I3616" s="72"/>
      <c r="J3616" s="37">
        <v>0</v>
      </c>
    </row>
    <row r="3617" spans="1:10" hidden="1" x14ac:dyDescent="0.25">
      <c r="A3617" s="174"/>
      <c r="B3617" s="177"/>
      <c r="C3617" s="43" t="s">
        <v>879</v>
      </c>
      <c r="D3617" s="43" t="s">
        <v>87</v>
      </c>
      <c r="E3617" s="44">
        <f>(2/(0.4*0.8))*0.016/2</f>
        <v>4.9999999999999996E-2</v>
      </c>
      <c r="F3617" s="70" t="s">
        <v>13</v>
      </c>
      <c r="G3617" s="70" t="str">
        <f>IF(ISNUMBER(F3617),E3617*F3617,"")</f>
        <v/>
      </c>
      <c r="H3617" s="71"/>
      <c r="I3617" s="72"/>
      <c r="J3617" s="37">
        <v>0</v>
      </c>
    </row>
    <row r="3618" spans="1:10" hidden="1" x14ac:dyDescent="0.25">
      <c r="A3618" s="174"/>
      <c r="B3618" s="177"/>
      <c r="C3618" s="43" t="s">
        <v>880</v>
      </c>
      <c r="D3618" s="43" t="s">
        <v>881</v>
      </c>
      <c r="E3618" s="44">
        <f>(2/(0.4*0.8))*0.1/2</f>
        <v>0.3125</v>
      </c>
      <c r="F3618" s="70" t="s">
        <v>13</v>
      </c>
      <c r="G3618" s="70" t="str">
        <f>IF(ISNUMBER(F3618),E3618*F3618,"")</f>
        <v/>
      </c>
      <c r="H3618" s="71"/>
      <c r="I3618" s="72"/>
      <c r="J3618" s="37">
        <v>0</v>
      </c>
    </row>
    <row r="3619" spans="1:10" hidden="1" x14ac:dyDescent="0.25">
      <c r="A3619" s="174"/>
      <c r="B3619" s="177"/>
      <c r="C3619" s="43"/>
      <c r="D3619" s="43"/>
      <c r="E3619" s="44"/>
      <c r="F3619" s="70" t="s">
        <v>13</v>
      </c>
      <c r="G3619" s="70" t="str">
        <f>IF(ISNUMBER(F3619),E3619*F3619,"")</f>
        <v/>
      </c>
      <c r="H3619" s="71"/>
      <c r="I3619" s="72"/>
      <c r="J3619" s="37">
        <v>0</v>
      </c>
    </row>
    <row r="3620" spans="1:10" hidden="1" x14ac:dyDescent="0.25">
      <c r="A3620" s="174"/>
      <c r="B3620" s="177"/>
      <c r="C3620" s="90" t="s">
        <v>897</v>
      </c>
      <c r="D3620" s="43"/>
      <c r="E3620" s="44"/>
      <c r="F3620" s="70" t="s">
        <v>13</v>
      </c>
      <c r="G3620" s="70" t="str">
        <f>IF(ISNUMBER(F3620),E3620*F3620,"")</f>
        <v/>
      </c>
      <c r="H3620" s="71"/>
      <c r="I3620" s="72"/>
      <c r="J3620" s="37">
        <v>0</v>
      </c>
    </row>
    <row r="3621" spans="1:10" ht="15.75" hidden="1" thickBot="1" x14ac:dyDescent="0.3">
      <c r="A3621" s="175"/>
      <c r="B3621" s="178"/>
      <c r="C3621" s="43"/>
      <c r="D3621" s="43"/>
      <c r="E3621" s="44"/>
      <c r="F3621" s="70" t="s">
        <v>13</v>
      </c>
      <c r="G3621" s="70" t="str">
        <f>IF(ISNUMBER(F3621),E3621*F3621,"")</f>
        <v/>
      </c>
      <c r="H3621" s="71"/>
      <c r="I3621" s="72"/>
      <c r="J3621" s="37">
        <v>0</v>
      </c>
    </row>
    <row r="3622" spans="1:10" ht="15.75" hidden="1" thickBot="1" x14ac:dyDescent="0.3">
      <c r="A3622" s="173" t="s">
        <v>899</v>
      </c>
      <c r="B3622" s="176" t="s">
        <v>4363</v>
      </c>
      <c r="C3622" s="31"/>
      <c r="D3622" s="32" t="s">
        <v>68</v>
      </c>
      <c r="E3622" s="33"/>
      <c r="F3622" s="60" t="s">
        <v>13</v>
      </c>
      <c r="G3622" s="34" t="str">
        <f>IF(ISNUMBER(F3622),E3622*F3622,"")</f>
        <v/>
      </c>
      <c r="H3622" s="35"/>
      <c r="I3622" s="36"/>
      <c r="J3622" s="37">
        <v>0</v>
      </c>
    </row>
    <row r="3623" spans="1:10" hidden="1" x14ac:dyDescent="0.25">
      <c r="A3623" s="174"/>
      <c r="B3623" s="177"/>
      <c r="C3623" s="39"/>
      <c r="D3623" s="39"/>
      <c r="E3623" s="40"/>
      <c r="F3623" s="70" t="s">
        <v>13</v>
      </c>
      <c r="G3623" s="70" t="str">
        <f>IF(ISNUMBER(F3623),E3623*F3623,"")</f>
        <v/>
      </c>
      <c r="H3623" s="71"/>
      <c r="I3623" s="72"/>
      <c r="J3623" s="37">
        <v>0</v>
      </c>
    </row>
    <row r="3624" spans="1:10" hidden="1" x14ac:dyDescent="0.25">
      <c r="A3624" s="174"/>
      <c r="B3624" s="177"/>
      <c r="C3624" s="43" t="s">
        <v>10830</v>
      </c>
      <c r="D3624" s="43" t="s">
        <v>2800</v>
      </c>
      <c r="E3624" s="44">
        <v>1.35</v>
      </c>
      <c r="F3624" s="70">
        <v>30.912999999999997</v>
      </c>
      <c r="G3624" s="70">
        <f>IF(ISNUMBER(F3624),E3624*F3624,"")</f>
        <v>41.732549999999996</v>
      </c>
      <c r="H3624" s="46">
        <f>SUM(G3624:G3627)</f>
        <v>64.962900000000005</v>
      </c>
      <c r="I3624" s="47"/>
      <c r="J3624" s="37">
        <v>0</v>
      </c>
    </row>
    <row r="3625" spans="1:10" hidden="1" x14ac:dyDescent="0.25">
      <c r="A3625" s="174"/>
      <c r="B3625" s="177"/>
      <c r="C3625" s="43" t="s">
        <v>10614</v>
      </c>
      <c r="D3625" s="43" t="s">
        <v>2800</v>
      </c>
      <c r="E3625" s="44">
        <v>0.6</v>
      </c>
      <c r="F3625" s="70">
        <v>23.693000000000001</v>
      </c>
      <c r="G3625" s="70">
        <f>IF(ISNUMBER(F3625),E3625*F3625,"")</f>
        <v>14.2158</v>
      </c>
      <c r="H3625" s="71"/>
      <c r="I3625" s="72"/>
      <c r="J3625" s="37">
        <v>0</v>
      </c>
    </row>
    <row r="3626" spans="1:10" hidden="1" x14ac:dyDescent="0.25">
      <c r="A3626" s="174"/>
      <c r="B3626" s="177"/>
      <c r="C3626" s="43" t="s">
        <v>10872</v>
      </c>
      <c r="D3626" s="43" t="s">
        <v>1044</v>
      </c>
      <c r="E3626" s="44">
        <v>4.5</v>
      </c>
      <c r="F3626" s="70">
        <v>1.7765</v>
      </c>
      <c r="G3626" s="70">
        <f>IF(ISNUMBER(F3626),E3626*F3626,"")</f>
        <v>7.9942500000000001</v>
      </c>
      <c r="H3626" s="71"/>
      <c r="I3626" s="72"/>
      <c r="J3626" s="37">
        <v>0</v>
      </c>
    </row>
    <row r="3627" spans="1:10" hidden="1" x14ac:dyDescent="0.25">
      <c r="A3627" s="174"/>
      <c r="B3627" s="177"/>
      <c r="C3627" s="43" t="s">
        <v>10871</v>
      </c>
      <c r="D3627" s="43" t="s">
        <v>1044</v>
      </c>
      <c r="E3627" s="44">
        <v>0.3</v>
      </c>
      <c r="F3627" s="70">
        <v>3.4009999999999998</v>
      </c>
      <c r="G3627" s="70">
        <f>IF(ISNUMBER(F3627),E3627*F3627,"")</f>
        <v>1.0203</v>
      </c>
      <c r="H3627" s="71"/>
      <c r="I3627" s="72"/>
      <c r="J3627" s="37">
        <v>0</v>
      </c>
    </row>
    <row r="3628" spans="1:10" ht="15.75" hidden="1" thickBot="1" x14ac:dyDescent="0.3">
      <c r="A3628" s="175"/>
      <c r="B3628" s="178"/>
      <c r="C3628" s="49"/>
      <c r="D3628" s="49"/>
      <c r="E3628" s="50"/>
      <c r="F3628" s="83" t="s">
        <v>13</v>
      </c>
      <c r="G3628" s="83" t="str">
        <f>IF(ISNUMBER(F3628),E3628*F3628,"")</f>
        <v/>
      </c>
      <c r="H3628" s="84"/>
      <c r="I3628" s="72"/>
      <c r="J3628" s="37">
        <v>0</v>
      </c>
    </row>
    <row r="3629" spans="1:10" ht="15.75" hidden="1" thickBot="1" x14ac:dyDescent="0.3">
      <c r="A3629" s="173" t="s">
        <v>900</v>
      </c>
      <c r="B3629" s="176" t="s">
        <v>4364</v>
      </c>
      <c r="C3629" s="31"/>
      <c r="D3629" s="32" t="s">
        <v>68</v>
      </c>
      <c r="E3629" s="33"/>
      <c r="F3629" s="60" t="s">
        <v>13</v>
      </c>
      <c r="G3629" s="34" t="str">
        <f>IF(ISNUMBER(F3629),E3629*F3629,"")</f>
        <v/>
      </c>
      <c r="H3629" s="35"/>
      <c r="I3629" s="36"/>
      <c r="J3629" s="37">
        <v>0</v>
      </c>
    </row>
    <row r="3630" spans="1:10" hidden="1" x14ac:dyDescent="0.25">
      <c r="A3630" s="174"/>
      <c r="B3630" s="177"/>
      <c r="C3630" s="39"/>
      <c r="D3630" s="39"/>
      <c r="E3630" s="40"/>
      <c r="F3630" s="70" t="s">
        <v>13</v>
      </c>
      <c r="G3630" s="70" t="str">
        <f>IF(ISNUMBER(F3630),E3630*F3630,"")</f>
        <v/>
      </c>
      <c r="H3630" s="71"/>
      <c r="I3630" s="72"/>
      <c r="J3630" s="37">
        <v>0</v>
      </c>
    </row>
    <row r="3631" spans="1:10" hidden="1" x14ac:dyDescent="0.25">
      <c r="A3631" s="174"/>
      <c r="B3631" s="177"/>
      <c r="C3631" s="43" t="s">
        <v>10830</v>
      </c>
      <c r="D3631" s="43" t="s">
        <v>2800</v>
      </c>
      <c r="E3631" s="44">
        <f>1.35</f>
        <v>1.35</v>
      </c>
      <c r="F3631" s="70">
        <v>30.912999999999997</v>
      </c>
      <c r="G3631" s="70">
        <f>IF(ISNUMBER(F3631),E3631*F3631,"")</f>
        <v>41.732549999999996</v>
      </c>
      <c r="H3631" s="46">
        <f>SUM(G3631:G3640)</f>
        <v>85.947210634962858</v>
      </c>
      <c r="I3631" s="47"/>
      <c r="J3631" s="37">
        <v>0</v>
      </c>
    </row>
    <row r="3632" spans="1:10" hidden="1" x14ac:dyDescent="0.25">
      <c r="A3632" s="174"/>
      <c r="B3632" s="177"/>
      <c r="C3632" s="43" t="s">
        <v>10757</v>
      </c>
      <c r="D3632" s="43" t="s">
        <v>2800</v>
      </c>
      <c r="E3632" s="44">
        <v>0.1</v>
      </c>
      <c r="F3632" s="70">
        <v>31.055499999999995</v>
      </c>
      <c r="G3632" s="70">
        <f>IF(ISNUMBER(F3632),E3632*F3632,"")</f>
        <v>3.1055499999999996</v>
      </c>
      <c r="H3632" s="71"/>
      <c r="I3632" s="72"/>
      <c r="J3632" s="37">
        <v>0</v>
      </c>
    </row>
    <row r="3633" spans="1:10" hidden="1" x14ac:dyDescent="0.25">
      <c r="A3633" s="174"/>
      <c r="B3633" s="177"/>
      <c r="C3633" s="43" t="s">
        <v>10614</v>
      </c>
      <c r="D3633" s="43" t="s">
        <v>2800</v>
      </c>
      <c r="E3633" s="44">
        <f>0.6+0.1+0.1</f>
        <v>0.79999999999999993</v>
      </c>
      <c r="F3633" s="70">
        <v>23.693000000000001</v>
      </c>
      <c r="G3633" s="70">
        <f>IF(ISNUMBER(F3633),E3633*F3633,"")</f>
        <v>18.9544</v>
      </c>
      <c r="H3633" s="71"/>
      <c r="I3633" s="72"/>
      <c r="J3633" s="37">
        <v>0</v>
      </c>
    </row>
    <row r="3634" spans="1:10" hidden="1" x14ac:dyDescent="0.25">
      <c r="A3634" s="174"/>
      <c r="B3634" s="177"/>
      <c r="C3634" s="43" t="s">
        <v>10872</v>
      </c>
      <c r="D3634" s="43" t="s">
        <v>1044</v>
      </c>
      <c r="E3634" s="44">
        <v>4.5</v>
      </c>
      <c r="F3634" s="70">
        <v>1.7765</v>
      </c>
      <c r="G3634" s="70">
        <f>IF(ISNUMBER(F3634),E3634*F3634,"")</f>
        <v>7.9942500000000001</v>
      </c>
      <c r="H3634" s="71"/>
      <c r="I3634" s="72"/>
      <c r="J3634" s="37">
        <v>0</v>
      </c>
    </row>
    <row r="3635" spans="1:10" hidden="1" x14ac:dyDescent="0.25">
      <c r="A3635" s="174"/>
      <c r="B3635" s="177"/>
      <c r="C3635" s="43" t="s">
        <v>10871</v>
      </c>
      <c r="D3635" s="43" t="s">
        <v>1044</v>
      </c>
      <c r="E3635" s="44">
        <v>0.3</v>
      </c>
      <c r="F3635" s="70">
        <v>3.4009999999999998</v>
      </c>
      <c r="G3635" s="70">
        <f>IF(ISNUMBER(F3635),E3635*F3635,"")</f>
        <v>1.0203</v>
      </c>
      <c r="H3635" s="71"/>
      <c r="I3635" s="72"/>
      <c r="J3635" s="37">
        <v>0</v>
      </c>
    </row>
    <row r="3636" spans="1:10" ht="25.5" hidden="1" x14ac:dyDescent="0.25">
      <c r="A3636" s="174"/>
      <c r="B3636" s="177"/>
      <c r="C3636" s="43" t="s">
        <v>11057</v>
      </c>
      <c r="D3636" s="43" t="s">
        <v>83</v>
      </c>
      <c r="E3636" s="44">
        <f>2/(0.4*0.8)</f>
        <v>6.2499999999999991</v>
      </c>
      <c r="F3636" s="70">
        <v>2.09</v>
      </c>
      <c r="G3636" s="70">
        <f>IF(ISNUMBER(F3636),E3636*F3636,"")</f>
        <v>13.062499999999996</v>
      </c>
      <c r="H3636" s="71"/>
      <c r="I3636" s="72"/>
      <c r="J3636" s="37">
        <v>0</v>
      </c>
    </row>
    <row r="3637" spans="1:10" hidden="1" x14ac:dyDescent="0.25">
      <c r="A3637" s="174"/>
      <c r="B3637" s="177"/>
      <c r="C3637" s="43" t="s">
        <v>879</v>
      </c>
      <c r="D3637" s="43" t="s">
        <v>87</v>
      </c>
      <c r="E3637" s="44">
        <f>(2/(0.4*0.8))*(0.016)*1.5</f>
        <v>0.15</v>
      </c>
      <c r="F3637" s="70" t="s">
        <v>13</v>
      </c>
      <c r="G3637" s="70" t="str">
        <f>IF(ISNUMBER(F3637),E3637*F3637,"")</f>
        <v/>
      </c>
      <c r="H3637" s="71"/>
      <c r="I3637" s="72"/>
      <c r="J3637" s="37">
        <v>0</v>
      </c>
    </row>
    <row r="3638" spans="1:10" hidden="1" x14ac:dyDescent="0.25">
      <c r="A3638" s="174"/>
      <c r="B3638" s="177"/>
      <c r="C3638" s="43" t="s">
        <v>880</v>
      </c>
      <c r="D3638" s="43" t="s">
        <v>881</v>
      </c>
      <c r="E3638" s="44">
        <f>(2/(0.4*0.8))*0.1*1.5</f>
        <v>0.9375</v>
      </c>
      <c r="F3638" s="70" t="s">
        <v>13</v>
      </c>
      <c r="G3638" s="70" t="str">
        <f>IF(ISNUMBER(F3638),E3638*F3638,"")</f>
        <v/>
      </c>
      <c r="H3638" s="71"/>
      <c r="I3638" s="72"/>
      <c r="J3638" s="37">
        <v>0</v>
      </c>
    </row>
    <row r="3639" spans="1:10" hidden="1" x14ac:dyDescent="0.25">
      <c r="A3639" s="174"/>
      <c r="B3639" s="177"/>
      <c r="C3639" s="43" t="s">
        <v>890</v>
      </c>
      <c r="D3639" s="43" t="s">
        <v>87</v>
      </c>
      <c r="E3639" s="44">
        <f>2/(0.4*0.8)</f>
        <v>6.2499999999999991</v>
      </c>
      <c r="F3639" s="70" t="s">
        <v>13</v>
      </c>
      <c r="G3639" s="70" t="str">
        <f>IF(ISNUMBER(F3639),E3639*F3639,"")</f>
        <v/>
      </c>
      <c r="H3639" s="71"/>
      <c r="I3639" s="72"/>
      <c r="J3639" s="37">
        <v>0</v>
      </c>
    </row>
    <row r="3640" spans="1:10" ht="38.25" hidden="1" x14ac:dyDescent="0.25">
      <c r="A3640" s="174"/>
      <c r="B3640" s="177"/>
      <c r="C3640" s="43" t="s">
        <v>10699</v>
      </c>
      <c r="D3640" s="43" t="s">
        <v>2880</v>
      </c>
      <c r="E3640" s="44">
        <v>1E-4</v>
      </c>
      <c r="F3640" s="70">
        <v>776.60634962849986</v>
      </c>
      <c r="G3640" s="70">
        <f>IF(ISNUMBER(F3640),E3640*F3640,"")</f>
        <v>7.7660634962849986E-2</v>
      </c>
      <c r="H3640" s="71"/>
      <c r="I3640" s="72"/>
      <c r="J3640" s="37">
        <v>0</v>
      </c>
    </row>
    <row r="3641" spans="1:10" hidden="1" x14ac:dyDescent="0.25">
      <c r="A3641" s="174"/>
      <c r="B3641" s="177"/>
      <c r="C3641" s="43"/>
      <c r="D3641" s="43"/>
      <c r="E3641" s="44"/>
      <c r="F3641" s="70" t="s">
        <v>13</v>
      </c>
      <c r="G3641" s="70" t="str">
        <f>IF(ISNUMBER(F3641),E3641*F3641,"")</f>
        <v/>
      </c>
      <c r="H3641" s="71"/>
      <c r="I3641" s="72"/>
      <c r="J3641" s="37">
        <v>0</v>
      </c>
    </row>
    <row r="3642" spans="1:10" hidden="1" x14ac:dyDescent="0.25">
      <c r="A3642" s="174"/>
      <c r="B3642" s="177"/>
      <c r="C3642" s="90" t="s">
        <v>891</v>
      </c>
      <c r="D3642" s="43"/>
      <c r="E3642" s="44"/>
      <c r="F3642" s="70" t="s">
        <v>13</v>
      </c>
      <c r="G3642" s="70" t="str">
        <f>IF(ISNUMBER(F3642),E3642*F3642,"")</f>
        <v/>
      </c>
      <c r="H3642" s="71"/>
      <c r="I3642" s="72"/>
      <c r="J3642" s="37">
        <v>0</v>
      </c>
    </row>
    <row r="3643" spans="1:10" ht="25.5" hidden="1" x14ac:dyDescent="0.25">
      <c r="A3643" s="174"/>
      <c r="B3643" s="177"/>
      <c r="C3643" s="90" t="s">
        <v>892</v>
      </c>
      <c r="D3643" s="43"/>
      <c r="E3643" s="44"/>
      <c r="F3643" s="70" t="s">
        <v>13</v>
      </c>
      <c r="G3643" s="70" t="str">
        <f>IF(ISNUMBER(F3643),E3643*F3643,"")</f>
        <v/>
      </c>
      <c r="H3643" s="71"/>
      <c r="I3643" s="72"/>
      <c r="J3643" s="37">
        <v>0</v>
      </c>
    </row>
    <row r="3644" spans="1:10" ht="15.75" hidden="1" thickBot="1" x14ac:dyDescent="0.3">
      <c r="A3644" s="175"/>
      <c r="B3644" s="178"/>
      <c r="C3644" s="49"/>
      <c r="D3644" s="49"/>
      <c r="E3644" s="50"/>
      <c r="F3644" s="83" t="s">
        <v>13</v>
      </c>
      <c r="G3644" s="83" t="str">
        <f>IF(ISNUMBER(F3644),E3644*F3644,"")</f>
        <v/>
      </c>
      <c r="H3644" s="84"/>
      <c r="I3644" s="72"/>
      <c r="J3644" s="37">
        <v>0</v>
      </c>
    </row>
    <row r="3645" spans="1:10" ht="15.75" hidden="1" thickBot="1" x14ac:dyDescent="0.3">
      <c r="A3645" s="173" t="s">
        <v>901</v>
      </c>
      <c r="B3645" s="176" t="s">
        <v>4365</v>
      </c>
      <c r="C3645" s="31"/>
      <c r="D3645" s="32" t="s">
        <v>68</v>
      </c>
      <c r="E3645" s="33"/>
      <c r="F3645" s="60" t="s">
        <v>13</v>
      </c>
      <c r="G3645" s="34" t="str">
        <f>IF(ISNUMBER(F3645),E3645*F3645,"")</f>
        <v/>
      </c>
      <c r="H3645" s="35"/>
      <c r="I3645" s="36"/>
      <c r="J3645" s="37">
        <v>0</v>
      </c>
    </row>
    <row r="3646" spans="1:10" hidden="1" x14ac:dyDescent="0.25">
      <c r="A3646" s="179"/>
      <c r="B3646" s="177"/>
      <c r="C3646" s="39"/>
      <c r="D3646" s="39"/>
      <c r="E3646" s="40"/>
      <c r="F3646" s="70" t="s">
        <v>13</v>
      </c>
      <c r="G3646" s="70" t="str">
        <f>IF(ISNUMBER(F3646),E3646*F3646,"")</f>
        <v/>
      </c>
      <c r="H3646" s="71"/>
      <c r="I3646" s="72"/>
      <c r="J3646" s="37">
        <v>0</v>
      </c>
    </row>
    <row r="3647" spans="1:10" hidden="1" x14ac:dyDescent="0.25">
      <c r="A3647" s="179"/>
      <c r="B3647" s="177"/>
      <c r="C3647" s="43" t="s">
        <v>10674</v>
      </c>
      <c r="D3647" s="43" t="s">
        <v>2800</v>
      </c>
      <c r="E3647" s="44">
        <v>0.4</v>
      </c>
      <c r="F3647" s="70">
        <v>32.6325</v>
      </c>
      <c r="G3647" s="70">
        <f>IF(ISNUMBER(F3647),E3647*F3647,"")</f>
        <v>13.053000000000001</v>
      </c>
      <c r="H3647" s="46">
        <f>SUM(G3647:G3649)</f>
        <v>15.681650000000001</v>
      </c>
      <c r="I3647" s="47"/>
      <c r="J3647" s="37">
        <v>0</v>
      </c>
    </row>
    <row r="3648" spans="1:10" hidden="1" x14ac:dyDescent="0.25">
      <c r="A3648" s="179"/>
      <c r="B3648" s="177"/>
      <c r="C3648" s="43" t="s">
        <v>10836</v>
      </c>
      <c r="D3648" s="43" t="s">
        <v>2800</v>
      </c>
      <c r="E3648" s="44">
        <v>0.1</v>
      </c>
      <c r="F3648" s="70">
        <v>26.2865</v>
      </c>
      <c r="G3648" s="70">
        <f>IF(ISNUMBER(F3648),E3648*F3648,"")</f>
        <v>2.6286500000000004</v>
      </c>
      <c r="H3648" s="71"/>
      <c r="I3648" s="72"/>
      <c r="J3648" s="37">
        <v>0</v>
      </c>
    </row>
    <row r="3649" spans="1:10" hidden="1" x14ac:dyDescent="0.25">
      <c r="A3649" s="179"/>
      <c r="B3649" s="177"/>
      <c r="C3649" s="43" t="s">
        <v>902</v>
      </c>
      <c r="D3649" s="6" t="s">
        <v>70</v>
      </c>
      <c r="E3649" s="44">
        <v>0.33</v>
      </c>
      <c r="F3649" s="70" t="s">
        <v>13</v>
      </c>
      <c r="G3649" s="70" t="str">
        <f>IF(ISNUMBER(F3649),E3649*F3649,"")</f>
        <v/>
      </c>
      <c r="H3649" s="71"/>
      <c r="I3649" s="72"/>
      <c r="J3649" s="37">
        <v>0</v>
      </c>
    </row>
    <row r="3650" spans="1:10" ht="15.75" hidden="1" thickBot="1" x14ac:dyDescent="0.3">
      <c r="A3650" s="180"/>
      <c r="B3650" s="178"/>
      <c r="C3650" s="49"/>
      <c r="D3650" s="49"/>
      <c r="E3650" s="50"/>
      <c r="F3650" s="83" t="s">
        <v>13</v>
      </c>
      <c r="G3650" s="83" t="str">
        <f>IF(ISNUMBER(F3650),E3650*F3650,"")</f>
        <v/>
      </c>
      <c r="H3650" s="84"/>
      <c r="I3650" s="72"/>
      <c r="J3650" s="37">
        <v>0</v>
      </c>
    </row>
    <row r="3651" spans="1:10" ht="15.75" hidden="1" thickBot="1" x14ac:dyDescent="0.3">
      <c r="A3651" s="173" t="s">
        <v>903</v>
      </c>
      <c r="B3651" s="176" t="s">
        <v>4366</v>
      </c>
      <c r="C3651" s="31"/>
      <c r="D3651" s="32" t="s">
        <v>106</v>
      </c>
      <c r="E3651" s="33"/>
      <c r="F3651" s="60" t="s">
        <v>13</v>
      </c>
      <c r="G3651" s="34" t="str">
        <f>IF(ISNUMBER(F3651),E3651*F3651,"")</f>
        <v/>
      </c>
      <c r="H3651" s="35"/>
      <c r="I3651" s="36"/>
      <c r="J3651" s="37">
        <v>0</v>
      </c>
    </row>
    <row r="3652" spans="1:10" hidden="1" x14ac:dyDescent="0.25">
      <c r="A3652" s="179"/>
      <c r="B3652" s="177"/>
      <c r="C3652" s="39"/>
      <c r="D3652" s="39"/>
      <c r="E3652" s="40"/>
      <c r="F3652" s="70" t="s">
        <v>13</v>
      </c>
      <c r="G3652" s="70" t="str">
        <f>IF(ISNUMBER(F3652),E3652*F3652,"")</f>
        <v/>
      </c>
      <c r="H3652" s="71"/>
      <c r="I3652" s="72"/>
      <c r="J3652" s="37">
        <v>0</v>
      </c>
    </row>
    <row r="3653" spans="1:10" hidden="1" x14ac:dyDescent="0.25">
      <c r="A3653" s="179"/>
      <c r="B3653" s="177"/>
      <c r="C3653" s="43" t="s">
        <v>10830</v>
      </c>
      <c r="D3653" s="43" t="s">
        <v>2800</v>
      </c>
      <c r="E3653" s="44">
        <v>0.6</v>
      </c>
      <c r="F3653" s="70">
        <v>30.912999999999997</v>
      </c>
      <c r="G3653" s="70">
        <f>IF(ISNUMBER(F3653),E3653*F3653,"")</f>
        <v>18.547799999999999</v>
      </c>
      <c r="H3653" s="46">
        <f>SUM(G3653:G3655)</f>
        <v>28.024999999999999</v>
      </c>
      <c r="I3653" s="47"/>
      <c r="J3653" s="37">
        <v>0</v>
      </c>
    </row>
    <row r="3654" spans="1:10" hidden="1" x14ac:dyDescent="0.25">
      <c r="A3654" s="179"/>
      <c r="B3654" s="177"/>
      <c r="C3654" s="43" t="s">
        <v>10614</v>
      </c>
      <c r="D3654" s="43" t="s">
        <v>2800</v>
      </c>
      <c r="E3654" s="44">
        <v>0.4</v>
      </c>
      <c r="F3654" s="70">
        <v>23.693000000000001</v>
      </c>
      <c r="G3654" s="70">
        <f>IF(ISNUMBER(F3654),E3654*F3654,"")</f>
        <v>9.4772000000000016</v>
      </c>
      <c r="H3654" s="71"/>
      <c r="I3654" s="72"/>
      <c r="J3654" s="37">
        <v>0</v>
      </c>
    </row>
    <row r="3655" spans="1:10" ht="25.5" hidden="1" x14ac:dyDescent="0.25">
      <c r="A3655" s="179"/>
      <c r="B3655" s="177"/>
      <c r="C3655" s="43" t="s">
        <v>904</v>
      </c>
      <c r="D3655" s="62" t="s">
        <v>106</v>
      </c>
      <c r="E3655" s="44">
        <v>1</v>
      </c>
      <c r="F3655" s="70" t="s">
        <v>13</v>
      </c>
      <c r="G3655" s="70" t="str">
        <f>IF(ISNUMBER(F3655),E3655*F3655,"")</f>
        <v/>
      </c>
      <c r="H3655" s="71"/>
      <c r="I3655" s="72"/>
      <c r="J3655" s="37">
        <v>0</v>
      </c>
    </row>
    <row r="3656" spans="1:10" ht="15.75" hidden="1" thickBot="1" x14ac:dyDescent="0.3">
      <c r="A3656" s="180"/>
      <c r="B3656" s="178"/>
      <c r="C3656" s="49"/>
      <c r="D3656" s="49"/>
      <c r="E3656" s="50"/>
      <c r="F3656" s="83" t="s">
        <v>13</v>
      </c>
      <c r="G3656" s="83" t="str">
        <f>IF(ISNUMBER(F3656),E3656*F3656,"")</f>
        <v/>
      </c>
      <c r="H3656" s="84"/>
      <c r="I3656" s="72"/>
      <c r="J3656" s="37">
        <v>0</v>
      </c>
    </row>
    <row r="3657" spans="1:10" ht="15.75" hidden="1" thickBot="1" x14ac:dyDescent="0.3">
      <c r="A3657" s="173" t="s">
        <v>905</v>
      </c>
      <c r="B3657" s="176" t="s">
        <v>4367</v>
      </c>
      <c r="C3657" s="31"/>
      <c r="D3657" s="32" t="s">
        <v>68</v>
      </c>
      <c r="E3657" s="33"/>
      <c r="F3657" s="60" t="s">
        <v>13</v>
      </c>
      <c r="G3657" s="34" t="str">
        <f>IF(ISNUMBER(F3657),E3657*F3657,"")</f>
        <v/>
      </c>
      <c r="H3657" s="35"/>
      <c r="I3657" s="36"/>
      <c r="J3657" s="37">
        <v>0</v>
      </c>
    </row>
    <row r="3658" spans="1:10" hidden="1" x14ac:dyDescent="0.25">
      <c r="A3658" s="179"/>
      <c r="B3658" s="177"/>
      <c r="C3658" s="39"/>
      <c r="D3658" s="39"/>
      <c r="E3658" s="40"/>
      <c r="F3658" s="70" t="s">
        <v>13</v>
      </c>
      <c r="G3658" s="70" t="str">
        <f>IF(ISNUMBER(F3658),E3658*F3658,"")</f>
        <v/>
      </c>
      <c r="H3658" s="71"/>
      <c r="I3658" s="72"/>
      <c r="J3658" s="37">
        <v>0</v>
      </c>
    </row>
    <row r="3659" spans="1:10" hidden="1" x14ac:dyDescent="0.25">
      <c r="A3659" s="179"/>
      <c r="B3659" s="177"/>
      <c r="C3659" s="43" t="s">
        <v>906</v>
      </c>
      <c r="D3659" s="43" t="s">
        <v>68</v>
      </c>
      <c r="E3659" s="44">
        <v>1.05</v>
      </c>
      <c r="F3659" s="70" t="s">
        <v>13</v>
      </c>
      <c r="G3659" s="70" t="str">
        <f>IF(ISNUMBER(F3659),E3659*F3659,"")</f>
        <v/>
      </c>
      <c r="H3659" s="46">
        <f>SUM(G3659:G3663)</f>
        <v>147.35334099999997</v>
      </c>
      <c r="I3659" s="47"/>
      <c r="J3659" s="37">
        <v>0</v>
      </c>
    </row>
    <row r="3660" spans="1:10" hidden="1" x14ac:dyDescent="0.25">
      <c r="A3660" s="179"/>
      <c r="B3660" s="177"/>
      <c r="C3660" s="43" t="s">
        <v>10872</v>
      </c>
      <c r="D3660" s="43" t="s">
        <v>1044</v>
      </c>
      <c r="E3660" s="44">
        <f>0.8614/0.1</f>
        <v>8.6140000000000008</v>
      </c>
      <c r="F3660" s="70">
        <v>1.7765</v>
      </c>
      <c r="G3660" s="70">
        <f>IF(ISNUMBER(F3660),E3660*F3660,"")</f>
        <v>15.302771000000002</v>
      </c>
      <c r="H3660" s="71"/>
      <c r="I3660" s="72"/>
      <c r="J3660" s="37">
        <v>0</v>
      </c>
    </row>
    <row r="3661" spans="1:10" hidden="1" x14ac:dyDescent="0.25">
      <c r="A3661" s="179"/>
      <c r="B3661" s="177"/>
      <c r="C3661" s="43" t="s">
        <v>10830</v>
      </c>
      <c r="D3661" s="43" t="s">
        <v>2800</v>
      </c>
      <c r="E3661" s="44">
        <f>0.299/0.1</f>
        <v>2.9899999999999998</v>
      </c>
      <c r="F3661" s="70">
        <v>30.912999999999997</v>
      </c>
      <c r="G3661" s="70">
        <f>IF(ISNUMBER(F3661),E3661*F3661,"")</f>
        <v>92.42986999999998</v>
      </c>
      <c r="H3661" s="71"/>
      <c r="I3661" s="72"/>
      <c r="J3661" s="37">
        <v>0</v>
      </c>
    </row>
    <row r="3662" spans="1:10" hidden="1" x14ac:dyDescent="0.25">
      <c r="A3662" s="179"/>
      <c r="B3662" s="177"/>
      <c r="C3662" s="43" t="s">
        <v>10614</v>
      </c>
      <c r="D3662" s="43" t="s">
        <v>2800</v>
      </c>
      <c r="E3662" s="44">
        <f>0.15/0.1</f>
        <v>1.4999999999999998</v>
      </c>
      <c r="F3662" s="70">
        <v>23.693000000000001</v>
      </c>
      <c r="G3662" s="70">
        <f>IF(ISNUMBER(F3662),E3662*F3662,"")</f>
        <v>35.539499999999997</v>
      </c>
      <c r="H3662" s="71"/>
      <c r="I3662" s="72"/>
      <c r="J3662" s="37">
        <v>0</v>
      </c>
    </row>
    <row r="3663" spans="1:10" hidden="1" x14ac:dyDescent="0.25">
      <c r="A3663" s="179"/>
      <c r="B3663" s="177"/>
      <c r="C3663" s="43" t="s">
        <v>10871</v>
      </c>
      <c r="D3663" s="43" t="s">
        <v>1044</v>
      </c>
      <c r="E3663" s="44">
        <f>0.12/0.1</f>
        <v>1.2</v>
      </c>
      <c r="F3663" s="70">
        <v>3.4009999999999998</v>
      </c>
      <c r="G3663" s="70">
        <f>IF(ISNUMBER(F3663),E3663*F3663,"")</f>
        <v>4.0811999999999999</v>
      </c>
      <c r="H3663" s="71"/>
      <c r="I3663" s="72"/>
      <c r="J3663" s="37">
        <v>0</v>
      </c>
    </row>
    <row r="3664" spans="1:10" ht="15.75" hidden="1" thickBot="1" x14ac:dyDescent="0.3">
      <c r="A3664" s="180"/>
      <c r="B3664" s="178"/>
      <c r="C3664" s="49"/>
      <c r="D3664" s="49"/>
      <c r="E3664" s="50"/>
      <c r="F3664" s="83" t="s">
        <v>13</v>
      </c>
      <c r="G3664" s="83" t="str">
        <f>IF(ISNUMBER(F3664),E3664*F3664,"")</f>
        <v/>
      </c>
      <c r="H3664" s="84"/>
      <c r="I3664" s="72"/>
      <c r="J3664" s="37">
        <v>0</v>
      </c>
    </row>
    <row r="3665" spans="1:10" ht="15.75" hidden="1" thickBot="1" x14ac:dyDescent="0.3">
      <c r="A3665" s="173" t="s">
        <v>907</v>
      </c>
      <c r="B3665" s="176" t="s">
        <v>4368</v>
      </c>
      <c r="C3665" s="31"/>
      <c r="D3665" s="32" t="s">
        <v>18</v>
      </c>
      <c r="E3665" s="33"/>
      <c r="F3665" s="60" t="s">
        <v>13</v>
      </c>
      <c r="G3665" s="34" t="str">
        <f>IF(ISNUMBER(F3665),E3665*F3665,"")</f>
        <v/>
      </c>
      <c r="H3665" s="35"/>
      <c r="I3665" s="36"/>
      <c r="J3665" s="37">
        <v>0</v>
      </c>
    </row>
    <row r="3666" spans="1:10" hidden="1" x14ac:dyDescent="0.25">
      <c r="A3666" s="179"/>
      <c r="B3666" s="177"/>
      <c r="C3666" s="39"/>
      <c r="D3666" s="39"/>
      <c r="E3666" s="40"/>
      <c r="F3666" s="70" t="s">
        <v>13</v>
      </c>
      <c r="G3666" s="70" t="str">
        <f>IF(ISNUMBER(F3666),E3666*F3666,"")</f>
        <v/>
      </c>
      <c r="H3666" s="71"/>
      <c r="I3666" s="72"/>
      <c r="J3666" s="37">
        <v>0</v>
      </c>
    </row>
    <row r="3667" spans="1:10" hidden="1" x14ac:dyDescent="0.25">
      <c r="A3667" s="179"/>
      <c r="B3667" s="177"/>
      <c r="C3667" s="43" t="s">
        <v>10614</v>
      </c>
      <c r="D3667" s="43" t="s">
        <v>2800</v>
      </c>
      <c r="E3667" s="44">
        <v>0.05</v>
      </c>
      <c r="F3667" s="70">
        <v>23.693000000000001</v>
      </c>
      <c r="G3667" s="70">
        <f>IF(ISNUMBER(F3667),E3667*F3667,"")</f>
        <v>1.1846500000000002</v>
      </c>
      <c r="H3667" s="46">
        <f>SUM(G3667:G3670)</f>
        <v>1.3547000000000002</v>
      </c>
      <c r="I3667" s="47"/>
      <c r="J3667" s="37">
        <v>0</v>
      </c>
    </row>
    <row r="3668" spans="1:10" hidden="1" x14ac:dyDescent="0.25">
      <c r="A3668" s="179"/>
      <c r="B3668" s="177"/>
      <c r="C3668" s="43" t="s">
        <v>908</v>
      </c>
      <c r="D3668" s="43" t="s">
        <v>909</v>
      </c>
      <c r="E3668" s="44">
        <f>0.25/10</f>
        <v>2.5000000000000001E-2</v>
      </c>
      <c r="F3668" s="70" t="s">
        <v>13</v>
      </c>
      <c r="G3668" s="70" t="str">
        <f>IF(ISNUMBER(F3668),E3668*F3668,"")</f>
        <v/>
      </c>
      <c r="H3668" s="71"/>
      <c r="I3668" s="72"/>
      <c r="J3668" s="37">
        <v>0</v>
      </c>
    </row>
    <row r="3669" spans="1:10" hidden="1" x14ac:dyDescent="0.25">
      <c r="A3669" s="179"/>
      <c r="B3669" s="177"/>
      <c r="C3669" s="43" t="s">
        <v>910</v>
      </c>
      <c r="D3669" s="43" t="s">
        <v>18</v>
      </c>
      <c r="E3669" s="44">
        <v>0.25</v>
      </c>
      <c r="F3669" s="70" t="s">
        <v>13</v>
      </c>
      <c r="G3669" s="70" t="str">
        <f>IF(ISNUMBER(F3669),E3669*F3669,"")</f>
        <v/>
      </c>
      <c r="H3669" s="71"/>
      <c r="I3669" s="72"/>
      <c r="J3669" s="37">
        <v>0</v>
      </c>
    </row>
    <row r="3670" spans="1:10" hidden="1" x14ac:dyDescent="0.25">
      <c r="A3670" s="179"/>
      <c r="B3670" s="177"/>
      <c r="C3670" s="43" t="s">
        <v>10871</v>
      </c>
      <c r="D3670" s="43" t="s">
        <v>1044</v>
      </c>
      <c r="E3670" s="44">
        <v>0.05</v>
      </c>
      <c r="F3670" s="70">
        <v>3.4009999999999998</v>
      </c>
      <c r="G3670" s="70">
        <f>IF(ISNUMBER(F3670),E3670*F3670,"")</f>
        <v>0.17005000000000001</v>
      </c>
      <c r="H3670" s="71"/>
      <c r="I3670" s="72"/>
      <c r="J3670" s="37">
        <v>0</v>
      </c>
    </row>
    <row r="3671" spans="1:10" ht="15.75" hidden="1" thickBot="1" x14ac:dyDescent="0.3">
      <c r="A3671" s="180"/>
      <c r="B3671" s="178"/>
      <c r="C3671" s="49"/>
      <c r="D3671" s="49"/>
      <c r="E3671" s="50"/>
      <c r="F3671" s="83" t="s">
        <v>13</v>
      </c>
      <c r="G3671" s="83" t="str">
        <f>IF(ISNUMBER(F3671),E3671*F3671,"")</f>
        <v/>
      </c>
      <c r="H3671" s="84"/>
      <c r="I3671" s="72"/>
      <c r="J3671" s="37">
        <v>0</v>
      </c>
    </row>
    <row r="3672" spans="1:10" ht="15.75" hidden="1" thickBot="1" x14ac:dyDescent="0.3">
      <c r="A3672" s="173" t="s">
        <v>911</v>
      </c>
      <c r="B3672" s="176" t="s">
        <v>4369</v>
      </c>
      <c r="C3672" s="31"/>
      <c r="D3672" s="32" t="s">
        <v>68</v>
      </c>
      <c r="E3672" s="33"/>
      <c r="F3672" s="60" t="s">
        <v>13</v>
      </c>
      <c r="G3672" s="34" t="str">
        <f>IF(ISNUMBER(F3672),E3672*F3672,"")</f>
        <v/>
      </c>
      <c r="H3672" s="35"/>
      <c r="I3672" s="36"/>
      <c r="J3672" s="37">
        <v>0</v>
      </c>
    </row>
    <row r="3673" spans="1:10" hidden="1" x14ac:dyDescent="0.25">
      <c r="A3673" s="179"/>
      <c r="B3673" s="177"/>
      <c r="C3673" s="39"/>
      <c r="D3673" s="39"/>
      <c r="E3673" s="40"/>
      <c r="F3673" s="70" t="s">
        <v>13</v>
      </c>
      <c r="G3673" s="70" t="str">
        <f>IF(ISNUMBER(F3673),E3673*F3673,"")</f>
        <v/>
      </c>
      <c r="H3673" s="71"/>
      <c r="I3673" s="72"/>
      <c r="J3673" s="37">
        <v>0</v>
      </c>
    </row>
    <row r="3674" spans="1:10" hidden="1" x14ac:dyDescent="0.25">
      <c r="A3674" s="179"/>
      <c r="B3674" s="177"/>
      <c r="C3674" s="43" t="s">
        <v>10614</v>
      </c>
      <c r="D3674" s="43" t="s">
        <v>2800</v>
      </c>
      <c r="E3674" s="44">
        <v>0.25</v>
      </c>
      <c r="F3674" s="70">
        <v>23.693000000000001</v>
      </c>
      <c r="G3674" s="70">
        <f>IF(ISNUMBER(F3674),E3674*F3674,"")</f>
        <v>5.9232500000000003</v>
      </c>
      <c r="H3674" s="46">
        <f>SUM(G3674:G3675)</f>
        <v>7.7223790000000001</v>
      </c>
      <c r="I3674" s="47"/>
      <c r="J3674" s="37">
        <v>0</v>
      </c>
    </row>
    <row r="3675" spans="1:10" hidden="1" x14ac:dyDescent="0.25">
      <c r="A3675" s="179"/>
      <c r="B3675" s="177"/>
      <c r="C3675" s="43" t="s">
        <v>10871</v>
      </c>
      <c r="D3675" s="43" t="s">
        <v>1044</v>
      </c>
      <c r="E3675" s="44">
        <v>0.52900000000000003</v>
      </c>
      <c r="F3675" s="70">
        <v>3.4009999999999998</v>
      </c>
      <c r="G3675" s="70">
        <f>IF(ISNUMBER(F3675),E3675*F3675,"")</f>
        <v>1.799129</v>
      </c>
      <c r="H3675" s="71"/>
      <c r="I3675" s="72"/>
      <c r="J3675" s="37">
        <v>0</v>
      </c>
    </row>
    <row r="3676" spans="1:10" ht="15.75" hidden="1" thickBot="1" x14ac:dyDescent="0.3">
      <c r="A3676" s="180"/>
      <c r="B3676" s="178"/>
      <c r="C3676" s="49"/>
      <c r="D3676" s="49"/>
      <c r="E3676" s="50"/>
      <c r="F3676" s="83" t="s">
        <v>13</v>
      </c>
      <c r="G3676" s="83" t="str">
        <f>IF(ISNUMBER(F3676),E3676*F3676,"")</f>
        <v/>
      </c>
      <c r="H3676" s="84"/>
      <c r="I3676" s="72"/>
      <c r="J3676" s="37">
        <v>0</v>
      </c>
    </row>
    <row r="3677" spans="1:10" ht="15.75" hidden="1" thickBot="1" x14ac:dyDescent="0.3">
      <c r="A3677" s="173" t="s">
        <v>912</v>
      </c>
      <c r="B3677" s="176" t="s">
        <v>4370</v>
      </c>
      <c r="C3677" s="31"/>
      <c r="D3677" s="32" t="s">
        <v>106</v>
      </c>
      <c r="E3677" s="33"/>
      <c r="F3677" s="60" t="s">
        <v>13</v>
      </c>
      <c r="G3677" s="34" t="str">
        <f>IF(ISNUMBER(F3677),E3677*F3677,"")</f>
        <v/>
      </c>
      <c r="H3677" s="35"/>
      <c r="I3677" s="36"/>
      <c r="J3677" s="37">
        <v>0</v>
      </c>
    </row>
    <row r="3678" spans="1:10" hidden="1" x14ac:dyDescent="0.25">
      <c r="A3678" s="179"/>
      <c r="B3678" s="177"/>
      <c r="C3678" s="39"/>
      <c r="D3678" s="39"/>
      <c r="E3678" s="40"/>
      <c r="F3678" s="70" t="s">
        <v>13</v>
      </c>
      <c r="G3678" s="70" t="str">
        <f>IF(ISNUMBER(F3678),E3678*F3678,"")</f>
        <v/>
      </c>
      <c r="H3678" s="71"/>
      <c r="I3678" s="72"/>
      <c r="J3678" s="37">
        <v>0</v>
      </c>
    </row>
    <row r="3679" spans="1:10" hidden="1" x14ac:dyDescent="0.25">
      <c r="A3679" s="179"/>
      <c r="B3679" s="177"/>
      <c r="C3679" s="43" t="s">
        <v>10757</v>
      </c>
      <c r="D3679" s="43" t="s">
        <v>2800</v>
      </c>
      <c r="E3679" s="44">
        <v>1.85</v>
      </c>
      <c r="F3679" s="70">
        <v>31.055499999999995</v>
      </c>
      <c r="G3679" s="70">
        <f>IF(ISNUMBER(F3679),E3679*F3679,"")</f>
        <v>57.452674999999992</v>
      </c>
      <c r="H3679" s="46">
        <f>SUM(G3679:G3683)</f>
        <v>105.136595</v>
      </c>
      <c r="I3679" s="47"/>
      <c r="J3679" s="37">
        <v>0</v>
      </c>
    </row>
    <row r="3680" spans="1:10" hidden="1" x14ac:dyDescent="0.25">
      <c r="A3680" s="179"/>
      <c r="B3680" s="177"/>
      <c r="C3680" s="43" t="s">
        <v>10614</v>
      </c>
      <c r="D3680" s="43" t="s">
        <v>2800</v>
      </c>
      <c r="E3680" s="44">
        <v>0.374</v>
      </c>
      <c r="F3680" s="70">
        <v>23.693000000000001</v>
      </c>
      <c r="G3680" s="70">
        <f>IF(ISNUMBER(F3680),E3680*F3680,"")</f>
        <v>8.8611820000000012</v>
      </c>
      <c r="H3680" s="71"/>
      <c r="I3680" s="72"/>
      <c r="J3680" s="37">
        <v>0</v>
      </c>
    </row>
    <row r="3681" spans="1:10" hidden="1" x14ac:dyDescent="0.25">
      <c r="A3681" s="179"/>
      <c r="B3681" s="177"/>
      <c r="C3681" s="43" t="s">
        <v>11058</v>
      </c>
      <c r="D3681" s="43" t="s">
        <v>70</v>
      </c>
      <c r="E3681" s="44">
        <v>6.0000000000000001E-3</v>
      </c>
      <c r="F3681" s="70">
        <v>690.97299999999996</v>
      </c>
      <c r="G3681" s="70">
        <f>IF(ISNUMBER(F3681),E3681*F3681,"")</f>
        <v>4.1458379999999995</v>
      </c>
      <c r="H3681" s="71"/>
      <c r="I3681" s="72"/>
      <c r="J3681" s="37">
        <v>0</v>
      </c>
    </row>
    <row r="3682" spans="1:10" ht="25.5" hidden="1" x14ac:dyDescent="0.25">
      <c r="A3682" s="179"/>
      <c r="B3682" s="177"/>
      <c r="C3682" s="43" t="s">
        <v>11059</v>
      </c>
      <c r="D3682" s="43" t="s">
        <v>1302</v>
      </c>
      <c r="E3682" s="44">
        <v>1</v>
      </c>
      <c r="F3682" s="70">
        <v>0.59849999999999992</v>
      </c>
      <c r="G3682" s="70">
        <f>IF(ISNUMBER(F3682),E3682*F3682,"")</f>
        <v>0.59849999999999992</v>
      </c>
      <c r="H3682" s="71"/>
      <c r="I3682" s="72"/>
      <c r="J3682" s="37">
        <v>0</v>
      </c>
    </row>
    <row r="3683" spans="1:10" ht="25.5" hidden="1" x14ac:dyDescent="0.25">
      <c r="A3683" s="179"/>
      <c r="B3683" s="177"/>
      <c r="C3683" s="43" t="s">
        <v>10803</v>
      </c>
      <c r="D3683" s="43" t="s">
        <v>10820</v>
      </c>
      <c r="E3683" s="44">
        <v>0.8</v>
      </c>
      <c r="F3683" s="70">
        <v>42.597999999999999</v>
      </c>
      <c r="G3683" s="70">
        <f>IF(ISNUMBER(F3683),E3683*F3683,"")</f>
        <v>34.078400000000002</v>
      </c>
      <c r="H3683" s="71"/>
      <c r="I3683" s="72"/>
      <c r="J3683" s="37">
        <v>0</v>
      </c>
    </row>
    <row r="3684" spans="1:10" hidden="1" x14ac:dyDescent="0.25">
      <c r="A3684" s="179"/>
      <c r="B3684" s="177"/>
      <c r="C3684" s="43"/>
      <c r="D3684" s="43"/>
      <c r="E3684" s="44"/>
      <c r="F3684" s="70" t="s">
        <v>13</v>
      </c>
      <c r="G3684" s="70" t="str">
        <f>IF(ISNUMBER(F3684),E3684*F3684,"")</f>
        <v/>
      </c>
      <c r="H3684" s="71"/>
      <c r="I3684" s="72"/>
      <c r="J3684" s="37">
        <v>0</v>
      </c>
    </row>
    <row r="3685" spans="1:10" hidden="1" x14ac:dyDescent="0.25">
      <c r="A3685" s="179"/>
      <c r="B3685" s="177"/>
      <c r="C3685" s="43" t="s">
        <v>913</v>
      </c>
      <c r="D3685" s="43"/>
      <c r="E3685" s="44"/>
      <c r="F3685" s="70"/>
      <c r="G3685" s="70" t="str">
        <f>IF(ISNUMBER(F3685),E3685*F3685,"")</f>
        <v/>
      </c>
      <c r="H3685" s="71"/>
      <c r="I3685" s="72"/>
      <c r="J3685" s="37">
        <v>0</v>
      </c>
    </row>
    <row r="3686" spans="1:10" ht="15.75" hidden="1" thickBot="1" x14ac:dyDescent="0.3">
      <c r="A3686" s="180"/>
      <c r="B3686" s="178"/>
      <c r="C3686" s="49"/>
      <c r="D3686" s="49"/>
      <c r="E3686" s="50"/>
      <c r="F3686" s="83"/>
      <c r="G3686" s="83" t="str">
        <f>IF(ISNUMBER(F3686),E3686*F3686,"")</f>
        <v/>
      </c>
      <c r="H3686" s="84"/>
      <c r="I3686" s="72"/>
      <c r="J3686" s="37">
        <v>0</v>
      </c>
    </row>
    <row r="3687" spans="1:10" ht="15.75" hidden="1" thickBot="1" x14ac:dyDescent="0.3">
      <c r="A3687" s="173" t="s">
        <v>914</v>
      </c>
      <c r="B3687" s="176" t="s">
        <v>4371</v>
      </c>
      <c r="C3687" s="31"/>
      <c r="D3687" s="32" t="s">
        <v>106</v>
      </c>
      <c r="E3687" s="33"/>
      <c r="F3687" s="60" t="s">
        <v>13</v>
      </c>
      <c r="G3687" s="34" t="str">
        <f>IF(ISNUMBER(F3687),E3687*F3687,"")</f>
        <v/>
      </c>
      <c r="H3687" s="35"/>
      <c r="I3687" s="36"/>
      <c r="J3687" s="37">
        <v>0</v>
      </c>
    </row>
    <row r="3688" spans="1:10" hidden="1" x14ac:dyDescent="0.25">
      <c r="A3688" s="179"/>
      <c r="B3688" s="177"/>
      <c r="C3688" s="39"/>
      <c r="D3688" s="39"/>
      <c r="E3688" s="40"/>
      <c r="F3688" s="70" t="s">
        <v>13</v>
      </c>
      <c r="G3688" s="70" t="str">
        <f>IF(ISNUMBER(F3688),E3688*F3688,"")</f>
        <v/>
      </c>
      <c r="H3688" s="71"/>
      <c r="I3688" s="72"/>
      <c r="J3688" s="37">
        <v>0</v>
      </c>
    </row>
    <row r="3689" spans="1:10" hidden="1" x14ac:dyDescent="0.25">
      <c r="A3689" s="179"/>
      <c r="B3689" s="177"/>
      <c r="C3689" s="43" t="s">
        <v>10831</v>
      </c>
      <c r="D3689" s="43" t="s">
        <v>2800</v>
      </c>
      <c r="E3689" s="44">
        <v>0.68100000000000005</v>
      </c>
      <c r="F3689" s="70">
        <v>28.6615</v>
      </c>
      <c r="G3689" s="70">
        <f>IF(ISNUMBER(F3689),E3689*F3689,"")</f>
        <v>19.5184815</v>
      </c>
      <c r="H3689" s="46">
        <f>SUM(G3689:G3690)</f>
        <v>34.427781499999995</v>
      </c>
      <c r="I3689" s="47"/>
      <c r="J3689" s="37">
        <v>0</v>
      </c>
    </row>
    <row r="3690" spans="1:10" ht="25.5" hidden="1" x14ac:dyDescent="0.25">
      <c r="A3690" s="179"/>
      <c r="B3690" s="177"/>
      <c r="C3690" s="43" t="s">
        <v>10803</v>
      </c>
      <c r="D3690" s="43" t="s">
        <v>10820</v>
      </c>
      <c r="E3690" s="44">
        <v>0.35</v>
      </c>
      <c r="F3690" s="70">
        <v>42.597999999999999</v>
      </c>
      <c r="G3690" s="70">
        <f>IF(ISNUMBER(F3690),E3690*F3690,"")</f>
        <v>14.909299999999998</v>
      </c>
      <c r="H3690" s="71"/>
      <c r="I3690" s="72"/>
      <c r="J3690" s="37">
        <v>0</v>
      </c>
    </row>
    <row r="3691" spans="1:10" ht="15.75" hidden="1" thickBot="1" x14ac:dyDescent="0.3">
      <c r="A3691" s="180"/>
      <c r="B3691" s="178"/>
      <c r="C3691" s="43"/>
      <c r="D3691" s="43"/>
      <c r="E3691" s="44"/>
      <c r="F3691" s="70" t="s">
        <v>13</v>
      </c>
      <c r="G3691" s="70" t="str">
        <f>IF(ISNUMBER(F3691),E3691*F3691,"")</f>
        <v/>
      </c>
      <c r="H3691" s="71"/>
      <c r="I3691" s="72"/>
      <c r="J3691" s="37">
        <v>0</v>
      </c>
    </row>
    <row r="3692" spans="1:10" ht="15.75" hidden="1" thickBot="1" x14ac:dyDescent="0.3">
      <c r="A3692" s="173" t="s">
        <v>915</v>
      </c>
      <c r="B3692" s="176" t="s">
        <v>4374</v>
      </c>
      <c r="C3692" s="31"/>
      <c r="D3692" s="32" t="s">
        <v>18</v>
      </c>
      <c r="E3692" s="33"/>
      <c r="F3692" s="60" t="s">
        <v>13</v>
      </c>
      <c r="G3692" s="34" t="str">
        <f>IF(ISNUMBER(F3692),E3692*F3692,"")</f>
        <v/>
      </c>
      <c r="H3692" s="35"/>
      <c r="I3692" s="36"/>
      <c r="J3692" s="37">
        <v>0</v>
      </c>
    </row>
    <row r="3693" spans="1:10" hidden="1" x14ac:dyDescent="0.25">
      <c r="A3693" s="179"/>
      <c r="B3693" s="177"/>
      <c r="C3693" s="39"/>
      <c r="D3693" s="39"/>
      <c r="E3693" s="40"/>
      <c r="F3693" s="70" t="s">
        <v>13</v>
      </c>
      <c r="G3693" s="70" t="str">
        <f>IF(ISNUMBER(F3693),E3693*F3693,"")</f>
        <v/>
      </c>
      <c r="H3693" s="71"/>
      <c r="I3693" s="72"/>
      <c r="J3693" s="37">
        <v>0</v>
      </c>
    </row>
    <row r="3694" spans="1:10" ht="25.5" hidden="1" x14ac:dyDescent="0.25">
      <c r="A3694" s="179"/>
      <c r="B3694" s="177"/>
      <c r="C3694" s="43" t="s">
        <v>11060</v>
      </c>
      <c r="D3694" s="43" t="s">
        <v>83</v>
      </c>
      <c r="E3694" s="44">
        <v>1</v>
      </c>
      <c r="F3694" s="70">
        <v>91.105000000000004</v>
      </c>
      <c r="G3694" s="70">
        <f>IF(ISNUMBER(F3694),E3694*F3694,"")</f>
        <v>91.105000000000004</v>
      </c>
      <c r="H3694" s="46">
        <f>SUM(G3694:G3697)</f>
        <v>108.0851005</v>
      </c>
      <c r="I3694" s="47"/>
      <c r="J3694" s="37">
        <v>0</v>
      </c>
    </row>
    <row r="3695" spans="1:10" hidden="1" x14ac:dyDescent="0.25">
      <c r="A3695" s="179"/>
      <c r="B3695" s="177"/>
      <c r="C3695" s="43" t="s">
        <v>10916</v>
      </c>
      <c r="D3695" s="43" t="s">
        <v>83</v>
      </c>
      <c r="E3695" s="44">
        <v>2.1000000000000001E-2</v>
      </c>
      <c r="F3695" s="70">
        <v>3.9899999999999998</v>
      </c>
      <c r="G3695" s="70">
        <f>IF(ISNUMBER(F3695),E3695*F3695,"")</f>
        <v>8.3790000000000003E-2</v>
      </c>
      <c r="H3695" s="71"/>
      <c r="I3695" s="72"/>
      <c r="J3695" s="37">
        <v>0</v>
      </c>
    </row>
    <row r="3696" spans="1:10" ht="25.5" hidden="1" x14ac:dyDescent="0.25">
      <c r="A3696" s="179"/>
      <c r="B3696" s="177"/>
      <c r="C3696" s="43" t="s">
        <v>10754</v>
      </c>
      <c r="D3696" s="43" t="s">
        <v>2800</v>
      </c>
      <c r="E3696" s="44">
        <v>0.44669999999999999</v>
      </c>
      <c r="F3696" s="70">
        <v>30.361999999999998</v>
      </c>
      <c r="G3696" s="70">
        <f>IF(ISNUMBER(F3696),E3696*F3696,"")</f>
        <v>13.562705399999999</v>
      </c>
      <c r="H3696" s="71"/>
      <c r="I3696" s="72"/>
      <c r="J3696" s="37">
        <v>0</v>
      </c>
    </row>
    <row r="3697" spans="1:10" hidden="1" x14ac:dyDescent="0.25">
      <c r="A3697" s="179"/>
      <c r="B3697" s="177"/>
      <c r="C3697" s="43" t="s">
        <v>10614</v>
      </c>
      <c r="D3697" s="43" t="s">
        <v>2800</v>
      </c>
      <c r="E3697" s="44">
        <v>0.14069999999999999</v>
      </c>
      <c r="F3697" s="70">
        <v>23.693000000000001</v>
      </c>
      <c r="G3697" s="70">
        <f>IF(ISNUMBER(F3697),E3697*F3697,"")</f>
        <v>3.3336051000000002</v>
      </c>
      <c r="H3697" s="71"/>
      <c r="I3697" s="72"/>
      <c r="J3697" s="37">
        <v>0</v>
      </c>
    </row>
    <row r="3698" spans="1:10" ht="15.75" hidden="1" thickBot="1" x14ac:dyDescent="0.3">
      <c r="A3698" s="180"/>
      <c r="B3698" s="178"/>
      <c r="C3698" s="49"/>
      <c r="D3698" s="49"/>
      <c r="E3698" s="50"/>
      <c r="F3698" s="83" t="s">
        <v>13</v>
      </c>
      <c r="G3698" s="83" t="str">
        <f>IF(ISNUMBER(F3698),E3698*F3698,"")</f>
        <v/>
      </c>
      <c r="H3698" s="84"/>
      <c r="I3698" s="72"/>
      <c r="J3698" s="37">
        <v>0</v>
      </c>
    </row>
    <row r="3699" spans="1:10" ht="15.75" hidden="1" thickBot="1" x14ac:dyDescent="0.3">
      <c r="A3699" s="173" t="s">
        <v>916</v>
      </c>
      <c r="B3699" s="176" t="s">
        <v>4375</v>
      </c>
      <c r="C3699" s="31"/>
      <c r="D3699" s="32" t="s">
        <v>1788</v>
      </c>
      <c r="E3699" s="33"/>
      <c r="F3699" s="60" t="s">
        <v>13</v>
      </c>
      <c r="G3699" s="34" t="str">
        <f>IF(ISNUMBER(F3699),E3699*F3699,"")</f>
        <v/>
      </c>
      <c r="H3699" s="35"/>
      <c r="I3699" s="36"/>
      <c r="J3699" s="37">
        <v>0</v>
      </c>
    </row>
    <row r="3700" spans="1:10" hidden="1" x14ac:dyDescent="0.25">
      <c r="A3700" s="179"/>
      <c r="B3700" s="177"/>
      <c r="C3700" s="39"/>
      <c r="D3700" s="39"/>
      <c r="E3700" s="40"/>
      <c r="F3700" s="70" t="s">
        <v>13</v>
      </c>
      <c r="G3700" s="70" t="str">
        <f>IF(ISNUMBER(F3700),E3700*F3700,"")</f>
        <v/>
      </c>
      <c r="H3700" s="71"/>
      <c r="I3700" s="72"/>
      <c r="J3700" s="37">
        <v>0</v>
      </c>
    </row>
    <row r="3701" spans="1:10" hidden="1" x14ac:dyDescent="0.25">
      <c r="A3701" s="179"/>
      <c r="B3701" s="177"/>
      <c r="C3701" s="43" t="s">
        <v>10757</v>
      </c>
      <c r="D3701" s="43" t="s">
        <v>2800</v>
      </c>
      <c r="E3701" s="44">
        <v>5.0830000000000002</v>
      </c>
      <c r="F3701" s="70">
        <v>31.055499999999995</v>
      </c>
      <c r="G3701" s="70">
        <f>IF(ISNUMBER(F3701),E3701*F3701,"")</f>
        <v>157.85510649999998</v>
      </c>
      <c r="H3701" s="46">
        <f>SUM(G3701:G3703)</f>
        <v>1030.6624524681349</v>
      </c>
      <c r="I3701" s="47"/>
      <c r="J3701" s="37">
        <v>0</v>
      </c>
    </row>
    <row r="3702" spans="1:10" hidden="1" x14ac:dyDescent="0.25">
      <c r="A3702" s="179"/>
      <c r="B3702" s="177"/>
      <c r="C3702" s="43" t="s">
        <v>10614</v>
      </c>
      <c r="D3702" s="43" t="s">
        <v>2800</v>
      </c>
      <c r="E3702" s="44">
        <v>1.8380000000000001</v>
      </c>
      <c r="F3702" s="70">
        <v>23.693000000000001</v>
      </c>
      <c r="G3702" s="70">
        <f>IF(ISNUMBER(F3702),E3702*F3702,"")</f>
        <v>43.547734000000005</v>
      </c>
      <c r="H3702" s="71"/>
      <c r="I3702" s="72"/>
      <c r="J3702" s="37">
        <v>0</v>
      </c>
    </row>
    <row r="3703" spans="1:10" ht="38.25" hidden="1" x14ac:dyDescent="0.25">
      <c r="A3703" s="179"/>
      <c r="B3703" s="177"/>
      <c r="C3703" s="43" t="s">
        <v>10704</v>
      </c>
      <c r="D3703" s="43" t="s">
        <v>2880</v>
      </c>
      <c r="E3703" s="44">
        <v>1.38</v>
      </c>
      <c r="F3703" s="70">
        <v>600.91276229574999</v>
      </c>
      <c r="G3703" s="70">
        <f>IF(ISNUMBER(F3703),E3703*F3703,"")</f>
        <v>829.25961196813489</v>
      </c>
      <c r="H3703" s="71"/>
      <c r="I3703" s="72"/>
      <c r="J3703" s="37">
        <v>0</v>
      </c>
    </row>
    <row r="3704" spans="1:10" ht="15.75" hidden="1" thickBot="1" x14ac:dyDescent="0.3">
      <c r="A3704" s="180"/>
      <c r="B3704" s="178"/>
      <c r="C3704" s="49"/>
      <c r="D3704" s="49"/>
      <c r="E3704" s="50"/>
      <c r="F3704" s="83" t="s">
        <v>13</v>
      </c>
      <c r="G3704" s="83" t="str">
        <f>IF(ISNUMBER(F3704),E3704*F3704,"")</f>
        <v/>
      </c>
      <c r="H3704" s="84"/>
      <c r="I3704" s="72"/>
      <c r="J3704" s="37">
        <v>0</v>
      </c>
    </row>
    <row r="3705" spans="1:10" ht="15.75" hidden="1" thickBot="1" x14ac:dyDescent="0.3">
      <c r="A3705" s="173" t="s">
        <v>917</v>
      </c>
      <c r="B3705" s="176" t="s">
        <v>4376</v>
      </c>
      <c r="C3705" s="31"/>
      <c r="D3705" s="32" t="s">
        <v>68</v>
      </c>
      <c r="E3705" s="33"/>
      <c r="F3705" s="60" t="s">
        <v>13</v>
      </c>
      <c r="G3705" s="34" t="str">
        <f>IF(ISNUMBER(F3705),E3705*F3705,"")</f>
        <v/>
      </c>
      <c r="H3705" s="35"/>
      <c r="I3705" s="36"/>
      <c r="J3705" s="37">
        <v>0</v>
      </c>
    </row>
    <row r="3706" spans="1:10" hidden="1" x14ac:dyDescent="0.25">
      <c r="A3706" s="174"/>
      <c r="B3706" s="177"/>
      <c r="C3706" s="39"/>
      <c r="D3706" s="39"/>
      <c r="E3706" s="40"/>
      <c r="F3706" s="70" t="s">
        <v>13</v>
      </c>
      <c r="G3706" s="70" t="str">
        <f>IF(ISNUMBER(F3706),E3706*F3706,"")</f>
        <v/>
      </c>
      <c r="H3706" s="71"/>
      <c r="I3706" s="72"/>
      <c r="J3706" s="37">
        <v>0</v>
      </c>
    </row>
    <row r="3707" spans="1:10" ht="38.25" hidden="1" x14ac:dyDescent="0.25">
      <c r="A3707" s="174"/>
      <c r="B3707" s="177"/>
      <c r="C3707" s="43" t="s">
        <v>11061</v>
      </c>
      <c r="D3707" s="43" t="s">
        <v>2880</v>
      </c>
      <c r="E3707" s="44">
        <v>8.14E-2</v>
      </c>
      <c r="F3707" s="70">
        <v>477.84999999999997</v>
      </c>
      <c r="G3707" s="70">
        <f>IF(ISNUMBER(F3707),E3707*F3707,"")</f>
        <v>38.896989999999995</v>
      </c>
      <c r="H3707" s="46">
        <f>SUM(G3707:G3713)</f>
        <v>116.01153094999999</v>
      </c>
      <c r="I3707" s="47"/>
      <c r="J3707" s="37">
        <v>0</v>
      </c>
    </row>
    <row r="3708" spans="1:10" ht="25.5" hidden="1" x14ac:dyDescent="0.25">
      <c r="A3708" s="174"/>
      <c r="B3708" s="177"/>
      <c r="C3708" s="43" t="s">
        <v>11062</v>
      </c>
      <c r="D3708" s="43" t="s">
        <v>1044</v>
      </c>
      <c r="E3708" s="44">
        <v>4</v>
      </c>
      <c r="F3708" s="70">
        <v>10.9345</v>
      </c>
      <c r="G3708" s="70">
        <f>IF(ISNUMBER(F3708),E3708*F3708,"")</f>
        <v>43.738</v>
      </c>
      <c r="H3708" s="71"/>
      <c r="I3708" s="72"/>
      <c r="J3708" s="37">
        <v>0</v>
      </c>
    </row>
    <row r="3709" spans="1:10" hidden="1" x14ac:dyDescent="0.25">
      <c r="A3709" s="174"/>
      <c r="B3709" s="177"/>
      <c r="C3709" s="43" t="s">
        <v>10757</v>
      </c>
      <c r="D3709" s="43" t="s">
        <v>2800</v>
      </c>
      <c r="E3709" s="44">
        <v>0.1119</v>
      </c>
      <c r="F3709" s="70">
        <v>31.055499999999995</v>
      </c>
      <c r="G3709" s="70">
        <f>IF(ISNUMBER(F3709),E3709*F3709,"")</f>
        <v>3.4751104499999994</v>
      </c>
      <c r="H3709" s="71"/>
      <c r="I3709" s="72"/>
      <c r="J3709" s="37">
        <v>0</v>
      </c>
    </row>
    <row r="3710" spans="1:10" hidden="1" x14ac:dyDescent="0.25">
      <c r="A3710" s="174"/>
      <c r="B3710" s="177"/>
      <c r="C3710" s="43" t="s">
        <v>10614</v>
      </c>
      <c r="D3710" s="43" t="s">
        <v>2800</v>
      </c>
      <c r="E3710" s="44">
        <v>4.6600000000000003E-2</v>
      </c>
      <c r="F3710" s="70">
        <v>23.693000000000001</v>
      </c>
      <c r="G3710" s="70">
        <f>IF(ISNUMBER(F3710),E3710*F3710,"")</f>
        <v>1.1040938</v>
      </c>
      <c r="H3710" s="71"/>
      <c r="I3710" s="72"/>
      <c r="J3710" s="37">
        <v>0</v>
      </c>
    </row>
    <row r="3711" spans="1:10" ht="25.5" hidden="1" x14ac:dyDescent="0.25">
      <c r="A3711" s="174"/>
      <c r="B3711" s="177"/>
      <c r="C3711" s="43" t="s">
        <v>11063</v>
      </c>
      <c r="D3711" s="43" t="s">
        <v>1050</v>
      </c>
      <c r="E3711" s="44">
        <v>7.0000000000000001E-3</v>
      </c>
      <c r="F3711" s="70">
        <v>10.326499999999999</v>
      </c>
      <c r="G3711" s="70">
        <f>IF(ISNUMBER(F3711),E3711*F3711,"")</f>
        <v>7.2285500000000003E-2</v>
      </c>
      <c r="H3711" s="71"/>
      <c r="I3711" s="72"/>
      <c r="J3711" s="37">
        <v>0</v>
      </c>
    </row>
    <row r="3712" spans="1:10" ht="38.25" hidden="1" x14ac:dyDescent="0.25">
      <c r="A3712" s="174"/>
      <c r="B3712" s="177"/>
      <c r="C3712" s="43" t="s">
        <v>11064</v>
      </c>
      <c r="D3712" s="43" t="s">
        <v>162</v>
      </c>
      <c r="E3712" s="44">
        <v>1.0815999999999999</v>
      </c>
      <c r="F3712" s="70">
        <v>22.619499999999999</v>
      </c>
      <c r="G3712" s="70">
        <f>IF(ISNUMBER(F3712),E3712*F3712,"")</f>
        <v>24.465251199999997</v>
      </c>
      <c r="H3712" s="71"/>
      <c r="I3712" s="72"/>
      <c r="J3712" s="37">
        <v>0</v>
      </c>
    </row>
    <row r="3713" spans="1:10" ht="25.5" hidden="1" x14ac:dyDescent="0.25">
      <c r="A3713" s="174"/>
      <c r="B3713" s="177"/>
      <c r="C3713" s="43" t="s">
        <v>10803</v>
      </c>
      <c r="D3713" s="43" t="s">
        <v>10820</v>
      </c>
      <c r="E3713" s="44">
        <v>0.1</v>
      </c>
      <c r="F3713" s="70">
        <v>42.597999999999999</v>
      </c>
      <c r="G3713" s="70">
        <f>IF(ISNUMBER(F3713),E3713*F3713,"")</f>
        <v>4.2598000000000003</v>
      </c>
      <c r="H3713" s="71"/>
      <c r="I3713" s="72"/>
      <c r="J3713" s="37">
        <v>0</v>
      </c>
    </row>
    <row r="3714" spans="1:10" ht="15.75" hidden="1" thickBot="1" x14ac:dyDescent="0.3">
      <c r="A3714" s="175"/>
      <c r="B3714" s="178"/>
      <c r="C3714" s="49"/>
      <c r="D3714" s="49"/>
      <c r="E3714" s="50"/>
      <c r="F3714" s="83" t="s">
        <v>13</v>
      </c>
      <c r="G3714" s="83" t="str">
        <f>IF(ISNUMBER(F3714),E3714*F3714,"")</f>
        <v/>
      </c>
      <c r="H3714" s="84"/>
      <c r="I3714" s="72"/>
      <c r="J3714" s="37">
        <v>0</v>
      </c>
    </row>
    <row r="3715" spans="1:10" ht="15.75" hidden="1" thickBot="1" x14ac:dyDescent="0.3">
      <c r="A3715" s="173" t="s">
        <v>918</v>
      </c>
      <c r="B3715" s="176" t="s">
        <v>4377</v>
      </c>
      <c r="C3715" s="31"/>
      <c r="D3715" s="32" t="s">
        <v>18</v>
      </c>
      <c r="E3715" s="33"/>
      <c r="F3715" s="60" t="s">
        <v>13</v>
      </c>
      <c r="G3715" s="34" t="str">
        <f>IF(ISNUMBER(F3715),E3715*F3715,"")</f>
        <v/>
      </c>
      <c r="H3715" s="35"/>
      <c r="I3715" s="36"/>
      <c r="J3715" s="37">
        <v>0</v>
      </c>
    </row>
    <row r="3716" spans="1:10" hidden="1" x14ac:dyDescent="0.25">
      <c r="A3716" s="179"/>
      <c r="B3716" s="177"/>
      <c r="C3716" s="39"/>
      <c r="D3716" s="39"/>
      <c r="E3716" s="40"/>
      <c r="F3716" s="70" t="s">
        <v>13</v>
      </c>
      <c r="G3716" s="70" t="str">
        <f>IF(ISNUMBER(F3716),E3716*F3716,"")</f>
        <v/>
      </c>
      <c r="H3716" s="71"/>
      <c r="I3716" s="72"/>
      <c r="J3716" s="37">
        <v>0</v>
      </c>
    </row>
    <row r="3717" spans="1:10" ht="25.5" hidden="1" x14ac:dyDescent="0.25">
      <c r="A3717" s="179"/>
      <c r="B3717" s="177"/>
      <c r="C3717" s="43" t="s">
        <v>10754</v>
      </c>
      <c r="D3717" s="43" t="s">
        <v>2800</v>
      </c>
      <c r="E3717" s="44">
        <v>3</v>
      </c>
      <c r="F3717" s="70">
        <v>30.361999999999998</v>
      </c>
      <c r="G3717" s="70">
        <f>IF(ISNUMBER(F3717),E3717*F3717,"")</f>
        <v>91.085999999999999</v>
      </c>
      <c r="H3717" s="46">
        <f>SUM(G3717:G3718)</f>
        <v>163.077</v>
      </c>
      <c r="I3717" s="47"/>
      <c r="J3717" s="37">
        <v>0</v>
      </c>
    </row>
    <row r="3718" spans="1:10" ht="25.5" hidden="1" x14ac:dyDescent="0.25">
      <c r="A3718" s="179"/>
      <c r="B3718" s="177"/>
      <c r="C3718" s="43" t="s">
        <v>10753</v>
      </c>
      <c r="D3718" s="43" t="s">
        <v>2800</v>
      </c>
      <c r="E3718" s="44">
        <v>3</v>
      </c>
      <c r="F3718" s="70">
        <v>23.997</v>
      </c>
      <c r="G3718" s="70">
        <f>IF(ISNUMBER(F3718),E3718*F3718,"")</f>
        <v>71.991</v>
      </c>
      <c r="H3718" s="71"/>
      <c r="I3718" s="72"/>
      <c r="J3718" s="37">
        <v>0</v>
      </c>
    </row>
    <row r="3719" spans="1:10" ht="15.75" hidden="1" thickBot="1" x14ac:dyDescent="0.3">
      <c r="A3719" s="180"/>
      <c r="B3719" s="178"/>
      <c r="C3719" s="49"/>
      <c r="D3719" s="49"/>
      <c r="E3719" s="50"/>
      <c r="F3719" s="83" t="s">
        <v>13</v>
      </c>
      <c r="G3719" s="83" t="str">
        <f>IF(ISNUMBER(F3719),E3719*F3719,"")</f>
        <v/>
      </c>
      <c r="H3719" s="84"/>
      <c r="I3719" s="72"/>
      <c r="J3719" s="37">
        <v>0</v>
      </c>
    </row>
    <row r="3720" spans="1:10" ht="15.75" hidden="1" thickBot="1" x14ac:dyDescent="0.3">
      <c r="A3720" s="173" t="s">
        <v>919</v>
      </c>
      <c r="B3720" s="176" t="s">
        <v>4378</v>
      </c>
      <c r="C3720" s="31"/>
      <c r="D3720" s="32" t="s">
        <v>4379</v>
      </c>
      <c r="E3720" s="33"/>
      <c r="F3720" s="60" t="s">
        <v>13</v>
      </c>
      <c r="G3720" s="34" t="str">
        <f>IF(ISNUMBER(F3720),E3720*F3720,"")</f>
        <v/>
      </c>
      <c r="H3720" s="35"/>
      <c r="I3720" s="36"/>
      <c r="J3720" s="37">
        <v>0</v>
      </c>
    </row>
    <row r="3721" spans="1:10" hidden="1" x14ac:dyDescent="0.25">
      <c r="A3721" s="179"/>
      <c r="B3721" s="177"/>
      <c r="C3721" s="39"/>
      <c r="D3721" s="39"/>
      <c r="E3721" s="40"/>
      <c r="F3721" s="70" t="s">
        <v>13</v>
      </c>
      <c r="G3721" s="70" t="str">
        <f>IF(ISNUMBER(F3721),E3721*F3721,"")</f>
        <v/>
      </c>
      <c r="H3721" s="71"/>
      <c r="I3721" s="72"/>
      <c r="J3721" s="37">
        <v>0</v>
      </c>
    </row>
    <row r="3722" spans="1:10" ht="51" hidden="1" x14ac:dyDescent="0.25">
      <c r="A3722" s="179"/>
      <c r="B3722" s="177"/>
      <c r="C3722" s="43" t="s">
        <v>10640</v>
      </c>
      <c r="D3722" s="43" t="s">
        <v>1050</v>
      </c>
      <c r="E3722" s="44">
        <v>1.3899999999999999E-2</v>
      </c>
      <c r="F3722" s="70">
        <v>182.21949999999998</v>
      </c>
      <c r="G3722" s="70">
        <f>IF(ISNUMBER(F3722),E3722*F3722,"")</f>
        <v>2.5328510499999997</v>
      </c>
      <c r="H3722" s="46">
        <f>SUM(G3722:G3723)</f>
        <v>2.9193680499999997</v>
      </c>
      <c r="I3722" s="47"/>
      <c r="J3722" s="37">
        <v>0</v>
      </c>
    </row>
    <row r="3723" spans="1:10" ht="51" hidden="1" x14ac:dyDescent="0.25">
      <c r="A3723" s="179"/>
      <c r="B3723" s="177"/>
      <c r="C3723" s="43" t="s">
        <v>10641</v>
      </c>
      <c r="D3723" s="43" t="s">
        <v>10677</v>
      </c>
      <c r="E3723" s="44">
        <v>6.0000000000000001E-3</v>
      </c>
      <c r="F3723" s="70">
        <v>64.419499999999999</v>
      </c>
      <c r="G3723" s="70">
        <f>IF(ISNUMBER(F3723),E3723*F3723,"")</f>
        <v>0.386517</v>
      </c>
      <c r="H3723" s="71"/>
      <c r="I3723" s="72"/>
      <c r="J3723" s="37">
        <v>0</v>
      </c>
    </row>
    <row r="3724" spans="1:10" ht="15.75" hidden="1" thickBot="1" x14ac:dyDescent="0.3">
      <c r="A3724" s="180"/>
      <c r="B3724" s="178"/>
      <c r="C3724" s="49"/>
      <c r="D3724" s="49"/>
      <c r="E3724" s="50"/>
      <c r="F3724" s="83" t="s">
        <v>13</v>
      </c>
      <c r="G3724" s="83" t="str">
        <f>IF(ISNUMBER(F3724),E3724*F3724,"")</f>
        <v/>
      </c>
      <c r="H3724" s="84"/>
      <c r="I3724" s="72"/>
      <c r="J3724" s="37">
        <v>0</v>
      </c>
    </row>
    <row r="3725" spans="1:10" ht="15.75" hidden="1" thickBot="1" x14ac:dyDescent="0.3">
      <c r="A3725" s="173" t="s">
        <v>920</v>
      </c>
      <c r="B3725" s="176" t="s">
        <v>4382</v>
      </c>
      <c r="C3725" s="31"/>
      <c r="D3725" s="32" t="s">
        <v>72</v>
      </c>
      <c r="E3725" s="33"/>
      <c r="F3725" s="60" t="s">
        <v>13</v>
      </c>
      <c r="G3725" s="34" t="str">
        <f>IF(ISNUMBER(F3725),E3725*F3725,"")</f>
        <v/>
      </c>
      <c r="H3725" s="35"/>
      <c r="I3725" s="36"/>
      <c r="J3725" s="37">
        <v>0</v>
      </c>
    </row>
    <row r="3726" spans="1:10" hidden="1" x14ac:dyDescent="0.25">
      <c r="A3726" s="179"/>
      <c r="B3726" s="177"/>
      <c r="C3726" s="39"/>
      <c r="D3726" s="39"/>
      <c r="E3726" s="40"/>
      <c r="F3726" s="70" t="s">
        <v>13</v>
      </c>
      <c r="G3726" s="70" t="str">
        <f>IF(ISNUMBER(F3726),E3726*F3726,"")</f>
        <v/>
      </c>
      <c r="H3726" s="71"/>
      <c r="I3726" s="72"/>
      <c r="J3726" s="37">
        <v>0</v>
      </c>
    </row>
    <row r="3727" spans="1:10" ht="25.5" hidden="1" x14ac:dyDescent="0.25">
      <c r="A3727" s="179"/>
      <c r="B3727" s="177"/>
      <c r="C3727" s="43" t="s">
        <v>10841</v>
      </c>
      <c r="D3727" s="43" t="s">
        <v>2880</v>
      </c>
      <c r="E3727" s="44">
        <v>2.1999999999999999E-2</v>
      </c>
      <c r="F3727" s="70">
        <v>21.754999999999999</v>
      </c>
      <c r="G3727" s="70">
        <f>IF(ISNUMBER(F3727),E3727*F3727,"")</f>
        <v>0.47860999999999992</v>
      </c>
      <c r="H3727" s="46">
        <f>SUM(G3727:G3731)</f>
        <v>8.1505724999999991</v>
      </c>
      <c r="I3727" s="47"/>
      <c r="J3727" s="37">
        <v>0</v>
      </c>
    </row>
    <row r="3728" spans="1:10" ht="25.5" hidden="1" x14ac:dyDescent="0.25">
      <c r="A3728" s="179"/>
      <c r="B3728" s="177"/>
      <c r="C3728" s="43" t="s">
        <v>10842</v>
      </c>
      <c r="D3728" s="43" t="s">
        <v>1044</v>
      </c>
      <c r="E3728" s="44">
        <v>5.0000000000000001E-3</v>
      </c>
      <c r="F3728" s="70">
        <v>99.274999999999991</v>
      </c>
      <c r="G3728" s="70">
        <f>IF(ISNUMBER(F3728),E3728*F3728,"")</f>
        <v>0.49637499999999996</v>
      </c>
      <c r="H3728" s="71"/>
      <c r="I3728" s="72"/>
      <c r="J3728" s="37">
        <v>0</v>
      </c>
    </row>
    <row r="3729" spans="1:10" ht="25.5" hidden="1" x14ac:dyDescent="0.25">
      <c r="A3729" s="179"/>
      <c r="B3729" s="177"/>
      <c r="C3729" s="43" t="s">
        <v>11065</v>
      </c>
      <c r="D3729" s="43" t="s">
        <v>1050</v>
      </c>
      <c r="E3729" s="44">
        <f>E3730</f>
        <v>4.4999999999999998E-2</v>
      </c>
      <c r="F3729" s="70">
        <v>104.03449999999999</v>
      </c>
      <c r="G3729" s="70">
        <f>IF(ISNUMBER(F3729),E3729*F3729,"")</f>
        <v>4.6815524999999996</v>
      </c>
      <c r="H3729" s="71"/>
      <c r="I3729" s="72"/>
      <c r="J3729" s="37">
        <v>0</v>
      </c>
    </row>
    <row r="3730" spans="1:10" hidden="1" x14ac:dyDescent="0.25">
      <c r="A3730" s="179"/>
      <c r="B3730" s="177"/>
      <c r="C3730" s="43" t="s">
        <v>10808</v>
      </c>
      <c r="D3730" s="43" t="s">
        <v>2800</v>
      </c>
      <c r="E3730" s="44">
        <v>4.4999999999999998E-2</v>
      </c>
      <c r="F3730" s="70">
        <v>31.729999999999997</v>
      </c>
      <c r="G3730" s="70">
        <f>IF(ISNUMBER(F3730),E3730*F3730,"")</f>
        <v>1.4278499999999998</v>
      </c>
      <c r="H3730" s="71"/>
      <c r="I3730" s="72"/>
      <c r="J3730" s="37">
        <v>0</v>
      </c>
    </row>
    <row r="3731" spans="1:10" hidden="1" x14ac:dyDescent="0.25">
      <c r="A3731" s="179"/>
      <c r="B3731" s="177"/>
      <c r="C3731" s="43" t="s">
        <v>10614</v>
      </c>
      <c r="D3731" s="43" t="s">
        <v>2800</v>
      </c>
      <c r="E3731" s="44">
        <v>4.4999999999999998E-2</v>
      </c>
      <c r="F3731" s="70">
        <v>23.693000000000001</v>
      </c>
      <c r="G3731" s="70">
        <f>IF(ISNUMBER(F3731),E3731*F3731,"")</f>
        <v>1.0661849999999999</v>
      </c>
      <c r="H3731" s="71"/>
      <c r="I3731" s="72"/>
      <c r="J3731" s="37">
        <v>0</v>
      </c>
    </row>
    <row r="3732" spans="1:10" ht="15.75" hidden="1" thickBot="1" x14ac:dyDescent="0.3">
      <c r="A3732" s="180"/>
      <c r="B3732" s="178"/>
      <c r="C3732" s="49"/>
      <c r="D3732" s="49"/>
      <c r="E3732" s="50"/>
      <c r="F3732" s="83" t="s">
        <v>13</v>
      </c>
      <c r="G3732" s="83" t="str">
        <f>IF(ISNUMBER(F3732),E3732*F3732,"")</f>
        <v/>
      </c>
      <c r="H3732" s="84"/>
      <c r="I3732" s="72"/>
      <c r="J3732" s="37">
        <v>0</v>
      </c>
    </row>
    <row r="3733" spans="1:10" ht="15.75" hidden="1" thickBot="1" x14ac:dyDescent="0.3">
      <c r="A3733" s="173" t="s">
        <v>921</v>
      </c>
      <c r="B3733" s="176" t="s">
        <v>4383</v>
      </c>
      <c r="C3733" s="31"/>
      <c r="D3733" s="32" t="s">
        <v>1788</v>
      </c>
      <c r="E3733" s="33"/>
      <c r="F3733" s="60" t="s">
        <v>13</v>
      </c>
      <c r="G3733" s="34" t="str">
        <f>IF(ISNUMBER(F3733),E3733*F3733,"")</f>
        <v/>
      </c>
      <c r="H3733" s="35"/>
      <c r="I3733" s="36"/>
      <c r="J3733" s="37">
        <v>0</v>
      </c>
    </row>
    <row r="3734" spans="1:10" hidden="1" x14ac:dyDescent="0.25">
      <c r="A3734" s="179"/>
      <c r="B3734" s="177"/>
      <c r="C3734" s="39"/>
      <c r="D3734" s="39"/>
      <c r="E3734" s="40"/>
      <c r="F3734" s="70" t="s">
        <v>13</v>
      </c>
      <c r="G3734" s="70" t="str">
        <f>IF(ISNUMBER(F3734),E3734*F3734,"")</f>
        <v/>
      </c>
      <c r="H3734" s="71"/>
      <c r="I3734" s="72"/>
      <c r="J3734" s="37">
        <v>0</v>
      </c>
    </row>
    <row r="3735" spans="1:10" hidden="1" x14ac:dyDescent="0.25">
      <c r="A3735" s="179"/>
      <c r="B3735" s="177"/>
      <c r="C3735" s="43" t="s">
        <v>10614</v>
      </c>
      <c r="D3735" s="43" t="s">
        <v>2800</v>
      </c>
      <c r="E3735" s="44">
        <v>4.3</v>
      </c>
      <c r="F3735" s="70">
        <v>23.693000000000001</v>
      </c>
      <c r="G3735" s="70">
        <f>IF(ISNUMBER(F3735),E3735*F3735,"")</f>
        <v>101.87990000000001</v>
      </c>
      <c r="H3735" s="46">
        <f>SUM(G3735:G3735)</f>
        <v>101.87990000000001</v>
      </c>
      <c r="I3735" s="47"/>
      <c r="J3735" s="37">
        <v>0</v>
      </c>
    </row>
    <row r="3736" spans="1:10" ht="15.75" hidden="1" thickBot="1" x14ac:dyDescent="0.3">
      <c r="A3736" s="180"/>
      <c r="B3736" s="178"/>
      <c r="C3736" s="49"/>
      <c r="D3736" s="49"/>
      <c r="E3736" s="50"/>
      <c r="F3736" s="83" t="s">
        <v>13</v>
      </c>
      <c r="G3736" s="83" t="str">
        <f>IF(ISNUMBER(F3736),E3736*F3736,"")</f>
        <v/>
      </c>
      <c r="H3736" s="84"/>
      <c r="I3736" s="72"/>
      <c r="J3736" s="37">
        <v>0</v>
      </c>
    </row>
    <row r="3737" spans="1:10" ht="15.75" hidden="1" thickBot="1" x14ac:dyDescent="0.3">
      <c r="A3737" s="173" t="s">
        <v>922</v>
      </c>
      <c r="B3737" s="176" t="s">
        <v>4384</v>
      </c>
      <c r="C3737" s="31"/>
      <c r="D3737" s="32" t="s">
        <v>1788</v>
      </c>
      <c r="E3737" s="33"/>
      <c r="F3737" s="60" t="s">
        <v>13</v>
      </c>
      <c r="G3737" s="34" t="str">
        <f>IF(ISNUMBER(F3737),E3737*F3737,"")</f>
        <v/>
      </c>
      <c r="H3737" s="35"/>
      <c r="I3737" s="36"/>
      <c r="J3737" s="37">
        <v>0</v>
      </c>
    </row>
    <row r="3738" spans="1:10" hidden="1" x14ac:dyDescent="0.25">
      <c r="A3738" s="179"/>
      <c r="B3738" s="177"/>
      <c r="C3738" s="39"/>
      <c r="D3738" s="39"/>
      <c r="E3738" s="40"/>
      <c r="F3738" s="70" t="s">
        <v>13</v>
      </c>
      <c r="G3738" s="70" t="str">
        <f>IF(ISNUMBER(F3738),E3738*F3738,"")</f>
        <v/>
      </c>
      <c r="H3738" s="71"/>
      <c r="I3738" s="72"/>
      <c r="J3738" s="37">
        <v>0</v>
      </c>
    </row>
    <row r="3739" spans="1:10" ht="63.75" hidden="1" x14ac:dyDescent="0.25">
      <c r="A3739" s="179"/>
      <c r="B3739" s="177"/>
      <c r="C3739" s="43" t="s">
        <v>10781</v>
      </c>
      <c r="D3739" s="43" t="s">
        <v>1050</v>
      </c>
      <c r="E3739" s="44">
        <v>2.7765700000000001E-2</v>
      </c>
      <c r="F3739" s="70">
        <v>140.87549999999999</v>
      </c>
      <c r="G3739" s="70">
        <f>IF(ISNUMBER(F3739),E3739*F3739,"")</f>
        <v>3.9115068703499998</v>
      </c>
      <c r="H3739" s="46">
        <f>SUM(G3739:G3741)</f>
        <v>7.2230703914499994</v>
      </c>
      <c r="I3739" s="47"/>
      <c r="J3739" s="37">
        <v>0</v>
      </c>
    </row>
    <row r="3740" spans="1:10" ht="63.75" hidden="1" x14ac:dyDescent="0.25">
      <c r="A3740" s="179"/>
      <c r="B3740" s="177"/>
      <c r="C3740" s="43" t="s">
        <v>10782</v>
      </c>
      <c r="D3740" s="43" t="s">
        <v>10677</v>
      </c>
      <c r="E3740" s="44">
        <v>3.1319399999999997E-2</v>
      </c>
      <c r="F3740" s="70">
        <v>61.037499999999994</v>
      </c>
      <c r="G3740" s="70">
        <f>IF(ISNUMBER(F3740),E3740*F3740,"")</f>
        <v>1.9116578774999997</v>
      </c>
      <c r="H3740" s="71"/>
      <c r="I3740" s="72"/>
      <c r="J3740" s="37">
        <v>0</v>
      </c>
    </row>
    <row r="3741" spans="1:10" hidden="1" x14ac:dyDescent="0.25">
      <c r="A3741" s="179"/>
      <c r="B3741" s="177"/>
      <c r="C3741" s="43" t="s">
        <v>10614</v>
      </c>
      <c r="D3741" s="43" t="s">
        <v>2800</v>
      </c>
      <c r="E3741" s="44">
        <v>5.9085199999999997E-2</v>
      </c>
      <c r="F3741" s="70">
        <v>23.693000000000001</v>
      </c>
      <c r="G3741" s="70">
        <f>IF(ISNUMBER(F3741),E3741*F3741,"")</f>
        <v>1.3999056435999999</v>
      </c>
      <c r="H3741" s="71"/>
      <c r="I3741" s="72"/>
      <c r="J3741" s="37">
        <v>0</v>
      </c>
    </row>
    <row r="3742" spans="1:10" ht="15.75" hidden="1" thickBot="1" x14ac:dyDescent="0.3">
      <c r="A3742" s="180"/>
      <c r="B3742" s="178"/>
      <c r="C3742" s="91"/>
      <c r="D3742" s="49"/>
      <c r="E3742" s="50"/>
      <c r="F3742" s="83" t="s">
        <v>13</v>
      </c>
      <c r="G3742" s="83" t="str">
        <f>IF(ISNUMBER(F3742),E3742*F3742,"")</f>
        <v/>
      </c>
      <c r="H3742" s="84"/>
      <c r="I3742" s="72"/>
      <c r="J3742" s="37">
        <v>0</v>
      </c>
    </row>
    <row r="3743" spans="1:10" ht="15.75" hidden="1" thickBot="1" x14ac:dyDescent="0.3">
      <c r="A3743" s="173" t="s">
        <v>923</v>
      </c>
      <c r="B3743" s="176" t="s">
        <v>4385</v>
      </c>
      <c r="C3743" s="31"/>
      <c r="D3743" s="32" t="s">
        <v>68</v>
      </c>
      <c r="E3743" s="33"/>
      <c r="F3743" s="60" t="s">
        <v>13</v>
      </c>
      <c r="G3743" s="34" t="str">
        <f>IF(ISNUMBER(F3743),E3743*F3743,"")</f>
        <v/>
      </c>
      <c r="H3743" s="35"/>
      <c r="I3743" s="36"/>
      <c r="J3743" s="37">
        <v>0</v>
      </c>
    </row>
    <row r="3744" spans="1:10" hidden="1" x14ac:dyDescent="0.25">
      <c r="A3744" s="174"/>
      <c r="B3744" s="177"/>
      <c r="C3744" s="39"/>
      <c r="D3744" s="39"/>
      <c r="E3744" s="40"/>
      <c r="F3744" s="70" t="s">
        <v>13</v>
      </c>
      <c r="G3744" s="70" t="str">
        <f>IF(ISNUMBER(F3744),E3744*F3744,"")</f>
        <v/>
      </c>
      <c r="H3744" s="71"/>
      <c r="I3744" s="72"/>
      <c r="J3744" s="37">
        <v>0</v>
      </c>
    </row>
    <row r="3745" spans="1:10" hidden="1" x14ac:dyDescent="0.25">
      <c r="A3745" s="174"/>
      <c r="B3745" s="177"/>
      <c r="C3745" s="43" t="s">
        <v>11066</v>
      </c>
      <c r="D3745" s="43" t="s">
        <v>162</v>
      </c>
      <c r="E3745" s="44">
        <v>1</v>
      </c>
      <c r="F3745" s="70">
        <v>12.2075</v>
      </c>
      <c r="G3745" s="70">
        <f>IF(ISNUMBER(F3745),E3745*F3745,"")</f>
        <v>12.2075</v>
      </c>
      <c r="H3745" s="46">
        <f>SUM(G3745:G3755)</f>
        <v>64.712728170418998</v>
      </c>
      <c r="I3745" s="47"/>
      <c r="J3745" s="37">
        <v>0</v>
      </c>
    </row>
    <row r="3746" spans="1:10" hidden="1" x14ac:dyDescent="0.25">
      <c r="A3746" s="174"/>
      <c r="B3746" s="177"/>
      <c r="C3746" s="43" t="s">
        <v>10614</v>
      </c>
      <c r="D3746" s="43" t="s">
        <v>2800</v>
      </c>
      <c r="E3746" s="44">
        <v>0.1386</v>
      </c>
      <c r="F3746" s="70">
        <v>23.693000000000001</v>
      </c>
      <c r="G3746" s="70">
        <f>IF(ISNUMBER(F3746),E3746*F3746,"")</f>
        <v>3.2838498</v>
      </c>
      <c r="H3746" s="71"/>
      <c r="I3746" s="72"/>
      <c r="J3746" s="37">
        <v>0</v>
      </c>
    </row>
    <row r="3747" spans="1:10" hidden="1" x14ac:dyDescent="0.25">
      <c r="A3747" s="174"/>
      <c r="B3747" s="177"/>
      <c r="C3747" s="43" t="s">
        <v>11067</v>
      </c>
      <c r="D3747" s="43" t="s">
        <v>2800</v>
      </c>
      <c r="E3747" s="44">
        <v>2.7699999999999999E-2</v>
      </c>
      <c r="F3747" s="70">
        <v>28.024999999999999</v>
      </c>
      <c r="G3747" s="70">
        <f>IF(ISNUMBER(F3747),E3747*F3747,"")</f>
        <v>0.77629249999999994</v>
      </c>
      <c r="H3747" s="71"/>
      <c r="I3747" s="72"/>
      <c r="J3747" s="37">
        <v>0</v>
      </c>
    </row>
    <row r="3748" spans="1:10" hidden="1" x14ac:dyDescent="0.25">
      <c r="A3748" s="174"/>
      <c r="B3748" s="177"/>
      <c r="C3748" s="43" t="s">
        <v>10614</v>
      </c>
      <c r="D3748" s="43" t="s">
        <v>2800</v>
      </c>
      <c r="E3748" s="44">
        <f>1.6*0.25</f>
        <v>0.4</v>
      </c>
      <c r="F3748" s="70">
        <v>23.693000000000001</v>
      </c>
      <c r="G3748" s="70">
        <f>IF(ISNUMBER(F3748),E3748*F3748,"")</f>
        <v>9.4772000000000016</v>
      </c>
      <c r="H3748" s="71"/>
      <c r="I3748" s="72"/>
      <c r="J3748" s="37">
        <v>0</v>
      </c>
    </row>
    <row r="3749" spans="1:10" ht="25.5" hidden="1" x14ac:dyDescent="0.25">
      <c r="A3749" s="174"/>
      <c r="B3749" s="177"/>
      <c r="C3749" s="43" t="s">
        <v>11068</v>
      </c>
      <c r="D3749" s="43" t="s">
        <v>1044</v>
      </c>
      <c r="E3749" s="44">
        <f>1*0.25</f>
        <v>0.25</v>
      </c>
      <c r="F3749" s="70">
        <v>0.29449999999999998</v>
      </c>
      <c r="G3749" s="70">
        <f>IF(ISNUMBER(F3749),E3749*F3749,"")</f>
        <v>7.3624999999999996E-2</v>
      </c>
      <c r="H3749" s="71"/>
      <c r="I3749" s="72"/>
      <c r="J3749" s="37">
        <v>0</v>
      </c>
    </row>
    <row r="3750" spans="1:10" hidden="1" x14ac:dyDescent="0.25">
      <c r="A3750" s="174"/>
      <c r="B3750" s="177"/>
      <c r="C3750" s="43" t="s">
        <v>11069</v>
      </c>
      <c r="D3750" s="43" t="s">
        <v>2880</v>
      </c>
      <c r="E3750" s="44">
        <f>0.9*0.25</f>
        <v>0.22500000000000001</v>
      </c>
      <c r="F3750" s="70">
        <v>168.95749999999998</v>
      </c>
      <c r="G3750" s="70">
        <f>IF(ISNUMBER(F3750),E3750*F3750,"")</f>
        <v>38.015437499999997</v>
      </c>
      <c r="H3750" s="71"/>
      <c r="I3750" s="72"/>
      <c r="J3750" s="37">
        <v>0</v>
      </c>
    </row>
    <row r="3751" spans="1:10" hidden="1" x14ac:dyDescent="0.25">
      <c r="A3751" s="174"/>
      <c r="B3751" s="177"/>
      <c r="C3751" s="43" t="s">
        <v>11070</v>
      </c>
      <c r="D3751" s="43" t="s">
        <v>1044</v>
      </c>
      <c r="E3751" s="44">
        <f>1*0.25</f>
        <v>0.25</v>
      </c>
      <c r="F3751" s="70">
        <v>3.3344999999999998</v>
      </c>
      <c r="G3751" s="70">
        <f>IF(ISNUMBER(F3751),E3751*F3751,"")</f>
        <v>0.83362499999999995</v>
      </c>
      <c r="H3751" s="71"/>
      <c r="I3751" s="72"/>
      <c r="J3751" s="37">
        <v>0</v>
      </c>
    </row>
    <row r="3752" spans="1:10" hidden="1" x14ac:dyDescent="0.25">
      <c r="A3752" s="174"/>
      <c r="B3752" s="177"/>
      <c r="C3752" s="43" t="s">
        <v>11071</v>
      </c>
      <c r="D3752" s="43" t="s">
        <v>1044</v>
      </c>
      <c r="E3752" s="44">
        <f>0.1*0.25</f>
        <v>2.5000000000000001E-2</v>
      </c>
      <c r="F3752" s="70">
        <v>1.349</v>
      </c>
      <c r="G3752" s="70">
        <f>IF(ISNUMBER(F3752),E3752*F3752,"")</f>
        <v>3.3724999999999998E-2</v>
      </c>
      <c r="H3752" s="71"/>
      <c r="I3752" s="72"/>
      <c r="J3752" s="37">
        <v>0</v>
      </c>
    </row>
    <row r="3753" spans="1:10" ht="51" hidden="1" x14ac:dyDescent="0.25">
      <c r="A3753" s="174"/>
      <c r="B3753" s="177"/>
      <c r="C3753" s="43" t="s">
        <v>10706</v>
      </c>
      <c r="D3753" s="43" t="s">
        <v>2885</v>
      </c>
      <c r="E3753" s="44">
        <f>ROUND(1*E3749/1000,4)</f>
        <v>2.9999999999999997E-4</v>
      </c>
      <c r="F3753" s="41">
        <v>5.7059122299999991</v>
      </c>
      <c r="G3753" s="41">
        <f>IF(ISNUMBER(F3753),E3753*F3753,"")</f>
        <v>1.7117736689999997E-3</v>
      </c>
      <c r="H3753" s="42"/>
      <c r="I3753" s="38"/>
      <c r="J3753" s="37">
        <v>0</v>
      </c>
    </row>
    <row r="3754" spans="1:10" ht="38.25" hidden="1" x14ac:dyDescent="0.25">
      <c r="A3754" s="174"/>
      <c r="B3754" s="177"/>
      <c r="C3754" s="43" t="s">
        <v>10696</v>
      </c>
      <c r="D3754" s="43" t="s">
        <v>10816</v>
      </c>
      <c r="E3754" s="44">
        <f>20*E3749*1/1000</f>
        <v>5.0000000000000001E-3</v>
      </c>
      <c r="F3754" s="70">
        <v>1.9523193499999996</v>
      </c>
      <c r="G3754" s="70">
        <f>IF(ISNUMBER(F3754),E3754*F3754,"")</f>
        <v>9.7615967499999987E-3</v>
      </c>
      <c r="H3754" s="71"/>
      <c r="I3754" s="72"/>
      <c r="J3754" s="37">
        <v>0</v>
      </c>
    </row>
    <row r="3755" spans="1:10" hidden="1" x14ac:dyDescent="0.25">
      <c r="A3755" s="174"/>
      <c r="B3755" s="177"/>
      <c r="C3755" s="43"/>
      <c r="D3755" s="43"/>
      <c r="E3755" s="44"/>
      <c r="F3755" s="70" t="s">
        <v>13</v>
      </c>
      <c r="G3755" s="70" t="str">
        <f>IF(ISNUMBER(F3755),E3755*F3755,"")</f>
        <v/>
      </c>
      <c r="H3755" s="71"/>
      <c r="I3755" s="72"/>
      <c r="J3755" s="37">
        <v>0</v>
      </c>
    </row>
    <row r="3756" spans="1:10" ht="25.5" hidden="1" x14ac:dyDescent="0.25">
      <c r="A3756" s="174"/>
      <c r="B3756" s="177"/>
      <c r="C3756" s="4" t="s">
        <v>924</v>
      </c>
      <c r="D3756" s="43"/>
      <c r="E3756" s="44"/>
      <c r="F3756" s="70" t="s">
        <v>13</v>
      </c>
      <c r="G3756" s="70" t="str">
        <f>IF(ISNUMBER(F3756),E3756*F3756,"")</f>
        <v/>
      </c>
      <c r="H3756" s="71"/>
      <c r="I3756" s="72"/>
      <c r="J3756" s="37">
        <v>0</v>
      </c>
    </row>
    <row r="3757" spans="1:10" ht="15.75" hidden="1" thickBot="1" x14ac:dyDescent="0.3">
      <c r="A3757" s="175"/>
      <c r="B3757" s="178"/>
      <c r="C3757" s="49"/>
      <c r="D3757" s="49"/>
      <c r="E3757" s="50"/>
      <c r="F3757" s="83" t="s">
        <v>13</v>
      </c>
      <c r="G3757" s="83" t="str">
        <f>IF(ISNUMBER(F3757),E3757*F3757,"")</f>
        <v/>
      </c>
      <c r="H3757" s="84"/>
      <c r="I3757" s="72"/>
      <c r="J3757" s="37">
        <v>0</v>
      </c>
    </row>
    <row r="3758" spans="1:10" ht="15.75" hidden="1" thickBot="1" x14ac:dyDescent="0.3">
      <c r="A3758" s="173" t="s">
        <v>925</v>
      </c>
      <c r="B3758" s="176" t="s">
        <v>4386</v>
      </c>
      <c r="C3758" s="31"/>
      <c r="D3758" s="32" t="s">
        <v>106</v>
      </c>
      <c r="E3758" s="33"/>
      <c r="F3758" s="60" t="s">
        <v>13</v>
      </c>
      <c r="G3758" s="34" t="str">
        <f>IF(ISNUMBER(F3758),E3758*F3758,"")</f>
        <v/>
      </c>
      <c r="H3758" s="35"/>
      <c r="I3758" s="36"/>
      <c r="J3758" s="37">
        <v>0</v>
      </c>
    </row>
    <row r="3759" spans="1:10" hidden="1" x14ac:dyDescent="0.25">
      <c r="A3759" s="179"/>
      <c r="B3759" s="177"/>
      <c r="C3759" s="39"/>
      <c r="D3759" s="39"/>
      <c r="E3759" s="40"/>
      <c r="F3759" s="70" t="s">
        <v>13</v>
      </c>
      <c r="G3759" s="70" t="str">
        <f>IF(ISNUMBER(F3759),E3759*F3759,"")</f>
        <v/>
      </c>
      <c r="H3759" s="71"/>
      <c r="I3759" s="72"/>
      <c r="J3759" s="37">
        <v>0</v>
      </c>
    </row>
    <row r="3760" spans="1:10" hidden="1" x14ac:dyDescent="0.25">
      <c r="A3760" s="179"/>
      <c r="B3760" s="177"/>
      <c r="C3760" s="43" t="s">
        <v>11072</v>
      </c>
      <c r="D3760" s="43" t="s">
        <v>70</v>
      </c>
      <c r="E3760" s="44">
        <f>ROUND(0.427/2*(0.25+0.13+0.25),4)</f>
        <v>0.13450000000000001</v>
      </c>
      <c r="F3760" s="70">
        <v>21.66</v>
      </c>
      <c r="G3760" s="70">
        <f>IF(ISNUMBER(F3760),E3760*F3760,"")</f>
        <v>2.9132700000000002</v>
      </c>
      <c r="H3760" s="46">
        <f>SUM(G3760:G3762)</f>
        <v>6.5983392375000012</v>
      </c>
      <c r="I3760" s="47"/>
      <c r="J3760" s="37">
        <v>0</v>
      </c>
    </row>
    <row r="3761" spans="1:10" hidden="1" x14ac:dyDescent="0.25">
      <c r="A3761" s="179"/>
      <c r="B3761" s="177"/>
      <c r="C3761" s="43" t="s">
        <v>10674</v>
      </c>
      <c r="D3761" s="43" t="s">
        <v>2800</v>
      </c>
      <c r="E3761" s="44">
        <f>0.275*(0.25+0.13+0.25)/2</f>
        <v>8.6625000000000008E-2</v>
      </c>
      <c r="F3761" s="70">
        <v>32.6325</v>
      </c>
      <c r="G3761" s="70">
        <f>IF(ISNUMBER(F3761),E3761*F3761,"")</f>
        <v>2.8267903125000005</v>
      </c>
      <c r="H3761" s="71"/>
      <c r="I3761" s="72"/>
      <c r="J3761" s="37">
        <v>0</v>
      </c>
    </row>
    <row r="3762" spans="1:10" hidden="1" x14ac:dyDescent="0.25">
      <c r="A3762" s="179"/>
      <c r="B3762" s="177"/>
      <c r="C3762" s="43" t="s">
        <v>10614</v>
      </c>
      <c r="D3762" s="43" t="s">
        <v>2800</v>
      </c>
      <c r="E3762" s="44">
        <f>0.115*(0.25+0.13+0.25)/2</f>
        <v>3.6225E-2</v>
      </c>
      <c r="F3762" s="70">
        <v>23.693000000000001</v>
      </c>
      <c r="G3762" s="70">
        <f>IF(ISNUMBER(F3762),E3762*F3762,"")</f>
        <v>0.85827892500000003</v>
      </c>
      <c r="H3762" s="71"/>
      <c r="I3762" s="72"/>
      <c r="J3762" s="37">
        <v>0</v>
      </c>
    </row>
    <row r="3763" spans="1:10" hidden="1" x14ac:dyDescent="0.25">
      <c r="A3763" s="179"/>
      <c r="B3763" s="177"/>
      <c r="C3763" s="43"/>
      <c r="D3763" s="43"/>
      <c r="E3763" s="44"/>
      <c r="F3763" s="70" t="s">
        <v>13</v>
      </c>
      <c r="G3763" s="70" t="str">
        <f>IF(ISNUMBER(F3763),E3763*F3763,"")</f>
        <v/>
      </c>
      <c r="H3763" s="71"/>
      <c r="I3763" s="72"/>
      <c r="J3763" s="37">
        <v>0</v>
      </c>
    </row>
    <row r="3764" spans="1:10" ht="25.5" hidden="1" x14ac:dyDescent="0.25">
      <c r="A3764" s="179"/>
      <c r="B3764" s="177"/>
      <c r="C3764" s="4" t="s">
        <v>926</v>
      </c>
      <c r="D3764" s="43"/>
      <c r="E3764" s="44"/>
      <c r="F3764" s="70" t="s">
        <v>13</v>
      </c>
      <c r="G3764" s="70" t="str">
        <f>IF(ISNUMBER(F3764),E3764*F3764,"")</f>
        <v/>
      </c>
      <c r="H3764" s="71"/>
      <c r="I3764" s="72"/>
      <c r="J3764" s="37">
        <v>0</v>
      </c>
    </row>
    <row r="3765" spans="1:10" ht="15.75" hidden="1" thickBot="1" x14ac:dyDescent="0.3">
      <c r="A3765" s="180"/>
      <c r="B3765" s="178"/>
      <c r="C3765" s="49"/>
      <c r="D3765" s="49"/>
      <c r="E3765" s="50"/>
      <c r="F3765" s="83" t="s">
        <v>13</v>
      </c>
      <c r="G3765" s="83" t="str">
        <f>IF(ISNUMBER(F3765),E3765*F3765,"")</f>
        <v/>
      </c>
      <c r="H3765" s="84"/>
      <c r="I3765" s="72"/>
      <c r="J3765" s="37">
        <v>0</v>
      </c>
    </row>
    <row r="3766" spans="1:10" ht="15.75" hidden="1" thickBot="1" x14ac:dyDescent="0.3">
      <c r="A3766" s="173" t="s">
        <v>927</v>
      </c>
      <c r="B3766" s="176" t="s">
        <v>4387</v>
      </c>
      <c r="C3766" s="31"/>
      <c r="D3766" s="32" t="s">
        <v>106</v>
      </c>
      <c r="E3766" s="33"/>
      <c r="F3766" s="60" t="s">
        <v>13</v>
      </c>
      <c r="G3766" s="34" t="str">
        <f>IF(ISNUMBER(F3766),E3766*F3766,"")</f>
        <v/>
      </c>
      <c r="H3766" s="35"/>
      <c r="I3766" s="36"/>
      <c r="J3766" s="37">
        <v>0</v>
      </c>
    </row>
    <row r="3767" spans="1:10" hidden="1" x14ac:dyDescent="0.25">
      <c r="A3767" s="174"/>
      <c r="B3767" s="177"/>
      <c r="C3767" s="39"/>
      <c r="D3767" s="39"/>
      <c r="E3767" s="40"/>
      <c r="F3767" s="70" t="s">
        <v>13</v>
      </c>
      <c r="G3767" s="70" t="str">
        <f>IF(ISNUMBER(F3767),E3767*F3767,"")</f>
        <v/>
      </c>
      <c r="H3767" s="71"/>
      <c r="I3767" s="72"/>
      <c r="J3767" s="37">
        <v>0</v>
      </c>
    </row>
    <row r="3768" spans="1:10" ht="25.5" hidden="1" x14ac:dyDescent="0.25">
      <c r="A3768" s="174"/>
      <c r="B3768" s="177"/>
      <c r="C3768" s="43" t="s">
        <v>10647</v>
      </c>
      <c r="D3768" s="43" t="s">
        <v>2880</v>
      </c>
      <c r="E3768" s="44">
        <v>6.6E-3</v>
      </c>
      <c r="F3768" s="70">
        <v>199.71849999999998</v>
      </c>
      <c r="G3768" s="70">
        <f>IF(ISNUMBER(F3768),E3768*F3768,"")</f>
        <v>1.3181420999999998</v>
      </c>
      <c r="H3768" s="46">
        <f>SUM(G3768:G3776)</f>
        <v>46.699469015082499</v>
      </c>
      <c r="I3768" s="47"/>
      <c r="J3768" s="37">
        <v>0</v>
      </c>
    </row>
    <row r="3769" spans="1:10" ht="25.5" hidden="1" x14ac:dyDescent="0.25">
      <c r="A3769" s="174"/>
      <c r="B3769" s="177"/>
      <c r="C3769" s="43" t="s">
        <v>11073</v>
      </c>
      <c r="D3769" s="43" t="s">
        <v>1302</v>
      </c>
      <c r="E3769" s="44">
        <v>1.0049999999999999</v>
      </c>
      <c r="F3769" s="70">
        <v>30.751499999999997</v>
      </c>
      <c r="G3769" s="70">
        <f>IF(ISNUMBER(F3769),E3769*F3769,"")</f>
        <v>30.905257499999994</v>
      </c>
      <c r="H3769" s="71"/>
      <c r="I3769" s="72"/>
      <c r="J3769" s="37">
        <v>0</v>
      </c>
    </row>
    <row r="3770" spans="1:10" hidden="1" x14ac:dyDescent="0.25">
      <c r="A3770" s="174"/>
      <c r="B3770" s="177"/>
      <c r="C3770" s="43" t="s">
        <v>10757</v>
      </c>
      <c r="D3770" s="43" t="s">
        <v>2800</v>
      </c>
      <c r="E3770" s="44">
        <v>0.2296</v>
      </c>
      <c r="F3770" s="70">
        <v>31.055499999999995</v>
      </c>
      <c r="G3770" s="70">
        <f>IF(ISNUMBER(F3770),E3770*F3770,"")</f>
        <v>7.1303427999999984</v>
      </c>
      <c r="H3770" s="71"/>
      <c r="I3770" s="72"/>
      <c r="J3770" s="37">
        <v>0</v>
      </c>
    </row>
    <row r="3771" spans="1:10" hidden="1" x14ac:dyDescent="0.25">
      <c r="A3771" s="174"/>
      <c r="B3771" s="177"/>
      <c r="C3771" s="43" t="s">
        <v>10614</v>
      </c>
      <c r="D3771" s="43" t="s">
        <v>2800</v>
      </c>
      <c r="E3771" s="44">
        <v>0.2296</v>
      </c>
      <c r="F3771" s="70">
        <v>23.693000000000001</v>
      </c>
      <c r="G3771" s="70">
        <f>IF(ISNUMBER(F3771),E3771*F3771,"")</f>
        <v>5.4399128000000001</v>
      </c>
      <c r="H3771" s="71"/>
      <c r="I3771" s="72"/>
      <c r="J3771" s="37">
        <v>0</v>
      </c>
    </row>
    <row r="3772" spans="1:10" ht="25.5" hidden="1" x14ac:dyDescent="0.25">
      <c r="A3772" s="174"/>
      <c r="B3772" s="177"/>
      <c r="C3772" s="43" t="s">
        <v>10679</v>
      </c>
      <c r="D3772" s="43" t="s">
        <v>2880</v>
      </c>
      <c r="E3772" s="44">
        <v>1.8E-3</v>
      </c>
      <c r="F3772" s="70">
        <v>800.36532496250004</v>
      </c>
      <c r="G3772" s="70">
        <f>IF(ISNUMBER(F3772),E3772*F3772,"")</f>
        <v>1.4406575849325001</v>
      </c>
      <c r="H3772" s="71"/>
      <c r="I3772" s="72"/>
      <c r="J3772" s="37">
        <v>0</v>
      </c>
    </row>
    <row r="3773" spans="1:10" ht="51" hidden="1" x14ac:dyDescent="0.25">
      <c r="A3773" s="174"/>
      <c r="B3773" s="177"/>
      <c r="C3773" s="43" t="s">
        <v>10624</v>
      </c>
      <c r="D3773" s="43" t="s">
        <v>2880</v>
      </c>
      <c r="E3773" s="44">
        <f>1*E3768</f>
        <v>6.6E-3</v>
      </c>
      <c r="F3773" s="41">
        <v>8.5522277500000001</v>
      </c>
      <c r="G3773" s="41">
        <f>IF(ISNUMBER(F3773),E3773*F3773,"")</f>
        <v>5.6444703149999997E-2</v>
      </c>
      <c r="H3773" s="42"/>
      <c r="I3773" s="38"/>
      <c r="J3773" s="37">
        <v>0</v>
      </c>
    </row>
    <row r="3774" spans="1:10" ht="38.25" hidden="1" x14ac:dyDescent="0.25">
      <c r="A3774" s="174"/>
      <c r="B3774" s="177"/>
      <c r="C3774" s="43" t="s">
        <v>10622</v>
      </c>
      <c r="D3774" s="43" t="s">
        <v>10676</v>
      </c>
      <c r="E3774" s="44">
        <f>0.007*20</f>
        <v>0.14000000000000001</v>
      </c>
      <c r="F3774" s="70">
        <v>2.9193680499999997</v>
      </c>
      <c r="G3774" s="70">
        <f>IF(ISNUMBER(F3774),E3774*F3774,"")</f>
        <v>0.40871152700000002</v>
      </c>
      <c r="H3774" s="71"/>
      <c r="I3774" s="72"/>
      <c r="J3774" s="37">
        <v>0</v>
      </c>
    </row>
    <row r="3775" spans="1:10" hidden="1" x14ac:dyDescent="0.25">
      <c r="A3775" s="174"/>
      <c r="B3775" s="177"/>
      <c r="C3775" s="43"/>
      <c r="D3775" s="43"/>
      <c r="E3775" s="44"/>
      <c r="F3775" s="70" t="s">
        <v>13</v>
      </c>
      <c r="G3775" s="70" t="str">
        <f>IF(ISNUMBER(F3775),E3775*F3775,"")</f>
        <v/>
      </c>
      <c r="H3775" s="71"/>
      <c r="I3775" s="72"/>
      <c r="J3775" s="37">
        <v>0</v>
      </c>
    </row>
    <row r="3776" spans="1:10" hidden="1" x14ac:dyDescent="0.25">
      <c r="A3776" s="174"/>
      <c r="B3776" s="177"/>
      <c r="C3776" s="4" t="s">
        <v>928</v>
      </c>
      <c r="D3776" s="43"/>
      <c r="E3776" s="44"/>
      <c r="F3776" s="70" t="s">
        <v>13</v>
      </c>
      <c r="G3776" s="70" t="str">
        <f>IF(ISNUMBER(F3776),E3776*F3776,"")</f>
        <v/>
      </c>
      <c r="H3776" s="71"/>
      <c r="I3776" s="72"/>
      <c r="J3776" s="37">
        <v>0</v>
      </c>
    </row>
    <row r="3777" spans="1:10" ht="15.75" hidden="1" thickBot="1" x14ac:dyDescent="0.3">
      <c r="A3777" s="175"/>
      <c r="B3777" s="178"/>
      <c r="C3777" s="49"/>
      <c r="D3777" s="49"/>
      <c r="E3777" s="50"/>
      <c r="F3777" s="83" t="s">
        <v>13</v>
      </c>
      <c r="G3777" s="83" t="str">
        <f>IF(ISNUMBER(F3777),E3777*F3777,"")</f>
        <v/>
      </c>
      <c r="H3777" s="84"/>
      <c r="I3777" s="72"/>
      <c r="J3777" s="37">
        <v>0</v>
      </c>
    </row>
    <row r="3778" spans="1:10" ht="15.75" hidden="1" thickBot="1" x14ac:dyDescent="0.3">
      <c r="A3778" s="173" t="s">
        <v>929</v>
      </c>
      <c r="B3778" s="176" t="s">
        <v>4388</v>
      </c>
      <c r="C3778" s="31"/>
      <c r="D3778" s="32" t="s">
        <v>106</v>
      </c>
      <c r="E3778" s="33"/>
      <c r="F3778" s="60" t="s">
        <v>13</v>
      </c>
      <c r="G3778" s="34" t="str">
        <f>IF(ISNUMBER(F3778),E3778*F3778,"")</f>
        <v/>
      </c>
      <c r="H3778" s="35"/>
      <c r="I3778" s="36"/>
      <c r="J3778" s="37">
        <v>0</v>
      </c>
    </row>
    <row r="3779" spans="1:10" hidden="1" x14ac:dyDescent="0.25">
      <c r="A3779" s="174"/>
      <c r="B3779" s="177"/>
      <c r="C3779" s="39"/>
      <c r="D3779" s="39"/>
      <c r="E3779" s="40"/>
      <c r="F3779" s="70" t="s">
        <v>13</v>
      </c>
      <c r="G3779" s="70" t="str">
        <f>IF(ISNUMBER(F3779),E3779*F3779,"")</f>
        <v/>
      </c>
      <c r="H3779" s="71"/>
      <c r="I3779" s="72"/>
      <c r="J3779" s="37">
        <v>0</v>
      </c>
    </row>
    <row r="3780" spans="1:10" ht="25.5" hidden="1" x14ac:dyDescent="0.25">
      <c r="A3780" s="174"/>
      <c r="B3780" s="177"/>
      <c r="C3780" s="43" t="s">
        <v>10792</v>
      </c>
      <c r="D3780" s="43" t="s">
        <v>2880</v>
      </c>
      <c r="E3780" s="44">
        <v>0.23</v>
      </c>
      <c r="F3780" s="70">
        <v>195.86149999999998</v>
      </c>
      <c r="G3780" s="70">
        <f>IF(ISNUMBER(F3780),E3780*F3780,"")</f>
        <v>45.048144999999998</v>
      </c>
      <c r="H3780" s="46">
        <f>SUM(G3780:G3790)</f>
        <v>161.7931004125</v>
      </c>
      <c r="I3780" s="47"/>
      <c r="J3780" s="37">
        <v>0</v>
      </c>
    </row>
    <row r="3781" spans="1:10" ht="38.25" hidden="1" x14ac:dyDescent="0.25">
      <c r="A3781" s="174"/>
      <c r="B3781" s="177"/>
      <c r="C3781" s="43" t="s">
        <v>11074</v>
      </c>
      <c r="D3781" s="43" t="s">
        <v>1302</v>
      </c>
      <c r="E3781" s="44">
        <v>1.01</v>
      </c>
      <c r="F3781" s="70">
        <v>10.164999999999999</v>
      </c>
      <c r="G3781" s="70">
        <f>IF(ISNUMBER(F3781),E3781*F3781,"")</f>
        <v>10.266649999999998</v>
      </c>
      <c r="H3781" s="71"/>
      <c r="I3781" s="72"/>
      <c r="J3781" s="37">
        <v>0</v>
      </c>
    </row>
    <row r="3782" spans="1:10" ht="25.5" hidden="1" x14ac:dyDescent="0.25">
      <c r="A3782" s="174"/>
      <c r="B3782" s="177"/>
      <c r="C3782" s="43" t="s">
        <v>10754</v>
      </c>
      <c r="D3782" s="43" t="s">
        <v>2800</v>
      </c>
      <c r="E3782" s="44">
        <v>0.5</v>
      </c>
      <c r="F3782" s="70">
        <v>30.361999999999998</v>
      </c>
      <c r="G3782" s="70">
        <f>IF(ISNUMBER(F3782),E3782*F3782,"")</f>
        <v>15.180999999999999</v>
      </c>
      <c r="H3782" s="71"/>
      <c r="I3782" s="72"/>
      <c r="J3782" s="37">
        <v>0</v>
      </c>
    </row>
    <row r="3783" spans="1:10" hidden="1" x14ac:dyDescent="0.25">
      <c r="A3783" s="174"/>
      <c r="B3783" s="177"/>
      <c r="C3783" s="43" t="s">
        <v>10614</v>
      </c>
      <c r="D3783" s="43" t="s">
        <v>2800</v>
      </c>
      <c r="E3783" s="44">
        <v>0.7</v>
      </c>
      <c r="F3783" s="70">
        <v>23.693000000000001</v>
      </c>
      <c r="G3783" s="70">
        <f>IF(ISNUMBER(F3783),E3783*F3783,"")</f>
        <v>16.585100000000001</v>
      </c>
      <c r="H3783" s="71"/>
      <c r="I3783" s="72"/>
      <c r="J3783" s="37">
        <v>0</v>
      </c>
    </row>
    <row r="3784" spans="1:10" ht="25.5" hidden="1" x14ac:dyDescent="0.25">
      <c r="A3784" s="174"/>
      <c r="B3784" s="177"/>
      <c r="C3784" s="43" t="s">
        <v>11075</v>
      </c>
      <c r="D3784" s="43" t="s">
        <v>162</v>
      </c>
      <c r="E3784" s="44">
        <v>2.2000000000000002</v>
      </c>
      <c r="F3784" s="70">
        <v>21.507999999999999</v>
      </c>
      <c r="G3784" s="70">
        <f>IF(ISNUMBER(F3784),E3784*F3784,"")</f>
        <v>47.317599999999999</v>
      </c>
      <c r="H3784" s="71"/>
      <c r="I3784" s="72"/>
      <c r="J3784" s="37">
        <v>0</v>
      </c>
    </row>
    <row r="3785" spans="1:10" ht="25.5" hidden="1" x14ac:dyDescent="0.25">
      <c r="A3785" s="174"/>
      <c r="B3785" s="177"/>
      <c r="C3785" s="43" t="s">
        <v>10753</v>
      </c>
      <c r="D3785" s="43" t="s">
        <v>2800</v>
      </c>
      <c r="E3785" s="44">
        <v>0.5</v>
      </c>
      <c r="F3785" s="70">
        <v>23.997</v>
      </c>
      <c r="G3785" s="70">
        <f>IF(ISNUMBER(F3785),E3785*F3785,"")</f>
        <v>11.9985</v>
      </c>
      <c r="H3785" s="71"/>
      <c r="I3785" s="72"/>
      <c r="J3785" s="37">
        <v>0</v>
      </c>
    </row>
    <row r="3786" spans="1:10" ht="51" hidden="1" x14ac:dyDescent="0.25">
      <c r="A3786" s="174"/>
      <c r="B3786" s="177"/>
      <c r="C3786" s="43" t="s">
        <v>10624</v>
      </c>
      <c r="D3786" s="43" t="s">
        <v>2880</v>
      </c>
      <c r="E3786" s="44">
        <f>1*E3780</f>
        <v>0.23</v>
      </c>
      <c r="F3786" s="41">
        <v>8.5522277500000001</v>
      </c>
      <c r="G3786" s="41">
        <f>IF(ISNUMBER(F3786),E3786*F3786,"")</f>
        <v>1.9670123825000001</v>
      </c>
      <c r="H3786" s="42"/>
      <c r="I3786" s="38"/>
      <c r="J3786" s="37">
        <v>0</v>
      </c>
    </row>
    <row r="3787" spans="1:10" ht="38.25" hidden="1" x14ac:dyDescent="0.25">
      <c r="A3787" s="174"/>
      <c r="B3787" s="177"/>
      <c r="C3787" s="43" t="s">
        <v>10622</v>
      </c>
      <c r="D3787" s="43" t="s">
        <v>10676</v>
      </c>
      <c r="E3787" s="44">
        <f>E3780*20</f>
        <v>4.6000000000000005</v>
      </c>
      <c r="F3787" s="70">
        <v>2.9193680499999997</v>
      </c>
      <c r="G3787" s="70">
        <f>IF(ISNUMBER(F3787),E3787*F3787,"")</f>
        <v>13.429093030000001</v>
      </c>
      <c r="H3787" s="71"/>
      <c r="I3787" s="72"/>
      <c r="J3787" s="37">
        <v>0</v>
      </c>
    </row>
    <row r="3788" spans="1:10" hidden="1" x14ac:dyDescent="0.25">
      <c r="A3788" s="174"/>
      <c r="B3788" s="177"/>
      <c r="C3788" s="43"/>
      <c r="D3788" s="43"/>
      <c r="E3788" s="44"/>
      <c r="F3788" s="70" t="s">
        <v>13</v>
      </c>
      <c r="G3788" s="70" t="str">
        <f>IF(ISNUMBER(F3788),E3788*F3788,"")</f>
        <v/>
      </c>
      <c r="H3788" s="71"/>
      <c r="I3788" s="72"/>
      <c r="J3788" s="37">
        <v>0</v>
      </c>
    </row>
    <row r="3789" spans="1:10" hidden="1" x14ac:dyDescent="0.25">
      <c r="A3789" s="174"/>
      <c r="B3789" s="177"/>
      <c r="C3789" s="4" t="s">
        <v>930</v>
      </c>
      <c r="D3789" s="43"/>
      <c r="E3789" s="44"/>
      <c r="F3789" s="70" t="s">
        <v>13</v>
      </c>
      <c r="G3789" s="70" t="str">
        <f>IF(ISNUMBER(F3789),E3789*F3789,"")</f>
        <v/>
      </c>
      <c r="H3789" s="71"/>
      <c r="I3789" s="72"/>
      <c r="J3789" s="37">
        <v>0</v>
      </c>
    </row>
    <row r="3790" spans="1:10" ht="15.75" hidden="1" thickBot="1" x14ac:dyDescent="0.3">
      <c r="A3790" s="175"/>
      <c r="B3790" s="178"/>
      <c r="C3790" s="49"/>
      <c r="D3790" s="49"/>
      <c r="E3790" s="50"/>
      <c r="F3790" s="83" t="s">
        <v>13</v>
      </c>
      <c r="G3790" s="83" t="str">
        <f>IF(ISNUMBER(F3790),E3790*F3790,"")</f>
        <v/>
      </c>
      <c r="H3790" s="84"/>
      <c r="I3790" s="72"/>
      <c r="J3790" s="37">
        <v>0</v>
      </c>
    </row>
    <row r="3791" spans="1:10" ht="15.75" hidden="1" thickBot="1" x14ac:dyDescent="0.3">
      <c r="A3791" s="173" t="s">
        <v>931</v>
      </c>
      <c r="B3791" s="176" t="s">
        <v>4391</v>
      </c>
      <c r="C3791" s="31"/>
      <c r="D3791" s="32" t="s">
        <v>18</v>
      </c>
      <c r="E3791" s="33"/>
      <c r="F3791" s="60" t="s">
        <v>13</v>
      </c>
      <c r="G3791" s="34" t="str">
        <f>IF(ISNUMBER(F3791),E3791*F3791,"")</f>
        <v/>
      </c>
      <c r="H3791" s="35"/>
      <c r="I3791" s="36"/>
      <c r="J3791" s="37">
        <v>0</v>
      </c>
    </row>
    <row r="3792" spans="1:10" hidden="1" x14ac:dyDescent="0.25">
      <c r="A3792" s="174"/>
      <c r="B3792" s="177"/>
      <c r="C3792" s="39"/>
      <c r="D3792" s="39"/>
      <c r="E3792" s="40"/>
      <c r="F3792" s="70" t="s">
        <v>13</v>
      </c>
      <c r="G3792" s="70" t="str">
        <f>IF(ISNUMBER(F3792),E3792*F3792,"")</f>
        <v/>
      </c>
      <c r="H3792" s="71"/>
      <c r="I3792" s="72"/>
      <c r="J3792" s="37">
        <v>0</v>
      </c>
    </row>
    <row r="3793" spans="1:10" hidden="1" x14ac:dyDescent="0.25">
      <c r="A3793" s="174"/>
      <c r="B3793" s="177"/>
      <c r="C3793" s="43" t="s">
        <v>10757</v>
      </c>
      <c r="D3793" s="43" t="s">
        <v>2800</v>
      </c>
      <c r="E3793" s="44">
        <f>0.1+0.1</f>
        <v>0.2</v>
      </c>
      <c r="F3793" s="70">
        <v>31.055499999999995</v>
      </c>
      <c r="G3793" s="70">
        <f>IF(ISNUMBER(F3793),E3793*F3793,"")</f>
        <v>6.2110999999999992</v>
      </c>
      <c r="H3793" s="46">
        <f>SUM(G3793:G3798)</f>
        <v>11.260342539851401</v>
      </c>
      <c r="I3793" s="47"/>
      <c r="J3793" s="37">
        <v>0</v>
      </c>
    </row>
    <row r="3794" spans="1:10" hidden="1" x14ac:dyDescent="0.25">
      <c r="A3794" s="174"/>
      <c r="B3794" s="177"/>
      <c r="C3794" s="43" t="s">
        <v>10614</v>
      </c>
      <c r="D3794" s="43" t="s">
        <v>2800</v>
      </c>
      <c r="E3794" s="44">
        <f>0.1+0.1</f>
        <v>0.2</v>
      </c>
      <c r="F3794" s="70">
        <v>23.693000000000001</v>
      </c>
      <c r="G3794" s="70">
        <f>IF(ISNUMBER(F3794),E3794*F3794,"")</f>
        <v>4.7386000000000008</v>
      </c>
      <c r="H3794" s="71"/>
      <c r="I3794" s="72"/>
      <c r="J3794" s="37">
        <v>0</v>
      </c>
    </row>
    <row r="3795" spans="1:10" hidden="1" x14ac:dyDescent="0.25">
      <c r="A3795" s="174"/>
      <c r="B3795" s="177"/>
      <c r="C3795" s="43" t="s">
        <v>879</v>
      </c>
      <c r="D3795" s="43" t="s">
        <v>87</v>
      </c>
      <c r="E3795" s="44">
        <f>0.016*2</f>
        <v>3.2000000000000001E-2</v>
      </c>
      <c r="F3795" s="70" t="s">
        <v>13</v>
      </c>
      <c r="G3795" s="70" t="str">
        <f>IF(ISNUMBER(F3795),E3795*F3795,"")</f>
        <v/>
      </c>
      <c r="H3795" s="71"/>
      <c r="I3795" s="72"/>
      <c r="J3795" s="37">
        <v>0</v>
      </c>
    </row>
    <row r="3796" spans="1:10" hidden="1" x14ac:dyDescent="0.25">
      <c r="A3796" s="174"/>
      <c r="B3796" s="177"/>
      <c r="C3796" s="43" t="s">
        <v>880</v>
      </c>
      <c r="D3796" s="43" t="s">
        <v>881</v>
      </c>
      <c r="E3796" s="44">
        <f>0.1*2</f>
        <v>0.2</v>
      </c>
      <c r="F3796" s="70" t="s">
        <v>13</v>
      </c>
      <c r="G3796" s="70" t="str">
        <f>IF(ISNUMBER(F3796),E3796*F3796,"")</f>
        <v/>
      </c>
      <c r="H3796" s="71"/>
      <c r="I3796" s="72"/>
      <c r="J3796" s="37">
        <v>0</v>
      </c>
    </row>
    <row r="3797" spans="1:10" hidden="1" x14ac:dyDescent="0.25">
      <c r="A3797" s="174"/>
      <c r="B3797" s="177"/>
      <c r="C3797" s="43" t="s">
        <v>886</v>
      </c>
      <c r="D3797" s="43" t="s">
        <v>87</v>
      </c>
      <c r="E3797" s="44">
        <v>1</v>
      </c>
      <c r="F3797" s="70" t="s">
        <v>13</v>
      </c>
      <c r="G3797" s="70" t="str">
        <f>IF(ISNUMBER(F3797),E3797*F3797,"")</f>
        <v/>
      </c>
      <c r="H3797" s="71"/>
      <c r="I3797" s="72"/>
      <c r="J3797" s="37">
        <v>0</v>
      </c>
    </row>
    <row r="3798" spans="1:10" ht="38.25" hidden="1" x14ac:dyDescent="0.25">
      <c r="A3798" s="174"/>
      <c r="B3798" s="177"/>
      <c r="C3798" s="43" t="s">
        <v>10699</v>
      </c>
      <c r="D3798" s="43" t="s">
        <v>2880</v>
      </c>
      <c r="E3798" s="44">
        <f>ROUND(0.15*0.05*0.05,4)</f>
        <v>4.0000000000000002E-4</v>
      </c>
      <c r="F3798" s="70">
        <v>776.60634962849986</v>
      </c>
      <c r="G3798" s="70">
        <f>IF(ISNUMBER(F3798),E3798*F3798,"")</f>
        <v>0.31064253985139995</v>
      </c>
      <c r="H3798" s="71"/>
      <c r="I3798" s="72"/>
      <c r="J3798" s="37">
        <v>0</v>
      </c>
    </row>
    <row r="3799" spans="1:10" hidden="1" x14ac:dyDescent="0.25">
      <c r="A3799" s="174"/>
      <c r="B3799" s="177"/>
      <c r="C3799" s="43"/>
      <c r="D3799" s="43"/>
      <c r="E3799" s="44"/>
      <c r="F3799" s="70" t="s">
        <v>13</v>
      </c>
      <c r="G3799" s="70" t="str">
        <f>IF(ISNUMBER(F3799),E3799*F3799,"")</f>
        <v/>
      </c>
      <c r="H3799" s="71"/>
      <c r="I3799" s="72"/>
      <c r="J3799" s="37">
        <v>0</v>
      </c>
    </row>
    <row r="3800" spans="1:10" hidden="1" x14ac:dyDescent="0.25">
      <c r="A3800" s="174"/>
      <c r="B3800" s="177"/>
      <c r="C3800" s="90" t="s">
        <v>882</v>
      </c>
      <c r="D3800" s="43"/>
      <c r="E3800" s="44"/>
      <c r="F3800" s="70" t="s">
        <v>13</v>
      </c>
      <c r="G3800" s="70" t="str">
        <f>IF(ISNUMBER(F3800),E3800*F3800,"")</f>
        <v/>
      </c>
      <c r="H3800" s="71"/>
      <c r="I3800" s="72"/>
      <c r="J3800" s="37">
        <v>0</v>
      </c>
    </row>
    <row r="3801" spans="1:10" ht="15.75" hidden="1" thickBot="1" x14ac:dyDescent="0.3">
      <c r="A3801" s="175"/>
      <c r="B3801" s="178"/>
      <c r="C3801" s="49"/>
      <c r="D3801" s="49"/>
      <c r="E3801" s="50"/>
      <c r="F3801" s="83" t="s">
        <v>13</v>
      </c>
      <c r="G3801" s="83" t="str">
        <f>IF(ISNUMBER(F3801),E3801*F3801,"")</f>
        <v/>
      </c>
      <c r="H3801" s="84"/>
      <c r="I3801" s="72"/>
      <c r="J3801" s="37">
        <v>0</v>
      </c>
    </row>
    <row r="3802" spans="1:10" ht="15.75" hidden="1" thickBot="1" x14ac:dyDescent="0.3">
      <c r="A3802" s="173" t="s">
        <v>932</v>
      </c>
      <c r="B3802" s="176" t="s">
        <v>4405</v>
      </c>
      <c r="C3802" s="31"/>
      <c r="D3802" s="32" t="s">
        <v>4340</v>
      </c>
      <c r="E3802" s="33"/>
      <c r="F3802" s="60" t="s">
        <v>13</v>
      </c>
      <c r="G3802" s="34" t="str">
        <f>IF(ISNUMBER(F3802),E3802*F3802,"")</f>
        <v/>
      </c>
      <c r="H3802" s="35"/>
      <c r="I3802" s="36"/>
      <c r="J3802" s="37">
        <v>0</v>
      </c>
    </row>
    <row r="3803" spans="1:10" hidden="1" x14ac:dyDescent="0.25">
      <c r="A3803" s="179"/>
      <c r="B3803" s="177"/>
      <c r="C3803" s="39"/>
      <c r="D3803" s="39"/>
      <c r="E3803" s="40"/>
      <c r="F3803" s="70" t="s">
        <v>13</v>
      </c>
      <c r="G3803" s="70" t="str">
        <f>IF(ISNUMBER(F3803),E3803*F3803,"")</f>
        <v/>
      </c>
      <c r="H3803" s="71"/>
      <c r="I3803" s="72"/>
      <c r="J3803" s="37">
        <v>0</v>
      </c>
    </row>
    <row r="3804" spans="1:10" ht="38.25" hidden="1" x14ac:dyDescent="0.25">
      <c r="A3804" s="179"/>
      <c r="B3804" s="177"/>
      <c r="C3804" s="43" t="s">
        <v>11076</v>
      </c>
      <c r="D3804" s="43" t="s">
        <v>10821</v>
      </c>
      <c r="E3804" s="44">
        <v>1</v>
      </c>
      <c r="F3804" s="70">
        <v>1567.5</v>
      </c>
      <c r="G3804" s="70">
        <f>IF(ISNUMBER(F3804),E3804*F3804,"")</f>
        <v>1567.5</v>
      </c>
      <c r="H3804" s="46">
        <f>SUM(G3804:G3804)</f>
        <v>1567.5</v>
      </c>
      <c r="I3804" s="47"/>
      <c r="J3804" s="37">
        <v>0</v>
      </c>
    </row>
    <row r="3805" spans="1:10" ht="15.75" hidden="1" thickBot="1" x14ac:dyDescent="0.3">
      <c r="A3805" s="180"/>
      <c r="B3805" s="178"/>
      <c r="C3805" s="49"/>
      <c r="D3805" s="49"/>
      <c r="E3805" s="50"/>
      <c r="F3805" s="83" t="s">
        <v>13</v>
      </c>
      <c r="G3805" s="83" t="str">
        <f>IF(ISNUMBER(F3805),E3805*F3805,"")</f>
        <v/>
      </c>
      <c r="H3805" s="84"/>
      <c r="I3805" s="72"/>
      <c r="J3805" s="37">
        <v>0</v>
      </c>
    </row>
    <row r="3806" spans="1:10" ht="15.75" hidden="1" thickBot="1" x14ac:dyDescent="0.3">
      <c r="A3806" s="173" t="s">
        <v>933</v>
      </c>
      <c r="B3806" s="176" t="s">
        <v>4424</v>
      </c>
      <c r="C3806" s="31"/>
      <c r="D3806" s="32" t="s">
        <v>106</v>
      </c>
      <c r="E3806" s="33"/>
      <c r="F3806" s="54" t="s">
        <v>13</v>
      </c>
      <c r="G3806" s="34" t="str">
        <f>IF(ISNUMBER(F3806),E3806*F3806,"")</f>
        <v/>
      </c>
      <c r="H3806" s="35"/>
      <c r="I3806" s="36"/>
      <c r="J3806" s="37">
        <v>0</v>
      </c>
    </row>
    <row r="3807" spans="1:10" hidden="1" x14ac:dyDescent="0.25">
      <c r="A3807" s="174"/>
      <c r="B3807" s="177"/>
      <c r="C3807" s="39"/>
      <c r="D3807" s="39"/>
      <c r="E3807" s="40"/>
      <c r="F3807" s="55" t="s">
        <v>13</v>
      </c>
      <c r="G3807" s="38" t="str">
        <f>IF(ISNUMBER(F3807),E3807*F3807,"")</f>
        <v/>
      </c>
      <c r="H3807" s="42"/>
      <c r="I3807" s="38"/>
      <c r="J3807" s="37">
        <v>0</v>
      </c>
    </row>
    <row r="3808" spans="1:10" ht="25.5" hidden="1" x14ac:dyDescent="0.25">
      <c r="A3808" s="174"/>
      <c r="B3808" s="177"/>
      <c r="C3808" s="43" t="s">
        <v>10753</v>
      </c>
      <c r="D3808" s="43" t="s">
        <v>2800</v>
      </c>
      <c r="E3808" s="44">
        <v>0.1138</v>
      </c>
      <c r="F3808" s="38">
        <v>23.997</v>
      </c>
      <c r="G3808" s="38">
        <f>IF(ISNUMBER(F3808),E3808*F3808,"")</f>
        <v>2.7308585999999999</v>
      </c>
      <c r="H3808" s="46">
        <f>SUM(G3808:G3814)</f>
        <v>43.502963272076251</v>
      </c>
      <c r="I3808" s="47"/>
      <c r="J3808" s="37">
        <v>0</v>
      </c>
    </row>
    <row r="3809" spans="1:10" ht="25.5" hidden="1" x14ac:dyDescent="0.25">
      <c r="A3809" s="174"/>
      <c r="B3809" s="177"/>
      <c r="C3809" s="43" t="s">
        <v>10754</v>
      </c>
      <c r="D3809" s="43" t="s">
        <v>2800</v>
      </c>
      <c r="E3809" s="44">
        <v>0.4047</v>
      </c>
      <c r="F3809" s="38">
        <v>30.361999999999998</v>
      </c>
      <c r="G3809" s="38">
        <f>IF(ISNUMBER(F3809),E3809*F3809,"")</f>
        <v>12.2875014</v>
      </c>
      <c r="H3809" s="42"/>
      <c r="I3809" s="38"/>
      <c r="J3809" s="37">
        <v>0</v>
      </c>
    </row>
    <row r="3810" spans="1:10" ht="25.5" hidden="1" x14ac:dyDescent="0.25">
      <c r="A3810" s="174"/>
      <c r="B3810" s="177"/>
      <c r="C3810" s="43" t="s">
        <v>10827</v>
      </c>
      <c r="D3810" s="43" t="s">
        <v>10677</v>
      </c>
      <c r="E3810" s="44">
        <v>0.28699999999999998</v>
      </c>
      <c r="F3810" s="38">
        <v>26.542999999999999</v>
      </c>
      <c r="G3810" s="38">
        <f>IF(ISNUMBER(F3810),E3810*F3810,"")</f>
        <v>7.6178409999999994</v>
      </c>
      <c r="H3810" s="42"/>
      <c r="I3810" s="38"/>
      <c r="J3810" s="37">
        <v>0</v>
      </c>
    </row>
    <row r="3811" spans="1:10" ht="25.5" hidden="1" x14ac:dyDescent="0.25">
      <c r="A3811" s="174"/>
      <c r="B3811" s="177"/>
      <c r="C3811" s="43" t="s">
        <v>10828</v>
      </c>
      <c r="D3811" s="43" t="s">
        <v>1050</v>
      </c>
      <c r="E3811" s="44">
        <v>0.11749999999999999</v>
      </c>
      <c r="F3811" s="38">
        <v>28.518999999999998</v>
      </c>
      <c r="G3811" s="38">
        <f>IF(ISNUMBER(F3811),E3811*F3811,"")</f>
        <v>3.3509824999999998</v>
      </c>
      <c r="H3811" s="42"/>
      <c r="I3811" s="38"/>
      <c r="J3811" s="37">
        <v>0</v>
      </c>
    </row>
    <row r="3812" spans="1:10" ht="25.5" hidden="1" x14ac:dyDescent="0.25">
      <c r="A3812" s="174"/>
      <c r="B3812" s="177"/>
      <c r="C3812" s="43" t="s">
        <v>10753</v>
      </c>
      <c r="D3812" s="43" t="s">
        <v>2800</v>
      </c>
      <c r="E3812" s="44">
        <v>5.3800000000000001E-2</v>
      </c>
      <c r="F3812" s="38">
        <v>23.997</v>
      </c>
      <c r="G3812" s="38">
        <f>IF(ISNUMBER(F3812),E3812*F3812,"")</f>
        <v>1.2910386</v>
      </c>
      <c r="H3812" s="42"/>
      <c r="I3812" s="38"/>
      <c r="J3812" s="37">
        <v>0</v>
      </c>
    </row>
    <row r="3813" spans="1:10" ht="25.5" hidden="1" x14ac:dyDescent="0.25">
      <c r="A3813" s="174"/>
      <c r="B3813" s="177"/>
      <c r="C3813" s="43" t="s">
        <v>10754</v>
      </c>
      <c r="D3813" s="43" t="s">
        <v>2800</v>
      </c>
      <c r="E3813" s="44">
        <v>0.23649999999999999</v>
      </c>
      <c r="F3813" s="38">
        <v>30.361999999999998</v>
      </c>
      <c r="G3813" s="38">
        <f>IF(ISNUMBER(F3813),E3813*F3813,"")</f>
        <v>7.1806129999999992</v>
      </c>
      <c r="H3813" s="42"/>
      <c r="I3813" s="38"/>
      <c r="J3813" s="37">
        <v>0</v>
      </c>
    </row>
    <row r="3814" spans="1:10" ht="25.5" hidden="1" x14ac:dyDescent="0.25">
      <c r="A3814" s="174"/>
      <c r="B3814" s="177"/>
      <c r="C3814" s="43" t="s">
        <v>10679</v>
      </c>
      <c r="D3814" s="43" t="s">
        <v>2880</v>
      </c>
      <c r="E3814" s="44">
        <v>1.1299999999999999E-2</v>
      </c>
      <c r="F3814" s="41">
        <v>800.36532496250004</v>
      </c>
      <c r="G3814" s="41">
        <f>IF(ISNUMBER(F3814),E3814*F3814,"")</f>
        <v>9.0441281720762507</v>
      </c>
      <c r="H3814" s="42"/>
      <c r="I3814" s="38"/>
      <c r="J3814" s="37">
        <v>0</v>
      </c>
    </row>
    <row r="3815" spans="1:10" ht="15.75" hidden="1" thickBot="1" x14ac:dyDescent="0.3">
      <c r="A3815" s="175"/>
      <c r="B3815" s="178"/>
      <c r="C3815" s="49"/>
      <c r="D3815" s="49"/>
      <c r="E3815" s="50"/>
      <c r="F3815" s="51" t="s">
        <v>13</v>
      </c>
      <c r="G3815" s="51" t="str">
        <f>IF(ISNUMBER(F3815),E3815*F3815,"")</f>
        <v/>
      </c>
      <c r="H3815" s="53"/>
      <c r="I3815" s="38"/>
      <c r="J3815" s="37">
        <v>0</v>
      </c>
    </row>
    <row r="3816" spans="1:10" ht="15.75" hidden="1" thickBot="1" x14ac:dyDescent="0.3">
      <c r="A3816" s="173" t="s">
        <v>934</v>
      </c>
      <c r="B3816" s="176" t="s">
        <v>4425</v>
      </c>
      <c r="C3816" s="31"/>
      <c r="D3816" s="32" t="s">
        <v>72</v>
      </c>
      <c r="E3816" s="33"/>
      <c r="F3816" s="60" t="s">
        <v>13</v>
      </c>
      <c r="G3816" s="34" t="str">
        <f>IF(ISNUMBER(F3816),E3816*F3816,"")</f>
        <v/>
      </c>
      <c r="H3816" s="35"/>
      <c r="I3816" s="36"/>
      <c r="J3816" s="37">
        <v>0</v>
      </c>
    </row>
    <row r="3817" spans="1:10" hidden="1" x14ac:dyDescent="0.25">
      <c r="A3817" s="179"/>
      <c r="B3817" s="177"/>
      <c r="C3817" s="39"/>
      <c r="D3817" s="39"/>
      <c r="E3817" s="40"/>
      <c r="F3817" s="70" t="s">
        <v>13</v>
      </c>
      <c r="G3817" s="70" t="str">
        <f>IF(ISNUMBER(F3817),E3817*F3817,"")</f>
        <v/>
      </c>
      <c r="H3817" s="71"/>
      <c r="I3817" s="72"/>
      <c r="J3817" s="37">
        <v>0</v>
      </c>
    </row>
    <row r="3818" spans="1:10" hidden="1" x14ac:dyDescent="0.25">
      <c r="A3818" s="179"/>
      <c r="B3818" s="177"/>
      <c r="C3818" s="43" t="s">
        <v>10871</v>
      </c>
      <c r="D3818" s="43" t="s">
        <v>1044</v>
      </c>
      <c r="E3818" s="44">
        <v>1</v>
      </c>
      <c r="F3818" s="70">
        <v>3.4009999999999998</v>
      </c>
      <c r="G3818" s="70">
        <f>IF(ISNUMBER(F3818),E3818*F3818,"")</f>
        <v>3.4009999999999998</v>
      </c>
      <c r="H3818" s="46">
        <f>SUM(G3818:G3819)</f>
        <v>14.598069943289225</v>
      </c>
      <c r="I3818" s="47"/>
      <c r="J3818" s="37">
        <v>0</v>
      </c>
    </row>
    <row r="3819" spans="1:10" hidden="1" x14ac:dyDescent="0.25">
      <c r="A3819" s="179"/>
      <c r="B3819" s="177"/>
      <c r="C3819" s="43" t="s">
        <v>10614</v>
      </c>
      <c r="D3819" s="43" t="s">
        <v>2800</v>
      </c>
      <c r="E3819" s="44">
        <f>0.25/0.529</f>
        <v>0.47258979206049145</v>
      </c>
      <c r="F3819" s="70">
        <v>23.693000000000001</v>
      </c>
      <c r="G3819" s="70">
        <f>IF(ISNUMBER(F3819),E3819*F3819,"")</f>
        <v>11.197069943289225</v>
      </c>
      <c r="H3819" s="71"/>
      <c r="I3819" s="72"/>
      <c r="J3819" s="37">
        <v>0</v>
      </c>
    </row>
    <row r="3820" spans="1:10" ht="15.75" hidden="1" thickBot="1" x14ac:dyDescent="0.3">
      <c r="A3820" s="180"/>
      <c r="B3820" s="178"/>
      <c r="C3820" s="49"/>
      <c r="D3820" s="49"/>
      <c r="E3820" s="50"/>
      <c r="F3820" s="83" t="s">
        <v>13</v>
      </c>
      <c r="G3820" s="83" t="str">
        <f>IF(ISNUMBER(F3820),E3820*F3820,"")</f>
        <v/>
      </c>
      <c r="H3820" s="84"/>
      <c r="I3820" s="72"/>
      <c r="J3820" s="37">
        <v>0</v>
      </c>
    </row>
    <row r="3821" spans="1:10" ht="15.75" hidden="1" thickBot="1" x14ac:dyDescent="0.3">
      <c r="A3821" s="173" t="s">
        <v>935</v>
      </c>
      <c r="B3821" s="176" t="s">
        <v>4426</v>
      </c>
      <c r="C3821" s="31"/>
      <c r="D3821" s="32" t="s">
        <v>68</v>
      </c>
      <c r="E3821" s="33"/>
      <c r="F3821" s="60" t="s">
        <v>13</v>
      </c>
      <c r="G3821" s="34" t="str">
        <f>IF(ISNUMBER(F3821),E3821*F3821,"")</f>
        <v/>
      </c>
      <c r="H3821" s="35"/>
      <c r="I3821" s="36"/>
      <c r="J3821" s="37">
        <v>0</v>
      </c>
    </row>
    <row r="3822" spans="1:10" hidden="1" x14ac:dyDescent="0.25">
      <c r="A3822" s="179"/>
      <c r="B3822" s="177"/>
      <c r="C3822" s="39"/>
      <c r="D3822" s="39"/>
      <c r="E3822" s="40"/>
      <c r="F3822" s="70" t="s">
        <v>13</v>
      </c>
      <c r="G3822" s="70" t="str">
        <f>IF(ISNUMBER(F3822),E3822*F3822,"")</f>
        <v/>
      </c>
      <c r="H3822" s="71"/>
      <c r="I3822" s="72"/>
      <c r="J3822" s="37">
        <v>0</v>
      </c>
    </row>
    <row r="3823" spans="1:10" hidden="1" x14ac:dyDescent="0.25">
      <c r="A3823" s="179"/>
      <c r="B3823" s="177"/>
      <c r="C3823" s="43" t="s">
        <v>936</v>
      </c>
      <c r="D3823" s="6" t="s">
        <v>70</v>
      </c>
      <c r="E3823" s="44">
        <f>ROUND(1/12,4)</f>
        <v>8.3299999999999999E-2</v>
      </c>
      <c r="F3823" s="70" t="s">
        <v>13</v>
      </c>
      <c r="G3823" s="70" t="str">
        <f>IF(ISNUMBER(F3823),E3823*F3823,"")</f>
        <v/>
      </c>
      <c r="H3823" s="46">
        <f>SUM(G3823:G3825)</f>
        <v>25.741199999999996</v>
      </c>
      <c r="I3823" s="47"/>
      <c r="J3823" s="37">
        <v>0</v>
      </c>
    </row>
    <row r="3824" spans="1:10" hidden="1" x14ac:dyDescent="0.25">
      <c r="A3824" s="179"/>
      <c r="B3824" s="177"/>
      <c r="C3824" s="43" t="s">
        <v>10850</v>
      </c>
      <c r="D3824" s="43" t="s">
        <v>2800</v>
      </c>
      <c r="E3824" s="44">
        <f>1.2/2</f>
        <v>0.6</v>
      </c>
      <c r="F3824" s="70">
        <v>31.055499999999995</v>
      </c>
      <c r="G3824" s="70">
        <f>IF(ISNUMBER(F3824),E3824*F3824,"")</f>
        <v>18.633299999999995</v>
      </c>
      <c r="H3824" s="71"/>
      <c r="I3824" s="72"/>
      <c r="J3824" s="37">
        <v>0</v>
      </c>
    </row>
    <row r="3825" spans="1:10" hidden="1" x14ac:dyDescent="0.25">
      <c r="A3825" s="179"/>
      <c r="B3825" s="177"/>
      <c r="C3825" s="43" t="s">
        <v>10614</v>
      </c>
      <c r="D3825" s="43" t="s">
        <v>2800</v>
      </c>
      <c r="E3825" s="44">
        <f>0.6/2</f>
        <v>0.3</v>
      </c>
      <c r="F3825" s="70">
        <v>23.693000000000001</v>
      </c>
      <c r="G3825" s="70">
        <f>IF(ISNUMBER(F3825),E3825*F3825,"")</f>
        <v>7.1078999999999999</v>
      </c>
      <c r="H3825" s="71"/>
      <c r="I3825" s="72"/>
      <c r="J3825" s="37">
        <v>0</v>
      </c>
    </row>
    <row r="3826" spans="1:10" hidden="1" x14ac:dyDescent="0.25">
      <c r="A3826" s="179"/>
      <c r="B3826" s="177"/>
      <c r="C3826" s="43"/>
      <c r="D3826" s="43"/>
      <c r="E3826" s="44"/>
      <c r="F3826" s="70" t="s">
        <v>13</v>
      </c>
      <c r="G3826" s="70" t="str">
        <f>IF(ISNUMBER(F3826),E3826*F3826,"")</f>
        <v/>
      </c>
      <c r="H3826" s="71"/>
      <c r="I3826" s="72"/>
      <c r="J3826" s="37">
        <v>0</v>
      </c>
    </row>
    <row r="3827" spans="1:10" ht="25.5" hidden="1" x14ac:dyDescent="0.25">
      <c r="A3827" s="179"/>
      <c r="B3827" s="177"/>
      <c r="C3827" s="4" t="s">
        <v>937</v>
      </c>
      <c r="D3827" s="43"/>
      <c r="E3827" s="44"/>
      <c r="F3827" s="70" t="s">
        <v>13</v>
      </c>
      <c r="G3827" s="70" t="str">
        <f>IF(ISNUMBER(F3827),E3827*F3827,"")</f>
        <v/>
      </c>
      <c r="H3827" s="71"/>
      <c r="I3827" s="72"/>
      <c r="J3827" s="37">
        <v>0</v>
      </c>
    </row>
    <row r="3828" spans="1:10" hidden="1" x14ac:dyDescent="0.25">
      <c r="A3828" s="179"/>
      <c r="B3828" s="177"/>
      <c r="C3828" s="4" t="s">
        <v>938</v>
      </c>
      <c r="D3828" s="43"/>
      <c r="E3828" s="44"/>
      <c r="F3828" s="70" t="s">
        <v>13</v>
      </c>
      <c r="G3828" s="70" t="str">
        <f>IF(ISNUMBER(F3828),E3828*F3828,"")</f>
        <v/>
      </c>
      <c r="H3828" s="71"/>
      <c r="I3828" s="72"/>
      <c r="J3828" s="37">
        <v>0</v>
      </c>
    </row>
    <row r="3829" spans="1:10" ht="15.75" hidden="1" thickBot="1" x14ac:dyDescent="0.3">
      <c r="A3829" s="180"/>
      <c r="B3829" s="178"/>
      <c r="C3829" s="49"/>
      <c r="D3829" s="49"/>
      <c r="E3829" s="50"/>
      <c r="F3829" s="83" t="s">
        <v>13</v>
      </c>
      <c r="G3829" s="83" t="str">
        <f>IF(ISNUMBER(F3829),E3829*F3829,"")</f>
        <v/>
      </c>
      <c r="H3829" s="84"/>
      <c r="I3829" s="72"/>
      <c r="J3829" s="37">
        <v>0</v>
      </c>
    </row>
    <row r="3830" spans="1:10" ht="15.75" hidden="1" thickBot="1" x14ac:dyDescent="0.3">
      <c r="A3830" s="173" t="s">
        <v>939</v>
      </c>
      <c r="B3830" s="176" t="s">
        <v>4427</v>
      </c>
      <c r="C3830" s="31"/>
      <c r="D3830" s="32" t="s">
        <v>68</v>
      </c>
      <c r="E3830" s="33"/>
      <c r="F3830" s="60" t="s">
        <v>13</v>
      </c>
      <c r="G3830" s="34" t="str">
        <f>IF(ISNUMBER(F3830),E3830*F3830,"")</f>
        <v/>
      </c>
      <c r="H3830" s="35"/>
      <c r="I3830" s="36"/>
      <c r="J3830" s="37">
        <v>0</v>
      </c>
    </row>
    <row r="3831" spans="1:10" hidden="1" x14ac:dyDescent="0.25">
      <c r="A3831" s="174"/>
      <c r="B3831" s="177"/>
      <c r="C3831" s="39"/>
      <c r="D3831" s="39"/>
      <c r="E3831" s="40"/>
      <c r="F3831" s="70" t="s">
        <v>13</v>
      </c>
      <c r="G3831" s="70" t="str">
        <f>IF(ISNUMBER(F3831),E3831*F3831,"")</f>
        <v/>
      </c>
      <c r="H3831" s="71"/>
      <c r="I3831" s="72"/>
      <c r="J3831" s="37">
        <v>0</v>
      </c>
    </row>
    <row r="3832" spans="1:10" hidden="1" x14ac:dyDescent="0.25">
      <c r="A3832" s="174"/>
      <c r="B3832" s="177"/>
      <c r="C3832" s="43" t="s">
        <v>10891</v>
      </c>
      <c r="D3832" s="43" t="s">
        <v>1044</v>
      </c>
      <c r="E3832" s="44">
        <v>9.5000000000000001E-2</v>
      </c>
      <c r="F3832" s="70">
        <v>50.957999999999998</v>
      </c>
      <c r="G3832" s="70">
        <f>IF(ISNUMBER(F3832),E3832*F3832,"")</f>
        <v>4.8410099999999998</v>
      </c>
      <c r="H3832" s="46">
        <f>SUM(G3832:G3835)</f>
        <v>114.52572049999998</v>
      </c>
      <c r="I3832" s="47"/>
      <c r="J3832" s="37">
        <v>0</v>
      </c>
    </row>
    <row r="3833" spans="1:10" ht="25.5" hidden="1" x14ac:dyDescent="0.25">
      <c r="A3833" s="174"/>
      <c r="B3833" s="177"/>
      <c r="C3833" s="43" t="s">
        <v>11077</v>
      </c>
      <c r="D3833" s="43" t="s">
        <v>162</v>
      </c>
      <c r="E3833" s="44">
        <v>1.1100000000000001</v>
      </c>
      <c r="F3833" s="70">
        <v>92.216499999999982</v>
      </c>
      <c r="G3833" s="70">
        <f>IF(ISNUMBER(F3833),E3833*F3833,"")</f>
        <v>102.36031499999999</v>
      </c>
      <c r="H3833" s="71"/>
      <c r="I3833" s="72"/>
      <c r="J3833" s="37">
        <v>0</v>
      </c>
    </row>
    <row r="3834" spans="1:10" hidden="1" x14ac:dyDescent="0.25">
      <c r="A3834" s="174"/>
      <c r="B3834" s="177"/>
      <c r="C3834" s="43" t="s">
        <v>10757</v>
      </c>
      <c r="D3834" s="43" t="s">
        <v>2800</v>
      </c>
      <c r="E3834" s="44">
        <v>0.17100000000000001</v>
      </c>
      <c r="F3834" s="70">
        <v>31.055499999999995</v>
      </c>
      <c r="G3834" s="70">
        <f>IF(ISNUMBER(F3834),E3834*F3834,"")</f>
        <v>5.3104904999999993</v>
      </c>
      <c r="H3834" s="71"/>
      <c r="I3834" s="72"/>
      <c r="J3834" s="37">
        <v>0</v>
      </c>
    </row>
    <row r="3835" spans="1:10" hidden="1" x14ac:dyDescent="0.25">
      <c r="A3835" s="174"/>
      <c r="B3835" s="177"/>
      <c r="C3835" s="43" t="s">
        <v>10614</v>
      </c>
      <c r="D3835" s="43" t="s">
        <v>2800</v>
      </c>
      <c r="E3835" s="44">
        <v>8.5000000000000006E-2</v>
      </c>
      <c r="F3835" s="70">
        <v>23.693000000000001</v>
      </c>
      <c r="G3835" s="70">
        <f>IF(ISNUMBER(F3835),E3835*F3835,"")</f>
        <v>2.0139050000000003</v>
      </c>
      <c r="H3835" s="71"/>
      <c r="I3835" s="72"/>
      <c r="J3835" s="37">
        <v>0</v>
      </c>
    </row>
    <row r="3836" spans="1:10" ht="15.75" hidden="1" thickBot="1" x14ac:dyDescent="0.3">
      <c r="A3836" s="175"/>
      <c r="B3836" s="178"/>
      <c r="C3836" s="49"/>
      <c r="D3836" s="49"/>
      <c r="E3836" s="50"/>
      <c r="F3836" s="83" t="s">
        <v>13</v>
      </c>
      <c r="G3836" s="83" t="str">
        <f>IF(ISNUMBER(F3836),E3836*F3836,"")</f>
        <v/>
      </c>
      <c r="H3836" s="84"/>
      <c r="I3836" s="72"/>
      <c r="J3836" s="37">
        <v>0</v>
      </c>
    </row>
    <row r="3837" spans="1:10" ht="15.75" hidden="1" thickBot="1" x14ac:dyDescent="0.3">
      <c r="A3837" s="173" t="s">
        <v>940</v>
      </c>
      <c r="B3837" s="176" t="s">
        <v>4456</v>
      </c>
      <c r="C3837" s="31"/>
      <c r="D3837" s="32" t="s">
        <v>4340</v>
      </c>
      <c r="E3837" s="33"/>
      <c r="F3837" s="60" t="s">
        <v>13</v>
      </c>
      <c r="G3837" s="34" t="str">
        <f>IF(ISNUMBER(F3837),E3837*F3837,"")</f>
        <v/>
      </c>
      <c r="H3837" s="35"/>
      <c r="I3837" s="36"/>
      <c r="J3837" s="37">
        <v>0</v>
      </c>
    </row>
    <row r="3838" spans="1:10" hidden="1" x14ac:dyDescent="0.25">
      <c r="A3838" s="179"/>
      <c r="B3838" s="177"/>
      <c r="C3838" s="39"/>
      <c r="D3838" s="39"/>
      <c r="E3838" s="40"/>
      <c r="F3838" s="70" t="s">
        <v>13</v>
      </c>
      <c r="G3838" s="70" t="str">
        <f>IF(ISNUMBER(F3838),E3838*F3838,"")</f>
        <v/>
      </c>
      <c r="H3838" s="71"/>
      <c r="I3838" s="72"/>
      <c r="J3838" s="37">
        <v>0</v>
      </c>
    </row>
    <row r="3839" spans="1:10" ht="38.25" hidden="1" x14ac:dyDescent="0.25">
      <c r="A3839" s="179"/>
      <c r="B3839" s="177"/>
      <c r="C3839" s="43" t="s">
        <v>11078</v>
      </c>
      <c r="D3839" s="43" t="s">
        <v>10821</v>
      </c>
      <c r="E3839" s="44">
        <v>1</v>
      </c>
      <c r="F3839" s="70">
        <v>1959.375</v>
      </c>
      <c r="G3839" s="70">
        <f>IF(ISNUMBER(F3839),E3839*F3839,"")</f>
        <v>1959.375</v>
      </c>
      <c r="H3839" s="46">
        <f>SUM(G3839:G3839)</f>
        <v>1959.375</v>
      </c>
      <c r="I3839" s="47"/>
      <c r="J3839" s="37">
        <v>0</v>
      </c>
    </row>
    <row r="3840" spans="1:10" ht="15.75" hidden="1" thickBot="1" x14ac:dyDescent="0.3">
      <c r="A3840" s="180"/>
      <c r="B3840" s="178"/>
      <c r="C3840" s="49"/>
      <c r="D3840" s="49"/>
      <c r="E3840" s="50"/>
      <c r="F3840" s="83" t="s">
        <v>13</v>
      </c>
      <c r="G3840" s="83" t="str">
        <f>IF(ISNUMBER(F3840),E3840*F3840,"")</f>
        <v/>
      </c>
      <c r="H3840" s="84"/>
      <c r="I3840" s="72"/>
      <c r="J3840" s="37">
        <v>0</v>
      </c>
    </row>
    <row r="3841" spans="1:10" ht="15.75" hidden="1" thickBot="1" x14ac:dyDescent="0.3">
      <c r="A3841" s="173" t="s">
        <v>941</v>
      </c>
      <c r="B3841" s="176" t="s">
        <v>4457</v>
      </c>
      <c r="C3841" s="31"/>
      <c r="D3841" s="32" t="s">
        <v>4340</v>
      </c>
      <c r="E3841" s="33"/>
      <c r="F3841" s="60" t="s">
        <v>13</v>
      </c>
      <c r="G3841" s="34" t="str">
        <f>IF(ISNUMBER(F3841),E3841*F3841,"")</f>
        <v/>
      </c>
      <c r="H3841" s="35"/>
      <c r="I3841" s="36"/>
      <c r="J3841" s="37">
        <v>0</v>
      </c>
    </row>
    <row r="3842" spans="1:10" hidden="1" x14ac:dyDescent="0.25">
      <c r="A3842" s="179"/>
      <c r="B3842" s="177"/>
      <c r="C3842" s="39"/>
      <c r="D3842" s="39"/>
      <c r="E3842" s="40"/>
      <c r="F3842" s="70" t="s">
        <v>13</v>
      </c>
      <c r="G3842" s="70" t="str">
        <f>IF(ISNUMBER(F3842),E3842*F3842,"")</f>
        <v/>
      </c>
      <c r="H3842" s="71"/>
      <c r="I3842" s="72"/>
      <c r="J3842" s="37">
        <v>0</v>
      </c>
    </row>
    <row r="3843" spans="1:10" ht="38.25" hidden="1" x14ac:dyDescent="0.25">
      <c r="A3843" s="179"/>
      <c r="B3843" s="177"/>
      <c r="C3843" s="43" t="s">
        <v>11079</v>
      </c>
      <c r="D3843" s="43" t="s">
        <v>10821</v>
      </c>
      <c r="E3843" s="44">
        <v>1</v>
      </c>
      <c r="F3843" s="70">
        <v>1224.607</v>
      </c>
      <c r="G3843" s="70">
        <f>IF(ISNUMBER(F3843),E3843*F3843,"")</f>
        <v>1224.607</v>
      </c>
      <c r="H3843" s="46">
        <f>SUM(G3843:G3843)</f>
        <v>1224.607</v>
      </c>
      <c r="I3843" s="47"/>
      <c r="J3843" s="37">
        <v>0</v>
      </c>
    </row>
    <row r="3844" spans="1:10" ht="15.75" hidden="1" thickBot="1" x14ac:dyDescent="0.3">
      <c r="A3844" s="180"/>
      <c r="B3844" s="178"/>
      <c r="C3844" s="49"/>
      <c r="D3844" s="49"/>
      <c r="E3844" s="50"/>
      <c r="F3844" s="83" t="s">
        <v>13</v>
      </c>
      <c r="G3844" s="83" t="str">
        <f>IF(ISNUMBER(F3844),E3844*F3844,"")</f>
        <v/>
      </c>
      <c r="H3844" s="84"/>
      <c r="I3844" s="72"/>
      <c r="J3844" s="37">
        <v>0</v>
      </c>
    </row>
    <row r="3845" spans="1:10" ht="15.75" hidden="1" thickBot="1" x14ac:dyDescent="0.3">
      <c r="A3845" s="173" t="s">
        <v>942</v>
      </c>
      <c r="B3845" s="176" t="s">
        <v>4458</v>
      </c>
      <c r="C3845" s="31"/>
      <c r="D3845" s="32" t="s">
        <v>68</v>
      </c>
      <c r="E3845" s="33"/>
      <c r="F3845" s="60" t="s">
        <v>13</v>
      </c>
      <c r="G3845" s="34" t="str">
        <f>IF(ISNUMBER(F3845),E3845*F3845,"")</f>
        <v/>
      </c>
      <c r="H3845" s="35"/>
      <c r="I3845" s="36"/>
      <c r="J3845" s="37">
        <v>0</v>
      </c>
    </row>
    <row r="3846" spans="1:10" hidden="1" x14ac:dyDescent="0.25">
      <c r="A3846" s="174"/>
      <c r="B3846" s="177"/>
      <c r="C3846" s="39"/>
      <c r="D3846" s="39"/>
      <c r="E3846" s="40"/>
      <c r="F3846" s="70" t="s">
        <v>13</v>
      </c>
      <c r="G3846" s="70" t="str">
        <f>IF(ISNUMBER(F3846),E3846*F3846,"")</f>
        <v/>
      </c>
      <c r="H3846" s="71"/>
      <c r="I3846" s="72"/>
      <c r="J3846" s="37">
        <v>0</v>
      </c>
    </row>
    <row r="3847" spans="1:10" ht="38.25" hidden="1" x14ac:dyDescent="0.25">
      <c r="A3847" s="174"/>
      <c r="B3847" s="177"/>
      <c r="C3847" s="43" t="s">
        <v>11080</v>
      </c>
      <c r="D3847" s="43" t="s">
        <v>162</v>
      </c>
      <c r="E3847" s="44">
        <v>1</v>
      </c>
      <c r="F3847" s="70">
        <v>380</v>
      </c>
      <c r="G3847" s="70">
        <f>IF(ISNUMBER(F3847),E3847*F3847,"")</f>
        <v>380</v>
      </c>
      <c r="H3847" s="46">
        <f>SUM(G3847:G3848)</f>
        <v>380</v>
      </c>
      <c r="I3847" s="47"/>
      <c r="J3847" s="37">
        <v>0</v>
      </c>
    </row>
    <row r="3848" spans="1:10" ht="15.75" hidden="1" thickBot="1" x14ac:dyDescent="0.3">
      <c r="A3848" s="175"/>
      <c r="B3848" s="178"/>
      <c r="C3848" s="49"/>
      <c r="D3848" s="49"/>
      <c r="E3848" s="50"/>
      <c r="F3848" s="83" t="s">
        <v>13</v>
      </c>
      <c r="G3848" s="83" t="str">
        <f>IF(ISNUMBER(F3848),E3848*F3848,"")</f>
        <v/>
      </c>
      <c r="H3848" s="84"/>
      <c r="I3848" s="72"/>
      <c r="J3848" s="37">
        <v>0</v>
      </c>
    </row>
    <row r="3849" spans="1:10" ht="15.75" hidden="1" thickBot="1" x14ac:dyDescent="0.3">
      <c r="A3849" s="173" t="s">
        <v>943</v>
      </c>
      <c r="B3849" s="176" t="s">
        <v>4459</v>
      </c>
      <c r="C3849" s="31"/>
      <c r="D3849" s="32" t="s">
        <v>3982</v>
      </c>
      <c r="E3849" s="33"/>
      <c r="F3849" s="60" t="s">
        <v>13</v>
      </c>
      <c r="G3849" s="34" t="str">
        <f>IF(ISNUMBER(F3849),E3849*F3849,"")</f>
        <v/>
      </c>
      <c r="H3849" s="35"/>
      <c r="I3849" s="36"/>
      <c r="J3849" s="37">
        <v>0</v>
      </c>
    </row>
    <row r="3850" spans="1:10" hidden="1" x14ac:dyDescent="0.25">
      <c r="A3850" s="174"/>
      <c r="B3850" s="177"/>
      <c r="C3850" s="39"/>
      <c r="D3850" s="39"/>
      <c r="E3850" s="40"/>
      <c r="F3850" s="70" t="s">
        <v>13</v>
      </c>
      <c r="G3850" s="70" t="str">
        <f>IF(ISNUMBER(F3850),E3850*F3850,"")</f>
        <v/>
      </c>
      <c r="H3850" s="71"/>
      <c r="I3850" s="72"/>
      <c r="J3850" s="37">
        <v>0</v>
      </c>
    </row>
    <row r="3851" spans="1:10" hidden="1" x14ac:dyDescent="0.25">
      <c r="A3851" s="174"/>
      <c r="B3851" s="177"/>
      <c r="C3851" s="43" t="s">
        <v>11081</v>
      </c>
      <c r="D3851" s="43" t="s">
        <v>10821</v>
      </c>
      <c r="E3851" s="44" t="e">
        <f>IF(#REF!="Desonerado",ROUND(1/(1+'[1]Serviços SINAPI'!$E$7),4),ROUND(1/(1+'[1]Serviços SINAPI'!$F$7),4))</f>
        <v>#REF!</v>
      </c>
      <c r="F3851" s="70">
        <v>3567.1644999999999</v>
      </c>
      <c r="G3851" s="70" t="e">
        <f>IF(ISNUMBER(F3851),E3851*F3851,"")</f>
        <v>#REF!</v>
      </c>
      <c r="H3851" s="46" t="e">
        <f>SUM(G3851:G3854)</f>
        <v>#REF!</v>
      </c>
      <c r="I3851" s="47"/>
      <c r="J3851" s="37">
        <v>0</v>
      </c>
    </row>
    <row r="3852" spans="1:10" hidden="1" x14ac:dyDescent="0.25">
      <c r="A3852" s="174"/>
      <c r="B3852" s="177"/>
      <c r="C3852" s="43"/>
      <c r="D3852" s="43"/>
      <c r="E3852" s="44"/>
      <c r="F3852" s="70" t="s">
        <v>13</v>
      </c>
      <c r="G3852" s="70" t="str">
        <f>IF(ISNUMBER(F3852),E3852*F3852,"")</f>
        <v/>
      </c>
      <c r="H3852" s="71"/>
      <c r="I3852" s="72"/>
      <c r="J3852" s="37">
        <v>0</v>
      </c>
    </row>
    <row r="3853" spans="1:10" ht="25.5" hidden="1" x14ac:dyDescent="0.25">
      <c r="A3853" s="174"/>
      <c r="B3853" s="177"/>
      <c r="C3853" s="4" t="s">
        <v>668</v>
      </c>
      <c r="D3853" s="43"/>
      <c r="E3853" s="44"/>
      <c r="F3853" s="70" t="s">
        <v>13</v>
      </c>
      <c r="G3853" s="70" t="str">
        <f>IF(ISNUMBER(F3853),E3853*F3853,"")</f>
        <v/>
      </c>
      <c r="H3853" s="71"/>
      <c r="I3853" s="72"/>
      <c r="J3853" s="37">
        <v>0</v>
      </c>
    </row>
    <row r="3854" spans="1:10" ht="15.75" hidden="1" thickBot="1" x14ac:dyDescent="0.3">
      <c r="A3854" s="175"/>
      <c r="B3854" s="178"/>
      <c r="C3854" s="49"/>
      <c r="D3854" s="49"/>
      <c r="E3854" s="50"/>
      <c r="F3854" s="83" t="s">
        <v>13</v>
      </c>
      <c r="G3854" s="83" t="str">
        <f>IF(ISNUMBER(F3854),E3854*F3854,"")</f>
        <v/>
      </c>
      <c r="H3854" s="84"/>
      <c r="I3854" s="72"/>
      <c r="J3854" s="37">
        <v>0</v>
      </c>
    </row>
    <row r="3855" spans="1:10" ht="15.75" hidden="1" thickBot="1" x14ac:dyDescent="0.3">
      <c r="A3855" s="173" t="s">
        <v>944</v>
      </c>
      <c r="B3855" s="176" t="s">
        <v>4460</v>
      </c>
      <c r="C3855" s="31"/>
      <c r="D3855" s="32" t="s">
        <v>3982</v>
      </c>
      <c r="E3855" s="33"/>
      <c r="F3855" s="60" t="s">
        <v>13</v>
      </c>
      <c r="G3855" s="34" t="str">
        <f>IF(ISNUMBER(F3855),E3855*F3855,"")</f>
        <v/>
      </c>
      <c r="H3855" s="35"/>
      <c r="I3855" s="36"/>
      <c r="J3855" s="37">
        <v>0</v>
      </c>
    </row>
    <row r="3856" spans="1:10" hidden="1" x14ac:dyDescent="0.25">
      <c r="A3856" s="174"/>
      <c r="B3856" s="177"/>
      <c r="C3856" s="39"/>
      <c r="D3856" s="39"/>
      <c r="E3856" s="40"/>
      <c r="F3856" s="70" t="s">
        <v>13</v>
      </c>
      <c r="G3856" s="70" t="str">
        <f>IF(ISNUMBER(F3856),E3856*F3856,"")</f>
        <v/>
      </c>
      <c r="H3856" s="71"/>
      <c r="I3856" s="72"/>
      <c r="J3856" s="37">
        <v>0</v>
      </c>
    </row>
    <row r="3857" spans="1:10" hidden="1" x14ac:dyDescent="0.25">
      <c r="A3857" s="174"/>
      <c r="B3857" s="177"/>
      <c r="C3857" s="43" t="s">
        <v>11081</v>
      </c>
      <c r="D3857" s="43" t="s">
        <v>10821</v>
      </c>
      <c r="E3857" s="44" t="e">
        <f>IF(#REF!="Desonerado",ROUND(1/(1+'[1]Serviços SINAPI'!$E$7),4),ROUND(1/(1+'[1]Serviços SINAPI'!$F$7),4))</f>
        <v>#REF!</v>
      </c>
      <c r="F3857" s="70">
        <v>3567.1644999999999</v>
      </c>
      <c r="G3857" s="70" t="e">
        <f>IF(ISNUMBER(F3857),E3857*F3857,"")</f>
        <v>#REF!</v>
      </c>
      <c r="H3857" s="46" t="e">
        <f>SUM(G3857:G3860)</f>
        <v>#REF!</v>
      </c>
      <c r="I3857" s="47"/>
      <c r="J3857" s="37">
        <v>0</v>
      </c>
    </row>
    <row r="3858" spans="1:10" hidden="1" x14ac:dyDescent="0.25">
      <c r="A3858" s="174"/>
      <c r="B3858" s="177"/>
      <c r="C3858" s="43"/>
      <c r="D3858" s="43"/>
      <c r="E3858" s="44"/>
      <c r="F3858" s="70" t="s">
        <v>13</v>
      </c>
      <c r="G3858" s="70" t="str">
        <f>IF(ISNUMBER(F3858),E3858*F3858,"")</f>
        <v/>
      </c>
      <c r="H3858" s="71"/>
      <c r="I3858" s="72"/>
      <c r="J3858" s="37">
        <v>0</v>
      </c>
    </row>
    <row r="3859" spans="1:10" ht="25.5" hidden="1" x14ac:dyDescent="0.25">
      <c r="A3859" s="174"/>
      <c r="B3859" s="177"/>
      <c r="C3859" s="4" t="s">
        <v>668</v>
      </c>
      <c r="D3859" s="43"/>
      <c r="E3859" s="44"/>
      <c r="F3859" s="70" t="s">
        <v>13</v>
      </c>
      <c r="G3859" s="70" t="str">
        <f>IF(ISNUMBER(F3859),E3859*F3859,"")</f>
        <v/>
      </c>
      <c r="H3859" s="71"/>
      <c r="I3859" s="72"/>
      <c r="J3859" s="37">
        <v>0</v>
      </c>
    </row>
    <row r="3860" spans="1:10" ht="15.75" hidden="1" thickBot="1" x14ac:dyDescent="0.3">
      <c r="A3860" s="175"/>
      <c r="B3860" s="178"/>
      <c r="C3860" s="49"/>
      <c r="D3860" s="49"/>
      <c r="E3860" s="50"/>
      <c r="F3860" s="83" t="s">
        <v>13</v>
      </c>
      <c r="G3860" s="83" t="str">
        <f>IF(ISNUMBER(F3860),E3860*F3860,"")</f>
        <v/>
      </c>
      <c r="H3860" s="84"/>
      <c r="I3860" s="72"/>
      <c r="J3860" s="37">
        <v>0</v>
      </c>
    </row>
    <row r="3861" spans="1:10" ht="15.75" hidden="1" thickBot="1" x14ac:dyDescent="0.3">
      <c r="A3861" s="173" t="s">
        <v>945</v>
      </c>
      <c r="B3861" s="176" t="s">
        <v>4461</v>
      </c>
      <c r="C3861" s="31"/>
      <c r="D3861" s="32" t="s">
        <v>3982</v>
      </c>
      <c r="E3861" s="33"/>
      <c r="F3861" s="60" t="s">
        <v>13</v>
      </c>
      <c r="G3861" s="34" t="str">
        <f>IF(ISNUMBER(F3861),E3861*F3861,"")</f>
        <v/>
      </c>
      <c r="H3861" s="35"/>
      <c r="I3861" s="36"/>
      <c r="J3861" s="37">
        <v>0</v>
      </c>
    </row>
    <row r="3862" spans="1:10" hidden="1" x14ac:dyDescent="0.25">
      <c r="A3862" s="174"/>
      <c r="B3862" s="177"/>
      <c r="C3862" s="39"/>
      <c r="D3862" s="39"/>
      <c r="E3862" s="40"/>
      <c r="F3862" s="70" t="s">
        <v>13</v>
      </c>
      <c r="G3862" s="70" t="str">
        <f>IF(ISNUMBER(F3862),E3862*F3862,"")</f>
        <v/>
      </c>
      <c r="H3862" s="71"/>
      <c r="I3862" s="72"/>
      <c r="J3862" s="37">
        <v>0</v>
      </c>
    </row>
    <row r="3863" spans="1:10" hidden="1" x14ac:dyDescent="0.25">
      <c r="A3863" s="174"/>
      <c r="B3863" s="177"/>
      <c r="C3863" s="43" t="s">
        <v>11081</v>
      </c>
      <c r="D3863" s="43" t="s">
        <v>10821</v>
      </c>
      <c r="E3863" s="44" t="e">
        <f>IF(#REF!="Desonerado",ROUND(1/(1+'[1]Serviços SINAPI'!$E$7),4),ROUND(1/(1+'[1]Serviços SINAPI'!$F$7),4))</f>
        <v>#REF!</v>
      </c>
      <c r="F3863" s="70">
        <v>3567.1644999999999</v>
      </c>
      <c r="G3863" s="70" t="e">
        <f>IF(ISNUMBER(F3863),E3863*F3863,"")</f>
        <v>#REF!</v>
      </c>
      <c r="H3863" s="46" t="e">
        <f>SUM(G3863:G3866)</f>
        <v>#REF!</v>
      </c>
      <c r="I3863" s="47"/>
      <c r="J3863" s="37">
        <v>0</v>
      </c>
    </row>
    <row r="3864" spans="1:10" hidden="1" x14ac:dyDescent="0.25">
      <c r="A3864" s="174"/>
      <c r="B3864" s="177"/>
      <c r="C3864" s="43"/>
      <c r="D3864" s="43"/>
      <c r="E3864" s="44"/>
      <c r="F3864" s="70" t="s">
        <v>13</v>
      </c>
      <c r="G3864" s="70" t="str">
        <f>IF(ISNUMBER(F3864),E3864*F3864,"")</f>
        <v/>
      </c>
      <c r="H3864" s="71"/>
      <c r="I3864" s="72"/>
      <c r="J3864" s="37">
        <v>0</v>
      </c>
    </row>
    <row r="3865" spans="1:10" ht="25.5" hidden="1" x14ac:dyDescent="0.25">
      <c r="A3865" s="174"/>
      <c r="B3865" s="177"/>
      <c r="C3865" s="4" t="s">
        <v>668</v>
      </c>
      <c r="D3865" s="43"/>
      <c r="E3865" s="44"/>
      <c r="F3865" s="70" t="s">
        <v>13</v>
      </c>
      <c r="G3865" s="70" t="str">
        <f>IF(ISNUMBER(F3865),E3865*F3865,"")</f>
        <v/>
      </c>
      <c r="H3865" s="71"/>
      <c r="I3865" s="72"/>
      <c r="J3865" s="37">
        <v>0</v>
      </c>
    </row>
    <row r="3866" spans="1:10" ht="15.75" hidden="1" thickBot="1" x14ac:dyDescent="0.3">
      <c r="A3866" s="175"/>
      <c r="B3866" s="178"/>
      <c r="C3866" s="49"/>
      <c r="D3866" s="49"/>
      <c r="E3866" s="50"/>
      <c r="F3866" s="83" t="s">
        <v>13</v>
      </c>
      <c r="G3866" s="83" t="str">
        <f>IF(ISNUMBER(F3866),E3866*F3866,"")</f>
        <v/>
      </c>
      <c r="H3866" s="84"/>
      <c r="I3866" s="72"/>
      <c r="J3866" s="37">
        <v>0</v>
      </c>
    </row>
    <row r="3867" spans="1:10" ht="15.75" hidden="1" thickBot="1" x14ac:dyDescent="0.3">
      <c r="A3867" s="173" t="s">
        <v>946</v>
      </c>
      <c r="B3867" s="176" t="s">
        <v>4462</v>
      </c>
      <c r="C3867" s="31"/>
      <c r="D3867" s="32" t="s">
        <v>3982</v>
      </c>
      <c r="E3867" s="33"/>
      <c r="F3867" s="60" t="s">
        <v>13</v>
      </c>
      <c r="G3867" s="34" t="str">
        <f>IF(ISNUMBER(F3867),E3867*F3867,"")</f>
        <v/>
      </c>
      <c r="H3867" s="35"/>
      <c r="I3867" s="36"/>
      <c r="J3867" s="37">
        <v>0</v>
      </c>
    </row>
    <row r="3868" spans="1:10" hidden="1" x14ac:dyDescent="0.25">
      <c r="A3868" s="174"/>
      <c r="B3868" s="177"/>
      <c r="C3868" s="39"/>
      <c r="D3868" s="39"/>
      <c r="E3868" s="40"/>
      <c r="F3868" s="70" t="s">
        <v>13</v>
      </c>
      <c r="G3868" s="70" t="str">
        <f>IF(ISNUMBER(F3868),E3868*F3868,"")</f>
        <v/>
      </c>
      <c r="H3868" s="71"/>
      <c r="I3868" s="72"/>
      <c r="J3868" s="37">
        <v>0</v>
      </c>
    </row>
    <row r="3869" spans="1:10" hidden="1" x14ac:dyDescent="0.25">
      <c r="A3869" s="174"/>
      <c r="B3869" s="177"/>
      <c r="C3869" s="43" t="s">
        <v>11081</v>
      </c>
      <c r="D3869" s="43" t="s">
        <v>10821</v>
      </c>
      <c r="E3869" s="44" t="e">
        <f>IF(#REF!="Desonerado",ROUND(1/(1+'[1]Serviços SINAPI'!$E$7),4),ROUND(1/(1+'[1]Serviços SINAPI'!$F$7),4))</f>
        <v>#REF!</v>
      </c>
      <c r="F3869" s="70">
        <v>3567.1644999999999</v>
      </c>
      <c r="G3869" s="70" t="e">
        <f>IF(ISNUMBER(F3869),E3869*F3869,"")</f>
        <v>#REF!</v>
      </c>
      <c r="H3869" s="46" t="e">
        <f>SUM(G3869:G3872)</f>
        <v>#REF!</v>
      </c>
      <c r="I3869" s="47"/>
      <c r="J3869" s="37">
        <v>0</v>
      </c>
    </row>
    <row r="3870" spans="1:10" hidden="1" x14ac:dyDescent="0.25">
      <c r="A3870" s="174"/>
      <c r="B3870" s="177"/>
      <c r="C3870" s="43"/>
      <c r="D3870" s="43"/>
      <c r="E3870" s="44"/>
      <c r="F3870" s="70" t="s">
        <v>13</v>
      </c>
      <c r="G3870" s="70" t="str">
        <f>IF(ISNUMBER(F3870),E3870*F3870,"")</f>
        <v/>
      </c>
      <c r="H3870" s="71"/>
      <c r="I3870" s="72"/>
      <c r="J3870" s="37">
        <v>0</v>
      </c>
    </row>
    <row r="3871" spans="1:10" ht="25.5" hidden="1" x14ac:dyDescent="0.25">
      <c r="A3871" s="174"/>
      <c r="B3871" s="177"/>
      <c r="C3871" s="4" t="s">
        <v>668</v>
      </c>
      <c r="D3871" s="43"/>
      <c r="E3871" s="44"/>
      <c r="F3871" s="70" t="s">
        <v>13</v>
      </c>
      <c r="G3871" s="70" t="str">
        <f>IF(ISNUMBER(F3871),E3871*F3871,"")</f>
        <v/>
      </c>
      <c r="H3871" s="71"/>
      <c r="I3871" s="72"/>
      <c r="J3871" s="37">
        <v>0</v>
      </c>
    </row>
    <row r="3872" spans="1:10" ht="15.75" hidden="1" thickBot="1" x14ac:dyDescent="0.3">
      <c r="A3872" s="175"/>
      <c r="B3872" s="178"/>
      <c r="C3872" s="49"/>
      <c r="D3872" s="49"/>
      <c r="E3872" s="50"/>
      <c r="F3872" s="83" t="s">
        <v>13</v>
      </c>
      <c r="G3872" s="83" t="str">
        <f>IF(ISNUMBER(F3872),E3872*F3872,"")</f>
        <v/>
      </c>
      <c r="H3872" s="84"/>
      <c r="I3872" s="72"/>
      <c r="J3872" s="37">
        <v>0</v>
      </c>
    </row>
    <row r="3873" spans="1:10" ht="15.75" hidden="1" thickBot="1" x14ac:dyDescent="0.3">
      <c r="A3873" s="173" t="s">
        <v>947</v>
      </c>
      <c r="B3873" s="176" t="s">
        <v>4463</v>
      </c>
      <c r="C3873" s="31"/>
      <c r="D3873" s="32" t="s">
        <v>3982</v>
      </c>
      <c r="E3873" s="33"/>
      <c r="F3873" s="60" t="s">
        <v>13</v>
      </c>
      <c r="G3873" s="34" t="str">
        <f>IF(ISNUMBER(F3873),E3873*F3873,"")</f>
        <v/>
      </c>
      <c r="H3873" s="35"/>
      <c r="I3873" s="36"/>
      <c r="J3873" s="37">
        <v>0</v>
      </c>
    </row>
    <row r="3874" spans="1:10" hidden="1" x14ac:dyDescent="0.25">
      <c r="A3874" s="174"/>
      <c r="B3874" s="177"/>
      <c r="C3874" s="39"/>
      <c r="D3874" s="39"/>
      <c r="E3874" s="40"/>
      <c r="F3874" s="70" t="s">
        <v>13</v>
      </c>
      <c r="G3874" s="70" t="str">
        <f>IF(ISNUMBER(F3874),E3874*F3874,"")</f>
        <v/>
      </c>
      <c r="H3874" s="71"/>
      <c r="I3874" s="72"/>
      <c r="J3874" s="37">
        <v>0</v>
      </c>
    </row>
    <row r="3875" spans="1:10" hidden="1" x14ac:dyDescent="0.25">
      <c r="A3875" s="174"/>
      <c r="B3875" s="177"/>
      <c r="C3875" s="43" t="s">
        <v>11081</v>
      </c>
      <c r="D3875" s="43" t="s">
        <v>10821</v>
      </c>
      <c r="E3875" s="44" t="e">
        <f>IF(#REF!="Desonerado",ROUND(1/(1+'[1]Serviços SINAPI'!$E$7),4),ROUND(1/(1+'[1]Serviços SINAPI'!$F$7),4))</f>
        <v>#REF!</v>
      </c>
      <c r="F3875" s="70">
        <v>3567.1644999999999</v>
      </c>
      <c r="G3875" s="70" t="e">
        <f>IF(ISNUMBER(F3875),E3875*F3875,"")</f>
        <v>#REF!</v>
      </c>
      <c r="H3875" s="46" t="e">
        <f>SUM(G3875:G3878)</f>
        <v>#REF!</v>
      </c>
      <c r="I3875" s="47"/>
      <c r="J3875" s="37">
        <v>0</v>
      </c>
    </row>
    <row r="3876" spans="1:10" hidden="1" x14ac:dyDescent="0.25">
      <c r="A3876" s="174"/>
      <c r="B3876" s="177"/>
      <c r="C3876" s="43"/>
      <c r="D3876" s="43"/>
      <c r="E3876" s="44"/>
      <c r="F3876" s="70" t="s">
        <v>13</v>
      </c>
      <c r="G3876" s="70" t="str">
        <f>IF(ISNUMBER(F3876),E3876*F3876,"")</f>
        <v/>
      </c>
      <c r="H3876" s="71"/>
      <c r="I3876" s="72"/>
      <c r="J3876" s="37">
        <v>0</v>
      </c>
    </row>
    <row r="3877" spans="1:10" ht="25.5" hidden="1" x14ac:dyDescent="0.25">
      <c r="A3877" s="174"/>
      <c r="B3877" s="177"/>
      <c r="C3877" s="4" t="s">
        <v>668</v>
      </c>
      <c r="D3877" s="43"/>
      <c r="E3877" s="44"/>
      <c r="F3877" s="70" t="s">
        <v>13</v>
      </c>
      <c r="G3877" s="70" t="str">
        <f>IF(ISNUMBER(F3877),E3877*F3877,"")</f>
        <v/>
      </c>
      <c r="H3877" s="71"/>
      <c r="I3877" s="72"/>
      <c r="J3877" s="37">
        <v>0</v>
      </c>
    </row>
    <row r="3878" spans="1:10" ht="15.75" hidden="1" thickBot="1" x14ac:dyDescent="0.3">
      <c r="A3878" s="175"/>
      <c r="B3878" s="178"/>
      <c r="C3878" s="49"/>
      <c r="D3878" s="49"/>
      <c r="E3878" s="50"/>
      <c r="F3878" s="83" t="s">
        <v>13</v>
      </c>
      <c r="G3878" s="83" t="str">
        <f>IF(ISNUMBER(F3878),E3878*F3878,"")</f>
        <v/>
      </c>
      <c r="H3878" s="84"/>
      <c r="I3878" s="72"/>
      <c r="J3878" s="37">
        <v>0</v>
      </c>
    </row>
    <row r="3879" spans="1:10" ht="15.75" hidden="1" thickBot="1" x14ac:dyDescent="0.3">
      <c r="A3879" s="173" t="s">
        <v>948</v>
      </c>
      <c r="B3879" s="176" t="s">
        <v>4464</v>
      </c>
      <c r="C3879" s="31"/>
      <c r="D3879" s="32" t="s">
        <v>3982</v>
      </c>
      <c r="E3879" s="33"/>
      <c r="F3879" s="60" t="s">
        <v>13</v>
      </c>
      <c r="G3879" s="34" t="str">
        <f>IF(ISNUMBER(F3879),E3879*F3879,"")</f>
        <v/>
      </c>
      <c r="H3879" s="35"/>
      <c r="I3879" s="36"/>
      <c r="J3879" s="37">
        <v>0</v>
      </c>
    </row>
    <row r="3880" spans="1:10" hidden="1" x14ac:dyDescent="0.25">
      <c r="A3880" s="174"/>
      <c r="B3880" s="177"/>
      <c r="C3880" s="39"/>
      <c r="D3880" s="39"/>
      <c r="E3880" s="40"/>
      <c r="F3880" s="70" t="s">
        <v>13</v>
      </c>
      <c r="G3880" s="70" t="str">
        <f>IF(ISNUMBER(F3880),E3880*F3880,"")</f>
        <v/>
      </c>
      <c r="H3880" s="71"/>
      <c r="I3880" s="72"/>
      <c r="J3880" s="37">
        <v>0</v>
      </c>
    </row>
    <row r="3881" spans="1:10" hidden="1" x14ac:dyDescent="0.25">
      <c r="A3881" s="174"/>
      <c r="B3881" s="177"/>
      <c r="C3881" s="43" t="s">
        <v>11081</v>
      </c>
      <c r="D3881" s="43" t="s">
        <v>10821</v>
      </c>
      <c r="E3881" s="44" t="e">
        <f>IF(#REF!="Desonerado",ROUND(1/(1+'[1]Serviços SINAPI'!$E$7),4),ROUND(1/(1+'[1]Serviços SINAPI'!$F$7),4))</f>
        <v>#REF!</v>
      </c>
      <c r="F3881" s="70">
        <v>3567.1644999999999</v>
      </c>
      <c r="G3881" s="70" t="e">
        <f>IF(ISNUMBER(F3881),E3881*F3881,"")</f>
        <v>#REF!</v>
      </c>
      <c r="H3881" s="46" t="e">
        <f>SUM(G3881:G3884)</f>
        <v>#REF!</v>
      </c>
      <c r="I3881" s="47"/>
      <c r="J3881" s="37">
        <v>0</v>
      </c>
    </row>
    <row r="3882" spans="1:10" hidden="1" x14ac:dyDescent="0.25">
      <c r="A3882" s="174"/>
      <c r="B3882" s="177"/>
      <c r="C3882" s="43"/>
      <c r="D3882" s="43"/>
      <c r="E3882" s="44"/>
      <c r="F3882" s="70" t="s">
        <v>13</v>
      </c>
      <c r="G3882" s="70" t="str">
        <f>IF(ISNUMBER(F3882),E3882*F3882,"")</f>
        <v/>
      </c>
      <c r="H3882" s="71"/>
      <c r="I3882" s="72"/>
      <c r="J3882" s="37">
        <v>0</v>
      </c>
    </row>
    <row r="3883" spans="1:10" ht="25.5" hidden="1" x14ac:dyDescent="0.25">
      <c r="A3883" s="174"/>
      <c r="B3883" s="177"/>
      <c r="C3883" s="4" t="s">
        <v>668</v>
      </c>
      <c r="D3883" s="43"/>
      <c r="E3883" s="44"/>
      <c r="F3883" s="70" t="s">
        <v>13</v>
      </c>
      <c r="G3883" s="70" t="str">
        <f>IF(ISNUMBER(F3883),E3883*F3883,"")</f>
        <v/>
      </c>
      <c r="H3883" s="71"/>
      <c r="I3883" s="72"/>
      <c r="J3883" s="37">
        <v>0</v>
      </c>
    </row>
    <row r="3884" spans="1:10" ht="15.75" hidden="1" thickBot="1" x14ac:dyDescent="0.3">
      <c r="A3884" s="175"/>
      <c r="B3884" s="178"/>
      <c r="C3884" s="49"/>
      <c r="D3884" s="49"/>
      <c r="E3884" s="50"/>
      <c r="F3884" s="83" t="s">
        <v>13</v>
      </c>
      <c r="G3884" s="83" t="str">
        <f>IF(ISNUMBER(F3884),E3884*F3884,"")</f>
        <v/>
      </c>
      <c r="H3884" s="84"/>
      <c r="I3884" s="72"/>
      <c r="J3884" s="37">
        <v>0</v>
      </c>
    </row>
    <row r="3885" spans="1:10" ht="15.75" hidden="1" thickBot="1" x14ac:dyDescent="0.3">
      <c r="A3885" s="173" t="s">
        <v>949</v>
      </c>
      <c r="B3885" s="176" t="s">
        <v>4465</v>
      </c>
      <c r="C3885" s="31"/>
      <c r="D3885" s="32" t="s">
        <v>3982</v>
      </c>
      <c r="E3885" s="33"/>
      <c r="F3885" s="60" t="s">
        <v>13</v>
      </c>
      <c r="G3885" s="34" t="str">
        <f>IF(ISNUMBER(F3885),E3885*F3885,"")</f>
        <v/>
      </c>
      <c r="H3885" s="35"/>
      <c r="I3885" s="36"/>
      <c r="J3885" s="37">
        <v>0</v>
      </c>
    </row>
    <row r="3886" spans="1:10" hidden="1" x14ac:dyDescent="0.25">
      <c r="A3886" s="174"/>
      <c r="B3886" s="177"/>
      <c r="C3886" s="39"/>
      <c r="D3886" s="39"/>
      <c r="E3886" s="40"/>
      <c r="F3886" s="70" t="s">
        <v>13</v>
      </c>
      <c r="G3886" s="70" t="str">
        <f>IF(ISNUMBER(F3886),E3886*F3886,"")</f>
        <v/>
      </c>
      <c r="H3886" s="71"/>
      <c r="I3886" s="72"/>
      <c r="J3886" s="37">
        <v>0</v>
      </c>
    </row>
    <row r="3887" spans="1:10" hidden="1" x14ac:dyDescent="0.25">
      <c r="A3887" s="174"/>
      <c r="B3887" s="177"/>
      <c r="C3887" s="43" t="s">
        <v>11081</v>
      </c>
      <c r="D3887" s="43" t="s">
        <v>10821</v>
      </c>
      <c r="E3887" s="44" t="e">
        <f>IF(#REF!="Desonerado",ROUND(1/(1+'[1]Serviços SINAPI'!$E$7),4),ROUND(1/(1+'[1]Serviços SINAPI'!$F$7),4))</f>
        <v>#REF!</v>
      </c>
      <c r="F3887" s="70">
        <v>3567.1644999999999</v>
      </c>
      <c r="G3887" s="70" t="e">
        <f>IF(ISNUMBER(F3887),E3887*F3887,"")</f>
        <v>#REF!</v>
      </c>
      <c r="H3887" s="46" t="e">
        <f>SUM(G3887:G3890)</f>
        <v>#REF!</v>
      </c>
      <c r="I3887" s="47"/>
      <c r="J3887" s="37">
        <v>0</v>
      </c>
    </row>
    <row r="3888" spans="1:10" hidden="1" x14ac:dyDescent="0.25">
      <c r="A3888" s="174"/>
      <c r="B3888" s="177"/>
      <c r="C3888" s="43"/>
      <c r="D3888" s="43"/>
      <c r="E3888" s="44"/>
      <c r="F3888" s="70" t="s">
        <v>13</v>
      </c>
      <c r="G3888" s="70" t="str">
        <f>IF(ISNUMBER(F3888),E3888*F3888,"")</f>
        <v/>
      </c>
      <c r="H3888" s="71"/>
      <c r="I3888" s="72"/>
      <c r="J3888" s="37">
        <v>0</v>
      </c>
    </row>
    <row r="3889" spans="1:10" ht="25.5" hidden="1" x14ac:dyDescent="0.25">
      <c r="A3889" s="174"/>
      <c r="B3889" s="177"/>
      <c r="C3889" s="4" t="s">
        <v>668</v>
      </c>
      <c r="D3889" s="43"/>
      <c r="E3889" s="44"/>
      <c r="F3889" s="70" t="s">
        <v>13</v>
      </c>
      <c r="G3889" s="70" t="str">
        <f>IF(ISNUMBER(F3889),E3889*F3889,"")</f>
        <v/>
      </c>
      <c r="H3889" s="71"/>
      <c r="I3889" s="72"/>
      <c r="J3889" s="37">
        <v>0</v>
      </c>
    </row>
    <row r="3890" spans="1:10" ht="15.75" hidden="1" thickBot="1" x14ac:dyDescent="0.3">
      <c r="A3890" s="175"/>
      <c r="B3890" s="178"/>
      <c r="C3890" s="49"/>
      <c r="D3890" s="49"/>
      <c r="E3890" s="50"/>
      <c r="F3890" s="83" t="s">
        <v>13</v>
      </c>
      <c r="G3890" s="83" t="str">
        <f>IF(ISNUMBER(F3890),E3890*F3890,"")</f>
        <v/>
      </c>
      <c r="H3890" s="84"/>
      <c r="I3890" s="72"/>
      <c r="J3890" s="37">
        <v>0</v>
      </c>
    </row>
    <row r="3891" spans="1:10" ht="15.75" hidden="1" thickBot="1" x14ac:dyDescent="0.3">
      <c r="A3891" s="173" t="s">
        <v>950</v>
      </c>
      <c r="B3891" s="176" t="s">
        <v>4466</v>
      </c>
      <c r="C3891" s="31"/>
      <c r="D3891" s="32" t="s">
        <v>3982</v>
      </c>
      <c r="E3891" s="33"/>
      <c r="F3891" s="60" t="s">
        <v>13</v>
      </c>
      <c r="G3891" s="34" t="str">
        <f>IF(ISNUMBER(F3891),E3891*F3891,"")</f>
        <v/>
      </c>
      <c r="H3891" s="35"/>
      <c r="I3891" s="36"/>
      <c r="J3891" s="37">
        <v>0</v>
      </c>
    </row>
    <row r="3892" spans="1:10" hidden="1" x14ac:dyDescent="0.25">
      <c r="A3892" s="174"/>
      <c r="B3892" s="177"/>
      <c r="C3892" s="39"/>
      <c r="D3892" s="39"/>
      <c r="E3892" s="40"/>
      <c r="F3892" s="70" t="s">
        <v>13</v>
      </c>
      <c r="G3892" s="70" t="str">
        <f>IF(ISNUMBER(F3892),E3892*F3892,"")</f>
        <v/>
      </c>
      <c r="H3892" s="71"/>
      <c r="I3892" s="72"/>
      <c r="J3892" s="37">
        <v>0</v>
      </c>
    </row>
    <row r="3893" spans="1:10" hidden="1" x14ac:dyDescent="0.25">
      <c r="A3893" s="174"/>
      <c r="B3893" s="177"/>
      <c r="C3893" s="43" t="s">
        <v>11081</v>
      </c>
      <c r="D3893" s="43" t="s">
        <v>10821</v>
      </c>
      <c r="E3893" s="44" t="e">
        <f>IF(#REF!="Desonerado",ROUND(1/(1+'[1]Serviços SINAPI'!$E$7),4),ROUND(1/(1+'[1]Serviços SINAPI'!$F$7),4))</f>
        <v>#REF!</v>
      </c>
      <c r="F3893" s="70">
        <v>3567.1644999999999</v>
      </c>
      <c r="G3893" s="70" t="e">
        <f>IF(ISNUMBER(F3893),E3893*F3893,"")</f>
        <v>#REF!</v>
      </c>
      <c r="H3893" s="46" t="e">
        <f>SUM(G3893:G3896)</f>
        <v>#REF!</v>
      </c>
      <c r="I3893" s="47"/>
      <c r="J3893" s="37">
        <v>0</v>
      </c>
    </row>
    <row r="3894" spans="1:10" hidden="1" x14ac:dyDescent="0.25">
      <c r="A3894" s="174"/>
      <c r="B3894" s="177"/>
      <c r="C3894" s="43"/>
      <c r="D3894" s="43"/>
      <c r="E3894" s="44"/>
      <c r="F3894" s="70" t="s">
        <v>13</v>
      </c>
      <c r="G3894" s="70" t="str">
        <f>IF(ISNUMBER(F3894),E3894*F3894,"")</f>
        <v/>
      </c>
      <c r="H3894" s="71"/>
      <c r="I3894" s="72"/>
      <c r="J3894" s="37">
        <v>0</v>
      </c>
    </row>
    <row r="3895" spans="1:10" ht="25.5" hidden="1" x14ac:dyDescent="0.25">
      <c r="A3895" s="174"/>
      <c r="B3895" s="177"/>
      <c r="C3895" s="4" t="s">
        <v>668</v>
      </c>
      <c r="D3895" s="43"/>
      <c r="E3895" s="44"/>
      <c r="F3895" s="70" t="s">
        <v>13</v>
      </c>
      <c r="G3895" s="70" t="str">
        <f>IF(ISNUMBER(F3895),E3895*F3895,"")</f>
        <v/>
      </c>
      <c r="H3895" s="71"/>
      <c r="I3895" s="72"/>
      <c r="J3895" s="37">
        <v>0</v>
      </c>
    </row>
    <row r="3896" spans="1:10" ht="15.75" hidden="1" thickBot="1" x14ac:dyDescent="0.3">
      <c r="A3896" s="175"/>
      <c r="B3896" s="178"/>
      <c r="C3896" s="49"/>
      <c r="D3896" s="49"/>
      <c r="E3896" s="50"/>
      <c r="F3896" s="83" t="s">
        <v>13</v>
      </c>
      <c r="G3896" s="83" t="str">
        <f>IF(ISNUMBER(F3896),E3896*F3896,"")</f>
        <v/>
      </c>
      <c r="H3896" s="84"/>
      <c r="I3896" s="72"/>
      <c r="J3896" s="37">
        <v>0</v>
      </c>
    </row>
    <row r="3897" spans="1:10" ht="15.75" hidden="1" thickBot="1" x14ac:dyDescent="0.3">
      <c r="A3897" s="173" t="s">
        <v>951</v>
      </c>
      <c r="B3897" s="176" t="s">
        <v>4467</v>
      </c>
      <c r="C3897" s="31"/>
      <c r="D3897" s="32" t="s">
        <v>3982</v>
      </c>
      <c r="E3897" s="33"/>
      <c r="F3897" s="60" t="s">
        <v>13</v>
      </c>
      <c r="G3897" s="34" t="str">
        <f>IF(ISNUMBER(F3897),E3897*F3897,"")</f>
        <v/>
      </c>
      <c r="H3897" s="35"/>
      <c r="I3897" s="36"/>
      <c r="J3897" s="37">
        <v>0</v>
      </c>
    </row>
    <row r="3898" spans="1:10" hidden="1" x14ac:dyDescent="0.25">
      <c r="A3898" s="174"/>
      <c r="B3898" s="177"/>
      <c r="C3898" s="39"/>
      <c r="D3898" s="39"/>
      <c r="E3898" s="40"/>
      <c r="F3898" s="70" t="s">
        <v>13</v>
      </c>
      <c r="G3898" s="70" t="str">
        <f>IF(ISNUMBER(F3898),E3898*F3898,"")</f>
        <v/>
      </c>
      <c r="H3898" s="71"/>
      <c r="I3898" s="72"/>
      <c r="J3898" s="37">
        <v>0</v>
      </c>
    </row>
    <row r="3899" spans="1:10" hidden="1" x14ac:dyDescent="0.25">
      <c r="A3899" s="174"/>
      <c r="B3899" s="177"/>
      <c r="C3899" s="43" t="s">
        <v>11081</v>
      </c>
      <c r="D3899" s="43" t="s">
        <v>10821</v>
      </c>
      <c r="E3899" s="44" t="e">
        <f>IF(#REF!="Desonerado",ROUND(1/(1+'[1]Serviços SINAPI'!$E$7),4),ROUND(1/(1+'[1]Serviços SINAPI'!$F$7),4))</f>
        <v>#REF!</v>
      </c>
      <c r="F3899" s="70">
        <v>3567.1644999999999</v>
      </c>
      <c r="G3899" s="70" t="e">
        <f>IF(ISNUMBER(F3899),E3899*F3899,"")</f>
        <v>#REF!</v>
      </c>
      <c r="H3899" s="46" t="e">
        <f>SUM(G3899:G3902)</f>
        <v>#REF!</v>
      </c>
      <c r="I3899" s="47"/>
      <c r="J3899" s="37">
        <v>0</v>
      </c>
    </row>
    <row r="3900" spans="1:10" hidden="1" x14ac:dyDescent="0.25">
      <c r="A3900" s="174"/>
      <c r="B3900" s="177"/>
      <c r="C3900" s="43"/>
      <c r="D3900" s="43"/>
      <c r="E3900" s="44"/>
      <c r="F3900" s="70" t="s">
        <v>13</v>
      </c>
      <c r="G3900" s="70" t="str">
        <f>IF(ISNUMBER(F3900),E3900*F3900,"")</f>
        <v/>
      </c>
      <c r="H3900" s="71"/>
      <c r="I3900" s="72"/>
      <c r="J3900" s="37">
        <v>0</v>
      </c>
    </row>
    <row r="3901" spans="1:10" ht="25.5" hidden="1" x14ac:dyDescent="0.25">
      <c r="A3901" s="174"/>
      <c r="B3901" s="177"/>
      <c r="C3901" s="4" t="s">
        <v>668</v>
      </c>
      <c r="D3901" s="43"/>
      <c r="E3901" s="44"/>
      <c r="F3901" s="70" t="s">
        <v>13</v>
      </c>
      <c r="G3901" s="70" t="str">
        <f>IF(ISNUMBER(F3901),E3901*F3901,"")</f>
        <v/>
      </c>
      <c r="H3901" s="71"/>
      <c r="I3901" s="72"/>
      <c r="J3901" s="37">
        <v>0</v>
      </c>
    </row>
    <row r="3902" spans="1:10" ht="15.75" hidden="1" thickBot="1" x14ac:dyDescent="0.3">
      <c r="A3902" s="175"/>
      <c r="B3902" s="178"/>
      <c r="C3902" s="49"/>
      <c r="D3902" s="49"/>
      <c r="E3902" s="50"/>
      <c r="F3902" s="83" t="s">
        <v>13</v>
      </c>
      <c r="G3902" s="83" t="str">
        <f>IF(ISNUMBER(F3902),E3902*F3902,"")</f>
        <v/>
      </c>
      <c r="H3902" s="84"/>
      <c r="I3902" s="72"/>
      <c r="J3902" s="37">
        <v>0</v>
      </c>
    </row>
    <row r="3903" spans="1:10" ht="15.75" hidden="1" thickBot="1" x14ac:dyDescent="0.3">
      <c r="A3903" s="173" t="s">
        <v>952</v>
      </c>
      <c r="B3903" s="176" t="s">
        <v>4468</v>
      </c>
      <c r="C3903" s="31"/>
      <c r="D3903" s="32" t="s">
        <v>3982</v>
      </c>
      <c r="E3903" s="33"/>
      <c r="F3903" s="60" t="s">
        <v>13</v>
      </c>
      <c r="G3903" s="34" t="str">
        <f>IF(ISNUMBER(F3903),E3903*F3903,"")</f>
        <v/>
      </c>
      <c r="H3903" s="35"/>
      <c r="I3903" s="36"/>
      <c r="J3903" s="37">
        <v>0</v>
      </c>
    </row>
    <row r="3904" spans="1:10" hidden="1" x14ac:dyDescent="0.25">
      <c r="A3904" s="174"/>
      <c r="B3904" s="177"/>
      <c r="C3904" s="39"/>
      <c r="D3904" s="39"/>
      <c r="E3904" s="40"/>
      <c r="F3904" s="70" t="s">
        <v>13</v>
      </c>
      <c r="G3904" s="70" t="str">
        <f>IF(ISNUMBER(F3904),E3904*F3904,"")</f>
        <v/>
      </c>
      <c r="H3904" s="71"/>
      <c r="I3904" s="72"/>
      <c r="J3904" s="37">
        <v>0</v>
      </c>
    </row>
    <row r="3905" spans="1:10" ht="25.5" hidden="1" x14ac:dyDescent="0.25">
      <c r="A3905" s="174"/>
      <c r="B3905" s="177"/>
      <c r="C3905" s="43" t="s">
        <v>11082</v>
      </c>
      <c r="D3905" s="43" t="s">
        <v>10821</v>
      </c>
      <c r="E3905" s="44" t="e">
        <f>IF(#REF!="Desonerado",ROUND(1/(1+'[1]Serviços SINAPI'!$E$7),4),ROUND(1/(1+'[1]Serviços SINAPI'!$F$7),4))</f>
        <v>#REF!</v>
      </c>
      <c r="F3905" s="70">
        <v>9837.098</v>
      </c>
      <c r="G3905" s="70" t="e">
        <f>IF(ISNUMBER(F3905),E3905*F3905,"")</f>
        <v>#REF!</v>
      </c>
      <c r="H3905" s="46" t="e">
        <f>SUM(G3905:G3908)</f>
        <v>#REF!</v>
      </c>
      <c r="I3905" s="47"/>
      <c r="J3905" s="37">
        <v>0</v>
      </c>
    </row>
    <row r="3906" spans="1:10" hidden="1" x14ac:dyDescent="0.25">
      <c r="A3906" s="174"/>
      <c r="B3906" s="177"/>
      <c r="C3906" s="43"/>
      <c r="D3906" s="43"/>
      <c r="E3906" s="44"/>
      <c r="F3906" s="70" t="s">
        <v>13</v>
      </c>
      <c r="G3906" s="70" t="str">
        <f>IF(ISNUMBER(F3906),E3906*F3906,"")</f>
        <v/>
      </c>
      <c r="H3906" s="71"/>
      <c r="I3906" s="72"/>
      <c r="J3906" s="37">
        <v>0</v>
      </c>
    </row>
    <row r="3907" spans="1:10" ht="25.5" hidden="1" x14ac:dyDescent="0.25">
      <c r="A3907" s="174"/>
      <c r="B3907" s="177"/>
      <c r="C3907" s="4" t="s">
        <v>668</v>
      </c>
      <c r="D3907" s="43"/>
      <c r="E3907" s="44"/>
      <c r="F3907" s="70" t="s">
        <v>13</v>
      </c>
      <c r="G3907" s="70" t="str">
        <f>IF(ISNUMBER(F3907),E3907*F3907,"")</f>
        <v/>
      </c>
      <c r="H3907" s="71"/>
      <c r="I3907" s="72"/>
      <c r="J3907" s="37">
        <v>0</v>
      </c>
    </row>
    <row r="3908" spans="1:10" ht="15.75" hidden="1" thickBot="1" x14ac:dyDescent="0.3">
      <c r="A3908" s="175"/>
      <c r="B3908" s="178"/>
      <c r="C3908" s="49"/>
      <c r="D3908" s="49"/>
      <c r="E3908" s="50"/>
      <c r="F3908" s="83" t="s">
        <v>13</v>
      </c>
      <c r="G3908" s="83" t="str">
        <f>IF(ISNUMBER(F3908),E3908*F3908,"")</f>
        <v/>
      </c>
      <c r="H3908" s="84"/>
      <c r="I3908" s="72"/>
      <c r="J3908" s="37">
        <v>0</v>
      </c>
    </row>
    <row r="3909" spans="1:10" ht="15.75" hidden="1" thickBot="1" x14ac:dyDescent="0.3">
      <c r="A3909" s="173" t="s">
        <v>953</v>
      </c>
      <c r="B3909" s="176" t="s">
        <v>4491</v>
      </c>
      <c r="C3909" s="31"/>
      <c r="D3909" s="32" t="s">
        <v>4492</v>
      </c>
      <c r="E3909" s="33"/>
      <c r="F3909" s="60" t="s">
        <v>13</v>
      </c>
      <c r="G3909" s="34" t="str">
        <f>IF(ISNUMBER(F3909),E3909*F3909,"")</f>
        <v/>
      </c>
      <c r="H3909" s="35"/>
      <c r="I3909" s="36"/>
      <c r="J3909" s="37">
        <v>0</v>
      </c>
    </row>
    <row r="3910" spans="1:10" hidden="1" x14ac:dyDescent="0.25">
      <c r="A3910" s="179"/>
      <c r="B3910" s="177"/>
      <c r="C3910" s="39"/>
      <c r="D3910" s="39"/>
      <c r="E3910" s="40"/>
      <c r="F3910" s="70" t="s">
        <v>13</v>
      </c>
      <c r="G3910" s="70" t="str">
        <f>IF(ISNUMBER(F3910),E3910*F3910,"")</f>
        <v/>
      </c>
      <c r="H3910" s="71"/>
      <c r="I3910" s="72"/>
      <c r="J3910" s="37">
        <v>0</v>
      </c>
    </row>
    <row r="3911" spans="1:10" hidden="1" x14ac:dyDescent="0.25">
      <c r="A3911" s="179"/>
      <c r="B3911" s="177"/>
      <c r="C3911" s="43" t="s">
        <v>10830</v>
      </c>
      <c r="D3911" s="43" t="s">
        <v>2800</v>
      </c>
      <c r="E3911" s="44">
        <f>0.5/50</f>
        <v>0.01</v>
      </c>
      <c r="F3911" s="70">
        <v>30.912999999999997</v>
      </c>
      <c r="G3911" s="70">
        <f>IF(ISNUMBER(F3911),E3911*F3911,"")</f>
        <v>0.30912999999999996</v>
      </c>
      <c r="H3911" s="46">
        <f>SUM(G3911:G3912)</f>
        <v>0.30912999999999996</v>
      </c>
      <c r="I3911" s="47"/>
      <c r="J3911" s="37">
        <v>0</v>
      </c>
    </row>
    <row r="3912" spans="1:10" hidden="1" x14ac:dyDescent="0.25">
      <c r="A3912" s="179"/>
      <c r="B3912" s="177"/>
      <c r="C3912" s="43" t="s">
        <v>954</v>
      </c>
      <c r="D3912" s="43" t="s">
        <v>87</v>
      </c>
      <c r="E3912" s="44">
        <f>1/50</f>
        <v>0.02</v>
      </c>
      <c r="F3912" s="70" t="s">
        <v>13</v>
      </c>
      <c r="G3912" s="70" t="str">
        <f>IF(ISNUMBER(F3912),E3912*F3912,"")</f>
        <v/>
      </c>
      <c r="H3912" s="71"/>
      <c r="I3912" s="72"/>
      <c r="J3912" s="37">
        <v>0</v>
      </c>
    </row>
    <row r="3913" spans="1:10" ht="15.75" hidden="1" thickBot="1" x14ac:dyDescent="0.3">
      <c r="A3913" s="180"/>
      <c r="B3913" s="178"/>
      <c r="C3913" s="49"/>
      <c r="D3913" s="49"/>
      <c r="E3913" s="50"/>
      <c r="F3913" s="83" t="s">
        <v>13</v>
      </c>
      <c r="G3913" s="83" t="str">
        <f>IF(ISNUMBER(F3913),E3913*F3913,"")</f>
        <v/>
      </c>
      <c r="H3913" s="84"/>
      <c r="I3913" s="72"/>
      <c r="J3913" s="37">
        <v>0</v>
      </c>
    </row>
    <row r="3914" spans="1:10" ht="15.75" hidden="1" thickBot="1" x14ac:dyDescent="0.3">
      <c r="A3914" s="173" t="s">
        <v>955</v>
      </c>
      <c r="B3914" s="176" t="s">
        <v>4493</v>
      </c>
      <c r="C3914" s="31"/>
      <c r="D3914" s="32" t="s">
        <v>106</v>
      </c>
      <c r="E3914" s="33"/>
      <c r="F3914" s="60" t="s">
        <v>13</v>
      </c>
      <c r="G3914" s="34" t="str">
        <f>IF(ISNUMBER(F3914),E3914*F3914,"")</f>
        <v/>
      </c>
      <c r="H3914" s="35"/>
      <c r="I3914" s="36"/>
      <c r="J3914" s="37">
        <v>0</v>
      </c>
    </row>
    <row r="3915" spans="1:10" hidden="1" x14ac:dyDescent="0.25">
      <c r="A3915" s="179"/>
      <c r="B3915" s="177"/>
      <c r="C3915" s="39"/>
      <c r="D3915" s="39"/>
      <c r="E3915" s="40"/>
      <c r="F3915" s="70" t="s">
        <v>13</v>
      </c>
      <c r="G3915" s="70" t="str">
        <f>IF(ISNUMBER(F3915),E3915*F3915,"")</f>
        <v/>
      </c>
      <c r="H3915" s="71"/>
      <c r="I3915" s="72"/>
      <c r="J3915" s="37">
        <v>0</v>
      </c>
    </row>
    <row r="3916" spans="1:10" hidden="1" x14ac:dyDescent="0.25">
      <c r="A3916" s="179"/>
      <c r="B3916" s="177"/>
      <c r="C3916" s="43" t="s">
        <v>10757</v>
      </c>
      <c r="D3916" s="43" t="s">
        <v>2800</v>
      </c>
      <c r="E3916" s="44">
        <v>0.5</v>
      </c>
      <c r="F3916" s="70">
        <v>31.055499999999995</v>
      </c>
      <c r="G3916" s="70">
        <f>IF(ISNUMBER(F3916),E3916*F3916,"")</f>
        <v>15.527749999999997</v>
      </c>
      <c r="H3916" s="46">
        <f>SUM(G3916:G3922)</f>
        <v>45.563032916617502</v>
      </c>
      <c r="I3916" s="47"/>
      <c r="J3916" s="37">
        <v>0</v>
      </c>
    </row>
    <row r="3917" spans="1:10" hidden="1" x14ac:dyDescent="0.25">
      <c r="A3917" s="179"/>
      <c r="B3917" s="177"/>
      <c r="C3917" s="43" t="s">
        <v>10614</v>
      </c>
      <c r="D3917" s="43" t="s">
        <v>2800</v>
      </c>
      <c r="E3917" s="44">
        <v>0.51</v>
      </c>
      <c r="F3917" s="70">
        <v>23.693000000000001</v>
      </c>
      <c r="G3917" s="70">
        <f>IF(ISNUMBER(F3917),E3917*F3917,"")</f>
        <v>12.083430000000002</v>
      </c>
      <c r="H3917" s="71"/>
      <c r="I3917" s="72"/>
      <c r="J3917" s="37">
        <v>0</v>
      </c>
    </row>
    <row r="3918" spans="1:10" ht="38.25" hidden="1" x14ac:dyDescent="0.25">
      <c r="A3918" s="179"/>
      <c r="B3918" s="177"/>
      <c r="C3918" s="43" t="s">
        <v>10685</v>
      </c>
      <c r="D3918" s="43" t="s">
        <v>2880</v>
      </c>
      <c r="E3918" s="44">
        <v>3.0999999999999999E-3</v>
      </c>
      <c r="F3918" s="70">
        <v>787.22126342499996</v>
      </c>
      <c r="G3918" s="70">
        <f>IF(ISNUMBER(F3918),E3918*F3918,"")</f>
        <v>2.4403859166174997</v>
      </c>
      <c r="H3918" s="71"/>
      <c r="I3918" s="72"/>
      <c r="J3918" s="37">
        <v>0</v>
      </c>
    </row>
    <row r="3919" spans="1:10" hidden="1" x14ac:dyDescent="0.25">
      <c r="A3919" s="179"/>
      <c r="B3919" s="177"/>
      <c r="C3919" s="43" t="s">
        <v>956</v>
      </c>
      <c r="D3919" s="62" t="s">
        <v>106</v>
      </c>
      <c r="E3919" s="44">
        <v>1</v>
      </c>
      <c r="F3919" s="70" t="s">
        <v>13</v>
      </c>
      <c r="G3919" s="70" t="str">
        <f>IF(ISNUMBER(F3919),E3919*F3919,"")</f>
        <v/>
      </c>
      <c r="H3919" s="71"/>
      <c r="I3919" s="72"/>
      <c r="J3919" s="37">
        <v>0</v>
      </c>
    </row>
    <row r="3920" spans="1:10" hidden="1" x14ac:dyDescent="0.25">
      <c r="A3920" s="179"/>
      <c r="B3920" s="177"/>
      <c r="C3920" s="43" t="s">
        <v>11014</v>
      </c>
      <c r="D3920" s="43" t="s">
        <v>2800</v>
      </c>
      <c r="E3920" s="44">
        <v>8.6999999999999994E-2</v>
      </c>
      <c r="F3920" s="70">
        <v>30.837</v>
      </c>
      <c r="G3920" s="70">
        <f>IF(ISNUMBER(F3920),E3920*F3920,"")</f>
        <v>2.6828189999999998</v>
      </c>
      <c r="H3920" s="71"/>
      <c r="I3920" s="72"/>
      <c r="J3920" s="37">
        <v>0</v>
      </c>
    </row>
    <row r="3921" spans="1:10" hidden="1" x14ac:dyDescent="0.25">
      <c r="A3921" s="179"/>
      <c r="B3921" s="177"/>
      <c r="C3921" s="43" t="s">
        <v>11013</v>
      </c>
      <c r="D3921" s="43" t="s">
        <v>2800</v>
      </c>
      <c r="E3921" s="44">
        <v>6.4000000000000001E-2</v>
      </c>
      <c r="F3921" s="70">
        <v>24.519499999999997</v>
      </c>
      <c r="G3921" s="70">
        <f>IF(ISNUMBER(F3921),E3921*F3921,"")</f>
        <v>1.5692479999999998</v>
      </c>
      <c r="H3921" s="71"/>
      <c r="I3921" s="72"/>
      <c r="J3921" s="37">
        <v>0</v>
      </c>
    </row>
    <row r="3922" spans="1:10" hidden="1" x14ac:dyDescent="0.25">
      <c r="A3922" s="179"/>
      <c r="B3922" s="177"/>
      <c r="C3922" s="43" t="s">
        <v>10893</v>
      </c>
      <c r="D3922" s="43" t="s">
        <v>83</v>
      </c>
      <c r="E3922" s="44">
        <v>0.4</v>
      </c>
      <c r="F3922" s="70">
        <v>28.148499999999999</v>
      </c>
      <c r="G3922" s="70">
        <f>IF(ISNUMBER(F3922),E3922*F3922,"")</f>
        <v>11.259399999999999</v>
      </c>
      <c r="H3922" s="71"/>
      <c r="I3922" s="72"/>
      <c r="J3922" s="37">
        <v>0</v>
      </c>
    </row>
    <row r="3923" spans="1:10" hidden="1" x14ac:dyDescent="0.25">
      <c r="A3923" s="179"/>
      <c r="B3923" s="177"/>
      <c r="C3923" s="43"/>
      <c r="D3923" s="62"/>
      <c r="E3923" s="44"/>
      <c r="F3923" s="70" t="s">
        <v>13</v>
      </c>
      <c r="G3923" s="70" t="str">
        <f>IF(ISNUMBER(F3923),E3923*F3923,"")</f>
        <v/>
      </c>
      <c r="H3923" s="71"/>
      <c r="I3923" s="72"/>
      <c r="J3923" s="37">
        <v>0</v>
      </c>
    </row>
    <row r="3924" spans="1:10" hidden="1" x14ac:dyDescent="0.25">
      <c r="A3924" s="179"/>
      <c r="B3924" s="177"/>
      <c r="C3924" s="65" t="s">
        <v>957</v>
      </c>
      <c r="D3924" s="62"/>
      <c r="E3924" s="44"/>
      <c r="F3924" s="70" t="s">
        <v>13</v>
      </c>
      <c r="G3924" s="70" t="str">
        <f>IF(ISNUMBER(F3924),E3924*F3924,"")</f>
        <v/>
      </c>
      <c r="H3924" s="71"/>
      <c r="I3924" s="72"/>
      <c r="J3924" s="37">
        <v>0</v>
      </c>
    </row>
    <row r="3925" spans="1:10" ht="15.75" hidden="1" thickBot="1" x14ac:dyDescent="0.3">
      <c r="A3925" s="180"/>
      <c r="B3925" s="178"/>
      <c r="C3925" s="49"/>
      <c r="D3925" s="49"/>
      <c r="E3925" s="50"/>
      <c r="F3925" s="83" t="s">
        <v>13</v>
      </c>
      <c r="G3925" s="83" t="str">
        <f>IF(ISNUMBER(F3925),E3925*F3925,"")</f>
        <v/>
      </c>
      <c r="H3925" s="84"/>
      <c r="I3925" s="72"/>
      <c r="J3925" s="37">
        <v>0</v>
      </c>
    </row>
    <row r="3926" spans="1:10" ht="15.75" hidden="1" thickBot="1" x14ac:dyDescent="0.3">
      <c r="A3926" s="173" t="s">
        <v>958</v>
      </c>
      <c r="B3926" s="176" t="s">
        <v>4502</v>
      </c>
      <c r="C3926" s="31"/>
      <c r="D3926" s="32" t="s">
        <v>68</v>
      </c>
      <c r="E3926" s="33"/>
      <c r="F3926" s="60" t="s">
        <v>13</v>
      </c>
      <c r="G3926" s="34" t="str">
        <f>IF(ISNUMBER(F3926),E3926*F3926,"")</f>
        <v/>
      </c>
      <c r="H3926" s="35"/>
      <c r="I3926" s="36"/>
      <c r="J3926" s="37">
        <v>0</v>
      </c>
    </row>
    <row r="3927" spans="1:10" hidden="1" x14ac:dyDescent="0.25">
      <c r="A3927" s="179"/>
      <c r="B3927" s="177"/>
      <c r="C3927" s="39"/>
      <c r="D3927" s="39"/>
      <c r="E3927" s="40"/>
      <c r="F3927" s="70" t="s">
        <v>13</v>
      </c>
      <c r="G3927" s="70" t="str">
        <f>IF(ISNUMBER(F3927),E3927*F3927,"")</f>
        <v/>
      </c>
      <c r="H3927" s="71"/>
      <c r="I3927" s="72"/>
      <c r="J3927" s="37">
        <v>0</v>
      </c>
    </row>
    <row r="3928" spans="1:10" hidden="1" x14ac:dyDescent="0.25">
      <c r="A3928" s="179"/>
      <c r="B3928" s="177"/>
      <c r="C3928" s="43" t="s">
        <v>10875</v>
      </c>
      <c r="D3928" s="43" t="s">
        <v>1044</v>
      </c>
      <c r="E3928" s="44">
        <f>ROUND(0.5228/(1.5*0.6),4)</f>
        <v>0.58089999999999997</v>
      </c>
      <c r="F3928" s="70">
        <v>27.777999999999999</v>
      </c>
      <c r="G3928" s="70">
        <f>IF(ISNUMBER(F3928),E3928*F3928,"")</f>
        <v>16.1362402</v>
      </c>
      <c r="H3928" s="46">
        <f>SUM(G3928:G3934)</f>
        <v>145.54905729999999</v>
      </c>
      <c r="I3928" s="47"/>
      <c r="J3928" s="37">
        <v>0</v>
      </c>
    </row>
    <row r="3929" spans="1:10" ht="38.25" hidden="1" x14ac:dyDescent="0.25">
      <c r="A3929" s="179"/>
      <c r="B3929" s="177"/>
      <c r="C3929" s="43" t="s">
        <v>10876</v>
      </c>
      <c r="D3929" s="43" t="s">
        <v>83</v>
      </c>
      <c r="E3929" s="44">
        <f>ROUND(6/(1.5*0.6),4)</f>
        <v>6.6666999999999996</v>
      </c>
      <c r="F3929" s="70">
        <v>1.159</v>
      </c>
      <c r="G3929" s="70">
        <f>IF(ISNUMBER(F3929),E3929*F3929,"")</f>
        <v>7.7267052999999999</v>
      </c>
      <c r="H3929" s="71"/>
      <c r="I3929" s="72"/>
      <c r="J3929" s="37">
        <v>0</v>
      </c>
    </row>
    <row r="3930" spans="1:10" ht="25.5" hidden="1" x14ac:dyDescent="0.25">
      <c r="A3930" s="179"/>
      <c r="B3930" s="177"/>
      <c r="C3930" s="43" t="s">
        <v>959</v>
      </c>
      <c r="D3930" s="43" t="s">
        <v>162</v>
      </c>
      <c r="E3930" s="44">
        <f>ROUND(1.005/(1.5*0.6),4)</f>
        <v>1.1167</v>
      </c>
      <c r="F3930" s="70" t="s">
        <v>13</v>
      </c>
      <c r="G3930" s="70" t="str">
        <f>IF(ISNUMBER(F3930),E3930*F3930,"")</f>
        <v/>
      </c>
      <c r="H3930" s="71"/>
      <c r="I3930" s="72"/>
      <c r="J3930" s="37">
        <v>0</v>
      </c>
    </row>
    <row r="3931" spans="1:10" hidden="1" x14ac:dyDescent="0.25">
      <c r="A3931" s="179"/>
      <c r="B3931" s="177"/>
      <c r="C3931" s="43" t="s">
        <v>10877</v>
      </c>
      <c r="D3931" s="43" t="s">
        <v>1044</v>
      </c>
      <c r="E3931" s="44">
        <f>ROUND(0.0211/(1.5*0.6),4)</f>
        <v>2.3400000000000001E-2</v>
      </c>
      <c r="F3931" s="70">
        <v>71.667999999999992</v>
      </c>
      <c r="G3931" s="70">
        <f>IF(ISNUMBER(F3931),E3931*F3931,"")</f>
        <v>1.6770311999999998</v>
      </c>
      <c r="H3931" s="71"/>
      <c r="I3931" s="72"/>
      <c r="J3931" s="37">
        <v>0</v>
      </c>
    </row>
    <row r="3932" spans="1:10" ht="25.5" hidden="1" x14ac:dyDescent="0.25">
      <c r="A3932" s="179"/>
      <c r="B3932" s="177"/>
      <c r="C3932" s="43" t="s">
        <v>10878</v>
      </c>
      <c r="D3932" s="43" t="s">
        <v>83</v>
      </c>
      <c r="E3932" s="44">
        <f>ROUND(2/(1.5*0.6),4)</f>
        <v>2.2222</v>
      </c>
      <c r="F3932" s="70">
        <v>19.256499999999999</v>
      </c>
      <c r="G3932" s="70">
        <f>IF(ISNUMBER(F3932),E3932*F3932,"")</f>
        <v>42.791794299999999</v>
      </c>
      <c r="H3932" s="71"/>
      <c r="I3932" s="72"/>
      <c r="J3932" s="37">
        <v>0</v>
      </c>
    </row>
    <row r="3933" spans="1:10" hidden="1" x14ac:dyDescent="0.25">
      <c r="A3933" s="179"/>
      <c r="B3933" s="177"/>
      <c r="C3933" s="43" t="s">
        <v>10830</v>
      </c>
      <c r="D3933" s="43" t="s">
        <v>2800</v>
      </c>
      <c r="E3933" s="44">
        <f>ROUND(1.4944/(1.5*0.6),4)</f>
        <v>1.6604000000000001</v>
      </c>
      <c r="F3933" s="70">
        <v>30.912999999999997</v>
      </c>
      <c r="G3933" s="70">
        <f>IF(ISNUMBER(F3933),E3933*F3933,"")</f>
        <v>51.327945199999995</v>
      </c>
      <c r="H3933" s="71"/>
      <c r="I3933" s="72"/>
      <c r="J3933" s="37">
        <v>0</v>
      </c>
    </row>
    <row r="3934" spans="1:10" hidden="1" x14ac:dyDescent="0.25">
      <c r="A3934" s="179"/>
      <c r="B3934" s="177"/>
      <c r="C3934" s="43" t="s">
        <v>10614</v>
      </c>
      <c r="D3934" s="43" t="s">
        <v>2800</v>
      </c>
      <c r="E3934" s="44">
        <f>ROUND(0.9834/(1.5*0.6),4)</f>
        <v>1.0927</v>
      </c>
      <c r="F3934" s="70">
        <v>23.693000000000001</v>
      </c>
      <c r="G3934" s="70">
        <f>IF(ISNUMBER(F3934),E3934*F3934,"")</f>
        <v>25.889341100000003</v>
      </c>
      <c r="H3934" s="71"/>
      <c r="I3934" s="72"/>
      <c r="J3934" s="37">
        <v>0</v>
      </c>
    </row>
    <row r="3935" spans="1:10" ht="15.75" hidden="1" thickBot="1" x14ac:dyDescent="0.3">
      <c r="A3935" s="180"/>
      <c r="B3935" s="178"/>
      <c r="C3935" s="49"/>
      <c r="D3935" s="49"/>
      <c r="E3935" s="50"/>
      <c r="F3935" s="83" t="s">
        <v>13</v>
      </c>
      <c r="G3935" s="83" t="str">
        <f>IF(ISNUMBER(F3935),E3935*F3935,"")</f>
        <v/>
      </c>
      <c r="H3935" s="84"/>
      <c r="I3935" s="72"/>
      <c r="J3935" s="37">
        <v>0</v>
      </c>
    </row>
    <row r="3936" spans="1:10" ht="15.75" hidden="1" thickBot="1" x14ac:dyDescent="0.3">
      <c r="A3936" s="173" t="s">
        <v>960</v>
      </c>
      <c r="B3936" s="176" t="s">
        <v>4503</v>
      </c>
      <c r="C3936" s="31"/>
      <c r="D3936" s="32" t="s">
        <v>68</v>
      </c>
      <c r="E3936" s="33"/>
      <c r="F3936" s="60" t="s">
        <v>13</v>
      </c>
      <c r="G3936" s="34" t="str">
        <f>IF(ISNUMBER(F3936),E3936*F3936,"")</f>
        <v/>
      </c>
      <c r="H3936" s="35"/>
      <c r="I3936" s="36"/>
      <c r="J3936" s="37">
        <v>0</v>
      </c>
    </row>
    <row r="3937" spans="1:10" hidden="1" x14ac:dyDescent="0.25">
      <c r="A3937" s="179"/>
      <c r="B3937" s="177"/>
      <c r="C3937" s="39"/>
      <c r="D3937" s="39"/>
      <c r="E3937" s="40"/>
      <c r="F3937" s="70" t="s">
        <v>13</v>
      </c>
      <c r="G3937" s="70" t="str">
        <f>IF(ISNUMBER(F3937),E3937*F3937,"")</f>
        <v/>
      </c>
      <c r="H3937" s="71"/>
      <c r="I3937" s="72"/>
      <c r="J3937" s="37">
        <v>0</v>
      </c>
    </row>
    <row r="3938" spans="1:10" ht="25.5" hidden="1" x14ac:dyDescent="0.25">
      <c r="A3938" s="179"/>
      <c r="B3938" s="177"/>
      <c r="C3938" s="43" t="s">
        <v>10803</v>
      </c>
      <c r="D3938" s="43" t="s">
        <v>10820</v>
      </c>
      <c r="E3938" s="44">
        <v>0.88290000000000002</v>
      </c>
      <c r="F3938" s="70">
        <v>42.597999999999999</v>
      </c>
      <c r="G3938" s="70">
        <f>IF(ISNUMBER(F3938),E3938*F3938,"")</f>
        <v>37.609774199999997</v>
      </c>
      <c r="H3938" s="46">
        <f>SUM(G3938:G3943)</f>
        <v>619.34095085000001</v>
      </c>
      <c r="I3938" s="47"/>
      <c r="J3938" s="37">
        <v>0</v>
      </c>
    </row>
    <row r="3939" spans="1:10" ht="38.25" hidden="1" x14ac:dyDescent="0.25">
      <c r="A3939" s="179"/>
      <c r="B3939" s="177"/>
      <c r="C3939" s="43" t="s">
        <v>10876</v>
      </c>
      <c r="D3939" s="43" t="s">
        <v>83</v>
      </c>
      <c r="E3939" s="44">
        <v>4.8166000000000002</v>
      </c>
      <c r="F3939" s="70">
        <v>1.159</v>
      </c>
      <c r="G3939" s="70">
        <f>IF(ISNUMBER(F3939),E3939*F3939,"")</f>
        <v>5.5824394000000002</v>
      </c>
      <c r="H3939" s="71"/>
      <c r="I3939" s="72"/>
      <c r="J3939" s="37">
        <v>0</v>
      </c>
    </row>
    <row r="3940" spans="1:10" ht="38.25" hidden="1" x14ac:dyDescent="0.25">
      <c r="A3940" s="179"/>
      <c r="B3940" s="177"/>
      <c r="C3940" s="43" t="s">
        <v>11083</v>
      </c>
      <c r="D3940" s="43" t="s">
        <v>1302</v>
      </c>
      <c r="E3940" s="44">
        <v>6.8503999999999996</v>
      </c>
      <c r="F3940" s="70">
        <v>26.4575</v>
      </c>
      <c r="G3940" s="70">
        <f>IF(ISNUMBER(F3940),E3940*F3940,"")</f>
        <v>181.24445799999998</v>
      </c>
      <c r="H3940" s="71"/>
      <c r="I3940" s="72"/>
      <c r="J3940" s="37">
        <v>0</v>
      </c>
    </row>
    <row r="3941" spans="1:10" ht="38.25" hidden="1" x14ac:dyDescent="0.25">
      <c r="A3941" s="179"/>
      <c r="B3941" s="177"/>
      <c r="C3941" s="43" t="s">
        <v>11084</v>
      </c>
      <c r="D3941" s="43" t="s">
        <v>83</v>
      </c>
      <c r="E3941" s="44">
        <v>0.54730000000000001</v>
      </c>
      <c r="F3941" s="70">
        <v>691.57150000000001</v>
      </c>
      <c r="G3941" s="70">
        <f>IF(ISNUMBER(F3941),E3941*F3941,"")</f>
        <v>378.49708194999999</v>
      </c>
      <c r="H3941" s="71"/>
      <c r="I3941" s="72"/>
      <c r="J3941" s="37">
        <v>0</v>
      </c>
    </row>
    <row r="3942" spans="1:10" hidden="1" x14ac:dyDescent="0.25">
      <c r="A3942" s="179"/>
      <c r="B3942" s="177"/>
      <c r="C3942" s="43" t="s">
        <v>10757</v>
      </c>
      <c r="D3942" s="43" t="s">
        <v>2800</v>
      </c>
      <c r="E3942" s="44">
        <v>0.3826</v>
      </c>
      <c r="F3942" s="70">
        <v>31.055499999999995</v>
      </c>
      <c r="G3942" s="70">
        <f>IF(ISNUMBER(F3942),E3942*F3942,"")</f>
        <v>11.881834299999998</v>
      </c>
      <c r="H3942" s="71"/>
      <c r="I3942" s="72"/>
      <c r="J3942" s="37">
        <v>0</v>
      </c>
    </row>
    <row r="3943" spans="1:10" hidden="1" x14ac:dyDescent="0.25">
      <c r="A3943" s="179"/>
      <c r="B3943" s="177"/>
      <c r="C3943" s="43" t="s">
        <v>10614</v>
      </c>
      <c r="D3943" s="43" t="s">
        <v>2800</v>
      </c>
      <c r="E3943" s="44">
        <v>0.191</v>
      </c>
      <c r="F3943" s="70">
        <v>23.693000000000001</v>
      </c>
      <c r="G3943" s="70">
        <f>IF(ISNUMBER(F3943),E3943*F3943,"")</f>
        <v>4.5253630000000005</v>
      </c>
      <c r="H3943" s="71"/>
      <c r="I3943" s="72"/>
      <c r="J3943" s="37">
        <v>0</v>
      </c>
    </row>
    <row r="3944" spans="1:10" ht="15.75" hidden="1" thickBot="1" x14ac:dyDescent="0.3">
      <c r="A3944" s="180"/>
      <c r="B3944" s="178"/>
      <c r="C3944" s="49"/>
      <c r="D3944" s="63"/>
      <c r="E3944" s="50"/>
      <c r="F3944" s="83" t="s">
        <v>13</v>
      </c>
      <c r="G3944" s="83" t="str">
        <f>IF(ISNUMBER(F3944),E3944*F3944,"")</f>
        <v/>
      </c>
      <c r="H3944" s="84"/>
      <c r="I3944" s="72"/>
      <c r="J3944" s="37">
        <v>0</v>
      </c>
    </row>
    <row r="3945" spans="1:10" ht="15.75" hidden="1" thickBot="1" x14ac:dyDescent="0.3">
      <c r="A3945" s="173" t="s">
        <v>961</v>
      </c>
      <c r="B3945" s="176" t="s">
        <v>4504</v>
      </c>
      <c r="C3945" s="31"/>
      <c r="D3945" s="32" t="s">
        <v>68</v>
      </c>
      <c r="E3945" s="33"/>
      <c r="F3945" s="60" t="s">
        <v>13</v>
      </c>
      <c r="G3945" s="34" t="str">
        <f>IF(ISNUMBER(F3945),E3945*F3945,"")</f>
        <v/>
      </c>
      <c r="H3945" s="35"/>
      <c r="I3945" s="36"/>
      <c r="J3945" s="37">
        <v>0</v>
      </c>
    </row>
    <row r="3946" spans="1:10" hidden="1" x14ac:dyDescent="0.25">
      <c r="A3946" s="179"/>
      <c r="B3946" s="177"/>
      <c r="C3946" s="39"/>
      <c r="D3946" s="39"/>
      <c r="E3946" s="40"/>
      <c r="F3946" s="70" t="s">
        <v>13</v>
      </c>
      <c r="G3946" s="70" t="str">
        <f>IF(ISNUMBER(F3946),E3946*F3946,"")</f>
        <v/>
      </c>
      <c r="H3946" s="71"/>
      <c r="I3946" s="72"/>
      <c r="J3946" s="37">
        <v>0</v>
      </c>
    </row>
    <row r="3947" spans="1:10" ht="38.25" hidden="1" x14ac:dyDescent="0.25">
      <c r="A3947" s="179"/>
      <c r="B3947" s="177"/>
      <c r="C3947" s="43" t="s">
        <v>11085</v>
      </c>
      <c r="D3947" s="43" t="s">
        <v>83</v>
      </c>
      <c r="E3947" s="44">
        <v>24.4</v>
      </c>
      <c r="F3947" s="70">
        <v>0.1615</v>
      </c>
      <c r="G3947" s="70">
        <f>IF(ISNUMBER(F3947),E3947*F3947,"")</f>
        <v>3.9405999999999999</v>
      </c>
      <c r="H3947" s="46">
        <f>SUM(G3947:G3951)</f>
        <v>633.87074292814998</v>
      </c>
      <c r="I3947" s="47"/>
      <c r="J3947" s="37">
        <v>0</v>
      </c>
    </row>
    <row r="3948" spans="1:10" ht="38.25" hidden="1" x14ac:dyDescent="0.25">
      <c r="A3948" s="179"/>
      <c r="B3948" s="177"/>
      <c r="C3948" s="43" t="s">
        <v>11086</v>
      </c>
      <c r="D3948" s="43" t="s">
        <v>83</v>
      </c>
      <c r="E3948" s="44">
        <v>2.0832999999999999</v>
      </c>
      <c r="F3948" s="70">
        <v>265.77199999999999</v>
      </c>
      <c r="G3948" s="70">
        <f>IF(ISNUMBER(F3948),E3948*F3948,"")</f>
        <v>553.68280759999993</v>
      </c>
      <c r="H3948" s="71"/>
      <c r="I3948" s="72"/>
      <c r="J3948" s="37">
        <v>0</v>
      </c>
    </row>
    <row r="3949" spans="1:10" hidden="1" x14ac:dyDescent="0.25">
      <c r="A3949" s="179"/>
      <c r="B3949" s="177"/>
      <c r="C3949" s="43" t="s">
        <v>10893</v>
      </c>
      <c r="D3949" s="43" t="s">
        <v>83</v>
      </c>
      <c r="E3949" s="44">
        <v>1.16875</v>
      </c>
      <c r="F3949" s="70">
        <v>28.148499999999999</v>
      </c>
      <c r="G3949" s="70">
        <f>IF(ISNUMBER(F3949),E3949*F3949,"")</f>
        <v>32.898559374999998</v>
      </c>
      <c r="H3949" s="71"/>
      <c r="I3949" s="72"/>
      <c r="J3949" s="37">
        <v>0</v>
      </c>
    </row>
    <row r="3950" spans="1:10" hidden="1" x14ac:dyDescent="0.25">
      <c r="A3950" s="179"/>
      <c r="B3950" s="177"/>
      <c r="C3950" s="43" t="s">
        <v>10757</v>
      </c>
      <c r="D3950" s="43" t="s">
        <v>2800</v>
      </c>
      <c r="E3950" s="44">
        <v>1.0104139000000001</v>
      </c>
      <c r="F3950" s="70">
        <v>31.055499999999995</v>
      </c>
      <c r="G3950" s="70">
        <f>IF(ISNUMBER(F3950),E3950*F3950,"")</f>
        <v>31.378908871449998</v>
      </c>
      <c r="H3950" s="71"/>
      <c r="I3950" s="72"/>
      <c r="J3950" s="37">
        <v>0</v>
      </c>
    </row>
    <row r="3951" spans="1:10" hidden="1" x14ac:dyDescent="0.25">
      <c r="A3951" s="179"/>
      <c r="B3951" s="177"/>
      <c r="C3951" s="43" t="s">
        <v>10614</v>
      </c>
      <c r="D3951" s="43" t="s">
        <v>2800</v>
      </c>
      <c r="E3951" s="44">
        <v>0.50520690000000001</v>
      </c>
      <c r="F3951" s="70">
        <v>23.693000000000001</v>
      </c>
      <c r="G3951" s="70">
        <f>IF(ISNUMBER(F3951),E3951*F3951,"")</f>
        <v>11.9698670817</v>
      </c>
      <c r="H3951" s="71"/>
      <c r="I3951" s="72"/>
      <c r="J3951" s="37">
        <v>0</v>
      </c>
    </row>
    <row r="3952" spans="1:10" ht="15.75" hidden="1" thickBot="1" x14ac:dyDescent="0.3">
      <c r="A3952" s="180"/>
      <c r="B3952" s="178"/>
      <c r="C3952" s="49"/>
      <c r="D3952" s="63"/>
      <c r="E3952" s="50"/>
      <c r="F3952" s="83" t="s">
        <v>13</v>
      </c>
      <c r="G3952" s="83" t="str">
        <f>IF(ISNUMBER(F3952),E3952*F3952,"")</f>
        <v/>
      </c>
      <c r="H3952" s="84"/>
      <c r="I3952" s="72"/>
      <c r="J3952" s="37">
        <v>0</v>
      </c>
    </row>
    <row r="3953" spans="1:10" ht="15.75" hidden="1" thickBot="1" x14ac:dyDescent="0.3">
      <c r="A3953" s="173" t="s">
        <v>962</v>
      </c>
      <c r="B3953" s="176" t="s">
        <v>4505</v>
      </c>
      <c r="C3953" s="31"/>
      <c r="D3953" s="32" t="s">
        <v>68</v>
      </c>
      <c r="E3953" s="33"/>
      <c r="F3953" s="60" t="s">
        <v>13</v>
      </c>
      <c r="G3953" s="34" t="str">
        <f>IF(ISNUMBER(F3953),E3953*F3953,"")</f>
        <v/>
      </c>
      <c r="H3953" s="35"/>
      <c r="I3953" s="36"/>
      <c r="J3953" s="37">
        <v>0</v>
      </c>
    </row>
    <row r="3954" spans="1:10" hidden="1" x14ac:dyDescent="0.25">
      <c r="A3954" s="179"/>
      <c r="B3954" s="177"/>
      <c r="C3954" s="39"/>
      <c r="D3954" s="39"/>
      <c r="E3954" s="40"/>
      <c r="F3954" s="70" t="s">
        <v>13</v>
      </c>
      <c r="G3954" s="70" t="str">
        <f>IF(ISNUMBER(F3954),E3954*F3954,"")</f>
        <v/>
      </c>
      <c r="H3954" s="71"/>
      <c r="I3954" s="72"/>
      <c r="J3954" s="37">
        <v>0</v>
      </c>
    </row>
    <row r="3955" spans="1:10" ht="38.25" hidden="1" x14ac:dyDescent="0.25">
      <c r="A3955" s="179"/>
      <c r="B3955" s="177"/>
      <c r="C3955" s="43" t="s">
        <v>11087</v>
      </c>
      <c r="D3955" s="43" t="s">
        <v>162</v>
      </c>
      <c r="E3955" s="44">
        <v>1</v>
      </c>
      <c r="F3955" s="70">
        <v>305.10200000000003</v>
      </c>
      <c r="G3955" s="70">
        <f>IF(ISNUMBER(F3955),E3955*F3955,"")</f>
        <v>305.10200000000003</v>
      </c>
      <c r="H3955" s="46">
        <f>SUM(G3955:G3961)</f>
        <v>368.64503515375003</v>
      </c>
      <c r="I3955" s="47"/>
      <c r="J3955" s="37">
        <v>0</v>
      </c>
    </row>
    <row r="3956" spans="1:10" hidden="1" x14ac:dyDescent="0.25">
      <c r="A3956" s="179"/>
      <c r="B3956" s="177"/>
      <c r="C3956" s="43" t="s">
        <v>10757</v>
      </c>
      <c r="D3956" s="43" t="s">
        <v>2800</v>
      </c>
      <c r="E3956" s="44">
        <v>1</v>
      </c>
      <c r="F3956" s="70">
        <v>31.055499999999995</v>
      </c>
      <c r="G3956" s="70">
        <f>IF(ISNUMBER(F3956),E3956*F3956,"")</f>
        <v>31.055499999999995</v>
      </c>
      <c r="H3956" s="71"/>
      <c r="I3956" s="72"/>
      <c r="J3956" s="37">
        <v>0</v>
      </c>
    </row>
    <row r="3957" spans="1:10" hidden="1" x14ac:dyDescent="0.25">
      <c r="A3957" s="179"/>
      <c r="B3957" s="177"/>
      <c r="C3957" s="43" t="s">
        <v>10614</v>
      </c>
      <c r="D3957" s="43" t="s">
        <v>2800</v>
      </c>
      <c r="E3957" s="44">
        <v>1.1000000000000001</v>
      </c>
      <c r="F3957" s="70">
        <v>23.693000000000001</v>
      </c>
      <c r="G3957" s="70">
        <f>IF(ISNUMBER(F3957),E3957*F3957,"")</f>
        <v>26.062300000000004</v>
      </c>
      <c r="H3957" s="71"/>
      <c r="I3957" s="72"/>
      <c r="J3957" s="37">
        <v>0</v>
      </c>
    </row>
    <row r="3958" spans="1:10" ht="25.5" hidden="1" x14ac:dyDescent="0.25">
      <c r="A3958" s="179"/>
      <c r="B3958" s="177"/>
      <c r="C3958" s="43" t="s">
        <v>10647</v>
      </c>
      <c r="D3958" s="43" t="s">
        <v>2880</v>
      </c>
      <c r="E3958" s="44">
        <v>1.2999999999999999E-2</v>
      </c>
      <c r="F3958" s="70">
        <v>199.71849999999998</v>
      </c>
      <c r="G3958" s="70">
        <f>IF(ISNUMBER(F3958),E3958*F3958,"")</f>
        <v>2.5963404999999997</v>
      </c>
      <c r="H3958" s="71"/>
      <c r="I3958" s="72"/>
      <c r="J3958" s="37">
        <v>0</v>
      </c>
    </row>
    <row r="3959" spans="1:10" hidden="1" x14ac:dyDescent="0.25">
      <c r="A3959" s="179"/>
      <c r="B3959" s="177"/>
      <c r="C3959" s="43" t="s">
        <v>10648</v>
      </c>
      <c r="D3959" s="43" t="s">
        <v>1044</v>
      </c>
      <c r="E3959" s="44">
        <v>4.58</v>
      </c>
      <c r="F3959" s="70">
        <v>0.64600000000000002</v>
      </c>
      <c r="G3959" s="70">
        <f>IF(ISNUMBER(F3959),E3959*F3959,"")</f>
        <v>2.9586800000000002</v>
      </c>
      <c r="H3959" s="71"/>
      <c r="I3959" s="72"/>
      <c r="J3959" s="37">
        <v>0</v>
      </c>
    </row>
    <row r="3960" spans="1:10" ht="51" hidden="1" x14ac:dyDescent="0.25">
      <c r="A3960" s="179"/>
      <c r="B3960" s="177"/>
      <c r="C3960" s="43" t="s">
        <v>10624</v>
      </c>
      <c r="D3960" s="43" t="s">
        <v>2880</v>
      </c>
      <c r="E3960" s="44">
        <f>1*E3958</f>
        <v>1.2999999999999999E-2</v>
      </c>
      <c r="F3960" s="41">
        <v>8.5522277500000001</v>
      </c>
      <c r="G3960" s="41">
        <f>IF(ISNUMBER(F3960),E3960*F3960,"")</f>
        <v>0.11117896075</v>
      </c>
      <c r="H3960" s="42"/>
      <c r="I3960" s="38"/>
      <c r="J3960" s="37">
        <v>0</v>
      </c>
    </row>
    <row r="3961" spans="1:10" ht="38.25" hidden="1" x14ac:dyDescent="0.25">
      <c r="A3961" s="179"/>
      <c r="B3961" s="177"/>
      <c r="C3961" s="43" t="s">
        <v>10622</v>
      </c>
      <c r="D3961" s="43" t="s">
        <v>10676</v>
      </c>
      <c r="E3961" s="44">
        <f>E3958*20</f>
        <v>0.26</v>
      </c>
      <c r="F3961" s="70">
        <v>2.9193680499999997</v>
      </c>
      <c r="G3961" s="70">
        <f>IF(ISNUMBER(F3961),E3961*F3961,"")</f>
        <v>0.75903569299999996</v>
      </c>
      <c r="H3961" s="71"/>
      <c r="I3961" s="72"/>
      <c r="J3961" s="37">
        <v>0</v>
      </c>
    </row>
    <row r="3962" spans="1:10" hidden="1" x14ac:dyDescent="0.25">
      <c r="A3962" s="179"/>
      <c r="B3962" s="177"/>
      <c r="C3962" s="61"/>
      <c r="D3962" s="62"/>
      <c r="E3962" s="44"/>
      <c r="F3962" s="70" t="s">
        <v>13</v>
      </c>
      <c r="G3962" s="70" t="str">
        <f>IF(ISNUMBER(F3962),E3962*F3962,"")</f>
        <v/>
      </c>
      <c r="H3962" s="71"/>
      <c r="I3962" s="72"/>
      <c r="J3962" s="37">
        <v>0</v>
      </c>
    </row>
    <row r="3963" spans="1:10" hidden="1" x14ac:dyDescent="0.25">
      <c r="A3963" s="179"/>
      <c r="B3963" s="177"/>
      <c r="C3963" s="4" t="s">
        <v>646</v>
      </c>
      <c r="D3963" s="62"/>
      <c r="E3963" s="44"/>
      <c r="F3963" s="70" t="s">
        <v>13</v>
      </c>
      <c r="G3963" s="70" t="str">
        <f>IF(ISNUMBER(F3963),E3963*F3963,"")</f>
        <v/>
      </c>
      <c r="H3963" s="71"/>
      <c r="I3963" s="72"/>
      <c r="J3963" s="37">
        <v>0</v>
      </c>
    </row>
    <row r="3964" spans="1:10" ht="15.75" hidden="1" thickBot="1" x14ac:dyDescent="0.3">
      <c r="A3964" s="180"/>
      <c r="B3964" s="178"/>
      <c r="C3964" s="92"/>
      <c r="D3964" s="63"/>
      <c r="E3964" s="50"/>
      <c r="F3964" s="83" t="s">
        <v>13</v>
      </c>
      <c r="G3964" s="83" t="str">
        <f>IF(ISNUMBER(F3964),E3964*F3964,"")</f>
        <v/>
      </c>
      <c r="H3964" s="84"/>
      <c r="I3964" s="72"/>
      <c r="J3964" s="37">
        <v>0</v>
      </c>
    </row>
    <row r="3965" spans="1:10" ht="15.75" hidden="1" thickBot="1" x14ac:dyDescent="0.3">
      <c r="A3965" s="173" t="s">
        <v>963</v>
      </c>
      <c r="B3965" s="176" t="s">
        <v>4506</v>
      </c>
      <c r="C3965" s="31"/>
      <c r="D3965" s="32" t="s">
        <v>18</v>
      </c>
      <c r="E3965" s="33"/>
      <c r="F3965" s="60" t="s">
        <v>13</v>
      </c>
      <c r="G3965" s="34" t="str">
        <f>IF(ISNUMBER(F3965),E3965*F3965,"")</f>
        <v/>
      </c>
      <c r="H3965" s="35"/>
      <c r="I3965" s="36"/>
      <c r="J3965" s="37">
        <v>0</v>
      </c>
    </row>
    <row r="3966" spans="1:10" hidden="1" x14ac:dyDescent="0.25">
      <c r="A3966" s="179"/>
      <c r="B3966" s="177"/>
      <c r="C3966" s="39"/>
      <c r="D3966" s="39"/>
      <c r="E3966" s="40"/>
      <c r="F3966" s="70" t="s">
        <v>13</v>
      </c>
      <c r="G3966" s="70" t="str">
        <f>IF(ISNUMBER(F3966),E3966*F3966,"")</f>
        <v/>
      </c>
      <c r="H3966" s="71"/>
      <c r="I3966" s="72"/>
      <c r="J3966" s="37">
        <v>0</v>
      </c>
    </row>
    <row r="3967" spans="1:10" hidden="1" x14ac:dyDescent="0.25">
      <c r="A3967" s="179"/>
      <c r="B3967" s="177"/>
      <c r="C3967" s="43" t="s">
        <v>10907</v>
      </c>
      <c r="D3967" s="43" t="s">
        <v>83</v>
      </c>
      <c r="E3967" s="44">
        <v>0.20519999999999999</v>
      </c>
      <c r="F3967" s="70">
        <v>14.715499999999999</v>
      </c>
      <c r="G3967" s="70">
        <f>IF(ISNUMBER(F3967),E3967*F3967,"")</f>
        <v>3.0196205999999997</v>
      </c>
      <c r="H3967" s="46">
        <f>SUM(G3967:G3978)</f>
        <v>713.30510409999999</v>
      </c>
      <c r="I3967" s="47"/>
      <c r="J3967" s="37">
        <v>0</v>
      </c>
    </row>
    <row r="3968" spans="1:10" ht="25.5" hidden="1" x14ac:dyDescent="0.25">
      <c r="A3968" s="179"/>
      <c r="B3968" s="177"/>
      <c r="C3968" s="43" t="s">
        <v>11088</v>
      </c>
      <c r="D3968" s="43" t="s">
        <v>83</v>
      </c>
      <c r="E3968" s="44">
        <v>2</v>
      </c>
      <c r="F3968" s="70">
        <v>15.427999999999997</v>
      </c>
      <c r="G3968" s="70">
        <f>IF(ISNUMBER(F3968),E3968*F3968,"")</f>
        <v>30.855999999999995</v>
      </c>
      <c r="H3968" s="71"/>
      <c r="I3968" s="72"/>
      <c r="J3968" s="37">
        <v>0</v>
      </c>
    </row>
    <row r="3969" spans="1:10" hidden="1" x14ac:dyDescent="0.25">
      <c r="A3969" s="179"/>
      <c r="B3969" s="177"/>
      <c r="C3969" s="43" t="s">
        <v>11089</v>
      </c>
      <c r="D3969" s="43" t="s">
        <v>83</v>
      </c>
      <c r="E3969" s="44">
        <v>4</v>
      </c>
      <c r="F3969" s="70">
        <v>11.4475</v>
      </c>
      <c r="G3969" s="70">
        <f>IF(ISNUMBER(F3969),E3969*F3969,"")</f>
        <v>45.79</v>
      </c>
      <c r="H3969" s="71"/>
      <c r="I3969" s="72"/>
      <c r="J3969" s="37">
        <v>0</v>
      </c>
    </row>
    <row r="3970" spans="1:10" hidden="1" x14ac:dyDescent="0.25">
      <c r="A3970" s="179"/>
      <c r="B3970" s="177"/>
      <c r="C3970" s="43" t="s">
        <v>11090</v>
      </c>
      <c r="D3970" s="43" t="s">
        <v>83</v>
      </c>
      <c r="E3970" s="44">
        <v>2</v>
      </c>
      <c r="F3970" s="70">
        <v>4.0754999999999999</v>
      </c>
      <c r="G3970" s="70">
        <f>IF(ISNUMBER(F3970),E3970*F3970,"")</f>
        <v>8.1509999999999998</v>
      </c>
      <c r="H3970" s="71"/>
      <c r="I3970" s="72"/>
      <c r="J3970" s="37">
        <v>0</v>
      </c>
    </row>
    <row r="3971" spans="1:10" ht="25.5" hidden="1" x14ac:dyDescent="0.25">
      <c r="A3971" s="179"/>
      <c r="B3971" s="177"/>
      <c r="C3971" s="43" t="s">
        <v>11091</v>
      </c>
      <c r="D3971" s="43" t="s">
        <v>83</v>
      </c>
      <c r="E3971" s="44">
        <v>2</v>
      </c>
      <c r="F3971" s="70">
        <v>25.089499999999997</v>
      </c>
      <c r="G3971" s="70">
        <f>IF(ISNUMBER(F3971),E3971*F3971,"")</f>
        <v>50.178999999999995</v>
      </c>
      <c r="H3971" s="71"/>
      <c r="I3971" s="72"/>
      <c r="J3971" s="37">
        <v>0</v>
      </c>
    </row>
    <row r="3972" spans="1:10" ht="25.5" hidden="1" x14ac:dyDescent="0.25">
      <c r="A3972" s="179"/>
      <c r="B3972" s="177"/>
      <c r="C3972" s="43" t="s">
        <v>11092</v>
      </c>
      <c r="D3972" s="43" t="s">
        <v>83</v>
      </c>
      <c r="E3972" s="44">
        <v>1</v>
      </c>
      <c r="F3972" s="70">
        <v>32.936500000000002</v>
      </c>
      <c r="G3972" s="70">
        <f>IF(ISNUMBER(F3972),E3972*F3972,"")</f>
        <v>32.936500000000002</v>
      </c>
      <c r="H3972" s="71"/>
      <c r="I3972" s="72"/>
      <c r="J3972" s="37">
        <v>0</v>
      </c>
    </row>
    <row r="3973" spans="1:10" hidden="1" x14ac:dyDescent="0.25">
      <c r="A3973" s="179"/>
      <c r="B3973" s="177"/>
      <c r="C3973" s="43" t="s">
        <v>10959</v>
      </c>
      <c r="D3973" s="43" t="s">
        <v>83</v>
      </c>
      <c r="E3973" s="44">
        <v>3</v>
      </c>
      <c r="F3973" s="70">
        <v>73.216499999999996</v>
      </c>
      <c r="G3973" s="70">
        <f>IF(ISNUMBER(F3973),E3973*F3973,"")</f>
        <v>219.64949999999999</v>
      </c>
      <c r="H3973" s="71"/>
      <c r="I3973" s="72"/>
      <c r="J3973" s="37">
        <v>0</v>
      </c>
    </row>
    <row r="3974" spans="1:10" hidden="1" x14ac:dyDescent="0.25">
      <c r="A3974" s="179"/>
      <c r="B3974" s="177"/>
      <c r="C3974" s="43" t="s">
        <v>11093</v>
      </c>
      <c r="D3974" s="43" t="s">
        <v>83</v>
      </c>
      <c r="E3974" s="44">
        <v>2</v>
      </c>
      <c r="F3974" s="70">
        <v>46.987000000000002</v>
      </c>
      <c r="G3974" s="70">
        <f>IF(ISNUMBER(F3974),E3974*F3974,"")</f>
        <v>93.974000000000004</v>
      </c>
      <c r="H3974" s="71"/>
      <c r="I3974" s="72"/>
      <c r="J3974" s="37">
        <v>0</v>
      </c>
    </row>
    <row r="3975" spans="1:10" ht="25.5" hidden="1" x14ac:dyDescent="0.25">
      <c r="A3975" s="179"/>
      <c r="B3975" s="177"/>
      <c r="C3975" s="43" t="s">
        <v>11094</v>
      </c>
      <c r="D3975" s="43" t="s">
        <v>1302</v>
      </c>
      <c r="E3975" s="44">
        <v>0.72729999999999995</v>
      </c>
      <c r="F3975" s="70">
        <v>33.420999999999999</v>
      </c>
      <c r="G3975" s="70">
        <f>IF(ISNUMBER(F3975),E3975*F3975,"")</f>
        <v>24.307093299999998</v>
      </c>
      <c r="H3975" s="71"/>
      <c r="I3975" s="72"/>
      <c r="J3975" s="37">
        <v>0</v>
      </c>
    </row>
    <row r="3976" spans="1:10" ht="25.5" hidden="1" x14ac:dyDescent="0.25">
      <c r="A3976" s="179"/>
      <c r="B3976" s="177"/>
      <c r="C3976" s="43" t="s">
        <v>10753</v>
      </c>
      <c r="D3976" s="43" t="s">
        <v>2800</v>
      </c>
      <c r="E3976" s="44">
        <v>1.6462000000000001</v>
      </c>
      <c r="F3976" s="70">
        <v>23.997</v>
      </c>
      <c r="G3976" s="70">
        <f>IF(ISNUMBER(F3976),E3976*F3976,"")</f>
        <v>39.503861400000005</v>
      </c>
      <c r="H3976" s="71"/>
      <c r="I3976" s="72"/>
      <c r="J3976" s="37">
        <v>0</v>
      </c>
    </row>
    <row r="3977" spans="1:10" ht="25.5" hidden="1" x14ac:dyDescent="0.25">
      <c r="A3977" s="179"/>
      <c r="B3977" s="177"/>
      <c r="C3977" s="43" t="s">
        <v>10754</v>
      </c>
      <c r="D3977" s="43" t="s">
        <v>2800</v>
      </c>
      <c r="E3977" s="44">
        <v>5.4324000000000003</v>
      </c>
      <c r="F3977" s="70">
        <v>30.361999999999998</v>
      </c>
      <c r="G3977" s="70">
        <f>IF(ISNUMBER(F3977),E3977*F3977,"")</f>
        <v>164.9385288</v>
      </c>
      <c r="H3977" s="71"/>
      <c r="I3977" s="72"/>
      <c r="J3977" s="37">
        <v>0</v>
      </c>
    </row>
    <row r="3978" spans="1:10" hidden="1" x14ac:dyDescent="0.25">
      <c r="A3978" s="179"/>
      <c r="B3978" s="177"/>
      <c r="C3978" s="43" t="s">
        <v>964</v>
      </c>
      <c r="D3978" s="62" t="s">
        <v>83</v>
      </c>
      <c r="E3978" s="44">
        <v>1</v>
      </c>
      <c r="F3978" s="70" t="s">
        <v>13</v>
      </c>
      <c r="G3978" s="70" t="str">
        <f>IF(ISNUMBER(F3978),E3978*F3978,"")</f>
        <v/>
      </c>
      <c r="H3978" s="71"/>
      <c r="I3978" s="72"/>
      <c r="J3978" s="37">
        <v>0</v>
      </c>
    </row>
    <row r="3979" spans="1:10" ht="15.75" hidden="1" thickBot="1" x14ac:dyDescent="0.3">
      <c r="A3979" s="180"/>
      <c r="B3979" s="178"/>
      <c r="C3979" s="49"/>
      <c r="D3979" s="49"/>
      <c r="E3979" s="50"/>
      <c r="F3979" s="83" t="s">
        <v>13</v>
      </c>
      <c r="G3979" s="83" t="str">
        <f>IF(ISNUMBER(F3979),E3979*F3979,"")</f>
        <v/>
      </c>
      <c r="H3979" s="84"/>
      <c r="I3979" s="72"/>
      <c r="J3979" s="37">
        <v>0</v>
      </c>
    </row>
    <row r="3980" spans="1:10" ht="15.75" hidden="1" thickBot="1" x14ac:dyDescent="0.3">
      <c r="A3980" s="173" t="s">
        <v>965</v>
      </c>
      <c r="B3980" s="176" t="s">
        <v>4507</v>
      </c>
      <c r="C3980" s="31"/>
      <c r="D3980" s="32" t="s">
        <v>18</v>
      </c>
      <c r="E3980" s="33"/>
      <c r="F3980" s="60" t="s">
        <v>13</v>
      </c>
      <c r="G3980" s="34" t="str">
        <f>IF(ISNUMBER(F3980),E3980*F3980,"")</f>
        <v/>
      </c>
      <c r="H3980" s="35"/>
      <c r="I3980" s="36"/>
      <c r="J3980" s="37">
        <v>0</v>
      </c>
    </row>
    <row r="3981" spans="1:10" hidden="1" x14ac:dyDescent="0.25">
      <c r="A3981" s="179"/>
      <c r="B3981" s="177"/>
      <c r="C3981" s="39"/>
      <c r="D3981" s="39"/>
      <c r="E3981" s="40"/>
      <c r="F3981" s="70" t="s">
        <v>13</v>
      </c>
      <c r="G3981" s="70" t="str">
        <f>IF(ISNUMBER(F3981),E3981*F3981,"")</f>
        <v/>
      </c>
      <c r="H3981" s="71"/>
      <c r="I3981" s="72"/>
      <c r="J3981" s="37">
        <v>0</v>
      </c>
    </row>
    <row r="3982" spans="1:10" hidden="1" x14ac:dyDescent="0.25">
      <c r="A3982" s="179"/>
      <c r="B3982" s="177"/>
      <c r="C3982" s="43" t="s">
        <v>10907</v>
      </c>
      <c r="D3982" s="43" t="s">
        <v>83</v>
      </c>
      <c r="E3982" s="44">
        <v>1.06E-2</v>
      </c>
      <c r="F3982" s="70">
        <v>14.715499999999999</v>
      </c>
      <c r="G3982" s="70">
        <f>IF(ISNUMBER(F3982),E3982*F3982,"")</f>
        <v>0.15598429999999999</v>
      </c>
      <c r="H3982" s="46">
        <f>SUM(G3982:G3985)</f>
        <v>6.1463461000000006</v>
      </c>
      <c r="I3982" s="47"/>
      <c r="J3982" s="37">
        <v>0</v>
      </c>
    </row>
    <row r="3983" spans="1:10" hidden="1" x14ac:dyDescent="0.25">
      <c r="A3983" s="179"/>
      <c r="B3983" s="177"/>
      <c r="C3983" s="43" t="s">
        <v>966</v>
      </c>
      <c r="D3983" s="43" t="s">
        <v>83</v>
      </c>
      <c r="E3983" s="44">
        <v>1</v>
      </c>
      <c r="F3983" s="70" t="s">
        <v>13</v>
      </c>
      <c r="G3983" s="70" t="str">
        <f>IF(ISNUMBER(F3983),E3983*F3983,"")</f>
        <v/>
      </c>
      <c r="H3983" s="71"/>
      <c r="I3983" s="72"/>
      <c r="J3983" s="37">
        <v>0</v>
      </c>
    </row>
    <row r="3984" spans="1:10" ht="25.5" hidden="1" x14ac:dyDescent="0.25">
      <c r="A3984" s="179"/>
      <c r="B3984" s="177"/>
      <c r="C3984" s="43" t="s">
        <v>10753</v>
      </c>
      <c r="D3984" s="43" t="s">
        <v>2800</v>
      </c>
      <c r="E3984" s="44">
        <v>0.11020000000000001</v>
      </c>
      <c r="F3984" s="70">
        <v>23.997</v>
      </c>
      <c r="G3984" s="70">
        <f>IF(ISNUMBER(F3984),E3984*F3984,"")</f>
        <v>2.6444694000000002</v>
      </c>
      <c r="H3984" s="71"/>
      <c r="I3984" s="72"/>
      <c r="J3984" s="37">
        <v>0</v>
      </c>
    </row>
    <row r="3985" spans="1:10" ht="25.5" hidden="1" x14ac:dyDescent="0.25">
      <c r="A3985" s="179"/>
      <c r="B3985" s="177"/>
      <c r="C3985" s="43" t="s">
        <v>10754</v>
      </c>
      <c r="D3985" s="43" t="s">
        <v>2800</v>
      </c>
      <c r="E3985" s="44">
        <v>0.11020000000000001</v>
      </c>
      <c r="F3985" s="70">
        <v>30.361999999999998</v>
      </c>
      <c r="G3985" s="70">
        <f>IF(ISNUMBER(F3985),E3985*F3985,"")</f>
        <v>3.3458923999999999</v>
      </c>
      <c r="H3985" s="71"/>
      <c r="I3985" s="72"/>
      <c r="J3985" s="37">
        <v>0</v>
      </c>
    </row>
    <row r="3986" spans="1:10" ht="15.75" hidden="1" thickBot="1" x14ac:dyDescent="0.3">
      <c r="A3986" s="180"/>
      <c r="B3986" s="178"/>
      <c r="C3986" s="49"/>
      <c r="D3986" s="49"/>
      <c r="E3986" s="50"/>
      <c r="F3986" s="83" t="s">
        <v>13</v>
      </c>
      <c r="G3986" s="83" t="str">
        <f>IF(ISNUMBER(F3986),E3986*F3986,"")</f>
        <v/>
      </c>
      <c r="H3986" s="84"/>
      <c r="I3986" s="72"/>
      <c r="J3986" s="37">
        <v>0</v>
      </c>
    </row>
    <row r="3987" spans="1:10" ht="15.75" hidden="1" thickBot="1" x14ac:dyDescent="0.3">
      <c r="A3987" s="173" t="s">
        <v>967</v>
      </c>
      <c r="B3987" s="176" t="s">
        <v>4508</v>
      </c>
      <c r="C3987" s="31"/>
      <c r="D3987" s="32" t="s">
        <v>1788</v>
      </c>
      <c r="E3987" s="33"/>
      <c r="F3987" s="60" t="s">
        <v>13</v>
      </c>
      <c r="G3987" s="34" t="str">
        <f>IF(ISNUMBER(F3987),E3987*F3987,"")</f>
        <v/>
      </c>
      <c r="H3987" s="35"/>
      <c r="I3987" s="36"/>
      <c r="J3987" s="37">
        <v>0</v>
      </c>
    </row>
    <row r="3988" spans="1:10" hidden="1" x14ac:dyDescent="0.25">
      <c r="A3988" s="179"/>
      <c r="B3988" s="177"/>
      <c r="C3988" s="39"/>
      <c r="D3988" s="39"/>
      <c r="E3988" s="40"/>
      <c r="F3988" s="70" t="s">
        <v>13</v>
      </c>
      <c r="G3988" s="70" t="str">
        <f>IF(ISNUMBER(F3988),E3988*F3988,"")</f>
        <v/>
      </c>
      <c r="H3988" s="71"/>
      <c r="I3988" s="72"/>
      <c r="J3988" s="37">
        <v>0</v>
      </c>
    </row>
    <row r="3989" spans="1:10" ht="38.25" hidden="1" x14ac:dyDescent="0.25">
      <c r="A3989" s="179"/>
      <c r="B3989" s="177"/>
      <c r="C3989" s="43" t="s">
        <v>10675</v>
      </c>
      <c r="D3989" s="43" t="s">
        <v>162</v>
      </c>
      <c r="E3989" s="44">
        <v>0.75829999999999997</v>
      </c>
      <c r="F3989" s="70">
        <v>36.755499999999998</v>
      </c>
      <c r="G3989" s="70">
        <f>IF(ISNUMBER(F3989),E3989*F3989,"")</f>
        <v>27.871695649999996</v>
      </c>
      <c r="H3989" s="46">
        <f>SUM(G3989:G4003)</f>
        <v>1670.6946504951247</v>
      </c>
      <c r="I3989" s="47"/>
      <c r="J3989" s="37">
        <v>0</v>
      </c>
    </row>
    <row r="3990" spans="1:10" ht="25.5" hidden="1" x14ac:dyDescent="0.25">
      <c r="A3990" s="179"/>
      <c r="B3990" s="177"/>
      <c r="C3990" s="43" t="s">
        <v>10775</v>
      </c>
      <c r="D3990" s="43" t="s">
        <v>70</v>
      </c>
      <c r="E3990" s="44">
        <v>3.3399999999999999E-2</v>
      </c>
      <c r="F3990" s="70">
        <v>8.5310000000000006</v>
      </c>
      <c r="G3990" s="70">
        <f>IF(ISNUMBER(F3990),E3990*F3990,"")</f>
        <v>0.28493540000000001</v>
      </c>
      <c r="H3990" s="71"/>
      <c r="I3990" s="72"/>
      <c r="J3990" s="37">
        <v>0</v>
      </c>
    </row>
    <row r="3991" spans="1:10" ht="25.5" hidden="1" x14ac:dyDescent="0.25">
      <c r="A3991" s="179"/>
      <c r="B3991" s="177"/>
      <c r="C3991" s="43" t="s">
        <v>10652</v>
      </c>
      <c r="D3991" s="43" t="s">
        <v>1302</v>
      </c>
      <c r="E3991" s="44">
        <v>2.8315999999999999</v>
      </c>
      <c r="F3991" s="70">
        <v>2.5554999999999999</v>
      </c>
      <c r="G3991" s="70">
        <f>IF(ISNUMBER(F3991),E3991*F3991,"")</f>
        <v>7.2361537999999994</v>
      </c>
      <c r="H3991" s="71"/>
      <c r="I3991" s="72"/>
      <c r="J3991" s="37">
        <v>0</v>
      </c>
    </row>
    <row r="3992" spans="1:10" hidden="1" x14ac:dyDescent="0.25">
      <c r="A3992" s="179"/>
      <c r="B3992" s="177"/>
      <c r="C3992" s="43" t="s">
        <v>10780</v>
      </c>
      <c r="D3992" s="43" t="s">
        <v>1044</v>
      </c>
      <c r="E3992" s="44">
        <v>6.0100000000000001E-2</v>
      </c>
      <c r="F3992" s="70">
        <v>20.367999999999999</v>
      </c>
      <c r="G3992" s="70">
        <f>IF(ISNUMBER(F3992),E3992*F3992,"")</f>
        <v>1.2241168</v>
      </c>
      <c r="H3992" s="71"/>
      <c r="I3992" s="72"/>
      <c r="J3992" s="37">
        <v>0</v>
      </c>
    </row>
    <row r="3993" spans="1:10" hidden="1" x14ac:dyDescent="0.25">
      <c r="A3993" s="179"/>
      <c r="B3993" s="177"/>
      <c r="C3993" s="43" t="s">
        <v>10810</v>
      </c>
      <c r="D3993" s="43" t="s">
        <v>2880</v>
      </c>
      <c r="E3993" s="44">
        <v>0.18540000000000001</v>
      </c>
      <c r="F3993" s="70">
        <v>417.92399999999998</v>
      </c>
      <c r="G3993" s="70">
        <f>IF(ISNUMBER(F3993),E3993*F3993,"")</f>
        <v>77.483109600000006</v>
      </c>
      <c r="H3993" s="71"/>
      <c r="I3993" s="72"/>
      <c r="J3993" s="37">
        <v>0</v>
      </c>
    </row>
    <row r="3994" spans="1:10" hidden="1" x14ac:dyDescent="0.25">
      <c r="A3994" s="179"/>
      <c r="B3994" s="177"/>
      <c r="C3994" s="43" t="s">
        <v>10655</v>
      </c>
      <c r="D3994" s="43" t="s">
        <v>2800</v>
      </c>
      <c r="E3994" s="44">
        <v>0.1865</v>
      </c>
      <c r="F3994" s="70">
        <v>24.358000000000001</v>
      </c>
      <c r="G3994" s="70">
        <f>IF(ISNUMBER(F3994),E3994*F3994,"")</f>
        <v>4.5427670000000004</v>
      </c>
      <c r="H3994" s="71"/>
      <c r="I3994" s="72"/>
      <c r="J3994" s="37">
        <v>0</v>
      </c>
    </row>
    <row r="3995" spans="1:10" ht="25.5" hidden="1" x14ac:dyDescent="0.25">
      <c r="A3995" s="179"/>
      <c r="B3995" s="177"/>
      <c r="C3995" s="43" t="s">
        <v>10774</v>
      </c>
      <c r="D3995" s="43" t="s">
        <v>2800</v>
      </c>
      <c r="E3995" s="44">
        <v>0.93259999999999998</v>
      </c>
      <c r="F3995" s="70">
        <v>29.383499999999998</v>
      </c>
      <c r="G3995" s="70">
        <f>IF(ISNUMBER(F3995),E3995*F3995,"")</f>
        <v>27.403052099999996</v>
      </c>
      <c r="H3995" s="71"/>
      <c r="I3995" s="72"/>
      <c r="J3995" s="37">
        <v>0</v>
      </c>
    </row>
    <row r="3996" spans="1:10" hidden="1" x14ac:dyDescent="0.25">
      <c r="A3996" s="179"/>
      <c r="B3996" s="177"/>
      <c r="C3996" s="43" t="s">
        <v>10757</v>
      </c>
      <c r="D3996" s="43" t="s">
        <v>2800</v>
      </c>
      <c r="E3996" s="44">
        <v>6.3167999999999997</v>
      </c>
      <c r="F3996" s="70">
        <v>31.055499999999995</v>
      </c>
      <c r="G3996" s="70">
        <f>IF(ISNUMBER(F3996),E3996*F3996,"")</f>
        <v>196.17138239999997</v>
      </c>
      <c r="H3996" s="71"/>
      <c r="I3996" s="72"/>
      <c r="J3996" s="37">
        <v>0</v>
      </c>
    </row>
    <row r="3997" spans="1:10" hidden="1" x14ac:dyDescent="0.25">
      <c r="A3997" s="179"/>
      <c r="B3997" s="177"/>
      <c r="C3997" s="43" t="s">
        <v>10614</v>
      </c>
      <c r="D3997" s="43" t="s">
        <v>2800</v>
      </c>
      <c r="E3997" s="44">
        <v>6.3167999999999997</v>
      </c>
      <c r="F3997" s="70">
        <v>23.693000000000001</v>
      </c>
      <c r="G3997" s="70">
        <f>IF(ISNUMBER(F3997),E3997*F3997,"")</f>
        <v>149.6639424</v>
      </c>
      <c r="H3997" s="71"/>
      <c r="I3997" s="72"/>
      <c r="J3997" s="37">
        <v>0</v>
      </c>
    </row>
    <row r="3998" spans="1:10" ht="25.5" hidden="1" x14ac:dyDescent="0.25">
      <c r="A3998" s="179"/>
      <c r="B3998" s="177"/>
      <c r="C3998" s="43" t="s">
        <v>10769</v>
      </c>
      <c r="D3998" s="43" t="s">
        <v>1050</v>
      </c>
      <c r="E3998" s="44">
        <v>0.76319999999999999</v>
      </c>
      <c r="F3998" s="70">
        <v>1.2255</v>
      </c>
      <c r="G3998" s="70">
        <f>IF(ISNUMBER(F3998),E3998*F3998,"")</f>
        <v>0.93530160000000007</v>
      </c>
      <c r="H3998" s="71"/>
      <c r="I3998" s="72"/>
      <c r="J3998" s="37">
        <v>0</v>
      </c>
    </row>
    <row r="3999" spans="1:10" ht="25.5" hidden="1" x14ac:dyDescent="0.25">
      <c r="A3999" s="179"/>
      <c r="B3999" s="177"/>
      <c r="C3999" s="43" t="s">
        <v>10770</v>
      </c>
      <c r="D3999" s="43" t="s">
        <v>10677</v>
      </c>
      <c r="E3999" s="44">
        <v>2.081</v>
      </c>
      <c r="F3999" s="70">
        <v>0.53200000000000003</v>
      </c>
      <c r="G3999" s="70">
        <f>IF(ISNUMBER(F3999),E3999*F3999,"")</f>
        <v>1.107092</v>
      </c>
      <c r="H3999" s="71"/>
      <c r="I3999" s="72"/>
      <c r="J3999" s="37">
        <v>0</v>
      </c>
    </row>
    <row r="4000" spans="1:10" ht="25.5" hidden="1" x14ac:dyDescent="0.25">
      <c r="A4000" s="179"/>
      <c r="B4000" s="177"/>
      <c r="C4000" s="43" t="s">
        <v>10656</v>
      </c>
      <c r="D4000" s="43" t="s">
        <v>1050</v>
      </c>
      <c r="E4000" s="44">
        <v>8.9399999999999993E-2</v>
      </c>
      <c r="F4000" s="70">
        <v>26.884999999999998</v>
      </c>
      <c r="G4000" s="70">
        <f>IF(ISNUMBER(F4000),E4000*F4000,"")</f>
        <v>2.4035189999999997</v>
      </c>
      <c r="H4000" s="71"/>
      <c r="I4000" s="72"/>
      <c r="J4000" s="37">
        <v>0</v>
      </c>
    </row>
    <row r="4001" spans="1:10" ht="25.5" hidden="1" x14ac:dyDescent="0.25">
      <c r="A4001" s="179"/>
      <c r="B4001" s="177"/>
      <c r="C4001" s="43" t="s">
        <v>10657</v>
      </c>
      <c r="D4001" s="43" t="s">
        <v>10677</v>
      </c>
      <c r="E4001" s="44">
        <v>9.7100000000000006E-2</v>
      </c>
      <c r="F4001" s="70">
        <v>25.906499999999998</v>
      </c>
      <c r="G4001" s="70">
        <f>IF(ISNUMBER(F4001),E4001*F4001,"")</f>
        <v>2.5155211500000001</v>
      </c>
      <c r="H4001" s="71"/>
      <c r="I4001" s="72"/>
      <c r="J4001" s="37">
        <v>0</v>
      </c>
    </row>
    <row r="4002" spans="1:10" ht="38.25" hidden="1" x14ac:dyDescent="0.25">
      <c r="A4002" s="179"/>
      <c r="B4002" s="177"/>
      <c r="C4002" s="43" t="s">
        <v>10638</v>
      </c>
      <c r="D4002" s="43" t="s">
        <v>1044</v>
      </c>
      <c r="E4002" s="44">
        <v>31.7318</v>
      </c>
      <c r="F4002" s="70">
        <v>13.282899999999998</v>
      </c>
      <c r="G4002" s="70">
        <f>IF(ISNUMBER(F4002),E4002*F4002,"")</f>
        <v>421.49032621999993</v>
      </c>
      <c r="H4002" s="71"/>
      <c r="I4002" s="72"/>
      <c r="J4002" s="37">
        <v>0</v>
      </c>
    </row>
    <row r="4003" spans="1:10" ht="38.25" hidden="1" x14ac:dyDescent="0.25">
      <c r="A4003" s="179"/>
      <c r="B4003" s="177"/>
      <c r="C4003" s="43" t="s">
        <v>10630</v>
      </c>
      <c r="D4003" s="43" t="s">
        <v>2880</v>
      </c>
      <c r="E4003" s="44">
        <v>1.103</v>
      </c>
      <c r="F4003" s="70">
        <v>680.29169118325012</v>
      </c>
      <c r="G4003" s="70">
        <f>IF(ISNUMBER(F4003),E4003*F4003,"")</f>
        <v>750.36173537512491</v>
      </c>
      <c r="H4003" s="71"/>
      <c r="I4003" s="72"/>
      <c r="J4003" s="37">
        <v>0</v>
      </c>
    </row>
    <row r="4004" spans="1:10" ht="15.75" hidden="1" thickBot="1" x14ac:dyDescent="0.3">
      <c r="A4004" s="180"/>
      <c r="B4004" s="178"/>
      <c r="C4004" s="49"/>
      <c r="D4004" s="49"/>
      <c r="E4004" s="50"/>
      <c r="F4004" s="83" t="s">
        <v>13</v>
      </c>
      <c r="G4004" s="83" t="str">
        <f>IF(ISNUMBER(F4004),E4004*F4004,"")</f>
        <v/>
      </c>
      <c r="H4004" s="84"/>
      <c r="I4004" s="72"/>
      <c r="J4004" s="37">
        <v>0</v>
      </c>
    </row>
    <row r="4005" spans="1:10" ht="15.75" hidden="1" thickBot="1" x14ac:dyDescent="0.3">
      <c r="A4005" s="173" t="s">
        <v>968</v>
      </c>
      <c r="B4005" s="176" t="s">
        <v>4509</v>
      </c>
      <c r="C4005" s="31"/>
      <c r="D4005" s="32" t="s">
        <v>106</v>
      </c>
      <c r="E4005" s="33"/>
      <c r="F4005" s="60" t="s">
        <v>13</v>
      </c>
      <c r="G4005" s="34" t="str">
        <f>IF(ISNUMBER(F4005),E4005*F4005,"")</f>
        <v/>
      </c>
      <c r="H4005" s="35"/>
      <c r="I4005" s="36"/>
      <c r="J4005" s="37">
        <v>0</v>
      </c>
    </row>
    <row r="4006" spans="1:10" hidden="1" x14ac:dyDescent="0.25">
      <c r="A4006" s="179"/>
      <c r="B4006" s="177"/>
      <c r="C4006" s="39"/>
      <c r="D4006" s="39"/>
      <c r="E4006" s="40"/>
      <c r="F4006" s="70" t="s">
        <v>13</v>
      </c>
      <c r="G4006" s="70" t="str">
        <f>IF(ISNUMBER(F4006),E4006*F4006,"")</f>
        <v/>
      </c>
      <c r="H4006" s="71"/>
      <c r="I4006" s="72"/>
      <c r="J4006" s="37">
        <v>0</v>
      </c>
    </row>
    <row r="4007" spans="1:10" ht="38.25" hidden="1" x14ac:dyDescent="0.25">
      <c r="A4007" s="179"/>
      <c r="B4007" s="177"/>
      <c r="C4007" s="43" t="s">
        <v>11095</v>
      </c>
      <c r="D4007" s="43" t="s">
        <v>1302</v>
      </c>
      <c r="E4007" s="44">
        <v>1.1000000000000001</v>
      </c>
      <c r="F4007" s="70">
        <v>8.3125</v>
      </c>
      <c r="G4007" s="70">
        <f>IF(ISNUMBER(F4007),E4007*F4007,"")</f>
        <v>9.1437500000000007</v>
      </c>
      <c r="H4007" s="46">
        <f>SUM(G4007:G4009)</f>
        <v>17.663145750000002</v>
      </c>
      <c r="I4007" s="47"/>
      <c r="J4007" s="37">
        <v>0</v>
      </c>
    </row>
    <row r="4008" spans="1:10" hidden="1" x14ac:dyDescent="0.25">
      <c r="A4008" s="179"/>
      <c r="B4008" s="177"/>
      <c r="C4008" s="43" t="s">
        <v>10762</v>
      </c>
      <c r="D4008" s="43" t="s">
        <v>2800</v>
      </c>
      <c r="E4008" s="44">
        <v>0.15110000000000001</v>
      </c>
      <c r="F4008" s="70">
        <v>24.946999999999999</v>
      </c>
      <c r="G4008" s="70">
        <f>IF(ISNUMBER(F4008),E4008*F4008,"")</f>
        <v>3.7694917000000001</v>
      </c>
      <c r="H4008" s="71"/>
      <c r="I4008" s="72"/>
      <c r="J4008" s="37">
        <v>0</v>
      </c>
    </row>
    <row r="4009" spans="1:10" hidden="1" x14ac:dyDescent="0.25">
      <c r="A4009" s="179"/>
      <c r="B4009" s="177"/>
      <c r="C4009" s="43" t="s">
        <v>10763</v>
      </c>
      <c r="D4009" s="43" t="s">
        <v>2800</v>
      </c>
      <c r="E4009" s="44">
        <v>0.15110000000000001</v>
      </c>
      <c r="F4009" s="70">
        <v>31.435500000000001</v>
      </c>
      <c r="G4009" s="70">
        <f>IF(ISNUMBER(F4009),E4009*F4009,"")</f>
        <v>4.7499040500000005</v>
      </c>
      <c r="H4009" s="71"/>
      <c r="I4009" s="72"/>
      <c r="J4009" s="37">
        <v>0</v>
      </c>
    </row>
    <row r="4010" spans="1:10" ht="15.75" hidden="1" thickBot="1" x14ac:dyDescent="0.3">
      <c r="A4010" s="180"/>
      <c r="B4010" s="178"/>
      <c r="C4010" s="49"/>
      <c r="D4010" s="49"/>
      <c r="E4010" s="50"/>
      <c r="F4010" s="83" t="s">
        <v>13</v>
      </c>
      <c r="G4010" s="83" t="str">
        <f>IF(ISNUMBER(F4010),E4010*F4010,"")</f>
        <v/>
      </c>
      <c r="H4010" s="84"/>
      <c r="I4010" s="72"/>
      <c r="J4010" s="37">
        <v>0</v>
      </c>
    </row>
    <row r="4011" spans="1:10" ht="15.75" hidden="1" thickBot="1" x14ac:dyDescent="0.3">
      <c r="A4011" s="173" t="s">
        <v>969</v>
      </c>
      <c r="B4011" s="176" t="s">
        <v>4512</v>
      </c>
      <c r="C4011" s="31"/>
      <c r="D4011" s="32" t="s">
        <v>106</v>
      </c>
      <c r="E4011" s="33"/>
      <c r="F4011" s="60" t="s">
        <v>13</v>
      </c>
      <c r="G4011" s="34" t="str">
        <f>IF(ISNUMBER(F4011),E4011*F4011,"")</f>
        <v/>
      </c>
      <c r="H4011" s="35"/>
      <c r="I4011" s="36"/>
      <c r="J4011" s="37">
        <v>0</v>
      </c>
    </row>
    <row r="4012" spans="1:10" hidden="1" x14ac:dyDescent="0.25">
      <c r="A4012" s="179"/>
      <c r="B4012" s="177"/>
      <c r="C4012" s="39"/>
      <c r="D4012" s="39"/>
      <c r="E4012" s="40"/>
      <c r="F4012" s="70" t="s">
        <v>13</v>
      </c>
      <c r="G4012" s="70" t="str">
        <f>IF(ISNUMBER(F4012),E4012*F4012,"")</f>
        <v/>
      </c>
      <c r="H4012" s="71"/>
      <c r="I4012" s="72"/>
      <c r="J4012" s="37">
        <v>0</v>
      </c>
    </row>
    <row r="4013" spans="1:10" hidden="1" x14ac:dyDescent="0.25">
      <c r="A4013" s="179"/>
      <c r="B4013" s="177"/>
      <c r="C4013" s="43" t="s">
        <v>970</v>
      </c>
      <c r="D4013" s="43" t="s">
        <v>106</v>
      </c>
      <c r="E4013" s="44">
        <v>1.05</v>
      </c>
      <c r="F4013" s="70" t="s">
        <v>13</v>
      </c>
      <c r="G4013" s="70" t="str">
        <f>IF(ISNUMBER(F4013),E4013*F4013,"")</f>
        <v/>
      </c>
      <c r="H4013" s="46">
        <f>SUM(G4013:G4015)</f>
        <v>56.3825</v>
      </c>
      <c r="I4013" s="47"/>
      <c r="J4013" s="37">
        <v>0</v>
      </c>
    </row>
    <row r="4014" spans="1:10" hidden="1" x14ac:dyDescent="0.25">
      <c r="A4014" s="179"/>
      <c r="B4014" s="177"/>
      <c r="C4014" s="43" t="s">
        <v>10763</v>
      </c>
      <c r="D4014" s="43" t="s">
        <v>2800</v>
      </c>
      <c r="E4014" s="44">
        <v>1</v>
      </c>
      <c r="F4014" s="38">
        <v>31.435500000000001</v>
      </c>
      <c r="G4014" s="41">
        <f>IF(ISNUMBER(F4014),E4014*F4014,"")</f>
        <v>31.435500000000001</v>
      </c>
      <c r="H4014" s="71"/>
      <c r="I4014" s="72"/>
      <c r="J4014" s="37">
        <v>0</v>
      </c>
    </row>
    <row r="4015" spans="1:10" hidden="1" x14ac:dyDescent="0.25">
      <c r="A4015" s="179"/>
      <c r="B4015" s="177"/>
      <c r="C4015" s="43" t="s">
        <v>10762</v>
      </c>
      <c r="D4015" s="43" t="s">
        <v>2800</v>
      </c>
      <c r="E4015" s="44">
        <v>1</v>
      </c>
      <c r="F4015" s="38">
        <v>24.946999999999999</v>
      </c>
      <c r="G4015" s="41">
        <f>IF(ISNUMBER(F4015),E4015*F4015,"")</f>
        <v>24.946999999999999</v>
      </c>
      <c r="H4015" s="71"/>
      <c r="I4015" s="72"/>
      <c r="J4015" s="37">
        <v>0</v>
      </c>
    </row>
    <row r="4016" spans="1:10" ht="15.75" hidden="1" thickBot="1" x14ac:dyDescent="0.3">
      <c r="A4016" s="180"/>
      <c r="B4016" s="178"/>
      <c r="C4016" s="49"/>
      <c r="D4016" s="49"/>
      <c r="E4016" s="50"/>
      <c r="F4016" s="83" t="s">
        <v>13</v>
      </c>
      <c r="G4016" s="83" t="str">
        <f>IF(ISNUMBER(F4016),E4016*F4016,"")</f>
        <v/>
      </c>
      <c r="H4016" s="84"/>
      <c r="I4016" s="72"/>
      <c r="J4016" s="37">
        <v>0</v>
      </c>
    </row>
    <row r="4017" spans="1:10" ht="15.75" hidden="1" thickBot="1" x14ac:dyDescent="0.3">
      <c r="A4017" s="173" t="s">
        <v>971</v>
      </c>
      <c r="B4017" s="176" t="s">
        <v>4513</v>
      </c>
      <c r="C4017" s="31"/>
      <c r="D4017" s="32" t="s">
        <v>106</v>
      </c>
      <c r="E4017" s="33"/>
      <c r="F4017" s="60" t="s">
        <v>13</v>
      </c>
      <c r="G4017" s="34" t="str">
        <f>IF(ISNUMBER(F4017),E4017*F4017,"")</f>
        <v/>
      </c>
      <c r="H4017" s="35"/>
      <c r="I4017" s="36"/>
      <c r="J4017" s="37">
        <v>0</v>
      </c>
    </row>
    <row r="4018" spans="1:10" hidden="1" x14ac:dyDescent="0.25">
      <c r="A4018" s="179"/>
      <c r="B4018" s="177"/>
      <c r="C4018" s="39"/>
      <c r="D4018" s="39"/>
      <c r="E4018" s="40"/>
      <c r="F4018" s="70" t="s">
        <v>13</v>
      </c>
      <c r="G4018" s="70" t="str">
        <f>IF(ISNUMBER(F4018),E4018*F4018,"")</f>
        <v/>
      </c>
      <c r="H4018" s="71"/>
      <c r="I4018" s="72"/>
      <c r="J4018" s="37">
        <v>0</v>
      </c>
    </row>
    <row r="4019" spans="1:10" ht="25.5" hidden="1" x14ac:dyDescent="0.25">
      <c r="A4019" s="179"/>
      <c r="B4019" s="177"/>
      <c r="C4019" s="43" t="s">
        <v>972</v>
      </c>
      <c r="D4019" s="43" t="s">
        <v>106</v>
      </c>
      <c r="E4019" s="44">
        <v>1</v>
      </c>
      <c r="F4019" s="70" t="s">
        <v>13</v>
      </c>
      <c r="G4019" s="70" t="str">
        <f>IF(ISNUMBER(F4019),E4019*F4019,"")</f>
        <v/>
      </c>
      <c r="H4019" s="46">
        <f>SUM(G4019:G4021)</f>
        <v>36.681494999999998</v>
      </c>
      <c r="I4019" s="47"/>
      <c r="J4019" s="37">
        <v>0</v>
      </c>
    </row>
    <row r="4020" spans="1:10" hidden="1" x14ac:dyDescent="0.25">
      <c r="A4020" s="179"/>
      <c r="B4020" s="177"/>
      <c r="C4020" s="43" t="s">
        <v>10757</v>
      </c>
      <c r="D4020" s="43" t="s">
        <v>2800</v>
      </c>
      <c r="E4020" s="44">
        <v>0.67</v>
      </c>
      <c r="F4020" s="70">
        <v>31.055499999999995</v>
      </c>
      <c r="G4020" s="70">
        <f>IF(ISNUMBER(F4020),E4020*F4020,"")</f>
        <v>20.807184999999997</v>
      </c>
      <c r="H4020" s="71"/>
      <c r="I4020" s="72"/>
      <c r="J4020" s="37">
        <v>0</v>
      </c>
    </row>
    <row r="4021" spans="1:10" hidden="1" x14ac:dyDescent="0.25">
      <c r="A4021" s="179"/>
      <c r="B4021" s="177"/>
      <c r="C4021" s="43" t="s">
        <v>10614</v>
      </c>
      <c r="D4021" s="43" t="s">
        <v>2800</v>
      </c>
      <c r="E4021" s="44">
        <v>0.67</v>
      </c>
      <c r="F4021" s="70">
        <v>23.693000000000001</v>
      </c>
      <c r="G4021" s="70">
        <f>IF(ISNUMBER(F4021),E4021*F4021,"")</f>
        <v>15.874310000000001</v>
      </c>
      <c r="H4021" s="71"/>
      <c r="I4021" s="72"/>
      <c r="J4021" s="37">
        <v>0</v>
      </c>
    </row>
    <row r="4022" spans="1:10" ht="15.75" hidden="1" thickBot="1" x14ac:dyDescent="0.3">
      <c r="A4022" s="180"/>
      <c r="B4022" s="178"/>
      <c r="C4022" s="49"/>
      <c r="D4022" s="49"/>
      <c r="E4022" s="50"/>
      <c r="F4022" s="83" t="s">
        <v>13</v>
      </c>
      <c r="G4022" s="83" t="str">
        <f>IF(ISNUMBER(F4022),E4022*F4022,"")</f>
        <v/>
      </c>
      <c r="H4022" s="84"/>
      <c r="I4022" s="72"/>
      <c r="J4022" s="37">
        <v>0</v>
      </c>
    </row>
    <row r="4023" spans="1:10" ht="15.75" hidden="1" thickBot="1" x14ac:dyDescent="0.3">
      <c r="A4023" s="173" t="s">
        <v>973</v>
      </c>
      <c r="B4023" s="176" t="s">
        <v>4514</v>
      </c>
      <c r="C4023" s="31"/>
      <c r="D4023" s="32" t="s">
        <v>68</v>
      </c>
      <c r="E4023" s="33"/>
      <c r="F4023" s="60" t="s">
        <v>13</v>
      </c>
      <c r="G4023" s="34" t="str">
        <f>IF(ISNUMBER(F4023),E4023*F4023,"")</f>
        <v/>
      </c>
      <c r="H4023" s="35"/>
      <c r="I4023" s="36"/>
      <c r="J4023" s="37">
        <v>0</v>
      </c>
    </row>
    <row r="4024" spans="1:10" hidden="1" x14ac:dyDescent="0.25">
      <c r="A4024" s="179"/>
      <c r="B4024" s="177"/>
      <c r="C4024" s="39"/>
      <c r="D4024" s="39"/>
      <c r="E4024" s="40"/>
      <c r="F4024" s="70" t="s">
        <v>13</v>
      </c>
      <c r="G4024" s="70" t="str">
        <f>IF(ISNUMBER(F4024),E4024*F4024,"")</f>
        <v/>
      </c>
      <c r="H4024" s="71"/>
      <c r="I4024" s="72"/>
      <c r="J4024" s="37">
        <v>0</v>
      </c>
    </row>
    <row r="4025" spans="1:10" ht="25.5" hidden="1" x14ac:dyDescent="0.25">
      <c r="A4025" s="179"/>
      <c r="B4025" s="177"/>
      <c r="C4025" s="43" t="s">
        <v>974</v>
      </c>
      <c r="D4025" s="43" t="s">
        <v>106</v>
      </c>
      <c r="E4025" s="44">
        <f>ROUND(1/0.15,4)</f>
        <v>6.6666999999999996</v>
      </c>
      <c r="F4025" s="70" t="s">
        <v>13</v>
      </c>
      <c r="G4025" s="70" t="str">
        <f>IF(ISNUMBER(F4025),E4025*F4025,"")</f>
        <v/>
      </c>
      <c r="H4025" s="46">
        <f>SUM(G4025:G4028)</f>
        <v>171.12959710000001</v>
      </c>
      <c r="I4025" s="47"/>
      <c r="J4025" s="37">
        <v>0</v>
      </c>
    </row>
    <row r="4026" spans="1:10" hidden="1" x14ac:dyDescent="0.25">
      <c r="A4026" s="179"/>
      <c r="B4026" s="177"/>
      <c r="C4026" s="43" t="s">
        <v>10872</v>
      </c>
      <c r="D4026" s="43" t="s">
        <v>1044</v>
      </c>
      <c r="E4026" s="44">
        <f>1.29/0.15</f>
        <v>8.6000000000000014</v>
      </c>
      <c r="F4026" s="70">
        <v>1.7765</v>
      </c>
      <c r="G4026" s="70">
        <f>IF(ISNUMBER(F4026),E4026*F4026,"")</f>
        <v>15.277900000000002</v>
      </c>
      <c r="H4026" s="71"/>
      <c r="I4026" s="72"/>
      <c r="J4026" s="37">
        <v>0</v>
      </c>
    </row>
    <row r="4027" spans="1:10" hidden="1" x14ac:dyDescent="0.25">
      <c r="A4027" s="179"/>
      <c r="B4027" s="177"/>
      <c r="C4027" s="43" t="s">
        <v>10830</v>
      </c>
      <c r="D4027" s="43" t="s">
        <v>2800</v>
      </c>
      <c r="E4027" s="44">
        <f>ROUND(0.547/0.15,4)</f>
        <v>3.6467000000000001</v>
      </c>
      <c r="F4027" s="70">
        <v>30.912999999999997</v>
      </c>
      <c r="G4027" s="70">
        <f>IF(ISNUMBER(F4027),E4027*F4027,"")</f>
        <v>112.73043709999999</v>
      </c>
      <c r="H4027" s="71"/>
      <c r="I4027" s="72"/>
      <c r="J4027" s="37">
        <v>0</v>
      </c>
    </row>
    <row r="4028" spans="1:10" hidden="1" x14ac:dyDescent="0.25">
      <c r="A4028" s="179"/>
      <c r="B4028" s="177"/>
      <c r="C4028" s="43" t="s">
        <v>10614</v>
      </c>
      <c r="D4028" s="43" t="s">
        <v>2800</v>
      </c>
      <c r="E4028" s="44">
        <f>0.273/0.15</f>
        <v>1.8200000000000003</v>
      </c>
      <c r="F4028" s="70">
        <v>23.693000000000001</v>
      </c>
      <c r="G4028" s="70">
        <f>IF(ISNUMBER(F4028),E4028*F4028,"")</f>
        <v>43.121260000000007</v>
      </c>
      <c r="H4028" s="71"/>
      <c r="I4028" s="72"/>
      <c r="J4028" s="37">
        <v>0</v>
      </c>
    </row>
    <row r="4029" spans="1:10" ht="15.75" hidden="1" thickBot="1" x14ac:dyDescent="0.3">
      <c r="A4029" s="180"/>
      <c r="B4029" s="178"/>
      <c r="C4029" s="49"/>
      <c r="D4029" s="49"/>
      <c r="E4029" s="50"/>
      <c r="F4029" s="83" t="s">
        <v>13</v>
      </c>
      <c r="G4029" s="83" t="str">
        <f>IF(ISNUMBER(F4029),E4029*F4029,"")</f>
        <v/>
      </c>
      <c r="H4029" s="84"/>
      <c r="I4029" s="72"/>
      <c r="J4029" s="37">
        <v>0</v>
      </c>
    </row>
    <row r="4030" spans="1:10" ht="15.75" hidden="1" thickBot="1" x14ac:dyDescent="0.3">
      <c r="A4030" s="173" t="s">
        <v>975</v>
      </c>
      <c r="B4030" s="176" t="s">
        <v>4515</v>
      </c>
      <c r="C4030" s="31"/>
      <c r="D4030" s="32" t="s">
        <v>18</v>
      </c>
      <c r="E4030" s="33"/>
      <c r="F4030" s="60" t="s">
        <v>13</v>
      </c>
      <c r="G4030" s="34" t="str">
        <f>IF(ISNUMBER(F4030),E4030*F4030,"")</f>
        <v/>
      </c>
      <c r="H4030" s="35"/>
      <c r="I4030" s="36"/>
      <c r="J4030" s="37">
        <v>0</v>
      </c>
    </row>
    <row r="4031" spans="1:10" hidden="1" x14ac:dyDescent="0.25">
      <c r="A4031" s="179"/>
      <c r="B4031" s="177"/>
      <c r="C4031" s="39"/>
      <c r="D4031" s="39"/>
      <c r="E4031" s="40"/>
      <c r="F4031" s="70" t="s">
        <v>13</v>
      </c>
      <c r="G4031" s="70" t="str">
        <f>IF(ISNUMBER(F4031),E4031*F4031,"")</f>
        <v/>
      </c>
      <c r="H4031" s="71"/>
      <c r="I4031" s="72"/>
      <c r="J4031" s="37">
        <v>0</v>
      </c>
    </row>
    <row r="4032" spans="1:10" ht="38.25" hidden="1" x14ac:dyDescent="0.25">
      <c r="A4032" s="179"/>
      <c r="B4032" s="177"/>
      <c r="C4032" s="43" t="s">
        <v>976</v>
      </c>
      <c r="D4032" s="43" t="s">
        <v>87</v>
      </c>
      <c r="E4032" s="44">
        <v>1</v>
      </c>
      <c r="F4032" s="70" t="s">
        <v>13</v>
      </c>
      <c r="G4032" s="70" t="str">
        <f>IF(ISNUMBER(F4032),E4032*F4032,"")</f>
        <v/>
      </c>
      <c r="H4032" s="46">
        <f>SUM(G4032:G4037)</f>
        <v>18.211233287500001</v>
      </c>
      <c r="I4032" s="47"/>
      <c r="J4032" s="37">
        <v>0</v>
      </c>
    </row>
    <row r="4033" spans="1:10" ht="25.5" hidden="1" x14ac:dyDescent="0.25">
      <c r="A4033" s="179"/>
      <c r="B4033" s="177"/>
      <c r="C4033" s="43" t="s">
        <v>410</v>
      </c>
      <c r="D4033" s="43" t="s">
        <v>106</v>
      </c>
      <c r="E4033" s="44">
        <v>1.5</v>
      </c>
      <c r="F4033" s="70" t="s">
        <v>13</v>
      </c>
      <c r="G4033" s="70" t="str">
        <f>IF(ISNUMBER(F4033),E4033*F4033,"")</f>
        <v/>
      </c>
      <c r="H4033" s="71"/>
      <c r="I4033" s="72"/>
      <c r="J4033" s="37">
        <v>0</v>
      </c>
    </row>
    <row r="4034" spans="1:10" hidden="1" x14ac:dyDescent="0.25">
      <c r="A4034" s="179"/>
      <c r="B4034" s="177"/>
      <c r="C4034" s="43" t="s">
        <v>411</v>
      </c>
      <c r="D4034" s="43" t="s">
        <v>87</v>
      </c>
      <c r="E4034" s="44">
        <v>1</v>
      </c>
      <c r="F4034" s="70" t="s">
        <v>13</v>
      </c>
      <c r="G4034" s="70" t="str">
        <f>IF(ISNUMBER(F4034),E4034*F4034,"")</f>
        <v/>
      </c>
      <c r="H4034" s="71"/>
      <c r="I4034" s="72"/>
      <c r="J4034" s="37">
        <v>0</v>
      </c>
    </row>
    <row r="4035" spans="1:10" hidden="1" x14ac:dyDescent="0.25">
      <c r="A4035" s="179"/>
      <c r="B4035" s="177"/>
      <c r="C4035" s="43" t="s">
        <v>412</v>
      </c>
      <c r="D4035" s="43" t="s">
        <v>87</v>
      </c>
      <c r="E4035" s="44">
        <v>1</v>
      </c>
      <c r="F4035" s="70" t="s">
        <v>13</v>
      </c>
      <c r="G4035" s="70" t="str">
        <f>IF(ISNUMBER(F4035),E4035*F4035,"")</f>
        <v/>
      </c>
      <c r="H4035" s="71"/>
      <c r="I4035" s="72"/>
      <c r="J4035" s="37">
        <v>0</v>
      </c>
    </row>
    <row r="4036" spans="1:10" hidden="1" x14ac:dyDescent="0.25">
      <c r="A4036" s="179"/>
      <c r="B4036" s="177"/>
      <c r="C4036" s="43" t="s">
        <v>10762</v>
      </c>
      <c r="D4036" s="43" t="s">
        <v>2800</v>
      </c>
      <c r="E4036" s="44">
        <v>0.14506250000000001</v>
      </c>
      <c r="F4036" s="70">
        <v>24.946999999999999</v>
      </c>
      <c r="G4036" s="70">
        <f>IF(ISNUMBER(F4036),E4036*F4036,"")</f>
        <v>3.6188741875000003</v>
      </c>
      <c r="H4036" s="71"/>
      <c r="I4036" s="72"/>
      <c r="J4036" s="37">
        <v>0</v>
      </c>
    </row>
    <row r="4037" spans="1:10" hidden="1" x14ac:dyDescent="0.25">
      <c r="A4037" s="179"/>
      <c r="B4037" s="177"/>
      <c r="C4037" s="43" t="s">
        <v>10763</v>
      </c>
      <c r="D4037" s="43" t="s">
        <v>2800</v>
      </c>
      <c r="E4037" s="44">
        <v>0.4642</v>
      </c>
      <c r="F4037" s="70">
        <v>31.435500000000001</v>
      </c>
      <c r="G4037" s="70">
        <f>IF(ISNUMBER(F4037),E4037*F4037,"")</f>
        <v>14.592359100000001</v>
      </c>
      <c r="H4037" s="71"/>
      <c r="I4037" s="72"/>
      <c r="J4037" s="37">
        <v>0</v>
      </c>
    </row>
    <row r="4038" spans="1:10" ht="15.75" hidden="1" thickBot="1" x14ac:dyDescent="0.3">
      <c r="A4038" s="180"/>
      <c r="B4038" s="178"/>
      <c r="C4038" s="49"/>
      <c r="D4038" s="63"/>
      <c r="E4038" s="50"/>
      <c r="F4038" s="83" t="s">
        <v>13</v>
      </c>
      <c r="G4038" s="83" t="str">
        <f>IF(ISNUMBER(F4038),E4038*F4038,"")</f>
        <v/>
      </c>
      <c r="H4038" s="84"/>
      <c r="I4038" s="72"/>
      <c r="J4038" s="37">
        <v>0</v>
      </c>
    </row>
    <row r="4039" spans="1:10" ht="15.75" hidden="1" thickBot="1" x14ac:dyDescent="0.3">
      <c r="A4039" s="173" t="s">
        <v>977</v>
      </c>
      <c r="B4039" s="176" t="s">
        <v>4516</v>
      </c>
      <c r="C4039" s="31"/>
      <c r="D4039" s="32" t="s">
        <v>106</v>
      </c>
      <c r="E4039" s="33"/>
      <c r="F4039" s="60" t="s">
        <v>13</v>
      </c>
      <c r="G4039" s="34" t="str">
        <f>IF(ISNUMBER(F4039),E4039*F4039,"")</f>
        <v/>
      </c>
      <c r="H4039" s="35"/>
      <c r="I4039" s="36"/>
      <c r="J4039" s="37">
        <v>0</v>
      </c>
    </row>
    <row r="4040" spans="1:10" hidden="1" x14ac:dyDescent="0.25">
      <c r="A4040" s="179"/>
      <c r="B4040" s="177"/>
      <c r="C4040" s="39"/>
      <c r="D4040" s="39"/>
      <c r="E4040" s="40"/>
      <c r="F4040" s="70" t="s">
        <v>13</v>
      </c>
      <c r="G4040" s="70" t="str">
        <f>IF(ISNUMBER(F4040),E4040*F4040,"")</f>
        <v/>
      </c>
      <c r="H4040" s="71"/>
      <c r="I4040" s="72"/>
      <c r="J4040" s="37">
        <v>0</v>
      </c>
    </row>
    <row r="4041" spans="1:10" hidden="1" x14ac:dyDescent="0.25">
      <c r="A4041" s="179"/>
      <c r="B4041" s="177"/>
      <c r="C4041" s="43" t="s">
        <v>10648</v>
      </c>
      <c r="D4041" s="43" t="s">
        <v>1044</v>
      </c>
      <c r="E4041" s="44">
        <v>0.24</v>
      </c>
      <c r="F4041" s="70">
        <v>0.64600000000000002</v>
      </c>
      <c r="G4041" s="70">
        <f>IF(ISNUMBER(F4041),E4041*F4041,"")</f>
        <v>0.15504000000000001</v>
      </c>
      <c r="H4041" s="46">
        <f>SUM(G4041:G4045)</f>
        <v>156.06381500000003</v>
      </c>
      <c r="I4041" s="47"/>
      <c r="J4041" s="37">
        <v>0</v>
      </c>
    </row>
    <row r="4042" spans="1:10" hidden="1" x14ac:dyDescent="0.25">
      <c r="A4042" s="179"/>
      <c r="B4042" s="177"/>
      <c r="C4042" s="43" t="s">
        <v>10872</v>
      </c>
      <c r="D4042" s="43" t="s">
        <v>1044</v>
      </c>
      <c r="E4042" s="44">
        <v>1.2150000000000001</v>
      </c>
      <c r="F4042" s="70">
        <v>1.7765</v>
      </c>
      <c r="G4042" s="70">
        <f>IF(ISNUMBER(F4042),E4042*F4042,"")</f>
        <v>2.1584475000000003</v>
      </c>
      <c r="H4042" s="71"/>
      <c r="I4042" s="72"/>
      <c r="J4042" s="37">
        <v>0</v>
      </c>
    </row>
    <row r="4043" spans="1:10" ht="25.5" hidden="1" x14ac:dyDescent="0.25">
      <c r="A4043" s="179"/>
      <c r="B4043" s="177"/>
      <c r="C4043" s="43" t="s">
        <v>11096</v>
      </c>
      <c r="D4043" s="43" t="s">
        <v>162</v>
      </c>
      <c r="E4043" s="44">
        <v>0.25</v>
      </c>
      <c r="F4043" s="70">
        <v>540.05600000000004</v>
      </c>
      <c r="G4043" s="70">
        <f>IF(ISNUMBER(F4043),E4043*F4043,"")</f>
        <v>135.01400000000001</v>
      </c>
      <c r="H4043" s="71"/>
      <c r="I4043" s="72"/>
      <c r="J4043" s="37">
        <v>0</v>
      </c>
    </row>
    <row r="4044" spans="1:10" hidden="1" x14ac:dyDescent="0.25">
      <c r="A4044" s="179"/>
      <c r="B4044" s="177"/>
      <c r="C4044" s="43" t="s">
        <v>10757</v>
      </c>
      <c r="D4044" s="43" t="s">
        <v>2800</v>
      </c>
      <c r="E4044" s="44">
        <v>0.437</v>
      </c>
      <c r="F4044" s="70">
        <v>31.055499999999995</v>
      </c>
      <c r="G4044" s="70">
        <f>IF(ISNUMBER(F4044),E4044*F4044,"")</f>
        <v>13.571253499999997</v>
      </c>
      <c r="H4044" s="71"/>
      <c r="I4044" s="72"/>
      <c r="J4044" s="37">
        <v>0</v>
      </c>
    </row>
    <row r="4045" spans="1:10" hidden="1" x14ac:dyDescent="0.25">
      <c r="A4045" s="179"/>
      <c r="B4045" s="177"/>
      <c r="C4045" s="43" t="s">
        <v>10614</v>
      </c>
      <c r="D4045" s="43" t="s">
        <v>2800</v>
      </c>
      <c r="E4045" s="44">
        <v>0.218</v>
      </c>
      <c r="F4045" s="70">
        <v>23.693000000000001</v>
      </c>
      <c r="G4045" s="70">
        <f>IF(ISNUMBER(F4045),E4045*F4045,"")</f>
        <v>5.1650740000000006</v>
      </c>
      <c r="H4045" s="71"/>
      <c r="I4045" s="72"/>
      <c r="J4045" s="37">
        <v>0</v>
      </c>
    </row>
    <row r="4046" spans="1:10" ht="15.75" hidden="1" thickBot="1" x14ac:dyDescent="0.3">
      <c r="A4046" s="180"/>
      <c r="B4046" s="178"/>
      <c r="C4046" s="49"/>
      <c r="D4046" s="49"/>
      <c r="E4046" s="50"/>
      <c r="F4046" s="83" t="s">
        <v>13</v>
      </c>
      <c r="G4046" s="83" t="str">
        <f>IF(ISNUMBER(F4046),E4046*F4046,"")</f>
        <v/>
      </c>
      <c r="H4046" s="84"/>
      <c r="I4046" s="72"/>
      <c r="J4046" s="37">
        <v>0</v>
      </c>
    </row>
    <row r="4047" spans="1:10" ht="15.75" hidden="1" thickBot="1" x14ac:dyDescent="0.3">
      <c r="A4047" s="173" t="s">
        <v>978</v>
      </c>
      <c r="B4047" s="176" t="s">
        <v>4517</v>
      </c>
      <c r="C4047" s="31"/>
      <c r="D4047" s="32" t="s">
        <v>68</v>
      </c>
      <c r="E4047" s="33"/>
      <c r="F4047" s="60" t="s">
        <v>13</v>
      </c>
      <c r="G4047" s="34" t="str">
        <f>IF(ISNUMBER(F4047),E4047*F4047,"")</f>
        <v/>
      </c>
      <c r="H4047" s="35"/>
      <c r="I4047" s="36"/>
      <c r="J4047" s="37">
        <v>0</v>
      </c>
    </row>
    <row r="4048" spans="1:10" hidden="1" x14ac:dyDescent="0.25">
      <c r="A4048" s="179"/>
      <c r="B4048" s="177"/>
      <c r="C4048" s="39"/>
      <c r="D4048" s="39"/>
      <c r="E4048" s="40"/>
      <c r="F4048" s="70" t="s">
        <v>13</v>
      </c>
      <c r="G4048" s="70" t="str">
        <f>IF(ISNUMBER(F4048),E4048*F4048,"")</f>
        <v/>
      </c>
      <c r="H4048" s="71"/>
      <c r="I4048" s="72"/>
      <c r="J4048" s="37">
        <v>0</v>
      </c>
    </row>
    <row r="4049" spans="1:10" ht="25.5" hidden="1" x14ac:dyDescent="0.25">
      <c r="A4049" s="179"/>
      <c r="B4049" s="177"/>
      <c r="C4049" s="43" t="s">
        <v>10879</v>
      </c>
      <c r="D4049" s="43" t="s">
        <v>1044</v>
      </c>
      <c r="E4049" s="44">
        <v>0.53</v>
      </c>
      <c r="F4049" s="70">
        <v>56.296999999999997</v>
      </c>
      <c r="G4049" s="70">
        <f>IF(ISNUMBER(F4049),E4049*F4049,"")</f>
        <v>29.837409999999998</v>
      </c>
      <c r="H4049" s="46">
        <f>SUM(G4049:G4055)</f>
        <v>128.36960499999998</v>
      </c>
      <c r="I4049" s="47"/>
      <c r="J4049" s="37">
        <v>0</v>
      </c>
    </row>
    <row r="4050" spans="1:10" ht="38.25" hidden="1" x14ac:dyDescent="0.25">
      <c r="A4050" s="179"/>
      <c r="B4050" s="177"/>
      <c r="C4050" s="43" t="s">
        <v>979</v>
      </c>
      <c r="D4050" s="43" t="s">
        <v>162</v>
      </c>
      <c r="E4050" s="44">
        <v>1.05</v>
      </c>
      <c r="F4050" s="70" t="s">
        <v>13</v>
      </c>
      <c r="G4050" s="70" t="str">
        <f>IF(ISNUMBER(F4050),E4050*F4050,"")</f>
        <v/>
      </c>
      <c r="H4050" s="71"/>
      <c r="I4050" s="72"/>
      <c r="J4050" s="37">
        <v>0</v>
      </c>
    </row>
    <row r="4051" spans="1:10" hidden="1" x14ac:dyDescent="0.25">
      <c r="A4051" s="179"/>
      <c r="B4051" s="177"/>
      <c r="C4051" s="43" t="s">
        <v>10880</v>
      </c>
      <c r="D4051" s="43" t="s">
        <v>1044</v>
      </c>
      <c r="E4051" s="44">
        <v>0.97</v>
      </c>
      <c r="F4051" s="70">
        <v>2.0425</v>
      </c>
      <c r="G4051" s="70">
        <f>IF(ISNUMBER(F4051),E4051*F4051,"")</f>
        <v>1.981225</v>
      </c>
      <c r="H4051" s="71"/>
      <c r="I4051" s="72"/>
      <c r="J4051" s="37">
        <v>0</v>
      </c>
    </row>
    <row r="4052" spans="1:10" hidden="1" x14ac:dyDescent="0.25">
      <c r="A4052" s="179"/>
      <c r="B4052" s="177"/>
      <c r="C4052" s="43" t="s">
        <v>10830</v>
      </c>
      <c r="D4052" s="43" t="s">
        <v>2800</v>
      </c>
      <c r="E4052" s="44">
        <v>1.405</v>
      </c>
      <c r="F4052" s="70">
        <v>30.912999999999997</v>
      </c>
      <c r="G4052" s="70">
        <f>IF(ISNUMBER(F4052),E4052*F4052,"")</f>
        <v>43.432764999999996</v>
      </c>
      <c r="H4052" s="71"/>
      <c r="I4052" s="72"/>
      <c r="J4052" s="37">
        <v>0</v>
      </c>
    </row>
    <row r="4053" spans="1:10" hidden="1" x14ac:dyDescent="0.25">
      <c r="A4053" s="179"/>
      <c r="B4053" s="177"/>
      <c r="C4053" s="43" t="s">
        <v>10614</v>
      </c>
      <c r="D4053" s="43" t="s">
        <v>2800</v>
      </c>
      <c r="E4053" s="44">
        <v>0.70199999999999996</v>
      </c>
      <c r="F4053" s="70">
        <v>23.693000000000001</v>
      </c>
      <c r="G4053" s="70">
        <f>IF(ISNUMBER(F4053),E4053*F4053,"")</f>
        <v>16.632486</v>
      </c>
      <c r="H4053" s="71"/>
      <c r="I4053" s="72"/>
      <c r="J4053" s="37">
        <v>0</v>
      </c>
    </row>
    <row r="4054" spans="1:10" ht="25.5" hidden="1" x14ac:dyDescent="0.25">
      <c r="A4054" s="179"/>
      <c r="B4054" s="177"/>
      <c r="C4054" s="43" t="s">
        <v>10656</v>
      </c>
      <c r="D4054" s="43" t="s">
        <v>1050</v>
      </c>
      <c r="E4054" s="44">
        <v>8.8999999999999996E-2</v>
      </c>
      <c r="F4054" s="70">
        <v>26.884999999999998</v>
      </c>
      <c r="G4054" s="70">
        <f>IF(ISNUMBER(F4054),E4054*F4054,"")</f>
        <v>2.3927649999999998</v>
      </c>
      <c r="H4054" s="71"/>
      <c r="I4054" s="72"/>
      <c r="J4054" s="37">
        <v>0</v>
      </c>
    </row>
    <row r="4055" spans="1:10" ht="25.5" hidden="1" x14ac:dyDescent="0.25">
      <c r="A4055" s="179"/>
      <c r="B4055" s="177"/>
      <c r="C4055" s="43" t="s">
        <v>10657</v>
      </c>
      <c r="D4055" s="43" t="s">
        <v>10677</v>
      </c>
      <c r="E4055" s="44">
        <v>1.3160000000000001</v>
      </c>
      <c r="F4055" s="70">
        <v>25.906499999999998</v>
      </c>
      <c r="G4055" s="70">
        <f>IF(ISNUMBER(F4055),E4055*F4055,"")</f>
        <v>34.092953999999999</v>
      </c>
      <c r="H4055" s="71"/>
      <c r="I4055" s="72"/>
      <c r="J4055" s="37">
        <v>0</v>
      </c>
    </row>
    <row r="4056" spans="1:10" ht="15.75" hidden="1" thickBot="1" x14ac:dyDescent="0.3">
      <c r="A4056" s="180"/>
      <c r="B4056" s="178"/>
      <c r="C4056" s="49"/>
      <c r="D4056" s="49"/>
      <c r="E4056" s="50"/>
      <c r="F4056" s="83" t="s">
        <v>13</v>
      </c>
      <c r="G4056" s="83" t="str">
        <f>IF(ISNUMBER(F4056),E4056*F4056,"")</f>
        <v/>
      </c>
      <c r="H4056" s="84"/>
      <c r="I4056" s="72"/>
      <c r="J4056" s="37">
        <v>0</v>
      </c>
    </row>
    <row r="4057" spans="1:10" ht="15.75" hidden="1" thickBot="1" x14ac:dyDescent="0.3">
      <c r="A4057" s="173" t="s">
        <v>980</v>
      </c>
      <c r="B4057" s="176" t="s">
        <v>4518</v>
      </c>
      <c r="C4057" s="31"/>
      <c r="D4057" s="32" t="s">
        <v>18</v>
      </c>
      <c r="E4057" s="33"/>
      <c r="F4057" s="60" t="s">
        <v>13</v>
      </c>
      <c r="G4057" s="34" t="str">
        <f>IF(ISNUMBER(F4057),E4057*F4057,"")</f>
        <v/>
      </c>
      <c r="H4057" s="35"/>
      <c r="I4057" s="36"/>
      <c r="J4057" s="37">
        <v>0</v>
      </c>
    </row>
    <row r="4058" spans="1:10" hidden="1" x14ac:dyDescent="0.25">
      <c r="A4058" s="179"/>
      <c r="B4058" s="177"/>
      <c r="C4058" s="39"/>
      <c r="D4058" s="39"/>
      <c r="E4058" s="40"/>
      <c r="F4058" s="70" t="s">
        <v>13</v>
      </c>
      <c r="G4058" s="70" t="str">
        <f>IF(ISNUMBER(F4058),E4058*F4058,"")</f>
        <v/>
      </c>
      <c r="H4058" s="71"/>
      <c r="I4058" s="72"/>
      <c r="J4058" s="37">
        <v>0</v>
      </c>
    </row>
    <row r="4059" spans="1:10" ht="38.25" hidden="1" x14ac:dyDescent="0.25">
      <c r="A4059" s="179"/>
      <c r="B4059" s="177"/>
      <c r="C4059" s="43" t="s">
        <v>11097</v>
      </c>
      <c r="D4059" s="43" t="s">
        <v>83</v>
      </c>
      <c r="E4059" s="44">
        <v>1</v>
      </c>
      <c r="F4059" s="70">
        <v>83.628500000000003</v>
      </c>
      <c r="G4059" s="70">
        <f>IF(ISNUMBER(F4059),E4059*F4059,"")</f>
        <v>83.628500000000003</v>
      </c>
      <c r="H4059" s="46">
        <f>SUM(G4059:G4062)</f>
        <v>136.77014479583499</v>
      </c>
      <c r="I4059" s="47"/>
      <c r="J4059" s="37">
        <v>0</v>
      </c>
    </row>
    <row r="4060" spans="1:10" ht="25.5" hidden="1" x14ac:dyDescent="0.25">
      <c r="A4060" s="179"/>
      <c r="B4060" s="177"/>
      <c r="C4060" s="43" t="s">
        <v>10713</v>
      </c>
      <c r="D4060" s="43" t="s">
        <v>2880</v>
      </c>
      <c r="E4060" s="44">
        <v>4.4000000000000003E-3</v>
      </c>
      <c r="F4060" s="70">
        <v>688.25221496250003</v>
      </c>
      <c r="G4060" s="70">
        <f>IF(ISNUMBER(F4060),E4060*F4060,"")</f>
        <v>3.0283097458350001</v>
      </c>
      <c r="H4060" s="71"/>
      <c r="I4060" s="72"/>
      <c r="J4060" s="37">
        <v>0</v>
      </c>
    </row>
    <row r="4061" spans="1:10" hidden="1" x14ac:dyDescent="0.25">
      <c r="A4061" s="179"/>
      <c r="B4061" s="177"/>
      <c r="C4061" s="43" t="s">
        <v>10757</v>
      </c>
      <c r="D4061" s="43" t="s">
        <v>2800</v>
      </c>
      <c r="E4061" s="44">
        <v>1.0088999999999999</v>
      </c>
      <c r="F4061" s="70">
        <v>31.055499999999995</v>
      </c>
      <c r="G4061" s="70">
        <f>IF(ISNUMBER(F4061),E4061*F4061,"")</f>
        <v>31.331893949999991</v>
      </c>
      <c r="H4061" s="71"/>
      <c r="I4061" s="72"/>
      <c r="J4061" s="37">
        <v>0</v>
      </c>
    </row>
    <row r="4062" spans="1:10" hidden="1" x14ac:dyDescent="0.25">
      <c r="A4062" s="179"/>
      <c r="B4062" s="177"/>
      <c r="C4062" s="43" t="s">
        <v>10614</v>
      </c>
      <c r="D4062" s="43" t="s">
        <v>2800</v>
      </c>
      <c r="E4062" s="44">
        <v>0.79269999999999996</v>
      </c>
      <c r="F4062" s="70">
        <v>23.693000000000001</v>
      </c>
      <c r="G4062" s="70">
        <f>IF(ISNUMBER(F4062),E4062*F4062,"")</f>
        <v>18.781441099999999</v>
      </c>
      <c r="H4062" s="71"/>
      <c r="I4062" s="72"/>
      <c r="J4062" s="37">
        <v>0</v>
      </c>
    </row>
    <row r="4063" spans="1:10" ht="15.75" hidden="1" thickBot="1" x14ac:dyDescent="0.3">
      <c r="A4063" s="180"/>
      <c r="B4063" s="178"/>
      <c r="C4063" s="49"/>
      <c r="D4063" s="49"/>
      <c r="E4063" s="50"/>
      <c r="F4063" s="83" t="s">
        <v>13</v>
      </c>
      <c r="G4063" s="83" t="str">
        <f>IF(ISNUMBER(F4063),E4063*F4063,"")</f>
        <v/>
      </c>
      <c r="H4063" s="84"/>
      <c r="I4063" s="72"/>
      <c r="J4063" s="37">
        <v>0</v>
      </c>
    </row>
    <row r="4064" spans="1:10" ht="15.75" hidden="1" thickBot="1" x14ac:dyDescent="0.3">
      <c r="A4064" s="173" t="s">
        <v>981</v>
      </c>
      <c r="B4064" s="176" t="s">
        <v>4521</v>
      </c>
      <c r="C4064" s="31"/>
      <c r="D4064" s="32" t="s">
        <v>68</v>
      </c>
      <c r="E4064" s="33"/>
      <c r="F4064" s="60" t="s">
        <v>13</v>
      </c>
      <c r="G4064" s="34" t="str">
        <f>IF(ISNUMBER(F4064),E4064*F4064,"")</f>
        <v/>
      </c>
      <c r="H4064" s="35"/>
      <c r="I4064" s="36"/>
      <c r="J4064" s="37">
        <v>0</v>
      </c>
    </row>
    <row r="4065" spans="1:10" hidden="1" x14ac:dyDescent="0.25">
      <c r="A4065" s="179"/>
      <c r="B4065" s="177"/>
      <c r="C4065" s="39"/>
      <c r="D4065" s="39"/>
      <c r="E4065" s="40"/>
      <c r="F4065" s="70" t="s">
        <v>13</v>
      </c>
      <c r="G4065" s="70" t="str">
        <f>IF(ISNUMBER(F4065),E4065*F4065,"")</f>
        <v/>
      </c>
      <c r="H4065" s="71"/>
      <c r="I4065" s="72"/>
      <c r="J4065" s="37">
        <v>0</v>
      </c>
    </row>
    <row r="4066" spans="1:10" ht="25.5" hidden="1" x14ac:dyDescent="0.25">
      <c r="A4066" s="179"/>
      <c r="B4066" s="177"/>
      <c r="C4066" s="43" t="s">
        <v>982</v>
      </c>
      <c r="D4066" s="43" t="s">
        <v>68</v>
      </c>
      <c r="E4066" s="44">
        <v>1.0798000000000001</v>
      </c>
      <c r="F4066" s="70" t="s">
        <v>13</v>
      </c>
      <c r="G4066" s="70" t="str">
        <f>IF(ISNUMBER(F4066),E4066*F4066,"")</f>
        <v/>
      </c>
      <c r="H4066" s="46">
        <f>SUM(G4066:G4070)</f>
        <v>37.089721400000002</v>
      </c>
      <c r="I4066" s="47"/>
      <c r="J4066" s="37">
        <v>0</v>
      </c>
    </row>
    <row r="4067" spans="1:10" hidden="1" x14ac:dyDescent="0.25">
      <c r="A4067" s="179"/>
      <c r="B4067" s="177"/>
      <c r="C4067" s="43" t="s">
        <v>10870</v>
      </c>
      <c r="D4067" s="43" t="s">
        <v>1044</v>
      </c>
      <c r="E4067" s="44">
        <v>6.85</v>
      </c>
      <c r="F4067" s="70">
        <v>1.0734999999999999</v>
      </c>
      <c r="G4067" s="70">
        <f>IF(ISNUMBER(F4067),E4067*F4067,"")</f>
        <v>7.3534749999999987</v>
      </c>
      <c r="H4067" s="71"/>
      <c r="I4067" s="72"/>
      <c r="J4067" s="37">
        <v>0</v>
      </c>
    </row>
    <row r="4068" spans="1:10" hidden="1" x14ac:dyDescent="0.25">
      <c r="A4068" s="179"/>
      <c r="B4068" s="177"/>
      <c r="C4068" s="43" t="s">
        <v>10871</v>
      </c>
      <c r="D4068" s="43" t="s">
        <v>1044</v>
      </c>
      <c r="E4068" s="44">
        <v>0.222</v>
      </c>
      <c r="F4068" s="70">
        <v>3.4009999999999998</v>
      </c>
      <c r="G4068" s="70">
        <f>IF(ISNUMBER(F4068),E4068*F4068,"")</f>
        <v>0.75502199999999997</v>
      </c>
      <c r="H4068" s="71"/>
      <c r="I4068" s="72"/>
      <c r="J4068" s="37">
        <v>0</v>
      </c>
    </row>
    <row r="4069" spans="1:10" hidden="1" x14ac:dyDescent="0.25">
      <c r="A4069" s="179"/>
      <c r="B4069" s="177"/>
      <c r="C4069" s="43" t="s">
        <v>10826</v>
      </c>
      <c r="D4069" s="43" t="s">
        <v>2800</v>
      </c>
      <c r="E4069" s="44">
        <v>0.69699999999999995</v>
      </c>
      <c r="F4069" s="70">
        <v>30.912999999999997</v>
      </c>
      <c r="G4069" s="70">
        <f>IF(ISNUMBER(F4069),E4069*F4069,"")</f>
        <v>21.546360999999997</v>
      </c>
      <c r="H4069" s="71"/>
      <c r="I4069" s="72"/>
      <c r="J4069" s="37">
        <v>0</v>
      </c>
    </row>
    <row r="4070" spans="1:10" hidden="1" x14ac:dyDescent="0.25">
      <c r="A4070" s="179"/>
      <c r="B4070" s="177"/>
      <c r="C4070" s="43" t="s">
        <v>10614</v>
      </c>
      <c r="D4070" s="43" t="s">
        <v>2800</v>
      </c>
      <c r="E4070" s="44">
        <v>0.31380000000000002</v>
      </c>
      <c r="F4070" s="70">
        <v>23.693000000000001</v>
      </c>
      <c r="G4070" s="70">
        <f>IF(ISNUMBER(F4070),E4070*F4070,"")</f>
        <v>7.4348634000000011</v>
      </c>
      <c r="H4070" s="71"/>
      <c r="I4070" s="72"/>
      <c r="J4070" s="37">
        <v>0</v>
      </c>
    </row>
    <row r="4071" spans="1:10" ht="15.75" hidden="1" thickBot="1" x14ac:dyDescent="0.3">
      <c r="A4071" s="180"/>
      <c r="B4071" s="178"/>
      <c r="C4071" s="49"/>
      <c r="D4071" s="63"/>
      <c r="E4071" s="50"/>
      <c r="F4071" s="83" t="s">
        <v>13</v>
      </c>
      <c r="G4071" s="83" t="str">
        <f>IF(ISNUMBER(F4071),E4071*F4071,"")</f>
        <v/>
      </c>
      <c r="H4071" s="84"/>
      <c r="I4071" s="72"/>
      <c r="J4071" s="37">
        <v>0</v>
      </c>
    </row>
    <row r="4072" spans="1:10" ht="15.75" hidden="1" thickBot="1" x14ac:dyDescent="0.3">
      <c r="A4072" s="173" t="s">
        <v>983</v>
      </c>
      <c r="B4072" s="176" t="s">
        <v>4522</v>
      </c>
      <c r="C4072" s="31"/>
      <c r="D4072" s="32" t="s">
        <v>1788</v>
      </c>
      <c r="E4072" s="33"/>
      <c r="F4072" s="60" t="s">
        <v>13</v>
      </c>
      <c r="G4072" s="34" t="str">
        <f>IF(ISNUMBER(F4072),E4072*F4072,"")</f>
        <v/>
      </c>
      <c r="H4072" s="35"/>
      <c r="I4072" s="36"/>
      <c r="J4072" s="37">
        <v>0</v>
      </c>
    </row>
    <row r="4073" spans="1:10" hidden="1" x14ac:dyDescent="0.25">
      <c r="A4073" s="179"/>
      <c r="B4073" s="177"/>
      <c r="C4073" s="39"/>
      <c r="D4073" s="39"/>
      <c r="E4073" s="40"/>
      <c r="F4073" s="70" t="s">
        <v>13</v>
      </c>
      <c r="G4073" s="70" t="str">
        <f>IF(ISNUMBER(F4073),E4073*F4073,"")</f>
        <v/>
      </c>
      <c r="H4073" s="71"/>
      <c r="I4073" s="72"/>
      <c r="J4073" s="37">
        <v>0</v>
      </c>
    </row>
    <row r="4074" spans="1:10" ht="25.5" hidden="1" x14ac:dyDescent="0.25">
      <c r="A4074" s="179"/>
      <c r="B4074" s="177"/>
      <c r="C4074" s="43" t="s">
        <v>11098</v>
      </c>
      <c r="D4074" s="43" t="s">
        <v>2880</v>
      </c>
      <c r="E4074" s="44">
        <v>1.3889</v>
      </c>
      <c r="F4074" s="70">
        <v>99.854500000000002</v>
      </c>
      <c r="G4074" s="70">
        <f>IF(ISNUMBER(F4074),E4074*F4074,"")</f>
        <v>138.68791505000002</v>
      </c>
      <c r="H4074" s="46">
        <f>SUM(G4074:G4080)</f>
        <v>258.73040786487502</v>
      </c>
      <c r="I4074" s="47"/>
      <c r="J4074" s="37">
        <v>0</v>
      </c>
    </row>
    <row r="4075" spans="1:10" ht="51" hidden="1" x14ac:dyDescent="0.25">
      <c r="A4075" s="179"/>
      <c r="B4075" s="177"/>
      <c r="C4075" s="43" t="s">
        <v>11039</v>
      </c>
      <c r="D4075" s="43" t="s">
        <v>1050</v>
      </c>
      <c r="E4075" s="44">
        <v>5.4000000000000003E-3</v>
      </c>
      <c r="F4075" s="70">
        <v>306.53649999999999</v>
      </c>
      <c r="G4075" s="70">
        <f>IF(ISNUMBER(F4075),E4075*F4075,"")</f>
        <v>1.6552971000000001</v>
      </c>
      <c r="H4075" s="71"/>
      <c r="I4075" s="72"/>
      <c r="J4075" s="37">
        <v>0</v>
      </c>
    </row>
    <row r="4076" spans="1:10" ht="51" hidden="1" x14ac:dyDescent="0.25">
      <c r="A4076" s="179"/>
      <c r="B4076" s="177"/>
      <c r="C4076" s="43" t="s">
        <v>11040</v>
      </c>
      <c r="D4076" s="43" t="s">
        <v>10677</v>
      </c>
      <c r="E4076" s="44">
        <v>5.9999999999999995E-4</v>
      </c>
      <c r="F4076" s="70">
        <v>72.693999999999988</v>
      </c>
      <c r="G4076" s="70">
        <f>IF(ISNUMBER(F4076),E4076*F4076,"")</f>
        <v>4.3616399999999993E-2</v>
      </c>
      <c r="H4076" s="71"/>
      <c r="I4076" s="72"/>
      <c r="J4076" s="37">
        <v>0</v>
      </c>
    </row>
    <row r="4077" spans="1:10" hidden="1" x14ac:dyDescent="0.25">
      <c r="A4077" s="179"/>
      <c r="B4077" s="177"/>
      <c r="C4077" s="43" t="s">
        <v>10614</v>
      </c>
      <c r="D4077" s="43" t="s">
        <v>2800</v>
      </c>
      <c r="E4077" s="44">
        <v>0.78659999999999997</v>
      </c>
      <c r="F4077" s="70">
        <v>23.693000000000001</v>
      </c>
      <c r="G4077" s="70">
        <f>IF(ISNUMBER(F4077),E4077*F4077,"")</f>
        <v>18.636913799999999</v>
      </c>
      <c r="H4077" s="71"/>
      <c r="I4077" s="72"/>
      <c r="J4077" s="37">
        <v>0</v>
      </c>
    </row>
    <row r="4078" spans="1:10" ht="38.25" hidden="1" x14ac:dyDescent="0.25">
      <c r="A4078" s="179"/>
      <c r="B4078" s="177"/>
      <c r="C4078" s="43" t="s">
        <v>10783</v>
      </c>
      <c r="D4078" s="43" t="s">
        <v>1050</v>
      </c>
      <c r="E4078" s="44">
        <v>0.19620000000000001</v>
      </c>
      <c r="F4078" s="70">
        <v>34.323500000000003</v>
      </c>
      <c r="G4078" s="70">
        <f>IF(ISNUMBER(F4078),E4078*F4078,"")</f>
        <v>6.7342707000000006</v>
      </c>
      <c r="H4078" s="71"/>
      <c r="I4078" s="72"/>
      <c r="J4078" s="37">
        <v>0</v>
      </c>
    </row>
    <row r="4079" spans="1:10" ht="51" hidden="1" x14ac:dyDescent="0.25">
      <c r="A4079" s="179"/>
      <c r="B4079" s="177"/>
      <c r="C4079" s="43" t="s">
        <v>10624</v>
      </c>
      <c r="D4079" s="43" t="s">
        <v>2880</v>
      </c>
      <c r="E4079" s="44">
        <f>1*E4074</f>
        <v>1.3889</v>
      </c>
      <c r="F4079" s="41">
        <v>8.5522277500000001</v>
      </c>
      <c r="G4079" s="41">
        <f>IF(ISNUMBER(F4079),E4079*F4079,"")</f>
        <v>11.878189121975</v>
      </c>
      <c r="H4079" s="42"/>
      <c r="I4079" s="38"/>
      <c r="J4079" s="37">
        <v>0</v>
      </c>
    </row>
    <row r="4080" spans="1:10" ht="38.25" hidden="1" x14ac:dyDescent="0.25">
      <c r="A4080" s="179"/>
      <c r="B4080" s="177"/>
      <c r="C4080" s="43" t="s">
        <v>10622</v>
      </c>
      <c r="D4080" s="43" t="s">
        <v>10676</v>
      </c>
      <c r="E4080" s="44">
        <f>E4074*20</f>
        <v>27.777999999999999</v>
      </c>
      <c r="F4080" s="70">
        <v>2.9193680499999997</v>
      </c>
      <c r="G4080" s="70">
        <f>IF(ISNUMBER(F4080),E4080*F4080,"")</f>
        <v>81.09420569289999</v>
      </c>
      <c r="H4080" s="71"/>
      <c r="I4080" s="72"/>
      <c r="J4080" s="37">
        <v>0</v>
      </c>
    </row>
    <row r="4081" spans="1:10" hidden="1" x14ac:dyDescent="0.25">
      <c r="A4081" s="179"/>
      <c r="B4081" s="177"/>
      <c r="C4081" s="61"/>
      <c r="D4081" s="62"/>
      <c r="E4081" s="44"/>
      <c r="F4081" s="70" t="s">
        <v>13</v>
      </c>
      <c r="G4081" s="70" t="str">
        <f>IF(ISNUMBER(F4081),E4081*F4081,"")</f>
        <v/>
      </c>
      <c r="H4081" s="71"/>
      <c r="I4081" s="72"/>
      <c r="J4081" s="37">
        <v>0</v>
      </c>
    </row>
    <row r="4082" spans="1:10" hidden="1" x14ac:dyDescent="0.25">
      <c r="A4082" s="179"/>
      <c r="B4082" s="177"/>
      <c r="C4082" s="4" t="s">
        <v>646</v>
      </c>
      <c r="D4082" s="62"/>
      <c r="E4082" s="44"/>
      <c r="F4082" s="70" t="s">
        <v>13</v>
      </c>
      <c r="G4082" s="70" t="str">
        <f>IF(ISNUMBER(F4082),E4082*F4082,"")</f>
        <v/>
      </c>
      <c r="H4082" s="71"/>
      <c r="I4082" s="72"/>
      <c r="J4082" s="37">
        <v>0</v>
      </c>
    </row>
    <row r="4083" spans="1:10" ht="15.75" hidden="1" thickBot="1" x14ac:dyDescent="0.3">
      <c r="A4083" s="180"/>
      <c r="B4083" s="178"/>
      <c r="C4083" s="49"/>
      <c r="D4083" s="49"/>
      <c r="E4083" s="50"/>
      <c r="F4083" s="83" t="s">
        <v>13</v>
      </c>
      <c r="G4083" s="83" t="str">
        <f>IF(ISNUMBER(F4083),E4083*F4083,"")</f>
        <v/>
      </c>
      <c r="H4083" s="84"/>
      <c r="I4083" s="72"/>
      <c r="J4083" s="37">
        <v>0</v>
      </c>
    </row>
    <row r="4084" spans="1:10" ht="15.75" hidden="1" thickBot="1" x14ac:dyDescent="0.3">
      <c r="A4084" s="173" t="s">
        <v>984</v>
      </c>
      <c r="B4084" s="176" t="s">
        <v>4523</v>
      </c>
      <c r="C4084" s="31"/>
      <c r="D4084" s="32" t="s">
        <v>106</v>
      </c>
      <c r="E4084" s="33"/>
      <c r="F4084" s="60" t="s">
        <v>13</v>
      </c>
      <c r="G4084" s="34" t="str">
        <f>IF(ISNUMBER(F4084),E4084*F4084,"")</f>
        <v/>
      </c>
      <c r="H4084" s="35"/>
      <c r="I4084" s="36"/>
      <c r="J4084" s="37">
        <v>0</v>
      </c>
    </row>
    <row r="4085" spans="1:10" hidden="1" x14ac:dyDescent="0.25">
      <c r="A4085" s="179"/>
      <c r="B4085" s="177"/>
      <c r="C4085" s="39"/>
      <c r="D4085" s="39"/>
      <c r="E4085" s="40"/>
      <c r="F4085" s="70" t="s">
        <v>13</v>
      </c>
      <c r="G4085" s="70" t="str">
        <f>IF(ISNUMBER(F4085),E4085*F4085,"")</f>
        <v/>
      </c>
      <c r="H4085" s="71"/>
      <c r="I4085" s="72"/>
      <c r="J4085" s="37">
        <v>0</v>
      </c>
    </row>
    <row r="4086" spans="1:10" hidden="1" x14ac:dyDescent="0.25">
      <c r="A4086" s="179"/>
      <c r="B4086" s="177"/>
      <c r="C4086" s="43" t="s">
        <v>11099</v>
      </c>
      <c r="D4086" s="43" t="s">
        <v>1044</v>
      </c>
      <c r="E4086" s="44">
        <v>1.4</v>
      </c>
      <c r="F4086" s="70">
        <v>8.4359999999999999</v>
      </c>
      <c r="G4086" s="70">
        <f>IF(ISNUMBER(F4086),E4086*F4086,"")</f>
        <v>11.8104</v>
      </c>
      <c r="H4086" s="46">
        <f>SUM(G4086:G4095)</f>
        <v>1116.0222279999998</v>
      </c>
      <c r="I4086" s="47"/>
      <c r="J4086" s="37">
        <v>0</v>
      </c>
    </row>
    <row r="4087" spans="1:10" hidden="1" x14ac:dyDescent="0.25">
      <c r="A4087" s="179"/>
      <c r="B4087" s="177"/>
      <c r="C4087" s="43" t="s">
        <v>11100</v>
      </c>
      <c r="D4087" s="43" t="s">
        <v>1044</v>
      </c>
      <c r="E4087" s="44">
        <v>3.0000000000000001E-3</v>
      </c>
      <c r="F4087" s="70">
        <v>40.137499999999996</v>
      </c>
      <c r="G4087" s="70">
        <f>IF(ISNUMBER(F4087),E4087*F4087,"")</f>
        <v>0.12041249999999999</v>
      </c>
      <c r="H4087" s="71"/>
      <c r="I4087" s="72"/>
      <c r="J4087" s="37">
        <v>0</v>
      </c>
    </row>
    <row r="4088" spans="1:10" ht="25.5" hidden="1" x14ac:dyDescent="0.25">
      <c r="A4088" s="179"/>
      <c r="B4088" s="177"/>
      <c r="C4088" s="43" t="s">
        <v>11057</v>
      </c>
      <c r="D4088" s="43" t="s">
        <v>83</v>
      </c>
      <c r="E4088" s="44">
        <v>3.3330000000000002</v>
      </c>
      <c r="F4088" s="70">
        <v>2.09</v>
      </c>
      <c r="G4088" s="70">
        <f>IF(ISNUMBER(F4088),E4088*F4088,"")</f>
        <v>6.9659699999999996</v>
      </c>
      <c r="H4088" s="71"/>
      <c r="I4088" s="72"/>
      <c r="J4088" s="37">
        <v>0</v>
      </c>
    </row>
    <row r="4089" spans="1:10" ht="38.25" hidden="1" x14ac:dyDescent="0.25">
      <c r="A4089" s="179"/>
      <c r="B4089" s="177"/>
      <c r="C4089" s="43" t="s">
        <v>10949</v>
      </c>
      <c r="D4089" s="43" t="s">
        <v>83</v>
      </c>
      <c r="E4089" s="44">
        <v>5</v>
      </c>
      <c r="F4089" s="70">
        <v>0.38949999999999996</v>
      </c>
      <c r="G4089" s="70">
        <f>IF(ISNUMBER(F4089),E4089*F4089,"")</f>
        <v>1.9474999999999998</v>
      </c>
      <c r="H4089" s="71"/>
      <c r="I4089" s="72"/>
      <c r="J4089" s="37">
        <v>0</v>
      </c>
    </row>
    <row r="4090" spans="1:10" ht="25.5" hidden="1" x14ac:dyDescent="0.25">
      <c r="A4090" s="179"/>
      <c r="B4090" s="177"/>
      <c r="C4090" s="43" t="s">
        <v>11033</v>
      </c>
      <c r="D4090" s="43" t="s">
        <v>1302</v>
      </c>
      <c r="E4090" s="44">
        <v>3.149</v>
      </c>
      <c r="F4090" s="70">
        <v>13.014999999999999</v>
      </c>
      <c r="G4090" s="70">
        <f>IF(ISNUMBER(F4090),E4090*F4090,"")</f>
        <v>40.984234999999998</v>
      </c>
      <c r="H4090" s="71"/>
      <c r="I4090" s="72"/>
      <c r="J4090" s="37">
        <v>0</v>
      </c>
    </row>
    <row r="4091" spans="1:10" hidden="1" x14ac:dyDescent="0.25">
      <c r="A4091" s="179"/>
      <c r="B4091" s="177"/>
      <c r="C4091" s="43" t="s">
        <v>11030</v>
      </c>
      <c r="D4091" s="43" t="s">
        <v>1044</v>
      </c>
      <c r="E4091" s="44">
        <v>3.4089999999999998</v>
      </c>
      <c r="F4091" s="70">
        <v>41.001999999999995</v>
      </c>
      <c r="G4091" s="70">
        <f>IF(ISNUMBER(F4091),E4091*F4091,"")</f>
        <v>139.77581799999999</v>
      </c>
      <c r="H4091" s="71"/>
      <c r="I4091" s="72"/>
      <c r="J4091" s="37">
        <v>0</v>
      </c>
    </row>
    <row r="4092" spans="1:10" ht="25.5" hidden="1" x14ac:dyDescent="0.25">
      <c r="A4092" s="179"/>
      <c r="B4092" s="177"/>
      <c r="C4092" s="43" t="s">
        <v>11034</v>
      </c>
      <c r="D4092" s="43" t="s">
        <v>162</v>
      </c>
      <c r="E4092" s="44">
        <v>0.998</v>
      </c>
      <c r="F4092" s="70">
        <v>720.8694999999999</v>
      </c>
      <c r="G4092" s="70">
        <f>IF(ISNUMBER(F4092),E4092*F4092,"")</f>
        <v>719.42776099999992</v>
      </c>
      <c r="H4092" s="71"/>
      <c r="I4092" s="72"/>
      <c r="J4092" s="37">
        <v>0</v>
      </c>
    </row>
    <row r="4093" spans="1:10" hidden="1" x14ac:dyDescent="0.25">
      <c r="A4093" s="179"/>
      <c r="B4093" s="177"/>
      <c r="C4093" s="43" t="s">
        <v>10893</v>
      </c>
      <c r="D4093" s="43" t="s">
        <v>83</v>
      </c>
      <c r="E4093" s="44">
        <v>0.85499999999999998</v>
      </c>
      <c r="F4093" s="70">
        <v>28.148499999999999</v>
      </c>
      <c r="G4093" s="70">
        <f>IF(ISNUMBER(F4093),E4093*F4093,"")</f>
        <v>24.066967499999997</v>
      </c>
      <c r="H4093" s="71"/>
      <c r="I4093" s="72"/>
      <c r="J4093" s="37">
        <v>0</v>
      </c>
    </row>
    <row r="4094" spans="1:10" hidden="1" x14ac:dyDescent="0.25">
      <c r="A4094" s="179"/>
      <c r="B4094" s="177"/>
      <c r="C4094" s="43" t="s">
        <v>11013</v>
      </c>
      <c r="D4094" s="43" t="s">
        <v>2800</v>
      </c>
      <c r="E4094" s="44">
        <v>2.754</v>
      </c>
      <c r="F4094" s="70">
        <v>24.519499999999997</v>
      </c>
      <c r="G4094" s="70">
        <f>IF(ISNUMBER(F4094),E4094*F4094,"")</f>
        <v>67.526702999999998</v>
      </c>
      <c r="H4094" s="71"/>
      <c r="I4094" s="72"/>
      <c r="J4094" s="37">
        <v>0</v>
      </c>
    </row>
    <row r="4095" spans="1:10" hidden="1" x14ac:dyDescent="0.25">
      <c r="A4095" s="179"/>
      <c r="B4095" s="177"/>
      <c r="C4095" s="43" t="s">
        <v>11014</v>
      </c>
      <c r="D4095" s="43" t="s">
        <v>2800</v>
      </c>
      <c r="E4095" s="44">
        <v>3.3530000000000002</v>
      </c>
      <c r="F4095" s="70">
        <v>30.837</v>
      </c>
      <c r="G4095" s="70">
        <f>IF(ISNUMBER(F4095),E4095*F4095,"")</f>
        <v>103.396461</v>
      </c>
      <c r="H4095" s="71"/>
      <c r="I4095" s="72"/>
      <c r="J4095" s="37">
        <v>0</v>
      </c>
    </row>
    <row r="4096" spans="1:10" ht="15.75" hidden="1" thickBot="1" x14ac:dyDescent="0.3">
      <c r="A4096" s="180"/>
      <c r="B4096" s="178"/>
      <c r="C4096" s="49"/>
      <c r="D4096" s="49"/>
      <c r="E4096" s="50"/>
      <c r="F4096" s="83" t="s">
        <v>13</v>
      </c>
      <c r="G4096" s="83" t="str">
        <f>IF(ISNUMBER(F4096),E4096*F4096,"")</f>
        <v/>
      </c>
      <c r="H4096" s="84"/>
      <c r="I4096" s="72"/>
      <c r="J4096" s="37">
        <v>0</v>
      </c>
    </row>
    <row r="4097" spans="1:10" ht="15.75" hidden="1" thickBot="1" x14ac:dyDescent="0.3">
      <c r="A4097" s="173" t="s">
        <v>985</v>
      </c>
      <c r="B4097" s="176" t="s">
        <v>4526</v>
      </c>
      <c r="C4097" s="31"/>
      <c r="D4097" s="32" t="s">
        <v>106</v>
      </c>
      <c r="E4097" s="33"/>
      <c r="F4097" s="54" t="s">
        <v>13</v>
      </c>
      <c r="G4097" s="34" t="str">
        <f>IF(ISNUMBER(F4097),E4097*F4097,"")</f>
        <v/>
      </c>
      <c r="H4097" s="35"/>
      <c r="I4097" s="36"/>
      <c r="J4097" s="37">
        <v>0</v>
      </c>
    </row>
    <row r="4098" spans="1:10" hidden="1" x14ac:dyDescent="0.25">
      <c r="A4098" s="179"/>
      <c r="B4098" s="177"/>
      <c r="C4098" s="39"/>
      <c r="D4098" s="39"/>
      <c r="E4098" s="40"/>
      <c r="F4098" s="55" t="s">
        <v>13</v>
      </c>
      <c r="G4098" s="38" t="str">
        <f>IF(ISNUMBER(F4098),E4098*F4098,"")</f>
        <v/>
      </c>
      <c r="H4098" s="42"/>
      <c r="I4098" s="38"/>
      <c r="J4098" s="37">
        <v>0</v>
      </c>
    </row>
    <row r="4099" spans="1:10" hidden="1" x14ac:dyDescent="0.25">
      <c r="A4099" s="179"/>
      <c r="B4099" s="177"/>
      <c r="C4099" s="43" t="s">
        <v>10831</v>
      </c>
      <c r="D4099" s="43" t="s">
        <v>2800</v>
      </c>
      <c r="E4099" s="44">
        <f>1/10</f>
        <v>0.1</v>
      </c>
      <c r="F4099" s="38">
        <v>28.6615</v>
      </c>
      <c r="G4099" s="41">
        <f>IF(ISNUMBER(F4099),E4099*F4099,"")</f>
        <v>2.8661500000000002</v>
      </c>
      <c r="H4099" s="46">
        <f>SUM(G4099:G4100)</f>
        <v>2.8661500000000002</v>
      </c>
      <c r="I4099" s="47"/>
      <c r="J4099" s="37">
        <v>0</v>
      </c>
    </row>
    <row r="4100" spans="1:10" hidden="1" x14ac:dyDescent="0.25">
      <c r="A4100" s="179"/>
      <c r="B4100" s="177"/>
      <c r="C4100" s="43" t="s">
        <v>986</v>
      </c>
      <c r="D4100" s="62" t="s">
        <v>106</v>
      </c>
      <c r="E4100" s="44">
        <v>1.05</v>
      </c>
      <c r="F4100" s="41" t="s">
        <v>13</v>
      </c>
      <c r="G4100" s="41" t="str">
        <f>IF(ISNUMBER(F4100),E4100*F4100,"")</f>
        <v/>
      </c>
      <c r="H4100" s="42"/>
      <c r="I4100" s="38"/>
      <c r="J4100" s="37">
        <v>0</v>
      </c>
    </row>
    <row r="4101" spans="1:10" ht="15.75" hidden="1" thickBot="1" x14ac:dyDescent="0.3">
      <c r="A4101" s="180"/>
      <c r="B4101" s="178"/>
      <c r="C4101" s="49"/>
      <c r="D4101" s="63"/>
      <c r="E4101" s="50"/>
      <c r="F4101" s="52" t="s">
        <v>13</v>
      </c>
      <c r="G4101" s="52" t="str">
        <f>IF(ISNUMBER(F4101),E4101*F4101,"")</f>
        <v/>
      </c>
      <c r="H4101" s="53"/>
      <c r="I4101" s="38"/>
      <c r="J4101" s="37">
        <v>0</v>
      </c>
    </row>
    <row r="4102" spans="1:10" ht="15.75" hidden="1" thickBot="1" x14ac:dyDescent="0.3">
      <c r="A4102" s="173" t="s">
        <v>987</v>
      </c>
      <c r="B4102" s="176" t="s">
        <v>4529</v>
      </c>
      <c r="C4102" s="31"/>
      <c r="D4102" s="32" t="s">
        <v>4530</v>
      </c>
      <c r="E4102" s="33"/>
      <c r="F4102" s="60" t="s">
        <v>13</v>
      </c>
      <c r="G4102" s="34" t="str">
        <f>IF(ISNUMBER(F4102),E4102*F4102,"")</f>
        <v/>
      </c>
      <c r="H4102" s="35"/>
      <c r="I4102" s="36"/>
      <c r="J4102" s="37">
        <v>0</v>
      </c>
    </row>
    <row r="4103" spans="1:10" hidden="1" x14ac:dyDescent="0.25">
      <c r="A4103" s="179"/>
      <c r="B4103" s="177"/>
      <c r="C4103" s="39"/>
      <c r="D4103" s="39"/>
      <c r="E4103" s="40"/>
      <c r="F4103" s="70" t="s">
        <v>13</v>
      </c>
      <c r="G4103" s="70" t="str">
        <f>IF(ISNUMBER(F4103),E4103*F4103,"")</f>
        <v/>
      </c>
      <c r="H4103" s="71"/>
      <c r="I4103" s="72"/>
      <c r="J4103" s="37">
        <v>0</v>
      </c>
    </row>
    <row r="4104" spans="1:10" ht="25.5" hidden="1" x14ac:dyDescent="0.25">
      <c r="A4104" s="179"/>
      <c r="B4104" s="177"/>
      <c r="C4104" s="43" t="s">
        <v>11101</v>
      </c>
      <c r="D4104" s="43" t="s">
        <v>2800</v>
      </c>
      <c r="E4104" s="44">
        <v>1</v>
      </c>
      <c r="F4104" s="70">
        <v>3.7524999999999999</v>
      </c>
      <c r="G4104" s="70">
        <f>IF(ISNUMBER(F4104),E4104*F4104,"")</f>
        <v>3.7524999999999999</v>
      </c>
      <c r="H4104" s="46">
        <f>SUM(G4104:G4104)</f>
        <v>3.7524999999999999</v>
      </c>
      <c r="I4104" s="47"/>
      <c r="J4104" s="37">
        <v>0</v>
      </c>
    </row>
    <row r="4105" spans="1:10" ht="15.75" hidden="1" thickBot="1" x14ac:dyDescent="0.3">
      <c r="A4105" s="180"/>
      <c r="B4105" s="178"/>
      <c r="C4105" s="49"/>
      <c r="D4105" s="49"/>
      <c r="E4105" s="50"/>
      <c r="F4105" s="83" t="s">
        <v>13</v>
      </c>
      <c r="G4105" s="83" t="str">
        <f>IF(ISNUMBER(F4105),E4105*F4105,"")</f>
        <v/>
      </c>
      <c r="H4105" s="84"/>
      <c r="I4105" s="72"/>
      <c r="J4105" s="37">
        <v>0</v>
      </c>
    </row>
    <row r="4106" spans="1:10" ht="15.75" hidden="1" thickBot="1" x14ac:dyDescent="0.3">
      <c r="A4106" s="173" t="s">
        <v>988</v>
      </c>
      <c r="B4106" s="176" t="s">
        <v>4531</v>
      </c>
      <c r="C4106" s="31"/>
      <c r="D4106" s="32" t="s">
        <v>4530</v>
      </c>
      <c r="E4106" s="33"/>
      <c r="F4106" s="60" t="s">
        <v>13</v>
      </c>
      <c r="G4106" s="34" t="str">
        <f>IF(ISNUMBER(F4106),E4106*F4106,"")</f>
        <v/>
      </c>
      <c r="H4106" s="35"/>
      <c r="I4106" s="36"/>
      <c r="J4106" s="37">
        <v>0</v>
      </c>
    </row>
    <row r="4107" spans="1:10" hidden="1" x14ac:dyDescent="0.25">
      <c r="A4107" s="179"/>
      <c r="B4107" s="177"/>
      <c r="C4107" s="39"/>
      <c r="D4107" s="39"/>
      <c r="E4107" s="40"/>
      <c r="F4107" s="70" t="s">
        <v>13</v>
      </c>
      <c r="G4107" s="70" t="str">
        <f>IF(ISNUMBER(F4107),E4107*F4107,"")</f>
        <v/>
      </c>
      <c r="H4107" s="71"/>
      <c r="I4107" s="72"/>
      <c r="J4107" s="37">
        <v>0</v>
      </c>
    </row>
    <row r="4108" spans="1:10" ht="25.5" hidden="1" x14ac:dyDescent="0.25">
      <c r="A4108" s="179"/>
      <c r="B4108" s="177"/>
      <c r="C4108" s="43" t="s">
        <v>11102</v>
      </c>
      <c r="D4108" s="43" t="s">
        <v>2800</v>
      </c>
      <c r="E4108" s="44">
        <v>1</v>
      </c>
      <c r="F4108" s="70">
        <v>1.4249999999999998</v>
      </c>
      <c r="G4108" s="70">
        <f>IF(ISNUMBER(F4108),E4108*F4108,"")</f>
        <v>1.4249999999999998</v>
      </c>
      <c r="H4108" s="46">
        <f>SUM(G4108:G4108)</f>
        <v>1.4249999999999998</v>
      </c>
      <c r="I4108" s="47"/>
      <c r="J4108" s="37">
        <v>0</v>
      </c>
    </row>
    <row r="4109" spans="1:10" ht="15.75" hidden="1" thickBot="1" x14ac:dyDescent="0.3">
      <c r="A4109" s="180"/>
      <c r="B4109" s="178"/>
      <c r="C4109" s="49"/>
      <c r="D4109" s="49"/>
      <c r="E4109" s="50"/>
      <c r="F4109" s="83" t="s">
        <v>13</v>
      </c>
      <c r="G4109" s="83" t="str">
        <f>IF(ISNUMBER(F4109),E4109*F4109,"")</f>
        <v/>
      </c>
      <c r="H4109" s="84"/>
      <c r="I4109" s="72"/>
      <c r="J4109" s="37">
        <v>0</v>
      </c>
    </row>
    <row r="4110" spans="1:10" ht="15.75" hidden="1" thickBot="1" x14ac:dyDescent="0.3">
      <c r="A4110" s="173" t="s">
        <v>989</v>
      </c>
      <c r="B4110" s="176" t="s">
        <v>4540</v>
      </c>
      <c r="C4110" s="31"/>
      <c r="D4110" s="32" t="s">
        <v>18</v>
      </c>
      <c r="E4110" s="33"/>
      <c r="F4110" s="60" t="s">
        <v>13</v>
      </c>
      <c r="G4110" s="34" t="str">
        <f>IF(ISNUMBER(F4110),E4110*F4110,"")</f>
        <v/>
      </c>
      <c r="H4110" s="35"/>
      <c r="I4110" s="36"/>
      <c r="J4110" s="37">
        <v>0</v>
      </c>
    </row>
    <row r="4111" spans="1:10" hidden="1" x14ac:dyDescent="0.25">
      <c r="A4111" s="179"/>
      <c r="B4111" s="177"/>
      <c r="C4111" s="39"/>
      <c r="D4111" s="39"/>
      <c r="E4111" s="40"/>
      <c r="F4111" s="70" t="s">
        <v>13</v>
      </c>
      <c r="G4111" s="70" t="str">
        <f>IF(ISNUMBER(F4111),E4111*F4111,"")</f>
        <v/>
      </c>
      <c r="H4111" s="71"/>
      <c r="I4111" s="72"/>
      <c r="J4111" s="37">
        <v>0</v>
      </c>
    </row>
    <row r="4112" spans="1:10" ht="25.5" hidden="1" x14ac:dyDescent="0.25">
      <c r="A4112" s="179"/>
      <c r="B4112" s="177"/>
      <c r="C4112" s="43" t="s">
        <v>11103</v>
      </c>
      <c r="D4112" s="43" t="s">
        <v>83</v>
      </c>
      <c r="E4112" s="44">
        <v>1</v>
      </c>
      <c r="F4112" s="70">
        <v>63.374499999999991</v>
      </c>
      <c r="G4112" s="70">
        <f>IF(ISNUMBER(F4112),E4112*F4112,"")</f>
        <v>63.374499999999991</v>
      </c>
      <c r="H4112" s="46">
        <f>SUM(G4112:G4117)</f>
        <v>75.500233499999993</v>
      </c>
      <c r="I4112" s="47"/>
      <c r="J4112" s="37">
        <v>0</v>
      </c>
    </row>
    <row r="4113" spans="1:10" ht="25.5" hidden="1" x14ac:dyDescent="0.25">
      <c r="A4113" s="179"/>
      <c r="B4113" s="177"/>
      <c r="C4113" s="43" t="s">
        <v>11104</v>
      </c>
      <c r="D4113" s="43" t="s">
        <v>83</v>
      </c>
      <c r="E4113" s="44">
        <v>8.3999999999999995E-3</v>
      </c>
      <c r="F4113" s="70">
        <v>468.14099999999996</v>
      </c>
      <c r="G4113" s="70">
        <f>IF(ISNUMBER(F4113),E4113*F4113,"")</f>
        <v>3.9323843999999992</v>
      </c>
      <c r="H4113" s="71"/>
      <c r="I4113" s="72"/>
      <c r="J4113" s="37">
        <v>0</v>
      </c>
    </row>
    <row r="4114" spans="1:10" hidden="1" x14ac:dyDescent="0.25">
      <c r="A4114" s="179"/>
      <c r="B4114" s="177"/>
      <c r="C4114" s="43" t="s">
        <v>10899</v>
      </c>
      <c r="D4114" s="43" t="s">
        <v>83</v>
      </c>
      <c r="E4114" s="44">
        <v>6.4399999999999999E-2</v>
      </c>
      <c r="F4114" s="70">
        <v>2.2039999999999997</v>
      </c>
      <c r="G4114" s="70">
        <f>IF(ISNUMBER(F4114),E4114*F4114,"")</f>
        <v>0.14193759999999997</v>
      </c>
      <c r="H4114" s="71"/>
      <c r="I4114" s="72"/>
      <c r="J4114" s="37">
        <v>0</v>
      </c>
    </row>
    <row r="4115" spans="1:10" ht="25.5" hidden="1" x14ac:dyDescent="0.25">
      <c r="A4115" s="179"/>
      <c r="B4115" s="177"/>
      <c r="C4115" s="43" t="s">
        <v>11105</v>
      </c>
      <c r="D4115" s="43" t="s">
        <v>83</v>
      </c>
      <c r="E4115" s="44">
        <v>2.0999999999999999E-3</v>
      </c>
      <c r="F4115" s="70">
        <v>85.822999999999993</v>
      </c>
      <c r="G4115" s="70">
        <f>IF(ISNUMBER(F4115),E4115*F4115,"")</f>
        <v>0.18022829999999998</v>
      </c>
      <c r="H4115" s="71"/>
      <c r="I4115" s="72"/>
      <c r="J4115" s="37">
        <v>0</v>
      </c>
    </row>
    <row r="4116" spans="1:10" ht="25.5" hidden="1" x14ac:dyDescent="0.25">
      <c r="A4116" s="179"/>
      <c r="B4116" s="177"/>
      <c r="C4116" s="43" t="s">
        <v>10753</v>
      </c>
      <c r="D4116" s="43" t="s">
        <v>2800</v>
      </c>
      <c r="E4116" s="44">
        <v>0.14480000000000001</v>
      </c>
      <c r="F4116" s="70">
        <v>23.997</v>
      </c>
      <c r="G4116" s="70">
        <f>IF(ISNUMBER(F4116),E4116*F4116,"")</f>
        <v>3.4747656000000005</v>
      </c>
      <c r="H4116" s="71"/>
      <c r="I4116" s="72"/>
      <c r="J4116" s="37">
        <v>0</v>
      </c>
    </row>
    <row r="4117" spans="1:10" ht="25.5" hidden="1" x14ac:dyDescent="0.25">
      <c r="A4117" s="179"/>
      <c r="B4117" s="177"/>
      <c r="C4117" s="43" t="s">
        <v>10754</v>
      </c>
      <c r="D4117" s="43" t="s">
        <v>2800</v>
      </c>
      <c r="E4117" s="44">
        <v>0.14480000000000001</v>
      </c>
      <c r="F4117" s="70">
        <v>30.361999999999998</v>
      </c>
      <c r="G4117" s="70">
        <f>IF(ISNUMBER(F4117),E4117*F4117,"")</f>
        <v>4.3964176000000004</v>
      </c>
      <c r="H4117" s="71"/>
      <c r="I4117" s="72"/>
      <c r="J4117" s="37">
        <v>0</v>
      </c>
    </row>
    <row r="4118" spans="1:10" ht="15.75" hidden="1" thickBot="1" x14ac:dyDescent="0.3">
      <c r="A4118" s="180"/>
      <c r="B4118" s="178"/>
      <c r="C4118" s="49"/>
      <c r="D4118" s="49"/>
      <c r="E4118" s="50"/>
      <c r="F4118" s="83" t="s">
        <v>13</v>
      </c>
      <c r="G4118" s="83" t="str">
        <f>IF(ISNUMBER(F4118),E4118*F4118,"")</f>
        <v/>
      </c>
      <c r="H4118" s="84"/>
      <c r="I4118" s="72"/>
      <c r="J4118" s="37">
        <v>0</v>
      </c>
    </row>
    <row r="4119" spans="1:10" ht="15.75" hidden="1" thickBot="1" x14ac:dyDescent="0.3">
      <c r="A4119" s="173" t="s">
        <v>990</v>
      </c>
      <c r="B4119" s="176" t="s">
        <v>4541</v>
      </c>
      <c r="C4119" s="31"/>
      <c r="D4119" s="32" t="s">
        <v>18</v>
      </c>
      <c r="E4119" s="33"/>
      <c r="F4119" s="60" t="s">
        <v>13</v>
      </c>
      <c r="G4119" s="34" t="str">
        <f>IF(ISNUMBER(F4119),E4119*F4119,"")</f>
        <v/>
      </c>
      <c r="H4119" s="35"/>
      <c r="I4119" s="36"/>
      <c r="J4119" s="37">
        <v>0</v>
      </c>
    </row>
    <row r="4120" spans="1:10" hidden="1" x14ac:dyDescent="0.25">
      <c r="A4120" s="179"/>
      <c r="B4120" s="177"/>
      <c r="C4120" s="39"/>
      <c r="D4120" s="39"/>
      <c r="E4120" s="40"/>
      <c r="F4120" s="70" t="s">
        <v>13</v>
      </c>
      <c r="G4120" s="70" t="str">
        <f>IF(ISNUMBER(F4120),E4120*F4120,"")</f>
        <v/>
      </c>
      <c r="H4120" s="71"/>
      <c r="I4120" s="72"/>
      <c r="J4120" s="37">
        <v>0</v>
      </c>
    </row>
    <row r="4121" spans="1:10" ht="25.5" hidden="1" x14ac:dyDescent="0.25">
      <c r="A4121" s="179"/>
      <c r="B4121" s="177"/>
      <c r="C4121" s="43" t="s">
        <v>11106</v>
      </c>
      <c r="D4121" s="43" t="s">
        <v>83</v>
      </c>
      <c r="E4121" s="44">
        <v>1</v>
      </c>
      <c r="F4121" s="70">
        <v>97.260999999999996</v>
      </c>
      <c r="G4121" s="70">
        <f>IF(ISNUMBER(F4121),E4121*F4121,"")</f>
        <v>97.260999999999996</v>
      </c>
      <c r="H4121" s="46">
        <f>SUM(G4121:G4126)</f>
        <v>115.55676309999998</v>
      </c>
      <c r="I4121" s="47"/>
      <c r="J4121" s="37">
        <v>0</v>
      </c>
    </row>
    <row r="4122" spans="1:10" ht="25.5" hidden="1" x14ac:dyDescent="0.25">
      <c r="A4122" s="179"/>
      <c r="B4122" s="177"/>
      <c r="C4122" s="43" t="s">
        <v>11104</v>
      </c>
      <c r="D4122" s="43" t="s">
        <v>83</v>
      </c>
      <c r="E4122" s="44">
        <v>1.7600000000000001E-2</v>
      </c>
      <c r="F4122" s="70">
        <v>468.14099999999996</v>
      </c>
      <c r="G4122" s="70">
        <f>IF(ISNUMBER(F4122),E4122*F4122,"")</f>
        <v>8.2392816</v>
      </c>
      <c r="H4122" s="71"/>
      <c r="I4122" s="72"/>
      <c r="J4122" s="37">
        <v>0</v>
      </c>
    </row>
    <row r="4123" spans="1:10" hidden="1" x14ac:dyDescent="0.25">
      <c r="A4123" s="179"/>
      <c r="B4123" s="177"/>
      <c r="C4123" s="43" t="s">
        <v>10899</v>
      </c>
      <c r="D4123" s="43" t="s">
        <v>83</v>
      </c>
      <c r="E4123" s="44">
        <v>7.7799999999999994E-2</v>
      </c>
      <c r="F4123" s="70">
        <v>2.2039999999999997</v>
      </c>
      <c r="G4123" s="70">
        <f>IF(ISNUMBER(F4123),E4123*F4123,"")</f>
        <v>0.17147119999999996</v>
      </c>
      <c r="H4123" s="71"/>
      <c r="I4123" s="72"/>
      <c r="J4123" s="37">
        <v>0</v>
      </c>
    </row>
    <row r="4124" spans="1:10" ht="25.5" hidden="1" x14ac:dyDescent="0.25">
      <c r="A4124" s="179"/>
      <c r="B4124" s="177"/>
      <c r="C4124" s="43" t="s">
        <v>11105</v>
      </c>
      <c r="D4124" s="43" t="s">
        <v>83</v>
      </c>
      <c r="E4124" s="44">
        <v>4.4000000000000003E-3</v>
      </c>
      <c r="F4124" s="70">
        <v>85.822999999999993</v>
      </c>
      <c r="G4124" s="70">
        <f>IF(ISNUMBER(F4124),E4124*F4124,"")</f>
        <v>0.37762119999999999</v>
      </c>
      <c r="H4124" s="71"/>
      <c r="I4124" s="72"/>
      <c r="J4124" s="37">
        <v>0</v>
      </c>
    </row>
    <row r="4125" spans="1:10" ht="25.5" hidden="1" x14ac:dyDescent="0.25">
      <c r="A4125" s="179"/>
      <c r="B4125" s="177"/>
      <c r="C4125" s="43" t="s">
        <v>10753</v>
      </c>
      <c r="D4125" s="43" t="s">
        <v>2800</v>
      </c>
      <c r="E4125" s="44">
        <v>0.1749</v>
      </c>
      <c r="F4125" s="70">
        <v>23.997</v>
      </c>
      <c r="G4125" s="70">
        <f>IF(ISNUMBER(F4125),E4125*F4125,"")</f>
        <v>4.1970752999999998</v>
      </c>
      <c r="H4125" s="71"/>
      <c r="I4125" s="72"/>
      <c r="J4125" s="37">
        <v>0</v>
      </c>
    </row>
    <row r="4126" spans="1:10" ht="25.5" hidden="1" x14ac:dyDescent="0.25">
      <c r="A4126" s="179"/>
      <c r="B4126" s="177"/>
      <c r="C4126" s="43" t="s">
        <v>10754</v>
      </c>
      <c r="D4126" s="43" t="s">
        <v>2800</v>
      </c>
      <c r="E4126" s="44">
        <v>0.1749</v>
      </c>
      <c r="F4126" s="70">
        <v>30.361999999999998</v>
      </c>
      <c r="G4126" s="70">
        <f>IF(ISNUMBER(F4126),E4126*F4126,"")</f>
        <v>5.3103137999999994</v>
      </c>
      <c r="H4126" s="71"/>
      <c r="I4126" s="72"/>
      <c r="J4126" s="37">
        <v>0</v>
      </c>
    </row>
    <row r="4127" spans="1:10" ht="15.75" hidden="1" thickBot="1" x14ac:dyDescent="0.3">
      <c r="A4127" s="180"/>
      <c r="B4127" s="178"/>
      <c r="C4127" s="49"/>
      <c r="D4127" s="49"/>
      <c r="E4127" s="50"/>
      <c r="F4127" s="83" t="s">
        <v>13</v>
      </c>
      <c r="G4127" s="83" t="str">
        <f>IF(ISNUMBER(F4127),E4127*F4127,"")</f>
        <v/>
      </c>
      <c r="H4127" s="84"/>
      <c r="I4127" s="72"/>
      <c r="J4127" s="37">
        <v>0</v>
      </c>
    </row>
    <row r="4128" spans="1:10" ht="15.75" hidden="1" thickBot="1" x14ac:dyDescent="0.3">
      <c r="A4128" s="173" t="s">
        <v>991</v>
      </c>
      <c r="B4128" s="176" t="s">
        <v>4542</v>
      </c>
      <c r="C4128" s="31"/>
      <c r="D4128" s="32" t="s">
        <v>18</v>
      </c>
      <c r="E4128" s="33"/>
      <c r="F4128" s="60" t="s">
        <v>13</v>
      </c>
      <c r="G4128" s="34" t="str">
        <f>IF(ISNUMBER(F4128),E4128*F4128,"")</f>
        <v/>
      </c>
      <c r="H4128" s="35"/>
      <c r="I4128" s="36"/>
      <c r="J4128" s="37">
        <v>0</v>
      </c>
    </row>
    <row r="4129" spans="1:10" hidden="1" x14ac:dyDescent="0.25">
      <c r="A4129" s="179"/>
      <c r="B4129" s="177"/>
      <c r="C4129" s="39"/>
      <c r="D4129" s="39"/>
      <c r="E4129" s="40"/>
      <c r="F4129" s="70" t="s">
        <v>13</v>
      </c>
      <c r="G4129" s="70" t="str">
        <f>IF(ISNUMBER(F4129),E4129*F4129,"")</f>
        <v/>
      </c>
      <c r="H4129" s="71"/>
      <c r="I4129" s="72"/>
      <c r="J4129" s="37">
        <v>0</v>
      </c>
    </row>
    <row r="4130" spans="1:10" ht="25.5" hidden="1" x14ac:dyDescent="0.25">
      <c r="A4130" s="179"/>
      <c r="B4130" s="177"/>
      <c r="C4130" s="43" t="s">
        <v>11107</v>
      </c>
      <c r="D4130" s="43" t="s">
        <v>83</v>
      </c>
      <c r="E4130" s="44">
        <v>1</v>
      </c>
      <c r="F4130" s="70">
        <v>18.772000000000002</v>
      </c>
      <c r="G4130" s="70">
        <f>IF(ISNUMBER(F4130),E4130*F4130,"")</f>
        <v>18.772000000000002</v>
      </c>
      <c r="H4130" s="46">
        <f>SUM(G4130:G4135)</f>
        <v>26.047073399999999</v>
      </c>
      <c r="I4130" s="47"/>
      <c r="J4130" s="37">
        <v>0</v>
      </c>
    </row>
    <row r="4131" spans="1:10" ht="25.5" hidden="1" x14ac:dyDescent="0.25">
      <c r="A4131" s="179"/>
      <c r="B4131" s="177"/>
      <c r="C4131" s="43" t="s">
        <v>11104</v>
      </c>
      <c r="D4131" s="43" t="s">
        <v>83</v>
      </c>
      <c r="E4131" s="44">
        <v>4.7999999999999996E-3</v>
      </c>
      <c r="F4131" s="70">
        <v>468.14099999999996</v>
      </c>
      <c r="G4131" s="70">
        <f>IF(ISNUMBER(F4131),E4131*F4131,"")</f>
        <v>2.2470767999999994</v>
      </c>
      <c r="H4131" s="71"/>
      <c r="I4131" s="72"/>
      <c r="J4131" s="37">
        <v>0</v>
      </c>
    </row>
    <row r="4132" spans="1:10" hidden="1" x14ac:dyDescent="0.25">
      <c r="A4132" s="179"/>
      <c r="B4132" s="177"/>
      <c r="C4132" s="43" t="s">
        <v>10899</v>
      </c>
      <c r="D4132" s="43" t="s">
        <v>83</v>
      </c>
      <c r="E4132" s="44">
        <v>3.95E-2</v>
      </c>
      <c r="F4132" s="70">
        <v>2.2039999999999997</v>
      </c>
      <c r="G4132" s="70">
        <f>IF(ISNUMBER(F4132),E4132*F4132,"")</f>
        <v>8.7057999999999996E-2</v>
      </c>
      <c r="H4132" s="71"/>
      <c r="I4132" s="72"/>
      <c r="J4132" s="37">
        <v>0</v>
      </c>
    </row>
    <row r="4133" spans="1:10" ht="25.5" hidden="1" x14ac:dyDescent="0.25">
      <c r="A4133" s="179"/>
      <c r="B4133" s="177"/>
      <c r="C4133" s="43" t="s">
        <v>11105</v>
      </c>
      <c r="D4133" s="43" t="s">
        <v>83</v>
      </c>
      <c r="E4133" s="44">
        <v>1.1999999999999999E-3</v>
      </c>
      <c r="F4133" s="70">
        <v>85.822999999999993</v>
      </c>
      <c r="G4133" s="70">
        <f>IF(ISNUMBER(F4133),E4133*F4133,"")</f>
        <v>0.10298759999999998</v>
      </c>
      <c r="H4133" s="71"/>
      <c r="I4133" s="72"/>
      <c r="J4133" s="37">
        <v>0</v>
      </c>
    </row>
    <row r="4134" spans="1:10" ht="25.5" hidden="1" x14ac:dyDescent="0.25">
      <c r="A4134" s="179"/>
      <c r="B4134" s="177"/>
      <c r="C4134" s="43" t="s">
        <v>10753</v>
      </c>
      <c r="D4134" s="43" t="s">
        <v>2800</v>
      </c>
      <c r="E4134" s="44">
        <v>8.8999999999999996E-2</v>
      </c>
      <c r="F4134" s="70">
        <v>23.997</v>
      </c>
      <c r="G4134" s="70">
        <f>IF(ISNUMBER(F4134),E4134*F4134,"")</f>
        <v>2.1357330000000001</v>
      </c>
      <c r="H4134" s="71"/>
      <c r="I4134" s="72"/>
      <c r="J4134" s="37">
        <v>0</v>
      </c>
    </row>
    <row r="4135" spans="1:10" ht="25.5" hidden="1" x14ac:dyDescent="0.25">
      <c r="A4135" s="179"/>
      <c r="B4135" s="177"/>
      <c r="C4135" s="43" t="s">
        <v>10754</v>
      </c>
      <c r="D4135" s="43" t="s">
        <v>2800</v>
      </c>
      <c r="E4135" s="44">
        <v>8.8999999999999996E-2</v>
      </c>
      <c r="F4135" s="70">
        <v>30.361999999999998</v>
      </c>
      <c r="G4135" s="70">
        <f>IF(ISNUMBER(F4135),E4135*F4135,"")</f>
        <v>2.7022179999999998</v>
      </c>
      <c r="H4135" s="71"/>
      <c r="I4135" s="72"/>
      <c r="J4135" s="37">
        <v>0</v>
      </c>
    </row>
    <row r="4136" spans="1:10" ht="15.75" hidden="1" thickBot="1" x14ac:dyDescent="0.3">
      <c r="A4136" s="180"/>
      <c r="B4136" s="178"/>
      <c r="C4136" s="49"/>
      <c r="D4136" s="49"/>
      <c r="E4136" s="50"/>
      <c r="F4136" s="83" t="s">
        <v>13</v>
      </c>
      <c r="G4136" s="83" t="str">
        <f>IF(ISNUMBER(F4136),E4136*F4136,"")</f>
        <v/>
      </c>
      <c r="H4136" s="84"/>
      <c r="I4136" s="72"/>
      <c r="J4136" s="37">
        <v>0</v>
      </c>
    </row>
    <row r="4137" spans="1:10" ht="15.75" hidden="1" thickBot="1" x14ac:dyDescent="0.3">
      <c r="A4137" s="173" t="s">
        <v>992</v>
      </c>
      <c r="B4137" s="176" t="s">
        <v>4545</v>
      </c>
      <c r="C4137" s="31"/>
      <c r="D4137" s="32" t="s">
        <v>18</v>
      </c>
      <c r="E4137" s="33"/>
      <c r="F4137" s="60" t="s">
        <v>13</v>
      </c>
      <c r="G4137" s="34" t="str">
        <f>IF(ISNUMBER(F4137),E4137*F4137,"")</f>
        <v/>
      </c>
      <c r="H4137" s="35"/>
      <c r="I4137" s="36"/>
      <c r="J4137" s="37">
        <v>0</v>
      </c>
    </row>
    <row r="4138" spans="1:10" hidden="1" x14ac:dyDescent="0.25">
      <c r="A4138" s="179"/>
      <c r="B4138" s="177"/>
      <c r="C4138" s="39"/>
      <c r="D4138" s="39"/>
      <c r="E4138" s="40"/>
      <c r="F4138" s="70" t="s">
        <v>13</v>
      </c>
      <c r="G4138" s="70" t="str">
        <f>IF(ISNUMBER(F4138),E4138*F4138,"")</f>
        <v/>
      </c>
      <c r="H4138" s="71"/>
      <c r="I4138" s="72"/>
      <c r="J4138" s="37">
        <v>0</v>
      </c>
    </row>
    <row r="4139" spans="1:10" hidden="1" x14ac:dyDescent="0.25">
      <c r="A4139" s="179"/>
      <c r="B4139" s="177"/>
      <c r="C4139" s="43" t="s">
        <v>11108</v>
      </c>
      <c r="D4139" s="43" t="s">
        <v>83</v>
      </c>
      <c r="E4139" s="44">
        <v>1</v>
      </c>
      <c r="F4139" s="70">
        <v>39.367999999999995</v>
      </c>
      <c r="G4139" s="70">
        <f>IF(ISNUMBER(F4139),E4139*F4139,"")</f>
        <v>39.367999999999995</v>
      </c>
      <c r="H4139" s="46">
        <f>SUM(G4139:G4144)</f>
        <v>48.873629699999995</v>
      </c>
      <c r="I4139" s="47"/>
      <c r="J4139" s="37">
        <v>0</v>
      </c>
    </row>
    <row r="4140" spans="1:10" ht="25.5" hidden="1" x14ac:dyDescent="0.25">
      <c r="A4140" s="179"/>
      <c r="B4140" s="177"/>
      <c r="C4140" s="43" t="s">
        <v>11104</v>
      </c>
      <c r="D4140" s="43" t="s">
        <v>83</v>
      </c>
      <c r="E4140" s="44">
        <v>8.3999999999999995E-3</v>
      </c>
      <c r="F4140" s="70">
        <v>468.14099999999996</v>
      </c>
      <c r="G4140" s="70">
        <f>IF(ISNUMBER(F4140),E4140*F4140,"")</f>
        <v>3.9323843999999992</v>
      </c>
      <c r="H4140" s="71"/>
      <c r="I4140" s="72"/>
      <c r="J4140" s="37">
        <v>0</v>
      </c>
    </row>
    <row r="4141" spans="1:10" hidden="1" x14ac:dyDescent="0.25">
      <c r="A4141" s="179"/>
      <c r="B4141" s="177"/>
      <c r="C4141" s="43" t="s">
        <v>10899</v>
      </c>
      <c r="D4141" s="43" t="s">
        <v>83</v>
      </c>
      <c r="E4141" s="44">
        <v>6.4399999999999999E-2</v>
      </c>
      <c r="F4141" s="70">
        <v>2.2039999999999997</v>
      </c>
      <c r="G4141" s="70">
        <f>IF(ISNUMBER(F4141),E4141*F4141,"")</f>
        <v>0.14193759999999997</v>
      </c>
      <c r="H4141" s="71"/>
      <c r="I4141" s="72"/>
      <c r="J4141" s="37">
        <v>0</v>
      </c>
    </row>
    <row r="4142" spans="1:10" ht="25.5" hidden="1" x14ac:dyDescent="0.25">
      <c r="A4142" s="179"/>
      <c r="B4142" s="177"/>
      <c r="C4142" s="43" t="s">
        <v>11105</v>
      </c>
      <c r="D4142" s="43" t="s">
        <v>83</v>
      </c>
      <c r="E4142" s="44">
        <v>2.0999999999999999E-3</v>
      </c>
      <c r="F4142" s="70">
        <v>85.822999999999993</v>
      </c>
      <c r="G4142" s="70">
        <f>IF(ISNUMBER(F4142),E4142*F4142,"")</f>
        <v>0.18022829999999998</v>
      </c>
      <c r="H4142" s="71"/>
      <c r="I4142" s="72"/>
      <c r="J4142" s="37">
        <v>0</v>
      </c>
    </row>
    <row r="4143" spans="1:10" ht="25.5" hidden="1" x14ac:dyDescent="0.25">
      <c r="A4143" s="179"/>
      <c r="B4143" s="177"/>
      <c r="C4143" s="43" t="s">
        <v>10753</v>
      </c>
      <c r="D4143" s="43" t="s">
        <v>2800</v>
      </c>
      <c r="E4143" s="44">
        <v>9.6600000000000005E-2</v>
      </c>
      <c r="F4143" s="70">
        <v>23.997</v>
      </c>
      <c r="G4143" s="70">
        <f>IF(ISNUMBER(F4143),E4143*F4143,"")</f>
        <v>2.3181102</v>
      </c>
      <c r="H4143" s="71"/>
      <c r="I4143" s="72"/>
      <c r="J4143" s="37">
        <v>0</v>
      </c>
    </row>
    <row r="4144" spans="1:10" ht="25.5" hidden="1" x14ac:dyDescent="0.25">
      <c r="A4144" s="179"/>
      <c r="B4144" s="177"/>
      <c r="C4144" s="43" t="s">
        <v>10754</v>
      </c>
      <c r="D4144" s="43" t="s">
        <v>2800</v>
      </c>
      <c r="E4144" s="44">
        <v>9.6600000000000005E-2</v>
      </c>
      <c r="F4144" s="70">
        <v>30.361999999999998</v>
      </c>
      <c r="G4144" s="70">
        <f>IF(ISNUMBER(F4144),E4144*F4144,"")</f>
        <v>2.9329692000000001</v>
      </c>
      <c r="H4144" s="71"/>
      <c r="I4144" s="72"/>
      <c r="J4144" s="37">
        <v>0</v>
      </c>
    </row>
    <row r="4145" spans="1:10" ht="15.75" hidden="1" thickBot="1" x14ac:dyDescent="0.3">
      <c r="A4145" s="180"/>
      <c r="B4145" s="178"/>
      <c r="C4145" s="49"/>
      <c r="D4145" s="49"/>
      <c r="E4145" s="50"/>
      <c r="F4145" s="83" t="s">
        <v>13</v>
      </c>
      <c r="G4145" s="83" t="str">
        <f>IF(ISNUMBER(F4145),E4145*F4145,"")</f>
        <v/>
      </c>
      <c r="H4145" s="84"/>
      <c r="I4145" s="72"/>
      <c r="J4145" s="37">
        <v>0</v>
      </c>
    </row>
    <row r="4146" spans="1:10" ht="15.75" hidden="1" thickBot="1" x14ac:dyDescent="0.3">
      <c r="A4146" s="173" t="s">
        <v>993</v>
      </c>
      <c r="B4146" s="176" t="s">
        <v>4546</v>
      </c>
      <c r="C4146" s="31"/>
      <c r="D4146" s="32" t="s">
        <v>18</v>
      </c>
      <c r="E4146" s="33"/>
      <c r="F4146" s="60" t="s">
        <v>13</v>
      </c>
      <c r="G4146" s="34" t="str">
        <f>IF(ISNUMBER(F4146),E4146*F4146,"")</f>
        <v/>
      </c>
      <c r="H4146" s="35"/>
      <c r="I4146" s="36"/>
      <c r="J4146" s="37">
        <v>0</v>
      </c>
    </row>
    <row r="4147" spans="1:10" hidden="1" x14ac:dyDescent="0.25">
      <c r="A4147" s="179"/>
      <c r="B4147" s="177"/>
      <c r="C4147" s="39"/>
      <c r="D4147" s="39"/>
      <c r="E4147" s="40"/>
      <c r="F4147" s="70" t="s">
        <v>13</v>
      </c>
      <c r="G4147" s="70" t="str">
        <f>IF(ISNUMBER(F4147),E4147*F4147,"")</f>
        <v/>
      </c>
      <c r="H4147" s="71"/>
      <c r="I4147" s="72"/>
      <c r="J4147" s="37">
        <v>0</v>
      </c>
    </row>
    <row r="4148" spans="1:10" hidden="1" x14ac:dyDescent="0.25">
      <c r="A4148" s="179"/>
      <c r="B4148" s="177"/>
      <c r="C4148" s="43" t="s">
        <v>11109</v>
      </c>
      <c r="D4148" s="43" t="s">
        <v>83</v>
      </c>
      <c r="E4148" s="44">
        <v>1</v>
      </c>
      <c r="F4148" s="70">
        <v>49.932000000000002</v>
      </c>
      <c r="G4148" s="70">
        <f>IF(ISNUMBER(F4148),E4148*F4148,"")</f>
        <v>49.932000000000002</v>
      </c>
      <c r="H4148" s="46">
        <f>SUM(G4148:G4153)</f>
        <v>65.058633399999991</v>
      </c>
      <c r="I4148" s="47"/>
      <c r="J4148" s="37">
        <v>0</v>
      </c>
    </row>
    <row r="4149" spans="1:10" ht="25.5" hidden="1" x14ac:dyDescent="0.25">
      <c r="A4149" s="179"/>
      <c r="B4149" s="177"/>
      <c r="C4149" s="43" t="s">
        <v>11104</v>
      </c>
      <c r="D4149" s="43" t="s">
        <v>83</v>
      </c>
      <c r="E4149" s="44">
        <v>1.7600000000000001E-2</v>
      </c>
      <c r="F4149" s="70">
        <v>468.14099999999996</v>
      </c>
      <c r="G4149" s="70">
        <f>IF(ISNUMBER(F4149),E4149*F4149,"")</f>
        <v>8.2392816</v>
      </c>
      <c r="H4149" s="71"/>
      <c r="I4149" s="72"/>
      <c r="J4149" s="37">
        <v>0</v>
      </c>
    </row>
    <row r="4150" spans="1:10" hidden="1" x14ac:dyDescent="0.25">
      <c r="A4150" s="179"/>
      <c r="B4150" s="177"/>
      <c r="C4150" s="43" t="s">
        <v>10899</v>
      </c>
      <c r="D4150" s="43" t="s">
        <v>83</v>
      </c>
      <c r="E4150" s="44">
        <v>7.7799999999999994E-2</v>
      </c>
      <c r="F4150" s="70">
        <v>2.2039999999999997</v>
      </c>
      <c r="G4150" s="70">
        <f>IF(ISNUMBER(F4150),E4150*F4150,"")</f>
        <v>0.17147119999999996</v>
      </c>
      <c r="H4150" s="71"/>
      <c r="I4150" s="72"/>
      <c r="J4150" s="37">
        <v>0</v>
      </c>
    </row>
    <row r="4151" spans="1:10" ht="25.5" hidden="1" x14ac:dyDescent="0.25">
      <c r="A4151" s="179"/>
      <c r="B4151" s="177"/>
      <c r="C4151" s="43" t="s">
        <v>11105</v>
      </c>
      <c r="D4151" s="43" t="s">
        <v>83</v>
      </c>
      <c r="E4151" s="44">
        <v>4.4000000000000003E-3</v>
      </c>
      <c r="F4151" s="70">
        <v>85.822999999999993</v>
      </c>
      <c r="G4151" s="70">
        <f>IF(ISNUMBER(F4151),E4151*F4151,"")</f>
        <v>0.37762119999999999</v>
      </c>
      <c r="H4151" s="71"/>
      <c r="I4151" s="72"/>
      <c r="J4151" s="37">
        <v>0</v>
      </c>
    </row>
    <row r="4152" spans="1:10" ht="25.5" hidden="1" x14ac:dyDescent="0.25">
      <c r="A4152" s="179"/>
      <c r="B4152" s="177"/>
      <c r="C4152" s="43" t="s">
        <v>10753</v>
      </c>
      <c r="D4152" s="43" t="s">
        <v>2800</v>
      </c>
      <c r="E4152" s="44">
        <v>0.1166</v>
      </c>
      <c r="F4152" s="70">
        <v>23.997</v>
      </c>
      <c r="G4152" s="70">
        <f>IF(ISNUMBER(F4152),E4152*F4152,"")</f>
        <v>2.7980502</v>
      </c>
      <c r="H4152" s="71"/>
      <c r="I4152" s="72"/>
      <c r="J4152" s="37">
        <v>0</v>
      </c>
    </row>
    <row r="4153" spans="1:10" ht="25.5" hidden="1" x14ac:dyDescent="0.25">
      <c r="A4153" s="179"/>
      <c r="B4153" s="177"/>
      <c r="C4153" s="43" t="s">
        <v>10754</v>
      </c>
      <c r="D4153" s="43" t="s">
        <v>2800</v>
      </c>
      <c r="E4153" s="44">
        <v>0.1166</v>
      </c>
      <c r="F4153" s="70">
        <v>30.361999999999998</v>
      </c>
      <c r="G4153" s="70">
        <f>IF(ISNUMBER(F4153),E4153*F4153,"")</f>
        <v>3.5402091999999996</v>
      </c>
      <c r="H4153" s="71"/>
      <c r="I4153" s="72"/>
      <c r="J4153" s="37">
        <v>0</v>
      </c>
    </row>
    <row r="4154" spans="1:10" ht="15.75" hidden="1" thickBot="1" x14ac:dyDescent="0.3">
      <c r="A4154" s="180"/>
      <c r="B4154" s="178"/>
      <c r="C4154" s="49"/>
      <c r="D4154" s="49"/>
      <c r="E4154" s="50"/>
      <c r="F4154" s="83" t="s">
        <v>13</v>
      </c>
      <c r="G4154" s="83" t="str">
        <f>IF(ISNUMBER(F4154),E4154*F4154,"")</f>
        <v/>
      </c>
      <c r="H4154" s="84"/>
      <c r="I4154" s="72"/>
      <c r="J4154" s="37">
        <v>0</v>
      </c>
    </row>
    <row r="4155" spans="1:10" ht="15.75" hidden="1" thickBot="1" x14ac:dyDescent="0.3">
      <c r="A4155" s="173" t="s">
        <v>994</v>
      </c>
      <c r="B4155" s="176" t="s">
        <v>4547</v>
      </c>
      <c r="C4155" s="31"/>
      <c r="D4155" s="32" t="s">
        <v>18</v>
      </c>
      <c r="E4155" s="33"/>
      <c r="F4155" s="60" t="s">
        <v>13</v>
      </c>
      <c r="G4155" s="34" t="str">
        <f>IF(ISNUMBER(F4155),E4155*F4155,"")</f>
        <v/>
      </c>
      <c r="H4155" s="35"/>
      <c r="I4155" s="36"/>
      <c r="J4155" s="37">
        <v>0</v>
      </c>
    </row>
    <row r="4156" spans="1:10" hidden="1" x14ac:dyDescent="0.25">
      <c r="A4156" s="179"/>
      <c r="B4156" s="177"/>
      <c r="C4156" s="39"/>
      <c r="D4156" s="39"/>
      <c r="E4156" s="40"/>
      <c r="F4156" s="70" t="s">
        <v>13</v>
      </c>
      <c r="G4156" s="70" t="str">
        <f>IF(ISNUMBER(F4156),E4156*F4156,"")</f>
        <v/>
      </c>
      <c r="H4156" s="71"/>
      <c r="I4156" s="72"/>
      <c r="J4156" s="37">
        <v>0</v>
      </c>
    </row>
    <row r="4157" spans="1:10" hidden="1" x14ac:dyDescent="0.25">
      <c r="A4157" s="179"/>
      <c r="B4157" s="177"/>
      <c r="C4157" s="43" t="s">
        <v>11110</v>
      </c>
      <c r="D4157" s="43" t="s">
        <v>83</v>
      </c>
      <c r="E4157" s="44">
        <v>1</v>
      </c>
      <c r="F4157" s="70">
        <v>8.8919999999999995</v>
      </c>
      <c r="G4157" s="70">
        <f>IF(ISNUMBER(F4157),E4157*F4157,"")</f>
        <v>8.8919999999999995</v>
      </c>
      <c r="H4157" s="46">
        <f>SUM(G4157:G4162)</f>
        <v>14.5526111</v>
      </c>
      <c r="I4157" s="47"/>
      <c r="J4157" s="37">
        <v>0</v>
      </c>
    </row>
    <row r="4158" spans="1:10" ht="25.5" hidden="1" x14ac:dyDescent="0.25">
      <c r="A4158" s="179"/>
      <c r="B4158" s="177"/>
      <c r="C4158" s="43" t="s">
        <v>11104</v>
      </c>
      <c r="D4158" s="43" t="s">
        <v>83</v>
      </c>
      <c r="E4158" s="44">
        <v>4.7999999999999996E-3</v>
      </c>
      <c r="F4158" s="70">
        <v>468.14099999999996</v>
      </c>
      <c r="G4158" s="70">
        <f>IF(ISNUMBER(F4158),E4158*F4158,"")</f>
        <v>2.2470767999999994</v>
      </c>
      <c r="H4158" s="71"/>
      <c r="I4158" s="72"/>
      <c r="J4158" s="37">
        <v>0</v>
      </c>
    </row>
    <row r="4159" spans="1:10" hidden="1" x14ac:dyDescent="0.25">
      <c r="A4159" s="179"/>
      <c r="B4159" s="177"/>
      <c r="C4159" s="43" t="s">
        <v>10899</v>
      </c>
      <c r="D4159" s="43" t="s">
        <v>83</v>
      </c>
      <c r="E4159" s="44">
        <v>3.95E-2</v>
      </c>
      <c r="F4159" s="70">
        <v>2.2039999999999997</v>
      </c>
      <c r="G4159" s="70">
        <f>IF(ISNUMBER(F4159),E4159*F4159,"")</f>
        <v>8.7057999999999996E-2</v>
      </c>
      <c r="H4159" s="71"/>
      <c r="I4159" s="72"/>
      <c r="J4159" s="37">
        <v>0</v>
      </c>
    </row>
    <row r="4160" spans="1:10" ht="25.5" hidden="1" x14ac:dyDescent="0.25">
      <c r="A4160" s="179"/>
      <c r="B4160" s="177"/>
      <c r="C4160" s="43" t="s">
        <v>11105</v>
      </c>
      <c r="D4160" s="43" t="s">
        <v>83</v>
      </c>
      <c r="E4160" s="44">
        <v>1.1999999999999999E-3</v>
      </c>
      <c r="F4160" s="70">
        <v>85.822999999999993</v>
      </c>
      <c r="G4160" s="70">
        <f>IF(ISNUMBER(F4160),E4160*F4160,"")</f>
        <v>0.10298759999999998</v>
      </c>
      <c r="H4160" s="71"/>
      <c r="I4160" s="72"/>
      <c r="J4160" s="37">
        <v>0</v>
      </c>
    </row>
    <row r="4161" spans="1:10" ht="25.5" hidden="1" x14ac:dyDescent="0.25">
      <c r="A4161" s="179"/>
      <c r="B4161" s="177"/>
      <c r="C4161" s="43" t="s">
        <v>10753</v>
      </c>
      <c r="D4161" s="43" t="s">
        <v>2800</v>
      </c>
      <c r="E4161" s="44">
        <v>5.9299999999999999E-2</v>
      </c>
      <c r="F4161" s="70">
        <v>23.997</v>
      </c>
      <c r="G4161" s="70">
        <f>IF(ISNUMBER(F4161),E4161*F4161,"")</f>
        <v>1.4230221000000001</v>
      </c>
      <c r="H4161" s="71"/>
      <c r="I4161" s="72"/>
      <c r="J4161" s="37">
        <v>0</v>
      </c>
    </row>
    <row r="4162" spans="1:10" ht="25.5" hidden="1" x14ac:dyDescent="0.25">
      <c r="A4162" s="179"/>
      <c r="B4162" s="177"/>
      <c r="C4162" s="43" t="s">
        <v>10754</v>
      </c>
      <c r="D4162" s="43" t="s">
        <v>2800</v>
      </c>
      <c r="E4162" s="44">
        <v>5.9299999999999999E-2</v>
      </c>
      <c r="F4162" s="70">
        <v>30.361999999999998</v>
      </c>
      <c r="G4162" s="70">
        <f>IF(ISNUMBER(F4162),E4162*F4162,"")</f>
        <v>1.8004665999999998</v>
      </c>
      <c r="H4162" s="71"/>
      <c r="I4162" s="72"/>
      <c r="J4162" s="37">
        <v>0</v>
      </c>
    </row>
    <row r="4163" spans="1:10" ht="15.75" hidden="1" thickBot="1" x14ac:dyDescent="0.3">
      <c r="A4163" s="180"/>
      <c r="B4163" s="178"/>
      <c r="C4163" s="49"/>
      <c r="D4163" s="49"/>
      <c r="E4163" s="50"/>
      <c r="F4163" s="83" t="s">
        <v>13</v>
      </c>
      <c r="G4163" s="83" t="str">
        <f>IF(ISNUMBER(F4163),E4163*F4163,"")</f>
        <v/>
      </c>
      <c r="H4163" s="84"/>
      <c r="I4163" s="72"/>
      <c r="J4163" s="37">
        <v>0</v>
      </c>
    </row>
    <row r="4164" spans="1:10" ht="15.75" hidden="1" thickBot="1" x14ac:dyDescent="0.3">
      <c r="A4164" s="173" t="s">
        <v>995</v>
      </c>
      <c r="B4164" s="176" t="s">
        <v>4548</v>
      </c>
      <c r="C4164" s="31"/>
      <c r="D4164" s="32" t="s">
        <v>18</v>
      </c>
      <c r="E4164" s="33"/>
      <c r="F4164" s="60" t="s">
        <v>13</v>
      </c>
      <c r="G4164" s="34" t="str">
        <f>IF(ISNUMBER(F4164),E4164*F4164,"")</f>
        <v/>
      </c>
      <c r="H4164" s="35"/>
      <c r="I4164" s="36"/>
      <c r="J4164" s="37">
        <v>0</v>
      </c>
    </row>
    <row r="4165" spans="1:10" hidden="1" x14ac:dyDescent="0.25">
      <c r="A4165" s="179"/>
      <c r="B4165" s="177"/>
      <c r="C4165" s="39"/>
      <c r="D4165" s="39"/>
      <c r="E4165" s="40"/>
      <c r="F4165" s="70" t="s">
        <v>13</v>
      </c>
      <c r="G4165" s="70" t="str">
        <f>IF(ISNUMBER(F4165),E4165*F4165,"")</f>
        <v/>
      </c>
      <c r="H4165" s="71"/>
      <c r="I4165" s="72"/>
      <c r="J4165" s="37">
        <v>0</v>
      </c>
    </row>
    <row r="4166" spans="1:10" ht="38.25" hidden="1" x14ac:dyDescent="0.25">
      <c r="A4166" s="179"/>
      <c r="B4166" s="177"/>
      <c r="C4166" s="43" t="s">
        <v>10947</v>
      </c>
      <c r="D4166" s="43" t="s">
        <v>83</v>
      </c>
      <c r="E4166" s="44">
        <v>10</v>
      </c>
      <c r="F4166" s="70">
        <v>1.0734999999999999</v>
      </c>
      <c r="G4166" s="70">
        <f>IF(ISNUMBER(F4166),E4166*F4166,"")</f>
        <v>10.734999999999999</v>
      </c>
      <c r="H4166" s="46">
        <f>SUM(G4166:G4171)</f>
        <v>971.77469254999983</v>
      </c>
      <c r="I4166" s="47"/>
      <c r="J4166" s="37">
        <v>0</v>
      </c>
    </row>
    <row r="4167" spans="1:10" hidden="1" x14ac:dyDescent="0.25">
      <c r="A4167" s="179"/>
      <c r="B4167" s="177"/>
      <c r="C4167" s="43" t="s">
        <v>996</v>
      </c>
      <c r="D4167" s="43" t="s">
        <v>83</v>
      </c>
      <c r="E4167" s="44">
        <v>1</v>
      </c>
      <c r="F4167" s="70" t="s">
        <v>13</v>
      </c>
      <c r="G4167" s="70" t="str">
        <f>IF(ISNUMBER(F4167),E4167*F4167,"")</f>
        <v/>
      </c>
      <c r="H4167" s="71"/>
      <c r="I4167" s="72"/>
      <c r="J4167" s="37">
        <v>0</v>
      </c>
    </row>
    <row r="4168" spans="1:10" hidden="1" x14ac:dyDescent="0.25">
      <c r="A4168" s="179"/>
      <c r="B4168" s="177"/>
      <c r="C4168" s="43" t="s">
        <v>10750</v>
      </c>
      <c r="D4168" s="43" t="s">
        <v>2800</v>
      </c>
      <c r="E4168" s="44">
        <v>5.5655000000000001</v>
      </c>
      <c r="F4168" s="70">
        <v>24.358000000000001</v>
      </c>
      <c r="G4168" s="70">
        <f>IF(ISNUMBER(F4168),E4168*F4168,"")</f>
        <v>135.564449</v>
      </c>
      <c r="H4168" s="71"/>
      <c r="I4168" s="72"/>
      <c r="J4168" s="37">
        <v>0</v>
      </c>
    </row>
    <row r="4169" spans="1:10" ht="38.25" hidden="1" x14ac:dyDescent="0.25">
      <c r="A4169" s="179"/>
      <c r="B4169" s="177"/>
      <c r="C4169" s="43" t="s">
        <v>10952</v>
      </c>
      <c r="D4169" s="43" t="s">
        <v>1050</v>
      </c>
      <c r="E4169" s="44">
        <v>0.4118</v>
      </c>
      <c r="F4169" s="70">
        <v>328.45299999999997</v>
      </c>
      <c r="G4169" s="70">
        <f>IF(ISNUMBER(F4169),E4169*F4169,"")</f>
        <v>135.25694539999998</v>
      </c>
      <c r="H4169" s="71"/>
      <c r="I4169" s="72"/>
      <c r="J4169" s="37">
        <v>0</v>
      </c>
    </row>
    <row r="4170" spans="1:10" ht="38.25" hidden="1" x14ac:dyDescent="0.25">
      <c r="A4170" s="179"/>
      <c r="B4170" s="177"/>
      <c r="C4170" s="43" t="s">
        <v>10953</v>
      </c>
      <c r="D4170" s="43" t="s">
        <v>10677</v>
      </c>
      <c r="E4170" s="44">
        <v>3.0331999999999999</v>
      </c>
      <c r="F4170" s="70">
        <v>167.39949999999999</v>
      </c>
      <c r="G4170" s="70">
        <f>IF(ISNUMBER(F4170),E4170*F4170,"")</f>
        <v>507.75616339999993</v>
      </c>
      <c r="H4170" s="71"/>
      <c r="I4170" s="72"/>
      <c r="J4170" s="37">
        <v>0</v>
      </c>
    </row>
    <row r="4171" spans="1:10" ht="25.5" hidden="1" x14ac:dyDescent="0.25">
      <c r="A4171" s="179"/>
      <c r="B4171" s="177"/>
      <c r="C4171" s="43" t="s">
        <v>10751</v>
      </c>
      <c r="D4171" s="43" t="s">
        <v>2800</v>
      </c>
      <c r="E4171" s="44">
        <v>5.5655000000000001</v>
      </c>
      <c r="F4171" s="70">
        <v>32.784499999999994</v>
      </c>
      <c r="G4171" s="70">
        <f>IF(ISNUMBER(F4171),E4171*F4171,"")</f>
        <v>182.46213474999996</v>
      </c>
      <c r="H4171" s="71"/>
      <c r="I4171" s="72"/>
      <c r="J4171" s="37">
        <v>0</v>
      </c>
    </row>
    <row r="4172" spans="1:10" ht="15.75" hidden="1" thickBot="1" x14ac:dyDescent="0.3">
      <c r="A4172" s="180"/>
      <c r="B4172" s="178"/>
      <c r="C4172" s="49"/>
      <c r="D4172" s="49"/>
      <c r="E4172" s="50"/>
      <c r="F4172" s="83" t="s">
        <v>13</v>
      </c>
      <c r="G4172" s="83" t="str">
        <f>IF(ISNUMBER(F4172),E4172*F4172,"")</f>
        <v/>
      </c>
      <c r="H4172" s="84"/>
      <c r="I4172" s="72"/>
      <c r="J4172" s="37">
        <v>0</v>
      </c>
    </row>
    <row r="4173" spans="1:10" ht="15.75" hidden="1" thickBot="1" x14ac:dyDescent="0.3">
      <c r="A4173" s="173" t="s">
        <v>997</v>
      </c>
      <c r="B4173" s="176" t="s">
        <v>4549</v>
      </c>
      <c r="C4173" s="31"/>
      <c r="D4173" s="32" t="s">
        <v>18</v>
      </c>
      <c r="E4173" s="33"/>
      <c r="F4173" s="60" t="s">
        <v>13</v>
      </c>
      <c r="G4173" s="34" t="str">
        <f>IF(ISNUMBER(F4173),E4173*F4173,"")</f>
        <v/>
      </c>
      <c r="H4173" s="35"/>
      <c r="I4173" s="36"/>
      <c r="J4173" s="37">
        <v>0</v>
      </c>
    </row>
    <row r="4174" spans="1:10" hidden="1" x14ac:dyDescent="0.25">
      <c r="A4174" s="179"/>
      <c r="B4174" s="177"/>
      <c r="C4174" s="39"/>
      <c r="D4174" s="39"/>
      <c r="E4174" s="40"/>
      <c r="F4174" s="70" t="s">
        <v>13</v>
      </c>
      <c r="G4174" s="70" t="str">
        <f>IF(ISNUMBER(F4174),E4174*F4174,"")</f>
        <v/>
      </c>
      <c r="H4174" s="71"/>
      <c r="I4174" s="72"/>
      <c r="J4174" s="37">
        <v>0</v>
      </c>
    </row>
    <row r="4175" spans="1:10" ht="38.25" hidden="1" x14ac:dyDescent="0.25">
      <c r="A4175" s="179"/>
      <c r="B4175" s="177"/>
      <c r="C4175" s="43" t="s">
        <v>10947</v>
      </c>
      <c r="D4175" s="43" t="s">
        <v>83</v>
      </c>
      <c r="E4175" s="44">
        <v>10</v>
      </c>
      <c r="F4175" s="70">
        <v>1.0734999999999999</v>
      </c>
      <c r="G4175" s="70">
        <f>IF(ISNUMBER(F4175),E4175*F4175,"")</f>
        <v>10.734999999999999</v>
      </c>
      <c r="H4175" s="46">
        <f>SUM(G4175:G4180)</f>
        <v>971.77469254999983</v>
      </c>
      <c r="I4175" s="47"/>
      <c r="J4175" s="37">
        <v>0</v>
      </c>
    </row>
    <row r="4176" spans="1:10" hidden="1" x14ac:dyDescent="0.25">
      <c r="A4176" s="179"/>
      <c r="B4176" s="177"/>
      <c r="C4176" s="43" t="s">
        <v>998</v>
      </c>
      <c r="D4176" s="43" t="s">
        <v>83</v>
      </c>
      <c r="E4176" s="44">
        <v>1</v>
      </c>
      <c r="F4176" s="70" t="s">
        <v>13</v>
      </c>
      <c r="G4176" s="70" t="str">
        <f>IF(ISNUMBER(F4176),E4176*F4176,"")</f>
        <v/>
      </c>
      <c r="H4176" s="71"/>
      <c r="I4176" s="72"/>
      <c r="J4176" s="37">
        <v>0</v>
      </c>
    </row>
    <row r="4177" spans="1:10" hidden="1" x14ac:dyDescent="0.25">
      <c r="A4177" s="179"/>
      <c r="B4177" s="177"/>
      <c r="C4177" s="43" t="s">
        <v>10750</v>
      </c>
      <c r="D4177" s="43" t="s">
        <v>2800</v>
      </c>
      <c r="E4177" s="44">
        <v>5.5655000000000001</v>
      </c>
      <c r="F4177" s="70">
        <v>24.358000000000001</v>
      </c>
      <c r="G4177" s="70">
        <f>IF(ISNUMBER(F4177),E4177*F4177,"")</f>
        <v>135.564449</v>
      </c>
      <c r="H4177" s="71"/>
      <c r="I4177" s="72"/>
      <c r="J4177" s="37">
        <v>0</v>
      </c>
    </row>
    <row r="4178" spans="1:10" ht="38.25" hidden="1" x14ac:dyDescent="0.25">
      <c r="A4178" s="179"/>
      <c r="B4178" s="177"/>
      <c r="C4178" s="43" t="s">
        <v>10952</v>
      </c>
      <c r="D4178" s="43" t="s">
        <v>1050</v>
      </c>
      <c r="E4178" s="44">
        <v>0.4118</v>
      </c>
      <c r="F4178" s="70">
        <v>328.45299999999997</v>
      </c>
      <c r="G4178" s="70">
        <f>IF(ISNUMBER(F4178),E4178*F4178,"")</f>
        <v>135.25694539999998</v>
      </c>
      <c r="H4178" s="71"/>
      <c r="I4178" s="72"/>
      <c r="J4178" s="37">
        <v>0</v>
      </c>
    </row>
    <row r="4179" spans="1:10" ht="38.25" hidden="1" x14ac:dyDescent="0.25">
      <c r="A4179" s="179"/>
      <c r="B4179" s="177"/>
      <c r="C4179" s="43" t="s">
        <v>10953</v>
      </c>
      <c r="D4179" s="43" t="s">
        <v>10677</v>
      </c>
      <c r="E4179" s="44">
        <v>3.0331999999999999</v>
      </c>
      <c r="F4179" s="70">
        <v>167.39949999999999</v>
      </c>
      <c r="G4179" s="70">
        <f>IF(ISNUMBER(F4179),E4179*F4179,"")</f>
        <v>507.75616339999993</v>
      </c>
      <c r="H4179" s="71"/>
      <c r="I4179" s="72"/>
      <c r="J4179" s="37">
        <v>0</v>
      </c>
    </row>
    <row r="4180" spans="1:10" ht="25.5" hidden="1" x14ac:dyDescent="0.25">
      <c r="A4180" s="179"/>
      <c r="B4180" s="177"/>
      <c r="C4180" s="43" t="s">
        <v>10751</v>
      </c>
      <c r="D4180" s="43" t="s">
        <v>2800</v>
      </c>
      <c r="E4180" s="44">
        <v>5.5655000000000001</v>
      </c>
      <c r="F4180" s="70">
        <v>32.784499999999994</v>
      </c>
      <c r="G4180" s="70">
        <f>IF(ISNUMBER(F4180),E4180*F4180,"")</f>
        <v>182.46213474999996</v>
      </c>
      <c r="H4180" s="71"/>
      <c r="I4180" s="72"/>
      <c r="J4180" s="37">
        <v>0</v>
      </c>
    </row>
    <row r="4181" spans="1:10" ht="15.75" hidden="1" thickBot="1" x14ac:dyDescent="0.3">
      <c r="A4181" s="180"/>
      <c r="B4181" s="178"/>
      <c r="C4181" s="49"/>
      <c r="D4181" s="49"/>
      <c r="E4181" s="50"/>
      <c r="F4181" s="83" t="s">
        <v>13</v>
      </c>
      <c r="G4181" s="83" t="str">
        <f>IF(ISNUMBER(F4181),E4181*F4181,"")</f>
        <v/>
      </c>
      <c r="H4181" s="84"/>
      <c r="I4181" s="72"/>
      <c r="J4181" s="37">
        <v>0</v>
      </c>
    </row>
    <row r="4182" spans="1:10" ht="15.75" hidden="1" thickBot="1" x14ac:dyDescent="0.3">
      <c r="A4182" s="173" t="s">
        <v>999</v>
      </c>
      <c r="B4182" s="176" t="s">
        <v>4550</v>
      </c>
      <c r="C4182" s="31"/>
      <c r="D4182" s="32" t="s">
        <v>106</v>
      </c>
      <c r="E4182" s="33"/>
      <c r="F4182" s="60" t="s">
        <v>13</v>
      </c>
      <c r="G4182" s="34" t="str">
        <f>IF(ISNUMBER(F4182),E4182*F4182,"")</f>
        <v/>
      </c>
      <c r="H4182" s="35"/>
      <c r="I4182" s="36"/>
      <c r="J4182" s="37">
        <v>0</v>
      </c>
    </row>
    <row r="4183" spans="1:10" hidden="1" x14ac:dyDescent="0.25">
      <c r="A4183" s="179"/>
      <c r="B4183" s="177"/>
      <c r="C4183" s="39"/>
      <c r="D4183" s="39"/>
      <c r="E4183" s="40"/>
      <c r="F4183" s="70" t="s">
        <v>13</v>
      </c>
      <c r="G4183" s="70" t="str">
        <f>IF(ISNUMBER(F4183),E4183*F4183,"")</f>
        <v/>
      </c>
      <c r="H4183" s="71"/>
      <c r="I4183" s="72"/>
      <c r="J4183" s="37">
        <v>0</v>
      </c>
    </row>
    <row r="4184" spans="1:10" ht="38.25" hidden="1" x14ac:dyDescent="0.25">
      <c r="A4184" s="179"/>
      <c r="B4184" s="177"/>
      <c r="C4184" s="43" t="s">
        <v>11111</v>
      </c>
      <c r="D4184" s="43" t="s">
        <v>1302</v>
      </c>
      <c r="E4184" s="44">
        <v>1.0225</v>
      </c>
      <c r="F4184" s="70">
        <v>238.32649999999998</v>
      </c>
      <c r="G4184" s="70">
        <f>IF(ISNUMBER(F4184),E4184*F4184,"")</f>
        <v>243.68884624999998</v>
      </c>
      <c r="H4184" s="46">
        <f>SUM(G4184:G4186)</f>
        <v>247.57551475</v>
      </c>
      <c r="I4184" s="47"/>
      <c r="J4184" s="37">
        <v>0</v>
      </c>
    </row>
    <row r="4185" spans="1:10" ht="25.5" hidden="1" x14ac:dyDescent="0.25">
      <c r="A4185" s="179"/>
      <c r="B4185" s="177"/>
      <c r="C4185" s="43" t="s">
        <v>10753</v>
      </c>
      <c r="D4185" s="43" t="s">
        <v>2800</v>
      </c>
      <c r="E4185" s="44">
        <v>7.1499999999999994E-2</v>
      </c>
      <c r="F4185" s="70">
        <v>23.997</v>
      </c>
      <c r="G4185" s="70">
        <f>IF(ISNUMBER(F4185),E4185*F4185,"")</f>
        <v>1.7157854999999997</v>
      </c>
      <c r="H4185" s="71"/>
      <c r="I4185" s="72"/>
      <c r="J4185" s="37">
        <v>0</v>
      </c>
    </row>
    <row r="4186" spans="1:10" ht="25.5" hidden="1" x14ac:dyDescent="0.25">
      <c r="A4186" s="179"/>
      <c r="B4186" s="177"/>
      <c r="C4186" s="43" t="s">
        <v>10754</v>
      </c>
      <c r="D4186" s="43" t="s">
        <v>2800</v>
      </c>
      <c r="E4186" s="44">
        <v>7.1499999999999994E-2</v>
      </c>
      <c r="F4186" s="70">
        <v>30.361999999999998</v>
      </c>
      <c r="G4186" s="70">
        <f>IF(ISNUMBER(F4186),E4186*F4186,"")</f>
        <v>2.1708829999999999</v>
      </c>
      <c r="H4186" s="71"/>
      <c r="I4186" s="72"/>
      <c r="J4186" s="37">
        <v>0</v>
      </c>
    </row>
    <row r="4187" spans="1:10" ht="15.75" hidden="1" thickBot="1" x14ac:dyDescent="0.3">
      <c r="A4187" s="180"/>
      <c r="B4187" s="178"/>
      <c r="C4187" s="49"/>
      <c r="D4187" s="49"/>
      <c r="E4187" s="50"/>
      <c r="F4187" s="83" t="s">
        <v>13</v>
      </c>
      <c r="G4187" s="83" t="str">
        <f>IF(ISNUMBER(F4187),E4187*F4187,"")</f>
        <v/>
      </c>
      <c r="H4187" s="84"/>
      <c r="I4187" s="72"/>
      <c r="J4187" s="37">
        <v>0</v>
      </c>
    </row>
    <row r="4188" spans="1:10" ht="15.75" hidden="1" thickBot="1" x14ac:dyDescent="0.3">
      <c r="A4188" s="173" t="s">
        <v>1000</v>
      </c>
      <c r="B4188" s="176" t="s">
        <v>4551</v>
      </c>
      <c r="C4188" s="31"/>
      <c r="D4188" s="32" t="s">
        <v>106</v>
      </c>
      <c r="E4188" s="33"/>
      <c r="F4188" s="60" t="s">
        <v>13</v>
      </c>
      <c r="G4188" s="34" t="str">
        <f>IF(ISNUMBER(F4188),E4188*F4188,"")</f>
        <v/>
      </c>
      <c r="H4188" s="35"/>
      <c r="I4188" s="36"/>
      <c r="J4188" s="37">
        <v>0</v>
      </c>
    </row>
    <row r="4189" spans="1:10" hidden="1" x14ac:dyDescent="0.25">
      <c r="A4189" s="179"/>
      <c r="B4189" s="177"/>
      <c r="C4189" s="39"/>
      <c r="D4189" s="39"/>
      <c r="E4189" s="40"/>
      <c r="F4189" s="70" t="s">
        <v>13</v>
      </c>
      <c r="G4189" s="70" t="str">
        <f>IF(ISNUMBER(F4189),E4189*F4189,"")</f>
        <v/>
      </c>
      <c r="H4189" s="71"/>
      <c r="I4189" s="72"/>
      <c r="J4189" s="37">
        <v>0</v>
      </c>
    </row>
    <row r="4190" spans="1:10" ht="38.25" hidden="1" x14ac:dyDescent="0.25">
      <c r="A4190" s="179"/>
      <c r="B4190" s="177"/>
      <c r="C4190" s="43" t="s">
        <v>11112</v>
      </c>
      <c r="D4190" s="43" t="s">
        <v>1302</v>
      </c>
      <c r="E4190" s="44">
        <v>1.0225</v>
      </c>
      <c r="F4190" s="70">
        <v>286.73849999999999</v>
      </c>
      <c r="G4190" s="70">
        <f>IF(ISNUMBER(F4190),E4190*F4190,"")</f>
        <v>293.19011624999996</v>
      </c>
      <c r="H4190" s="46">
        <f>SUM(G4190:G4192)</f>
        <v>297.88673384999993</v>
      </c>
      <c r="I4190" s="47"/>
      <c r="J4190" s="37">
        <v>0</v>
      </c>
    </row>
    <row r="4191" spans="1:10" ht="25.5" hidden="1" x14ac:dyDescent="0.25">
      <c r="A4191" s="179"/>
      <c r="B4191" s="177"/>
      <c r="C4191" s="43" t="s">
        <v>10753</v>
      </c>
      <c r="D4191" s="43" t="s">
        <v>2800</v>
      </c>
      <c r="E4191" s="44">
        <v>8.6400000000000005E-2</v>
      </c>
      <c r="F4191" s="70">
        <v>23.997</v>
      </c>
      <c r="G4191" s="70">
        <f>IF(ISNUMBER(F4191),E4191*F4191,"")</f>
        <v>2.0733408</v>
      </c>
      <c r="H4191" s="71"/>
      <c r="I4191" s="72"/>
      <c r="J4191" s="37">
        <v>0</v>
      </c>
    </row>
    <row r="4192" spans="1:10" ht="25.5" hidden="1" x14ac:dyDescent="0.25">
      <c r="A4192" s="179"/>
      <c r="B4192" s="177"/>
      <c r="C4192" s="43" t="s">
        <v>10754</v>
      </c>
      <c r="D4192" s="43" t="s">
        <v>2800</v>
      </c>
      <c r="E4192" s="44">
        <v>8.6400000000000005E-2</v>
      </c>
      <c r="F4192" s="70">
        <v>30.361999999999998</v>
      </c>
      <c r="G4192" s="70">
        <f>IF(ISNUMBER(F4192),E4192*F4192,"")</f>
        <v>2.6232768000000002</v>
      </c>
      <c r="H4192" s="71"/>
      <c r="I4192" s="72"/>
      <c r="J4192" s="37">
        <v>0</v>
      </c>
    </row>
    <row r="4193" spans="1:10" ht="15.75" hidden="1" thickBot="1" x14ac:dyDescent="0.3">
      <c r="A4193" s="180"/>
      <c r="B4193" s="178"/>
      <c r="C4193" s="49"/>
      <c r="D4193" s="49"/>
      <c r="E4193" s="50"/>
      <c r="F4193" s="83" t="s">
        <v>13</v>
      </c>
      <c r="G4193" s="83" t="str">
        <f>IF(ISNUMBER(F4193),E4193*F4193,"")</f>
        <v/>
      </c>
      <c r="H4193" s="84"/>
      <c r="I4193" s="72"/>
      <c r="J4193" s="37">
        <v>0</v>
      </c>
    </row>
    <row r="4194" spans="1:10" ht="15.75" hidden="1" thickBot="1" x14ac:dyDescent="0.3">
      <c r="A4194" s="173" t="s">
        <v>1001</v>
      </c>
      <c r="B4194" s="176" t="s">
        <v>4556</v>
      </c>
      <c r="C4194" s="31"/>
      <c r="D4194" s="32" t="s">
        <v>106</v>
      </c>
      <c r="E4194" s="33"/>
      <c r="F4194" s="60" t="s">
        <v>13</v>
      </c>
      <c r="G4194" s="34" t="str">
        <f>IF(ISNUMBER(F4194),E4194*F4194,"")</f>
        <v/>
      </c>
      <c r="H4194" s="35"/>
      <c r="I4194" s="36"/>
      <c r="J4194" s="37">
        <v>0</v>
      </c>
    </row>
    <row r="4195" spans="1:10" hidden="1" x14ac:dyDescent="0.25">
      <c r="A4195" s="179"/>
      <c r="B4195" s="177"/>
      <c r="C4195" s="39"/>
      <c r="D4195" s="39"/>
      <c r="E4195" s="40"/>
      <c r="F4195" s="70" t="s">
        <v>13</v>
      </c>
      <c r="G4195" s="70" t="str">
        <f>IF(ISNUMBER(F4195),E4195*F4195,"")</f>
        <v/>
      </c>
      <c r="H4195" s="71"/>
      <c r="I4195" s="72"/>
      <c r="J4195" s="37">
        <v>0</v>
      </c>
    </row>
    <row r="4196" spans="1:10" ht="38.25" hidden="1" x14ac:dyDescent="0.25">
      <c r="A4196" s="179"/>
      <c r="B4196" s="177"/>
      <c r="C4196" s="43" t="s">
        <v>11113</v>
      </c>
      <c r="D4196" s="43" t="s">
        <v>1302</v>
      </c>
      <c r="E4196" s="44">
        <v>1.1000000000000001</v>
      </c>
      <c r="F4196" s="70">
        <v>21.688499999999998</v>
      </c>
      <c r="G4196" s="70">
        <f>IF(ISNUMBER(F4196),E4196*F4196,"")</f>
        <v>23.85735</v>
      </c>
      <c r="H4196" s="46">
        <f>SUM(G4196:G4199)</f>
        <v>29.708447500000002</v>
      </c>
      <c r="I4196" s="47"/>
      <c r="J4196" s="37">
        <v>0</v>
      </c>
    </row>
    <row r="4197" spans="1:10" ht="25.5" hidden="1" x14ac:dyDescent="0.25">
      <c r="A4197" s="179"/>
      <c r="B4197" s="177"/>
      <c r="C4197" s="43" t="s">
        <v>10661</v>
      </c>
      <c r="D4197" s="43" t="s">
        <v>1044</v>
      </c>
      <c r="E4197" s="44">
        <v>2.3E-3</v>
      </c>
      <c r="F4197" s="70">
        <v>19</v>
      </c>
      <c r="G4197" s="70">
        <f>IF(ISNUMBER(F4197),E4197*F4197,"")</f>
        <v>4.3700000000000003E-2</v>
      </c>
      <c r="H4197" s="71"/>
      <c r="I4197" s="72"/>
      <c r="J4197" s="37">
        <v>0</v>
      </c>
    </row>
    <row r="4198" spans="1:10" hidden="1" x14ac:dyDescent="0.25">
      <c r="A4198" s="179"/>
      <c r="B4198" s="177"/>
      <c r="C4198" s="43" t="s">
        <v>10762</v>
      </c>
      <c r="D4198" s="43" t="s">
        <v>2800</v>
      </c>
      <c r="E4198" s="44">
        <v>0.10299999999999999</v>
      </c>
      <c r="F4198" s="70">
        <v>24.946999999999999</v>
      </c>
      <c r="G4198" s="70">
        <f>IF(ISNUMBER(F4198),E4198*F4198,"")</f>
        <v>2.5695409999999996</v>
      </c>
      <c r="H4198" s="71"/>
      <c r="I4198" s="72"/>
      <c r="J4198" s="37">
        <v>0</v>
      </c>
    </row>
    <row r="4199" spans="1:10" hidden="1" x14ac:dyDescent="0.25">
      <c r="A4199" s="179"/>
      <c r="B4199" s="177"/>
      <c r="C4199" s="43" t="s">
        <v>10763</v>
      </c>
      <c r="D4199" s="43" t="s">
        <v>2800</v>
      </c>
      <c r="E4199" s="44">
        <v>0.10299999999999999</v>
      </c>
      <c r="F4199" s="70">
        <v>31.435500000000001</v>
      </c>
      <c r="G4199" s="70">
        <f>IF(ISNUMBER(F4199),E4199*F4199,"")</f>
        <v>3.2378564999999999</v>
      </c>
      <c r="H4199" s="71"/>
      <c r="I4199" s="72"/>
      <c r="J4199" s="37">
        <v>0</v>
      </c>
    </row>
    <row r="4200" spans="1:10" ht="15.75" hidden="1" thickBot="1" x14ac:dyDescent="0.3">
      <c r="A4200" s="180"/>
      <c r="B4200" s="178"/>
      <c r="C4200" s="49"/>
      <c r="D4200" s="49"/>
      <c r="E4200" s="50"/>
      <c r="F4200" s="83" t="s">
        <v>13</v>
      </c>
      <c r="G4200" s="83" t="str">
        <f>IF(ISNUMBER(F4200),E4200*F4200,"")</f>
        <v/>
      </c>
      <c r="H4200" s="84"/>
      <c r="I4200" s="72"/>
      <c r="J4200" s="37">
        <v>0</v>
      </c>
    </row>
    <row r="4201" spans="1:10" ht="15.75" hidden="1" thickBot="1" x14ac:dyDescent="0.3">
      <c r="A4201" s="173" t="s">
        <v>1002</v>
      </c>
      <c r="B4201" s="176" t="s">
        <v>4557</v>
      </c>
      <c r="C4201" s="31"/>
      <c r="D4201" s="32" t="s">
        <v>3982</v>
      </c>
      <c r="E4201" s="33"/>
      <c r="F4201" s="60" t="s">
        <v>13</v>
      </c>
      <c r="G4201" s="34" t="str">
        <f>IF(ISNUMBER(F4201),E4201*F4201,"")</f>
        <v/>
      </c>
      <c r="H4201" s="35"/>
      <c r="I4201" s="36"/>
      <c r="J4201" s="37">
        <v>0</v>
      </c>
    </row>
    <row r="4202" spans="1:10" hidden="1" x14ac:dyDescent="0.25">
      <c r="A4202" s="179"/>
      <c r="B4202" s="177"/>
      <c r="C4202" s="39"/>
      <c r="D4202" s="39"/>
      <c r="E4202" s="40"/>
      <c r="F4202" s="70" t="s">
        <v>13</v>
      </c>
      <c r="G4202" s="70" t="str">
        <f>IF(ISNUMBER(F4202),E4202*F4202,"")</f>
        <v/>
      </c>
      <c r="H4202" s="71"/>
      <c r="I4202" s="72"/>
      <c r="J4202" s="37">
        <v>0</v>
      </c>
    </row>
    <row r="4203" spans="1:10" hidden="1" x14ac:dyDescent="0.25">
      <c r="A4203" s="179"/>
      <c r="B4203" s="177"/>
      <c r="C4203" s="43" t="s">
        <v>11081</v>
      </c>
      <c r="D4203" s="43" t="s">
        <v>10821</v>
      </c>
      <c r="E4203" s="44" t="e">
        <f>IF(#REF!="Desonerado",ROUND(1/(1+'[1]Serviços SINAPI'!$E$7),4),ROUND(1/(1+'[1]Serviços SINAPI'!$F$7),4))</f>
        <v>#REF!</v>
      </c>
      <c r="F4203" s="70">
        <v>3567.1644999999999</v>
      </c>
      <c r="G4203" s="70" t="e">
        <f>IF(ISNUMBER(F4203),E4203*F4203,"")</f>
        <v>#REF!</v>
      </c>
      <c r="H4203" s="46" t="e">
        <f>SUM(G4203:G4203)</f>
        <v>#REF!</v>
      </c>
      <c r="I4203" s="47"/>
      <c r="J4203" s="37">
        <v>0</v>
      </c>
    </row>
    <row r="4204" spans="1:10" hidden="1" x14ac:dyDescent="0.25">
      <c r="A4204" s="179"/>
      <c r="B4204" s="177"/>
      <c r="C4204" s="43"/>
      <c r="D4204" s="62"/>
      <c r="E4204" s="44"/>
      <c r="F4204" s="70" t="s">
        <v>13</v>
      </c>
      <c r="G4204" s="70" t="str">
        <f>IF(ISNUMBER(F4204),E4204*F4204,"")</f>
        <v/>
      </c>
      <c r="H4204" s="71"/>
      <c r="I4204" s="72"/>
      <c r="J4204" s="37">
        <v>0</v>
      </c>
    </row>
    <row r="4205" spans="1:10" ht="25.5" hidden="1" x14ac:dyDescent="0.25">
      <c r="A4205" s="179"/>
      <c r="B4205" s="177"/>
      <c r="C4205" s="4" t="s">
        <v>668</v>
      </c>
      <c r="D4205" s="62"/>
      <c r="E4205" s="44"/>
      <c r="F4205" s="70" t="s">
        <v>13</v>
      </c>
      <c r="G4205" s="70" t="str">
        <f>IF(ISNUMBER(F4205),E4205*F4205,"")</f>
        <v/>
      </c>
      <c r="H4205" s="71"/>
      <c r="I4205" s="72"/>
      <c r="J4205" s="37">
        <v>0</v>
      </c>
    </row>
    <row r="4206" spans="1:10" ht="15.75" hidden="1" thickBot="1" x14ac:dyDescent="0.3">
      <c r="A4206" s="180"/>
      <c r="B4206" s="178"/>
      <c r="C4206" s="49"/>
      <c r="D4206" s="49"/>
      <c r="E4206" s="50"/>
      <c r="F4206" s="83" t="s">
        <v>13</v>
      </c>
      <c r="G4206" s="83" t="str">
        <f>IF(ISNUMBER(F4206),E4206*F4206,"")</f>
        <v/>
      </c>
      <c r="H4206" s="84"/>
      <c r="I4206" s="72"/>
      <c r="J4206" s="37">
        <v>0</v>
      </c>
    </row>
    <row r="4207" spans="1:10" ht="15.75" hidden="1" thickBot="1" x14ac:dyDescent="0.3">
      <c r="A4207" s="173" t="s">
        <v>1003</v>
      </c>
      <c r="B4207" s="176" t="s">
        <v>4560</v>
      </c>
      <c r="C4207" s="31"/>
      <c r="D4207" s="32" t="s">
        <v>68</v>
      </c>
      <c r="E4207" s="33"/>
      <c r="F4207" s="60" t="s">
        <v>13</v>
      </c>
      <c r="G4207" s="34" t="str">
        <f>IF(ISNUMBER(F4207),E4207*F4207,"")</f>
        <v/>
      </c>
      <c r="H4207" s="35"/>
      <c r="I4207" s="36"/>
      <c r="J4207" s="37">
        <v>0</v>
      </c>
    </row>
    <row r="4208" spans="1:10" hidden="1" x14ac:dyDescent="0.25">
      <c r="A4208" s="179"/>
      <c r="B4208" s="177"/>
      <c r="C4208" s="39"/>
      <c r="D4208" s="39"/>
      <c r="E4208" s="40"/>
      <c r="F4208" s="70" t="s">
        <v>13</v>
      </c>
      <c r="G4208" s="70" t="str">
        <f>IF(ISNUMBER(F4208),E4208*F4208,"")</f>
        <v/>
      </c>
      <c r="H4208" s="71"/>
      <c r="I4208" s="72"/>
      <c r="J4208" s="37">
        <v>0</v>
      </c>
    </row>
    <row r="4209" spans="1:10" ht="25.5" hidden="1" x14ac:dyDescent="0.25">
      <c r="A4209" s="179"/>
      <c r="B4209" s="177"/>
      <c r="C4209" s="43" t="s">
        <v>10611</v>
      </c>
      <c r="D4209" s="43" t="s">
        <v>2800</v>
      </c>
      <c r="E4209" s="44">
        <f>ROUND(1/10,4)</f>
        <v>0.1</v>
      </c>
      <c r="F4209" s="70">
        <v>142.75650000000002</v>
      </c>
      <c r="G4209" s="70">
        <f>IF(ISNUMBER(F4209),E4209*F4209,"")</f>
        <v>14.275650000000002</v>
      </c>
      <c r="H4209" s="46">
        <f>SUM(G4209:G4209)</f>
        <v>14.275650000000002</v>
      </c>
      <c r="I4209" s="47"/>
      <c r="J4209" s="37">
        <v>0</v>
      </c>
    </row>
    <row r="4210" spans="1:10" ht="15.75" hidden="1" thickBot="1" x14ac:dyDescent="0.3">
      <c r="A4210" s="180"/>
      <c r="B4210" s="178"/>
      <c r="C4210" s="49"/>
      <c r="D4210" s="63"/>
      <c r="E4210" s="50"/>
      <c r="F4210" s="83" t="s">
        <v>13</v>
      </c>
      <c r="G4210" s="83" t="str">
        <f>IF(ISNUMBER(F4210),E4210*F4210,"")</f>
        <v/>
      </c>
      <c r="H4210" s="84"/>
      <c r="I4210" s="72"/>
      <c r="J4210" s="37">
        <v>0</v>
      </c>
    </row>
    <row r="4211" spans="1:10" ht="15.75" hidden="1" thickBot="1" x14ac:dyDescent="0.3">
      <c r="A4211" s="173" t="s">
        <v>1004</v>
      </c>
      <c r="B4211" s="176" t="s">
        <v>4561</v>
      </c>
      <c r="C4211" s="31"/>
      <c r="D4211" s="32" t="s">
        <v>68</v>
      </c>
      <c r="E4211" s="33"/>
      <c r="F4211" s="60" t="s">
        <v>13</v>
      </c>
      <c r="G4211" s="34" t="str">
        <f>IF(ISNUMBER(F4211),E4211*F4211,"")</f>
        <v/>
      </c>
      <c r="H4211" s="35"/>
      <c r="I4211" s="36"/>
      <c r="J4211" s="37">
        <v>0</v>
      </c>
    </row>
    <row r="4212" spans="1:10" hidden="1" x14ac:dyDescent="0.25">
      <c r="A4212" s="179"/>
      <c r="B4212" s="177"/>
      <c r="C4212" s="39"/>
      <c r="D4212" s="39"/>
      <c r="E4212" s="40"/>
      <c r="F4212" s="70" t="s">
        <v>13</v>
      </c>
      <c r="G4212" s="70" t="str">
        <f>IF(ISNUMBER(F4212),E4212*F4212,"")</f>
        <v/>
      </c>
      <c r="H4212" s="71"/>
      <c r="I4212" s="72"/>
      <c r="J4212" s="37">
        <v>0</v>
      </c>
    </row>
    <row r="4213" spans="1:10" hidden="1" x14ac:dyDescent="0.25">
      <c r="A4213" s="179"/>
      <c r="B4213" s="177"/>
      <c r="C4213" s="43" t="s">
        <v>10614</v>
      </c>
      <c r="D4213" s="43" t="s">
        <v>2800</v>
      </c>
      <c r="E4213" s="44">
        <v>0.18</v>
      </c>
      <c r="F4213" s="70">
        <v>23.693000000000001</v>
      </c>
      <c r="G4213" s="70">
        <f>IF(ISNUMBER(F4213),E4213*F4213,"")</f>
        <v>4.2647399999999998</v>
      </c>
      <c r="H4213" s="46">
        <f>SUM(G4213:G4216)</f>
        <v>42.960330000000006</v>
      </c>
      <c r="I4213" s="47"/>
      <c r="J4213" s="37">
        <v>0</v>
      </c>
    </row>
    <row r="4214" spans="1:10" hidden="1" x14ac:dyDescent="0.25">
      <c r="A4214" s="179"/>
      <c r="B4214" s="177"/>
      <c r="C4214" s="43" t="s">
        <v>10613</v>
      </c>
      <c r="D4214" s="43" t="s">
        <v>2800</v>
      </c>
      <c r="E4214" s="44">
        <v>0.18</v>
      </c>
      <c r="F4214" s="70">
        <v>30.628</v>
      </c>
      <c r="G4214" s="70">
        <f>IF(ISNUMBER(F4214),E4214*F4214,"")</f>
        <v>5.5130400000000002</v>
      </c>
      <c r="H4214" s="71"/>
      <c r="I4214" s="72"/>
      <c r="J4214" s="37">
        <v>0</v>
      </c>
    </row>
    <row r="4215" spans="1:10" ht="25.5" hidden="1" x14ac:dyDescent="0.25">
      <c r="A4215" s="179"/>
      <c r="B4215" s="177"/>
      <c r="C4215" s="43" t="s">
        <v>11114</v>
      </c>
      <c r="D4215" s="43" t="s">
        <v>1044</v>
      </c>
      <c r="E4215" s="44">
        <v>0.9</v>
      </c>
      <c r="F4215" s="70">
        <v>36.869500000000002</v>
      </c>
      <c r="G4215" s="70">
        <f>IF(ISNUMBER(F4215),E4215*F4215,"")</f>
        <v>33.182550000000006</v>
      </c>
      <c r="H4215" s="71"/>
      <c r="I4215" s="72"/>
      <c r="J4215" s="37">
        <v>0</v>
      </c>
    </row>
    <row r="4216" spans="1:10" hidden="1" x14ac:dyDescent="0.25">
      <c r="A4216" s="179"/>
      <c r="B4216" s="177"/>
      <c r="C4216" s="43" t="s">
        <v>1005</v>
      </c>
      <c r="D4216" s="43" t="s">
        <v>68</v>
      </c>
      <c r="E4216" s="44">
        <v>1.05</v>
      </c>
      <c r="F4216" s="70" t="s">
        <v>13</v>
      </c>
      <c r="G4216" s="70" t="str">
        <f>IF(ISNUMBER(F4216),E4216*F4216,"")</f>
        <v/>
      </c>
      <c r="H4216" s="71"/>
      <c r="I4216" s="72"/>
      <c r="J4216" s="37">
        <v>0</v>
      </c>
    </row>
    <row r="4217" spans="1:10" ht="15.75" hidden="1" thickBot="1" x14ac:dyDescent="0.3">
      <c r="A4217" s="180"/>
      <c r="B4217" s="178"/>
      <c r="C4217" s="49"/>
      <c r="D4217" s="49"/>
      <c r="E4217" s="50"/>
      <c r="F4217" s="83" t="s">
        <v>13</v>
      </c>
      <c r="G4217" s="83" t="str">
        <f>IF(ISNUMBER(F4217),E4217*F4217,"")</f>
        <v/>
      </c>
      <c r="H4217" s="84"/>
      <c r="I4217" s="72"/>
      <c r="J4217" s="37">
        <v>0</v>
      </c>
    </row>
    <row r="4218" spans="1:10" ht="15.75" hidden="1" thickBot="1" x14ac:dyDescent="0.3">
      <c r="A4218" s="173" t="s">
        <v>1006</v>
      </c>
      <c r="B4218" s="176" t="s">
        <v>4562</v>
      </c>
      <c r="C4218" s="31"/>
      <c r="D4218" s="32" t="s">
        <v>68</v>
      </c>
      <c r="E4218" s="33"/>
      <c r="F4218" s="54" t="s">
        <v>13</v>
      </c>
      <c r="G4218" s="34" t="str">
        <f>IF(ISNUMBER(F4218),E4218*F4218,"")</f>
        <v/>
      </c>
      <c r="H4218" s="35"/>
      <c r="I4218" s="36"/>
      <c r="J4218" s="37">
        <v>0</v>
      </c>
    </row>
    <row r="4219" spans="1:10" hidden="1" x14ac:dyDescent="0.25">
      <c r="A4219" s="174"/>
      <c r="B4219" s="177"/>
      <c r="C4219" s="39"/>
      <c r="D4219" s="39"/>
      <c r="E4219" s="40"/>
      <c r="F4219" s="55" t="s">
        <v>13</v>
      </c>
      <c r="G4219" s="38" t="str">
        <f>IF(ISNUMBER(F4219),E4219*F4219,"")</f>
        <v/>
      </c>
      <c r="H4219" s="42"/>
      <c r="I4219" s="38"/>
      <c r="J4219" s="37">
        <v>0</v>
      </c>
    </row>
    <row r="4220" spans="1:10" hidden="1" x14ac:dyDescent="0.25">
      <c r="A4220" s="174"/>
      <c r="B4220" s="177"/>
      <c r="C4220" s="43" t="s">
        <v>10872</v>
      </c>
      <c r="D4220" s="43" t="s">
        <v>1044</v>
      </c>
      <c r="E4220" s="44">
        <v>8.6199999999999992</v>
      </c>
      <c r="F4220" s="41">
        <v>1.7765</v>
      </c>
      <c r="G4220" s="41">
        <f>IF(ISNUMBER(F4220),E4220*F4220,"")</f>
        <v>15.313429999999999</v>
      </c>
      <c r="H4220" s="46">
        <f>SUM(G4220:G4224)</f>
        <v>66.587856000000002</v>
      </c>
      <c r="I4220" s="47"/>
      <c r="J4220" s="37">
        <v>0</v>
      </c>
    </row>
    <row r="4221" spans="1:10" hidden="1" x14ac:dyDescent="0.25">
      <c r="A4221" s="174"/>
      <c r="B4221" s="177"/>
      <c r="C4221" s="43" t="s">
        <v>10830</v>
      </c>
      <c r="D4221" s="43" t="s">
        <v>2800</v>
      </c>
      <c r="E4221" s="44">
        <v>1.1879999999999999</v>
      </c>
      <c r="F4221" s="38">
        <v>30.912999999999997</v>
      </c>
      <c r="G4221" s="41">
        <f>IF(ISNUMBER(F4221),E4221*F4221,"")</f>
        <v>36.724643999999998</v>
      </c>
      <c r="H4221" s="42"/>
      <c r="I4221" s="38"/>
      <c r="J4221" s="37">
        <v>0</v>
      </c>
    </row>
    <row r="4222" spans="1:10" hidden="1" x14ac:dyDescent="0.25">
      <c r="A4222" s="174"/>
      <c r="B4222" s="177"/>
      <c r="C4222" s="43" t="s">
        <v>10614</v>
      </c>
      <c r="D4222" s="43" t="s">
        <v>2800</v>
      </c>
      <c r="E4222" s="44">
        <v>0.59399999999999997</v>
      </c>
      <c r="F4222" s="38">
        <v>23.693000000000001</v>
      </c>
      <c r="G4222" s="41">
        <f>IF(ISNUMBER(F4222),E4222*F4222,"")</f>
        <v>14.073642</v>
      </c>
      <c r="H4222" s="42"/>
      <c r="I4222" s="38"/>
      <c r="J4222" s="37">
        <v>0</v>
      </c>
    </row>
    <row r="4223" spans="1:10" hidden="1" x14ac:dyDescent="0.25">
      <c r="A4223" s="174"/>
      <c r="B4223" s="177"/>
      <c r="C4223" s="43" t="s">
        <v>10871</v>
      </c>
      <c r="D4223" s="43" t="s">
        <v>1044</v>
      </c>
      <c r="E4223" s="44">
        <v>0.14000000000000001</v>
      </c>
      <c r="F4223" s="41">
        <v>3.4009999999999998</v>
      </c>
      <c r="G4223" s="41">
        <f>IF(ISNUMBER(F4223),E4223*F4223,"")</f>
        <v>0.47614000000000001</v>
      </c>
      <c r="H4223" s="42"/>
      <c r="I4223" s="38"/>
      <c r="J4223" s="37">
        <v>0</v>
      </c>
    </row>
    <row r="4224" spans="1:10" hidden="1" x14ac:dyDescent="0.25">
      <c r="A4224" s="174"/>
      <c r="B4224" s="177"/>
      <c r="C4224" s="43" t="s">
        <v>1007</v>
      </c>
      <c r="D4224" s="43" t="s">
        <v>68</v>
      </c>
      <c r="E4224" s="44">
        <v>1.1599999999999999</v>
      </c>
      <c r="F4224" s="41" t="s">
        <v>13</v>
      </c>
      <c r="G4224" s="70" t="str">
        <f>IF(ISNUMBER(F4224),E4224*F4224,"")</f>
        <v/>
      </c>
      <c r="H4224" s="42"/>
      <c r="I4224" s="38"/>
      <c r="J4224" s="37">
        <v>0</v>
      </c>
    </row>
    <row r="4225" spans="1:10" ht="15.75" hidden="1" thickBot="1" x14ac:dyDescent="0.3">
      <c r="A4225" s="175"/>
      <c r="B4225" s="178"/>
      <c r="C4225" s="49"/>
      <c r="D4225" s="49"/>
      <c r="E4225" s="50"/>
      <c r="F4225" s="51" t="s">
        <v>13</v>
      </c>
      <c r="G4225" s="51" t="str">
        <f>IF(ISNUMBER(F4225),E4225*F4225,"")</f>
        <v/>
      </c>
      <c r="H4225" s="53"/>
      <c r="I4225" s="38"/>
      <c r="J4225" s="37">
        <v>0</v>
      </c>
    </row>
    <row r="4226" spans="1:10" ht="15.75" hidden="1" thickBot="1" x14ac:dyDescent="0.3">
      <c r="A4226" s="173" t="s">
        <v>1008</v>
      </c>
      <c r="B4226" s="176" t="s">
        <v>4563</v>
      </c>
      <c r="C4226" s="31"/>
      <c r="D4226" s="32" t="s">
        <v>68</v>
      </c>
      <c r="E4226" s="33"/>
      <c r="F4226" s="54" t="s">
        <v>13</v>
      </c>
      <c r="G4226" s="34" t="str">
        <f>IF(ISNUMBER(F4226),E4226*F4226,"")</f>
        <v/>
      </c>
      <c r="H4226" s="35"/>
      <c r="I4226" s="36"/>
      <c r="J4226" s="37">
        <v>0</v>
      </c>
    </row>
    <row r="4227" spans="1:10" hidden="1" x14ac:dyDescent="0.25">
      <c r="A4227" s="174"/>
      <c r="B4227" s="177"/>
      <c r="C4227" s="39"/>
      <c r="D4227" s="39"/>
      <c r="E4227" s="40"/>
      <c r="F4227" s="55" t="s">
        <v>13</v>
      </c>
      <c r="G4227" s="38" t="str">
        <f>IF(ISNUMBER(F4227),E4227*F4227,"")</f>
        <v/>
      </c>
      <c r="H4227" s="42"/>
      <c r="I4227" s="38"/>
      <c r="J4227" s="37">
        <v>0</v>
      </c>
    </row>
    <row r="4228" spans="1:10" hidden="1" x14ac:dyDescent="0.25">
      <c r="A4228" s="174"/>
      <c r="B4228" s="177"/>
      <c r="C4228" s="43" t="s">
        <v>10872</v>
      </c>
      <c r="D4228" s="43" t="s">
        <v>1044</v>
      </c>
      <c r="E4228" s="44">
        <v>8.6199999999999992</v>
      </c>
      <c r="F4228" s="41">
        <v>1.7765</v>
      </c>
      <c r="G4228" s="41">
        <f>IF(ISNUMBER(F4228),E4228*F4228,"")</f>
        <v>15.313429999999999</v>
      </c>
      <c r="H4228" s="46">
        <f>SUM(G4228:G4232)</f>
        <v>66.587856000000002</v>
      </c>
      <c r="I4228" s="47"/>
      <c r="J4228" s="37">
        <v>0</v>
      </c>
    </row>
    <row r="4229" spans="1:10" hidden="1" x14ac:dyDescent="0.25">
      <c r="A4229" s="174"/>
      <c r="B4229" s="177"/>
      <c r="C4229" s="43" t="s">
        <v>10830</v>
      </c>
      <c r="D4229" s="43" t="s">
        <v>2800</v>
      </c>
      <c r="E4229" s="44">
        <v>1.1879999999999999</v>
      </c>
      <c r="F4229" s="38">
        <v>30.912999999999997</v>
      </c>
      <c r="G4229" s="41">
        <f>IF(ISNUMBER(F4229),E4229*F4229,"")</f>
        <v>36.724643999999998</v>
      </c>
      <c r="H4229" s="42"/>
      <c r="I4229" s="38"/>
      <c r="J4229" s="37">
        <v>0</v>
      </c>
    </row>
    <row r="4230" spans="1:10" hidden="1" x14ac:dyDescent="0.25">
      <c r="A4230" s="174"/>
      <c r="B4230" s="177"/>
      <c r="C4230" s="43" t="s">
        <v>10614</v>
      </c>
      <c r="D4230" s="43" t="s">
        <v>2800</v>
      </c>
      <c r="E4230" s="44">
        <v>0.59399999999999997</v>
      </c>
      <c r="F4230" s="38">
        <v>23.693000000000001</v>
      </c>
      <c r="G4230" s="41">
        <f>IF(ISNUMBER(F4230),E4230*F4230,"")</f>
        <v>14.073642</v>
      </c>
      <c r="H4230" s="42"/>
      <c r="I4230" s="38"/>
      <c r="J4230" s="37">
        <v>0</v>
      </c>
    </row>
    <row r="4231" spans="1:10" hidden="1" x14ac:dyDescent="0.25">
      <c r="A4231" s="174"/>
      <c r="B4231" s="177"/>
      <c r="C4231" s="43" t="s">
        <v>10871</v>
      </c>
      <c r="D4231" s="43" t="s">
        <v>1044</v>
      </c>
      <c r="E4231" s="44">
        <v>0.14000000000000001</v>
      </c>
      <c r="F4231" s="41">
        <v>3.4009999999999998</v>
      </c>
      <c r="G4231" s="41">
        <f>IF(ISNUMBER(F4231),E4231*F4231,"")</f>
        <v>0.47614000000000001</v>
      </c>
      <c r="H4231" s="42"/>
      <c r="I4231" s="38"/>
      <c r="J4231" s="37">
        <v>0</v>
      </c>
    </row>
    <row r="4232" spans="1:10" hidden="1" x14ac:dyDescent="0.25">
      <c r="A4232" s="174"/>
      <c r="B4232" s="177"/>
      <c r="C4232" s="43" t="s">
        <v>1009</v>
      </c>
      <c r="D4232" s="43" t="s">
        <v>68</v>
      </c>
      <c r="E4232" s="44">
        <v>1.1599999999999999</v>
      </c>
      <c r="F4232" s="41" t="s">
        <v>13</v>
      </c>
      <c r="G4232" s="70" t="str">
        <f>IF(ISNUMBER(F4232),E4232*F4232,"")</f>
        <v/>
      </c>
      <c r="H4232" s="42"/>
      <c r="I4232" s="38"/>
      <c r="J4232" s="37">
        <v>0</v>
      </c>
    </row>
    <row r="4233" spans="1:10" ht="15.75" hidden="1" thickBot="1" x14ac:dyDescent="0.3">
      <c r="A4233" s="175"/>
      <c r="B4233" s="178"/>
      <c r="C4233" s="49"/>
      <c r="D4233" s="49"/>
      <c r="E4233" s="50"/>
      <c r="F4233" s="51" t="s">
        <v>13</v>
      </c>
      <c r="G4233" s="51" t="str">
        <f>IF(ISNUMBER(F4233),E4233*F4233,"")</f>
        <v/>
      </c>
      <c r="H4233" s="53"/>
      <c r="I4233" s="38"/>
      <c r="J4233" s="37">
        <v>0</v>
      </c>
    </row>
    <row r="4234" spans="1:10" ht="15.75" hidden="1" thickBot="1" x14ac:dyDescent="0.3">
      <c r="A4234" s="173" t="s">
        <v>1010</v>
      </c>
      <c r="B4234" s="176" t="s">
        <v>4564</v>
      </c>
      <c r="C4234" s="31"/>
      <c r="D4234" s="32" t="s">
        <v>68</v>
      </c>
      <c r="E4234" s="33"/>
      <c r="F4234" s="60" t="s">
        <v>13</v>
      </c>
      <c r="G4234" s="34" t="str">
        <f>IF(ISNUMBER(F4234),E4234*F4234,"")</f>
        <v/>
      </c>
      <c r="H4234" s="35"/>
      <c r="I4234" s="36"/>
      <c r="J4234" s="37">
        <v>0</v>
      </c>
    </row>
    <row r="4235" spans="1:10" hidden="1" x14ac:dyDescent="0.25">
      <c r="A4235" s="179"/>
      <c r="B4235" s="177"/>
      <c r="C4235" s="39"/>
      <c r="D4235" s="39"/>
      <c r="E4235" s="40"/>
      <c r="F4235" s="70" t="s">
        <v>13</v>
      </c>
      <c r="G4235" s="70" t="str">
        <f>IF(ISNUMBER(F4235),E4235*F4235,"")</f>
        <v/>
      </c>
      <c r="H4235" s="71"/>
      <c r="I4235" s="72"/>
      <c r="J4235" s="37">
        <v>0</v>
      </c>
    </row>
    <row r="4236" spans="1:10" ht="25.5" hidden="1" x14ac:dyDescent="0.25">
      <c r="A4236" s="179"/>
      <c r="B4236" s="177"/>
      <c r="C4236" s="43" t="s">
        <v>11115</v>
      </c>
      <c r="D4236" s="43" t="s">
        <v>162</v>
      </c>
      <c r="E4236" s="44">
        <v>1.069</v>
      </c>
      <c r="F4236" s="70">
        <v>73.197499999999991</v>
      </c>
      <c r="G4236" s="70">
        <f>IF(ISNUMBER(F4236),E4236*F4236,"")</f>
        <v>78.248127499999981</v>
      </c>
      <c r="H4236" s="46">
        <f>SUM(G4236:G4240)</f>
        <v>114.99735559999996</v>
      </c>
      <c r="I4236" s="47"/>
      <c r="J4236" s="37">
        <v>0</v>
      </c>
    </row>
    <row r="4237" spans="1:10" hidden="1" x14ac:dyDescent="0.25">
      <c r="A4237" s="179"/>
      <c r="B4237" s="177"/>
      <c r="C4237" s="43" t="s">
        <v>10871</v>
      </c>
      <c r="D4237" s="43" t="s">
        <v>1044</v>
      </c>
      <c r="E4237" s="44">
        <v>0.14099999999999999</v>
      </c>
      <c r="F4237" s="70">
        <v>3.4009999999999998</v>
      </c>
      <c r="G4237" s="70">
        <f>IF(ISNUMBER(F4237),E4237*F4237,"")</f>
        <v>0.47954099999999994</v>
      </c>
      <c r="H4237" s="71"/>
      <c r="I4237" s="72"/>
      <c r="J4237" s="37">
        <v>0</v>
      </c>
    </row>
    <row r="4238" spans="1:10" hidden="1" x14ac:dyDescent="0.25">
      <c r="A4238" s="179"/>
      <c r="B4238" s="177"/>
      <c r="C4238" s="43" t="s">
        <v>10872</v>
      </c>
      <c r="D4238" s="43" t="s">
        <v>1044</v>
      </c>
      <c r="E4238" s="44">
        <v>9.1300000000000008</v>
      </c>
      <c r="F4238" s="70">
        <v>1.7765</v>
      </c>
      <c r="G4238" s="70">
        <f>IF(ISNUMBER(F4238),E4238*F4238,"")</f>
        <v>16.219445</v>
      </c>
      <c r="H4238" s="71"/>
      <c r="I4238" s="72"/>
      <c r="J4238" s="37">
        <v>0</v>
      </c>
    </row>
    <row r="4239" spans="1:10" hidden="1" x14ac:dyDescent="0.25">
      <c r="A4239" s="179"/>
      <c r="B4239" s="177"/>
      <c r="C4239" s="43" t="s">
        <v>10826</v>
      </c>
      <c r="D4239" s="43" t="s">
        <v>2800</v>
      </c>
      <c r="E4239" s="44">
        <v>0.52029999999999998</v>
      </c>
      <c r="F4239" s="70">
        <v>30.912999999999997</v>
      </c>
      <c r="G4239" s="70">
        <f>IF(ISNUMBER(F4239),E4239*F4239,"")</f>
        <v>16.084033899999998</v>
      </c>
      <c r="H4239" s="71"/>
      <c r="I4239" s="72"/>
      <c r="J4239" s="37">
        <v>0</v>
      </c>
    </row>
    <row r="4240" spans="1:10" hidden="1" x14ac:dyDescent="0.25">
      <c r="A4240" s="179"/>
      <c r="B4240" s="177"/>
      <c r="C4240" s="43" t="s">
        <v>10614</v>
      </c>
      <c r="D4240" s="43" t="s">
        <v>2800</v>
      </c>
      <c r="E4240" s="44">
        <v>0.16739999999999999</v>
      </c>
      <c r="F4240" s="70">
        <v>23.693000000000001</v>
      </c>
      <c r="G4240" s="70">
        <f>IF(ISNUMBER(F4240),E4240*F4240,"")</f>
        <v>3.9662082000000001</v>
      </c>
      <c r="H4240" s="71"/>
      <c r="I4240" s="72"/>
      <c r="J4240" s="37">
        <v>0</v>
      </c>
    </row>
    <row r="4241" spans="1:10" ht="15.75" hidden="1" thickBot="1" x14ac:dyDescent="0.3">
      <c r="A4241" s="180"/>
      <c r="B4241" s="178"/>
      <c r="C4241" s="49"/>
      <c r="D4241" s="63"/>
      <c r="E4241" s="50"/>
      <c r="F4241" s="83" t="s">
        <v>13</v>
      </c>
      <c r="G4241" s="83" t="str">
        <f>IF(ISNUMBER(F4241),E4241*F4241,"")</f>
        <v/>
      </c>
      <c r="H4241" s="84"/>
      <c r="I4241" s="72"/>
      <c r="J4241" s="37">
        <v>0</v>
      </c>
    </row>
    <row r="4242" spans="1:10" ht="15.75" hidden="1" thickBot="1" x14ac:dyDescent="0.3">
      <c r="A4242" s="173" t="s">
        <v>1011</v>
      </c>
      <c r="B4242" s="176" t="s">
        <v>4565</v>
      </c>
      <c r="C4242" s="31"/>
      <c r="D4242" s="32" t="s">
        <v>68</v>
      </c>
      <c r="E4242" s="33"/>
      <c r="F4242" s="60" t="s">
        <v>13</v>
      </c>
      <c r="G4242" s="34" t="str">
        <f>IF(ISNUMBER(F4242),E4242*F4242,"")</f>
        <v/>
      </c>
      <c r="H4242" s="35"/>
      <c r="I4242" s="36"/>
      <c r="J4242" s="37">
        <v>0</v>
      </c>
    </row>
    <row r="4243" spans="1:10" hidden="1" x14ac:dyDescent="0.25">
      <c r="A4243" s="179"/>
      <c r="B4243" s="177"/>
      <c r="C4243" s="39"/>
      <c r="D4243" s="39"/>
      <c r="E4243" s="40"/>
      <c r="F4243" s="70" t="s">
        <v>13</v>
      </c>
      <c r="G4243" s="70" t="str">
        <f>IF(ISNUMBER(F4243),E4243*F4243,"")</f>
        <v/>
      </c>
      <c r="H4243" s="71"/>
      <c r="I4243" s="72"/>
      <c r="J4243" s="37">
        <v>0</v>
      </c>
    </row>
    <row r="4244" spans="1:10" ht="25.5" hidden="1" x14ac:dyDescent="0.25">
      <c r="A4244" s="179"/>
      <c r="B4244" s="177"/>
      <c r="C4244" s="43" t="s">
        <v>11116</v>
      </c>
      <c r="D4244" s="43" t="s">
        <v>162</v>
      </c>
      <c r="E4244" s="44">
        <v>1</v>
      </c>
      <c r="F4244" s="70">
        <v>112.57499999999999</v>
      </c>
      <c r="G4244" s="70">
        <f>IF(ISNUMBER(F4244),E4244*F4244,"")</f>
        <v>112.57499999999999</v>
      </c>
      <c r="H4244" s="46">
        <f>SUM(G4244:G4244)</f>
        <v>112.57499999999999</v>
      </c>
      <c r="I4244" s="47"/>
      <c r="J4244" s="37">
        <v>0</v>
      </c>
    </row>
    <row r="4245" spans="1:10" ht="15.75" hidden="1" thickBot="1" x14ac:dyDescent="0.3">
      <c r="A4245" s="180"/>
      <c r="B4245" s="178"/>
      <c r="C4245" s="49"/>
      <c r="D4245" s="63"/>
      <c r="E4245" s="50"/>
      <c r="F4245" s="83" t="s">
        <v>13</v>
      </c>
      <c r="G4245" s="83" t="str">
        <f>IF(ISNUMBER(F4245),E4245*F4245,"")</f>
        <v/>
      </c>
      <c r="H4245" s="84"/>
      <c r="I4245" s="72"/>
      <c r="J4245" s="37">
        <v>0</v>
      </c>
    </row>
    <row r="4246" spans="1:10" ht="15.75" hidden="1" thickBot="1" x14ac:dyDescent="0.3">
      <c r="A4246" s="173" t="s">
        <v>1012</v>
      </c>
      <c r="B4246" s="176" t="s">
        <v>4566</v>
      </c>
      <c r="C4246" s="31"/>
      <c r="D4246" s="32" t="s">
        <v>68</v>
      </c>
      <c r="E4246" s="33"/>
      <c r="F4246" s="60" t="s">
        <v>13</v>
      </c>
      <c r="G4246" s="34" t="str">
        <f>IF(ISNUMBER(F4246),E4246*F4246,"")</f>
        <v/>
      </c>
      <c r="H4246" s="35"/>
      <c r="I4246" s="36"/>
      <c r="J4246" s="37">
        <v>0</v>
      </c>
    </row>
    <row r="4247" spans="1:10" hidden="1" x14ac:dyDescent="0.25">
      <c r="A4247" s="179"/>
      <c r="B4247" s="177"/>
      <c r="C4247" s="39"/>
      <c r="D4247" s="39"/>
      <c r="E4247" s="40"/>
      <c r="F4247" s="70" t="s">
        <v>13</v>
      </c>
      <c r="G4247" s="70" t="str">
        <f>IF(ISNUMBER(F4247),E4247*F4247,"")</f>
        <v/>
      </c>
      <c r="H4247" s="71"/>
      <c r="I4247" s="72"/>
      <c r="J4247" s="37">
        <v>0</v>
      </c>
    </row>
    <row r="4248" spans="1:10" hidden="1" x14ac:dyDescent="0.25">
      <c r="A4248" s="179"/>
      <c r="B4248" s="177"/>
      <c r="C4248" s="43" t="s">
        <v>1013</v>
      </c>
      <c r="D4248" s="62" t="s">
        <v>68</v>
      </c>
      <c r="E4248" s="44">
        <v>1.05</v>
      </c>
      <c r="F4248" s="70" t="s">
        <v>13</v>
      </c>
      <c r="G4248" s="70" t="str">
        <f>IF(ISNUMBER(F4248),E4248*F4248,"")</f>
        <v/>
      </c>
      <c r="H4248" s="46">
        <f>SUM(G4248:G4252)</f>
        <v>30.705899999999993</v>
      </c>
      <c r="I4248" s="47"/>
      <c r="J4248" s="37">
        <v>0</v>
      </c>
    </row>
    <row r="4249" spans="1:10" hidden="1" x14ac:dyDescent="0.25">
      <c r="A4249" s="179"/>
      <c r="B4249" s="177"/>
      <c r="C4249" s="43" t="s">
        <v>1014</v>
      </c>
      <c r="D4249" s="62" t="s">
        <v>72</v>
      </c>
      <c r="E4249" s="44">
        <v>1.7</v>
      </c>
      <c r="F4249" s="70" t="s">
        <v>13</v>
      </c>
      <c r="G4249" s="70" t="str">
        <f>IF(ISNUMBER(F4249),E4249*F4249,"")</f>
        <v/>
      </c>
      <c r="H4249" s="71"/>
      <c r="I4249" s="72"/>
      <c r="J4249" s="37">
        <v>0</v>
      </c>
    </row>
    <row r="4250" spans="1:10" hidden="1" x14ac:dyDescent="0.25">
      <c r="A4250" s="179"/>
      <c r="B4250" s="177"/>
      <c r="C4250" s="43" t="s">
        <v>10891</v>
      </c>
      <c r="D4250" s="43" t="s">
        <v>1044</v>
      </c>
      <c r="E4250" s="44">
        <v>0.35</v>
      </c>
      <c r="F4250" s="70">
        <v>50.957999999999998</v>
      </c>
      <c r="G4250" s="70">
        <f>IF(ISNUMBER(F4250),E4250*F4250,"")</f>
        <v>17.835299999999997</v>
      </c>
      <c r="H4250" s="71"/>
      <c r="I4250" s="72"/>
      <c r="J4250" s="37">
        <v>0</v>
      </c>
    </row>
    <row r="4251" spans="1:10" hidden="1" x14ac:dyDescent="0.25">
      <c r="A4251" s="179"/>
      <c r="B4251" s="177"/>
      <c r="C4251" s="43" t="s">
        <v>10757</v>
      </c>
      <c r="D4251" s="43" t="s">
        <v>2800</v>
      </c>
      <c r="E4251" s="44">
        <f>0.15*2</f>
        <v>0.3</v>
      </c>
      <c r="F4251" s="70">
        <v>31.055499999999995</v>
      </c>
      <c r="G4251" s="70">
        <f>IF(ISNUMBER(F4251),E4251*F4251,"")</f>
        <v>9.3166499999999974</v>
      </c>
      <c r="H4251" s="71"/>
      <c r="I4251" s="72"/>
      <c r="J4251" s="37">
        <v>0</v>
      </c>
    </row>
    <row r="4252" spans="1:10" hidden="1" x14ac:dyDescent="0.25">
      <c r="A4252" s="179"/>
      <c r="B4252" s="177"/>
      <c r="C4252" s="43" t="s">
        <v>10614</v>
      </c>
      <c r="D4252" s="43" t="s">
        <v>2800</v>
      </c>
      <c r="E4252" s="44">
        <v>0.15</v>
      </c>
      <c r="F4252" s="70">
        <v>23.693000000000001</v>
      </c>
      <c r="G4252" s="70">
        <f>IF(ISNUMBER(F4252),E4252*F4252,"")</f>
        <v>3.5539499999999999</v>
      </c>
      <c r="H4252" s="71"/>
      <c r="I4252" s="72"/>
      <c r="J4252" s="37">
        <v>0</v>
      </c>
    </row>
    <row r="4253" spans="1:10" ht="15.75" hidden="1" thickBot="1" x14ac:dyDescent="0.3">
      <c r="A4253" s="180"/>
      <c r="B4253" s="178"/>
      <c r="C4253" s="49"/>
      <c r="D4253" s="49"/>
      <c r="E4253" s="50"/>
      <c r="F4253" s="83" t="s">
        <v>13</v>
      </c>
      <c r="G4253" s="83" t="str">
        <f>IF(ISNUMBER(F4253),E4253*F4253,"")</f>
        <v/>
      </c>
      <c r="H4253" s="84"/>
      <c r="I4253" s="72"/>
      <c r="J4253" s="37">
        <v>0</v>
      </c>
    </row>
    <row r="4254" spans="1:10" ht="15.75" hidden="1" thickBot="1" x14ac:dyDescent="0.3">
      <c r="A4254" s="173" t="s">
        <v>1015</v>
      </c>
      <c r="B4254" s="176" t="s">
        <v>4567</v>
      </c>
      <c r="C4254" s="31"/>
      <c r="D4254" s="32" t="s">
        <v>106</v>
      </c>
      <c r="E4254" s="33"/>
      <c r="F4254" s="60" t="s">
        <v>13</v>
      </c>
      <c r="G4254" s="34" t="str">
        <f>IF(ISNUMBER(F4254),E4254*F4254,"")</f>
        <v/>
      </c>
      <c r="H4254" s="35"/>
      <c r="I4254" s="36"/>
      <c r="J4254" s="37">
        <v>0</v>
      </c>
    </row>
    <row r="4255" spans="1:10" hidden="1" x14ac:dyDescent="0.25">
      <c r="A4255" s="179"/>
      <c r="B4255" s="177"/>
      <c r="C4255" s="39"/>
      <c r="D4255" s="39"/>
      <c r="E4255" s="40"/>
      <c r="F4255" s="70" t="s">
        <v>13</v>
      </c>
      <c r="G4255" s="70" t="str">
        <f>IF(ISNUMBER(F4255),E4255*F4255,"")</f>
        <v/>
      </c>
      <c r="H4255" s="71"/>
      <c r="I4255" s="72"/>
      <c r="J4255" s="37">
        <v>0</v>
      </c>
    </row>
    <row r="4256" spans="1:10" hidden="1" x14ac:dyDescent="0.25">
      <c r="A4256" s="179"/>
      <c r="B4256" s="177"/>
      <c r="C4256" s="43" t="s">
        <v>10757</v>
      </c>
      <c r="D4256" s="43" t="s">
        <v>2800</v>
      </c>
      <c r="E4256" s="44">
        <v>0.35</v>
      </c>
      <c r="F4256" s="70">
        <v>31.055499999999995</v>
      </c>
      <c r="G4256" s="70">
        <f>IF(ISNUMBER(F4256),E4256*F4256,"")</f>
        <v>10.869424999999998</v>
      </c>
      <c r="H4256" s="46">
        <f>SUM(G4256:G4260)</f>
        <v>78.128095000000002</v>
      </c>
      <c r="I4256" s="47"/>
      <c r="J4256" s="37">
        <v>0</v>
      </c>
    </row>
    <row r="4257" spans="1:10" hidden="1" x14ac:dyDescent="0.25">
      <c r="A4257" s="179"/>
      <c r="B4257" s="177"/>
      <c r="C4257" s="43" t="s">
        <v>10614</v>
      </c>
      <c r="D4257" s="43" t="s">
        <v>2800</v>
      </c>
      <c r="E4257" s="44">
        <v>0.35</v>
      </c>
      <c r="F4257" s="70">
        <v>23.693000000000001</v>
      </c>
      <c r="G4257" s="70">
        <f>IF(ISNUMBER(F4257),E4257*F4257,"")</f>
        <v>8.2925500000000003</v>
      </c>
      <c r="H4257" s="71"/>
      <c r="I4257" s="72"/>
      <c r="J4257" s="37">
        <v>0</v>
      </c>
    </row>
    <row r="4258" spans="1:10" ht="25.5" hidden="1" x14ac:dyDescent="0.25">
      <c r="A4258" s="179"/>
      <c r="B4258" s="177"/>
      <c r="C4258" s="43" t="s">
        <v>11117</v>
      </c>
      <c r="D4258" s="43" t="s">
        <v>70</v>
      </c>
      <c r="E4258" s="44">
        <v>0.2</v>
      </c>
      <c r="F4258" s="70">
        <v>193.49600000000001</v>
      </c>
      <c r="G4258" s="70">
        <f>IF(ISNUMBER(F4258),E4258*F4258,"")</f>
        <v>38.699200000000005</v>
      </c>
      <c r="H4258" s="71"/>
      <c r="I4258" s="72"/>
      <c r="J4258" s="37">
        <v>0</v>
      </c>
    </row>
    <row r="4259" spans="1:10" hidden="1" x14ac:dyDescent="0.25">
      <c r="A4259" s="179"/>
      <c r="B4259" s="177"/>
      <c r="C4259" s="43" t="s">
        <v>1016</v>
      </c>
      <c r="D4259" s="43" t="s">
        <v>106</v>
      </c>
      <c r="E4259" s="44">
        <v>1</v>
      </c>
      <c r="F4259" s="70" t="s">
        <v>13</v>
      </c>
      <c r="G4259" s="70" t="str">
        <f>IF(ISNUMBER(F4259),E4259*F4259,"")</f>
        <v/>
      </c>
      <c r="H4259" s="71"/>
      <c r="I4259" s="72"/>
      <c r="J4259" s="37">
        <v>0</v>
      </c>
    </row>
    <row r="4260" spans="1:10" ht="25.5" hidden="1" x14ac:dyDescent="0.25">
      <c r="A4260" s="179"/>
      <c r="B4260" s="177"/>
      <c r="C4260" s="43" t="s">
        <v>10879</v>
      </c>
      <c r="D4260" s="43" t="s">
        <v>1044</v>
      </c>
      <c r="E4260" s="44">
        <f>1.8*1*(0.01+0.01)*10</f>
        <v>0.36000000000000004</v>
      </c>
      <c r="F4260" s="70">
        <v>56.296999999999997</v>
      </c>
      <c r="G4260" s="70">
        <f>IF(ISNUMBER(F4260),E4260*F4260,"")</f>
        <v>20.266920000000002</v>
      </c>
      <c r="H4260" s="71"/>
      <c r="I4260" s="72"/>
      <c r="J4260" s="37">
        <v>0</v>
      </c>
    </row>
    <row r="4261" spans="1:10" hidden="1" x14ac:dyDescent="0.25">
      <c r="A4261" s="179"/>
      <c r="B4261" s="177"/>
      <c r="C4261" s="43"/>
      <c r="D4261" s="43"/>
      <c r="E4261" s="44"/>
      <c r="F4261" s="70" t="s">
        <v>13</v>
      </c>
      <c r="G4261" s="70" t="str">
        <f>IF(ISNUMBER(F4261),E4261*F4261,"")</f>
        <v/>
      </c>
      <c r="H4261" s="71"/>
      <c r="I4261" s="72"/>
      <c r="J4261" s="37">
        <v>0</v>
      </c>
    </row>
    <row r="4262" spans="1:10" ht="25.5" hidden="1" x14ac:dyDescent="0.25">
      <c r="A4262" s="179"/>
      <c r="B4262" s="177"/>
      <c r="C4262" s="4" t="s">
        <v>1017</v>
      </c>
      <c r="D4262" s="43"/>
      <c r="E4262" s="44"/>
      <c r="F4262" s="70" t="s">
        <v>13</v>
      </c>
      <c r="G4262" s="70" t="str">
        <f>IF(ISNUMBER(F4262),E4262*F4262,"")</f>
        <v/>
      </c>
      <c r="H4262" s="71"/>
      <c r="I4262" s="72"/>
      <c r="J4262" s="37">
        <v>0</v>
      </c>
    </row>
    <row r="4263" spans="1:10" hidden="1" x14ac:dyDescent="0.25">
      <c r="A4263" s="179"/>
      <c r="B4263" s="177"/>
      <c r="C4263" s="4" t="s">
        <v>1018</v>
      </c>
      <c r="D4263" s="43"/>
      <c r="E4263" s="44"/>
      <c r="F4263" s="70" t="s">
        <v>13</v>
      </c>
      <c r="G4263" s="70" t="str">
        <f>IF(ISNUMBER(F4263),E4263*F4263,"")</f>
        <v/>
      </c>
      <c r="H4263" s="71"/>
      <c r="I4263" s="72"/>
      <c r="J4263" s="37">
        <v>0</v>
      </c>
    </row>
    <row r="4264" spans="1:10" ht="15.75" hidden="1" thickBot="1" x14ac:dyDescent="0.3">
      <c r="A4264" s="180"/>
      <c r="B4264" s="178"/>
      <c r="C4264" s="49"/>
      <c r="D4264" s="49"/>
      <c r="E4264" s="50"/>
      <c r="F4264" s="83" t="s">
        <v>13</v>
      </c>
      <c r="G4264" s="83" t="str">
        <f>IF(ISNUMBER(F4264),E4264*F4264,"")</f>
        <v/>
      </c>
      <c r="H4264" s="84"/>
      <c r="I4264" s="72"/>
      <c r="J4264" s="37">
        <v>0</v>
      </c>
    </row>
    <row r="4265" spans="1:10" ht="15.75" hidden="1" thickBot="1" x14ac:dyDescent="0.3">
      <c r="A4265" s="173" t="s">
        <v>1019</v>
      </c>
      <c r="B4265" s="176" t="s">
        <v>4568</v>
      </c>
      <c r="C4265" s="31"/>
      <c r="D4265" s="32" t="s">
        <v>68</v>
      </c>
      <c r="E4265" s="33"/>
      <c r="F4265" s="60" t="s">
        <v>13</v>
      </c>
      <c r="G4265" s="34" t="str">
        <f>IF(ISNUMBER(F4265),E4265*F4265,"")</f>
        <v/>
      </c>
      <c r="H4265" s="35"/>
      <c r="I4265" s="36"/>
      <c r="J4265" s="37">
        <v>0</v>
      </c>
    </row>
    <row r="4266" spans="1:10" hidden="1" x14ac:dyDescent="0.25">
      <c r="A4266" s="179"/>
      <c r="B4266" s="177"/>
      <c r="C4266" s="39"/>
      <c r="D4266" s="39"/>
      <c r="E4266" s="40"/>
      <c r="F4266" s="70" t="s">
        <v>13</v>
      </c>
      <c r="G4266" s="70" t="str">
        <f>IF(ISNUMBER(F4266),E4266*F4266,"")</f>
        <v/>
      </c>
      <c r="H4266" s="71"/>
      <c r="I4266" s="72"/>
      <c r="J4266" s="37">
        <v>0</v>
      </c>
    </row>
    <row r="4267" spans="1:10" hidden="1" x14ac:dyDescent="0.25">
      <c r="A4267" s="179"/>
      <c r="B4267" s="177"/>
      <c r="C4267" s="43" t="s">
        <v>10757</v>
      </c>
      <c r="D4267" s="43" t="s">
        <v>2800</v>
      </c>
      <c r="E4267" s="44">
        <v>0.3</v>
      </c>
      <c r="F4267" s="70">
        <v>31.055499999999995</v>
      </c>
      <c r="G4267" s="70">
        <f>IF(ISNUMBER(F4267),E4267*F4267,"")</f>
        <v>9.3166499999999974</v>
      </c>
      <c r="H4267" s="46">
        <f>SUM(G4267:G4272)</f>
        <v>22.347799999999999</v>
      </c>
      <c r="I4267" s="47"/>
      <c r="J4267" s="37">
        <v>0</v>
      </c>
    </row>
    <row r="4268" spans="1:10" hidden="1" x14ac:dyDescent="0.25">
      <c r="A4268" s="179"/>
      <c r="B4268" s="177"/>
      <c r="C4268" s="43" t="s">
        <v>10614</v>
      </c>
      <c r="D4268" s="43" t="s">
        <v>2800</v>
      </c>
      <c r="E4268" s="44">
        <f>0.3+0.25</f>
        <v>0.55000000000000004</v>
      </c>
      <c r="F4268" s="70">
        <v>23.693000000000001</v>
      </c>
      <c r="G4268" s="70">
        <f>IF(ISNUMBER(F4268),E4268*F4268,"")</f>
        <v>13.031150000000002</v>
      </c>
      <c r="H4268" s="71"/>
      <c r="I4268" s="72"/>
      <c r="J4268" s="37">
        <v>0</v>
      </c>
    </row>
    <row r="4269" spans="1:10" hidden="1" x14ac:dyDescent="0.25">
      <c r="A4269" s="179"/>
      <c r="B4269" s="177"/>
      <c r="C4269" s="43" t="s">
        <v>1020</v>
      </c>
      <c r="D4269" s="43" t="s">
        <v>72</v>
      </c>
      <c r="E4269" s="44">
        <v>5</v>
      </c>
      <c r="F4269" s="70" t="s">
        <v>13</v>
      </c>
      <c r="G4269" s="70" t="str">
        <f>IF(ISNUMBER(F4269),E4269*F4269,"")</f>
        <v/>
      </c>
      <c r="H4269" s="71"/>
      <c r="I4269" s="72"/>
      <c r="J4269" s="37">
        <v>0</v>
      </c>
    </row>
    <row r="4270" spans="1:10" hidden="1" x14ac:dyDescent="0.25">
      <c r="A4270" s="179"/>
      <c r="B4270" s="177"/>
      <c r="C4270" s="43" t="s">
        <v>1021</v>
      </c>
      <c r="D4270" s="43" t="s">
        <v>72</v>
      </c>
      <c r="E4270" s="44">
        <v>0.5</v>
      </c>
      <c r="F4270" s="70" t="s">
        <v>13</v>
      </c>
      <c r="G4270" s="70" t="str">
        <f>IF(ISNUMBER(F4270),E4270*F4270,"")</f>
        <v/>
      </c>
      <c r="H4270" s="71"/>
      <c r="I4270" s="72"/>
      <c r="J4270" s="37">
        <v>0</v>
      </c>
    </row>
    <row r="4271" spans="1:10" hidden="1" x14ac:dyDescent="0.25">
      <c r="A4271" s="179"/>
      <c r="B4271" s="177"/>
      <c r="C4271" s="43" t="s">
        <v>1022</v>
      </c>
      <c r="D4271" s="43" t="s">
        <v>72</v>
      </c>
      <c r="E4271" s="44">
        <v>0.1</v>
      </c>
      <c r="F4271" s="70" t="s">
        <v>13</v>
      </c>
      <c r="G4271" s="70" t="str">
        <f>IF(ISNUMBER(F4271),E4271*F4271,"")</f>
        <v/>
      </c>
      <c r="H4271" s="71"/>
      <c r="I4271" s="72"/>
      <c r="J4271" s="37">
        <v>0</v>
      </c>
    </row>
    <row r="4272" spans="1:10" hidden="1" x14ac:dyDescent="0.25">
      <c r="A4272" s="179"/>
      <c r="B4272" s="177"/>
      <c r="C4272" s="43" t="s">
        <v>1023</v>
      </c>
      <c r="D4272" s="43" t="s">
        <v>83</v>
      </c>
      <c r="E4272" s="44">
        <v>0.5</v>
      </c>
      <c r="F4272" s="70" t="s">
        <v>13</v>
      </c>
      <c r="G4272" s="70" t="str">
        <f>IF(ISNUMBER(F4272),E4272*F4272,"")</f>
        <v/>
      </c>
      <c r="H4272" s="71"/>
      <c r="I4272" s="72"/>
      <c r="J4272" s="37">
        <v>0</v>
      </c>
    </row>
    <row r="4273" spans="1:10" hidden="1" x14ac:dyDescent="0.25">
      <c r="A4273" s="179"/>
      <c r="B4273" s="177"/>
      <c r="C4273" s="43"/>
      <c r="D4273" s="43"/>
      <c r="E4273" s="44"/>
      <c r="F4273" s="70" t="s">
        <v>13</v>
      </c>
      <c r="G4273" s="70" t="str">
        <f>IF(ISNUMBER(F4273),E4273*F4273,"")</f>
        <v/>
      </c>
      <c r="H4273" s="71"/>
      <c r="I4273" s="72"/>
      <c r="J4273" s="37">
        <v>0</v>
      </c>
    </row>
    <row r="4274" spans="1:10" hidden="1" x14ac:dyDescent="0.25">
      <c r="A4274" s="179"/>
      <c r="B4274" s="177"/>
      <c r="C4274" s="4" t="s">
        <v>1024</v>
      </c>
      <c r="D4274" s="43"/>
      <c r="E4274" s="44"/>
      <c r="F4274" s="70" t="s">
        <v>13</v>
      </c>
      <c r="G4274" s="70" t="str">
        <f>IF(ISNUMBER(F4274),E4274*F4274,"")</f>
        <v/>
      </c>
      <c r="H4274" s="71"/>
      <c r="I4274" s="72"/>
      <c r="J4274" s="37">
        <v>0</v>
      </c>
    </row>
    <row r="4275" spans="1:10" ht="15.75" hidden="1" thickBot="1" x14ac:dyDescent="0.3">
      <c r="A4275" s="180"/>
      <c r="B4275" s="178"/>
      <c r="C4275" s="49"/>
      <c r="D4275" s="49"/>
      <c r="E4275" s="50"/>
      <c r="F4275" s="83" t="s">
        <v>13</v>
      </c>
      <c r="G4275" s="83" t="str">
        <f>IF(ISNUMBER(F4275),E4275*F4275,"")</f>
        <v/>
      </c>
      <c r="H4275" s="84"/>
      <c r="I4275" s="72"/>
      <c r="J4275" s="37">
        <v>0</v>
      </c>
    </row>
    <row r="4276" spans="1:10" ht="15.75" hidden="1" thickBot="1" x14ac:dyDescent="0.3">
      <c r="A4276" s="173" t="s">
        <v>1025</v>
      </c>
      <c r="B4276" s="176" t="s">
        <v>4569</v>
      </c>
      <c r="C4276" s="31"/>
      <c r="D4276" s="32" t="s">
        <v>68</v>
      </c>
      <c r="E4276" s="33"/>
      <c r="F4276" s="60" t="s">
        <v>13</v>
      </c>
      <c r="G4276" s="34" t="str">
        <f>IF(ISNUMBER(F4276),E4276*F4276,"")</f>
        <v/>
      </c>
      <c r="H4276" s="35"/>
      <c r="I4276" s="36"/>
      <c r="J4276" s="37">
        <v>0</v>
      </c>
    </row>
    <row r="4277" spans="1:10" hidden="1" x14ac:dyDescent="0.25">
      <c r="A4277" s="179"/>
      <c r="B4277" s="177"/>
      <c r="C4277" s="39"/>
      <c r="D4277" s="39"/>
      <c r="E4277" s="40"/>
      <c r="F4277" s="70" t="s">
        <v>13</v>
      </c>
      <c r="G4277" s="70" t="str">
        <f>IF(ISNUMBER(F4277),E4277*F4277,"")</f>
        <v/>
      </c>
      <c r="H4277" s="71"/>
      <c r="I4277" s="72"/>
      <c r="J4277" s="37">
        <v>0</v>
      </c>
    </row>
    <row r="4278" spans="1:10" ht="25.5" hidden="1" x14ac:dyDescent="0.25">
      <c r="A4278" s="179"/>
      <c r="B4278" s="177"/>
      <c r="C4278" s="43" t="s">
        <v>1026</v>
      </c>
      <c r="D4278" s="43" t="s">
        <v>68</v>
      </c>
      <c r="E4278" s="44">
        <v>1</v>
      </c>
      <c r="F4278" s="70" t="s">
        <v>13</v>
      </c>
      <c r="G4278" s="70" t="str">
        <f>IF(ISNUMBER(F4278),E4278*F4278,"")</f>
        <v/>
      </c>
      <c r="H4278" s="46">
        <f>SUM(G4278:G4278)</f>
        <v>0</v>
      </c>
      <c r="I4278" s="47"/>
      <c r="J4278" s="37">
        <v>0</v>
      </c>
    </row>
    <row r="4279" spans="1:10" ht="15.75" hidden="1" thickBot="1" x14ac:dyDescent="0.3">
      <c r="A4279" s="180"/>
      <c r="B4279" s="178"/>
      <c r="C4279" s="49"/>
      <c r="D4279" s="49"/>
      <c r="E4279" s="50"/>
      <c r="F4279" s="83" t="s">
        <v>13</v>
      </c>
      <c r="G4279" s="83" t="str">
        <f>IF(ISNUMBER(F4279),E4279*F4279,"")</f>
        <v/>
      </c>
      <c r="H4279" s="84"/>
      <c r="I4279" s="72"/>
      <c r="J4279" s="37">
        <v>0</v>
      </c>
    </row>
    <row r="4280" spans="1:10" ht="15.75" hidden="1" thickBot="1" x14ac:dyDescent="0.3">
      <c r="A4280" s="173" t="s">
        <v>1027</v>
      </c>
      <c r="B4280" s="176" t="s">
        <v>4570</v>
      </c>
      <c r="C4280" s="31"/>
      <c r="D4280" s="32" t="s">
        <v>68</v>
      </c>
      <c r="E4280" s="33"/>
      <c r="F4280" s="60" t="s">
        <v>13</v>
      </c>
      <c r="G4280" s="34" t="str">
        <f>IF(ISNUMBER(F4280),E4280*F4280,"")</f>
        <v/>
      </c>
      <c r="H4280" s="35"/>
      <c r="I4280" s="36"/>
      <c r="J4280" s="37">
        <v>0</v>
      </c>
    </row>
    <row r="4281" spans="1:10" hidden="1" x14ac:dyDescent="0.25">
      <c r="A4281" s="179"/>
      <c r="B4281" s="177"/>
      <c r="C4281" s="39"/>
      <c r="D4281" s="39"/>
      <c r="E4281" s="40"/>
      <c r="F4281" s="70" t="s">
        <v>13</v>
      </c>
      <c r="G4281" s="70" t="str">
        <f>IF(ISNUMBER(F4281),E4281*F4281,"")</f>
        <v/>
      </c>
      <c r="H4281" s="71"/>
      <c r="I4281" s="72"/>
      <c r="J4281" s="37">
        <v>0</v>
      </c>
    </row>
    <row r="4282" spans="1:10" ht="25.5" hidden="1" x14ac:dyDescent="0.25">
      <c r="A4282" s="179"/>
      <c r="B4282" s="177"/>
      <c r="C4282" s="43" t="s">
        <v>11118</v>
      </c>
      <c r="D4282" s="43" t="s">
        <v>162</v>
      </c>
      <c r="E4282" s="44">
        <v>1.05</v>
      </c>
      <c r="F4282" s="70">
        <v>267.976</v>
      </c>
      <c r="G4282" s="70">
        <f>IF(ISNUMBER(F4282),E4282*F4282,"")</f>
        <v>281.37479999999999</v>
      </c>
      <c r="H4282" s="46">
        <f>SUM(G4282:G4286)</f>
        <v>331.17961589999999</v>
      </c>
      <c r="I4282" s="47"/>
      <c r="J4282" s="37">
        <v>0</v>
      </c>
    </row>
    <row r="4283" spans="1:10" hidden="1" x14ac:dyDescent="0.25">
      <c r="A4283" s="179"/>
      <c r="B4283" s="177"/>
      <c r="C4283" s="43" t="s">
        <v>10873</v>
      </c>
      <c r="D4283" s="43" t="s">
        <v>1044</v>
      </c>
      <c r="E4283" s="44">
        <v>0.57499999999999996</v>
      </c>
      <c r="F4283" s="70">
        <v>46.055999999999997</v>
      </c>
      <c r="G4283" s="70">
        <f>IF(ISNUMBER(F4283),E4283*F4283,"")</f>
        <v>26.482199999999995</v>
      </c>
      <c r="H4283" s="71"/>
      <c r="I4283" s="72"/>
      <c r="J4283" s="37">
        <v>0</v>
      </c>
    </row>
    <row r="4284" spans="1:10" hidden="1" x14ac:dyDescent="0.25">
      <c r="A4284" s="179"/>
      <c r="B4284" s="177"/>
      <c r="C4284" s="43" t="s">
        <v>10613</v>
      </c>
      <c r="D4284" s="43" t="s">
        <v>2800</v>
      </c>
      <c r="E4284" s="44">
        <v>0.57589999999999997</v>
      </c>
      <c r="F4284" s="70">
        <v>30.628</v>
      </c>
      <c r="G4284" s="70">
        <f>IF(ISNUMBER(F4284),E4284*F4284,"")</f>
        <v>17.638665199999998</v>
      </c>
      <c r="H4284" s="71"/>
      <c r="I4284" s="72"/>
      <c r="J4284" s="37">
        <v>0</v>
      </c>
    </row>
    <row r="4285" spans="1:10" hidden="1" x14ac:dyDescent="0.25">
      <c r="A4285" s="179"/>
      <c r="B4285" s="177"/>
      <c r="C4285" s="43" t="s">
        <v>10614</v>
      </c>
      <c r="D4285" s="43" t="s">
        <v>2800</v>
      </c>
      <c r="E4285" s="44">
        <v>0.2399</v>
      </c>
      <c r="F4285" s="70">
        <v>23.693000000000001</v>
      </c>
      <c r="G4285" s="70">
        <f>IF(ISNUMBER(F4285),E4285*F4285,"")</f>
        <v>5.6839507000000005</v>
      </c>
      <c r="H4285" s="71"/>
      <c r="I4285" s="72"/>
      <c r="J4285" s="37">
        <v>0</v>
      </c>
    </row>
    <row r="4286" spans="1:10" ht="25.5" hidden="1" x14ac:dyDescent="0.25">
      <c r="A4286" s="179"/>
      <c r="B4286" s="177"/>
      <c r="C4286" s="43" t="s">
        <v>1026</v>
      </c>
      <c r="D4286" s="43" t="s">
        <v>68</v>
      </c>
      <c r="E4286" s="44">
        <v>1</v>
      </c>
      <c r="F4286" s="70" t="s">
        <v>13</v>
      </c>
      <c r="G4286" s="70" t="str">
        <f>IF(ISNUMBER(F4286),E4286*F4286,"")</f>
        <v/>
      </c>
      <c r="H4286" s="71"/>
      <c r="I4286" s="47"/>
      <c r="J4286" s="37">
        <v>0</v>
      </c>
    </row>
    <row r="4287" spans="1:10" ht="15.75" hidden="1" thickBot="1" x14ac:dyDescent="0.3">
      <c r="A4287" s="180"/>
      <c r="B4287" s="178"/>
      <c r="C4287" s="49"/>
      <c r="D4287" s="49"/>
      <c r="E4287" s="50"/>
      <c r="F4287" s="83" t="s">
        <v>13</v>
      </c>
      <c r="G4287" s="83" t="str">
        <f>IF(ISNUMBER(F4287),E4287*F4287,"")</f>
        <v/>
      </c>
      <c r="H4287" s="84"/>
      <c r="I4287" s="72"/>
      <c r="J4287" s="37">
        <v>0</v>
      </c>
    </row>
    <row r="4288" spans="1:10" ht="15.75" hidden="1" thickBot="1" x14ac:dyDescent="0.3">
      <c r="A4288" s="173" t="s">
        <v>1028</v>
      </c>
      <c r="B4288" s="176" t="s">
        <v>4571</v>
      </c>
      <c r="C4288" s="31"/>
      <c r="D4288" s="32" t="s">
        <v>68</v>
      </c>
      <c r="E4288" s="33"/>
      <c r="F4288" s="60" t="s">
        <v>13</v>
      </c>
      <c r="G4288" s="34" t="str">
        <f>IF(ISNUMBER(F4288),E4288*F4288,"")</f>
        <v/>
      </c>
      <c r="H4288" s="35"/>
      <c r="I4288" s="36"/>
      <c r="J4288" s="37">
        <v>0</v>
      </c>
    </row>
    <row r="4289" spans="1:10" hidden="1" x14ac:dyDescent="0.25">
      <c r="A4289" s="179"/>
      <c r="B4289" s="177"/>
      <c r="C4289" s="39"/>
      <c r="D4289" s="39"/>
      <c r="E4289" s="40"/>
      <c r="F4289" s="70" t="s">
        <v>13</v>
      </c>
      <c r="G4289" s="70" t="str">
        <f>IF(ISNUMBER(F4289),E4289*F4289,"")</f>
        <v/>
      </c>
      <c r="H4289" s="71"/>
      <c r="I4289" s="72"/>
      <c r="J4289" s="37">
        <v>0</v>
      </c>
    </row>
    <row r="4290" spans="1:10" hidden="1" x14ac:dyDescent="0.25">
      <c r="A4290" s="179"/>
      <c r="B4290" s="177"/>
      <c r="C4290" s="43" t="s">
        <v>10891</v>
      </c>
      <c r="D4290" s="43" t="s">
        <v>1044</v>
      </c>
      <c r="E4290" s="44">
        <v>0.56369999999999998</v>
      </c>
      <c r="F4290" s="70">
        <v>50.957999999999998</v>
      </c>
      <c r="G4290" s="70">
        <f>IF(ISNUMBER(F4290),E4290*F4290,"")</f>
        <v>28.725024599999998</v>
      </c>
      <c r="H4290" s="46">
        <f>SUM(G4290:G4293)</f>
        <v>106.35968389999999</v>
      </c>
      <c r="I4290" s="47"/>
      <c r="J4290" s="37">
        <v>0</v>
      </c>
    </row>
    <row r="4291" spans="1:10" ht="25.5" hidden="1" x14ac:dyDescent="0.25">
      <c r="A4291" s="179"/>
      <c r="B4291" s="177"/>
      <c r="C4291" s="43" t="s">
        <v>11119</v>
      </c>
      <c r="D4291" s="43" t="s">
        <v>162</v>
      </c>
      <c r="E4291" s="44">
        <v>1.06</v>
      </c>
      <c r="F4291" s="70">
        <v>54.567999999999998</v>
      </c>
      <c r="G4291" s="70">
        <f>IF(ISNUMBER(F4291),E4291*F4291,"")</f>
        <v>57.842080000000003</v>
      </c>
      <c r="H4291" s="71"/>
      <c r="I4291" s="72"/>
      <c r="J4291" s="37">
        <v>0</v>
      </c>
    </row>
    <row r="4292" spans="1:10" hidden="1" x14ac:dyDescent="0.25">
      <c r="A4292" s="179"/>
      <c r="B4292" s="177"/>
      <c r="C4292" s="43" t="s">
        <v>10757</v>
      </c>
      <c r="D4292" s="43" t="s">
        <v>2800</v>
      </c>
      <c r="E4292" s="44">
        <v>0.48359999999999997</v>
      </c>
      <c r="F4292" s="70">
        <v>31.055499999999995</v>
      </c>
      <c r="G4292" s="70">
        <f>IF(ISNUMBER(F4292),E4292*F4292,"")</f>
        <v>15.018439799999996</v>
      </c>
      <c r="H4292" s="71"/>
      <c r="I4292" s="72"/>
      <c r="J4292" s="37">
        <v>0</v>
      </c>
    </row>
    <row r="4293" spans="1:10" hidden="1" x14ac:dyDescent="0.25">
      <c r="A4293" s="179"/>
      <c r="B4293" s="177"/>
      <c r="C4293" s="43" t="s">
        <v>10614</v>
      </c>
      <c r="D4293" s="43" t="s">
        <v>2800</v>
      </c>
      <c r="E4293" s="44">
        <v>0.20150000000000001</v>
      </c>
      <c r="F4293" s="70">
        <v>23.693000000000001</v>
      </c>
      <c r="G4293" s="70">
        <f>IF(ISNUMBER(F4293),E4293*F4293,"")</f>
        <v>4.7741395000000004</v>
      </c>
      <c r="H4293" s="71"/>
      <c r="I4293" s="72"/>
      <c r="J4293" s="37">
        <v>0</v>
      </c>
    </row>
    <row r="4294" spans="1:10" ht="15.75" hidden="1" thickBot="1" x14ac:dyDescent="0.3">
      <c r="A4294" s="180"/>
      <c r="B4294" s="178"/>
      <c r="C4294" s="49"/>
      <c r="D4294" s="49"/>
      <c r="E4294" s="50"/>
      <c r="F4294" s="83" t="s">
        <v>13</v>
      </c>
      <c r="G4294" s="83" t="str">
        <f>IF(ISNUMBER(F4294),E4294*F4294,"")</f>
        <v/>
      </c>
      <c r="H4294" s="84"/>
      <c r="I4294" s="72"/>
      <c r="J4294" s="37">
        <v>0</v>
      </c>
    </row>
    <row r="4295" spans="1:10" ht="15.75" hidden="1" thickBot="1" x14ac:dyDescent="0.3">
      <c r="A4295" s="173" t="s">
        <v>1029</v>
      </c>
      <c r="B4295" s="176" t="s">
        <v>4572</v>
      </c>
      <c r="C4295" s="31"/>
      <c r="D4295" s="32" t="s">
        <v>68</v>
      </c>
      <c r="E4295" s="33"/>
      <c r="F4295" s="60" t="s">
        <v>13</v>
      </c>
      <c r="G4295" s="34" t="str">
        <f>IF(ISNUMBER(F4295),E4295*F4295,"")</f>
        <v/>
      </c>
      <c r="H4295" s="35"/>
      <c r="I4295" s="36"/>
      <c r="J4295" s="37">
        <v>0</v>
      </c>
    </row>
    <row r="4296" spans="1:10" hidden="1" x14ac:dyDescent="0.25">
      <c r="A4296" s="179"/>
      <c r="B4296" s="177"/>
      <c r="C4296" s="39"/>
      <c r="D4296" s="39"/>
      <c r="E4296" s="40"/>
      <c r="F4296" s="70" t="s">
        <v>13</v>
      </c>
      <c r="G4296" s="70" t="str">
        <f>IF(ISNUMBER(F4296),E4296*F4296,"")</f>
        <v/>
      </c>
      <c r="H4296" s="71"/>
      <c r="I4296" s="72"/>
      <c r="J4296" s="37">
        <v>0</v>
      </c>
    </row>
    <row r="4297" spans="1:10" ht="38.25" hidden="1" x14ac:dyDescent="0.25">
      <c r="A4297" s="179"/>
      <c r="B4297" s="177"/>
      <c r="C4297" s="43" t="s">
        <v>1030</v>
      </c>
      <c r="D4297" s="62" t="s">
        <v>162</v>
      </c>
      <c r="E4297" s="44">
        <v>1.05</v>
      </c>
      <c r="F4297" s="70" t="s">
        <v>13</v>
      </c>
      <c r="G4297" s="70" t="str">
        <f>IF(ISNUMBER(F4297),E4297*F4297,"")</f>
        <v/>
      </c>
      <c r="H4297" s="46">
        <f>SUM(G4297:G4299)</f>
        <v>18.031016340000001</v>
      </c>
      <c r="I4297" s="47"/>
      <c r="J4297" s="37">
        <v>0</v>
      </c>
    </row>
    <row r="4298" spans="1:10" hidden="1" x14ac:dyDescent="0.25">
      <c r="A4298" s="179"/>
      <c r="B4298" s="177"/>
      <c r="C4298" s="43" t="s">
        <v>10613</v>
      </c>
      <c r="D4298" s="43" t="s">
        <v>2800</v>
      </c>
      <c r="E4298" s="44">
        <f>0.5759*0.7</f>
        <v>0.40312999999999993</v>
      </c>
      <c r="F4298" s="70">
        <v>30.628</v>
      </c>
      <c r="G4298" s="70">
        <f>IF(ISNUMBER(F4298),E4298*F4298,"")</f>
        <v>12.347065639999999</v>
      </c>
      <c r="H4298" s="71"/>
      <c r="I4298" s="72"/>
      <c r="J4298" s="37">
        <v>0</v>
      </c>
    </row>
    <row r="4299" spans="1:10" hidden="1" x14ac:dyDescent="0.25">
      <c r="A4299" s="179"/>
      <c r="B4299" s="177"/>
      <c r="C4299" s="43" t="s">
        <v>10614</v>
      </c>
      <c r="D4299" s="43" t="s">
        <v>2800</v>
      </c>
      <c r="E4299" s="44">
        <v>0.2399</v>
      </c>
      <c r="F4299" s="70">
        <v>23.693000000000001</v>
      </c>
      <c r="G4299" s="70">
        <f>IF(ISNUMBER(F4299),E4299*F4299,"")</f>
        <v>5.6839507000000005</v>
      </c>
      <c r="H4299" s="71"/>
      <c r="I4299" s="72"/>
      <c r="J4299" s="37">
        <v>0</v>
      </c>
    </row>
    <row r="4300" spans="1:10" ht="15.75" hidden="1" thickBot="1" x14ac:dyDescent="0.3">
      <c r="A4300" s="180"/>
      <c r="B4300" s="178"/>
      <c r="C4300" s="49"/>
      <c r="D4300" s="49"/>
      <c r="E4300" s="50"/>
      <c r="F4300" s="83" t="s">
        <v>13</v>
      </c>
      <c r="G4300" s="83" t="str">
        <f>IF(ISNUMBER(F4300),E4300*F4300,"")</f>
        <v/>
      </c>
      <c r="H4300" s="84"/>
      <c r="I4300" s="72"/>
      <c r="J4300" s="37">
        <v>0</v>
      </c>
    </row>
    <row r="4301" spans="1:10" ht="15.75" hidden="1" thickBot="1" x14ac:dyDescent="0.3">
      <c r="A4301" s="173" t="s">
        <v>1031</v>
      </c>
      <c r="B4301" s="176" t="s">
        <v>4573</v>
      </c>
      <c r="C4301" s="31"/>
      <c r="D4301" s="32" t="s">
        <v>68</v>
      </c>
      <c r="E4301" s="33"/>
      <c r="F4301" s="60" t="s">
        <v>13</v>
      </c>
      <c r="G4301" s="34" t="str">
        <f>IF(ISNUMBER(F4301),E4301*F4301,"")</f>
        <v/>
      </c>
      <c r="H4301" s="35"/>
      <c r="I4301" s="36"/>
      <c r="J4301" s="37">
        <v>0</v>
      </c>
    </row>
    <row r="4302" spans="1:10" hidden="1" x14ac:dyDescent="0.25">
      <c r="A4302" s="179"/>
      <c r="B4302" s="177"/>
      <c r="C4302" s="39"/>
      <c r="D4302" s="39"/>
      <c r="E4302" s="40"/>
      <c r="F4302" s="70" t="s">
        <v>13</v>
      </c>
      <c r="G4302" s="70" t="str">
        <f>IF(ISNUMBER(F4302),E4302*F4302,"")</f>
        <v/>
      </c>
      <c r="H4302" s="71"/>
      <c r="I4302" s="72"/>
      <c r="J4302" s="37">
        <v>0</v>
      </c>
    </row>
    <row r="4303" spans="1:10" ht="25.5" hidden="1" x14ac:dyDescent="0.25">
      <c r="A4303" s="179"/>
      <c r="B4303" s="177"/>
      <c r="C4303" s="43" t="s">
        <v>1032</v>
      </c>
      <c r="D4303" s="43" t="s">
        <v>68</v>
      </c>
      <c r="E4303" s="44">
        <v>1.05</v>
      </c>
      <c r="F4303" s="70" t="s">
        <v>13</v>
      </c>
      <c r="G4303" s="70" t="str">
        <f>IF(ISNUMBER(F4303),E4303*F4303,"")</f>
        <v/>
      </c>
      <c r="H4303" s="46">
        <f>SUM(G4303:G4305)</f>
        <v>13.257059999999999</v>
      </c>
      <c r="I4303" s="47"/>
      <c r="J4303" s="37">
        <v>0</v>
      </c>
    </row>
    <row r="4304" spans="1:10" hidden="1" x14ac:dyDescent="0.25">
      <c r="A4304" s="179"/>
      <c r="B4304" s="177"/>
      <c r="C4304" s="43" t="s">
        <v>10613</v>
      </c>
      <c r="D4304" s="43" t="s">
        <v>2800</v>
      </c>
      <c r="E4304" s="44">
        <v>0.15</v>
      </c>
      <c r="F4304" s="70">
        <v>30.628</v>
      </c>
      <c r="G4304" s="70">
        <f>IF(ISNUMBER(F4304),E4304*F4304,"")</f>
        <v>4.5941999999999998</v>
      </c>
      <c r="H4304" s="71"/>
      <c r="I4304" s="72"/>
      <c r="J4304" s="37">
        <v>0</v>
      </c>
    </row>
    <row r="4305" spans="1:10" hidden="1" x14ac:dyDescent="0.25">
      <c r="A4305" s="179"/>
      <c r="B4305" s="177"/>
      <c r="C4305" s="43" t="s">
        <v>10891</v>
      </c>
      <c r="D4305" s="43" t="s">
        <v>1044</v>
      </c>
      <c r="E4305" s="44">
        <v>0.17</v>
      </c>
      <c r="F4305" s="70">
        <v>50.957999999999998</v>
      </c>
      <c r="G4305" s="70">
        <f>IF(ISNUMBER(F4305),E4305*F4305,"")</f>
        <v>8.6628600000000002</v>
      </c>
      <c r="H4305" s="71"/>
      <c r="I4305" s="72"/>
      <c r="J4305" s="37">
        <v>0</v>
      </c>
    </row>
    <row r="4306" spans="1:10" ht="15.75" hidden="1" thickBot="1" x14ac:dyDescent="0.3">
      <c r="A4306" s="180"/>
      <c r="B4306" s="178"/>
      <c r="C4306" s="49"/>
      <c r="D4306" s="49"/>
      <c r="E4306" s="50"/>
      <c r="F4306" s="83" t="s">
        <v>13</v>
      </c>
      <c r="G4306" s="83" t="str">
        <f>IF(ISNUMBER(F4306),E4306*F4306,"")</f>
        <v/>
      </c>
      <c r="H4306" s="84"/>
      <c r="I4306" s="72"/>
      <c r="J4306" s="37">
        <v>0</v>
      </c>
    </row>
    <row r="4307" spans="1:10" ht="15.75" hidden="1" thickBot="1" x14ac:dyDescent="0.3">
      <c r="A4307" s="173" t="s">
        <v>1033</v>
      </c>
      <c r="B4307" s="176" t="s">
        <v>4574</v>
      </c>
      <c r="C4307" s="31"/>
      <c r="D4307" s="32" t="s">
        <v>68</v>
      </c>
      <c r="E4307" s="33"/>
      <c r="F4307" s="60" t="s">
        <v>13</v>
      </c>
      <c r="G4307" s="34" t="str">
        <f>IF(ISNUMBER(F4307),E4307*F4307,"")</f>
        <v/>
      </c>
      <c r="H4307" s="35"/>
      <c r="I4307" s="36"/>
      <c r="J4307" s="37">
        <v>0</v>
      </c>
    </row>
    <row r="4308" spans="1:10" hidden="1" x14ac:dyDescent="0.25">
      <c r="A4308" s="179"/>
      <c r="B4308" s="177"/>
      <c r="C4308" s="39"/>
      <c r="D4308" s="39"/>
      <c r="E4308" s="40"/>
      <c r="F4308" s="70" t="s">
        <v>13</v>
      </c>
      <c r="G4308" s="70" t="str">
        <f>IF(ISNUMBER(F4308),E4308*F4308,"")</f>
        <v/>
      </c>
      <c r="H4308" s="71"/>
      <c r="I4308" s="72"/>
      <c r="J4308" s="37">
        <v>0</v>
      </c>
    </row>
    <row r="4309" spans="1:10" ht="25.5" hidden="1" x14ac:dyDescent="0.25">
      <c r="A4309" s="179"/>
      <c r="B4309" s="177"/>
      <c r="C4309" s="43" t="s">
        <v>1034</v>
      </c>
      <c r="D4309" s="43" t="s">
        <v>68</v>
      </c>
      <c r="E4309" s="44">
        <v>1.05</v>
      </c>
      <c r="F4309" s="70" t="s">
        <v>13</v>
      </c>
      <c r="G4309" s="70" t="str">
        <f>IF(ISNUMBER(F4309),E4309*F4309,"")</f>
        <v/>
      </c>
      <c r="H4309" s="46">
        <f>SUM(G4309:G4311)</f>
        <v>13.257059999999999</v>
      </c>
      <c r="I4309" s="47"/>
      <c r="J4309" s="37">
        <v>0</v>
      </c>
    </row>
    <row r="4310" spans="1:10" hidden="1" x14ac:dyDescent="0.25">
      <c r="A4310" s="179"/>
      <c r="B4310" s="177"/>
      <c r="C4310" s="43" t="s">
        <v>10613</v>
      </c>
      <c r="D4310" s="43" t="s">
        <v>2800</v>
      </c>
      <c r="E4310" s="44">
        <v>0.15</v>
      </c>
      <c r="F4310" s="70">
        <v>30.628</v>
      </c>
      <c r="G4310" s="70">
        <f>IF(ISNUMBER(F4310),E4310*F4310,"")</f>
        <v>4.5941999999999998</v>
      </c>
      <c r="H4310" s="71"/>
      <c r="I4310" s="72"/>
      <c r="J4310" s="37">
        <v>0</v>
      </c>
    </row>
    <row r="4311" spans="1:10" hidden="1" x14ac:dyDescent="0.25">
      <c r="A4311" s="179"/>
      <c r="B4311" s="177"/>
      <c r="C4311" s="43" t="s">
        <v>10891</v>
      </c>
      <c r="D4311" s="43" t="s">
        <v>1044</v>
      </c>
      <c r="E4311" s="44">
        <v>0.17</v>
      </c>
      <c r="F4311" s="70">
        <v>50.957999999999998</v>
      </c>
      <c r="G4311" s="70">
        <f>IF(ISNUMBER(F4311),E4311*F4311,"")</f>
        <v>8.6628600000000002</v>
      </c>
      <c r="H4311" s="71"/>
      <c r="I4311" s="72"/>
      <c r="J4311" s="37">
        <v>0</v>
      </c>
    </row>
    <row r="4312" spans="1:10" ht="15.75" hidden="1" thickBot="1" x14ac:dyDescent="0.3">
      <c r="A4312" s="180"/>
      <c r="B4312" s="178"/>
      <c r="C4312" s="49"/>
      <c r="D4312" s="49"/>
      <c r="E4312" s="50"/>
      <c r="F4312" s="83" t="s">
        <v>13</v>
      </c>
      <c r="G4312" s="83" t="str">
        <f>IF(ISNUMBER(F4312),E4312*F4312,"")</f>
        <v/>
      </c>
      <c r="H4312" s="84"/>
      <c r="I4312" s="72"/>
      <c r="J4312" s="37">
        <v>0</v>
      </c>
    </row>
    <row r="4313" spans="1:10" ht="15.75" hidden="1" thickBot="1" x14ac:dyDescent="0.3">
      <c r="A4313" s="173" t="s">
        <v>1035</v>
      </c>
      <c r="B4313" s="176" t="s">
        <v>4575</v>
      </c>
      <c r="C4313" s="31"/>
      <c r="D4313" s="32" t="s">
        <v>68</v>
      </c>
      <c r="E4313" s="33"/>
      <c r="F4313" s="60" t="s">
        <v>13</v>
      </c>
      <c r="G4313" s="34" t="str">
        <f>IF(ISNUMBER(F4313),E4313*F4313,"")</f>
        <v/>
      </c>
      <c r="H4313" s="35"/>
      <c r="I4313" s="36"/>
      <c r="J4313" s="37">
        <v>0</v>
      </c>
    </row>
    <row r="4314" spans="1:10" hidden="1" x14ac:dyDescent="0.25">
      <c r="A4314" s="179"/>
      <c r="B4314" s="177"/>
      <c r="C4314" s="39"/>
      <c r="D4314" s="39"/>
      <c r="E4314" s="40"/>
      <c r="F4314" s="70" t="s">
        <v>13</v>
      </c>
      <c r="G4314" s="70" t="str">
        <f>IF(ISNUMBER(F4314),E4314*F4314,"")</f>
        <v/>
      </c>
      <c r="H4314" s="71"/>
      <c r="I4314" s="72"/>
      <c r="J4314" s="37">
        <v>0</v>
      </c>
    </row>
    <row r="4315" spans="1:10" hidden="1" x14ac:dyDescent="0.25">
      <c r="A4315" s="179"/>
      <c r="B4315" s="177"/>
      <c r="C4315" s="43" t="s">
        <v>11120</v>
      </c>
      <c r="D4315" s="43" t="s">
        <v>1044</v>
      </c>
      <c r="E4315" s="44">
        <v>2.1700000000000001E-2</v>
      </c>
      <c r="F4315" s="70">
        <v>27.093999999999998</v>
      </c>
      <c r="G4315" s="70">
        <f>IF(ISNUMBER(F4315),E4315*F4315,"")</f>
        <v>0.58793980000000001</v>
      </c>
      <c r="H4315" s="46">
        <f>SUM(G4315:G4321)</f>
        <v>53.695478199999997</v>
      </c>
      <c r="I4315" s="47"/>
      <c r="J4315" s="37">
        <v>0</v>
      </c>
    </row>
    <row r="4316" spans="1:10" ht="25.5" hidden="1" x14ac:dyDescent="0.25">
      <c r="A4316" s="179"/>
      <c r="B4316" s="177"/>
      <c r="C4316" s="43" t="s">
        <v>11006</v>
      </c>
      <c r="D4316" s="43" t="s">
        <v>1044</v>
      </c>
      <c r="E4316" s="44">
        <v>1.8127</v>
      </c>
      <c r="F4316" s="70">
        <v>0.71249999999999991</v>
      </c>
      <c r="G4316" s="70">
        <f>IF(ISNUMBER(F4316),E4316*F4316,"")</f>
        <v>1.2915487499999998</v>
      </c>
      <c r="H4316" s="71"/>
      <c r="I4316" s="72"/>
      <c r="J4316" s="37">
        <v>0</v>
      </c>
    </row>
    <row r="4317" spans="1:10" ht="25.5" hidden="1" x14ac:dyDescent="0.25">
      <c r="A4317" s="179"/>
      <c r="B4317" s="177"/>
      <c r="C4317" s="43" t="s">
        <v>11121</v>
      </c>
      <c r="D4317" s="43" t="s">
        <v>162</v>
      </c>
      <c r="E4317" s="44">
        <v>1.0414000000000001</v>
      </c>
      <c r="F4317" s="70">
        <v>9.9939999999999998</v>
      </c>
      <c r="G4317" s="70">
        <f>IF(ISNUMBER(F4317),E4317*F4317,"")</f>
        <v>10.407751600000001</v>
      </c>
      <c r="H4317" s="71"/>
      <c r="I4317" s="72"/>
      <c r="J4317" s="37">
        <v>0</v>
      </c>
    </row>
    <row r="4318" spans="1:10" hidden="1" x14ac:dyDescent="0.25">
      <c r="A4318" s="179"/>
      <c r="B4318" s="177"/>
      <c r="C4318" s="43" t="s">
        <v>11122</v>
      </c>
      <c r="D4318" s="43" t="s">
        <v>1044</v>
      </c>
      <c r="E4318" s="44">
        <v>7.7999999999999996E-3</v>
      </c>
      <c r="F4318" s="70">
        <v>19</v>
      </c>
      <c r="G4318" s="70">
        <f>IF(ISNUMBER(F4318),E4318*F4318,"")</f>
        <v>0.1482</v>
      </c>
      <c r="H4318" s="71"/>
      <c r="I4318" s="72"/>
      <c r="J4318" s="37">
        <v>0</v>
      </c>
    </row>
    <row r="4319" spans="1:10" ht="25.5" hidden="1" x14ac:dyDescent="0.25">
      <c r="A4319" s="179"/>
      <c r="B4319" s="177"/>
      <c r="C4319" s="43" t="s">
        <v>10885</v>
      </c>
      <c r="D4319" s="43" t="s">
        <v>10818</v>
      </c>
      <c r="E4319" s="44">
        <v>2.93E-2</v>
      </c>
      <c r="F4319" s="70">
        <v>23.987499999999997</v>
      </c>
      <c r="G4319" s="70">
        <f>IF(ISNUMBER(F4319),E4319*F4319,"")</f>
        <v>0.70283374999999992</v>
      </c>
      <c r="H4319" s="71"/>
      <c r="I4319" s="72"/>
      <c r="J4319" s="37">
        <v>0</v>
      </c>
    </row>
    <row r="4320" spans="1:10" hidden="1" x14ac:dyDescent="0.25">
      <c r="A4320" s="179"/>
      <c r="B4320" s="177"/>
      <c r="C4320" s="43" t="s">
        <v>10862</v>
      </c>
      <c r="D4320" s="43" t="s">
        <v>2800</v>
      </c>
      <c r="E4320" s="44">
        <v>0.9123</v>
      </c>
      <c r="F4320" s="70">
        <v>30.837</v>
      </c>
      <c r="G4320" s="70">
        <f>IF(ISNUMBER(F4320),E4320*F4320,"")</f>
        <v>28.1325951</v>
      </c>
      <c r="H4320" s="71"/>
      <c r="I4320" s="72"/>
      <c r="J4320" s="37">
        <v>0</v>
      </c>
    </row>
    <row r="4321" spans="1:10" hidden="1" x14ac:dyDescent="0.25">
      <c r="A4321" s="179"/>
      <c r="B4321" s="177"/>
      <c r="C4321" s="43" t="s">
        <v>10614</v>
      </c>
      <c r="D4321" s="43" t="s">
        <v>2800</v>
      </c>
      <c r="E4321" s="44">
        <v>0.52439999999999998</v>
      </c>
      <c r="F4321" s="70">
        <v>23.693000000000001</v>
      </c>
      <c r="G4321" s="70">
        <f>IF(ISNUMBER(F4321),E4321*F4321,"")</f>
        <v>12.424609200000001</v>
      </c>
      <c r="H4321" s="71"/>
      <c r="I4321" s="72"/>
      <c r="J4321" s="37">
        <v>0</v>
      </c>
    </row>
    <row r="4322" spans="1:10" ht="15.75" hidden="1" thickBot="1" x14ac:dyDescent="0.3">
      <c r="A4322" s="180"/>
      <c r="B4322" s="178"/>
      <c r="C4322" s="49"/>
      <c r="D4322" s="49"/>
      <c r="E4322" s="50"/>
      <c r="F4322" s="83" t="s">
        <v>13</v>
      </c>
      <c r="G4322" s="83" t="str">
        <f>IF(ISNUMBER(F4322),E4322*F4322,"")</f>
        <v/>
      </c>
      <c r="H4322" s="84"/>
      <c r="I4322" s="72"/>
      <c r="J4322" s="37">
        <v>0</v>
      </c>
    </row>
    <row r="4323" spans="1:10" ht="15.75" hidden="1" thickBot="1" x14ac:dyDescent="0.3">
      <c r="A4323" s="173" t="s">
        <v>1036</v>
      </c>
      <c r="B4323" s="176" t="s">
        <v>4576</v>
      </c>
      <c r="C4323" s="31"/>
      <c r="D4323" s="32" t="s">
        <v>68</v>
      </c>
      <c r="E4323" s="33"/>
      <c r="F4323" s="60" t="s">
        <v>13</v>
      </c>
      <c r="G4323" s="34" t="str">
        <f>IF(ISNUMBER(F4323),E4323*F4323,"")</f>
        <v/>
      </c>
      <c r="H4323" s="35"/>
      <c r="I4323" s="36"/>
      <c r="J4323" s="37">
        <v>0</v>
      </c>
    </row>
    <row r="4324" spans="1:10" hidden="1" x14ac:dyDescent="0.25">
      <c r="A4324" s="179"/>
      <c r="B4324" s="177"/>
      <c r="C4324" s="39"/>
      <c r="D4324" s="39"/>
      <c r="E4324" s="40"/>
      <c r="F4324" s="70" t="s">
        <v>13</v>
      </c>
      <c r="G4324" s="70" t="str">
        <f>IF(ISNUMBER(F4324),E4324*F4324,"")</f>
        <v/>
      </c>
      <c r="H4324" s="71"/>
      <c r="I4324" s="72"/>
      <c r="J4324" s="37">
        <v>0</v>
      </c>
    </row>
    <row r="4325" spans="1:10" ht="25.5" hidden="1" x14ac:dyDescent="0.25">
      <c r="A4325" s="179"/>
      <c r="B4325" s="177"/>
      <c r="C4325" s="43" t="s">
        <v>11123</v>
      </c>
      <c r="D4325" s="43" t="s">
        <v>1044</v>
      </c>
      <c r="E4325" s="44">
        <v>1.1073999999999999</v>
      </c>
      <c r="F4325" s="70">
        <v>7.7044999999999995</v>
      </c>
      <c r="G4325" s="70">
        <f>IF(ISNUMBER(F4325),E4325*F4325,"")</f>
        <v>8.5319632999999993</v>
      </c>
      <c r="H4325" s="46">
        <f>SUM(G4325:G4327)</f>
        <v>14.77845175</v>
      </c>
      <c r="I4325" s="47"/>
      <c r="J4325" s="37">
        <v>0</v>
      </c>
    </row>
    <row r="4326" spans="1:10" hidden="1" x14ac:dyDescent="0.25">
      <c r="A4326" s="179"/>
      <c r="B4326" s="177"/>
      <c r="C4326" s="43" t="s">
        <v>10674</v>
      </c>
      <c r="D4326" s="43" t="s">
        <v>2800</v>
      </c>
      <c r="E4326" s="44">
        <v>0.15409999999999999</v>
      </c>
      <c r="F4326" s="70">
        <v>32.6325</v>
      </c>
      <c r="G4326" s="70">
        <f>IF(ISNUMBER(F4326),E4326*F4326,"")</f>
        <v>5.02866825</v>
      </c>
      <c r="H4326" s="71"/>
      <c r="I4326" s="72"/>
      <c r="J4326" s="37">
        <v>0</v>
      </c>
    </row>
    <row r="4327" spans="1:10" hidden="1" x14ac:dyDescent="0.25">
      <c r="A4327" s="179"/>
      <c r="B4327" s="177"/>
      <c r="C4327" s="43" t="s">
        <v>10614</v>
      </c>
      <c r="D4327" s="43" t="s">
        <v>2800</v>
      </c>
      <c r="E4327" s="44">
        <v>5.1400000000000001E-2</v>
      </c>
      <c r="F4327" s="70">
        <v>23.693000000000001</v>
      </c>
      <c r="G4327" s="70">
        <f>IF(ISNUMBER(F4327),E4327*F4327,"")</f>
        <v>1.2178202</v>
      </c>
      <c r="H4327" s="71"/>
      <c r="I4327" s="72"/>
      <c r="J4327" s="37">
        <v>0</v>
      </c>
    </row>
    <row r="4328" spans="1:10" ht="15.75" hidden="1" thickBot="1" x14ac:dyDescent="0.3">
      <c r="A4328" s="180"/>
      <c r="B4328" s="178"/>
      <c r="C4328" s="49"/>
      <c r="D4328" s="49"/>
      <c r="E4328" s="50"/>
      <c r="F4328" s="83" t="s">
        <v>13</v>
      </c>
      <c r="G4328" s="83" t="str">
        <f>IF(ISNUMBER(F4328),E4328*F4328,"")</f>
        <v/>
      </c>
      <c r="H4328" s="84"/>
      <c r="I4328" s="72"/>
      <c r="J4328" s="37">
        <v>0</v>
      </c>
    </row>
    <row r="4329" spans="1:10" ht="15.75" hidden="1" thickBot="1" x14ac:dyDescent="0.3">
      <c r="A4329" s="173" t="s">
        <v>1037</v>
      </c>
      <c r="B4329" s="176" t="s">
        <v>4577</v>
      </c>
      <c r="C4329" s="31"/>
      <c r="D4329" s="32" t="s">
        <v>68</v>
      </c>
      <c r="E4329" s="33"/>
      <c r="F4329" s="60" t="s">
        <v>13</v>
      </c>
      <c r="G4329" s="34" t="str">
        <f>IF(ISNUMBER(F4329),E4329*F4329,"")</f>
        <v/>
      </c>
      <c r="H4329" s="35"/>
      <c r="I4329" s="36"/>
      <c r="J4329" s="37">
        <v>0</v>
      </c>
    </row>
    <row r="4330" spans="1:10" hidden="1" x14ac:dyDescent="0.25">
      <c r="A4330" s="179"/>
      <c r="B4330" s="177"/>
      <c r="C4330" s="39"/>
      <c r="D4330" s="39"/>
      <c r="E4330" s="40"/>
      <c r="F4330" s="70" t="s">
        <v>13</v>
      </c>
      <c r="G4330" s="70" t="str">
        <f>IF(ISNUMBER(F4330),E4330*F4330,"")</f>
        <v/>
      </c>
      <c r="H4330" s="71"/>
      <c r="I4330" s="72"/>
      <c r="J4330" s="37">
        <v>0</v>
      </c>
    </row>
    <row r="4331" spans="1:10" hidden="1" x14ac:dyDescent="0.25">
      <c r="A4331" s="179"/>
      <c r="B4331" s="177"/>
      <c r="C4331" s="43" t="s">
        <v>10868</v>
      </c>
      <c r="D4331" s="43" t="s">
        <v>70</v>
      </c>
      <c r="E4331" s="44">
        <f>ROUND(0.2285*1.15,4)</f>
        <v>0.26279999999999998</v>
      </c>
      <c r="F4331" s="70">
        <v>32.299999999999997</v>
      </c>
      <c r="G4331" s="70">
        <f>IF(ISNUMBER(F4331),E4331*F4331,"")</f>
        <v>8.4884399999999989</v>
      </c>
      <c r="H4331" s="46">
        <f>SUM(G4331:G4333)</f>
        <v>15.099699949999998</v>
      </c>
      <c r="I4331" s="47"/>
      <c r="J4331" s="37">
        <v>0</v>
      </c>
    </row>
    <row r="4332" spans="1:10" hidden="1" x14ac:dyDescent="0.25">
      <c r="A4332" s="179"/>
      <c r="B4332" s="177"/>
      <c r="C4332" s="43" t="s">
        <v>10674</v>
      </c>
      <c r="D4332" s="43" t="s">
        <v>2800</v>
      </c>
      <c r="E4332" s="44">
        <v>0.16309999999999999</v>
      </c>
      <c r="F4332" s="70">
        <v>32.6325</v>
      </c>
      <c r="G4332" s="70">
        <f>IF(ISNUMBER(F4332),E4332*F4332,"")</f>
        <v>5.3223607499999996</v>
      </c>
      <c r="H4332" s="71"/>
      <c r="I4332" s="72"/>
      <c r="J4332" s="37">
        <v>0</v>
      </c>
    </row>
    <row r="4333" spans="1:10" hidden="1" x14ac:dyDescent="0.25">
      <c r="A4333" s="179"/>
      <c r="B4333" s="177"/>
      <c r="C4333" s="43" t="s">
        <v>10614</v>
      </c>
      <c r="D4333" s="43" t="s">
        <v>2800</v>
      </c>
      <c r="E4333" s="44">
        <v>5.4399999999999997E-2</v>
      </c>
      <c r="F4333" s="70">
        <v>23.693000000000001</v>
      </c>
      <c r="G4333" s="70">
        <f>IF(ISNUMBER(F4333),E4333*F4333,"")</f>
        <v>1.2888991999999999</v>
      </c>
      <c r="H4333" s="71"/>
      <c r="I4333" s="72"/>
      <c r="J4333" s="37">
        <v>0</v>
      </c>
    </row>
    <row r="4334" spans="1:10" hidden="1" x14ac:dyDescent="0.25">
      <c r="A4334" s="179"/>
      <c r="B4334" s="177"/>
      <c r="C4334" s="43"/>
      <c r="D4334" s="43"/>
      <c r="E4334" s="44"/>
      <c r="F4334" s="70" t="s">
        <v>13</v>
      </c>
      <c r="G4334" s="70" t="str">
        <f>IF(ISNUMBER(F4334),E4334*F4334,"")</f>
        <v/>
      </c>
      <c r="H4334" s="71"/>
      <c r="I4334" s="72"/>
      <c r="J4334" s="37">
        <v>0</v>
      </c>
    </row>
    <row r="4335" spans="1:10" ht="25.5" hidden="1" x14ac:dyDescent="0.25">
      <c r="A4335" s="179"/>
      <c r="B4335" s="177"/>
      <c r="C4335" s="43" t="s">
        <v>1038</v>
      </c>
      <c r="D4335" s="43"/>
      <c r="E4335" s="44"/>
      <c r="F4335" s="70" t="s">
        <v>13</v>
      </c>
      <c r="G4335" s="70" t="str">
        <f>IF(ISNUMBER(F4335),E4335*F4335,"")</f>
        <v/>
      </c>
      <c r="H4335" s="71"/>
      <c r="I4335" s="72"/>
      <c r="J4335" s="37">
        <v>0</v>
      </c>
    </row>
    <row r="4336" spans="1:10" ht="15.75" hidden="1" thickBot="1" x14ac:dyDescent="0.3">
      <c r="A4336" s="180"/>
      <c r="B4336" s="178"/>
      <c r="C4336" s="49"/>
      <c r="D4336" s="49"/>
      <c r="E4336" s="50"/>
      <c r="F4336" s="83" t="s">
        <v>13</v>
      </c>
      <c r="G4336" s="83" t="str">
        <f>IF(ISNUMBER(F4336),E4336*F4336,"")</f>
        <v/>
      </c>
      <c r="H4336" s="84"/>
      <c r="I4336" s="72"/>
      <c r="J4336" s="37">
        <v>0</v>
      </c>
    </row>
    <row r="4337" spans="1:10" ht="15.75" hidden="1" thickBot="1" x14ac:dyDescent="0.3">
      <c r="A4337" s="173" t="s">
        <v>1039</v>
      </c>
      <c r="B4337" s="176" t="s">
        <v>4580</v>
      </c>
      <c r="C4337" s="31"/>
      <c r="D4337" s="32" t="s">
        <v>68</v>
      </c>
      <c r="E4337" s="33"/>
      <c r="F4337" s="60" t="s">
        <v>13</v>
      </c>
      <c r="G4337" s="34" t="str">
        <f>IF(ISNUMBER(F4337),E4337*F4337,"")</f>
        <v/>
      </c>
      <c r="H4337" s="35"/>
      <c r="I4337" s="36"/>
      <c r="J4337" s="37">
        <v>0</v>
      </c>
    </row>
    <row r="4338" spans="1:10" hidden="1" x14ac:dyDescent="0.25">
      <c r="A4338" s="179"/>
      <c r="B4338" s="177"/>
      <c r="C4338" s="39"/>
      <c r="D4338" s="39"/>
      <c r="E4338" s="40"/>
      <c r="F4338" s="70" t="s">
        <v>13</v>
      </c>
      <c r="G4338" s="70" t="str">
        <f>IF(ISNUMBER(F4338),E4338*F4338,"")</f>
        <v/>
      </c>
      <c r="H4338" s="71"/>
      <c r="I4338" s="72"/>
      <c r="J4338" s="37">
        <v>0</v>
      </c>
    </row>
    <row r="4339" spans="1:10" hidden="1" x14ac:dyDescent="0.25">
      <c r="A4339" s="179"/>
      <c r="B4339" s="177"/>
      <c r="C4339" s="43" t="s">
        <v>11124</v>
      </c>
      <c r="D4339" s="43" t="s">
        <v>70</v>
      </c>
      <c r="E4339" s="44">
        <v>0.16</v>
      </c>
      <c r="F4339" s="70">
        <v>11.827499999999999</v>
      </c>
      <c r="G4339" s="70">
        <f>IF(ISNUMBER(F4339),E4339*F4339,"")</f>
        <v>1.8923999999999999</v>
      </c>
      <c r="H4339" s="46">
        <f>SUM(G4339:G4343)</f>
        <v>27.516132500000001</v>
      </c>
      <c r="I4339" s="47"/>
      <c r="J4339" s="37">
        <v>0</v>
      </c>
    </row>
    <row r="4340" spans="1:10" hidden="1" x14ac:dyDescent="0.25">
      <c r="A4340" s="179"/>
      <c r="B4340" s="177"/>
      <c r="C4340" s="43" t="s">
        <v>10868</v>
      </c>
      <c r="D4340" s="43" t="s">
        <v>70</v>
      </c>
      <c r="E4340" s="44">
        <v>0.42699999999999999</v>
      </c>
      <c r="F4340" s="70">
        <v>32.299999999999997</v>
      </c>
      <c r="G4340" s="70">
        <f>IF(ISNUMBER(F4340),E4340*F4340,"")</f>
        <v>13.792099999999998</v>
      </c>
      <c r="H4340" s="71"/>
      <c r="I4340" s="72"/>
      <c r="J4340" s="37">
        <v>0</v>
      </c>
    </row>
    <row r="4341" spans="1:10" hidden="1" x14ac:dyDescent="0.25">
      <c r="A4341" s="179"/>
      <c r="B4341" s="177"/>
      <c r="C4341" s="43" t="s">
        <v>11125</v>
      </c>
      <c r="D4341" s="43" t="s">
        <v>83</v>
      </c>
      <c r="E4341" s="44">
        <v>0.01</v>
      </c>
      <c r="F4341" s="70">
        <v>13.299999999999999</v>
      </c>
      <c r="G4341" s="70">
        <f>IF(ISNUMBER(F4341),E4341*F4341,"")</f>
        <v>0.13299999999999998</v>
      </c>
      <c r="H4341" s="71"/>
      <c r="I4341" s="72"/>
      <c r="J4341" s="37">
        <v>0</v>
      </c>
    </row>
    <row r="4342" spans="1:10" hidden="1" x14ac:dyDescent="0.25">
      <c r="A4342" s="179"/>
      <c r="B4342" s="177"/>
      <c r="C4342" s="43" t="s">
        <v>10674</v>
      </c>
      <c r="D4342" s="43" t="s">
        <v>2800</v>
      </c>
      <c r="E4342" s="44">
        <v>0.27500000000000002</v>
      </c>
      <c r="F4342" s="70">
        <v>32.6325</v>
      </c>
      <c r="G4342" s="70">
        <f>IF(ISNUMBER(F4342),E4342*F4342,"")</f>
        <v>8.9739375000000017</v>
      </c>
      <c r="H4342" s="71"/>
      <c r="I4342" s="72"/>
      <c r="J4342" s="37">
        <v>0</v>
      </c>
    </row>
    <row r="4343" spans="1:10" hidden="1" x14ac:dyDescent="0.25">
      <c r="A4343" s="179"/>
      <c r="B4343" s="177"/>
      <c r="C4343" s="43" t="s">
        <v>10614</v>
      </c>
      <c r="D4343" s="43" t="s">
        <v>2800</v>
      </c>
      <c r="E4343" s="44">
        <v>0.115</v>
      </c>
      <c r="F4343" s="70">
        <v>23.693000000000001</v>
      </c>
      <c r="G4343" s="70">
        <f>IF(ISNUMBER(F4343),E4343*F4343,"")</f>
        <v>2.7246950000000001</v>
      </c>
      <c r="H4343" s="71"/>
      <c r="I4343" s="72"/>
      <c r="J4343" s="37">
        <v>0</v>
      </c>
    </row>
    <row r="4344" spans="1:10" ht="15.75" hidden="1" thickBot="1" x14ac:dyDescent="0.3">
      <c r="A4344" s="180"/>
      <c r="B4344" s="178"/>
      <c r="C4344" s="49"/>
      <c r="D4344" s="49"/>
      <c r="E4344" s="50"/>
      <c r="F4344" s="83" t="s">
        <v>13</v>
      </c>
      <c r="G4344" s="83" t="str">
        <f>IF(ISNUMBER(F4344),E4344*F4344,"")</f>
        <v/>
      </c>
      <c r="H4344" s="84"/>
      <c r="I4344" s="72"/>
      <c r="J4344" s="37">
        <v>0</v>
      </c>
    </row>
    <row r="4345" spans="1:10" ht="15.75" hidden="1" thickBot="1" x14ac:dyDescent="0.3">
      <c r="A4345" s="173" t="s">
        <v>1040</v>
      </c>
      <c r="B4345" s="176" t="s">
        <v>4581</v>
      </c>
      <c r="C4345" s="31"/>
      <c r="D4345" s="32" t="s">
        <v>68</v>
      </c>
      <c r="E4345" s="33"/>
      <c r="F4345" s="60" t="s">
        <v>13</v>
      </c>
      <c r="G4345" s="34" t="str">
        <f>IF(ISNUMBER(F4345),E4345*F4345,"")</f>
        <v/>
      </c>
      <c r="H4345" s="35"/>
      <c r="I4345" s="36"/>
      <c r="J4345" s="37">
        <v>0</v>
      </c>
    </row>
    <row r="4346" spans="1:10" hidden="1" x14ac:dyDescent="0.25">
      <c r="A4346" s="179"/>
      <c r="B4346" s="177"/>
      <c r="C4346" s="39"/>
      <c r="D4346" s="39"/>
      <c r="E4346" s="40"/>
      <c r="F4346" s="70" t="s">
        <v>13</v>
      </c>
      <c r="G4346" s="70" t="str">
        <f>IF(ISNUMBER(F4346),E4346*F4346,"")</f>
        <v/>
      </c>
      <c r="H4346" s="71"/>
      <c r="I4346" s="72"/>
      <c r="J4346" s="37">
        <v>0</v>
      </c>
    </row>
    <row r="4347" spans="1:10" hidden="1" x14ac:dyDescent="0.25">
      <c r="A4347" s="179"/>
      <c r="B4347" s="177"/>
      <c r="C4347" s="43" t="s">
        <v>11126</v>
      </c>
      <c r="D4347" s="43" t="s">
        <v>70</v>
      </c>
      <c r="E4347" s="44">
        <v>6.4000000000000001E-2</v>
      </c>
      <c r="F4347" s="70">
        <v>38.930999999999997</v>
      </c>
      <c r="G4347" s="70">
        <f>IF(ISNUMBER(F4347),E4347*F4347,"")</f>
        <v>2.491584</v>
      </c>
      <c r="H4347" s="46">
        <f>SUM(G4347:G4352)</f>
        <v>72.021356299999994</v>
      </c>
      <c r="I4347" s="47"/>
      <c r="J4347" s="37">
        <v>0</v>
      </c>
    </row>
    <row r="4348" spans="1:10" hidden="1" x14ac:dyDescent="0.25">
      <c r="A4348" s="179"/>
      <c r="B4348" s="177"/>
      <c r="C4348" s="43" t="s">
        <v>11127</v>
      </c>
      <c r="D4348" s="43" t="s">
        <v>70</v>
      </c>
      <c r="E4348" s="44">
        <v>0.32200000000000001</v>
      </c>
      <c r="F4348" s="70">
        <v>92.235500000000002</v>
      </c>
      <c r="G4348" s="70">
        <f>IF(ISNUMBER(F4348),E4348*F4348,"")</f>
        <v>29.699831</v>
      </c>
      <c r="H4348" s="71"/>
      <c r="I4348" s="72"/>
      <c r="J4348" s="37">
        <v>0</v>
      </c>
    </row>
    <row r="4349" spans="1:10" hidden="1" x14ac:dyDescent="0.25">
      <c r="A4349" s="179"/>
      <c r="B4349" s="177"/>
      <c r="C4349" s="43" t="s">
        <v>11125</v>
      </c>
      <c r="D4349" s="43" t="s">
        <v>83</v>
      </c>
      <c r="E4349" s="44">
        <v>0.01</v>
      </c>
      <c r="F4349" s="70">
        <v>13.299999999999999</v>
      </c>
      <c r="G4349" s="70">
        <f>IF(ISNUMBER(F4349),E4349*F4349,"")</f>
        <v>0.13299999999999998</v>
      </c>
      <c r="H4349" s="71"/>
      <c r="I4349" s="72"/>
      <c r="J4349" s="37">
        <v>0</v>
      </c>
    </row>
    <row r="4350" spans="1:10" hidden="1" x14ac:dyDescent="0.25">
      <c r="A4350" s="179"/>
      <c r="B4350" s="177"/>
      <c r="C4350" s="43" t="s">
        <v>11128</v>
      </c>
      <c r="D4350" s="43" t="s">
        <v>70</v>
      </c>
      <c r="E4350" s="44">
        <v>0.2016</v>
      </c>
      <c r="F4350" s="70">
        <v>138.88049999999998</v>
      </c>
      <c r="G4350" s="70">
        <f>IF(ISNUMBER(F4350),E4350*F4350,"")</f>
        <v>27.998308799999997</v>
      </c>
      <c r="H4350" s="71"/>
      <c r="I4350" s="72"/>
      <c r="J4350" s="37">
        <v>0</v>
      </c>
    </row>
    <row r="4351" spans="1:10" hidden="1" x14ac:dyDescent="0.25">
      <c r="A4351" s="179"/>
      <c r="B4351" s="177"/>
      <c r="C4351" s="43" t="s">
        <v>10674</v>
      </c>
      <c r="D4351" s="43" t="s">
        <v>2800</v>
      </c>
      <c r="E4351" s="44">
        <v>0.27500000000000002</v>
      </c>
      <c r="F4351" s="70">
        <v>32.6325</v>
      </c>
      <c r="G4351" s="70">
        <f>IF(ISNUMBER(F4351),E4351*F4351,"")</f>
        <v>8.9739375000000017</v>
      </c>
      <c r="H4351" s="71"/>
      <c r="I4351" s="72"/>
      <c r="J4351" s="37">
        <v>0</v>
      </c>
    </row>
    <row r="4352" spans="1:10" hidden="1" x14ac:dyDescent="0.25">
      <c r="A4352" s="179"/>
      <c r="B4352" s="177"/>
      <c r="C4352" s="43" t="s">
        <v>10614</v>
      </c>
      <c r="D4352" s="43" t="s">
        <v>2800</v>
      </c>
      <c r="E4352" s="44">
        <v>0.115</v>
      </c>
      <c r="F4352" s="70">
        <v>23.693000000000001</v>
      </c>
      <c r="G4352" s="70">
        <f>IF(ISNUMBER(F4352),E4352*F4352,"")</f>
        <v>2.7246950000000001</v>
      </c>
      <c r="H4352" s="71"/>
      <c r="I4352" s="72"/>
      <c r="J4352" s="37">
        <v>0</v>
      </c>
    </row>
    <row r="4353" spans="1:10" ht="15.75" hidden="1" thickBot="1" x14ac:dyDescent="0.3">
      <c r="A4353" s="180"/>
      <c r="B4353" s="178"/>
      <c r="C4353" s="49"/>
      <c r="D4353" s="49"/>
      <c r="E4353" s="50"/>
      <c r="F4353" s="83" t="s">
        <v>13</v>
      </c>
      <c r="G4353" s="83" t="str">
        <f>IF(ISNUMBER(F4353),E4353*F4353,"")</f>
        <v/>
      </c>
      <c r="H4353" s="84"/>
      <c r="I4353" s="72"/>
      <c r="J4353" s="37">
        <v>0</v>
      </c>
    </row>
    <row r="4354" spans="1:10" ht="15.75" hidden="1" thickBot="1" x14ac:dyDescent="0.3">
      <c r="A4354" s="173" t="s">
        <v>1041</v>
      </c>
      <c r="B4354" s="176" t="s">
        <v>4582</v>
      </c>
      <c r="C4354" s="31"/>
      <c r="D4354" s="32" t="s">
        <v>68</v>
      </c>
      <c r="E4354" s="33"/>
      <c r="F4354" s="60" t="s">
        <v>13</v>
      </c>
      <c r="G4354" s="34" t="str">
        <f>IF(ISNUMBER(F4354),E4354*F4354,"")</f>
        <v/>
      </c>
      <c r="H4354" s="35"/>
      <c r="I4354" s="36"/>
      <c r="J4354" s="37">
        <v>0</v>
      </c>
    </row>
    <row r="4355" spans="1:10" hidden="1" x14ac:dyDescent="0.25">
      <c r="A4355" s="179"/>
      <c r="B4355" s="177"/>
      <c r="C4355" s="39"/>
      <c r="D4355" s="39"/>
      <c r="E4355" s="40"/>
      <c r="F4355" s="70" t="s">
        <v>13</v>
      </c>
      <c r="G4355" s="70" t="str">
        <f>IF(ISNUMBER(F4355),E4355*F4355,"")</f>
        <v/>
      </c>
      <c r="H4355" s="71"/>
      <c r="I4355" s="72"/>
      <c r="J4355" s="37">
        <v>0</v>
      </c>
    </row>
    <row r="4356" spans="1:10" hidden="1" x14ac:dyDescent="0.25">
      <c r="A4356" s="179"/>
      <c r="B4356" s="177"/>
      <c r="C4356" s="43" t="s">
        <v>1042</v>
      </c>
      <c r="D4356" s="43" t="s">
        <v>70</v>
      </c>
      <c r="E4356" s="44">
        <v>0.04</v>
      </c>
      <c r="F4356" s="70" t="s">
        <v>13</v>
      </c>
      <c r="G4356" s="70" t="str">
        <f>IF(ISNUMBER(F4356),E4356*F4356,"")</f>
        <v/>
      </c>
      <c r="H4356" s="46">
        <f>SUM(G4356:G4359)</f>
        <v>26.74991</v>
      </c>
      <c r="I4356" s="47"/>
      <c r="J4356" s="37">
        <v>0</v>
      </c>
    </row>
    <row r="4357" spans="1:10" hidden="1" x14ac:dyDescent="0.25">
      <c r="A4357" s="179"/>
      <c r="B4357" s="177"/>
      <c r="C4357" s="43" t="s">
        <v>1043</v>
      </c>
      <c r="D4357" s="43" t="s">
        <v>1044</v>
      </c>
      <c r="E4357" s="44">
        <v>0.36</v>
      </c>
      <c r="F4357" s="70" t="s">
        <v>13</v>
      </c>
      <c r="G4357" s="70" t="str">
        <f>IF(ISNUMBER(F4357),E4357*F4357,"")</f>
        <v/>
      </c>
      <c r="H4357" s="71"/>
      <c r="I4357" s="72"/>
      <c r="J4357" s="37">
        <v>0</v>
      </c>
    </row>
    <row r="4358" spans="1:10" hidden="1" x14ac:dyDescent="0.25">
      <c r="A4358" s="179"/>
      <c r="B4358" s="177"/>
      <c r="C4358" s="43" t="s">
        <v>10674</v>
      </c>
      <c r="D4358" s="43" t="s">
        <v>2800</v>
      </c>
      <c r="E4358" s="44">
        <v>0.66</v>
      </c>
      <c r="F4358" s="70">
        <v>32.6325</v>
      </c>
      <c r="G4358" s="70">
        <f>IF(ISNUMBER(F4358),E4358*F4358,"")</f>
        <v>21.53745</v>
      </c>
      <c r="H4358" s="71"/>
      <c r="I4358" s="72"/>
      <c r="J4358" s="37">
        <v>0</v>
      </c>
    </row>
    <row r="4359" spans="1:10" hidden="1" x14ac:dyDescent="0.25">
      <c r="A4359" s="179"/>
      <c r="B4359" s="177"/>
      <c r="C4359" s="43" t="s">
        <v>10614</v>
      </c>
      <c r="D4359" s="43" t="s">
        <v>2800</v>
      </c>
      <c r="E4359" s="44">
        <v>0.22</v>
      </c>
      <c r="F4359" s="70">
        <v>23.693000000000001</v>
      </c>
      <c r="G4359" s="70">
        <f>IF(ISNUMBER(F4359),E4359*F4359,"")</f>
        <v>5.2124600000000001</v>
      </c>
      <c r="H4359" s="71"/>
      <c r="I4359" s="72"/>
      <c r="J4359" s="37">
        <v>0</v>
      </c>
    </row>
    <row r="4360" spans="1:10" ht="15.75" hidden="1" thickBot="1" x14ac:dyDescent="0.3">
      <c r="A4360" s="180"/>
      <c r="B4360" s="178"/>
      <c r="C4360" s="49"/>
      <c r="D4360" s="49"/>
      <c r="E4360" s="50"/>
      <c r="F4360" s="83" t="s">
        <v>13</v>
      </c>
      <c r="G4360" s="83" t="str">
        <f>IF(ISNUMBER(F4360),E4360*F4360,"")</f>
        <v/>
      </c>
      <c r="H4360" s="84"/>
      <c r="I4360" s="72"/>
      <c r="J4360" s="37">
        <v>0</v>
      </c>
    </row>
    <row r="4361" spans="1:10" ht="15.75" hidden="1" thickBot="1" x14ac:dyDescent="0.3">
      <c r="A4361" s="173" t="s">
        <v>1045</v>
      </c>
      <c r="B4361" s="176" t="s">
        <v>4583</v>
      </c>
      <c r="C4361" s="31"/>
      <c r="D4361" s="32" t="s">
        <v>68</v>
      </c>
      <c r="E4361" s="33"/>
      <c r="F4361" s="60" t="s">
        <v>13</v>
      </c>
      <c r="G4361" s="34" t="str">
        <f>IF(ISNUMBER(F4361),E4361*F4361,"")</f>
        <v/>
      </c>
      <c r="H4361" s="35"/>
      <c r="I4361" s="36"/>
      <c r="J4361" s="37">
        <v>0</v>
      </c>
    </row>
    <row r="4362" spans="1:10" hidden="1" x14ac:dyDescent="0.25">
      <c r="A4362" s="179"/>
      <c r="B4362" s="177"/>
      <c r="C4362" s="39"/>
      <c r="D4362" s="39"/>
      <c r="E4362" s="40"/>
      <c r="F4362" s="70" t="s">
        <v>13</v>
      </c>
      <c r="G4362" s="70" t="str">
        <f>IF(ISNUMBER(F4362),E4362*F4362,"")</f>
        <v/>
      </c>
      <c r="H4362" s="71"/>
      <c r="I4362" s="72"/>
      <c r="J4362" s="37">
        <v>0</v>
      </c>
    </row>
    <row r="4363" spans="1:10" ht="25.5" hidden="1" x14ac:dyDescent="0.25">
      <c r="A4363" s="179"/>
      <c r="B4363" s="177"/>
      <c r="C4363" s="43" t="s">
        <v>1046</v>
      </c>
      <c r="D4363" s="43" t="s">
        <v>1044</v>
      </c>
      <c r="E4363" s="44">
        <v>2</v>
      </c>
      <c r="F4363" s="70" t="s">
        <v>13</v>
      </c>
      <c r="G4363" s="70" t="str">
        <f>IF(ISNUMBER(F4363),E4363*F4363,"")</f>
        <v/>
      </c>
      <c r="H4363" s="46">
        <f>SUM(G4363:G4364)</f>
        <v>1.6348170000000002</v>
      </c>
      <c r="I4363" s="47"/>
      <c r="J4363" s="37">
        <v>0</v>
      </c>
    </row>
    <row r="4364" spans="1:10" hidden="1" x14ac:dyDescent="0.25">
      <c r="A4364" s="179"/>
      <c r="B4364" s="177"/>
      <c r="C4364" s="43" t="s">
        <v>10614</v>
      </c>
      <c r="D4364" s="43" t="s">
        <v>2800</v>
      </c>
      <c r="E4364" s="44">
        <v>6.9000000000000006E-2</v>
      </c>
      <c r="F4364" s="70">
        <v>23.693000000000001</v>
      </c>
      <c r="G4364" s="70">
        <f>IF(ISNUMBER(F4364),E4364*F4364,"")</f>
        <v>1.6348170000000002</v>
      </c>
      <c r="H4364" s="71"/>
      <c r="I4364" s="72"/>
      <c r="J4364" s="37">
        <v>0</v>
      </c>
    </row>
    <row r="4365" spans="1:10" ht="15.75" hidden="1" thickBot="1" x14ac:dyDescent="0.3">
      <c r="A4365" s="180"/>
      <c r="B4365" s="178"/>
      <c r="C4365" s="49"/>
      <c r="D4365" s="49"/>
      <c r="E4365" s="50"/>
      <c r="F4365" s="83" t="s">
        <v>13</v>
      </c>
      <c r="G4365" s="83" t="str">
        <f>IF(ISNUMBER(F4365),E4365*F4365,"")</f>
        <v/>
      </c>
      <c r="H4365" s="84"/>
      <c r="I4365" s="72"/>
      <c r="J4365" s="37">
        <v>0</v>
      </c>
    </row>
    <row r="4366" spans="1:10" ht="15.75" hidden="1" thickBot="1" x14ac:dyDescent="0.3">
      <c r="A4366" s="173" t="s">
        <v>1047</v>
      </c>
      <c r="B4366" s="176" t="s">
        <v>4584</v>
      </c>
      <c r="C4366" s="31"/>
      <c r="D4366" s="32" t="s">
        <v>68</v>
      </c>
      <c r="E4366" s="33"/>
      <c r="F4366" s="60" t="s">
        <v>13</v>
      </c>
      <c r="G4366" s="34" t="str">
        <f>IF(ISNUMBER(F4366),E4366*F4366,"")</f>
        <v/>
      </c>
      <c r="H4366" s="35"/>
      <c r="I4366" s="36"/>
      <c r="J4366" s="37">
        <v>0</v>
      </c>
    </row>
    <row r="4367" spans="1:10" hidden="1" x14ac:dyDescent="0.25">
      <c r="A4367" s="179"/>
      <c r="B4367" s="177"/>
      <c r="C4367" s="39"/>
      <c r="D4367" s="39"/>
      <c r="E4367" s="40"/>
      <c r="F4367" s="70" t="s">
        <v>13</v>
      </c>
      <c r="G4367" s="70" t="str">
        <f>IF(ISNUMBER(F4367),E4367*F4367,"")</f>
        <v/>
      </c>
      <c r="H4367" s="71"/>
      <c r="I4367" s="72"/>
      <c r="J4367" s="37">
        <v>0</v>
      </c>
    </row>
    <row r="4368" spans="1:10" hidden="1" x14ac:dyDescent="0.25">
      <c r="A4368" s="179"/>
      <c r="B4368" s="177"/>
      <c r="C4368" s="43" t="s">
        <v>10672</v>
      </c>
      <c r="D4368" s="43" t="s">
        <v>70</v>
      </c>
      <c r="E4368" s="44">
        <v>6.1899999999999997E-2</v>
      </c>
      <c r="F4368" s="70">
        <v>17.081</v>
      </c>
      <c r="G4368" s="70">
        <f>IF(ISNUMBER(F4368),E4368*F4368,"")</f>
        <v>1.0573138999999998</v>
      </c>
      <c r="H4368" s="46">
        <f>SUM(G4368:G4372)</f>
        <v>39.050606899999991</v>
      </c>
      <c r="I4368" s="47"/>
      <c r="J4368" s="37">
        <v>0</v>
      </c>
    </row>
    <row r="4369" spans="1:10" hidden="1" x14ac:dyDescent="0.25">
      <c r="A4369" s="179"/>
      <c r="B4369" s="177"/>
      <c r="C4369" s="43" t="s">
        <v>10673</v>
      </c>
      <c r="D4369" s="43" t="s">
        <v>70</v>
      </c>
      <c r="E4369" s="44">
        <v>0.20699999999999999</v>
      </c>
      <c r="F4369" s="70">
        <v>48.221999999999994</v>
      </c>
      <c r="G4369" s="70">
        <f>IF(ISNUMBER(F4369),E4369*F4369,"")</f>
        <v>9.9819539999999982</v>
      </c>
      <c r="H4369" s="71"/>
      <c r="I4369" s="72"/>
      <c r="J4369" s="37">
        <v>0</v>
      </c>
    </row>
    <row r="4370" spans="1:10" hidden="1" x14ac:dyDescent="0.25">
      <c r="A4370" s="179"/>
      <c r="B4370" s="177"/>
      <c r="C4370" s="43" t="s">
        <v>10674</v>
      </c>
      <c r="D4370" s="43" t="s">
        <v>2800</v>
      </c>
      <c r="E4370" s="44">
        <v>0.52659999999999996</v>
      </c>
      <c r="F4370" s="70">
        <v>32.6325</v>
      </c>
      <c r="G4370" s="70">
        <f>IF(ISNUMBER(F4370),E4370*F4370,"")</f>
        <v>17.184274499999997</v>
      </c>
      <c r="H4370" s="71"/>
      <c r="I4370" s="72"/>
      <c r="J4370" s="37">
        <v>0</v>
      </c>
    </row>
    <row r="4371" spans="1:10" hidden="1" x14ac:dyDescent="0.25">
      <c r="A4371" s="179"/>
      <c r="B4371" s="177"/>
      <c r="C4371" s="43" t="s">
        <v>10809</v>
      </c>
      <c r="D4371" s="43" t="s">
        <v>83</v>
      </c>
      <c r="E4371" s="44">
        <v>0.3</v>
      </c>
      <c r="F4371" s="70">
        <v>3.61</v>
      </c>
      <c r="G4371" s="70">
        <f>IF(ISNUMBER(F4371),E4371*F4371,"")</f>
        <v>1.083</v>
      </c>
      <c r="H4371" s="71"/>
      <c r="I4371" s="72"/>
      <c r="J4371" s="37">
        <v>0</v>
      </c>
    </row>
    <row r="4372" spans="1:10" hidden="1" x14ac:dyDescent="0.25">
      <c r="A4372" s="179"/>
      <c r="B4372" s="177"/>
      <c r="C4372" s="43" t="s">
        <v>10674</v>
      </c>
      <c r="D4372" s="43" t="s">
        <v>2800</v>
      </c>
      <c r="E4372" s="44">
        <v>0.29859999999999998</v>
      </c>
      <c r="F4372" s="70">
        <v>32.6325</v>
      </c>
      <c r="G4372" s="70">
        <f>IF(ISNUMBER(F4372),E4372*F4372,"")</f>
        <v>9.7440644999999986</v>
      </c>
      <c r="H4372" s="71"/>
      <c r="I4372" s="72"/>
      <c r="J4372" s="37">
        <v>0</v>
      </c>
    </row>
    <row r="4373" spans="1:10" ht="15.75" hidden="1" thickBot="1" x14ac:dyDescent="0.3">
      <c r="A4373" s="180"/>
      <c r="B4373" s="178"/>
      <c r="C4373" s="49"/>
      <c r="D4373" s="49"/>
      <c r="E4373" s="50"/>
      <c r="F4373" s="83" t="s">
        <v>13</v>
      </c>
      <c r="G4373" s="83" t="str">
        <f>IF(ISNUMBER(F4373),E4373*F4373,"")</f>
        <v/>
      </c>
      <c r="H4373" s="84"/>
      <c r="I4373" s="72"/>
      <c r="J4373" s="37">
        <v>0</v>
      </c>
    </row>
    <row r="4374" spans="1:10" ht="15.75" hidden="1" thickBot="1" x14ac:dyDescent="0.3">
      <c r="A4374" s="173" t="s">
        <v>1048</v>
      </c>
      <c r="B4374" s="176" t="s">
        <v>4585</v>
      </c>
      <c r="C4374" s="31"/>
      <c r="D4374" s="32" t="s">
        <v>106</v>
      </c>
      <c r="E4374" s="33"/>
      <c r="F4374" s="60" t="s">
        <v>13</v>
      </c>
      <c r="G4374" s="34" t="str">
        <f>IF(ISNUMBER(F4374),E4374*F4374,"")</f>
        <v/>
      </c>
      <c r="H4374" s="35"/>
      <c r="I4374" s="36"/>
      <c r="J4374" s="37">
        <v>0</v>
      </c>
    </row>
    <row r="4375" spans="1:10" hidden="1" x14ac:dyDescent="0.25">
      <c r="A4375" s="179"/>
      <c r="B4375" s="177"/>
      <c r="C4375" s="39"/>
      <c r="D4375" s="39"/>
      <c r="E4375" s="40"/>
      <c r="F4375" s="70" t="s">
        <v>13</v>
      </c>
      <c r="G4375" s="70" t="str">
        <f>IF(ISNUMBER(F4375),E4375*F4375,"")</f>
        <v/>
      </c>
      <c r="H4375" s="71"/>
      <c r="I4375" s="72"/>
      <c r="J4375" s="37">
        <v>0</v>
      </c>
    </row>
    <row r="4376" spans="1:10" hidden="1" x14ac:dyDescent="0.25">
      <c r="A4376" s="179"/>
      <c r="B4376" s="177"/>
      <c r="C4376" s="43" t="s">
        <v>10614</v>
      </c>
      <c r="D4376" s="43" t="s">
        <v>2800</v>
      </c>
      <c r="E4376" s="44">
        <f>ROUND(4/37.58,4)</f>
        <v>0.10639999999999999</v>
      </c>
      <c r="F4376" s="70">
        <v>23.693000000000001</v>
      </c>
      <c r="G4376" s="70">
        <f>IF(ISNUMBER(F4376),E4376*F4376,"")</f>
        <v>2.5209351999999998</v>
      </c>
      <c r="H4376" s="46">
        <f>SUM(G4376:G4381)</f>
        <v>22.156508949999999</v>
      </c>
      <c r="I4376" s="47"/>
      <c r="J4376" s="37">
        <v>0</v>
      </c>
    </row>
    <row r="4377" spans="1:10" hidden="1" x14ac:dyDescent="0.25">
      <c r="A4377" s="179"/>
      <c r="B4377" s="177"/>
      <c r="C4377" s="43" t="s">
        <v>1049</v>
      </c>
      <c r="D4377" s="43" t="s">
        <v>1050</v>
      </c>
      <c r="E4377" s="44">
        <f>ROUND(1/37.58,4)</f>
        <v>2.6599999999999999E-2</v>
      </c>
      <c r="F4377" s="70" t="s">
        <v>13</v>
      </c>
      <c r="G4377" s="70" t="str">
        <f>IF(ISNUMBER(F4377),E4377*F4377,"")</f>
        <v/>
      </c>
      <c r="H4377" s="71"/>
      <c r="I4377" s="72"/>
      <c r="J4377" s="37">
        <v>0</v>
      </c>
    </row>
    <row r="4378" spans="1:10" hidden="1" x14ac:dyDescent="0.25">
      <c r="A4378" s="179"/>
      <c r="B4378" s="177"/>
      <c r="C4378" s="43" t="s">
        <v>1051</v>
      </c>
      <c r="D4378" s="43" t="s">
        <v>1050</v>
      </c>
      <c r="E4378" s="44">
        <f>ROUND(1/37.58,4)</f>
        <v>2.6599999999999999E-2</v>
      </c>
      <c r="F4378" s="70" t="s">
        <v>13</v>
      </c>
      <c r="G4378" s="70" t="str">
        <f>IF(ISNUMBER(F4378),E4378*F4378,"")</f>
        <v/>
      </c>
      <c r="H4378" s="71"/>
      <c r="I4378" s="72"/>
      <c r="J4378" s="37">
        <v>0</v>
      </c>
    </row>
    <row r="4379" spans="1:10" hidden="1" x14ac:dyDescent="0.25">
      <c r="A4379" s="179"/>
      <c r="B4379" s="177"/>
      <c r="C4379" s="43" t="s">
        <v>1052</v>
      </c>
      <c r="D4379" s="43" t="s">
        <v>106</v>
      </c>
      <c r="E4379" s="44">
        <v>1</v>
      </c>
      <c r="F4379" s="70" t="s">
        <v>13</v>
      </c>
      <c r="G4379" s="70" t="str">
        <f>IF(ISNUMBER(F4379),E4379*F4379,"")</f>
        <v/>
      </c>
      <c r="H4379" s="71"/>
      <c r="I4379" s="72"/>
      <c r="J4379" s="37">
        <v>0</v>
      </c>
    </row>
    <row r="4380" spans="1:10" hidden="1" x14ac:dyDescent="0.25">
      <c r="A4380" s="179"/>
      <c r="B4380" s="177"/>
      <c r="C4380" s="43" t="s">
        <v>1053</v>
      </c>
      <c r="D4380" s="43" t="s">
        <v>83</v>
      </c>
      <c r="E4380" s="44">
        <v>6.7000000000000002E-3</v>
      </c>
      <c r="F4380" s="70" t="s">
        <v>13</v>
      </c>
      <c r="G4380" s="70" t="str">
        <f>IF(ISNUMBER(F4380),E4380*F4380,"")</f>
        <v/>
      </c>
      <c r="H4380" s="71"/>
      <c r="I4380" s="72"/>
      <c r="J4380" s="37">
        <v>0</v>
      </c>
    </row>
    <row r="4381" spans="1:10" ht="25.5" hidden="1" x14ac:dyDescent="0.25">
      <c r="A4381" s="179"/>
      <c r="B4381" s="177"/>
      <c r="C4381" s="43" t="s">
        <v>11129</v>
      </c>
      <c r="D4381" s="43" t="s">
        <v>1044</v>
      </c>
      <c r="E4381" s="44">
        <v>0.2175</v>
      </c>
      <c r="F4381" s="70">
        <v>90.278499999999994</v>
      </c>
      <c r="G4381" s="70">
        <f>IF(ISNUMBER(F4381),E4381*F4381,"")</f>
        <v>19.635573749999999</v>
      </c>
      <c r="H4381" s="71"/>
      <c r="I4381" s="72"/>
      <c r="J4381" s="37">
        <v>0</v>
      </c>
    </row>
    <row r="4382" spans="1:10" ht="15.75" hidden="1" thickBot="1" x14ac:dyDescent="0.3">
      <c r="A4382" s="180"/>
      <c r="B4382" s="178"/>
      <c r="C4382" s="49"/>
      <c r="D4382" s="49"/>
      <c r="E4382" s="50"/>
      <c r="F4382" s="83" t="s">
        <v>13</v>
      </c>
      <c r="G4382" s="83" t="str">
        <f>IF(ISNUMBER(F4382),E4382*F4382,"")</f>
        <v/>
      </c>
      <c r="H4382" s="84"/>
      <c r="I4382" s="72"/>
      <c r="J4382" s="37">
        <v>0</v>
      </c>
    </row>
    <row r="4383" spans="1:10" ht="15.75" hidden="1" thickBot="1" x14ac:dyDescent="0.3">
      <c r="A4383" s="173" t="s">
        <v>1054</v>
      </c>
      <c r="B4383" s="176" t="s">
        <v>4586</v>
      </c>
      <c r="C4383" s="31"/>
      <c r="D4383" s="32" t="s">
        <v>68</v>
      </c>
      <c r="E4383" s="33"/>
      <c r="F4383" s="60" t="s">
        <v>13</v>
      </c>
      <c r="G4383" s="34" t="str">
        <f>IF(ISNUMBER(F4383),E4383*F4383,"")</f>
        <v/>
      </c>
      <c r="H4383" s="35"/>
      <c r="I4383" s="36"/>
      <c r="J4383" s="37">
        <v>0</v>
      </c>
    </row>
    <row r="4384" spans="1:10" hidden="1" x14ac:dyDescent="0.25">
      <c r="A4384" s="179"/>
      <c r="B4384" s="177"/>
      <c r="C4384" s="39"/>
      <c r="D4384" s="39"/>
      <c r="E4384" s="40"/>
      <c r="F4384" s="70" t="s">
        <v>13</v>
      </c>
      <c r="G4384" s="70" t="str">
        <f>IF(ISNUMBER(F4384),E4384*F4384,"")</f>
        <v/>
      </c>
      <c r="H4384" s="71"/>
      <c r="I4384" s="72"/>
      <c r="J4384" s="37">
        <v>0</v>
      </c>
    </row>
    <row r="4385" spans="1:10" ht="25.5" hidden="1" x14ac:dyDescent="0.25">
      <c r="A4385" s="179"/>
      <c r="B4385" s="177"/>
      <c r="C4385" s="43" t="s">
        <v>10647</v>
      </c>
      <c r="D4385" s="43" t="s">
        <v>2880</v>
      </c>
      <c r="E4385" s="44">
        <v>5.6800000000000003E-2</v>
      </c>
      <c r="F4385" s="70">
        <v>199.71849999999998</v>
      </c>
      <c r="G4385" s="70">
        <f>IF(ISNUMBER(F4385),E4385*F4385,"")</f>
        <v>11.3440108</v>
      </c>
      <c r="H4385" s="46">
        <f>SUM(G4385:G4395)</f>
        <v>99.234717710499979</v>
      </c>
      <c r="I4385" s="47"/>
      <c r="J4385" s="37">
        <v>0</v>
      </c>
    </row>
    <row r="4386" spans="1:10" hidden="1" x14ac:dyDescent="0.25">
      <c r="A4386" s="179"/>
      <c r="B4386" s="177"/>
      <c r="C4386" s="43" t="s">
        <v>11130</v>
      </c>
      <c r="D4386" s="43" t="s">
        <v>2880</v>
      </c>
      <c r="E4386" s="44">
        <v>3.5999999999999999E-3</v>
      </c>
      <c r="F4386" s="70">
        <v>184.04349999999999</v>
      </c>
      <c r="G4386" s="70">
        <f>IF(ISNUMBER(F4386),E4386*F4386,"")</f>
        <v>0.66255659999999994</v>
      </c>
      <c r="H4386" s="71"/>
      <c r="I4386" s="72"/>
      <c r="J4386" s="37">
        <v>0</v>
      </c>
    </row>
    <row r="4387" spans="1:10" ht="38.25" hidden="1" x14ac:dyDescent="0.25">
      <c r="A4387" s="179"/>
      <c r="B4387" s="177"/>
      <c r="C4387" s="43" t="s">
        <v>11131</v>
      </c>
      <c r="D4387" s="43" t="s">
        <v>162</v>
      </c>
      <c r="E4387" s="44">
        <v>1.0044999999999999</v>
      </c>
      <c r="F4387" s="70">
        <v>77.652999999999992</v>
      </c>
      <c r="G4387" s="70">
        <f>IF(ISNUMBER(F4387),E4387*F4387,"")</f>
        <v>78.002438499999982</v>
      </c>
      <c r="H4387" s="71"/>
      <c r="I4387" s="72"/>
      <c r="J4387" s="37">
        <v>0</v>
      </c>
    </row>
    <row r="4388" spans="1:10" hidden="1" x14ac:dyDescent="0.25">
      <c r="A4388" s="179"/>
      <c r="B4388" s="177"/>
      <c r="C4388" s="43" t="s">
        <v>11132</v>
      </c>
      <c r="D4388" s="43" t="s">
        <v>2800</v>
      </c>
      <c r="E4388" s="44">
        <v>9.6299999999999997E-2</v>
      </c>
      <c r="F4388" s="70">
        <v>28.737499999999997</v>
      </c>
      <c r="G4388" s="70">
        <f>IF(ISNUMBER(F4388),E4388*F4388,"")</f>
        <v>2.7674212499999995</v>
      </c>
      <c r="H4388" s="71"/>
      <c r="I4388" s="72"/>
      <c r="J4388" s="37">
        <v>0</v>
      </c>
    </row>
    <row r="4389" spans="1:10" hidden="1" x14ac:dyDescent="0.25">
      <c r="A4389" s="179"/>
      <c r="B4389" s="177"/>
      <c r="C4389" s="43" t="s">
        <v>10614</v>
      </c>
      <c r="D4389" s="43" t="s">
        <v>2800</v>
      </c>
      <c r="E4389" s="44">
        <v>9.6299999999999997E-2</v>
      </c>
      <c r="F4389" s="70">
        <v>23.693000000000001</v>
      </c>
      <c r="G4389" s="70">
        <f>IF(ISNUMBER(F4389),E4389*F4389,"")</f>
        <v>2.2816358999999999</v>
      </c>
      <c r="H4389" s="71"/>
      <c r="I4389" s="72"/>
      <c r="J4389" s="37">
        <v>0</v>
      </c>
    </row>
    <row r="4390" spans="1:10" ht="38.25" hidden="1" x14ac:dyDescent="0.25">
      <c r="A4390" s="179"/>
      <c r="B4390" s="177"/>
      <c r="C4390" s="43" t="s">
        <v>10793</v>
      </c>
      <c r="D4390" s="43" t="s">
        <v>1050</v>
      </c>
      <c r="E4390" s="44">
        <v>4.1000000000000003E-3</v>
      </c>
      <c r="F4390" s="70">
        <v>10.316999999999998</v>
      </c>
      <c r="G4390" s="70">
        <f>IF(ISNUMBER(F4390),E4390*F4390,"")</f>
        <v>4.2299699999999996E-2</v>
      </c>
      <c r="H4390" s="71"/>
      <c r="I4390" s="72"/>
      <c r="J4390" s="37">
        <v>0</v>
      </c>
    </row>
    <row r="4391" spans="1:10" ht="38.25" hidden="1" x14ac:dyDescent="0.25">
      <c r="A4391" s="179"/>
      <c r="B4391" s="177"/>
      <c r="C4391" s="43" t="s">
        <v>10794</v>
      </c>
      <c r="D4391" s="43" t="s">
        <v>10677</v>
      </c>
      <c r="E4391" s="44">
        <v>4.41E-2</v>
      </c>
      <c r="F4391" s="70">
        <v>0.74099999999999999</v>
      </c>
      <c r="G4391" s="70">
        <f>IF(ISNUMBER(F4391),E4391*F4391,"")</f>
        <v>3.2678100000000002E-2</v>
      </c>
      <c r="H4391" s="71"/>
      <c r="I4391" s="72"/>
      <c r="J4391" s="37">
        <v>0</v>
      </c>
    </row>
    <row r="4392" spans="1:10" ht="51" hidden="1" x14ac:dyDescent="0.25">
      <c r="A4392" s="179"/>
      <c r="B4392" s="177"/>
      <c r="C4392" s="43" t="s">
        <v>11133</v>
      </c>
      <c r="D4392" s="43" t="s">
        <v>1050</v>
      </c>
      <c r="E4392" s="44">
        <v>3.8E-3</v>
      </c>
      <c r="F4392" s="70">
        <v>9.8514999999999979</v>
      </c>
      <c r="G4392" s="70">
        <f>IF(ISNUMBER(F4392),E4392*F4392,"")</f>
        <v>3.7435699999999995E-2</v>
      </c>
      <c r="H4392" s="71"/>
      <c r="I4392" s="72"/>
      <c r="J4392" s="37">
        <v>0</v>
      </c>
    </row>
    <row r="4393" spans="1:10" ht="51" hidden="1" x14ac:dyDescent="0.25">
      <c r="A4393" s="179"/>
      <c r="B4393" s="177"/>
      <c r="C4393" s="43" t="s">
        <v>11134</v>
      </c>
      <c r="D4393" s="43" t="s">
        <v>10677</v>
      </c>
      <c r="E4393" s="44">
        <v>4.4400000000000002E-2</v>
      </c>
      <c r="F4393" s="70">
        <v>0.47499999999999998</v>
      </c>
      <c r="G4393" s="70">
        <f>IF(ISNUMBER(F4393),E4393*F4393,"")</f>
        <v>2.1090000000000001E-2</v>
      </c>
      <c r="H4393" s="71"/>
      <c r="I4393" s="72"/>
      <c r="J4393" s="37">
        <v>0</v>
      </c>
    </row>
    <row r="4394" spans="1:10" ht="51" hidden="1" x14ac:dyDescent="0.25">
      <c r="A4394" s="179"/>
      <c r="B4394" s="177"/>
      <c r="C4394" s="43" t="s">
        <v>10624</v>
      </c>
      <c r="D4394" s="43" t="s">
        <v>2880</v>
      </c>
      <c r="E4394" s="44">
        <f>1*(E4385+E4386)</f>
        <v>6.0400000000000002E-2</v>
      </c>
      <c r="F4394" s="41">
        <v>8.5522277500000001</v>
      </c>
      <c r="G4394" s="41">
        <f>IF(ISNUMBER(F4394),E4394*F4394,"")</f>
        <v>0.51655455610000001</v>
      </c>
      <c r="H4394" s="42"/>
      <c r="I4394" s="38"/>
      <c r="J4394" s="37">
        <v>0</v>
      </c>
    </row>
    <row r="4395" spans="1:10" ht="38.25" hidden="1" x14ac:dyDescent="0.25">
      <c r="A4395" s="179"/>
      <c r="B4395" s="177"/>
      <c r="C4395" s="43" t="s">
        <v>10622</v>
      </c>
      <c r="D4395" s="43" t="s">
        <v>10676</v>
      </c>
      <c r="E4395" s="44">
        <f>20*(E4385+E4386)</f>
        <v>1.208</v>
      </c>
      <c r="F4395" s="70">
        <v>2.9193680499999997</v>
      </c>
      <c r="G4395" s="70">
        <f>IF(ISNUMBER(F4395),E4395*F4395,"")</f>
        <v>3.5265966043999994</v>
      </c>
      <c r="H4395" s="71"/>
      <c r="I4395" s="72"/>
      <c r="J4395" s="37">
        <v>0</v>
      </c>
    </row>
    <row r="4396" spans="1:10" hidden="1" x14ac:dyDescent="0.25">
      <c r="A4396" s="179"/>
      <c r="B4396" s="177"/>
      <c r="C4396" s="43"/>
      <c r="D4396" s="43"/>
      <c r="E4396" s="44"/>
      <c r="F4396" s="70" t="s">
        <v>13</v>
      </c>
      <c r="G4396" s="70" t="str">
        <f>IF(ISNUMBER(F4396),E4396*F4396,"")</f>
        <v/>
      </c>
      <c r="H4396" s="71"/>
      <c r="I4396" s="72"/>
      <c r="J4396" s="37">
        <v>0</v>
      </c>
    </row>
    <row r="4397" spans="1:10" ht="25.5" hidden="1" x14ac:dyDescent="0.25">
      <c r="A4397" s="179"/>
      <c r="B4397" s="177"/>
      <c r="C4397" s="4" t="s">
        <v>1055</v>
      </c>
      <c r="D4397" s="43"/>
      <c r="E4397" s="44"/>
      <c r="F4397" s="70" t="s">
        <v>13</v>
      </c>
      <c r="G4397" s="70" t="str">
        <f>IF(ISNUMBER(F4397),E4397*F4397,"")</f>
        <v/>
      </c>
      <c r="H4397" s="71"/>
      <c r="I4397" s="72"/>
      <c r="J4397" s="37">
        <v>0</v>
      </c>
    </row>
    <row r="4398" spans="1:10" ht="15.75" hidden="1" thickBot="1" x14ac:dyDescent="0.3">
      <c r="A4398" s="180"/>
      <c r="B4398" s="178"/>
      <c r="C4398" s="49"/>
      <c r="D4398" s="49"/>
      <c r="E4398" s="50"/>
      <c r="F4398" s="83" t="s">
        <v>13</v>
      </c>
      <c r="G4398" s="83" t="str">
        <f>IF(ISNUMBER(F4398),E4398*F4398,"")</f>
        <v/>
      </c>
      <c r="H4398" s="84"/>
      <c r="I4398" s="72"/>
      <c r="J4398" s="37">
        <v>0</v>
      </c>
    </row>
    <row r="4399" spans="1:10" ht="15.75" hidden="1" thickBot="1" x14ac:dyDescent="0.3">
      <c r="A4399" s="173" t="s">
        <v>1056</v>
      </c>
      <c r="B4399" s="176" t="s">
        <v>4587</v>
      </c>
      <c r="C4399" s="31"/>
      <c r="D4399" s="32" t="s">
        <v>1788</v>
      </c>
      <c r="E4399" s="33"/>
      <c r="F4399" s="60" t="s">
        <v>13</v>
      </c>
      <c r="G4399" s="34" t="str">
        <f>IF(ISNUMBER(F4399),E4399*F4399,"")</f>
        <v/>
      </c>
      <c r="H4399" s="35"/>
      <c r="I4399" s="36"/>
      <c r="J4399" s="37">
        <v>0</v>
      </c>
    </row>
    <row r="4400" spans="1:10" hidden="1" x14ac:dyDescent="0.25">
      <c r="A4400" s="179"/>
      <c r="B4400" s="177"/>
      <c r="C4400" s="39"/>
      <c r="D4400" s="39"/>
      <c r="E4400" s="40"/>
      <c r="F4400" s="70" t="s">
        <v>13</v>
      </c>
      <c r="G4400" s="70" t="str">
        <f>IF(ISNUMBER(F4400),E4400*F4400,"")</f>
        <v/>
      </c>
      <c r="H4400" s="71"/>
      <c r="I4400" s="72"/>
      <c r="J4400" s="37">
        <v>0</v>
      </c>
    </row>
    <row r="4401" spans="1:10" hidden="1" x14ac:dyDescent="0.25">
      <c r="A4401" s="179"/>
      <c r="B4401" s="177"/>
      <c r="C4401" s="43" t="s">
        <v>10614</v>
      </c>
      <c r="D4401" s="43" t="s">
        <v>2800</v>
      </c>
      <c r="E4401" s="44">
        <v>0.4</v>
      </c>
      <c r="F4401" s="70">
        <v>23.693000000000001</v>
      </c>
      <c r="G4401" s="70">
        <f>IF(ISNUMBER(F4401),E4401*F4401,"")</f>
        <v>9.4772000000000016</v>
      </c>
      <c r="H4401" s="46">
        <f>SUM(G4401:G4422)</f>
        <v>506.48165195000001</v>
      </c>
      <c r="I4401" s="47"/>
      <c r="J4401" s="37">
        <v>0</v>
      </c>
    </row>
    <row r="4402" spans="1:10" ht="38.25" hidden="1" x14ac:dyDescent="0.25">
      <c r="A4402" s="179"/>
      <c r="B4402" s="177"/>
      <c r="C4402" s="43" t="s">
        <v>11135</v>
      </c>
      <c r="D4402" s="43" t="s">
        <v>10677</v>
      </c>
      <c r="E4402" s="44">
        <v>6.0000000000000001E-3</v>
      </c>
      <c r="F4402" s="70">
        <v>89.813000000000002</v>
      </c>
      <c r="G4402" s="70">
        <f>IF(ISNUMBER(F4402),E4402*F4402,"")</f>
        <v>0.53887800000000008</v>
      </c>
      <c r="H4402" s="71"/>
      <c r="I4402" s="72"/>
      <c r="J4402" s="37">
        <v>0</v>
      </c>
    </row>
    <row r="4403" spans="1:10" ht="38.25" hidden="1" x14ac:dyDescent="0.25">
      <c r="A4403" s="179"/>
      <c r="B4403" s="177"/>
      <c r="C4403" s="43" t="s">
        <v>11136</v>
      </c>
      <c r="D4403" s="43" t="s">
        <v>1050</v>
      </c>
      <c r="E4403" s="44">
        <v>1.0699999999999999E-2</v>
      </c>
      <c r="F4403" s="70">
        <v>214.1585</v>
      </c>
      <c r="G4403" s="70">
        <f>IF(ISNUMBER(F4403),E4403*F4403,"")</f>
        <v>2.2914959499999998</v>
      </c>
      <c r="H4403" s="71"/>
      <c r="I4403" s="72"/>
      <c r="J4403" s="37">
        <v>0</v>
      </c>
    </row>
    <row r="4404" spans="1:10" ht="38.25" hidden="1" x14ac:dyDescent="0.25">
      <c r="A4404" s="179"/>
      <c r="B4404" s="177"/>
      <c r="C4404" s="43" t="s">
        <v>11137</v>
      </c>
      <c r="D4404" s="43" t="s">
        <v>1050</v>
      </c>
      <c r="E4404" s="44">
        <v>6.1999999999999998E-3</v>
      </c>
      <c r="F4404" s="70">
        <v>225.98599999999999</v>
      </c>
      <c r="G4404" s="70">
        <f>IF(ISNUMBER(F4404),E4404*F4404,"")</f>
        <v>1.4011131999999999</v>
      </c>
      <c r="H4404" s="71"/>
      <c r="I4404" s="72"/>
      <c r="J4404" s="37">
        <v>0</v>
      </c>
    </row>
    <row r="4405" spans="1:10" ht="38.25" hidden="1" x14ac:dyDescent="0.25">
      <c r="A4405" s="179"/>
      <c r="B4405" s="177"/>
      <c r="C4405" s="43" t="s">
        <v>11138</v>
      </c>
      <c r="D4405" s="43" t="s">
        <v>10677</v>
      </c>
      <c r="E4405" s="44">
        <v>1.0500000000000001E-2</v>
      </c>
      <c r="F4405" s="70">
        <v>83.514499999999998</v>
      </c>
      <c r="G4405" s="70">
        <f>IF(ISNUMBER(F4405),E4405*F4405,"")</f>
        <v>0.87690224999999999</v>
      </c>
      <c r="H4405" s="71"/>
      <c r="I4405" s="72"/>
      <c r="J4405" s="37">
        <v>0</v>
      </c>
    </row>
    <row r="4406" spans="1:10" ht="25.5" hidden="1" x14ac:dyDescent="0.25">
      <c r="A4406" s="179"/>
      <c r="B4406" s="177"/>
      <c r="C4406" s="43" t="s">
        <v>11139</v>
      </c>
      <c r="D4406" s="43" t="s">
        <v>10677</v>
      </c>
      <c r="E4406" s="44">
        <v>1.2200000000000001E-2</v>
      </c>
      <c r="F4406" s="70">
        <v>42.531500000000001</v>
      </c>
      <c r="G4406" s="70">
        <f>IF(ISNUMBER(F4406),E4406*F4406,"")</f>
        <v>0.51888430000000008</v>
      </c>
      <c r="H4406" s="71"/>
      <c r="I4406" s="72"/>
      <c r="J4406" s="37">
        <v>0</v>
      </c>
    </row>
    <row r="4407" spans="1:10" ht="25.5" hidden="1" x14ac:dyDescent="0.25">
      <c r="A4407" s="179"/>
      <c r="B4407" s="177"/>
      <c r="C4407" s="43" t="s">
        <v>11140</v>
      </c>
      <c r="D4407" s="43" t="s">
        <v>1050</v>
      </c>
      <c r="E4407" s="44">
        <v>4.4999999999999997E-3</v>
      </c>
      <c r="F4407" s="70">
        <v>121.44799999999999</v>
      </c>
      <c r="G4407" s="70">
        <f>IF(ISNUMBER(F4407),E4407*F4407,"")</f>
        <v>0.54651599999999989</v>
      </c>
      <c r="H4407" s="71"/>
      <c r="I4407" s="72"/>
      <c r="J4407" s="37">
        <v>0</v>
      </c>
    </row>
    <row r="4408" spans="1:10" ht="25.5" hidden="1" x14ac:dyDescent="0.25">
      <c r="A4408" s="179"/>
      <c r="B4408" s="177"/>
      <c r="C4408" s="43" t="s">
        <v>11141</v>
      </c>
      <c r="D4408" s="43" t="s">
        <v>10677</v>
      </c>
      <c r="E4408" s="44">
        <v>1.2200000000000001E-2</v>
      </c>
      <c r="F4408" s="70">
        <v>4.4554999999999998</v>
      </c>
      <c r="G4408" s="70">
        <f>IF(ISNUMBER(F4408),E4408*F4408,"")</f>
        <v>5.4357099999999998E-2</v>
      </c>
      <c r="H4408" s="71"/>
      <c r="I4408" s="72"/>
      <c r="J4408" s="37">
        <v>0</v>
      </c>
    </row>
    <row r="4409" spans="1:10" ht="38.25" hidden="1" x14ac:dyDescent="0.25">
      <c r="A4409" s="179"/>
      <c r="B4409" s="177"/>
      <c r="C4409" s="43" t="s">
        <v>11142</v>
      </c>
      <c r="D4409" s="43" t="s">
        <v>1050</v>
      </c>
      <c r="E4409" s="44">
        <v>4.4999999999999997E-3</v>
      </c>
      <c r="F4409" s="70">
        <v>8.8635000000000002</v>
      </c>
      <c r="G4409" s="70">
        <f>IF(ISNUMBER(F4409),E4409*F4409,"")</f>
        <v>3.9885749999999998E-2</v>
      </c>
      <c r="H4409" s="71"/>
      <c r="I4409" s="72"/>
      <c r="J4409" s="37">
        <v>0</v>
      </c>
    </row>
    <row r="4410" spans="1:10" ht="38.25" hidden="1" x14ac:dyDescent="0.25">
      <c r="A4410" s="179"/>
      <c r="B4410" s="177"/>
      <c r="C4410" s="43" t="s">
        <v>11143</v>
      </c>
      <c r="D4410" s="43" t="s">
        <v>1050</v>
      </c>
      <c r="E4410" s="44">
        <v>1.67E-2</v>
      </c>
      <c r="F4410" s="70">
        <v>330.08699999999999</v>
      </c>
      <c r="G4410" s="70">
        <f>IF(ISNUMBER(F4410),E4410*F4410,"")</f>
        <v>5.5124528999999995</v>
      </c>
      <c r="H4410" s="71"/>
      <c r="I4410" s="72"/>
      <c r="J4410" s="37">
        <v>0</v>
      </c>
    </row>
    <row r="4411" spans="1:10" ht="38.25" hidden="1" x14ac:dyDescent="0.25">
      <c r="A4411" s="179"/>
      <c r="B4411" s="177"/>
      <c r="C4411" s="43" t="s">
        <v>11144</v>
      </c>
      <c r="D4411" s="43" t="s">
        <v>1050</v>
      </c>
      <c r="E4411" s="44">
        <v>2.7199999999999998E-2</v>
      </c>
      <c r="F4411" s="70">
        <v>275.67099999999999</v>
      </c>
      <c r="G4411" s="70">
        <f>IF(ISNUMBER(F4411),E4411*F4411,"")</f>
        <v>7.4982511999999995</v>
      </c>
      <c r="H4411" s="71"/>
      <c r="I4411" s="72"/>
      <c r="J4411" s="37">
        <v>0</v>
      </c>
    </row>
    <row r="4412" spans="1:10" hidden="1" x14ac:dyDescent="0.25">
      <c r="A4412" s="179"/>
      <c r="B4412" s="177"/>
      <c r="C4412" s="43" t="s">
        <v>10614</v>
      </c>
      <c r="D4412" s="43" t="s">
        <v>2800</v>
      </c>
      <c r="E4412" s="44">
        <v>0.3</v>
      </c>
      <c r="F4412" s="70">
        <v>23.693000000000001</v>
      </c>
      <c r="G4412" s="70">
        <f>IF(ISNUMBER(F4412),E4412*F4412,"")</f>
        <v>7.1078999999999999</v>
      </c>
      <c r="H4412" s="71"/>
      <c r="I4412" s="72"/>
      <c r="J4412" s="37">
        <v>0</v>
      </c>
    </row>
    <row r="4413" spans="1:10" ht="25.5" hidden="1" x14ac:dyDescent="0.25">
      <c r="A4413" s="179"/>
      <c r="B4413" s="177"/>
      <c r="C4413" s="43" t="s">
        <v>10658</v>
      </c>
      <c r="D4413" s="43" t="s">
        <v>2880</v>
      </c>
      <c r="E4413" s="44">
        <v>0.18</v>
      </c>
      <c r="F4413" s="70">
        <v>202.32149999999999</v>
      </c>
      <c r="G4413" s="70">
        <f>IF(ISNUMBER(F4413),E4413*F4413,"")</f>
        <v>36.417869999999994</v>
      </c>
      <c r="H4413" s="71"/>
      <c r="I4413" s="72"/>
      <c r="J4413" s="37">
        <v>0</v>
      </c>
    </row>
    <row r="4414" spans="1:10" ht="25.5" hidden="1" x14ac:dyDescent="0.25">
      <c r="A4414" s="179"/>
      <c r="B4414" s="177"/>
      <c r="C4414" s="43" t="s">
        <v>10665</v>
      </c>
      <c r="D4414" s="43" t="s">
        <v>2880</v>
      </c>
      <c r="E4414" s="44">
        <v>1.26</v>
      </c>
      <c r="F4414" s="70">
        <v>224.941</v>
      </c>
      <c r="G4414" s="70">
        <f>IF(ISNUMBER(F4414),E4414*F4414,"")</f>
        <v>283.42565999999999</v>
      </c>
      <c r="H4414" s="71"/>
      <c r="I4414" s="72"/>
      <c r="J4414" s="37">
        <v>0</v>
      </c>
    </row>
    <row r="4415" spans="1:10" hidden="1" x14ac:dyDescent="0.25">
      <c r="A4415" s="179"/>
      <c r="B4415" s="177"/>
      <c r="C4415" s="43" t="s">
        <v>1057</v>
      </c>
      <c r="D4415" s="43" t="s">
        <v>72</v>
      </c>
      <c r="E4415" s="44">
        <v>140</v>
      </c>
      <c r="F4415" s="70" t="s">
        <v>13</v>
      </c>
      <c r="G4415" s="70" t="str">
        <f>IF(ISNUMBER(F4415),E4415*F4415,"")</f>
        <v/>
      </c>
      <c r="H4415" s="71"/>
      <c r="I4415" s="72"/>
      <c r="J4415" s="37">
        <v>0</v>
      </c>
    </row>
    <row r="4416" spans="1:10" ht="25.5" hidden="1" x14ac:dyDescent="0.25">
      <c r="A4416" s="179"/>
      <c r="B4416" s="177"/>
      <c r="C4416" s="43" t="s">
        <v>11145</v>
      </c>
      <c r="D4416" s="43" t="s">
        <v>1050</v>
      </c>
      <c r="E4416" s="44">
        <v>0.05</v>
      </c>
      <c r="F4416" s="70">
        <v>168.25450000000001</v>
      </c>
      <c r="G4416" s="70">
        <f>IF(ISNUMBER(F4416),E4416*F4416,"")</f>
        <v>8.412725</v>
      </c>
      <c r="H4416" s="71"/>
      <c r="I4416" s="72"/>
      <c r="J4416" s="37">
        <v>0</v>
      </c>
    </row>
    <row r="4417" spans="1:10" ht="38.25" hidden="1" x14ac:dyDescent="0.25">
      <c r="A4417" s="179"/>
      <c r="B4417" s="177"/>
      <c r="C4417" s="43" t="s">
        <v>11146</v>
      </c>
      <c r="D4417" s="43" t="s">
        <v>1050</v>
      </c>
      <c r="E4417" s="44">
        <v>2.1000000000000001E-2</v>
      </c>
      <c r="F4417" s="70">
        <v>216.42899999999997</v>
      </c>
      <c r="G4417" s="70">
        <f>IF(ISNUMBER(F4417),E4417*F4417,"")</f>
        <v>4.5450089999999994</v>
      </c>
      <c r="H4417" s="71"/>
      <c r="I4417" s="72"/>
      <c r="J4417" s="37">
        <v>0</v>
      </c>
    </row>
    <row r="4418" spans="1:10" ht="38.25" hidden="1" x14ac:dyDescent="0.25">
      <c r="A4418" s="179"/>
      <c r="B4418" s="177"/>
      <c r="C4418" s="43" t="s">
        <v>11147</v>
      </c>
      <c r="D4418" s="43" t="s">
        <v>10677</v>
      </c>
      <c r="E4418" s="44">
        <v>2.9000000000000001E-2</v>
      </c>
      <c r="F4418" s="70">
        <v>87.751500000000007</v>
      </c>
      <c r="G4418" s="70">
        <f>IF(ISNUMBER(F4418),E4418*F4418,"")</f>
        <v>2.5447935000000004</v>
      </c>
      <c r="H4418" s="71"/>
      <c r="I4418" s="72"/>
      <c r="J4418" s="37">
        <v>0</v>
      </c>
    </row>
    <row r="4419" spans="1:10" ht="25.5" hidden="1" x14ac:dyDescent="0.25">
      <c r="A4419" s="179"/>
      <c r="B4419" s="177"/>
      <c r="C4419" s="43" t="s">
        <v>11148</v>
      </c>
      <c r="D4419" s="43" t="s">
        <v>1050</v>
      </c>
      <c r="E4419" s="44">
        <v>0.05</v>
      </c>
      <c r="F4419" s="70">
        <v>263.32099999999997</v>
      </c>
      <c r="G4419" s="70">
        <f>IF(ISNUMBER(F4419),E4419*F4419,"")</f>
        <v>13.166049999999998</v>
      </c>
      <c r="H4419" s="71"/>
      <c r="I4419" s="72"/>
      <c r="J4419" s="37">
        <v>0</v>
      </c>
    </row>
    <row r="4420" spans="1:10" ht="25.5" hidden="1" x14ac:dyDescent="0.25">
      <c r="A4420" s="179"/>
      <c r="B4420" s="177"/>
      <c r="C4420" s="43" t="s">
        <v>11149</v>
      </c>
      <c r="D4420" s="43" t="s">
        <v>1050</v>
      </c>
      <c r="E4420" s="44">
        <v>0.1</v>
      </c>
      <c r="F4420" s="70">
        <v>257.12700000000001</v>
      </c>
      <c r="G4420" s="70">
        <f>IF(ISNUMBER(F4420),E4420*F4420,"")</f>
        <v>25.712700000000002</v>
      </c>
      <c r="H4420" s="71"/>
      <c r="I4420" s="72"/>
      <c r="J4420" s="37">
        <v>0</v>
      </c>
    </row>
    <row r="4421" spans="1:10" ht="51" hidden="1" x14ac:dyDescent="0.25">
      <c r="A4421" s="179"/>
      <c r="B4421" s="177"/>
      <c r="C4421" s="43" t="s">
        <v>10624</v>
      </c>
      <c r="D4421" s="43" t="s">
        <v>2880</v>
      </c>
      <c r="E4421" s="44">
        <f>1*(E4413+E4414)</f>
        <v>1.44</v>
      </c>
      <c r="F4421" s="41">
        <v>8.5522277500000001</v>
      </c>
      <c r="G4421" s="41">
        <f>IF(ISNUMBER(F4421),E4421*F4421,"")</f>
        <v>12.31520796</v>
      </c>
      <c r="H4421" s="42"/>
      <c r="I4421" s="38"/>
      <c r="J4421" s="37">
        <v>0</v>
      </c>
    </row>
    <row r="4422" spans="1:10" ht="38.25" hidden="1" x14ac:dyDescent="0.25">
      <c r="A4422" s="179"/>
      <c r="B4422" s="177"/>
      <c r="C4422" s="43" t="s">
        <v>10622</v>
      </c>
      <c r="D4422" s="43" t="s">
        <v>10676</v>
      </c>
      <c r="E4422" s="44">
        <f>20*(E4414+E4413)</f>
        <v>28.799999999999997</v>
      </c>
      <c r="F4422" s="70">
        <v>2.9193680499999997</v>
      </c>
      <c r="G4422" s="70">
        <f>IF(ISNUMBER(F4422),E4422*F4422,"")</f>
        <v>84.077799839999983</v>
      </c>
      <c r="H4422" s="71"/>
      <c r="I4422" s="72"/>
      <c r="J4422" s="37">
        <v>0</v>
      </c>
    </row>
    <row r="4423" spans="1:10" hidden="1" x14ac:dyDescent="0.25">
      <c r="A4423" s="179"/>
      <c r="B4423" s="177"/>
      <c r="C4423" s="43"/>
      <c r="D4423" s="43"/>
      <c r="E4423" s="44"/>
      <c r="F4423" s="70" t="s">
        <v>13</v>
      </c>
      <c r="G4423" s="70" t="str">
        <f>IF(ISNUMBER(F4423),E4423*F4423,"")</f>
        <v/>
      </c>
      <c r="H4423" s="71"/>
      <c r="I4423" s="72"/>
      <c r="J4423" s="37">
        <v>0</v>
      </c>
    </row>
    <row r="4424" spans="1:10" ht="25.5" hidden="1" x14ac:dyDescent="0.25">
      <c r="A4424" s="179"/>
      <c r="B4424" s="177"/>
      <c r="C4424" s="4" t="s">
        <v>1055</v>
      </c>
      <c r="D4424" s="43"/>
      <c r="E4424" s="44"/>
      <c r="F4424" s="70" t="s">
        <v>13</v>
      </c>
      <c r="G4424" s="70" t="str">
        <f>IF(ISNUMBER(F4424),E4424*F4424,"")</f>
        <v/>
      </c>
      <c r="H4424" s="71"/>
      <c r="I4424" s="72"/>
      <c r="J4424" s="37">
        <v>0</v>
      </c>
    </row>
    <row r="4425" spans="1:10" ht="15.75" hidden="1" thickBot="1" x14ac:dyDescent="0.3">
      <c r="A4425" s="180"/>
      <c r="B4425" s="178"/>
      <c r="C4425" s="49"/>
      <c r="D4425" s="49"/>
      <c r="E4425" s="50"/>
      <c r="F4425" s="83" t="s">
        <v>13</v>
      </c>
      <c r="G4425" s="83" t="str">
        <f>IF(ISNUMBER(F4425),E4425*F4425,"")</f>
        <v/>
      </c>
      <c r="H4425" s="84"/>
      <c r="I4425" s="72"/>
      <c r="J4425" s="37">
        <v>0</v>
      </c>
    </row>
    <row r="4426" spans="1:10" ht="15.75" hidden="1" thickBot="1" x14ac:dyDescent="0.3">
      <c r="A4426" s="173" t="s">
        <v>1058</v>
      </c>
      <c r="B4426" s="176" t="s">
        <v>4588</v>
      </c>
      <c r="C4426" s="31"/>
      <c r="D4426" s="32" t="s">
        <v>1788</v>
      </c>
      <c r="E4426" s="33"/>
      <c r="F4426" s="60" t="s">
        <v>13</v>
      </c>
      <c r="G4426" s="34" t="str">
        <f>IF(ISNUMBER(F4426),E4426*F4426,"")</f>
        <v/>
      </c>
      <c r="H4426" s="35"/>
      <c r="I4426" s="36"/>
      <c r="J4426" s="37">
        <v>0</v>
      </c>
    </row>
    <row r="4427" spans="1:10" hidden="1" x14ac:dyDescent="0.25">
      <c r="A4427" s="179"/>
      <c r="B4427" s="177"/>
      <c r="C4427" s="39"/>
      <c r="D4427" s="39"/>
      <c r="E4427" s="40"/>
      <c r="F4427" s="70" t="s">
        <v>13</v>
      </c>
      <c r="G4427" s="70" t="str">
        <f>IF(ISNUMBER(F4427),E4427*F4427,"")</f>
        <v/>
      </c>
      <c r="H4427" s="71"/>
      <c r="I4427" s="72"/>
      <c r="J4427" s="37">
        <v>0</v>
      </c>
    </row>
    <row r="4428" spans="1:10" hidden="1" x14ac:dyDescent="0.25">
      <c r="A4428" s="179"/>
      <c r="B4428" s="177"/>
      <c r="C4428" s="43" t="s">
        <v>10614</v>
      </c>
      <c r="D4428" s="43" t="s">
        <v>2800</v>
      </c>
      <c r="E4428" s="44">
        <f>6/0.5</f>
        <v>12</v>
      </c>
      <c r="F4428" s="70">
        <v>23.693000000000001</v>
      </c>
      <c r="G4428" s="70">
        <f>IF(ISNUMBER(F4428),E4428*F4428,"")</f>
        <v>284.31600000000003</v>
      </c>
      <c r="H4428" s="46">
        <f>SUM(G4428:G4430)</f>
        <v>284.31600000000003</v>
      </c>
      <c r="I4428" s="47"/>
      <c r="J4428" s="37">
        <v>0</v>
      </c>
    </row>
    <row r="4429" spans="1:10" hidden="1" x14ac:dyDescent="0.25">
      <c r="A4429" s="179"/>
      <c r="B4429" s="177"/>
      <c r="C4429" s="43" t="s">
        <v>1059</v>
      </c>
      <c r="D4429" s="43" t="s">
        <v>1050</v>
      </c>
      <c r="E4429" s="44">
        <f>2.3725/7.2836/0.5</f>
        <v>0.65146356197484767</v>
      </c>
      <c r="F4429" s="70" t="s">
        <v>13</v>
      </c>
      <c r="G4429" s="70" t="str">
        <f>IF(ISNUMBER(F4429),E4429*F4429,"")</f>
        <v/>
      </c>
      <c r="H4429" s="71"/>
      <c r="I4429" s="72"/>
      <c r="J4429" s="37">
        <v>0</v>
      </c>
    </row>
    <row r="4430" spans="1:10" hidden="1" x14ac:dyDescent="0.25">
      <c r="A4430" s="179"/>
      <c r="B4430" s="177"/>
      <c r="C4430" s="43" t="s">
        <v>1060</v>
      </c>
      <c r="D4430" s="43" t="s">
        <v>72</v>
      </c>
      <c r="E4430" s="44">
        <v>2500</v>
      </c>
      <c r="F4430" s="70" t="s">
        <v>13</v>
      </c>
      <c r="G4430" s="70" t="str">
        <f>IF(ISNUMBER(F4430),E4430*F4430,"")</f>
        <v/>
      </c>
      <c r="H4430" s="71"/>
      <c r="I4430" s="72"/>
      <c r="J4430" s="37">
        <v>0</v>
      </c>
    </row>
    <row r="4431" spans="1:10" ht="15.75" hidden="1" thickBot="1" x14ac:dyDescent="0.3">
      <c r="A4431" s="180"/>
      <c r="B4431" s="178"/>
      <c r="C4431" s="49"/>
      <c r="D4431" s="49"/>
      <c r="E4431" s="50"/>
      <c r="F4431" s="83" t="s">
        <v>13</v>
      </c>
      <c r="G4431" s="83" t="str">
        <f>IF(ISNUMBER(F4431),E4431*F4431,"")</f>
        <v/>
      </c>
      <c r="H4431" s="84"/>
      <c r="I4431" s="72"/>
      <c r="J4431" s="37">
        <v>0</v>
      </c>
    </row>
    <row r="4432" spans="1:10" ht="15.75" hidden="1" thickBot="1" x14ac:dyDescent="0.3">
      <c r="A4432" s="173" t="s">
        <v>1061</v>
      </c>
      <c r="B4432" s="176" t="s">
        <v>4589</v>
      </c>
      <c r="C4432" s="31"/>
      <c r="D4432" s="32" t="s">
        <v>68</v>
      </c>
      <c r="E4432" s="33"/>
      <c r="F4432" s="60" t="s">
        <v>13</v>
      </c>
      <c r="G4432" s="34" t="str">
        <f>IF(ISNUMBER(F4432),E4432*F4432,"")</f>
        <v/>
      </c>
      <c r="H4432" s="35"/>
      <c r="I4432" s="36"/>
      <c r="J4432" s="37">
        <v>0</v>
      </c>
    </row>
    <row r="4433" spans="1:10" hidden="1" x14ac:dyDescent="0.25">
      <c r="A4433" s="179"/>
      <c r="B4433" s="177"/>
      <c r="C4433" s="39"/>
      <c r="D4433" s="39"/>
      <c r="E4433" s="40"/>
      <c r="F4433" s="70" t="s">
        <v>13</v>
      </c>
      <c r="G4433" s="70" t="str">
        <f>IF(ISNUMBER(F4433),E4433*F4433,"")</f>
        <v/>
      </c>
      <c r="H4433" s="71"/>
      <c r="I4433" s="72"/>
      <c r="J4433" s="37">
        <v>0</v>
      </c>
    </row>
    <row r="4434" spans="1:10" hidden="1" x14ac:dyDescent="0.25">
      <c r="A4434" s="179"/>
      <c r="B4434" s="177"/>
      <c r="C4434" s="43" t="s">
        <v>10674</v>
      </c>
      <c r="D4434" s="43" t="s">
        <v>2800</v>
      </c>
      <c r="E4434" s="44">
        <v>0.36399999999999999</v>
      </c>
      <c r="F4434" s="70">
        <v>32.6325</v>
      </c>
      <c r="G4434" s="70">
        <f>IF(ISNUMBER(F4434),E4434*F4434,"")</f>
        <v>11.87823</v>
      </c>
      <c r="H4434" s="46">
        <f>SUM(G4434:G4440)</f>
        <v>36.029025500000003</v>
      </c>
      <c r="I4434" s="47"/>
      <c r="J4434" s="37">
        <v>0</v>
      </c>
    </row>
    <row r="4435" spans="1:10" hidden="1" x14ac:dyDescent="0.25">
      <c r="A4435" s="179"/>
      <c r="B4435" s="177"/>
      <c r="C4435" s="43" t="s">
        <v>10614</v>
      </c>
      <c r="D4435" s="43" t="s">
        <v>2800</v>
      </c>
      <c r="E4435" s="44">
        <v>0.151</v>
      </c>
      <c r="F4435" s="70">
        <v>23.693000000000001</v>
      </c>
      <c r="G4435" s="70">
        <f>IF(ISNUMBER(F4435),E4435*F4435,"")</f>
        <v>3.5776430000000001</v>
      </c>
      <c r="H4435" s="71"/>
      <c r="I4435" s="72"/>
      <c r="J4435" s="37">
        <v>0</v>
      </c>
    </row>
    <row r="4436" spans="1:10" hidden="1" x14ac:dyDescent="0.25">
      <c r="A4436" s="179"/>
      <c r="B4436" s="177"/>
      <c r="C4436" s="43" t="s">
        <v>10672</v>
      </c>
      <c r="D4436" s="43" t="s">
        <v>70</v>
      </c>
      <c r="E4436" s="44">
        <v>2.1000000000000001E-2</v>
      </c>
      <c r="F4436" s="70">
        <v>17.081</v>
      </c>
      <c r="G4436" s="70">
        <f>IF(ISNUMBER(F4436),E4436*F4436,"")</f>
        <v>0.35870099999999999</v>
      </c>
      <c r="H4436" s="71"/>
      <c r="I4436" s="72"/>
      <c r="J4436" s="37">
        <v>0</v>
      </c>
    </row>
    <row r="4437" spans="1:10" hidden="1" x14ac:dyDescent="0.25">
      <c r="A4437" s="179"/>
      <c r="B4437" s="177"/>
      <c r="C4437" s="43" t="s">
        <v>11125</v>
      </c>
      <c r="D4437" s="43" t="s">
        <v>83</v>
      </c>
      <c r="E4437" s="44">
        <v>1.2E-2</v>
      </c>
      <c r="F4437" s="70">
        <v>13.299999999999999</v>
      </c>
      <c r="G4437" s="70">
        <f>IF(ISNUMBER(F4437),E4437*F4437,"")</f>
        <v>0.15959999999999999</v>
      </c>
      <c r="H4437" s="71"/>
      <c r="I4437" s="72"/>
      <c r="J4437" s="37">
        <v>0</v>
      </c>
    </row>
    <row r="4438" spans="1:10" ht="25.5" hidden="1" x14ac:dyDescent="0.25">
      <c r="A4438" s="179"/>
      <c r="B4438" s="177"/>
      <c r="C4438" s="43" t="s">
        <v>11150</v>
      </c>
      <c r="D4438" s="43" t="s">
        <v>1044</v>
      </c>
      <c r="E4438" s="44">
        <v>0.11</v>
      </c>
      <c r="F4438" s="70">
        <v>12.54</v>
      </c>
      <c r="G4438" s="70">
        <f>IF(ISNUMBER(F4438),E4438*F4438,"")</f>
        <v>1.3794</v>
      </c>
      <c r="H4438" s="71"/>
      <c r="I4438" s="72"/>
      <c r="J4438" s="37">
        <v>0</v>
      </c>
    </row>
    <row r="4439" spans="1:10" ht="25.5" hidden="1" x14ac:dyDescent="0.25">
      <c r="A4439" s="179"/>
      <c r="B4439" s="177"/>
      <c r="C4439" s="43" t="s">
        <v>11151</v>
      </c>
      <c r="D4439" s="43" t="s">
        <v>1044</v>
      </c>
      <c r="E4439" s="44">
        <v>0.25</v>
      </c>
      <c r="F4439" s="70">
        <v>12.54</v>
      </c>
      <c r="G4439" s="70">
        <f>IF(ISNUMBER(F4439),E4439*F4439,"")</f>
        <v>3.1349999999999998</v>
      </c>
      <c r="H4439" s="71"/>
      <c r="I4439" s="72"/>
      <c r="J4439" s="37">
        <v>0</v>
      </c>
    </row>
    <row r="4440" spans="1:10" ht="25.5" hidden="1" x14ac:dyDescent="0.25">
      <c r="A4440" s="179"/>
      <c r="B4440" s="177"/>
      <c r="C4440" s="43" t="s">
        <v>11152</v>
      </c>
      <c r="D4440" s="43" t="s">
        <v>70</v>
      </c>
      <c r="E4440" s="44">
        <v>0.42699999999999999</v>
      </c>
      <c r="F4440" s="70">
        <v>36.394500000000001</v>
      </c>
      <c r="G4440" s="70">
        <f>IF(ISNUMBER(F4440),E4440*F4440,"")</f>
        <v>15.5404515</v>
      </c>
      <c r="H4440" s="71"/>
      <c r="I4440" s="72"/>
      <c r="J4440" s="37">
        <v>0</v>
      </c>
    </row>
    <row r="4441" spans="1:10" ht="15.75" hidden="1" thickBot="1" x14ac:dyDescent="0.3">
      <c r="A4441" s="180"/>
      <c r="B4441" s="178"/>
      <c r="C4441" s="49"/>
      <c r="D4441" s="49"/>
      <c r="E4441" s="50"/>
      <c r="F4441" s="83" t="s">
        <v>13</v>
      </c>
      <c r="G4441" s="83" t="str">
        <f>IF(ISNUMBER(F4441),E4441*F4441,"")</f>
        <v/>
      </c>
      <c r="H4441" s="84"/>
      <c r="I4441" s="72"/>
      <c r="J4441" s="37">
        <v>0</v>
      </c>
    </row>
    <row r="4442" spans="1:10" ht="15.75" hidden="1" thickBot="1" x14ac:dyDescent="0.3">
      <c r="A4442" s="173" t="s">
        <v>1062</v>
      </c>
      <c r="B4442" s="176" t="s">
        <v>4590</v>
      </c>
      <c r="C4442" s="31"/>
      <c r="D4442" s="32" t="s">
        <v>68</v>
      </c>
      <c r="E4442" s="33"/>
      <c r="F4442" s="60" t="s">
        <v>13</v>
      </c>
      <c r="G4442" s="34" t="str">
        <f>IF(ISNUMBER(F4442),E4442*F4442,"")</f>
        <v/>
      </c>
      <c r="H4442" s="35"/>
      <c r="I4442" s="36"/>
      <c r="J4442" s="37">
        <v>0</v>
      </c>
    </row>
    <row r="4443" spans="1:10" hidden="1" x14ac:dyDescent="0.25">
      <c r="A4443" s="179"/>
      <c r="B4443" s="177"/>
      <c r="C4443" s="39"/>
      <c r="D4443" s="39"/>
      <c r="E4443" s="40"/>
      <c r="F4443" s="70" t="s">
        <v>13</v>
      </c>
      <c r="G4443" s="70" t="str">
        <f>IF(ISNUMBER(F4443),E4443*F4443,"")</f>
        <v/>
      </c>
      <c r="H4443" s="71"/>
      <c r="I4443" s="72"/>
      <c r="J4443" s="37">
        <v>0</v>
      </c>
    </row>
    <row r="4444" spans="1:10" ht="38.25" hidden="1" x14ac:dyDescent="0.25">
      <c r="A4444" s="179"/>
      <c r="B4444" s="177"/>
      <c r="C4444" s="43" t="s">
        <v>11153</v>
      </c>
      <c r="D4444" s="62" t="s">
        <v>162</v>
      </c>
      <c r="E4444" s="44">
        <v>1.1659999999999999</v>
      </c>
      <c r="F4444" s="70">
        <v>43.348500000000001</v>
      </c>
      <c r="G4444" s="70">
        <f>IF(ISNUMBER(F4444),E4444*F4444,"")</f>
        <v>50.544350999999999</v>
      </c>
      <c r="H4444" s="46">
        <f>SUM(G4444:G4449)</f>
        <v>63.901944749999998</v>
      </c>
      <c r="I4444" s="47"/>
      <c r="J4444" s="37">
        <v>0</v>
      </c>
    </row>
    <row r="4445" spans="1:10" ht="38.25" hidden="1" x14ac:dyDescent="0.25">
      <c r="A4445" s="179"/>
      <c r="B4445" s="177"/>
      <c r="C4445" s="43" t="s">
        <v>11154</v>
      </c>
      <c r="D4445" s="43" t="s">
        <v>10819</v>
      </c>
      <c r="E4445" s="44">
        <v>4.1500000000000004</v>
      </c>
      <c r="F4445" s="70">
        <v>1.9854999999999998</v>
      </c>
      <c r="G4445" s="70">
        <f>IF(ISNUMBER(F4445),E4445*F4445,"")</f>
        <v>8.2398249999999997</v>
      </c>
      <c r="H4445" s="71"/>
      <c r="I4445" s="72"/>
      <c r="J4445" s="37">
        <v>0</v>
      </c>
    </row>
    <row r="4446" spans="1:10" hidden="1" x14ac:dyDescent="0.25">
      <c r="A4446" s="179"/>
      <c r="B4446" s="177"/>
      <c r="C4446" s="43" t="s">
        <v>10614</v>
      </c>
      <c r="D4446" s="43" t="s">
        <v>2800</v>
      </c>
      <c r="E4446" s="44">
        <v>9.7000000000000003E-2</v>
      </c>
      <c r="F4446" s="70">
        <v>23.693000000000001</v>
      </c>
      <c r="G4446" s="70">
        <f>IF(ISNUMBER(F4446),E4446*F4446,"")</f>
        <v>2.2982210000000003</v>
      </c>
      <c r="H4446" s="71"/>
      <c r="I4446" s="72"/>
      <c r="J4446" s="37">
        <v>0</v>
      </c>
    </row>
    <row r="4447" spans="1:10" hidden="1" x14ac:dyDescent="0.25">
      <c r="A4447" s="179"/>
      <c r="B4447" s="177"/>
      <c r="C4447" s="43" t="s">
        <v>10800</v>
      </c>
      <c r="D4447" s="43" t="s">
        <v>2800</v>
      </c>
      <c r="E4447" s="44">
        <v>9.0999999999999998E-2</v>
      </c>
      <c r="F4447" s="70">
        <v>30.343</v>
      </c>
      <c r="G4447" s="70">
        <f>IF(ISNUMBER(F4447),E4447*F4447,"")</f>
        <v>2.7612130000000001</v>
      </c>
      <c r="H4447" s="71"/>
      <c r="I4447" s="72"/>
      <c r="J4447" s="37">
        <v>0</v>
      </c>
    </row>
    <row r="4448" spans="1:10" ht="25.5" hidden="1" x14ac:dyDescent="0.25">
      <c r="A4448" s="179"/>
      <c r="B4448" s="177"/>
      <c r="C4448" s="43" t="s">
        <v>10801</v>
      </c>
      <c r="D4448" s="43" t="s">
        <v>1050</v>
      </c>
      <c r="E4448" s="44">
        <v>8.9999999999999998E-4</v>
      </c>
      <c r="F4448" s="70">
        <v>26.970499999999998</v>
      </c>
      <c r="G4448" s="70">
        <f>IF(ISNUMBER(F4448),E4448*F4448,"")</f>
        <v>2.4273449999999998E-2</v>
      </c>
      <c r="H4448" s="71"/>
      <c r="I4448" s="72"/>
      <c r="J4448" s="37">
        <v>0</v>
      </c>
    </row>
    <row r="4449" spans="1:10" ht="25.5" hidden="1" x14ac:dyDescent="0.25">
      <c r="A4449" s="179"/>
      <c r="B4449" s="177"/>
      <c r="C4449" s="43" t="s">
        <v>10802</v>
      </c>
      <c r="D4449" s="43" t="s">
        <v>10677</v>
      </c>
      <c r="E4449" s="44">
        <v>1.2999999999999999E-3</v>
      </c>
      <c r="F4449" s="70">
        <v>26.200999999999997</v>
      </c>
      <c r="G4449" s="70">
        <f>IF(ISNUMBER(F4449),E4449*F4449,"")</f>
        <v>3.4061299999999996E-2</v>
      </c>
      <c r="H4449" s="71"/>
      <c r="I4449" s="72"/>
      <c r="J4449" s="37">
        <v>0</v>
      </c>
    </row>
    <row r="4450" spans="1:10" ht="15.75" hidden="1" thickBot="1" x14ac:dyDescent="0.3">
      <c r="A4450" s="180"/>
      <c r="B4450" s="178"/>
      <c r="C4450" s="49"/>
      <c r="D4450" s="49"/>
      <c r="E4450" s="50"/>
      <c r="F4450" s="83" t="s">
        <v>13</v>
      </c>
      <c r="G4450" s="83" t="str">
        <f>IF(ISNUMBER(F4450),E4450*F4450,"")</f>
        <v/>
      </c>
      <c r="H4450" s="84"/>
      <c r="I4450" s="72"/>
      <c r="J4450" s="37">
        <v>0</v>
      </c>
    </row>
    <row r="4451" spans="1:10" ht="15.75" hidden="1" thickBot="1" x14ac:dyDescent="0.3">
      <c r="A4451" s="173" t="s">
        <v>1063</v>
      </c>
      <c r="B4451" s="176" t="s">
        <v>4591</v>
      </c>
      <c r="C4451" s="31"/>
      <c r="D4451" s="32" t="s">
        <v>106</v>
      </c>
      <c r="E4451" s="33"/>
      <c r="F4451" s="60" t="s">
        <v>13</v>
      </c>
      <c r="G4451" s="34" t="str">
        <f>IF(ISNUMBER(F4451),E4451*F4451,"")</f>
        <v/>
      </c>
      <c r="H4451" s="35"/>
      <c r="I4451" s="36"/>
      <c r="J4451" s="37">
        <v>0</v>
      </c>
    </row>
    <row r="4452" spans="1:10" hidden="1" x14ac:dyDescent="0.25">
      <c r="A4452" s="179"/>
      <c r="B4452" s="177"/>
      <c r="C4452" s="39"/>
      <c r="D4452" s="39"/>
      <c r="E4452" s="40"/>
      <c r="F4452" s="70" t="s">
        <v>13</v>
      </c>
      <c r="G4452" s="70" t="str">
        <f>IF(ISNUMBER(F4452),E4452*F4452,"")</f>
        <v/>
      </c>
      <c r="H4452" s="71"/>
      <c r="I4452" s="72"/>
      <c r="J4452" s="37">
        <v>0</v>
      </c>
    </row>
    <row r="4453" spans="1:10" ht="38.25" hidden="1" x14ac:dyDescent="0.25">
      <c r="A4453" s="179"/>
      <c r="B4453" s="177"/>
      <c r="C4453" s="43" t="s">
        <v>11154</v>
      </c>
      <c r="D4453" s="43" t="s">
        <v>10819</v>
      </c>
      <c r="E4453" s="44">
        <v>4.1500000000000004</v>
      </c>
      <c r="F4453" s="70">
        <v>1.9854999999999998</v>
      </c>
      <c r="G4453" s="70">
        <f>IF(ISNUMBER(F4453),E4453*F4453,"")</f>
        <v>8.2398249999999997</v>
      </c>
      <c r="H4453" s="46">
        <f>SUM(G4453:G4458)</f>
        <v>11.906663500000001</v>
      </c>
      <c r="I4453" s="47"/>
      <c r="J4453" s="37">
        <v>0</v>
      </c>
    </row>
    <row r="4454" spans="1:10" hidden="1" x14ac:dyDescent="0.25">
      <c r="A4454" s="179"/>
      <c r="B4454" s="177"/>
      <c r="C4454" s="43" t="s">
        <v>1064</v>
      </c>
      <c r="D4454" s="43" t="s">
        <v>106</v>
      </c>
      <c r="E4454" s="44">
        <v>1.0289999999999999</v>
      </c>
      <c r="F4454" s="70" t="s">
        <v>13</v>
      </c>
      <c r="G4454" s="70" t="str">
        <f>IF(ISNUMBER(F4454),E4454*F4454,"")</f>
        <v/>
      </c>
      <c r="H4454" s="71"/>
      <c r="I4454" s="72"/>
      <c r="J4454" s="37">
        <v>0</v>
      </c>
    </row>
    <row r="4455" spans="1:10" hidden="1" x14ac:dyDescent="0.25">
      <c r="A4455" s="179"/>
      <c r="B4455" s="177"/>
      <c r="C4455" s="43" t="s">
        <v>10614</v>
      </c>
      <c r="D4455" s="43" t="s">
        <v>2800</v>
      </c>
      <c r="E4455" s="44">
        <v>7.2999999999999995E-2</v>
      </c>
      <c r="F4455" s="70">
        <v>23.693000000000001</v>
      </c>
      <c r="G4455" s="70">
        <f>IF(ISNUMBER(F4455),E4455*F4455,"")</f>
        <v>1.729589</v>
      </c>
      <c r="H4455" s="71"/>
      <c r="I4455" s="72"/>
      <c r="J4455" s="37">
        <v>0</v>
      </c>
    </row>
    <row r="4456" spans="1:10" hidden="1" x14ac:dyDescent="0.25">
      <c r="A4456" s="179"/>
      <c r="B4456" s="177"/>
      <c r="C4456" s="43" t="s">
        <v>10800</v>
      </c>
      <c r="D4456" s="43" t="s">
        <v>2800</v>
      </c>
      <c r="E4456" s="44">
        <v>0.06</v>
      </c>
      <c r="F4456" s="70">
        <v>30.343</v>
      </c>
      <c r="G4456" s="70">
        <f>IF(ISNUMBER(F4456),E4456*F4456,"")</f>
        <v>1.8205799999999999</v>
      </c>
      <c r="H4456" s="71"/>
      <c r="I4456" s="72"/>
      <c r="J4456" s="37">
        <v>0</v>
      </c>
    </row>
    <row r="4457" spans="1:10" ht="25.5" hidden="1" x14ac:dyDescent="0.25">
      <c r="A4457" s="179"/>
      <c r="B4457" s="177"/>
      <c r="C4457" s="43" t="s">
        <v>10801</v>
      </c>
      <c r="D4457" s="43" t="s">
        <v>1050</v>
      </c>
      <c r="E4457" s="44">
        <v>1.8E-3</v>
      </c>
      <c r="F4457" s="70">
        <v>26.970499999999998</v>
      </c>
      <c r="G4457" s="70">
        <f>IF(ISNUMBER(F4457),E4457*F4457,"")</f>
        <v>4.8546899999999997E-2</v>
      </c>
      <c r="H4457" s="71"/>
      <c r="I4457" s="72"/>
      <c r="J4457" s="37">
        <v>0</v>
      </c>
    </row>
    <row r="4458" spans="1:10" ht="25.5" hidden="1" x14ac:dyDescent="0.25">
      <c r="A4458" s="179"/>
      <c r="B4458" s="177"/>
      <c r="C4458" s="43" t="s">
        <v>10802</v>
      </c>
      <c r="D4458" s="43" t="s">
        <v>10677</v>
      </c>
      <c r="E4458" s="44">
        <v>2.5999999999999999E-3</v>
      </c>
      <c r="F4458" s="70">
        <v>26.200999999999997</v>
      </c>
      <c r="G4458" s="70">
        <f>IF(ISNUMBER(F4458),E4458*F4458,"")</f>
        <v>6.8122599999999991E-2</v>
      </c>
      <c r="H4458" s="71"/>
      <c r="I4458" s="72"/>
      <c r="J4458" s="37">
        <v>0</v>
      </c>
    </row>
    <row r="4459" spans="1:10" ht="15.75" hidden="1" thickBot="1" x14ac:dyDescent="0.3">
      <c r="A4459" s="180"/>
      <c r="B4459" s="178"/>
      <c r="C4459" s="49"/>
      <c r="D4459" s="49"/>
      <c r="E4459" s="50"/>
      <c r="F4459" s="83" t="s">
        <v>13</v>
      </c>
      <c r="G4459" s="83" t="str">
        <f>IF(ISNUMBER(F4459),E4459*F4459,"")</f>
        <v/>
      </c>
      <c r="H4459" s="84"/>
      <c r="I4459" s="72"/>
      <c r="J4459" s="37">
        <v>0</v>
      </c>
    </row>
    <row r="4460" spans="1:10" ht="15.75" hidden="1" thickBot="1" x14ac:dyDescent="0.3">
      <c r="A4460" s="173" t="s">
        <v>1065</v>
      </c>
      <c r="B4460" s="176" t="s">
        <v>4592</v>
      </c>
      <c r="C4460" s="31"/>
      <c r="D4460" s="32" t="s">
        <v>68</v>
      </c>
      <c r="E4460" s="33"/>
      <c r="F4460" s="60" t="s">
        <v>13</v>
      </c>
      <c r="G4460" s="34" t="str">
        <f>IF(ISNUMBER(F4460),E4460*F4460,"")</f>
        <v/>
      </c>
      <c r="H4460" s="35"/>
      <c r="I4460" s="36"/>
      <c r="J4460" s="37">
        <v>0</v>
      </c>
    </row>
    <row r="4461" spans="1:10" hidden="1" x14ac:dyDescent="0.25">
      <c r="A4461" s="179"/>
      <c r="B4461" s="177"/>
      <c r="C4461" s="39"/>
      <c r="D4461" s="39"/>
      <c r="E4461" s="40"/>
      <c r="F4461" s="70" t="s">
        <v>13</v>
      </c>
      <c r="G4461" s="70" t="str">
        <f>IF(ISNUMBER(F4461),E4461*F4461,"")</f>
        <v/>
      </c>
      <c r="H4461" s="71"/>
      <c r="I4461" s="72"/>
      <c r="J4461" s="37">
        <v>0</v>
      </c>
    </row>
    <row r="4462" spans="1:10" ht="25.5" hidden="1" x14ac:dyDescent="0.25">
      <c r="A4462" s="179"/>
      <c r="B4462" s="177"/>
      <c r="C4462" s="43" t="s">
        <v>1066</v>
      </c>
      <c r="D4462" s="62" t="s">
        <v>162</v>
      </c>
      <c r="E4462" s="44">
        <v>1.1659999999999999</v>
      </c>
      <c r="F4462" s="70" t="s">
        <v>13</v>
      </c>
      <c r="G4462" s="70" t="str">
        <f>IF(ISNUMBER(F4462),E4462*F4462,"")</f>
        <v/>
      </c>
      <c r="H4462" s="46">
        <f>SUM(G4462:G4467)</f>
        <v>13.357593749999999</v>
      </c>
      <c r="I4462" s="47"/>
      <c r="J4462" s="37">
        <v>0</v>
      </c>
    </row>
    <row r="4463" spans="1:10" ht="38.25" hidden="1" x14ac:dyDescent="0.25">
      <c r="A4463" s="179"/>
      <c r="B4463" s="177"/>
      <c r="C4463" s="43" t="s">
        <v>11154</v>
      </c>
      <c r="D4463" s="43" t="s">
        <v>10819</v>
      </c>
      <c r="E4463" s="44">
        <v>4.1500000000000004</v>
      </c>
      <c r="F4463" s="70">
        <v>1.9854999999999998</v>
      </c>
      <c r="G4463" s="70">
        <f>IF(ISNUMBER(F4463),E4463*F4463,"")</f>
        <v>8.2398249999999997</v>
      </c>
      <c r="H4463" s="71"/>
      <c r="I4463" s="72"/>
      <c r="J4463" s="37">
        <v>0</v>
      </c>
    </row>
    <row r="4464" spans="1:10" hidden="1" x14ac:dyDescent="0.25">
      <c r="A4464" s="179"/>
      <c r="B4464" s="177"/>
      <c r="C4464" s="43" t="s">
        <v>10614</v>
      </c>
      <c r="D4464" s="43" t="s">
        <v>2800</v>
      </c>
      <c r="E4464" s="44">
        <v>9.7000000000000003E-2</v>
      </c>
      <c r="F4464" s="70">
        <v>23.693000000000001</v>
      </c>
      <c r="G4464" s="70">
        <f>IF(ISNUMBER(F4464),E4464*F4464,"")</f>
        <v>2.2982210000000003</v>
      </c>
      <c r="H4464" s="71"/>
      <c r="I4464" s="72"/>
      <c r="J4464" s="37">
        <v>0</v>
      </c>
    </row>
    <row r="4465" spans="1:10" hidden="1" x14ac:dyDescent="0.25">
      <c r="A4465" s="179"/>
      <c r="B4465" s="177"/>
      <c r="C4465" s="43" t="s">
        <v>10800</v>
      </c>
      <c r="D4465" s="43" t="s">
        <v>2800</v>
      </c>
      <c r="E4465" s="44">
        <v>9.0999999999999998E-2</v>
      </c>
      <c r="F4465" s="70">
        <v>30.343</v>
      </c>
      <c r="G4465" s="70">
        <f>IF(ISNUMBER(F4465),E4465*F4465,"")</f>
        <v>2.7612130000000001</v>
      </c>
      <c r="H4465" s="71"/>
      <c r="I4465" s="72"/>
      <c r="J4465" s="37">
        <v>0</v>
      </c>
    </row>
    <row r="4466" spans="1:10" ht="25.5" hidden="1" x14ac:dyDescent="0.25">
      <c r="A4466" s="179"/>
      <c r="B4466" s="177"/>
      <c r="C4466" s="43" t="s">
        <v>10801</v>
      </c>
      <c r="D4466" s="43" t="s">
        <v>1050</v>
      </c>
      <c r="E4466" s="44">
        <v>8.9999999999999998E-4</v>
      </c>
      <c r="F4466" s="70">
        <v>26.970499999999998</v>
      </c>
      <c r="G4466" s="70">
        <f>IF(ISNUMBER(F4466),E4466*F4466,"")</f>
        <v>2.4273449999999998E-2</v>
      </c>
      <c r="H4466" s="71"/>
      <c r="I4466" s="72"/>
      <c r="J4466" s="37">
        <v>0</v>
      </c>
    </row>
    <row r="4467" spans="1:10" ht="25.5" hidden="1" x14ac:dyDescent="0.25">
      <c r="A4467" s="179"/>
      <c r="B4467" s="177"/>
      <c r="C4467" s="43" t="s">
        <v>10802</v>
      </c>
      <c r="D4467" s="43" t="s">
        <v>10677</v>
      </c>
      <c r="E4467" s="44">
        <v>1.2999999999999999E-3</v>
      </c>
      <c r="F4467" s="70">
        <v>26.200999999999997</v>
      </c>
      <c r="G4467" s="70">
        <f>IF(ISNUMBER(F4467),E4467*F4467,"")</f>
        <v>3.4061299999999996E-2</v>
      </c>
      <c r="H4467" s="71"/>
      <c r="I4467" s="72"/>
      <c r="J4467" s="37">
        <v>0</v>
      </c>
    </row>
    <row r="4468" spans="1:10" ht="15.75" hidden="1" thickBot="1" x14ac:dyDescent="0.3">
      <c r="A4468" s="180"/>
      <c r="B4468" s="178"/>
      <c r="C4468" s="49"/>
      <c r="D4468" s="49"/>
      <c r="E4468" s="50"/>
      <c r="F4468" s="83" t="s">
        <v>13</v>
      </c>
      <c r="G4468" s="83" t="str">
        <f>IF(ISNUMBER(F4468),E4468*F4468,"")</f>
        <v/>
      </c>
      <c r="H4468" s="84"/>
      <c r="I4468" s="72"/>
      <c r="J4468" s="37">
        <v>0</v>
      </c>
    </row>
    <row r="4469" spans="1:10" ht="15.75" hidden="1" thickBot="1" x14ac:dyDescent="0.3">
      <c r="A4469" s="173" t="s">
        <v>1067</v>
      </c>
      <c r="B4469" s="176" t="s">
        <v>4593</v>
      </c>
      <c r="C4469" s="31"/>
      <c r="D4469" s="32" t="s">
        <v>106</v>
      </c>
      <c r="E4469" s="33"/>
      <c r="F4469" s="60" t="s">
        <v>13</v>
      </c>
      <c r="G4469" s="34" t="str">
        <f>IF(ISNUMBER(F4469),E4469*F4469,"")</f>
        <v/>
      </c>
      <c r="H4469" s="35"/>
      <c r="I4469" s="36"/>
      <c r="J4469" s="37">
        <v>0</v>
      </c>
    </row>
    <row r="4470" spans="1:10" hidden="1" x14ac:dyDescent="0.25">
      <c r="A4470" s="179"/>
      <c r="B4470" s="177"/>
      <c r="C4470" s="39"/>
      <c r="D4470" s="39"/>
      <c r="E4470" s="40"/>
      <c r="F4470" s="70" t="s">
        <v>13</v>
      </c>
      <c r="G4470" s="70" t="str">
        <f>IF(ISNUMBER(F4470),E4470*F4470,"")</f>
        <v/>
      </c>
      <c r="H4470" s="71"/>
      <c r="I4470" s="72"/>
      <c r="J4470" s="37">
        <v>0</v>
      </c>
    </row>
    <row r="4471" spans="1:10" ht="38.25" hidden="1" x14ac:dyDescent="0.25">
      <c r="A4471" s="179"/>
      <c r="B4471" s="177"/>
      <c r="C4471" s="43" t="s">
        <v>11154</v>
      </c>
      <c r="D4471" s="43" t="s">
        <v>10819</v>
      </c>
      <c r="E4471" s="44">
        <v>4.1500000000000004</v>
      </c>
      <c r="F4471" s="70">
        <v>1.9854999999999998</v>
      </c>
      <c r="G4471" s="70">
        <f>IF(ISNUMBER(F4471),E4471*F4471,"")</f>
        <v>8.2398249999999997</v>
      </c>
      <c r="H4471" s="46">
        <f>SUM(G4471:G4476)</f>
        <v>11.906663500000001</v>
      </c>
      <c r="I4471" s="47"/>
      <c r="J4471" s="37">
        <v>0</v>
      </c>
    </row>
    <row r="4472" spans="1:10" hidden="1" x14ac:dyDescent="0.25">
      <c r="A4472" s="179"/>
      <c r="B4472" s="177"/>
      <c r="C4472" s="43" t="s">
        <v>1068</v>
      </c>
      <c r="D4472" s="43" t="s">
        <v>106</v>
      </c>
      <c r="E4472" s="44">
        <v>1.0289999999999999</v>
      </c>
      <c r="F4472" s="70" t="s">
        <v>13</v>
      </c>
      <c r="G4472" s="70" t="str">
        <f>IF(ISNUMBER(F4472),E4472*F4472,"")</f>
        <v/>
      </c>
      <c r="H4472" s="71"/>
      <c r="I4472" s="72"/>
      <c r="J4472" s="37">
        <v>0</v>
      </c>
    </row>
    <row r="4473" spans="1:10" hidden="1" x14ac:dyDescent="0.25">
      <c r="A4473" s="179"/>
      <c r="B4473" s="177"/>
      <c r="C4473" s="43" t="s">
        <v>10614</v>
      </c>
      <c r="D4473" s="43" t="s">
        <v>2800</v>
      </c>
      <c r="E4473" s="44">
        <v>7.2999999999999995E-2</v>
      </c>
      <c r="F4473" s="70">
        <v>23.693000000000001</v>
      </c>
      <c r="G4473" s="70">
        <f>IF(ISNUMBER(F4473),E4473*F4473,"")</f>
        <v>1.729589</v>
      </c>
      <c r="H4473" s="71"/>
      <c r="I4473" s="72"/>
      <c r="J4473" s="37">
        <v>0</v>
      </c>
    </row>
    <row r="4474" spans="1:10" hidden="1" x14ac:dyDescent="0.25">
      <c r="A4474" s="179"/>
      <c r="B4474" s="177"/>
      <c r="C4474" s="43" t="s">
        <v>10800</v>
      </c>
      <c r="D4474" s="43" t="s">
        <v>2800</v>
      </c>
      <c r="E4474" s="44">
        <v>0.06</v>
      </c>
      <c r="F4474" s="70">
        <v>30.343</v>
      </c>
      <c r="G4474" s="70">
        <f>IF(ISNUMBER(F4474),E4474*F4474,"")</f>
        <v>1.8205799999999999</v>
      </c>
      <c r="H4474" s="71"/>
      <c r="I4474" s="72"/>
      <c r="J4474" s="37">
        <v>0</v>
      </c>
    </row>
    <row r="4475" spans="1:10" ht="25.5" hidden="1" x14ac:dyDescent="0.25">
      <c r="A4475" s="179"/>
      <c r="B4475" s="177"/>
      <c r="C4475" s="43" t="s">
        <v>10801</v>
      </c>
      <c r="D4475" s="43" t="s">
        <v>1050</v>
      </c>
      <c r="E4475" s="44">
        <v>1.8E-3</v>
      </c>
      <c r="F4475" s="70">
        <v>26.970499999999998</v>
      </c>
      <c r="G4475" s="70">
        <f>IF(ISNUMBER(F4475),E4475*F4475,"")</f>
        <v>4.8546899999999997E-2</v>
      </c>
      <c r="H4475" s="71"/>
      <c r="I4475" s="72"/>
      <c r="J4475" s="37">
        <v>0</v>
      </c>
    </row>
    <row r="4476" spans="1:10" ht="25.5" hidden="1" x14ac:dyDescent="0.25">
      <c r="A4476" s="179"/>
      <c r="B4476" s="177"/>
      <c r="C4476" s="43" t="s">
        <v>10802</v>
      </c>
      <c r="D4476" s="43" t="s">
        <v>10677</v>
      </c>
      <c r="E4476" s="44">
        <v>2.5999999999999999E-3</v>
      </c>
      <c r="F4476" s="70">
        <v>26.200999999999997</v>
      </c>
      <c r="G4476" s="70">
        <f>IF(ISNUMBER(F4476),E4476*F4476,"")</f>
        <v>6.8122599999999991E-2</v>
      </c>
      <c r="H4476" s="71"/>
      <c r="I4476" s="72"/>
      <c r="J4476" s="37">
        <v>0</v>
      </c>
    </row>
    <row r="4477" spans="1:10" ht="15.75" hidden="1" thickBot="1" x14ac:dyDescent="0.3">
      <c r="A4477" s="180"/>
      <c r="B4477" s="178"/>
      <c r="C4477" s="49"/>
      <c r="D4477" s="49"/>
      <c r="E4477" s="50"/>
      <c r="F4477" s="83" t="s">
        <v>13</v>
      </c>
      <c r="G4477" s="83" t="str">
        <f>IF(ISNUMBER(F4477),E4477*F4477,"")</f>
        <v/>
      </c>
      <c r="H4477" s="84"/>
      <c r="I4477" s="72"/>
      <c r="J4477" s="37">
        <v>0</v>
      </c>
    </row>
    <row r="4478" spans="1:10" ht="15.75" hidden="1" thickBot="1" x14ac:dyDescent="0.3">
      <c r="A4478" s="173" t="s">
        <v>1069</v>
      </c>
      <c r="B4478" s="176" t="s">
        <v>4594</v>
      </c>
      <c r="C4478" s="31"/>
      <c r="D4478" s="32" t="s">
        <v>68</v>
      </c>
      <c r="E4478" s="33"/>
      <c r="F4478" s="60" t="s">
        <v>13</v>
      </c>
      <c r="G4478" s="34" t="str">
        <f>IF(ISNUMBER(F4478),E4478*F4478,"")</f>
        <v/>
      </c>
      <c r="H4478" s="35"/>
      <c r="I4478" s="36"/>
      <c r="J4478" s="37">
        <v>0</v>
      </c>
    </row>
    <row r="4479" spans="1:10" hidden="1" x14ac:dyDescent="0.25">
      <c r="A4479" s="179"/>
      <c r="B4479" s="177"/>
      <c r="C4479" s="39"/>
      <c r="D4479" s="39"/>
      <c r="E4479" s="40"/>
      <c r="F4479" s="70" t="s">
        <v>13</v>
      </c>
      <c r="G4479" s="70" t="str">
        <f>IF(ISNUMBER(F4479),E4479*F4479,"")</f>
        <v/>
      </c>
      <c r="H4479" s="71"/>
      <c r="I4479" s="72"/>
      <c r="J4479" s="37">
        <v>0</v>
      </c>
    </row>
    <row r="4480" spans="1:10" hidden="1" x14ac:dyDescent="0.25">
      <c r="A4480" s="179"/>
      <c r="B4480" s="177"/>
      <c r="C4480" s="43" t="s">
        <v>10800</v>
      </c>
      <c r="D4480" s="43" t="s">
        <v>2800</v>
      </c>
      <c r="E4480" s="44">
        <v>0.3</v>
      </c>
      <c r="F4480" s="70">
        <v>30.343</v>
      </c>
      <c r="G4480" s="70">
        <f>IF(ISNUMBER(F4480),E4480*F4480,"")</f>
        <v>9.1029</v>
      </c>
      <c r="H4480" s="46">
        <f>SUM(G4480:G4486)</f>
        <v>23.3187</v>
      </c>
      <c r="I4480" s="47"/>
      <c r="J4480" s="37">
        <v>0</v>
      </c>
    </row>
    <row r="4481" spans="1:10" hidden="1" x14ac:dyDescent="0.25">
      <c r="A4481" s="179"/>
      <c r="B4481" s="177"/>
      <c r="C4481" s="43" t="s">
        <v>10614</v>
      </c>
      <c r="D4481" s="43" t="s">
        <v>2800</v>
      </c>
      <c r="E4481" s="44">
        <v>0.6</v>
      </c>
      <c r="F4481" s="70">
        <v>23.693000000000001</v>
      </c>
      <c r="G4481" s="70">
        <f>IF(ISNUMBER(F4481),E4481*F4481,"")</f>
        <v>14.2158</v>
      </c>
      <c r="H4481" s="71"/>
      <c r="I4481" s="72"/>
      <c r="J4481" s="37">
        <v>0</v>
      </c>
    </row>
    <row r="4482" spans="1:10" hidden="1" x14ac:dyDescent="0.25">
      <c r="A4482" s="179"/>
      <c r="B4482" s="177"/>
      <c r="C4482" s="43" t="s">
        <v>1070</v>
      </c>
      <c r="D4482" s="43" t="s">
        <v>83</v>
      </c>
      <c r="E4482" s="44">
        <v>1.1100000000000001</v>
      </c>
      <c r="F4482" s="70" t="s">
        <v>13</v>
      </c>
      <c r="G4482" s="70" t="str">
        <f>IF(ISNUMBER(F4482),E4482*F4482,"")</f>
        <v/>
      </c>
      <c r="H4482" s="71"/>
      <c r="I4482" s="72"/>
      <c r="J4482" s="37">
        <v>0</v>
      </c>
    </row>
    <row r="4483" spans="1:10" hidden="1" x14ac:dyDescent="0.25">
      <c r="A4483" s="179"/>
      <c r="B4483" s="177"/>
      <c r="C4483" s="43" t="s">
        <v>1071</v>
      </c>
      <c r="D4483" s="43" t="s">
        <v>68</v>
      </c>
      <c r="E4483" s="44">
        <v>1.24</v>
      </c>
      <c r="F4483" s="70" t="s">
        <v>13</v>
      </c>
      <c r="G4483" s="70" t="str">
        <f>IF(ISNUMBER(F4483),E4483*F4483,"")</f>
        <v/>
      </c>
      <c r="H4483" s="71"/>
      <c r="I4483" s="72"/>
      <c r="J4483" s="37">
        <v>0</v>
      </c>
    </row>
    <row r="4484" spans="1:10" ht="25.5" hidden="1" x14ac:dyDescent="0.25">
      <c r="A4484" s="179"/>
      <c r="B4484" s="177"/>
      <c r="C4484" s="43" t="s">
        <v>1072</v>
      </c>
      <c r="D4484" s="43" t="s">
        <v>83</v>
      </c>
      <c r="E4484" s="44">
        <v>1.1100000000000001</v>
      </c>
      <c r="F4484" s="70" t="s">
        <v>13</v>
      </c>
      <c r="G4484" s="70" t="str">
        <f>IF(ISNUMBER(F4484),E4484*F4484,"")</f>
        <v/>
      </c>
      <c r="H4484" s="71"/>
      <c r="I4484" s="72"/>
      <c r="J4484" s="37">
        <v>0</v>
      </c>
    </row>
    <row r="4485" spans="1:10" hidden="1" x14ac:dyDescent="0.25">
      <c r="A4485" s="179"/>
      <c r="B4485" s="177"/>
      <c r="C4485" s="43" t="s">
        <v>1073</v>
      </c>
      <c r="D4485" s="43" t="s">
        <v>83</v>
      </c>
      <c r="E4485" s="44">
        <v>1</v>
      </c>
      <c r="F4485" s="70" t="s">
        <v>13</v>
      </c>
      <c r="G4485" s="70" t="str">
        <f>IF(ISNUMBER(F4485),E4485*F4485,"")</f>
        <v/>
      </c>
      <c r="H4485" s="71"/>
      <c r="I4485" s="72"/>
      <c r="J4485" s="37">
        <v>0</v>
      </c>
    </row>
    <row r="4486" spans="1:10" hidden="1" x14ac:dyDescent="0.25">
      <c r="A4486" s="179"/>
      <c r="B4486" s="177"/>
      <c r="C4486" s="43" t="s">
        <v>1074</v>
      </c>
      <c r="D4486" s="43" t="s">
        <v>83</v>
      </c>
      <c r="E4486" s="44">
        <v>1.1100000000000001</v>
      </c>
      <c r="F4486" s="70" t="s">
        <v>13</v>
      </c>
      <c r="G4486" s="70" t="str">
        <f>IF(ISNUMBER(F4486),E4486*F4486,"")</f>
        <v/>
      </c>
      <c r="H4486" s="71"/>
      <c r="I4486" s="72"/>
      <c r="J4486" s="37">
        <v>0</v>
      </c>
    </row>
    <row r="4487" spans="1:10" ht="15.75" hidden="1" thickBot="1" x14ac:dyDescent="0.3">
      <c r="A4487" s="180"/>
      <c r="B4487" s="178"/>
      <c r="C4487" s="49"/>
      <c r="D4487" s="49"/>
      <c r="E4487" s="50"/>
      <c r="F4487" s="83" t="s">
        <v>13</v>
      </c>
      <c r="G4487" s="83" t="str">
        <f>IF(ISNUMBER(F4487),E4487*F4487,"")</f>
        <v/>
      </c>
      <c r="H4487" s="84"/>
      <c r="I4487" s="72"/>
      <c r="J4487" s="37">
        <v>0</v>
      </c>
    </row>
    <row r="4488" spans="1:10" ht="15.75" hidden="1" thickBot="1" x14ac:dyDescent="0.3">
      <c r="A4488" s="173" t="s">
        <v>1075</v>
      </c>
      <c r="B4488" s="176" t="s">
        <v>4595</v>
      </c>
      <c r="C4488" s="31"/>
      <c r="D4488" s="32" t="s">
        <v>106</v>
      </c>
      <c r="E4488" s="33"/>
      <c r="F4488" s="60" t="s">
        <v>13</v>
      </c>
      <c r="G4488" s="34" t="str">
        <f>IF(ISNUMBER(F4488),E4488*F4488,"")</f>
        <v/>
      </c>
      <c r="H4488" s="35"/>
      <c r="I4488" s="36"/>
      <c r="J4488" s="37">
        <v>0</v>
      </c>
    </row>
    <row r="4489" spans="1:10" hidden="1" x14ac:dyDescent="0.25">
      <c r="A4489" s="179"/>
      <c r="B4489" s="177"/>
      <c r="C4489" s="39"/>
      <c r="D4489" s="39"/>
      <c r="E4489" s="40"/>
      <c r="F4489" s="70" t="s">
        <v>13</v>
      </c>
      <c r="G4489" s="70" t="str">
        <f>IF(ISNUMBER(F4489),E4489*F4489,"")</f>
        <v/>
      </c>
      <c r="H4489" s="71"/>
      <c r="I4489" s="72"/>
      <c r="J4489" s="37">
        <v>0</v>
      </c>
    </row>
    <row r="4490" spans="1:10" hidden="1" x14ac:dyDescent="0.25">
      <c r="A4490" s="179"/>
      <c r="B4490" s="177"/>
      <c r="C4490" s="43" t="s">
        <v>10800</v>
      </c>
      <c r="D4490" s="43" t="s">
        <v>2800</v>
      </c>
      <c r="E4490" s="44">
        <f>0.12/2</f>
        <v>0.06</v>
      </c>
      <c r="F4490" s="70">
        <v>30.343</v>
      </c>
      <c r="G4490" s="70">
        <f>IF(ISNUMBER(F4490),E4490*F4490,"")</f>
        <v>1.8205799999999999</v>
      </c>
      <c r="H4490" s="46">
        <f>SUM(G4490:G4494)</f>
        <v>3.2421600000000002</v>
      </c>
      <c r="I4490" s="47"/>
      <c r="J4490" s="37">
        <v>0</v>
      </c>
    </row>
    <row r="4491" spans="1:10" hidden="1" x14ac:dyDescent="0.25">
      <c r="A4491" s="179"/>
      <c r="B4491" s="177"/>
      <c r="C4491" s="43" t="s">
        <v>10614</v>
      </c>
      <c r="D4491" s="43" t="s">
        <v>2800</v>
      </c>
      <c r="E4491" s="44">
        <f>0.12/2</f>
        <v>0.06</v>
      </c>
      <c r="F4491" s="70">
        <v>23.693000000000001</v>
      </c>
      <c r="G4491" s="70">
        <f>IF(ISNUMBER(F4491),E4491*F4491,"")</f>
        <v>1.4215800000000001</v>
      </c>
      <c r="H4491" s="71"/>
      <c r="I4491" s="72"/>
      <c r="J4491" s="37">
        <v>0</v>
      </c>
    </row>
    <row r="4492" spans="1:10" hidden="1" x14ac:dyDescent="0.25">
      <c r="A4492" s="179"/>
      <c r="B4492" s="177"/>
      <c r="C4492" s="43" t="s">
        <v>1070</v>
      </c>
      <c r="D4492" s="43" t="s">
        <v>83</v>
      </c>
      <c r="E4492" s="44">
        <f>4.12/2</f>
        <v>2.06</v>
      </c>
      <c r="F4492" s="70" t="s">
        <v>13</v>
      </c>
      <c r="G4492" s="70" t="str">
        <f>IF(ISNUMBER(F4492),E4492*F4492,"")</f>
        <v/>
      </c>
      <c r="H4492" s="71"/>
      <c r="I4492" s="72"/>
      <c r="J4492" s="37">
        <v>0</v>
      </c>
    </row>
    <row r="4493" spans="1:10" ht="25.5" hidden="1" x14ac:dyDescent="0.25">
      <c r="A4493" s="179"/>
      <c r="B4493" s="177"/>
      <c r="C4493" s="43" t="s">
        <v>1076</v>
      </c>
      <c r="D4493" s="43" t="s">
        <v>83</v>
      </c>
      <c r="E4493" s="44">
        <v>2.06</v>
      </c>
      <c r="F4493" s="70" t="s">
        <v>13</v>
      </c>
      <c r="G4493" s="70" t="str">
        <f>IF(ISNUMBER(F4493),E4493*F4493,"")</f>
        <v/>
      </c>
      <c r="H4493" s="71"/>
      <c r="I4493" s="72"/>
      <c r="J4493" s="37">
        <v>0</v>
      </c>
    </row>
    <row r="4494" spans="1:10" hidden="1" x14ac:dyDescent="0.25">
      <c r="A4494" s="179"/>
      <c r="B4494" s="177"/>
      <c r="C4494" s="43" t="s">
        <v>1074</v>
      </c>
      <c r="D4494" s="43" t="s">
        <v>83</v>
      </c>
      <c r="E4494" s="44">
        <f>4.12/2</f>
        <v>2.06</v>
      </c>
      <c r="F4494" s="70" t="s">
        <v>13</v>
      </c>
      <c r="G4494" s="70" t="str">
        <f>IF(ISNUMBER(F4494),E4494*F4494,"")</f>
        <v/>
      </c>
      <c r="H4494" s="71"/>
      <c r="I4494" s="72"/>
      <c r="J4494" s="37">
        <v>0</v>
      </c>
    </row>
    <row r="4495" spans="1:10" ht="15.75" hidden="1" thickBot="1" x14ac:dyDescent="0.3">
      <c r="A4495" s="180"/>
      <c r="B4495" s="178"/>
      <c r="C4495" s="49"/>
      <c r="D4495" s="49"/>
      <c r="E4495" s="50"/>
      <c r="F4495" s="83" t="s">
        <v>13</v>
      </c>
      <c r="G4495" s="83" t="str">
        <f>IF(ISNUMBER(F4495),E4495*F4495,"")</f>
        <v/>
      </c>
      <c r="H4495" s="84"/>
      <c r="I4495" s="72"/>
      <c r="J4495" s="37">
        <v>0</v>
      </c>
    </row>
    <row r="4496" spans="1:10" ht="15.75" hidden="1" thickBot="1" x14ac:dyDescent="0.3">
      <c r="A4496" s="173" t="s">
        <v>1077</v>
      </c>
      <c r="B4496" s="176" t="s">
        <v>4596</v>
      </c>
      <c r="C4496" s="31"/>
      <c r="D4496" s="32" t="s">
        <v>106</v>
      </c>
      <c r="E4496" s="33"/>
      <c r="F4496" s="60" t="s">
        <v>13</v>
      </c>
      <c r="G4496" s="34" t="str">
        <f>IF(ISNUMBER(F4496),E4496*F4496,"")</f>
        <v/>
      </c>
      <c r="H4496" s="35"/>
      <c r="I4496" s="36"/>
      <c r="J4496" s="37">
        <v>0</v>
      </c>
    </row>
    <row r="4497" spans="1:10" hidden="1" x14ac:dyDescent="0.25">
      <c r="A4497" s="179"/>
      <c r="B4497" s="177"/>
      <c r="C4497" s="39"/>
      <c r="D4497" s="39"/>
      <c r="E4497" s="40"/>
      <c r="F4497" s="70" t="s">
        <v>13</v>
      </c>
      <c r="G4497" s="70" t="str">
        <f>IF(ISNUMBER(F4497),E4497*F4497,"")</f>
        <v/>
      </c>
      <c r="H4497" s="71"/>
      <c r="I4497" s="72"/>
      <c r="J4497" s="37">
        <v>0</v>
      </c>
    </row>
    <row r="4498" spans="1:10" hidden="1" x14ac:dyDescent="0.25">
      <c r="A4498" s="179"/>
      <c r="B4498" s="177"/>
      <c r="C4498" s="43" t="s">
        <v>10800</v>
      </c>
      <c r="D4498" s="43" t="s">
        <v>2800</v>
      </c>
      <c r="E4498" s="44">
        <f>0.12/2</f>
        <v>0.06</v>
      </c>
      <c r="F4498" s="70">
        <v>30.343</v>
      </c>
      <c r="G4498" s="70">
        <f>IF(ISNUMBER(F4498),E4498*F4498,"")</f>
        <v>1.8205799999999999</v>
      </c>
      <c r="H4498" s="46">
        <f>SUM(G4498:G4502)</f>
        <v>3.2421600000000002</v>
      </c>
      <c r="I4498" s="47"/>
      <c r="J4498" s="37">
        <v>0</v>
      </c>
    </row>
    <row r="4499" spans="1:10" hidden="1" x14ac:dyDescent="0.25">
      <c r="A4499" s="179"/>
      <c r="B4499" s="177"/>
      <c r="C4499" s="43" t="s">
        <v>10614</v>
      </c>
      <c r="D4499" s="43" t="s">
        <v>2800</v>
      </c>
      <c r="E4499" s="44">
        <f>0.12/2</f>
        <v>0.06</v>
      </c>
      <c r="F4499" s="70">
        <v>23.693000000000001</v>
      </c>
      <c r="G4499" s="70">
        <f>IF(ISNUMBER(F4499),E4499*F4499,"")</f>
        <v>1.4215800000000001</v>
      </c>
      <c r="H4499" s="71"/>
      <c r="I4499" s="72"/>
      <c r="J4499" s="37">
        <v>0</v>
      </c>
    </row>
    <row r="4500" spans="1:10" hidden="1" x14ac:dyDescent="0.25">
      <c r="A4500" s="179"/>
      <c r="B4500" s="177"/>
      <c r="C4500" s="43" t="s">
        <v>1070</v>
      </c>
      <c r="D4500" s="43" t="s">
        <v>83</v>
      </c>
      <c r="E4500" s="44">
        <f>4.12/2</f>
        <v>2.06</v>
      </c>
      <c r="F4500" s="70" t="s">
        <v>13</v>
      </c>
      <c r="G4500" s="70" t="str">
        <f>IF(ISNUMBER(F4500),E4500*F4500,"")</f>
        <v/>
      </c>
      <c r="H4500" s="71"/>
      <c r="I4500" s="72"/>
      <c r="J4500" s="37">
        <v>0</v>
      </c>
    </row>
    <row r="4501" spans="1:10" ht="25.5" hidden="1" x14ac:dyDescent="0.25">
      <c r="A4501" s="179"/>
      <c r="B4501" s="177"/>
      <c r="C4501" s="43" t="s">
        <v>1078</v>
      </c>
      <c r="D4501" s="43" t="s">
        <v>83</v>
      </c>
      <c r="E4501" s="44">
        <v>2.06</v>
      </c>
      <c r="F4501" s="70" t="s">
        <v>13</v>
      </c>
      <c r="G4501" s="70" t="str">
        <f>IF(ISNUMBER(F4501),E4501*F4501,"")</f>
        <v/>
      </c>
      <c r="H4501" s="71"/>
      <c r="I4501" s="72"/>
      <c r="J4501" s="37">
        <v>0</v>
      </c>
    </row>
    <row r="4502" spans="1:10" hidden="1" x14ac:dyDescent="0.25">
      <c r="A4502" s="179"/>
      <c r="B4502" s="177"/>
      <c r="C4502" s="43" t="s">
        <v>1074</v>
      </c>
      <c r="D4502" s="43" t="s">
        <v>83</v>
      </c>
      <c r="E4502" s="44">
        <f>4.12/2</f>
        <v>2.06</v>
      </c>
      <c r="F4502" s="70" t="s">
        <v>13</v>
      </c>
      <c r="G4502" s="70" t="str">
        <f>IF(ISNUMBER(F4502),E4502*F4502,"")</f>
        <v/>
      </c>
      <c r="H4502" s="71"/>
      <c r="I4502" s="72"/>
      <c r="J4502" s="37">
        <v>0</v>
      </c>
    </row>
    <row r="4503" spans="1:10" ht="15.75" hidden="1" thickBot="1" x14ac:dyDescent="0.3">
      <c r="A4503" s="180"/>
      <c r="B4503" s="178"/>
      <c r="C4503" s="49"/>
      <c r="D4503" s="49"/>
      <c r="E4503" s="50"/>
      <c r="F4503" s="83" t="s">
        <v>13</v>
      </c>
      <c r="G4503" s="83" t="str">
        <f>IF(ISNUMBER(F4503),E4503*F4503,"")</f>
        <v/>
      </c>
      <c r="H4503" s="84"/>
      <c r="I4503" s="72"/>
      <c r="J4503" s="37">
        <v>0</v>
      </c>
    </row>
    <row r="4504" spans="1:10" ht="15.75" hidden="1" thickBot="1" x14ac:dyDescent="0.3">
      <c r="A4504" s="173" t="s">
        <v>1079</v>
      </c>
      <c r="B4504" s="176" t="s">
        <v>4597</v>
      </c>
      <c r="C4504" s="31"/>
      <c r="D4504" s="32" t="s">
        <v>68</v>
      </c>
      <c r="E4504" s="33"/>
      <c r="F4504" s="60" t="s">
        <v>13</v>
      </c>
      <c r="G4504" s="34" t="str">
        <f>IF(ISNUMBER(F4504),E4504*F4504,"")</f>
        <v/>
      </c>
      <c r="H4504" s="35"/>
      <c r="I4504" s="36"/>
      <c r="J4504" s="37">
        <v>0</v>
      </c>
    </row>
    <row r="4505" spans="1:10" hidden="1" x14ac:dyDescent="0.25">
      <c r="A4505" s="179"/>
      <c r="B4505" s="177"/>
      <c r="C4505" s="39"/>
      <c r="D4505" s="39"/>
      <c r="E4505" s="40"/>
      <c r="F4505" s="70" t="s">
        <v>13</v>
      </c>
      <c r="G4505" s="70" t="str">
        <f>IF(ISNUMBER(F4505),E4505*F4505,"")</f>
        <v/>
      </c>
      <c r="H4505" s="71"/>
      <c r="I4505" s="72"/>
      <c r="J4505" s="37">
        <v>0</v>
      </c>
    </row>
    <row r="4506" spans="1:10" ht="38.25" hidden="1" x14ac:dyDescent="0.25">
      <c r="A4506" s="179"/>
      <c r="B4506" s="177"/>
      <c r="C4506" s="43" t="s">
        <v>10797</v>
      </c>
      <c r="D4506" s="43" t="s">
        <v>10819</v>
      </c>
      <c r="E4506" s="44">
        <v>1.27</v>
      </c>
      <c r="F4506" s="70">
        <v>0.26600000000000001</v>
      </c>
      <c r="G4506" s="70">
        <f>IF(ISNUMBER(F4506),E4506*F4506,"")</f>
        <v>0.33782000000000001</v>
      </c>
      <c r="H4506" s="46">
        <f>SUM(G4506:G4512)</f>
        <v>38.975509400000007</v>
      </c>
      <c r="I4506" s="47"/>
      <c r="J4506" s="37">
        <v>0</v>
      </c>
    </row>
    <row r="4507" spans="1:10" ht="25.5" hidden="1" x14ac:dyDescent="0.25">
      <c r="A4507" s="179"/>
      <c r="B4507" s="177"/>
      <c r="C4507" s="43" t="s">
        <v>10798</v>
      </c>
      <c r="D4507" s="43" t="s">
        <v>83</v>
      </c>
      <c r="E4507" s="44">
        <v>1.27</v>
      </c>
      <c r="F4507" s="70">
        <v>4.0089999999999995</v>
      </c>
      <c r="G4507" s="70">
        <f>IF(ISNUMBER(F4507),E4507*F4507,"")</f>
        <v>5.091429999999999</v>
      </c>
      <c r="H4507" s="71"/>
      <c r="I4507" s="72"/>
      <c r="J4507" s="37">
        <v>0</v>
      </c>
    </row>
    <row r="4508" spans="1:10" ht="25.5" hidden="1" x14ac:dyDescent="0.25">
      <c r="A4508" s="179"/>
      <c r="B4508" s="177"/>
      <c r="C4508" s="43" t="s">
        <v>10799</v>
      </c>
      <c r="D4508" s="43" t="s">
        <v>162</v>
      </c>
      <c r="E4508" s="44">
        <v>1.2749999999999999</v>
      </c>
      <c r="F4508" s="70">
        <v>20.539000000000001</v>
      </c>
      <c r="G4508" s="70">
        <f>IF(ISNUMBER(F4508),E4508*F4508,"")</f>
        <v>26.187225000000002</v>
      </c>
      <c r="H4508" s="71"/>
      <c r="I4508" s="72"/>
      <c r="J4508" s="37">
        <v>0</v>
      </c>
    </row>
    <row r="4509" spans="1:10" hidden="1" x14ac:dyDescent="0.25">
      <c r="A4509" s="179"/>
      <c r="B4509" s="177"/>
      <c r="C4509" s="43" t="s">
        <v>10614</v>
      </c>
      <c r="D4509" s="43" t="s">
        <v>2800</v>
      </c>
      <c r="E4509" s="44">
        <v>0.15</v>
      </c>
      <c r="F4509" s="70">
        <v>23.693000000000001</v>
      </c>
      <c r="G4509" s="70">
        <f>IF(ISNUMBER(F4509),E4509*F4509,"")</f>
        <v>3.5539499999999999</v>
      </c>
      <c r="H4509" s="71"/>
      <c r="I4509" s="72"/>
      <c r="J4509" s="37">
        <v>0</v>
      </c>
    </row>
    <row r="4510" spans="1:10" hidden="1" x14ac:dyDescent="0.25">
      <c r="A4510" s="179"/>
      <c r="B4510" s="177"/>
      <c r="C4510" s="43" t="s">
        <v>10800</v>
      </c>
      <c r="D4510" s="43" t="s">
        <v>2800</v>
      </c>
      <c r="E4510" s="44">
        <v>0.115</v>
      </c>
      <c r="F4510" s="70">
        <v>30.343</v>
      </c>
      <c r="G4510" s="70">
        <f>IF(ISNUMBER(F4510),E4510*F4510,"")</f>
        <v>3.4894450000000004</v>
      </c>
      <c r="H4510" s="71"/>
      <c r="I4510" s="72"/>
      <c r="J4510" s="37">
        <v>0</v>
      </c>
    </row>
    <row r="4511" spans="1:10" ht="25.5" hidden="1" x14ac:dyDescent="0.25">
      <c r="A4511" s="179"/>
      <c r="B4511" s="177"/>
      <c r="C4511" s="43" t="s">
        <v>10801</v>
      </c>
      <c r="D4511" s="43" t="s">
        <v>1050</v>
      </c>
      <c r="E4511" s="44">
        <v>5.0000000000000001E-3</v>
      </c>
      <c r="F4511" s="70">
        <v>26.970499999999998</v>
      </c>
      <c r="G4511" s="70">
        <f>IF(ISNUMBER(F4511),E4511*F4511,"")</f>
        <v>0.13485249999999999</v>
      </c>
      <c r="H4511" s="71"/>
      <c r="I4511" s="72"/>
      <c r="J4511" s="37">
        <v>0</v>
      </c>
    </row>
    <row r="4512" spans="1:10" ht="25.5" hidden="1" x14ac:dyDescent="0.25">
      <c r="A4512" s="179"/>
      <c r="B4512" s="177"/>
      <c r="C4512" s="43" t="s">
        <v>10802</v>
      </c>
      <c r="D4512" s="43" t="s">
        <v>10677</v>
      </c>
      <c r="E4512" s="44">
        <v>6.8999999999999999E-3</v>
      </c>
      <c r="F4512" s="70">
        <v>26.200999999999997</v>
      </c>
      <c r="G4512" s="70">
        <f>IF(ISNUMBER(F4512),E4512*F4512,"")</f>
        <v>0.18078689999999997</v>
      </c>
      <c r="H4512" s="71"/>
      <c r="I4512" s="72"/>
      <c r="J4512" s="37">
        <v>0</v>
      </c>
    </row>
    <row r="4513" spans="1:10" ht="15.75" hidden="1" thickBot="1" x14ac:dyDescent="0.3">
      <c r="A4513" s="180"/>
      <c r="B4513" s="178"/>
      <c r="C4513" s="49"/>
      <c r="D4513" s="49"/>
      <c r="E4513" s="50"/>
      <c r="F4513" s="83" t="s">
        <v>13</v>
      </c>
      <c r="G4513" s="83" t="str">
        <f>IF(ISNUMBER(F4513),E4513*F4513,"")</f>
        <v/>
      </c>
      <c r="H4513" s="84"/>
      <c r="I4513" s="72"/>
      <c r="J4513" s="37">
        <v>0</v>
      </c>
    </row>
    <row r="4514" spans="1:10" ht="15.75" hidden="1" thickBot="1" x14ac:dyDescent="0.3">
      <c r="A4514" s="173" t="s">
        <v>1080</v>
      </c>
      <c r="B4514" s="176" t="s">
        <v>4598</v>
      </c>
      <c r="C4514" s="31"/>
      <c r="D4514" s="32" t="s">
        <v>106</v>
      </c>
      <c r="E4514" s="33"/>
      <c r="F4514" s="60" t="s">
        <v>13</v>
      </c>
      <c r="G4514" s="34" t="str">
        <f>IF(ISNUMBER(F4514),E4514*F4514,"")</f>
        <v/>
      </c>
      <c r="H4514" s="35"/>
      <c r="I4514" s="36"/>
      <c r="J4514" s="37">
        <v>0</v>
      </c>
    </row>
    <row r="4515" spans="1:10" hidden="1" x14ac:dyDescent="0.25">
      <c r="A4515" s="179"/>
      <c r="B4515" s="177"/>
      <c r="C4515" s="39"/>
      <c r="D4515" s="39"/>
      <c r="E4515" s="40"/>
      <c r="F4515" s="70" t="s">
        <v>13</v>
      </c>
      <c r="G4515" s="70" t="str">
        <f>IF(ISNUMBER(F4515),E4515*F4515,"")</f>
        <v/>
      </c>
      <c r="H4515" s="71"/>
      <c r="I4515" s="72"/>
      <c r="J4515" s="37">
        <v>0</v>
      </c>
    </row>
    <row r="4516" spans="1:10" ht="38.25" hidden="1" x14ac:dyDescent="0.25">
      <c r="A4516" s="179"/>
      <c r="B4516" s="177"/>
      <c r="C4516" s="43" t="s">
        <v>10797</v>
      </c>
      <c r="D4516" s="43" t="s">
        <v>10819</v>
      </c>
      <c r="E4516" s="44">
        <v>4.2</v>
      </c>
      <c r="F4516" s="70">
        <v>0.26600000000000001</v>
      </c>
      <c r="G4516" s="70">
        <f>IF(ISNUMBER(F4516),E4516*F4516,"")</f>
        <v>1.1172000000000002</v>
      </c>
      <c r="H4516" s="46">
        <f>SUM(G4516:G4522)</f>
        <v>66.325199999999995</v>
      </c>
      <c r="I4516" s="47"/>
      <c r="J4516" s="37">
        <v>0</v>
      </c>
    </row>
    <row r="4517" spans="1:10" ht="25.5" hidden="1" x14ac:dyDescent="0.25">
      <c r="A4517" s="179"/>
      <c r="B4517" s="177"/>
      <c r="C4517" s="43" t="s">
        <v>10798</v>
      </c>
      <c r="D4517" s="43" t="s">
        <v>83</v>
      </c>
      <c r="E4517" s="44">
        <v>4.2</v>
      </c>
      <c r="F4517" s="70">
        <v>4.0089999999999995</v>
      </c>
      <c r="G4517" s="70">
        <f>IF(ISNUMBER(F4517),E4517*F4517,"")</f>
        <v>16.837799999999998</v>
      </c>
      <c r="H4517" s="71"/>
      <c r="I4517" s="72"/>
      <c r="J4517" s="37">
        <v>0</v>
      </c>
    </row>
    <row r="4518" spans="1:10" ht="25.5" hidden="1" x14ac:dyDescent="0.25">
      <c r="A4518" s="179"/>
      <c r="B4518" s="177"/>
      <c r="C4518" s="43" t="s">
        <v>11155</v>
      </c>
      <c r="D4518" s="43" t="s">
        <v>83</v>
      </c>
      <c r="E4518" s="44">
        <v>1.0289999999999999</v>
      </c>
      <c r="F4518" s="70">
        <v>43.443499999999993</v>
      </c>
      <c r="G4518" s="70">
        <f>IF(ISNUMBER(F4518),E4518*F4518,"")</f>
        <v>44.703361499999993</v>
      </c>
      <c r="H4518" s="71"/>
      <c r="I4518" s="72"/>
      <c r="J4518" s="37">
        <v>0</v>
      </c>
    </row>
    <row r="4519" spans="1:10" hidden="1" x14ac:dyDescent="0.25">
      <c r="A4519" s="179"/>
      <c r="B4519" s="177"/>
      <c r="C4519" s="43" t="s">
        <v>10614</v>
      </c>
      <c r="D4519" s="43" t="s">
        <v>2800</v>
      </c>
      <c r="E4519" s="44">
        <v>7.2999999999999995E-2</v>
      </c>
      <c r="F4519" s="70">
        <v>23.693000000000001</v>
      </c>
      <c r="G4519" s="70">
        <f>IF(ISNUMBER(F4519),E4519*F4519,"")</f>
        <v>1.729589</v>
      </c>
      <c r="H4519" s="71"/>
      <c r="I4519" s="72"/>
      <c r="J4519" s="37">
        <v>0</v>
      </c>
    </row>
    <row r="4520" spans="1:10" hidden="1" x14ac:dyDescent="0.25">
      <c r="A4520" s="179"/>
      <c r="B4520" s="177"/>
      <c r="C4520" s="43" t="s">
        <v>10800</v>
      </c>
      <c r="D4520" s="43" t="s">
        <v>2800</v>
      </c>
      <c r="E4520" s="44">
        <v>0.06</v>
      </c>
      <c r="F4520" s="70">
        <v>30.343</v>
      </c>
      <c r="G4520" s="70">
        <f>IF(ISNUMBER(F4520),E4520*F4520,"")</f>
        <v>1.8205799999999999</v>
      </c>
      <c r="H4520" s="71"/>
      <c r="I4520" s="72"/>
      <c r="J4520" s="37">
        <v>0</v>
      </c>
    </row>
    <row r="4521" spans="1:10" ht="25.5" hidden="1" x14ac:dyDescent="0.25">
      <c r="A4521" s="179"/>
      <c r="B4521" s="177"/>
      <c r="C4521" s="43" t="s">
        <v>10801</v>
      </c>
      <c r="D4521" s="43" t="s">
        <v>1050</v>
      </c>
      <c r="E4521" s="44">
        <v>1.8E-3</v>
      </c>
      <c r="F4521" s="70">
        <v>26.970499999999998</v>
      </c>
      <c r="G4521" s="70">
        <f>IF(ISNUMBER(F4521),E4521*F4521,"")</f>
        <v>4.8546899999999997E-2</v>
      </c>
      <c r="H4521" s="71"/>
      <c r="I4521" s="72"/>
      <c r="J4521" s="37">
        <v>0</v>
      </c>
    </row>
    <row r="4522" spans="1:10" ht="25.5" hidden="1" x14ac:dyDescent="0.25">
      <c r="A4522" s="179"/>
      <c r="B4522" s="177"/>
      <c r="C4522" s="43" t="s">
        <v>10802</v>
      </c>
      <c r="D4522" s="43" t="s">
        <v>10677</v>
      </c>
      <c r="E4522" s="44">
        <v>2.5999999999999999E-3</v>
      </c>
      <c r="F4522" s="70">
        <v>26.200999999999997</v>
      </c>
      <c r="G4522" s="70">
        <f>IF(ISNUMBER(F4522),E4522*F4522,"")</f>
        <v>6.8122599999999991E-2</v>
      </c>
      <c r="H4522" s="71"/>
      <c r="I4522" s="72"/>
      <c r="J4522" s="37">
        <v>0</v>
      </c>
    </row>
    <row r="4523" spans="1:10" ht="15.75" hidden="1" thickBot="1" x14ac:dyDescent="0.3">
      <c r="A4523" s="180"/>
      <c r="B4523" s="178"/>
      <c r="C4523" s="49"/>
      <c r="D4523" s="49"/>
      <c r="E4523" s="50"/>
      <c r="F4523" s="83" t="s">
        <v>13</v>
      </c>
      <c r="G4523" s="83" t="str">
        <f>IF(ISNUMBER(F4523),E4523*F4523,"")</f>
        <v/>
      </c>
      <c r="H4523" s="84"/>
      <c r="I4523" s="72"/>
      <c r="J4523" s="37">
        <v>0</v>
      </c>
    </row>
    <row r="4524" spans="1:10" ht="15.75" hidden="1" thickBot="1" x14ac:dyDescent="0.3">
      <c r="A4524" s="173" t="s">
        <v>1081</v>
      </c>
      <c r="B4524" s="176" t="s">
        <v>4599</v>
      </c>
      <c r="C4524" s="31"/>
      <c r="D4524" s="32" t="s">
        <v>106</v>
      </c>
      <c r="E4524" s="33"/>
      <c r="F4524" s="60" t="s">
        <v>13</v>
      </c>
      <c r="G4524" s="34" t="str">
        <f>IF(ISNUMBER(F4524),E4524*F4524,"")</f>
        <v/>
      </c>
      <c r="H4524" s="35"/>
      <c r="I4524" s="36"/>
      <c r="J4524" s="37">
        <v>0</v>
      </c>
    </row>
    <row r="4525" spans="1:10" hidden="1" x14ac:dyDescent="0.25">
      <c r="A4525" s="179"/>
      <c r="B4525" s="177"/>
      <c r="C4525" s="39"/>
      <c r="D4525" s="39"/>
      <c r="E4525" s="40"/>
      <c r="F4525" s="70" t="s">
        <v>13</v>
      </c>
      <c r="G4525" s="70" t="str">
        <f>IF(ISNUMBER(F4525),E4525*F4525,"")</f>
        <v/>
      </c>
      <c r="H4525" s="71"/>
      <c r="I4525" s="72"/>
      <c r="J4525" s="37">
        <v>0</v>
      </c>
    </row>
    <row r="4526" spans="1:10" ht="38.25" hidden="1" x14ac:dyDescent="0.25">
      <c r="A4526" s="179"/>
      <c r="B4526" s="177"/>
      <c r="C4526" s="43" t="s">
        <v>10797</v>
      </c>
      <c r="D4526" s="43" t="s">
        <v>10819</v>
      </c>
      <c r="E4526" s="44">
        <v>4.2</v>
      </c>
      <c r="F4526" s="70">
        <v>0.26600000000000001</v>
      </c>
      <c r="G4526" s="70">
        <f>IF(ISNUMBER(F4526),E4526*F4526,"")</f>
        <v>1.1172000000000002</v>
      </c>
      <c r="H4526" s="46">
        <f>SUM(G4526:G4532)</f>
        <v>71.021325499999989</v>
      </c>
      <c r="I4526" s="47"/>
      <c r="J4526" s="37">
        <v>0</v>
      </c>
    </row>
    <row r="4527" spans="1:10" ht="25.5" hidden="1" x14ac:dyDescent="0.25">
      <c r="A4527" s="179"/>
      <c r="B4527" s="177"/>
      <c r="C4527" s="43" t="s">
        <v>10798</v>
      </c>
      <c r="D4527" s="43" t="s">
        <v>83</v>
      </c>
      <c r="E4527" s="44">
        <v>4.2</v>
      </c>
      <c r="F4527" s="70">
        <v>4.0089999999999995</v>
      </c>
      <c r="G4527" s="70">
        <f>IF(ISNUMBER(F4527),E4527*F4527,"")</f>
        <v>16.837799999999998</v>
      </c>
      <c r="H4527" s="71"/>
      <c r="I4527" s="72"/>
      <c r="J4527" s="37">
        <v>0</v>
      </c>
    </row>
    <row r="4528" spans="1:10" ht="25.5" hidden="1" x14ac:dyDescent="0.25">
      <c r="A4528" s="179"/>
      <c r="B4528" s="177"/>
      <c r="C4528" s="43" t="s">
        <v>11156</v>
      </c>
      <c r="D4528" s="43" t="s">
        <v>83</v>
      </c>
      <c r="E4528" s="44">
        <v>1.0289999999999999</v>
      </c>
      <c r="F4528" s="70">
        <v>48.981999999999999</v>
      </c>
      <c r="G4528" s="70">
        <f>IF(ISNUMBER(F4528),E4528*F4528,"")</f>
        <v>50.402477999999995</v>
      </c>
      <c r="H4528" s="71"/>
      <c r="I4528" s="72"/>
      <c r="J4528" s="37">
        <v>0</v>
      </c>
    </row>
    <row r="4529" spans="1:10" hidden="1" x14ac:dyDescent="0.25">
      <c r="A4529" s="179"/>
      <c r="B4529" s="177"/>
      <c r="C4529" s="43" t="s">
        <v>10614</v>
      </c>
      <c r="D4529" s="43" t="s">
        <v>2800</v>
      </c>
      <c r="E4529" s="44">
        <v>5.5E-2</v>
      </c>
      <c r="F4529" s="70">
        <v>23.693000000000001</v>
      </c>
      <c r="G4529" s="70">
        <f>IF(ISNUMBER(F4529),E4529*F4529,"")</f>
        <v>1.303115</v>
      </c>
      <c r="H4529" s="71"/>
      <c r="I4529" s="72"/>
      <c r="J4529" s="37">
        <v>0</v>
      </c>
    </row>
    <row r="4530" spans="1:10" hidden="1" x14ac:dyDescent="0.25">
      <c r="A4530" s="179"/>
      <c r="B4530" s="177"/>
      <c r="C4530" s="43" t="s">
        <v>10800</v>
      </c>
      <c r="D4530" s="43" t="s">
        <v>2800</v>
      </c>
      <c r="E4530" s="44">
        <v>4.1000000000000002E-2</v>
      </c>
      <c r="F4530" s="70">
        <v>30.343</v>
      </c>
      <c r="G4530" s="70">
        <f>IF(ISNUMBER(F4530),E4530*F4530,"")</f>
        <v>1.2440630000000001</v>
      </c>
      <c r="H4530" s="71"/>
      <c r="I4530" s="72"/>
      <c r="J4530" s="37">
        <v>0</v>
      </c>
    </row>
    <row r="4531" spans="1:10" ht="25.5" hidden="1" x14ac:dyDescent="0.25">
      <c r="A4531" s="179"/>
      <c r="B4531" s="177"/>
      <c r="C4531" s="43" t="s">
        <v>10801</v>
      </c>
      <c r="D4531" s="43" t="s">
        <v>1050</v>
      </c>
      <c r="E4531" s="44">
        <v>1.8E-3</v>
      </c>
      <c r="F4531" s="70">
        <v>26.970499999999998</v>
      </c>
      <c r="G4531" s="70">
        <f>IF(ISNUMBER(F4531),E4531*F4531,"")</f>
        <v>4.8546899999999997E-2</v>
      </c>
      <c r="H4531" s="71"/>
      <c r="I4531" s="72"/>
      <c r="J4531" s="37">
        <v>0</v>
      </c>
    </row>
    <row r="4532" spans="1:10" ht="25.5" hidden="1" x14ac:dyDescent="0.25">
      <c r="A4532" s="179"/>
      <c r="B4532" s="177"/>
      <c r="C4532" s="43" t="s">
        <v>10802</v>
      </c>
      <c r="D4532" s="43" t="s">
        <v>10677</v>
      </c>
      <c r="E4532" s="44">
        <v>2.5999999999999999E-3</v>
      </c>
      <c r="F4532" s="70">
        <v>26.200999999999997</v>
      </c>
      <c r="G4532" s="70">
        <f>IF(ISNUMBER(F4532),E4532*F4532,"")</f>
        <v>6.8122599999999991E-2</v>
      </c>
      <c r="H4532" s="71"/>
      <c r="I4532" s="72"/>
      <c r="J4532" s="37">
        <v>0</v>
      </c>
    </row>
    <row r="4533" spans="1:10" ht="15.75" hidden="1" thickBot="1" x14ac:dyDescent="0.3">
      <c r="A4533" s="180"/>
      <c r="B4533" s="178"/>
      <c r="C4533" s="49"/>
      <c r="D4533" s="49"/>
      <c r="E4533" s="50"/>
      <c r="F4533" s="83" t="s">
        <v>13</v>
      </c>
      <c r="G4533" s="83" t="str">
        <f>IF(ISNUMBER(F4533),E4533*F4533,"")</f>
        <v/>
      </c>
      <c r="H4533" s="84"/>
      <c r="I4533" s="72"/>
      <c r="J4533" s="37">
        <v>0</v>
      </c>
    </row>
    <row r="4534" spans="1:10" ht="15.75" hidden="1" thickBot="1" x14ac:dyDescent="0.3">
      <c r="A4534" s="173" t="s">
        <v>1082</v>
      </c>
      <c r="B4534" s="176" t="s">
        <v>4600</v>
      </c>
      <c r="C4534" s="31"/>
      <c r="D4534" s="32" t="s">
        <v>68</v>
      </c>
      <c r="E4534" s="33"/>
      <c r="F4534" s="60" t="s">
        <v>13</v>
      </c>
      <c r="G4534" s="34" t="str">
        <f>IF(ISNUMBER(F4534),E4534*F4534,"")</f>
        <v/>
      </c>
      <c r="H4534" s="35"/>
      <c r="I4534" s="36"/>
      <c r="J4534" s="37">
        <v>0</v>
      </c>
    </row>
    <row r="4535" spans="1:10" hidden="1" x14ac:dyDescent="0.25">
      <c r="A4535" s="179"/>
      <c r="B4535" s="177"/>
      <c r="C4535" s="39"/>
      <c r="D4535" s="39"/>
      <c r="E4535" s="40"/>
      <c r="F4535" s="70" t="s">
        <v>13</v>
      </c>
      <c r="G4535" s="70" t="str">
        <f>IF(ISNUMBER(F4535),E4535*F4535,"")</f>
        <v/>
      </c>
      <c r="H4535" s="71"/>
      <c r="I4535" s="72"/>
      <c r="J4535" s="37">
        <v>0</v>
      </c>
    </row>
    <row r="4536" spans="1:10" hidden="1" x14ac:dyDescent="0.25">
      <c r="A4536" s="179"/>
      <c r="B4536" s="177"/>
      <c r="C4536" s="43" t="s">
        <v>10800</v>
      </c>
      <c r="D4536" s="43" t="s">
        <v>2800</v>
      </c>
      <c r="E4536" s="44">
        <v>0.15</v>
      </c>
      <c r="F4536" s="70">
        <v>30.343</v>
      </c>
      <c r="G4536" s="70">
        <f>IF(ISNUMBER(F4536),E4536*F4536,"")</f>
        <v>4.55145</v>
      </c>
      <c r="H4536" s="46">
        <f>SUM(G4536:G4540)</f>
        <v>8.1053999999999995</v>
      </c>
      <c r="I4536" s="47"/>
      <c r="J4536" s="37">
        <v>0</v>
      </c>
    </row>
    <row r="4537" spans="1:10" hidden="1" x14ac:dyDescent="0.25">
      <c r="A4537" s="179"/>
      <c r="B4537" s="177"/>
      <c r="C4537" s="43" t="s">
        <v>10614</v>
      </c>
      <c r="D4537" s="43" t="s">
        <v>2800</v>
      </c>
      <c r="E4537" s="44">
        <v>0.15</v>
      </c>
      <c r="F4537" s="70">
        <v>23.693000000000001</v>
      </c>
      <c r="G4537" s="70">
        <f>IF(ISNUMBER(F4537),E4537*F4537,"")</f>
        <v>3.5539499999999999</v>
      </c>
      <c r="H4537" s="71"/>
      <c r="I4537" s="72"/>
      <c r="J4537" s="37">
        <v>0</v>
      </c>
    </row>
    <row r="4538" spans="1:10" hidden="1" x14ac:dyDescent="0.25">
      <c r="A4538" s="179"/>
      <c r="B4538" s="177"/>
      <c r="C4538" s="43" t="s">
        <v>1070</v>
      </c>
      <c r="D4538" s="43" t="s">
        <v>83</v>
      </c>
      <c r="E4538" s="44">
        <v>4.12</v>
      </c>
      <c r="F4538" s="70" t="s">
        <v>13</v>
      </c>
      <c r="G4538" s="70" t="str">
        <f>IF(ISNUMBER(F4538),E4538*F4538,"")</f>
        <v/>
      </c>
      <c r="H4538" s="71"/>
      <c r="I4538" s="72"/>
      <c r="J4538" s="37">
        <v>0</v>
      </c>
    </row>
    <row r="4539" spans="1:10" hidden="1" x14ac:dyDescent="0.25">
      <c r="A4539" s="179"/>
      <c r="B4539" s="177"/>
      <c r="C4539" s="43" t="s">
        <v>1083</v>
      </c>
      <c r="D4539" s="43" t="s">
        <v>68</v>
      </c>
      <c r="E4539" s="44">
        <v>1.06</v>
      </c>
      <c r="F4539" s="70" t="s">
        <v>13</v>
      </c>
      <c r="G4539" s="70" t="str">
        <f>IF(ISNUMBER(F4539),E4539*F4539,"")</f>
        <v/>
      </c>
      <c r="H4539" s="71"/>
      <c r="I4539" s="72"/>
      <c r="J4539" s="37">
        <v>0</v>
      </c>
    </row>
    <row r="4540" spans="1:10" hidden="1" x14ac:dyDescent="0.25">
      <c r="A4540" s="179"/>
      <c r="B4540" s="177"/>
      <c r="C4540" s="43" t="s">
        <v>1084</v>
      </c>
      <c r="D4540" s="43" t="s">
        <v>83</v>
      </c>
      <c r="E4540" s="44">
        <v>4.12</v>
      </c>
      <c r="F4540" s="70" t="s">
        <v>13</v>
      </c>
      <c r="G4540" s="70" t="str">
        <f>IF(ISNUMBER(F4540),E4540*F4540,"")</f>
        <v/>
      </c>
      <c r="H4540" s="71"/>
      <c r="I4540" s="72"/>
      <c r="J4540" s="37">
        <v>0</v>
      </c>
    </row>
    <row r="4541" spans="1:10" ht="15.75" hidden="1" thickBot="1" x14ac:dyDescent="0.3">
      <c r="A4541" s="180"/>
      <c r="B4541" s="178"/>
      <c r="C4541" s="49"/>
      <c r="D4541" s="49"/>
      <c r="E4541" s="50"/>
      <c r="F4541" s="83" t="s">
        <v>13</v>
      </c>
      <c r="G4541" s="83" t="str">
        <f>IF(ISNUMBER(F4541),E4541*F4541,"")</f>
        <v/>
      </c>
      <c r="H4541" s="84"/>
      <c r="I4541" s="72"/>
      <c r="J4541" s="37">
        <v>0</v>
      </c>
    </row>
    <row r="4542" spans="1:10" ht="15.75" hidden="1" thickBot="1" x14ac:dyDescent="0.3">
      <c r="A4542" s="173" t="s">
        <v>1085</v>
      </c>
      <c r="B4542" s="176" t="s">
        <v>4607</v>
      </c>
      <c r="C4542" s="31"/>
      <c r="D4542" s="32" t="s">
        <v>106</v>
      </c>
      <c r="E4542" s="33"/>
      <c r="F4542" s="60" t="s">
        <v>13</v>
      </c>
      <c r="G4542" s="34" t="str">
        <f>IF(ISNUMBER(F4542),E4542*F4542,"")</f>
        <v/>
      </c>
      <c r="H4542" s="35"/>
      <c r="I4542" s="36"/>
      <c r="J4542" s="37">
        <v>0</v>
      </c>
    </row>
    <row r="4543" spans="1:10" hidden="1" x14ac:dyDescent="0.25">
      <c r="A4543" s="179"/>
      <c r="B4543" s="177"/>
      <c r="C4543" s="39"/>
      <c r="D4543" s="39"/>
      <c r="E4543" s="40"/>
      <c r="F4543" s="70" t="s">
        <v>13</v>
      </c>
      <c r="G4543" s="70" t="str">
        <f>IF(ISNUMBER(F4543),E4543*F4543,"")</f>
        <v/>
      </c>
      <c r="H4543" s="71"/>
      <c r="I4543" s="72"/>
      <c r="J4543" s="37">
        <v>0</v>
      </c>
    </row>
    <row r="4544" spans="1:10" hidden="1" x14ac:dyDescent="0.25">
      <c r="A4544" s="179"/>
      <c r="B4544" s="177"/>
      <c r="C4544" s="43" t="s">
        <v>10667</v>
      </c>
      <c r="D4544" s="43" t="s">
        <v>1044</v>
      </c>
      <c r="E4544" s="44">
        <v>5.18</v>
      </c>
      <c r="F4544" s="70">
        <v>6.3839999999999995</v>
      </c>
      <c r="G4544" s="70">
        <f>IF(ISNUMBER(F4544),E4544*F4544,"")</f>
        <v>33.069119999999998</v>
      </c>
      <c r="H4544" s="46">
        <f>SUM(G4544:G4555)</f>
        <v>323.46239128115621</v>
      </c>
      <c r="I4544" s="47"/>
      <c r="J4544" s="37">
        <v>0</v>
      </c>
    </row>
    <row r="4545" spans="1:10" hidden="1" x14ac:dyDescent="0.25">
      <c r="A4545" s="179"/>
      <c r="B4545" s="177"/>
      <c r="C4545" s="43" t="s">
        <v>10673</v>
      </c>
      <c r="D4545" s="43" t="s">
        <v>70</v>
      </c>
      <c r="E4545" s="44">
        <v>0.15</v>
      </c>
      <c r="F4545" s="70">
        <v>48.221999999999994</v>
      </c>
      <c r="G4545" s="70">
        <f>IF(ISNUMBER(F4545),E4545*F4545,"")</f>
        <v>7.233299999999999</v>
      </c>
      <c r="H4545" s="71"/>
      <c r="I4545" s="72"/>
      <c r="J4545" s="37">
        <v>0</v>
      </c>
    </row>
    <row r="4546" spans="1:10" hidden="1" x14ac:dyDescent="0.25">
      <c r="A4546" s="179"/>
      <c r="B4546" s="177"/>
      <c r="C4546" s="43" t="s">
        <v>10674</v>
      </c>
      <c r="D4546" s="43" t="s">
        <v>2800</v>
      </c>
      <c r="E4546" s="44">
        <f>0.4298*0.05/0.16*3</f>
        <v>0.4029375</v>
      </c>
      <c r="F4546" s="70">
        <v>32.6325</v>
      </c>
      <c r="G4546" s="70">
        <f>IF(ISNUMBER(F4546),E4546*F4546,"")</f>
        <v>13.148857968750001</v>
      </c>
      <c r="H4546" s="71"/>
      <c r="I4546" s="72"/>
      <c r="J4546" s="37">
        <v>0</v>
      </c>
    </row>
    <row r="4547" spans="1:10" hidden="1" x14ac:dyDescent="0.25">
      <c r="A4547" s="179"/>
      <c r="B4547" s="177"/>
      <c r="C4547" s="43" t="s">
        <v>10757</v>
      </c>
      <c r="D4547" s="43" t="s">
        <v>2800</v>
      </c>
      <c r="E4547" s="44">
        <v>0.4</v>
      </c>
      <c r="F4547" s="70">
        <v>31.055499999999995</v>
      </c>
      <c r="G4547" s="70">
        <f>IF(ISNUMBER(F4547),E4547*F4547,"")</f>
        <v>12.422199999999998</v>
      </c>
      <c r="H4547" s="71"/>
      <c r="I4547" s="72"/>
      <c r="J4547" s="37">
        <v>0</v>
      </c>
    </row>
    <row r="4548" spans="1:10" hidden="1" x14ac:dyDescent="0.25">
      <c r="A4548" s="179"/>
      <c r="B4548" s="177"/>
      <c r="C4548" s="43" t="s">
        <v>10614</v>
      </c>
      <c r="D4548" s="43" t="s">
        <v>2800</v>
      </c>
      <c r="E4548" s="44">
        <v>0.8</v>
      </c>
      <c r="F4548" s="70">
        <v>23.693000000000001</v>
      </c>
      <c r="G4548" s="70">
        <f>IF(ISNUMBER(F4548),E4548*F4548,"")</f>
        <v>18.954400000000003</v>
      </c>
      <c r="H4548" s="71"/>
      <c r="I4548" s="72"/>
      <c r="J4548" s="37">
        <v>0</v>
      </c>
    </row>
    <row r="4549" spans="1:10" ht="25.5" hidden="1" x14ac:dyDescent="0.25">
      <c r="A4549" s="179"/>
      <c r="B4549" s="177"/>
      <c r="C4549" s="43" t="s">
        <v>10679</v>
      </c>
      <c r="D4549" s="43" t="s">
        <v>2880</v>
      </c>
      <c r="E4549" s="44">
        <v>2.5000000000000001E-3</v>
      </c>
      <c r="F4549" s="70">
        <v>800.36532496250004</v>
      </c>
      <c r="G4549" s="70">
        <f>IF(ISNUMBER(F4549),E4549*F4549,"")</f>
        <v>2.0009133124062499</v>
      </c>
      <c r="H4549" s="71"/>
      <c r="I4549" s="72"/>
      <c r="J4549" s="37">
        <v>0</v>
      </c>
    </row>
    <row r="4550" spans="1:10" hidden="1" x14ac:dyDescent="0.25">
      <c r="A4550" s="179"/>
      <c r="B4550" s="177"/>
      <c r="C4550" s="43" t="s">
        <v>10667</v>
      </c>
      <c r="D4550" s="43" t="s">
        <v>1044</v>
      </c>
      <c r="E4550" s="44">
        <v>3</v>
      </c>
      <c r="F4550" s="70">
        <v>6.3839999999999995</v>
      </c>
      <c r="G4550" s="70">
        <f>IF(ISNUMBER(F4550),E4550*F4550,"")</f>
        <v>19.151999999999997</v>
      </c>
      <c r="H4550" s="71"/>
      <c r="I4550" s="72"/>
      <c r="J4550" s="37">
        <v>0</v>
      </c>
    </row>
    <row r="4551" spans="1:10" ht="25.5" hidden="1" x14ac:dyDescent="0.25">
      <c r="A4551" s="179"/>
      <c r="B4551" s="177"/>
      <c r="C4551" s="43" t="s">
        <v>10999</v>
      </c>
      <c r="D4551" s="43" t="s">
        <v>1044</v>
      </c>
      <c r="E4551" s="44">
        <v>15</v>
      </c>
      <c r="F4551" s="70">
        <v>7.6189999999999989</v>
      </c>
      <c r="G4551" s="70">
        <f>IF(ISNUMBER(F4551),E4551*F4551,"")</f>
        <v>114.28499999999998</v>
      </c>
      <c r="H4551" s="71"/>
      <c r="I4551" s="72"/>
      <c r="J4551" s="37">
        <v>0</v>
      </c>
    </row>
    <row r="4552" spans="1:10" hidden="1" x14ac:dyDescent="0.25">
      <c r="A4552" s="179"/>
      <c r="B4552" s="177"/>
      <c r="C4552" s="43" t="s">
        <v>10757</v>
      </c>
      <c r="D4552" s="43" t="s">
        <v>2800</v>
      </c>
      <c r="E4552" s="44">
        <v>0.4</v>
      </c>
      <c r="F4552" s="70">
        <v>31.055499999999995</v>
      </c>
      <c r="G4552" s="70">
        <f>IF(ISNUMBER(F4552),E4552*F4552,"")</f>
        <v>12.422199999999998</v>
      </c>
      <c r="H4552" s="71"/>
      <c r="I4552" s="72"/>
      <c r="J4552" s="37">
        <v>0</v>
      </c>
    </row>
    <row r="4553" spans="1:10" hidden="1" x14ac:dyDescent="0.25">
      <c r="A4553" s="179"/>
      <c r="B4553" s="177"/>
      <c r="C4553" s="43" t="s">
        <v>10614</v>
      </c>
      <c r="D4553" s="43" t="s">
        <v>2800</v>
      </c>
      <c r="E4553" s="44">
        <v>0.8</v>
      </c>
      <c r="F4553" s="70">
        <v>23.693000000000001</v>
      </c>
      <c r="G4553" s="70">
        <f>IF(ISNUMBER(F4553),E4553*F4553,"")</f>
        <v>18.954400000000003</v>
      </c>
      <c r="H4553" s="71"/>
      <c r="I4553" s="72"/>
      <c r="J4553" s="37">
        <v>0</v>
      </c>
    </row>
    <row r="4554" spans="1:10" hidden="1" x14ac:dyDescent="0.25">
      <c r="A4554" s="179"/>
      <c r="B4554" s="177"/>
      <c r="C4554" s="43" t="s">
        <v>10808</v>
      </c>
      <c r="D4554" s="43" t="s">
        <v>2800</v>
      </c>
      <c r="E4554" s="44">
        <v>2</v>
      </c>
      <c r="F4554" s="70">
        <v>31.729999999999997</v>
      </c>
      <c r="G4554" s="70">
        <f>IF(ISNUMBER(F4554),E4554*F4554,"")</f>
        <v>63.459999999999994</v>
      </c>
      <c r="H4554" s="71"/>
      <c r="I4554" s="72"/>
      <c r="J4554" s="37">
        <v>0</v>
      </c>
    </row>
    <row r="4555" spans="1:10" hidden="1" x14ac:dyDescent="0.25">
      <c r="A4555" s="179"/>
      <c r="B4555" s="177"/>
      <c r="C4555" s="43" t="s">
        <v>10846</v>
      </c>
      <c r="D4555" s="43" t="s">
        <v>1044</v>
      </c>
      <c r="E4555" s="44">
        <v>0.2</v>
      </c>
      <c r="F4555" s="70">
        <v>41.8</v>
      </c>
      <c r="G4555" s="70">
        <f>IF(ISNUMBER(F4555),E4555*F4555,"")</f>
        <v>8.36</v>
      </c>
      <c r="H4555" s="71"/>
      <c r="I4555" s="72"/>
      <c r="J4555" s="37">
        <v>0</v>
      </c>
    </row>
    <row r="4556" spans="1:10" ht="15.75" hidden="1" thickBot="1" x14ac:dyDescent="0.3">
      <c r="A4556" s="180"/>
      <c r="B4556" s="178"/>
      <c r="C4556" s="49"/>
      <c r="D4556" s="49"/>
      <c r="E4556" s="50"/>
      <c r="F4556" s="83" t="s">
        <v>13</v>
      </c>
      <c r="G4556" s="83" t="str">
        <f>IF(ISNUMBER(F4556),E4556*F4556,"")</f>
        <v/>
      </c>
      <c r="H4556" s="84"/>
      <c r="I4556" s="72"/>
      <c r="J4556" s="37">
        <v>0</v>
      </c>
    </row>
    <row r="4557" spans="1:10" ht="15.75" hidden="1" thickBot="1" x14ac:dyDescent="0.3">
      <c r="A4557" s="173" t="s">
        <v>1086</v>
      </c>
      <c r="B4557" s="176" t="s">
        <v>4608</v>
      </c>
      <c r="C4557" s="31"/>
      <c r="D4557" s="32" t="s">
        <v>106</v>
      </c>
      <c r="E4557" s="33"/>
      <c r="F4557" s="60" t="s">
        <v>13</v>
      </c>
      <c r="G4557" s="34" t="str">
        <f>IF(ISNUMBER(F4557),E4557*F4557,"")</f>
        <v/>
      </c>
      <c r="H4557" s="35"/>
      <c r="I4557" s="36"/>
      <c r="J4557" s="37">
        <v>0</v>
      </c>
    </row>
    <row r="4558" spans="1:10" hidden="1" x14ac:dyDescent="0.25">
      <c r="A4558" s="179"/>
      <c r="B4558" s="177"/>
      <c r="C4558" s="39"/>
      <c r="D4558" s="39"/>
      <c r="E4558" s="40"/>
      <c r="F4558" s="70" t="s">
        <v>13</v>
      </c>
      <c r="G4558" s="70" t="str">
        <f>IF(ISNUMBER(F4558),E4558*F4558,"")</f>
        <v/>
      </c>
      <c r="H4558" s="71"/>
      <c r="I4558" s="72"/>
      <c r="J4558" s="37">
        <v>0</v>
      </c>
    </row>
    <row r="4559" spans="1:10" hidden="1" x14ac:dyDescent="0.25">
      <c r="A4559" s="179"/>
      <c r="B4559" s="177"/>
      <c r="C4559" s="43" t="s">
        <v>10667</v>
      </c>
      <c r="D4559" s="43" t="s">
        <v>1044</v>
      </c>
      <c r="E4559" s="44">
        <v>5.18</v>
      </c>
      <c r="F4559" s="70">
        <v>6.3839999999999995</v>
      </c>
      <c r="G4559" s="70">
        <f>IF(ISNUMBER(F4559),E4559*F4559,"")</f>
        <v>33.069119999999998</v>
      </c>
      <c r="H4559" s="46">
        <f>SUM(G4559:G4564)</f>
        <v>73.240685968656251</v>
      </c>
      <c r="I4559" s="47"/>
      <c r="J4559" s="37">
        <v>0</v>
      </c>
    </row>
    <row r="4560" spans="1:10" hidden="1" x14ac:dyDescent="0.25">
      <c r="A4560" s="179"/>
      <c r="B4560" s="177"/>
      <c r="C4560" s="43" t="s">
        <v>10673</v>
      </c>
      <c r="D4560" s="43" t="s">
        <v>70</v>
      </c>
      <c r="E4560" s="44">
        <v>0.05</v>
      </c>
      <c r="F4560" s="70">
        <v>48.221999999999994</v>
      </c>
      <c r="G4560" s="70">
        <f>IF(ISNUMBER(F4560),E4560*F4560,"")</f>
        <v>2.4110999999999998</v>
      </c>
      <c r="H4560" s="71"/>
      <c r="I4560" s="72"/>
      <c r="J4560" s="37">
        <v>0</v>
      </c>
    </row>
    <row r="4561" spans="1:10" hidden="1" x14ac:dyDescent="0.25">
      <c r="A4561" s="179"/>
      <c r="B4561" s="177"/>
      <c r="C4561" s="43" t="s">
        <v>10674</v>
      </c>
      <c r="D4561" s="43" t="s">
        <v>2800</v>
      </c>
      <c r="E4561" s="44">
        <f>0.4298*0.05/0.16</f>
        <v>0.1343125</v>
      </c>
      <c r="F4561" s="70">
        <v>32.6325</v>
      </c>
      <c r="G4561" s="70">
        <f>IF(ISNUMBER(F4561),E4561*F4561,"")</f>
        <v>4.3829526562500005</v>
      </c>
      <c r="H4561" s="71"/>
      <c r="I4561" s="72"/>
      <c r="J4561" s="37">
        <v>0</v>
      </c>
    </row>
    <row r="4562" spans="1:10" hidden="1" x14ac:dyDescent="0.25">
      <c r="A4562" s="179"/>
      <c r="B4562" s="177"/>
      <c r="C4562" s="43" t="s">
        <v>10757</v>
      </c>
      <c r="D4562" s="43" t="s">
        <v>2800</v>
      </c>
      <c r="E4562" s="44">
        <v>0.4</v>
      </c>
      <c r="F4562" s="70">
        <v>31.055499999999995</v>
      </c>
      <c r="G4562" s="70">
        <f>IF(ISNUMBER(F4562),E4562*F4562,"")</f>
        <v>12.422199999999998</v>
      </c>
      <c r="H4562" s="71"/>
      <c r="I4562" s="72"/>
      <c r="J4562" s="37">
        <v>0</v>
      </c>
    </row>
    <row r="4563" spans="1:10" hidden="1" x14ac:dyDescent="0.25">
      <c r="A4563" s="179"/>
      <c r="B4563" s="177"/>
      <c r="C4563" s="43" t="s">
        <v>10614</v>
      </c>
      <c r="D4563" s="43" t="s">
        <v>2800</v>
      </c>
      <c r="E4563" s="44">
        <v>0.8</v>
      </c>
      <c r="F4563" s="70">
        <v>23.693000000000001</v>
      </c>
      <c r="G4563" s="70">
        <f>IF(ISNUMBER(F4563),E4563*F4563,"")</f>
        <v>18.954400000000003</v>
      </c>
      <c r="H4563" s="71"/>
      <c r="I4563" s="72"/>
      <c r="J4563" s="37">
        <v>0</v>
      </c>
    </row>
    <row r="4564" spans="1:10" ht="25.5" hidden="1" x14ac:dyDescent="0.25">
      <c r="A4564" s="179"/>
      <c r="B4564" s="177"/>
      <c r="C4564" s="43" t="s">
        <v>10679</v>
      </c>
      <c r="D4564" s="43" t="s">
        <v>2880</v>
      </c>
      <c r="E4564" s="44">
        <v>2.5000000000000001E-3</v>
      </c>
      <c r="F4564" s="70">
        <v>800.36532496250004</v>
      </c>
      <c r="G4564" s="70">
        <f>IF(ISNUMBER(F4564),E4564*F4564,"")</f>
        <v>2.0009133124062499</v>
      </c>
      <c r="H4564" s="71"/>
      <c r="I4564" s="72"/>
      <c r="J4564" s="37">
        <v>0</v>
      </c>
    </row>
    <row r="4565" spans="1:10" ht="15.75" hidden="1" thickBot="1" x14ac:dyDescent="0.3">
      <c r="A4565" s="180"/>
      <c r="B4565" s="178"/>
      <c r="C4565" s="49"/>
      <c r="D4565" s="49"/>
      <c r="E4565" s="50"/>
      <c r="F4565" s="83" t="s">
        <v>13</v>
      </c>
      <c r="G4565" s="83" t="str">
        <f>IF(ISNUMBER(F4565),E4565*F4565,"")</f>
        <v/>
      </c>
      <c r="H4565" s="84"/>
      <c r="I4565" s="72"/>
      <c r="J4565" s="37">
        <v>0</v>
      </c>
    </row>
    <row r="4566" spans="1:10" ht="15.75" hidden="1" thickBot="1" x14ac:dyDescent="0.3">
      <c r="A4566" s="173" t="s">
        <v>1087</v>
      </c>
      <c r="B4566" s="176" t="s">
        <v>4609</v>
      </c>
      <c r="C4566" s="31"/>
      <c r="D4566" s="32" t="s">
        <v>68</v>
      </c>
      <c r="E4566" s="33"/>
      <c r="F4566" s="60" t="s">
        <v>13</v>
      </c>
      <c r="G4566" s="34" t="str">
        <f>IF(ISNUMBER(F4566),E4566*F4566,"")</f>
        <v/>
      </c>
      <c r="H4566" s="35"/>
      <c r="I4566" s="36"/>
      <c r="J4566" s="37">
        <v>0</v>
      </c>
    </row>
    <row r="4567" spans="1:10" hidden="1" x14ac:dyDescent="0.25">
      <c r="A4567" s="179"/>
      <c r="B4567" s="177"/>
      <c r="C4567" s="39"/>
      <c r="D4567" s="39"/>
      <c r="E4567" s="40"/>
      <c r="F4567" s="70" t="s">
        <v>13</v>
      </c>
      <c r="G4567" s="70" t="str">
        <f>IF(ISNUMBER(F4567),E4567*F4567,"")</f>
        <v/>
      </c>
      <c r="H4567" s="71"/>
      <c r="I4567" s="72"/>
      <c r="J4567" s="37">
        <v>0</v>
      </c>
    </row>
    <row r="4568" spans="1:10" hidden="1" x14ac:dyDescent="0.25">
      <c r="A4568" s="179"/>
      <c r="B4568" s="177"/>
      <c r="C4568" s="43" t="s">
        <v>10614</v>
      </c>
      <c r="D4568" s="43" t="s">
        <v>2800</v>
      </c>
      <c r="E4568" s="44">
        <v>0.11</v>
      </c>
      <c r="F4568" s="70">
        <v>23.693000000000001</v>
      </c>
      <c r="G4568" s="70">
        <f>IF(ISNUMBER(F4568),E4568*F4568,"")</f>
        <v>2.60623</v>
      </c>
      <c r="H4568" s="46">
        <f>SUM(G4568:G4570)</f>
        <v>2.60623</v>
      </c>
      <c r="I4568" s="47"/>
      <c r="J4568" s="37">
        <v>0</v>
      </c>
    </row>
    <row r="4569" spans="1:10" hidden="1" x14ac:dyDescent="0.25">
      <c r="A4569" s="179"/>
      <c r="B4569" s="177"/>
      <c r="C4569" s="43" t="s">
        <v>1088</v>
      </c>
      <c r="D4569" s="43" t="s">
        <v>1089</v>
      </c>
      <c r="E4569" s="44">
        <v>0.22</v>
      </c>
      <c r="F4569" s="70" t="s">
        <v>13</v>
      </c>
      <c r="G4569" s="70" t="str">
        <f>IF(ISNUMBER(F4569),E4569*F4569,"")</f>
        <v/>
      </c>
      <c r="H4569" s="71"/>
      <c r="I4569" s="72"/>
      <c r="J4569" s="37">
        <v>0</v>
      </c>
    </row>
    <row r="4570" spans="1:10" hidden="1" x14ac:dyDescent="0.25">
      <c r="A4570" s="179"/>
      <c r="B4570" s="177"/>
      <c r="C4570" s="43" t="s">
        <v>1090</v>
      </c>
      <c r="D4570" s="43" t="s">
        <v>70</v>
      </c>
      <c r="E4570" s="44">
        <v>0.4</v>
      </c>
      <c r="F4570" s="70" t="s">
        <v>13</v>
      </c>
      <c r="G4570" s="70" t="str">
        <f>IF(ISNUMBER(F4570),E4570*F4570,"")</f>
        <v/>
      </c>
      <c r="H4570" s="71"/>
      <c r="I4570" s="72"/>
      <c r="J4570" s="37">
        <v>0</v>
      </c>
    </row>
    <row r="4571" spans="1:10" ht="15.75" hidden="1" thickBot="1" x14ac:dyDescent="0.3">
      <c r="A4571" s="180"/>
      <c r="B4571" s="178"/>
      <c r="C4571" s="49"/>
      <c r="D4571" s="49"/>
      <c r="E4571" s="50"/>
      <c r="F4571" s="83" t="s">
        <v>13</v>
      </c>
      <c r="G4571" s="83" t="str">
        <f>IF(ISNUMBER(F4571),E4571*F4571,"")</f>
        <v/>
      </c>
      <c r="H4571" s="84"/>
      <c r="I4571" s="72"/>
      <c r="J4571" s="37">
        <v>0</v>
      </c>
    </row>
    <row r="4572" spans="1:10" ht="15.75" hidden="1" thickBot="1" x14ac:dyDescent="0.3">
      <c r="A4572" s="173" t="s">
        <v>1091</v>
      </c>
      <c r="B4572" s="176" t="s">
        <v>4610</v>
      </c>
      <c r="C4572" s="31"/>
      <c r="D4572" s="32" t="s">
        <v>18</v>
      </c>
      <c r="E4572" s="33"/>
      <c r="F4572" s="60" t="s">
        <v>13</v>
      </c>
      <c r="G4572" s="34" t="str">
        <f>IF(ISNUMBER(F4572),E4572*F4572,"")</f>
        <v/>
      </c>
      <c r="H4572" s="35"/>
      <c r="I4572" s="36"/>
      <c r="J4572" s="37">
        <v>0</v>
      </c>
    </row>
    <row r="4573" spans="1:10" hidden="1" x14ac:dyDescent="0.25">
      <c r="A4573" s="179"/>
      <c r="B4573" s="177"/>
      <c r="C4573" s="39"/>
      <c r="D4573" s="39"/>
      <c r="E4573" s="40"/>
      <c r="F4573" s="70" t="s">
        <v>13</v>
      </c>
      <c r="G4573" s="70" t="str">
        <f>IF(ISNUMBER(F4573),E4573*F4573,"")</f>
        <v/>
      </c>
      <c r="H4573" s="71"/>
      <c r="I4573" s="72"/>
      <c r="J4573" s="37">
        <v>0</v>
      </c>
    </row>
    <row r="4574" spans="1:10" ht="25.5" hidden="1" x14ac:dyDescent="0.25">
      <c r="A4574" s="179"/>
      <c r="B4574" s="177"/>
      <c r="C4574" s="43" t="s">
        <v>11157</v>
      </c>
      <c r="D4574" s="43" t="s">
        <v>83</v>
      </c>
      <c r="E4574" s="44">
        <v>1</v>
      </c>
      <c r="F4574" s="70">
        <v>3.1065</v>
      </c>
      <c r="G4574" s="70">
        <f>IF(ISNUMBER(F4574),E4574*F4574,"")</f>
        <v>3.1065</v>
      </c>
      <c r="H4574" s="46">
        <f>SUM(G4574:G4588)</f>
        <v>237.9423314</v>
      </c>
      <c r="I4574" s="47"/>
      <c r="J4574" s="37">
        <v>0</v>
      </c>
    </row>
    <row r="4575" spans="1:10" ht="25.5" hidden="1" x14ac:dyDescent="0.25">
      <c r="A4575" s="179"/>
      <c r="B4575" s="177"/>
      <c r="C4575" s="43" t="s">
        <v>11158</v>
      </c>
      <c r="D4575" s="43" t="s">
        <v>83</v>
      </c>
      <c r="E4575" s="44">
        <v>1</v>
      </c>
      <c r="F4575" s="70">
        <v>10.754</v>
      </c>
      <c r="G4575" s="70">
        <f>IF(ISNUMBER(F4575),E4575*F4575,"")</f>
        <v>10.754</v>
      </c>
      <c r="H4575" s="71"/>
      <c r="I4575" s="72"/>
      <c r="J4575" s="37">
        <v>0</v>
      </c>
    </row>
    <row r="4576" spans="1:10" ht="25.5" hidden="1" x14ac:dyDescent="0.25">
      <c r="A4576" s="179"/>
      <c r="B4576" s="177"/>
      <c r="C4576" s="43" t="s">
        <v>11159</v>
      </c>
      <c r="D4576" s="43" t="s">
        <v>83</v>
      </c>
      <c r="E4576" s="44">
        <v>1</v>
      </c>
      <c r="F4576" s="70">
        <v>57.057000000000002</v>
      </c>
      <c r="G4576" s="70">
        <f>IF(ISNUMBER(F4576),E4576*F4576,"")</f>
        <v>57.057000000000002</v>
      </c>
      <c r="H4576" s="71"/>
      <c r="I4576" s="72"/>
      <c r="J4576" s="37">
        <v>0</v>
      </c>
    </row>
    <row r="4577" spans="1:10" ht="38.25" hidden="1" x14ac:dyDescent="0.25">
      <c r="A4577" s="179"/>
      <c r="B4577" s="177"/>
      <c r="C4577" s="43" t="s">
        <v>11160</v>
      </c>
      <c r="D4577" s="43" t="s">
        <v>83</v>
      </c>
      <c r="E4577" s="44">
        <v>7.0000000000000007E-2</v>
      </c>
      <c r="F4577" s="70">
        <v>28.6615</v>
      </c>
      <c r="G4577" s="70">
        <f>IF(ISNUMBER(F4577),E4577*F4577,"")</f>
        <v>2.0063050000000002</v>
      </c>
      <c r="H4577" s="71"/>
      <c r="I4577" s="72"/>
      <c r="J4577" s="37">
        <v>0</v>
      </c>
    </row>
    <row r="4578" spans="1:10" ht="25.5" hidden="1" x14ac:dyDescent="0.25">
      <c r="A4578" s="179"/>
      <c r="B4578" s="177"/>
      <c r="C4578" s="43" t="s">
        <v>10753</v>
      </c>
      <c r="D4578" s="43" t="s">
        <v>2800</v>
      </c>
      <c r="E4578" s="44">
        <v>0.11</v>
      </c>
      <c r="F4578" s="70">
        <v>23.997</v>
      </c>
      <c r="G4578" s="70">
        <f>IF(ISNUMBER(F4578),E4578*F4578,"")</f>
        <v>2.6396700000000002</v>
      </c>
      <c r="H4578" s="71"/>
      <c r="I4578" s="72"/>
      <c r="J4578" s="37">
        <v>0</v>
      </c>
    </row>
    <row r="4579" spans="1:10" ht="25.5" hidden="1" x14ac:dyDescent="0.25">
      <c r="A4579" s="179"/>
      <c r="B4579" s="177"/>
      <c r="C4579" s="43" t="s">
        <v>10754</v>
      </c>
      <c r="D4579" s="43" t="s">
        <v>2800</v>
      </c>
      <c r="E4579" s="44">
        <v>0.11</v>
      </c>
      <c r="F4579" s="70">
        <v>30.361999999999998</v>
      </c>
      <c r="G4579" s="70">
        <f>IF(ISNUMBER(F4579),E4579*F4579,"")</f>
        <v>3.33982</v>
      </c>
      <c r="H4579" s="71"/>
      <c r="I4579" s="72"/>
      <c r="J4579" s="37">
        <v>0</v>
      </c>
    </row>
    <row r="4580" spans="1:10" hidden="1" x14ac:dyDescent="0.25">
      <c r="A4580" s="179"/>
      <c r="B4580" s="177"/>
      <c r="C4580" s="43" t="s">
        <v>10908</v>
      </c>
      <c r="D4580" s="43" t="s">
        <v>83</v>
      </c>
      <c r="E4580" s="44">
        <v>6.1999999999999998E-3</v>
      </c>
      <c r="F4580" s="70">
        <v>69.435500000000005</v>
      </c>
      <c r="G4580" s="70">
        <f>IF(ISNUMBER(F4580),E4580*F4580,"")</f>
        <v>0.4305001</v>
      </c>
      <c r="H4580" s="71"/>
      <c r="I4580" s="72"/>
      <c r="J4580" s="37">
        <v>0</v>
      </c>
    </row>
    <row r="4581" spans="1:10" ht="25.5" hidden="1" x14ac:dyDescent="0.25">
      <c r="A4581" s="179"/>
      <c r="B4581" s="177"/>
      <c r="C4581" s="43" t="s">
        <v>11161</v>
      </c>
      <c r="D4581" s="43" t="s">
        <v>1302</v>
      </c>
      <c r="E4581" s="44">
        <f>1.0353/2</f>
        <v>0.51765000000000005</v>
      </c>
      <c r="F4581" s="70">
        <v>61.217999999999996</v>
      </c>
      <c r="G4581" s="70">
        <f>IF(ISNUMBER(F4581),E4581*F4581,"")</f>
        <v>31.6894977</v>
      </c>
      <c r="H4581" s="71"/>
      <c r="I4581" s="72"/>
      <c r="J4581" s="37">
        <v>0</v>
      </c>
    </row>
    <row r="4582" spans="1:10" hidden="1" x14ac:dyDescent="0.25">
      <c r="A4582" s="179"/>
      <c r="B4582" s="177"/>
      <c r="C4582" s="43" t="s">
        <v>10899</v>
      </c>
      <c r="D4582" s="43" t="s">
        <v>83</v>
      </c>
      <c r="E4582" s="44">
        <v>7.2999999999999995E-2</v>
      </c>
      <c r="F4582" s="70">
        <v>2.2039999999999997</v>
      </c>
      <c r="G4582" s="70">
        <f>IF(ISNUMBER(F4582),E4582*F4582,"")</f>
        <v>0.16089199999999998</v>
      </c>
      <c r="H4582" s="71"/>
      <c r="I4582" s="72"/>
      <c r="J4582" s="37">
        <v>0</v>
      </c>
    </row>
    <row r="4583" spans="1:10" ht="25.5" hidden="1" x14ac:dyDescent="0.25">
      <c r="A4583" s="179"/>
      <c r="B4583" s="177"/>
      <c r="C4583" s="43" t="s">
        <v>10753</v>
      </c>
      <c r="D4583" s="43" t="s">
        <v>2800</v>
      </c>
      <c r="E4583" s="44">
        <v>0.13089999999999999</v>
      </c>
      <c r="F4583" s="70">
        <v>23.997</v>
      </c>
      <c r="G4583" s="70">
        <f>IF(ISNUMBER(F4583),E4583*F4583,"")</f>
        <v>3.1412072999999996</v>
      </c>
      <c r="H4583" s="71"/>
      <c r="I4583" s="72"/>
      <c r="J4583" s="37">
        <v>0</v>
      </c>
    </row>
    <row r="4584" spans="1:10" ht="25.5" hidden="1" x14ac:dyDescent="0.25">
      <c r="A4584" s="179"/>
      <c r="B4584" s="177"/>
      <c r="C4584" s="43" t="s">
        <v>10754</v>
      </c>
      <c r="D4584" s="43" t="s">
        <v>2800</v>
      </c>
      <c r="E4584" s="44">
        <v>0.13089999999999999</v>
      </c>
      <c r="F4584" s="70">
        <v>30.361999999999998</v>
      </c>
      <c r="G4584" s="70">
        <f>IF(ISNUMBER(F4584),E4584*F4584,"")</f>
        <v>3.9743857999999994</v>
      </c>
      <c r="H4584" s="71"/>
      <c r="I4584" s="72"/>
      <c r="J4584" s="37">
        <v>0</v>
      </c>
    </row>
    <row r="4585" spans="1:10" hidden="1" x14ac:dyDescent="0.25">
      <c r="A4585" s="179"/>
      <c r="B4585" s="177"/>
      <c r="C4585" s="43" t="s">
        <v>10757</v>
      </c>
      <c r="D4585" s="43" t="s">
        <v>2800</v>
      </c>
      <c r="E4585" s="44">
        <v>1</v>
      </c>
      <c r="F4585" s="70">
        <v>31.055499999999995</v>
      </c>
      <c r="G4585" s="70">
        <f>IF(ISNUMBER(F4585),E4585*F4585,"")</f>
        <v>31.055499999999995</v>
      </c>
      <c r="H4585" s="71"/>
      <c r="I4585" s="72"/>
      <c r="J4585" s="37">
        <v>0</v>
      </c>
    </row>
    <row r="4586" spans="1:10" ht="25.5" hidden="1" x14ac:dyDescent="0.25">
      <c r="A4586" s="179"/>
      <c r="B4586" s="177"/>
      <c r="C4586" s="43" t="s">
        <v>10879</v>
      </c>
      <c r="D4586" s="43" t="s">
        <v>1044</v>
      </c>
      <c r="E4586" s="44">
        <f>ROUND(1.8*(PI()*(0.25-0.15)*0.1)*10,4)</f>
        <v>0.5655</v>
      </c>
      <c r="F4586" s="70">
        <v>56.296999999999997</v>
      </c>
      <c r="G4586" s="70">
        <f>IF(ISNUMBER(F4586),E4586*F4586,"")</f>
        <v>31.835953499999999</v>
      </c>
      <c r="H4586" s="71"/>
      <c r="I4586" s="72"/>
      <c r="J4586" s="37">
        <v>0</v>
      </c>
    </row>
    <row r="4587" spans="1:10" ht="25.5" hidden="1" x14ac:dyDescent="0.25">
      <c r="A4587" s="179"/>
      <c r="B4587" s="177"/>
      <c r="C4587" s="43" t="s">
        <v>10803</v>
      </c>
      <c r="D4587" s="43" t="s">
        <v>10820</v>
      </c>
      <c r="E4587" s="44">
        <v>0.2</v>
      </c>
      <c r="F4587" s="70">
        <v>42.597999999999999</v>
      </c>
      <c r="G4587" s="70">
        <f>IF(ISNUMBER(F4587),E4587*F4587,"")</f>
        <v>8.5196000000000005</v>
      </c>
      <c r="H4587" s="71"/>
      <c r="I4587" s="72"/>
      <c r="J4587" s="37">
        <v>0</v>
      </c>
    </row>
    <row r="4588" spans="1:10" hidden="1" x14ac:dyDescent="0.25">
      <c r="A4588" s="179"/>
      <c r="B4588" s="177"/>
      <c r="C4588" s="43" t="s">
        <v>11162</v>
      </c>
      <c r="D4588" s="43" t="s">
        <v>83</v>
      </c>
      <c r="E4588" s="44">
        <v>1</v>
      </c>
      <c r="F4588" s="70">
        <v>48.231500000000004</v>
      </c>
      <c r="G4588" s="70">
        <f>IF(ISNUMBER(F4588),E4588*F4588,"")</f>
        <v>48.231500000000004</v>
      </c>
      <c r="H4588" s="71"/>
      <c r="I4588" s="72"/>
      <c r="J4588" s="37">
        <v>0</v>
      </c>
    </row>
    <row r="4589" spans="1:10" hidden="1" x14ac:dyDescent="0.25">
      <c r="A4589" s="179"/>
      <c r="B4589" s="177"/>
      <c r="C4589" s="43"/>
      <c r="D4589" s="43"/>
      <c r="E4589" s="44"/>
      <c r="F4589" s="70" t="s">
        <v>13</v>
      </c>
      <c r="G4589" s="70" t="str">
        <f>IF(ISNUMBER(F4589),E4589*F4589,"")</f>
        <v/>
      </c>
      <c r="H4589" s="71"/>
      <c r="I4589" s="72"/>
      <c r="J4589" s="37">
        <v>0</v>
      </c>
    </row>
    <row r="4590" spans="1:10" ht="25.5" hidden="1" x14ac:dyDescent="0.25">
      <c r="A4590" s="179"/>
      <c r="B4590" s="177"/>
      <c r="C4590" s="4" t="s">
        <v>1017</v>
      </c>
      <c r="D4590" s="43"/>
      <c r="E4590" s="44"/>
      <c r="F4590" s="70" t="s">
        <v>13</v>
      </c>
      <c r="G4590" s="70" t="str">
        <f>IF(ISNUMBER(F4590),E4590*F4590,"")</f>
        <v/>
      </c>
      <c r="H4590" s="71"/>
      <c r="I4590" s="72"/>
      <c r="J4590" s="37">
        <v>0</v>
      </c>
    </row>
    <row r="4591" spans="1:10" ht="15.75" hidden="1" thickBot="1" x14ac:dyDescent="0.3">
      <c r="A4591" s="180"/>
      <c r="B4591" s="178"/>
      <c r="C4591" s="49"/>
      <c r="D4591" s="49"/>
      <c r="E4591" s="50"/>
      <c r="F4591" s="83" t="s">
        <v>13</v>
      </c>
      <c r="G4591" s="83" t="str">
        <f>IF(ISNUMBER(F4591),E4591*F4591,"")</f>
        <v/>
      </c>
      <c r="H4591" s="84"/>
      <c r="I4591" s="72"/>
      <c r="J4591" s="37">
        <v>0</v>
      </c>
    </row>
    <row r="4592" spans="1:10" ht="15.75" hidden="1" thickBot="1" x14ac:dyDescent="0.3">
      <c r="A4592" s="173" t="s">
        <v>1092</v>
      </c>
      <c r="B4592" s="176" t="s">
        <v>4611</v>
      </c>
      <c r="C4592" s="31"/>
      <c r="D4592" s="32" t="s">
        <v>18</v>
      </c>
      <c r="E4592" s="33"/>
      <c r="F4592" s="60" t="s">
        <v>13</v>
      </c>
      <c r="G4592" s="34" t="str">
        <f>IF(ISNUMBER(F4592),E4592*F4592,"")</f>
        <v/>
      </c>
      <c r="H4592" s="35"/>
      <c r="I4592" s="36"/>
      <c r="J4592" s="37">
        <v>0</v>
      </c>
    </row>
    <row r="4593" spans="1:10" hidden="1" x14ac:dyDescent="0.25">
      <c r="A4593" s="179"/>
      <c r="B4593" s="177"/>
      <c r="C4593" s="39"/>
      <c r="D4593" s="39"/>
      <c r="E4593" s="40"/>
      <c r="F4593" s="70" t="s">
        <v>13</v>
      </c>
      <c r="G4593" s="70" t="str">
        <f>IF(ISNUMBER(F4593),E4593*F4593,"")</f>
        <v/>
      </c>
      <c r="H4593" s="71"/>
      <c r="I4593" s="72"/>
      <c r="J4593" s="37">
        <v>0</v>
      </c>
    </row>
    <row r="4594" spans="1:10" hidden="1" x14ac:dyDescent="0.25">
      <c r="A4594" s="179"/>
      <c r="B4594" s="177"/>
      <c r="C4594" s="43" t="s">
        <v>10850</v>
      </c>
      <c r="D4594" s="43" t="s">
        <v>2800</v>
      </c>
      <c r="E4594" s="44">
        <v>0.5</v>
      </c>
      <c r="F4594" s="70">
        <v>31.055499999999995</v>
      </c>
      <c r="G4594" s="70">
        <f>IF(ISNUMBER(F4594),E4594*F4594,"")</f>
        <v>15.527749999999997</v>
      </c>
      <c r="H4594" s="46">
        <f>SUM(G4594:G4596)</f>
        <v>55.883303499999997</v>
      </c>
      <c r="I4594" s="47"/>
      <c r="J4594" s="37">
        <v>0</v>
      </c>
    </row>
    <row r="4595" spans="1:10" ht="25.5" hidden="1" x14ac:dyDescent="0.25">
      <c r="A4595" s="179"/>
      <c r="B4595" s="177"/>
      <c r="C4595" s="43" t="s">
        <v>10879</v>
      </c>
      <c r="D4595" s="43" t="s">
        <v>1044</v>
      </c>
      <c r="E4595" s="44">
        <f>ROUND(1.8*(PI()*(0.25-0.15)*0.1)*10,4)</f>
        <v>0.5655</v>
      </c>
      <c r="F4595" s="70">
        <v>56.296999999999997</v>
      </c>
      <c r="G4595" s="70">
        <f>IF(ISNUMBER(F4595),E4595*F4595,"")</f>
        <v>31.835953499999999</v>
      </c>
      <c r="H4595" s="71"/>
      <c r="I4595" s="72"/>
      <c r="J4595" s="37">
        <v>0</v>
      </c>
    </row>
    <row r="4596" spans="1:10" ht="25.5" hidden="1" x14ac:dyDescent="0.25">
      <c r="A4596" s="179"/>
      <c r="B4596" s="177"/>
      <c r="C4596" s="43" t="s">
        <v>10803</v>
      </c>
      <c r="D4596" s="43" t="s">
        <v>10820</v>
      </c>
      <c r="E4596" s="44">
        <v>0.2</v>
      </c>
      <c r="F4596" s="70">
        <v>42.597999999999999</v>
      </c>
      <c r="G4596" s="70">
        <f>IF(ISNUMBER(F4596),E4596*F4596,"")</f>
        <v>8.5196000000000005</v>
      </c>
      <c r="H4596" s="71"/>
      <c r="I4596" s="72"/>
      <c r="J4596" s="37">
        <v>0</v>
      </c>
    </row>
    <row r="4597" spans="1:10" hidden="1" x14ac:dyDescent="0.25">
      <c r="A4597" s="179"/>
      <c r="B4597" s="177"/>
      <c r="C4597" s="43"/>
      <c r="D4597" s="44"/>
      <c r="E4597" s="44"/>
      <c r="F4597" s="70" t="s">
        <v>13</v>
      </c>
      <c r="G4597" s="70" t="str">
        <f>IF(ISNUMBER(F4597),E4597*F4597,"")</f>
        <v/>
      </c>
      <c r="H4597" s="71"/>
      <c r="I4597" s="72"/>
      <c r="J4597" s="37">
        <v>0</v>
      </c>
    </row>
    <row r="4598" spans="1:10" ht="25.5" hidden="1" x14ac:dyDescent="0.25">
      <c r="A4598" s="179"/>
      <c r="B4598" s="177"/>
      <c r="C4598" s="4" t="s">
        <v>1017</v>
      </c>
      <c r="D4598" s="44"/>
      <c r="E4598" s="44"/>
      <c r="F4598" s="70" t="s">
        <v>13</v>
      </c>
      <c r="G4598" s="70" t="str">
        <f>IF(ISNUMBER(F4598),E4598*F4598,"")</f>
        <v/>
      </c>
      <c r="H4598" s="71"/>
      <c r="I4598" s="72"/>
      <c r="J4598" s="37">
        <v>0</v>
      </c>
    </row>
    <row r="4599" spans="1:10" ht="15.75" hidden="1" thickBot="1" x14ac:dyDescent="0.3">
      <c r="A4599" s="180"/>
      <c r="B4599" s="178"/>
      <c r="C4599" s="49"/>
      <c r="D4599" s="49"/>
      <c r="E4599" s="50"/>
      <c r="F4599" s="83" t="s">
        <v>13</v>
      </c>
      <c r="G4599" s="83" t="str">
        <f>IF(ISNUMBER(F4599),E4599*F4599,"")</f>
        <v/>
      </c>
      <c r="H4599" s="84"/>
      <c r="I4599" s="72"/>
      <c r="J4599" s="37">
        <v>0</v>
      </c>
    </row>
    <row r="4600" spans="1:10" ht="15.75" hidden="1" thickBot="1" x14ac:dyDescent="0.3">
      <c r="A4600" s="173" t="s">
        <v>1093</v>
      </c>
      <c r="B4600" s="176" t="s">
        <v>4612</v>
      </c>
      <c r="C4600" s="31"/>
      <c r="D4600" s="32" t="s">
        <v>68</v>
      </c>
      <c r="E4600" s="33"/>
      <c r="F4600" s="60" t="s">
        <v>13</v>
      </c>
      <c r="G4600" s="34" t="str">
        <f>IF(ISNUMBER(F4600),E4600*F4600,"")</f>
        <v/>
      </c>
      <c r="H4600" s="35"/>
      <c r="I4600" s="36"/>
      <c r="J4600" s="37">
        <v>0</v>
      </c>
    </row>
    <row r="4601" spans="1:10" hidden="1" x14ac:dyDescent="0.25">
      <c r="A4601" s="179"/>
      <c r="B4601" s="177"/>
      <c r="C4601" s="39"/>
      <c r="D4601" s="39"/>
      <c r="E4601" s="40"/>
      <c r="F4601" s="70" t="s">
        <v>13</v>
      </c>
      <c r="G4601" s="70" t="str">
        <f>IF(ISNUMBER(F4601),E4601*F4601,"")</f>
        <v/>
      </c>
      <c r="H4601" s="71"/>
      <c r="I4601" s="72"/>
      <c r="J4601" s="37">
        <v>0</v>
      </c>
    </row>
    <row r="4602" spans="1:10" hidden="1" x14ac:dyDescent="0.25">
      <c r="A4602" s="179"/>
      <c r="B4602" s="177"/>
      <c r="C4602" s="43" t="s">
        <v>10648</v>
      </c>
      <c r="D4602" s="43" t="s">
        <v>1044</v>
      </c>
      <c r="E4602" s="44">
        <v>0.5</v>
      </c>
      <c r="F4602" s="70">
        <v>0.64600000000000002</v>
      </c>
      <c r="G4602" s="70">
        <f>IF(ISNUMBER(F4602),E4602*F4602,"")</f>
        <v>0.32300000000000001</v>
      </c>
      <c r="H4602" s="46">
        <f>SUM(G4602:G4606)</f>
        <v>47.908584871669994</v>
      </c>
      <c r="I4602" s="47"/>
      <c r="J4602" s="37">
        <v>0</v>
      </c>
    </row>
    <row r="4603" spans="1:10" ht="25.5" hidden="1" x14ac:dyDescent="0.25">
      <c r="A4603" s="179"/>
      <c r="B4603" s="177"/>
      <c r="C4603" s="43" t="s">
        <v>10756</v>
      </c>
      <c r="D4603" s="43" t="s">
        <v>70</v>
      </c>
      <c r="E4603" s="44">
        <v>0.21</v>
      </c>
      <c r="F4603" s="70">
        <v>14.762999999999998</v>
      </c>
      <c r="G4603" s="70">
        <f>IF(ISNUMBER(F4603),E4603*F4603,"")</f>
        <v>3.1002299999999994</v>
      </c>
      <c r="H4603" s="71"/>
      <c r="I4603" s="72"/>
      <c r="J4603" s="37">
        <v>0</v>
      </c>
    </row>
    <row r="4604" spans="1:10" ht="38.25" hidden="1" x14ac:dyDescent="0.25">
      <c r="A4604" s="179"/>
      <c r="B4604" s="177"/>
      <c r="C4604" s="43" t="s">
        <v>10625</v>
      </c>
      <c r="D4604" s="43" t="s">
        <v>2880</v>
      </c>
      <c r="E4604" s="44">
        <v>4.3099999999999999E-2</v>
      </c>
      <c r="F4604" s="70">
        <v>787.9934657</v>
      </c>
      <c r="G4604" s="70">
        <f>IF(ISNUMBER(F4604),E4604*F4604,"")</f>
        <v>33.962518371670001</v>
      </c>
      <c r="H4604" s="71"/>
      <c r="I4604" s="72"/>
      <c r="J4604" s="37">
        <v>0</v>
      </c>
    </row>
    <row r="4605" spans="1:10" hidden="1" x14ac:dyDescent="0.25">
      <c r="A4605" s="179"/>
      <c r="B4605" s="177"/>
      <c r="C4605" s="43" t="s">
        <v>10757</v>
      </c>
      <c r="D4605" s="43" t="s">
        <v>2800</v>
      </c>
      <c r="E4605" s="44">
        <v>0.245</v>
      </c>
      <c r="F4605" s="70">
        <v>31.055499999999995</v>
      </c>
      <c r="G4605" s="70">
        <f>IF(ISNUMBER(F4605),E4605*F4605,"")</f>
        <v>7.6085974999999983</v>
      </c>
      <c r="H4605" s="71"/>
      <c r="I4605" s="72"/>
      <c r="J4605" s="37">
        <v>0</v>
      </c>
    </row>
    <row r="4606" spans="1:10" hidden="1" x14ac:dyDescent="0.25">
      <c r="A4606" s="179"/>
      <c r="B4606" s="177"/>
      <c r="C4606" s="43" t="s">
        <v>10614</v>
      </c>
      <c r="D4606" s="43" t="s">
        <v>2800</v>
      </c>
      <c r="E4606" s="44">
        <v>0.123</v>
      </c>
      <c r="F4606" s="70">
        <v>23.693000000000001</v>
      </c>
      <c r="G4606" s="70">
        <f>IF(ISNUMBER(F4606),E4606*F4606,"")</f>
        <v>2.9142390000000002</v>
      </c>
      <c r="H4606" s="71"/>
      <c r="I4606" s="72"/>
      <c r="J4606" s="37">
        <v>0</v>
      </c>
    </row>
    <row r="4607" spans="1:10" ht="15.75" hidden="1" thickBot="1" x14ac:dyDescent="0.3">
      <c r="A4607" s="180"/>
      <c r="B4607" s="178"/>
      <c r="C4607" s="49"/>
      <c r="D4607" s="49"/>
      <c r="E4607" s="50"/>
      <c r="F4607" s="83" t="s">
        <v>13</v>
      </c>
      <c r="G4607" s="83" t="str">
        <f>IF(ISNUMBER(F4607),E4607*F4607,"")</f>
        <v/>
      </c>
      <c r="H4607" s="84"/>
      <c r="I4607" s="72"/>
      <c r="J4607" s="37">
        <v>0</v>
      </c>
    </row>
    <row r="4608" spans="1:10" ht="15.75" hidden="1" thickBot="1" x14ac:dyDescent="0.3">
      <c r="A4608" s="173" t="s">
        <v>1094</v>
      </c>
      <c r="B4608" s="176" t="s">
        <v>4613</v>
      </c>
      <c r="C4608" s="31"/>
      <c r="D4608" s="32" t="s">
        <v>68</v>
      </c>
      <c r="E4608" s="33"/>
      <c r="F4608" s="60" t="s">
        <v>13</v>
      </c>
      <c r="G4608" s="34" t="str">
        <f>IF(ISNUMBER(F4608),E4608*F4608,"")</f>
        <v/>
      </c>
      <c r="H4608" s="35"/>
      <c r="I4608" s="36"/>
      <c r="J4608" s="37">
        <v>0</v>
      </c>
    </row>
    <row r="4609" spans="1:10" hidden="1" x14ac:dyDescent="0.25">
      <c r="A4609" s="179"/>
      <c r="B4609" s="177"/>
      <c r="C4609" s="39"/>
      <c r="D4609" s="39"/>
      <c r="E4609" s="40"/>
      <c r="F4609" s="70" t="s">
        <v>13</v>
      </c>
      <c r="G4609" s="70" t="str">
        <f>IF(ISNUMBER(F4609),E4609*F4609,"")</f>
        <v/>
      </c>
      <c r="H4609" s="71"/>
      <c r="I4609" s="72"/>
      <c r="J4609" s="37">
        <v>0</v>
      </c>
    </row>
    <row r="4610" spans="1:10" hidden="1" x14ac:dyDescent="0.25">
      <c r="A4610" s="179"/>
      <c r="B4610" s="177"/>
      <c r="C4610" s="43" t="s">
        <v>10757</v>
      </c>
      <c r="D4610" s="43" t="s">
        <v>2800</v>
      </c>
      <c r="E4610" s="44">
        <v>0.29899999999999999</v>
      </c>
      <c r="F4610" s="70">
        <v>31.055499999999995</v>
      </c>
      <c r="G4610" s="70">
        <f>IF(ISNUMBER(F4610),E4610*F4610,"")</f>
        <v>9.2855944999999984</v>
      </c>
      <c r="H4610" s="46">
        <f>SUM(G4610:G4612)</f>
        <v>64.902219582770002</v>
      </c>
      <c r="I4610" s="47"/>
      <c r="J4610" s="37">
        <v>0</v>
      </c>
    </row>
    <row r="4611" spans="1:10" hidden="1" x14ac:dyDescent="0.25">
      <c r="A4611" s="179"/>
      <c r="B4611" s="177"/>
      <c r="C4611" s="43" t="s">
        <v>10614</v>
      </c>
      <c r="D4611" s="43" t="s">
        <v>2800</v>
      </c>
      <c r="E4611" s="44">
        <v>0.14899999999999999</v>
      </c>
      <c r="F4611" s="70">
        <v>23.693000000000001</v>
      </c>
      <c r="G4611" s="70">
        <f>IF(ISNUMBER(F4611),E4611*F4611,"")</f>
        <v>3.5302570000000002</v>
      </c>
      <c r="H4611" s="71"/>
      <c r="I4611" s="72"/>
      <c r="J4611" s="37">
        <v>0</v>
      </c>
    </row>
    <row r="4612" spans="1:10" ht="38.25" hidden="1" x14ac:dyDescent="0.25">
      <c r="A4612" s="179"/>
      <c r="B4612" s="177"/>
      <c r="C4612" s="43" t="s">
        <v>10625</v>
      </c>
      <c r="D4612" s="43" t="s">
        <v>2880</v>
      </c>
      <c r="E4612" s="44">
        <v>6.6100000000000006E-2</v>
      </c>
      <c r="F4612" s="70">
        <v>787.9934657</v>
      </c>
      <c r="G4612" s="70">
        <f>IF(ISNUMBER(F4612),E4612*F4612,"")</f>
        <v>52.086368082770008</v>
      </c>
      <c r="H4612" s="71"/>
      <c r="I4612" s="72"/>
      <c r="J4612" s="37">
        <v>0</v>
      </c>
    </row>
    <row r="4613" spans="1:10" ht="15.75" hidden="1" thickBot="1" x14ac:dyDescent="0.3">
      <c r="A4613" s="180"/>
      <c r="B4613" s="178"/>
      <c r="C4613" s="49"/>
      <c r="D4613" s="49"/>
      <c r="E4613" s="50"/>
      <c r="F4613" s="83" t="s">
        <v>13</v>
      </c>
      <c r="G4613" s="83" t="str">
        <f>IF(ISNUMBER(F4613),E4613*F4613,"")</f>
        <v/>
      </c>
      <c r="H4613" s="84"/>
      <c r="I4613" s="72"/>
      <c r="J4613" s="37">
        <v>0</v>
      </c>
    </row>
    <row r="4614" spans="1:10" ht="15.75" hidden="1" thickBot="1" x14ac:dyDescent="0.3">
      <c r="A4614" s="173" t="s">
        <v>1095</v>
      </c>
      <c r="B4614" s="176" t="s">
        <v>4614</v>
      </c>
      <c r="C4614" s="31"/>
      <c r="D4614" s="32" t="s">
        <v>68</v>
      </c>
      <c r="E4614" s="33"/>
      <c r="F4614" s="60" t="s">
        <v>13</v>
      </c>
      <c r="G4614" s="34" t="str">
        <f>IF(ISNUMBER(F4614),E4614*F4614,"")</f>
        <v/>
      </c>
      <c r="H4614" s="35"/>
      <c r="I4614" s="36"/>
      <c r="J4614" s="37">
        <v>0</v>
      </c>
    </row>
    <row r="4615" spans="1:10" hidden="1" x14ac:dyDescent="0.25">
      <c r="A4615" s="179"/>
      <c r="B4615" s="177"/>
      <c r="C4615" s="39"/>
      <c r="D4615" s="39"/>
      <c r="E4615" s="40"/>
      <c r="F4615" s="70" t="s">
        <v>13</v>
      </c>
      <c r="G4615" s="70" t="str">
        <f>IF(ISNUMBER(F4615),E4615*F4615,"")</f>
        <v/>
      </c>
      <c r="H4615" s="71"/>
      <c r="I4615" s="72"/>
      <c r="J4615" s="37">
        <v>0</v>
      </c>
    </row>
    <row r="4616" spans="1:10" hidden="1" x14ac:dyDescent="0.25">
      <c r="A4616" s="179"/>
      <c r="B4616" s="177"/>
      <c r="C4616" s="43" t="s">
        <v>10614</v>
      </c>
      <c r="D4616" s="43" t="s">
        <v>2800</v>
      </c>
      <c r="E4616" s="44">
        <v>0.01</v>
      </c>
      <c r="F4616" s="70">
        <v>23.693000000000001</v>
      </c>
      <c r="G4616" s="70">
        <f>IF(ISNUMBER(F4616),E4616*F4616,"")</f>
        <v>0.23693000000000003</v>
      </c>
      <c r="H4616" s="46">
        <f>SUM(G4616:G4617)</f>
        <v>8.0953299999999988</v>
      </c>
      <c r="I4616" s="47"/>
      <c r="J4616" s="37">
        <v>0</v>
      </c>
    </row>
    <row r="4617" spans="1:10" ht="25.5" hidden="1" x14ac:dyDescent="0.25">
      <c r="A4617" s="179"/>
      <c r="B4617" s="177"/>
      <c r="C4617" s="43" t="s">
        <v>11163</v>
      </c>
      <c r="D4617" s="43" t="s">
        <v>162</v>
      </c>
      <c r="E4617" s="44">
        <v>1.1000000000000001</v>
      </c>
      <c r="F4617" s="70">
        <v>7.1439999999999992</v>
      </c>
      <c r="G4617" s="70">
        <f>IF(ISNUMBER(F4617),E4617*F4617,"")</f>
        <v>7.8583999999999996</v>
      </c>
      <c r="H4617" s="71"/>
      <c r="I4617" s="72"/>
      <c r="J4617" s="37">
        <v>0</v>
      </c>
    </row>
    <row r="4618" spans="1:10" ht="15.75" hidden="1" thickBot="1" x14ac:dyDescent="0.3">
      <c r="A4618" s="180"/>
      <c r="B4618" s="178"/>
      <c r="C4618" s="49"/>
      <c r="D4618" s="49"/>
      <c r="E4618" s="50"/>
      <c r="F4618" s="83" t="s">
        <v>13</v>
      </c>
      <c r="G4618" s="83" t="str">
        <f>IF(ISNUMBER(F4618),E4618*F4618,"")</f>
        <v/>
      </c>
      <c r="H4618" s="84"/>
      <c r="I4618" s="72"/>
      <c r="J4618" s="37">
        <v>0</v>
      </c>
    </row>
    <row r="4619" spans="1:10" ht="15.75" hidden="1" thickBot="1" x14ac:dyDescent="0.3">
      <c r="A4619" s="173" t="s">
        <v>1096</v>
      </c>
      <c r="B4619" s="176" t="s">
        <v>4615</v>
      </c>
      <c r="C4619" s="31"/>
      <c r="D4619" s="32" t="s">
        <v>68</v>
      </c>
      <c r="E4619" s="33"/>
      <c r="F4619" s="60" t="s">
        <v>13</v>
      </c>
      <c r="G4619" s="34" t="str">
        <f>IF(ISNUMBER(F4619),E4619*F4619,"")</f>
        <v/>
      </c>
      <c r="H4619" s="35"/>
      <c r="I4619" s="36"/>
      <c r="J4619" s="37">
        <v>0</v>
      </c>
    </row>
    <row r="4620" spans="1:10" hidden="1" x14ac:dyDescent="0.25">
      <c r="A4620" s="179"/>
      <c r="B4620" s="177"/>
      <c r="C4620" s="39"/>
      <c r="D4620" s="39"/>
      <c r="E4620" s="40"/>
      <c r="F4620" s="70" t="s">
        <v>13</v>
      </c>
      <c r="G4620" s="70" t="str">
        <f>IF(ISNUMBER(F4620),E4620*F4620,"")</f>
        <v/>
      </c>
      <c r="H4620" s="71"/>
      <c r="I4620" s="72"/>
      <c r="J4620" s="37">
        <v>0</v>
      </c>
    </row>
    <row r="4621" spans="1:10" hidden="1" x14ac:dyDescent="0.25">
      <c r="A4621" s="179"/>
      <c r="B4621" s="177"/>
      <c r="C4621" s="43" t="s">
        <v>10614</v>
      </c>
      <c r="D4621" s="43" t="s">
        <v>2800</v>
      </c>
      <c r="E4621" s="44">
        <v>0.05</v>
      </c>
      <c r="F4621" s="70">
        <v>23.693000000000001</v>
      </c>
      <c r="G4621" s="70">
        <f>IF(ISNUMBER(F4621),E4621*F4621,"")</f>
        <v>1.1846500000000002</v>
      </c>
      <c r="H4621" s="46">
        <f>SUM(G4621:G4622)</f>
        <v>11.069875</v>
      </c>
      <c r="I4621" s="47"/>
      <c r="J4621" s="37">
        <v>0</v>
      </c>
    </row>
    <row r="4622" spans="1:10" ht="25.5" hidden="1" x14ac:dyDescent="0.25">
      <c r="A4622" s="179"/>
      <c r="B4622" s="177"/>
      <c r="C4622" s="43" t="s">
        <v>11164</v>
      </c>
      <c r="D4622" s="43" t="s">
        <v>162</v>
      </c>
      <c r="E4622" s="44">
        <v>1.05</v>
      </c>
      <c r="F4622" s="70">
        <v>9.4145000000000003</v>
      </c>
      <c r="G4622" s="70">
        <f>IF(ISNUMBER(F4622),E4622*F4622,"")</f>
        <v>9.8852250000000002</v>
      </c>
      <c r="H4622" s="71"/>
      <c r="I4622" s="72"/>
      <c r="J4622" s="37">
        <v>0</v>
      </c>
    </row>
    <row r="4623" spans="1:10" ht="15.75" hidden="1" thickBot="1" x14ac:dyDescent="0.3">
      <c r="A4623" s="180"/>
      <c r="B4623" s="178"/>
      <c r="C4623" s="49"/>
      <c r="D4623" s="49"/>
      <c r="E4623" s="50"/>
      <c r="F4623" s="83" t="s">
        <v>13</v>
      </c>
      <c r="G4623" s="83" t="str">
        <f>IF(ISNUMBER(F4623),E4623*F4623,"")</f>
        <v/>
      </c>
      <c r="H4623" s="84"/>
      <c r="I4623" s="72"/>
      <c r="J4623" s="37">
        <v>0</v>
      </c>
    </row>
    <row r="4624" spans="1:10" ht="15.75" hidden="1" thickBot="1" x14ac:dyDescent="0.3">
      <c r="A4624" s="173" t="s">
        <v>1097</v>
      </c>
      <c r="B4624" s="176" t="s">
        <v>4616</v>
      </c>
      <c r="C4624" s="31"/>
      <c r="D4624" s="32" t="s">
        <v>68</v>
      </c>
      <c r="E4624" s="33"/>
      <c r="F4624" s="60" t="s">
        <v>13</v>
      </c>
      <c r="G4624" s="34" t="str">
        <f>IF(ISNUMBER(F4624),E4624*F4624,"")</f>
        <v/>
      </c>
      <c r="H4624" s="35"/>
      <c r="I4624" s="36"/>
      <c r="J4624" s="37">
        <v>0</v>
      </c>
    </row>
    <row r="4625" spans="1:10" hidden="1" x14ac:dyDescent="0.25">
      <c r="A4625" s="179"/>
      <c r="B4625" s="177"/>
      <c r="C4625" s="39"/>
      <c r="D4625" s="39"/>
      <c r="E4625" s="40"/>
      <c r="F4625" s="70" t="s">
        <v>13</v>
      </c>
      <c r="G4625" s="70" t="str">
        <f>IF(ISNUMBER(F4625),E4625*F4625,"")</f>
        <v/>
      </c>
      <c r="H4625" s="71"/>
      <c r="I4625" s="72"/>
      <c r="J4625" s="37">
        <v>0</v>
      </c>
    </row>
    <row r="4626" spans="1:10" hidden="1" x14ac:dyDescent="0.25">
      <c r="A4626" s="179"/>
      <c r="B4626" s="177"/>
      <c r="C4626" s="43" t="s">
        <v>10757</v>
      </c>
      <c r="D4626" s="43" t="s">
        <v>2800</v>
      </c>
      <c r="E4626" s="44">
        <v>0.107</v>
      </c>
      <c r="F4626" s="70">
        <v>31.055499999999995</v>
      </c>
      <c r="G4626" s="70">
        <f>IF(ISNUMBER(F4626),E4626*F4626,"")</f>
        <v>3.3229384999999994</v>
      </c>
      <c r="H4626" s="46">
        <f>SUM(G4626:G4631)</f>
        <v>36.964646006450003</v>
      </c>
      <c r="I4626" s="47"/>
      <c r="J4626" s="37">
        <v>0</v>
      </c>
    </row>
    <row r="4627" spans="1:10" hidden="1" x14ac:dyDescent="0.25">
      <c r="A4627" s="179"/>
      <c r="B4627" s="177"/>
      <c r="C4627" s="43" t="s">
        <v>10614</v>
      </c>
      <c r="D4627" s="43" t="s">
        <v>2800</v>
      </c>
      <c r="E4627" s="44">
        <v>0.214</v>
      </c>
      <c r="F4627" s="70">
        <v>23.693000000000001</v>
      </c>
      <c r="G4627" s="70">
        <f>IF(ISNUMBER(F4627),E4627*F4627,"")</f>
        <v>5.0703019999999999</v>
      </c>
      <c r="H4627" s="71"/>
      <c r="I4627" s="72"/>
      <c r="J4627" s="37">
        <v>0</v>
      </c>
    </row>
    <row r="4628" spans="1:10" hidden="1" x14ac:dyDescent="0.25">
      <c r="A4628" s="179"/>
      <c r="B4628" s="177"/>
      <c r="C4628" s="43" t="s">
        <v>10648</v>
      </c>
      <c r="D4628" s="43" t="s">
        <v>1044</v>
      </c>
      <c r="E4628" s="44">
        <v>0.5</v>
      </c>
      <c r="F4628" s="70">
        <v>0.64600000000000002</v>
      </c>
      <c r="G4628" s="70">
        <f>IF(ISNUMBER(F4628),E4628*F4628,"")</f>
        <v>0.32300000000000001</v>
      </c>
      <c r="H4628" s="71"/>
      <c r="I4628" s="72"/>
      <c r="J4628" s="37">
        <v>0</v>
      </c>
    </row>
    <row r="4629" spans="1:10" ht="25.5" hidden="1" x14ac:dyDescent="0.25">
      <c r="A4629" s="179"/>
      <c r="B4629" s="177"/>
      <c r="C4629" s="43" t="s">
        <v>10756</v>
      </c>
      <c r="D4629" s="43" t="s">
        <v>70</v>
      </c>
      <c r="E4629" s="44">
        <v>0.21</v>
      </c>
      <c r="F4629" s="70">
        <v>14.762999999999998</v>
      </c>
      <c r="G4629" s="70">
        <f>IF(ISNUMBER(F4629),E4629*F4629,"")</f>
        <v>3.1002299999999994</v>
      </c>
      <c r="H4629" s="71"/>
      <c r="I4629" s="72"/>
      <c r="J4629" s="37">
        <v>0</v>
      </c>
    </row>
    <row r="4630" spans="1:10" hidden="1" x14ac:dyDescent="0.25">
      <c r="A4630" s="179"/>
      <c r="B4630" s="177"/>
      <c r="C4630" s="43" t="s">
        <v>1098</v>
      </c>
      <c r="D4630" s="43" t="s">
        <v>1044</v>
      </c>
      <c r="E4630" s="44">
        <v>0.5</v>
      </c>
      <c r="F4630" s="70" t="s">
        <v>13</v>
      </c>
      <c r="G4630" s="70" t="str">
        <f>IF(ISNUMBER(F4630),E4630*F4630,"")</f>
        <v/>
      </c>
      <c r="H4630" s="71"/>
      <c r="I4630" s="72"/>
      <c r="J4630" s="37">
        <v>0</v>
      </c>
    </row>
    <row r="4631" spans="1:10" ht="51" hidden="1" x14ac:dyDescent="0.25">
      <c r="A4631" s="179"/>
      <c r="B4631" s="177"/>
      <c r="C4631" s="43" t="s">
        <v>10628</v>
      </c>
      <c r="D4631" s="43" t="s">
        <v>2880</v>
      </c>
      <c r="E4631" s="44">
        <v>3.1E-2</v>
      </c>
      <c r="F4631" s="70">
        <v>811.23146795000002</v>
      </c>
      <c r="G4631" s="70">
        <f>IF(ISNUMBER(F4631),E4631*F4631,"")</f>
        <v>25.148175506450002</v>
      </c>
      <c r="H4631" s="71"/>
      <c r="I4631" s="72"/>
      <c r="J4631" s="37">
        <v>0</v>
      </c>
    </row>
    <row r="4632" spans="1:10" ht="15.75" hidden="1" thickBot="1" x14ac:dyDescent="0.3">
      <c r="A4632" s="180"/>
      <c r="B4632" s="178"/>
      <c r="C4632" s="49"/>
      <c r="D4632" s="49"/>
      <c r="E4632" s="50"/>
      <c r="F4632" s="83" t="s">
        <v>13</v>
      </c>
      <c r="G4632" s="83" t="str">
        <f>IF(ISNUMBER(F4632),E4632*F4632,"")</f>
        <v/>
      </c>
      <c r="H4632" s="84"/>
      <c r="I4632" s="72"/>
      <c r="J4632" s="37">
        <v>0</v>
      </c>
    </row>
    <row r="4633" spans="1:10" ht="15.75" hidden="1" thickBot="1" x14ac:dyDescent="0.3">
      <c r="A4633" s="173" t="s">
        <v>1099</v>
      </c>
      <c r="B4633" s="176" t="s">
        <v>4617</v>
      </c>
      <c r="C4633" s="31"/>
      <c r="D4633" s="32" t="s">
        <v>68</v>
      </c>
      <c r="E4633" s="33"/>
      <c r="F4633" s="60" t="s">
        <v>13</v>
      </c>
      <c r="G4633" s="34" t="str">
        <f>IF(ISNUMBER(F4633),E4633*F4633,"")</f>
        <v/>
      </c>
      <c r="H4633" s="35"/>
      <c r="I4633" s="36"/>
      <c r="J4633" s="37">
        <v>0</v>
      </c>
    </row>
    <row r="4634" spans="1:10" hidden="1" x14ac:dyDescent="0.25">
      <c r="A4634" s="179"/>
      <c r="B4634" s="177"/>
      <c r="C4634" s="39"/>
      <c r="D4634" s="39"/>
      <c r="E4634" s="40"/>
      <c r="F4634" s="70" t="s">
        <v>13</v>
      </c>
      <c r="G4634" s="70" t="str">
        <f>IF(ISNUMBER(F4634),E4634*F4634,"")</f>
        <v/>
      </c>
      <c r="H4634" s="71"/>
      <c r="I4634" s="72"/>
      <c r="J4634" s="37">
        <v>0</v>
      </c>
    </row>
    <row r="4635" spans="1:10" hidden="1" x14ac:dyDescent="0.25">
      <c r="A4635" s="179"/>
      <c r="B4635" s="177"/>
      <c r="C4635" s="43" t="s">
        <v>11054</v>
      </c>
      <c r="D4635" s="43" t="s">
        <v>162</v>
      </c>
      <c r="E4635" s="44">
        <v>1.04</v>
      </c>
      <c r="F4635" s="70">
        <v>1.9569999999999999</v>
      </c>
      <c r="G4635" s="70">
        <f>IF(ISNUMBER(F4635),E4635*F4635,"")</f>
        <v>2.0352799999999998</v>
      </c>
      <c r="H4635" s="46">
        <f>SUM(G4635:G4639)</f>
        <v>86.854373841250009</v>
      </c>
      <c r="I4635" s="47"/>
      <c r="J4635" s="37">
        <v>0</v>
      </c>
    </row>
    <row r="4636" spans="1:10" ht="25.5" hidden="1" x14ac:dyDescent="0.25">
      <c r="A4636" s="179"/>
      <c r="B4636" s="177"/>
      <c r="C4636" s="43" t="s">
        <v>10700</v>
      </c>
      <c r="D4636" s="43" t="s">
        <v>2880</v>
      </c>
      <c r="E4636" s="44">
        <v>4.3999999999999997E-2</v>
      </c>
      <c r="F4636" s="70">
        <v>973.42520093750011</v>
      </c>
      <c r="G4636" s="70">
        <f>IF(ISNUMBER(F4636),E4636*F4636,"")</f>
        <v>42.830708841250001</v>
      </c>
      <c r="H4636" s="71"/>
      <c r="I4636" s="72"/>
      <c r="J4636" s="37">
        <v>0</v>
      </c>
    </row>
    <row r="4637" spans="1:10" hidden="1" x14ac:dyDescent="0.25">
      <c r="A4637" s="179"/>
      <c r="B4637" s="177"/>
      <c r="C4637" s="43" t="s">
        <v>10757</v>
      </c>
      <c r="D4637" s="43" t="s">
        <v>2800</v>
      </c>
      <c r="E4637" s="44">
        <v>0.92820000000000003</v>
      </c>
      <c r="F4637" s="70">
        <v>31.055499999999995</v>
      </c>
      <c r="G4637" s="70">
        <f>IF(ISNUMBER(F4637),E4637*F4637,"")</f>
        <v>28.825715099999996</v>
      </c>
      <c r="H4637" s="71"/>
      <c r="I4637" s="72"/>
      <c r="J4637" s="37">
        <v>0</v>
      </c>
    </row>
    <row r="4638" spans="1:10" hidden="1" x14ac:dyDescent="0.25">
      <c r="A4638" s="179"/>
      <c r="B4638" s="177"/>
      <c r="C4638" s="43" t="s">
        <v>10614</v>
      </c>
      <c r="D4638" s="43" t="s">
        <v>2800</v>
      </c>
      <c r="E4638" s="44">
        <v>0.20930000000000001</v>
      </c>
      <c r="F4638" s="70">
        <v>23.693000000000001</v>
      </c>
      <c r="G4638" s="70">
        <f>IF(ISNUMBER(F4638),E4638*F4638,"")</f>
        <v>4.9589449000000005</v>
      </c>
      <c r="H4638" s="71"/>
      <c r="I4638" s="72"/>
      <c r="J4638" s="37">
        <v>0</v>
      </c>
    </row>
    <row r="4639" spans="1:10" ht="51" hidden="1" x14ac:dyDescent="0.25">
      <c r="A4639" s="179"/>
      <c r="B4639" s="177"/>
      <c r="C4639" s="43" t="s">
        <v>11052</v>
      </c>
      <c r="D4639" s="43" t="s">
        <v>1044</v>
      </c>
      <c r="E4639" s="44">
        <f>0.15*1.5*(4*1/2)</f>
        <v>0.44999999999999996</v>
      </c>
      <c r="F4639" s="70">
        <v>18.230499999999999</v>
      </c>
      <c r="G4639" s="70">
        <f>IF(ISNUMBER(F4639),E4639*F4639,"")</f>
        <v>8.2037249999999986</v>
      </c>
      <c r="H4639" s="71"/>
      <c r="I4639" s="72"/>
      <c r="J4639" s="37">
        <v>0</v>
      </c>
    </row>
    <row r="4640" spans="1:10" ht="15.75" hidden="1" thickBot="1" x14ac:dyDescent="0.3">
      <c r="A4640" s="180"/>
      <c r="B4640" s="178"/>
      <c r="C4640" s="49"/>
      <c r="D4640" s="49"/>
      <c r="E4640" s="50"/>
      <c r="F4640" s="83" t="s">
        <v>13</v>
      </c>
      <c r="G4640" s="83" t="str">
        <f>IF(ISNUMBER(F4640),E4640*F4640,"")</f>
        <v/>
      </c>
      <c r="H4640" s="84"/>
      <c r="I4640" s="72"/>
      <c r="J4640" s="37">
        <v>0</v>
      </c>
    </row>
    <row r="4641" spans="1:10" ht="15.75" hidden="1" thickBot="1" x14ac:dyDescent="0.3">
      <c r="A4641" s="173" t="s">
        <v>1100</v>
      </c>
      <c r="B4641" s="176" t="s">
        <v>4618</v>
      </c>
      <c r="C4641" s="31"/>
      <c r="D4641" s="32" t="s">
        <v>68</v>
      </c>
      <c r="E4641" s="33"/>
      <c r="F4641" s="60" t="s">
        <v>13</v>
      </c>
      <c r="G4641" s="34" t="str">
        <f>IF(ISNUMBER(F4641),E4641*F4641,"")</f>
        <v/>
      </c>
      <c r="H4641" s="35"/>
      <c r="I4641" s="36"/>
      <c r="J4641" s="37">
        <v>0</v>
      </c>
    </row>
    <row r="4642" spans="1:10" hidden="1" x14ac:dyDescent="0.25">
      <c r="A4642" s="179"/>
      <c r="B4642" s="177"/>
      <c r="C4642" s="39"/>
      <c r="D4642" s="39"/>
      <c r="E4642" s="40"/>
      <c r="F4642" s="70" t="s">
        <v>13</v>
      </c>
      <c r="G4642" s="70" t="str">
        <f>IF(ISNUMBER(F4642),E4642*F4642,"")</f>
        <v/>
      </c>
      <c r="H4642" s="71"/>
      <c r="I4642" s="72"/>
      <c r="J4642" s="37">
        <v>0</v>
      </c>
    </row>
    <row r="4643" spans="1:10" hidden="1" x14ac:dyDescent="0.25">
      <c r="A4643" s="179"/>
      <c r="B4643" s="177"/>
      <c r="C4643" s="43" t="s">
        <v>1101</v>
      </c>
      <c r="D4643" s="43" t="s">
        <v>70</v>
      </c>
      <c r="E4643" s="44">
        <v>0.32569999999999999</v>
      </c>
      <c r="F4643" s="70" t="s">
        <v>13</v>
      </c>
      <c r="G4643" s="70" t="str">
        <f>IF(ISNUMBER(F4643),E4643*F4643,"")</f>
        <v/>
      </c>
      <c r="H4643" s="46">
        <f>SUM(G4643:G4644)</f>
        <v>14.779259250000001</v>
      </c>
      <c r="I4643" s="47"/>
      <c r="J4643" s="37">
        <v>0</v>
      </c>
    </row>
    <row r="4644" spans="1:10" hidden="1" x14ac:dyDescent="0.25">
      <c r="A4644" s="179"/>
      <c r="B4644" s="177"/>
      <c r="C4644" s="43" t="s">
        <v>10674</v>
      </c>
      <c r="D4644" s="43" t="s">
        <v>2800</v>
      </c>
      <c r="E4644" s="44">
        <v>0.45290000000000002</v>
      </c>
      <c r="F4644" s="70">
        <v>32.6325</v>
      </c>
      <c r="G4644" s="70">
        <f>IF(ISNUMBER(F4644),E4644*F4644,"")</f>
        <v>14.779259250000001</v>
      </c>
      <c r="H4644" s="71"/>
      <c r="I4644" s="72"/>
      <c r="J4644" s="37">
        <v>0</v>
      </c>
    </row>
    <row r="4645" spans="1:10" ht="15.75" hidden="1" thickBot="1" x14ac:dyDescent="0.3">
      <c r="A4645" s="180"/>
      <c r="B4645" s="178"/>
      <c r="C4645" s="49"/>
      <c r="D4645" s="49"/>
      <c r="E4645" s="50"/>
      <c r="F4645" s="83" t="s">
        <v>13</v>
      </c>
      <c r="G4645" s="83" t="str">
        <f>IF(ISNUMBER(F4645),E4645*F4645,"")</f>
        <v/>
      </c>
      <c r="H4645" s="84"/>
      <c r="I4645" s="72"/>
      <c r="J4645" s="37">
        <v>0</v>
      </c>
    </row>
    <row r="4646" spans="1:10" ht="15.75" hidden="1" thickBot="1" x14ac:dyDescent="0.3">
      <c r="A4646" s="173" t="s">
        <v>1102</v>
      </c>
      <c r="B4646" s="176" t="s">
        <v>4619</v>
      </c>
      <c r="C4646" s="31"/>
      <c r="D4646" s="32" t="s">
        <v>68</v>
      </c>
      <c r="E4646" s="33"/>
      <c r="F4646" s="60" t="s">
        <v>13</v>
      </c>
      <c r="G4646" s="34" t="str">
        <f>IF(ISNUMBER(F4646),E4646*F4646,"")</f>
        <v/>
      </c>
      <c r="H4646" s="35"/>
      <c r="I4646" s="36"/>
      <c r="J4646" s="37">
        <v>0</v>
      </c>
    </row>
    <row r="4647" spans="1:10" hidden="1" x14ac:dyDescent="0.25">
      <c r="A4647" s="179"/>
      <c r="B4647" s="177"/>
      <c r="C4647" s="39"/>
      <c r="D4647" s="39"/>
      <c r="E4647" s="40"/>
      <c r="F4647" s="70" t="s">
        <v>13</v>
      </c>
      <c r="G4647" s="70" t="str">
        <f>IF(ISNUMBER(F4647),E4647*F4647,"")</f>
        <v/>
      </c>
      <c r="H4647" s="71"/>
      <c r="I4647" s="72"/>
      <c r="J4647" s="37">
        <v>0</v>
      </c>
    </row>
    <row r="4648" spans="1:10" hidden="1" x14ac:dyDescent="0.25">
      <c r="A4648" s="179"/>
      <c r="B4648" s="177"/>
      <c r="C4648" s="43" t="s">
        <v>10614</v>
      </c>
      <c r="D4648" s="43" t="s">
        <v>2800</v>
      </c>
      <c r="E4648" s="44">
        <f>0.01*2</f>
        <v>0.02</v>
      </c>
      <c r="F4648" s="70">
        <v>23.693000000000001</v>
      </c>
      <c r="G4648" s="70">
        <f>IF(ISNUMBER(F4648),E4648*F4648,"")</f>
        <v>0.47386000000000006</v>
      </c>
      <c r="H4648" s="46">
        <f>SUM(G4648:G4650)</f>
        <v>8.3322599999999998</v>
      </c>
      <c r="I4648" s="47"/>
      <c r="J4648" s="37">
        <v>0</v>
      </c>
    </row>
    <row r="4649" spans="1:10" ht="25.5" hidden="1" x14ac:dyDescent="0.25">
      <c r="A4649" s="179"/>
      <c r="B4649" s="177"/>
      <c r="C4649" s="43" t="s">
        <v>1103</v>
      </c>
      <c r="D4649" s="43" t="s">
        <v>68</v>
      </c>
      <c r="E4649" s="44">
        <v>1.05</v>
      </c>
      <c r="F4649" s="70" t="s">
        <v>13</v>
      </c>
      <c r="G4649" s="70" t="str">
        <f>IF(ISNUMBER(F4649),E4649*F4649,"")</f>
        <v/>
      </c>
      <c r="H4649" s="71"/>
      <c r="I4649" s="72"/>
      <c r="J4649" s="37">
        <v>0</v>
      </c>
    </row>
    <row r="4650" spans="1:10" ht="25.5" hidden="1" x14ac:dyDescent="0.25">
      <c r="A4650" s="179"/>
      <c r="B4650" s="177"/>
      <c r="C4650" s="43" t="s">
        <v>11163</v>
      </c>
      <c r="D4650" s="43" t="s">
        <v>162</v>
      </c>
      <c r="E4650" s="44">
        <v>1.1000000000000001</v>
      </c>
      <c r="F4650" s="70">
        <v>7.1439999999999992</v>
      </c>
      <c r="G4650" s="70">
        <f>IF(ISNUMBER(F4650),E4650*F4650,"")</f>
        <v>7.8583999999999996</v>
      </c>
      <c r="H4650" s="71"/>
      <c r="I4650" s="72"/>
      <c r="J4650" s="37">
        <v>0</v>
      </c>
    </row>
    <row r="4651" spans="1:10" ht="15.75" hidden="1" thickBot="1" x14ac:dyDescent="0.3">
      <c r="A4651" s="180"/>
      <c r="B4651" s="178"/>
      <c r="C4651" s="49"/>
      <c r="D4651" s="49"/>
      <c r="E4651" s="50"/>
      <c r="F4651" s="83" t="s">
        <v>13</v>
      </c>
      <c r="G4651" s="83" t="str">
        <f>IF(ISNUMBER(F4651),E4651*F4651,"")</f>
        <v/>
      </c>
      <c r="H4651" s="84"/>
      <c r="I4651" s="72"/>
      <c r="J4651" s="37">
        <v>0</v>
      </c>
    </row>
    <row r="4652" spans="1:10" ht="15.75" hidden="1" thickBot="1" x14ac:dyDescent="0.3">
      <c r="A4652" s="173" t="s">
        <v>1104</v>
      </c>
      <c r="B4652" s="176" t="s">
        <v>4620</v>
      </c>
      <c r="C4652" s="31"/>
      <c r="D4652" s="32" t="s">
        <v>68</v>
      </c>
      <c r="E4652" s="33"/>
      <c r="F4652" s="60" t="s">
        <v>13</v>
      </c>
      <c r="G4652" s="34" t="str">
        <f>IF(ISNUMBER(F4652),E4652*F4652,"")</f>
        <v/>
      </c>
      <c r="H4652" s="35"/>
      <c r="I4652" s="36"/>
      <c r="J4652" s="37">
        <v>0</v>
      </c>
    </row>
    <row r="4653" spans="1:10" hidden="1" x14ac:dyDescent="0.25">
      <c r="A4653" s="179"/>
      <c r="B4653" s="177"/>
      <c r="C4653" s="39"/>
      <c r="D4653" s="39"/>
      <c r="E4653" s="40"/>
      <c r="F4653" s="70" t="s">
        <v>13</v>
      </c>
      <c r="G4653" s="70" t="str">
        <f>IF(ISNUMBER(F4653),E4653*F4653,"")</f>
        <v/>
      </c>
      <c r="H4653" s="71"/>
      <c r="I4653" s="72"/>
      <c r="J4653" s="37">
        <v>0</v>
      </c>
    </row>
    <row r="4654" spans="1:10" ht="25.5" hidden="1" x14ac:dyDescent="0.25">
      <c r="A4654" s="179"/>
      <c r="B4654" s="177"/>
      <c r="C4654" s="43" t="s">
        <v>10803</v>
      </c>
      <c r="D4654" s="43" t="s">
        <v>10820</v>
      </c>
      <c r="E4654" s="44">
        <v>0.161</v>
      </c>
      <c r="F4654" s="70">
        <v>42.597999999999999</v>
      </c>
      <c r="G4654" s="70">
        <f>IF(ISNUMBER(F4654),E4654*F4654,"")</f>
        <v>6.8582780000000003</v>
      </c>
      <c r="H4654" s="46">
        <f>SUM(G4654:G4662)</f>
        <v>164.34030525</v>
      </c>
      <c r="I4654" s="47"/>
      <c r="J4654" s="37">
        <v>0</v>
      </c>
    </row>
    <row r="4655" spans="1:10" hidden="1" x14ac:dyDescent="0.25">
      <c r="A4655" s="179"/>
      <c r="B4655" s="177"/>
      <c r="C4655" s="43" t="s">
        <v>10618</v>
      </c>
      <c r="D4655" s="43" t="s">
        <v>1044</v>
      </c>
      <c r="E4655" s="44">
        <v>2.5000000000000001E-2</v>
      </c>
      <c r="F4655" s="70">
        <v>18.087999999999997</v>
      </c>
      <c r="G4655" s="70">
        <f>IF(ISNUMBER(F4655),E4655*F4655,"")</f>
        <v>0.45219999999999994</v>
      </c>
      <c r="H4655" s="71"/>
      <c r="I4655" s="72"/>
      <c r="J4655" s="37">
        <v>0</v>
      </c>
    </row>
    <row r="4656" spans="1:10" ht="25.5" hidden="1" x14ac:dyDescent="0.25">
      <c r="A4656" s="179"/>
      <c r="B4656" s="177"/>
      <c r="C4656" s="43" t="s">
        <v>10804</v>
      </c>
      <c r="D4656" s="43" t="s">
        <v>1044</v>
      </c>
      <c r="E4656" s="44">
        <v>4.8999999999999998E-3</v>
      </c>
      <c r="F4656" s="70">
        <v>66.851500000000001</v>
      </c>
      <c r="G4656" s="70">
        <f>IF(ISNUMBER(F4656),E4656*F4656,"")</f>
        <v>0.32757235000000001</v>
      </c>
      <c r="H4656" s="71"/>
      <c r="I4656" s="72"/>
      <c r="J4656" s="37">
        <v>0</v>
      </c>
    </row>
    <row r="4657" spans="1:10" hidden="1" x14ac:dyDescent="0.25">
      <c r="A4657" s="179"/>
      <c r="B4657" s="177"/>
      <c r="C4657" s="43" t="s">
        <v>10805</v>
      </c>
      <c r="D4657" s="43" t="s">
        <v>1044</v>
      </c>
      <c r="E4657" s="44">
        <v>0.18</v>
      </c>
      <c r="F4657" s="70">
        <v>203.41399999999999</v>
      </c>
      <c r="G4657" s="70">
        <f>IF(ISNUMBER(F4657),E4657*F4657,"")</f>
        <v>36.614519999999999</v>
      </c>
      <c r="H4657" s="71"/>
      <c r="I4657" s="72"/>
      <c r="J4657" s="37">
        <v>0</v>
      </c>
    </row>
    <row r="4658" spans="1:10" ht="25.5" hidden="1" x14ac:dyDescent="0.25">
      <c r="A4658" s="179"/>
      <c r="B4658" s="177"/>
      <c r="C4658" s="43" t="s">
        <v>10806</v>
      </c>
      <c r="D4658" s="43" t="s">
        <v>1302</v>
      </c>
      <c r="E4658" s="44">
        <v>1.05</v>
      </c>
      <c r="F4658" s="70">
        <v>83.713999999999999</v>
      </c>
      <c r="G4658" s="70">
        <f>IF(ISNUMBER(F4658),E4658*F4658,"")</f>
        <v>87.899699999999996</v>
      </c>
      <c r="H4658" s="71"/>
      <c r="I4658" s="72"/>
      <c r="J4658" s="37">
        <v>0</v>
      </c>
    </row>
    <row r="4659" spans="1:10" hidden="1" x14ac:dyDescent="0.25">
      <c r="A4659" s="179"/>
      <c r="B4659" s="177"/>
      <c r="C4659" s="43" t="s">
        <v>10614</v>
      </c>
      <c r="D4659" s="43" t="s">
        <v>2800</v>
      </c>
      <c r="E4659" s="44">
        <v>0.63300000000000001</v>
      </c>
      <c r="F4659" s="70">
        <v>23.693000000000001</v>
      </c>
      <c r="G4659" s="70">
        <f>IF(ISNUMBER(F4659),E4659*F4659,"")</f>
        <v>14.997669000000002</v>
      </c>
      <c r="H4659" s="71"/>
      <c r="I4659" s="72"/>
      <c r="J4659" s="37">
        <v>0</v>
      </c>
    </row>
    <row r="4660" spans="1:10" hidden="1" x14ac:dyDescent="0.25">
      <c r="A4660" s="179"/>
      <c r="B4660" s="177"/>
      <c r="C4660" s="43" t="s">
        <v>10800</v>
      </c>
      <c r="D4660" s="43" t="s">
        <v>2800</v>
      </c>
      <c r="E4660" s="44">
        <v>0.53900000000000003</v>
      </c>
      <c r="F4660" s="70">
        <v>30.343</v>
      </c>
      <c r="G4660" s="70">
        <f>IF(ISNUMBER(F4660),E4660*F4660,"")</f>
        <v>16.354877000000002</v>
      </c>
      <c r="H4660" s="71"/>
      <c r="I4660" s="72"/>
      <c r="J4660" s="37">
        <v>0</v>
      </c>
    </row>
    <row r="4661" spans="1:10" ht="25.5" hidden="1" x14ac:dyDescent="0.25">
      <c r="A4661" s="179"/>
      <c r="B4661" s="177"/>
      <c r="C4661" s="43" t="s">
        <v>10801</v>
      </c>
      <c r="D4661" s="43" t="s">
        <v>1050</v>
      </c>
      <c r="E4661" s="44">
        <v>1.32E-2</v>
      </c>
      <c r="F4661" s="70">
        <v>26.970499999999998</v>
      </c>
      <c r="G4661" s="70">
        <f>IF(ISNUMBER(F4661),E4661*F4661,"")</f>
        <v>0.35601059999999995</v>
      </c>
      <c r="H4661" s="71"/>
      <c r="I4661" s="72"/>
      <c r="J4661" s="37">
        <v>0</v>
      </c>
    </row>
    <row r="4662" spans="1:10" ht="25.5" hidden="1" x14ac:dyDescent="0.25">
      <c r="A4662" s="179"/>
      <c r="B4662" s="177"/>
      <c r="C4662" s="43" t="s">
        <v>10802</v>
      </c>
      <c r="D4662" s="43" t="s">
        <v>10677</v>
      </c>
      <c r="E4662" s="44">
        <v>1.83E-2</v>
      </c>
      <c r="F4662" s="70">
        <v>26.200999999999997</v>
      </c>
      <c r="G4662" s="70">
        <f>IF(ISNUMBER(F4662),E4662*F4662,"")</f>
        <v>0.47947829999999997</v>
      </c>
      <c r="H4662" s="71"/>
      <c r="I4662" s="72"/>
      <c r="J4662" s="37">
        <v>0</v>
      </c>
    </row>
    <row r="4663" spans="1:10" ht="15.75" hidden="1" thickBot="1" x14ac:dyDescent="0.3">
      <c r="A4663" s="180"/>
      <c r="B4663" s="178"/>
      <c r="C4663" s="49"/>
      <c r="D4663" s="49"/>
      <c r="E4663" s="50"/>
      <c r="F4663" s="83" t="s">
        <v>13</v>
      </c>
      <c r="G4663" s="83" t="str">
        <f>IF(ISNUMBER(F4663),E4663*F4663,"")</f>
        <v/>
      </c>
      <c r="H4663" s="84"/>
      <c r="I4663" s="72"/>
      <c r="J4663" s="37">
        <v>0</v>
      </c>
    </row>
    <row r="4664" spans="1:10" ht="15.75" hidden="1" thickBot="1" x14ac:dyDescent="0.3">
      <c r="A4664" s="173" t="s">
        <v>1105</v>
      </c>
      <c r="B4664" s="176" t="s">
        <v>4621</v>
      </c>
      <c r="C4664" s="31"/>
      <c r="D4664" s="32" t="s">
        <v>68</v>
      </c>
      <c r="E4664" s="33"/>
      <c r="F4664" s="60" t="s">
        <v>13</v>
      </c>
      <c r="G4664" s="34" t="str">
        <f>IF(ISNUMBER(F4664),E4664*F4664,"")</f>
        <v/>
      </c>
      <c r="H4664" s="35"/>
      <c r="I4664" s="36"/>
      <c r="J4664" s="37">
        <v>0</v>
      </c>
    </row>
    <row r="4665" spans="1:10" hidden="1" x14ac:dyDescent="0.25">
      <c r="A4665" s="179"/>
      <c r="B4665" s="177"/>
      <c r="C4665" s="39"/>
      <c r="D4665" s="39"/>
      <c r="E4665" s="40"/>
      <c r="F4665" s="70" t="s">
        <v>13</v>
      </c>
      <c r="G4665" s="70" t="str">
        <f>IF(ISNUMBER(F4665),E4665*F4665,"")</f>
        <v/>
      </c>
      <c r="H4665" s="71"/>
      <c r="I4665" s="72"/>
      <c r="J4665" s="37">
        <v>0</v>
      </c>
    </row>
    <row r="4666" spans="1:10" ht="25.5" hidden="1" x14ac:dyDescent="0.25">
      <c r="A4666" s="179"/>
      <c r="B4666" s="177"/>
      <c r="C4666" s="43" t="s">
        <v>10803</v>
      </c>
      <c r="D4666" s="43" t="s">
        <v>10820</v>
      </c>
      <c r="E4666" s="44">
        <f>0.198*4</f>
        <v>0.79200000000000004</v>
      </c>
      <c r="F4666" s="70">
        <v>42.597999999999999</v>
      </c>
      <c r="G4666" s="70">
        <f>IF(ISNUMBER(F4666),E4666*F4666,"")</f>
        <v>33.737616000000003</v>
      </c>
      <c r="H4666" s="46">
        <f>SUM(G4666:G4674)</f>
        <v>189.133847</v>
      </c>
      <c r="I4666" s="47"/>
      <c r="J4666" s="37">
        <v>0</v>
      </c>
    </row>
    <row r="4667" spans="1:10" hidden="1" x14ac:dyDescent="0.25">
      <c r="A4667" s="179"/>
      <c r="B4667" s="177"/>
      <c r="C4667" s="43" t="s">
        <v>10618</v>
      </c>
      <c r="D4667" s="43" t="s">
        <v>1044</v>
      </c>
      <c r="E4667" s="44">
        <f>0.006*4</f>
        <v>2.4E-2</v>
      </c>
      <c r="F4667" s="70">
        <v>18.087999999999997</v>
      </c>
      <c r="G4667" s="70">
        <f>IF(ISNUMBER(F4667),E4667*F4667,"")</f>
        <v>0.43411199999999994</v>
      </c>
      <c r="H4667" s="71"/>
      <c r="I4667" s="72"/>
      <c r="J4667" s="37">
        <v>0</v>
      </c>
    </row>
    <row r="4668" spans="1:10" ht="25.5" hidden="1" x14ac:dyDescent="0.25">
      <c r="A4668" s="179"/>
      <c r="B4668" s="177"/>
      <c r="C4668" s="43" t="s">
        <v>10804</v>
      </c>
      <c r="D4668" s="43" t="s">
        <v>1044</v>
      </c>
      <c r="E4668" s="44">
        <f>0.0012*4</f>
        <v>4.7999999999999996E-3</v>
      </c>
      <c r="F4668" s="70">
        <v>66.851500000000001</v>
      </c>
      <c r="G4668" s="70">
        <f>IF(ISNUMBER(F4668),E4668*F4668,"")</f>
        <v>0.32088719999999998</v>
      </c>
      <c r="H4668" s="71"/>
      <c r="I4668" s="72"/>
      <c r="J4668" s="37">
        <v>0</v>
      </c>
    </row>
    <row r="4669" spans="1:10" hidden="1" x14ac:dyDescent="0.25">
      <c r="A4669" s="179"/>
      <c r="B4669" s="177"/>
      <c r="C4669" s="43" t="s">
        <v>10805</v>
      </c>
      <c r="D4669" s="43" t="s">
        <v>1044</v>
      </c>
      <c r="E4669" s="44">
        <f>0.045*4</f>
        <v>0.18</v>
      </c>
      <c r="F4669" s="70">
        <v>203.41399999999999</v>
      </c>
      <c r="G4669" s="70">
        <f>IF(ISNUMBER(F4669),E4669*F4669,"")</f>
        <v>36.614519999999999</v>
      </c>
      <c r="H4669" s="71"/>
      <c r="I4669" s="72"/>
      <c r="J4669" s="37">
        <v>0</v>
      </c>
    </row>
    <row r="4670" spans="1:10" ht="25.5" hidden="1" x14ac:dyDescent="0.25">
      <c r="A4670" s="179"/>
      <c r="B4670" s="177"/>
      <c r="C4670" s="43" t="s">
        <v>11165</v>
      </c>
      <c r="D4670" s="43" t="s">
        <v>1302</v>
      </c>
      <c r="E4670" s="44">
        <f>4*1.05</f>
        <v>4.2</v>
      </c>
      <c r="F4670" s="70">
        <v>23.75</v>
      </c>
      <c r="G4670" s="70">
        <f>IF(ISNUMBER(F4670),E4670*F4670,"")</f>
        <v>99.75</v>
      </c>
      <c r="H4670" s="71"/>
      <c r="I4670" s="72"/>
      <c r="J4670" s="37">
        <v>0</v>
      </c>
    </row>
    <row r="4671" spans="1:10" hidden="1" x14ac:dyDescent="0.25">
      <c r="A4671" s="179"/>
      <c r="B4671" s="177"/>
      <c r="C4671" s="43" t="s">
        <v>10614</v>
      </c>
      <c r="D4671" s="43" t="s">
        <v>2800</v>
      </c>
      <c r="E4671" s="44">
        <f>0.207*2</f>
        <v>0.41399999999999998</v>
      </c>
      <c r="F4671" s="70">
        <v>23.693000000000001</v>
      </c>
      <c r="G4671" s="70">
        <f>IF(ISNUMBER(F4671),E4671*F4671,"")</f>
        <v>9.8089019999999998</v>
      </c>
      <c r="H4671" s="71"/>
      <c r="I4671" s="72"/>
      <c r="J4671" s="37">
        <v>0</v>
      </c>
    </row>
    <row r="4672" spans="1:10" hidden="1" x14ac:dyDescent="0.25">
      <c r="A4672" s="179"/>
      <c r="B4672" s="177"/>
      <c r="C4672" s="43" t="s">
        <v>10800</v>
      </c>
      <c r="D4672" s="43" t="s">
        <v>2800</v>
      </c>
      <c r="E4672" s="44">
        <f>0.112*2</f>
        <v>0.224</v>
      </c>
      <c r="F4672" s="70">
        <v>30.343</v>
      </c>
      <c r="G4672" s="70">
        <f>IF(ISNUMBER(F4672),E4672*F4672,"")</f>
        <v>6.7968320000000002</v>
      </c>
      <c r="H4672" s="71"/>
      <c r="I4672" s="72"/>
      <c r="J4672" s="37">
        <v>0</v>
      </c>
    </row>
    <row r="4673" spans="1:10" ht="25.5" hidden="1" x14ac:dyDescent="0.25">
      <c r="A4673" s="179"/>
      <c r="B4673" s="177"/>
      <c r="C4673" s="43" t="s">
        <v>10801</v>
      </c>
      <c r="D4673" s="43" t="s">
        <v>1050</v>
      </c>
      <c r="E4673" s="44">
        <f>0.0132*2</f>
        <v>2.64E-2</v>
      </c>
      <c r="F4673" s="70">
        <v>26.970499999999998</v>
      </c>
      <c r="G4673" s="70">
        <f>IF(ISNUMBER(F4673),E4673*F4673,"")</f>
        <v>0.71202119999999991</v>
      </c>
      <c r="H4673" s="71"/>
      <c r="I4673" s="72"/>
      <c r="J4673" s="37">
        <v>0</v>
      </c>
    </row>
    <row r="4674" spans="1:10" ht="25.5" hidden="1" x14ac:dyDescent="0.25">
      <c r="A4674" s="179"/>
      <c r="B4674" s="177"/>
      <c r="C4674" s="43" t="s">
        <v>10802</v>
      </c>
      <c r="D4674" s="43" t="s">
        <v>10677</v>
      </c>
      <c r="E4674" s="44">
        <f>0.0183*2</f>
        <v>3.6600000000000001E-2</v>
      </c>
      <c r="F4674" s="70">
        <v>26.200999999999997</v>
      </c>
      <c r="G4674" s="70">
        <f>IF(ISNUMBER(F4674),E4674*F4674,"")</f>
        <v>0.95895659999999994</v>
      </c>
      <c r="H4674" s="71"/>
      <c r="I4674" s="72"/>
      <c r="J4674" s="37">
        <v>0</v>
      </c>
    </row>
    <row r="4675" spans="1:10" ht="15.75" hidden="1" thickBot="1" x14ac:dyDescent="0.3">
      <c r="A4675" s="180"/>
      <c r="B4675" s="178"/>
      <c r="C4675" s="49"/>
      <c r="D4675" s="49"/>
      <c r="E4675" s="50"/>
      <c r="F4675" s="83" t="s">
        <v>13</v>
      </c>
      <c r="G4675" s="83" t="str">
        <f>IF(ISNUMBER(F4675),E4675*F4675,"")</f>
        <v/>
      </c>
      <c r="H4675" s="84"/>
      <c r="I4675" s="72"/>
      <c r="J4675" s="37">
        <v>0</v>
      </c>
    </row>
    <row r="4676" spans="1:10" ht="15.75" hidden="1" thickBot="1" x14ac:dyDescent="0.3">
      <c r="A4676" s="173" t="s">
        <v>1106</v>
      </c>
      <c r="B4676" s="176" t="s">
        <v>4624</v>
      </c>
      <c r="C4676" s="31"/>
      <c r="D4676" s="32" t="s">
        <v>106</v>
      </c>
      <c r="E4676" s="33"/>
      <c r="F4676" s="60" t="s">
        <v>13</v>
      </c>
      <c r="G4676" s="34" t="str">
        <f>IF(ISNUMBER(F4676),E4676*F4676,"")</f>
        <v/>
      </c>
      <c r="H4676" s="35"/>
      <c r="I4676" s="36"/>
      <c r="J4676" s="37">
        <v>0</v>
      </c>
    </row>
    <row r="4677" spans="1:10" hidden="1" x14ac:dyDescent="0.25">
      <c r="A4677" s="179"/>
      <c r="B4677" s="177"/>
      <c r="C4677" s="39"/>
      <c r="D4677" s="39"/>
      <c r="E4677" s="40"/>
      <c r="F4677" s="70" t="s">
        <v>13</v>
      </c>
      <c r="G4677" s="70" t="str">
        <f>IF(ISNUMBER(F4677),E4677*F4677,"")</f>
        <v/>
      </c>
      <c r="H4677" s="71"/>
      <c r="I4677" s="72"/>
      <c r="J4677" s="37">
        <v>0</v>
      </c>
    </row>
    <row r="4678" spans="1:10" ht="25.5" hidden="1" x14ac:dyDescent="0.25">
      <c r="A4678" s="179"/>
      <c r="B4678" s="177"/>
      <c r="C4678" s="43" t="s">
        <v>10661</v>
      </c>
      <c r="D4678" s="43" t="s">
        <v>1044</v>
      </c>
      <c r="E4678" s="44">
        <v>0.02</v>
      </c>
      <c r="F4678" s="70">
        <v>19</v>
      </c>
      <c r="G4678" s="70">
        <f>IF(ISNUMBER(F4678),E4678*F4678,"")</f>
        <v>0.38</v>
      </c>
      <c r="H4678" s="46">
        <f>SUM(G4678:G4691)</f>
        <v>140.4899465375</v>
      </c>
      <c r="I4678" s="47"/>
      <c r="J4678" s="37">
        <v>0</v>
      </c>
    </row>
    <row r="4679" spans="1:10" ht="25.5" hidden="1" x14ac:dyDescent="0.25">
      <c r="A4679" s="179"/>
      <c r="B4679" s="177"/>
      <c r="C4679" s="43" t="s">
        <v>10658</v>
      </c>
      <c r="D4679" s="43" t="s">
        <v>2880</v>
      </c>
      <c r="E4679" s="44">
        <v>0.04</v>
      </c>
      <c r="F4679" s="70">
        <v>202.32149999999999</v>
      </c>
      <c r="G4679" s="70">
        <f>IF(ISNUMBER(F4679),E4679*F4679,"")</f>
        <v>8.0928599999999999</v>
      </c>
      <c r="H4679" s="71"/>
      <c r="I4679" s="72"/>
      <c r="J4679" s="37">
        <v>0</v>
      </c>
    </row>
    <row r="4680" spans="1:10" hidden="1" x14ac:dyDescent="0.25">
      <c r="A4680" s="179"/>
      <c r="B4680" s="177"/>
      <c r="C4680" s="43" t="s">
        <v>10644</v>
      </c>
      <c r="D4680" s="43" t="s">
        <v>2800</v>
      </c>
      <c r="E4680" s="44">
        <v>0.8</v>
      </c>
      <c r="F4680" s="70">
        <v>30.837</v>
      </c>
      <c r="G4680" s="70">
        <f>IF(ISNUMBER(F4680),E4680*F4680,"")</f>
        <v>24.669600000000003</v>
      </c>
      <c r="H4680" s="71"/>
      <c r="I4680" s="72"/>
      <c r="J4680" s="37">
        <v>0</v>
      </c>
    </row>
    <row r="4681" spans="1:10" ht="25.5" hidden="1" x14ac:dyDescent="0.25">
      <c r="A4681" s="179"/>
      <c r="B4681" s="177"/>
      <c r="C4681" s="43" t="s">
        <v>11166</v>
      </c>
      <c r="D4681" s="43" t="s">
        <v>1044</v>
      </c>
      <c r="E4681" s="44">
        <v>1.35</v>
      </c>
      <c r="F4681" s="70">
        <v>7.3339999999999996</v>
      </c>
      <c r="G4681" s="70">
        <f>IF(ISNUMBER(F4681),E4681*F4681,"")</f>
        <v>9.9009</v>
      </c>
      <c r="H4681" s="71"/>
      <c r="I4681" s="72"/>
      <c r="J4681" s="37">
        <v>0</v>
      </c>
    </row>
    <row r="4682" spans="1:10" hidden="1" x14ac:dyDescent="0.25">
      <c r="A4682" s="179"/>
      <c r="B4682" s="177"/>
      <c r="C4682" s="43" t="s">
        <v>10613</v>
      </c>
      <c r="D4682" s="43" t="s">
        <v>2800</v>
      </c>
      <c r="E4682" s="44">
        <v>0.7</v>
      </c>
      <c r="F4682" s="70">
        <v>30.628</v>
      </c>
      <c r="G4682" s="70">
        <f>IF(ISNUMBER(F4682),E4682*F4682,"")</f>
        <v>21.439599999999999</v>
      </c>
      <c r="H4682" s="71"/>
      <c r="I4682" s="72"/>
      <c r="J4682" s="37">
        <v>0</v>
      </c>
    </row>
    <row r="4683" spans="1:10" hidden="1" x14ac:dyDescent="0.25">
      <c r="A4683" s="179"/>
      <c r="B4683" s="177"/>
      <c r="C4683" s="43" t="s">
        <v>1107</v>
      </c>
      <c r="D4683" s="43" t="s">
        <v>68</v>
      </c>
      <c r="E4683" s="44">
        <v>1</v>
      </c>
      <c r="F4683" s="70" t="s">
        <v>13</v>
      </c>
      <c r="G4683" s="70" t="str">
        <f>IF(ISNUMBER(F4683),E4683*F4683,"")</f>
        <v/>
      </c>
      <c r="H4683" s="71"/>
      <c r="I4683" s="72"/>
      <c r="J4683" s="37">
        <v>0</v>
      </c>
    </row>
    <row r="4684" spans="1:10" ht="38.25" hidden="1" x14ac:dyDescent="0.25">
      <c r="A4684" s="179"/>
      <c r="B4684" s="177"/>
      <c r="C4684" s="43" t="s">
        <v>10663</v>
      </c>
      <c r="D4684" s="43" t="s">
        <v>1050</v>
      </c>
      <c r="E4684" s="44">
        <v>0.02</v>
      </c>
      <c r="F4684" s="70">
        <v>4.9305000000000003</v>
      </c>
      <c r="G4684" s="70">
        <f>IF(ISNUMBER(F4684),E4684*F4684,"")</f>
        <v>9.8610000000000003E-2</v>
      </c>
      <c r="H4684" s="71"/>
      <c r="I4684" s="72"/>
      <c r="J4684" s="37">
        <v>0</v>
      </c>
    </row>
    <row r="4685" spans="1:10" hidden="1" x14ac:dyDescent="0.25">
      <c r="A4685" s="179"/>
      <c r="B4685" s="177"/>
      <c r="C4685" s="43" t="s">
        <v>10648</v>
      </c>
      <c r="D4685" s="43" t="s">
        <v>1044</v>
      </c>
      <c r="E4685" s="44">
        <v>17.36</v>
      </c>
      <c r="F4685" s="70">
        <v>0.64600000000000002</v>
      </c>
      <c r="G4685" s="70">
        <f>IF(ISNUMBER(F4685),E4685*F4685,"")</f>
        <v>11.214560000000001</v>
      </c>
      <c r="H4685" s="71"/>
      <c r="I4685" s="72"/>
      <c r="J4685" s="37">
        <v>0</v>
      </c>
    </row>
    <row r="4686" spans="1:10" ht="25.5" hidden="1" x14ac:dyDescent="0.25">
      <c r="A4686" s="179"/>
      <c r="B4686" s="177"/>
      <c r="C4686" s="43" t="s">
        <v>10665</v>
      </c>
      <c r="D4686" s="43" t="s">
        <v>2880</v>
      </c>
      <c r="E4686" s="44">
        <v>0.09</v>
      </c>
      <c r="F4686" s="70">
        <v>224.941</v>
      </c>
      <c r="G4686" s="70">
        <f>IF(ISNUMBER(F4686),E4686*F4686,"")</f>
        <v>20.244689999999999</v>
      </c>
      <c r="H4686" s="71"/>
      <c r="I4686" s="72"/>
      <c r="J4686" s="37">
        <v>0</v>
      </c>
    </row>
    <row r="4687" spans="1:10" hidden="1" x14ac:dyDescent="0.25">
      <c r="A4687" s="179"/>
      <c r="B4687" s="177"/>
      <c r="C4687" s="43" t="s">
        <v>10653</v>
      </c>
      <c r="D4687" s="43" t="s">
        <v>1044</v>
      </c>
      <c r="E4687" s="44">
        <v>0.02</v>
      </c>
      <c r="F4687" s="70">
        <v>18.401499999999999</v>
      </c>
      <c r="G4687" s="70">
        <f>IF(ISNUMBER(F4687),E4687*F4687,"")</f>
        <v>0.36802999999999997</v>
      </c>
      <c r="H4687" s="71"/>
      <c r="I4687" s="72"/>
      <c r="J4687" s="37">
        <v>0</v>
      </c>
    </row>
    <row r="4688" spans="1:10" hidden="1" x14ac:dyDescent="0.25">
      <c r="A4688" s="179"/>
      <c r="B4688" s="177"/>
      <c r="C4688" s="43" t="s">
        <v>10757</v>
      </c>
      <c r="D4688" s="43" t="s">
        <v>2800</v>
      </c>
      <c r="E4688" s="44">
        <v>0.3</v>
      </c>
      <c r="F4688" s="70">
        <v>31.055499999999995</v>
      </c>
      <c r="G4688" s="70">
        <f>IF(ISNUMBER(F4688),E4688*F4688,"")</f>
        <v>9.3166499999999974</v>
      </c>
      <c r="H4688" s="71"/>
      <c r="I4688" s="72"/>
      <c r="J4688" s="37">
        <v>0</v>
      </c>
    </row>
    <row r="4689" spans="1:10" hidden="1" x14ac:dyDescent="0.25">
      <c r="A4689" s="179"/>
      <c r="B4689" s="177"/>
      <c r="C4689" s="43" t="s">
        <v>10614</v>
      </c>
      <c r="D4689" s="43" t="s">
        <v>2800</v>
      </c>
      <c r="E4689" s="44">
        <v>1.1000000000000001</v>
      </c>
      <c r="F4689" s="70">
        <v>23.693000000000001</v>
      </c>
      <c r="G4689" s="70">
        <f>IF(ISNUMBER(F4689),E4689*F4689,"")</f>
        <v>26.062300000000004</v>
      </c>
      <c r="H4689" s="71"/>
      <c r="I4689" s="72"/>
      <c r="J4689" s="37">
        <v>0</v>
      </c>
    </row>
    <row r="4690" spans="1:10" ht="51" hidden="1" x14ac:dyDescent="0.25">
      <c r="A4690" s="179"/>
      <c r="B4690" s="177"/>
      <c r="C4690" s="43" t="s">
        <v>10624</v>
      </c>
      <c r="D4690" s="43" t="s">
        <v>2880</v>
      </c>
      <c r="E4690" s="44">
        <f>1*(E4679+E4686)</f>
        <v>0.13</v>
      </c>
      <c r="F4690" s="41">
        <v>8.5522277500000001</v>
      </c>
      <c r="G4690" s="41">
        <f>IF(ISNUMBER(F4690),E4690*F4690,"")</f>
        <v>1.1117896075</v>
      </c>
      <c r="H4690" s="42"/>
      <c r="I4690" s="38"/>
      <c r="J4690" s="37">
        <v>0</v>
      </c>
    </row>
    <row r="4691" spans="1:10" ht="38.25" hidden="1" x14ac:dyDescent="0.25">
      <c r="A4691" s="179"/>
      <c r="B4691" s="177"/>
      <c r="C4691" s="43" t="s">
        <v>10622</v>
      </c>
      <c r="D4691" s="43" t="s">
        <v>10676</v>
      </c>
      <c r="E4691" s="44">
        <f>(E4679+E4686)*20</f>
        <v>2.6</v>
      </c>
      <c r="F4691" s="70">
        <v>2.9193680499999997</v>
      </c>
      <c r="G4691" s="70">
        <f>IF(ISNUMBER(F4691),E4691*F4691,"")</f>
        <v>7.5903569299999996</v>
      </c>
      <c r="H4691" s="71"/>
      <c r="I4691" s="72"/>
      <c r="J4691" s="37">
        <v>0</v>
      </c>
    </row>
    <row r="4692" spans="1:10" hidden="1" x14ac:dyDescent="0.25">
      <c r="A4692" s="179"/>
      <c r="B4692" s="177"/>
      <c r="C4692" s="43"/>
      <c r="D4692" s="43"/>
      <c r="E4692" s="44"/>
      <c r="F4692" s="70" t="s">
        <v>13</v>
      </c>
      <c r="G4692" s="70" t="str">
        <f>IF(ISNUMBER(F4692),E4692*F4692,"")</f>
        <v/>
      </c>
      <c r="H4692" s="71"/>
      <c r="I4692" s="72"/>
      <c r="J4692" s="37">
        <v>0</v>
      </c>
    </row>
    <row r="4693" spans="1:10" ht="25.5" hidden="1" x14ac:dyDescent="0.25">
      <c r="A4693" s="179"/>
      <c r="B4693" s="177"/>
      <c r="C4693" s="4" t="s">
        <v>1055</v>
      </c>
      <c r="D4693" s="43"/>
      <c r="E4693" s="44"/>
      <c r="F4693" s="70" t="s">
        <v>13</v>
      </c>
      <c r="G4693" s="70" t="str">
        <f>IF(ISNUMBER(F4693),E4693*F4693,"")</f>
        <v/>
      </c>
      <c r="H4693" s="71"/>
      <c r="I4693" s="72"/>
      <c r="J4693" s="37">
        <v>0</v>
      </c>
    </row>
    <row r="4694" spans="1:10" ht="15.75" hidden="1" thickBot="1" x14ac:dyDescent="0.3">
      <c r="A4694" s="180"/>
      <c r="B4694" s="178"/>
      <c r="C4694" s="49"/>
      <c r="D4694" s="49"/>
      <c r="E4694" s="50"/>
      <c r="F4694" s="83" t="s">
        <v>13</v>
      </c>
      <c r="G4694" s="83" t="str">
        <f>IF(ISNUMBER(F4694),E4694*F4694,"")</f>
        <v/>
      </c>
      <c r="H4694" s="84"/>
      <c r="I4694" s="72"/>
      <c r="J4694" s="37">
        <v>0</v>
      </c>
    </row>
    <row r="4695" spans="1:10" ht="15.75" hidden="1" thickBot="1" x14ac:dyDescent="0.3">
      <c r="A4695" s="173" t="s">
        <v>1108</v>
      </c>
      <c r="B4695" s="176" t="s">
        <v>4625</v>
      </c>
      <c r="C4695" s="31"/>
      <c r="D4695" s="32" t="s">
        <v>68</v>
      </c>
      <c r="E4695" s="33"/>
      <c r="F4695" s="60" t="s">
        <v>13</v>
      </c>
      <c r="G4695" s="34" t="str">
        <f>IF(ISNUMBER(F4695),E4695*F4695,"")</f>
        <v/>
      </c>
      <c r="H4695" s="35"/>
      <c r="I4695" s="36"/>
      <c r="J4695" s="37">
        <v>0</v>
      </c>
    </row>
    <row r="4696" spans="1:10" hidden="1" x14ac:dyDescent="0.25">
      <c r="A4696" s="179"/>
      <c r="B4696" s="177"/>
      <c r="C4696" s="39"/>
      <c r="D4696" s="39"/>
      <c r="E4696" s="40"/>
      <c r="F4696" s="70" t="s">
        <v>13</v>
      </c>
      <c r="G4696" s="70" t="str">
        <f>IF(ISNUMBER(F4696),E4696*F4696,"")</f>
        <v/>
      </c>
      <c r="H4696" s="71"/>
      <c r="I4696" s="72"/>
      <c r="J4696" s="37">
        <v>0</v>
      </c>
    </row>
    <row r="4697" spans="1:10" ht="38.25" hidden="1" x14ac:dyDescent="0.25">
      <c r="A4697" s="179"/>
      <c r="B4697" s="177"/>
      <c r="C4697" s="43" t="s">
        <v>10789</v>
      </c>
      <c r="D4697" s="43" t="s">
        <v>162</v>
      </c>
      <c r="E4697" s="44">
        <f>ROUND(0.7722008*1.48,4)</f>
        <v>1.1429</v>
      </c>
      <c r="F4697" s="70">
        <v>10.573500000000001</v>
      </c>
      <c r="G4697" s="70">
        <f>IF(ISNUMBER(F4697),E4697*F4697,"")</f>
        <v>12.084453150000002</v>
      </c>
      <c r="H4697" s="46">
        <f>SUM(G4697:G4701)</f>
        <v>13.5765203</v>
      </c>
      <c r="I4697" s="47"/>
      <c r="J4697" s="37">
        <v>0</v>
      </c>
    </row>
    <row r="4698" spans="1:10" ht="38.25" hidden="1" x14ac:dyDescent="0.25">
      <c r="A4698" s="179"/>
      <c r="B4698" s="177"/>
      <c r="C4698" s="43" t="s">
        <v>10660</v>
      </c>
      <c r="D4698" s="43" t="s">
        <v>83</v>
      </c>
      <c r="E4698" s="44">
        <f>ROUND(1.3824324*1.48,4)</f>
        <v>2.0459999999999998</v>
      </c>
      <c r="F4698" s="70">
        <v>0.20899999999999999</v>
      </c>
      <c r="G4698" s="70">
        <f>IF(ISNUMBER(F4698),E4698*F4698,"")</f>
        <v>0.42761399999999994</v>
      </c>
      <c r="H4698" s="71"/>
      <c r="I4698" s="72"/>
      <c r="J4698" s="37">
        <v>0</v>
      </c>
    </row>
    <row r="4699" spans="1:10" ht="25.5" hidden="1" x14ac:dyDescent="0.25">
      <c r="A4699" s="179"/>
      <c r="B4699" s="177"/>
      <c r="C4699" s="43" t="s">
        <v>10661</v>
      </c>
      <c r="D4699" s="43" t="s">
        <v>1044</v>
      </c>
      <c r="E4699" s="44">
        <f>ROUND(0.0114286*1.48,4)</f>
        <v>1.6899999999999998E-2</v>
      </c>
      <c r="F4699" s="70">
        <v>19</v>
      </c>
      <c r="G4699" s="70">
        <f>IF(ISNUMBER(F4699),E4699*F4699,"")</f>
        <v>0.32109999999999994</v>
      </c>
      <c r="H4699" s="71"/>
      <c r="I4699" s="72"/>
      <c r="J4699" s="37">
        <v>0</v>
      </c>
    </row>
    <row r="4700" spans="1:10" hidden="1" x14ac:dyDescent="0.25">
      <c r="A4700" s="179"/>
      <c r="B4700" s="177"/>
      <c r="C4700" s="43" t="s">
        <v>10643</v>
      </c>
      <c r="D4700" s="43" t="s">
        <v>2800</v>
      </c>
      <c r="E4700" s="44">
        <f>ROUND(0.001985*1.48,4)</f>
        <v>2.8999999999999998E-3</v>
      </c>
      <c r="F4700" s="70">
        <v>24.519499999999997</v>
      </c>
      <c r="G4700" s="70">
        <f>IF(ISNUMBER(F4700),E4700*F4700,"")</f>
        <v>7.1106549999999991E-2</v>
      </c>
      <c r="H4700" s="71"/>
      <c r="I4700" s="72"/>
      <c r="J4700" s="37">
        <v>0</v>
      </c>
    </row>
    <row r="4701" spans="1:10" hidden="1" x14ac:dyDescent="0.25">
      <c r="A4701" s="179"/>
      <c r="B4701" s="177"/>
      <c r="C4701" s="43" t="s">
        <v>10644</v>
      </c>
      <c r="D4701" s="43" t="s">
        <v>2800</v>
      </c>
      <c r="E4701" s="44">
        <f>ROUND(0.0147012*1.48,4)</f>
        <v>2.18E-2</v>
      </c>
      <c r="F4701" s="70">
        <v>30.837</v>
      </c>
      <c r="G4701" s="70">
        <f>IF(ISNUMBER(F4701),E4701*F4701,"")</f>
        <v>0.67224660000000003</v>
      </c>
      <c r="H4701" s="71"/>
      <c r="I4701" s="72"/>
      <c r="J4701" s="37">
        <v>0</v>
      </c>
    </row>
    <row r="4702" spans="1:10" ht="15.75" hidden="1" thickBot="1" x14ac:dyDescent="0.3">
      <c r="A4702" s="180"/>
      <c r="B4702" s="178"/>
      <c r="C4702" s="49"/>
      <c r="D4702" s="49"/>
      <c r="E4702" s="50"/>
      <c r="F4702" s="83" t="s">
        <v>13</v>
      </c>
      <c r="G4702" s="83" t="str">
        <f>IF(ISNUMBER(F4702),E4702*F4702,"")</f>
        <v/>
      </c>
      <c r="H4702" s="84"/>
      <c r="I4702" s="72"/>
      <c r="J4702" s="37">
        <v>0</v>
      </c>
    </row>
    <row r="4703" spans="1:10" ht="15.75" hidden="1" thickBot="1" x14ac:dyDescent="0.3">
      <c r="A4703" s="173" t="s">
        <v>1109</v>
      </c>
      <c r="B4703" s="176" t="s">
        <v>4626</v>
      </c>
      <c r="C4703" s="31"/>
      <c r="D4703" s="32" t="s">
        <v>68</v>
      </c>
      <c r="E4703" s="33"/>
      <c r="F4703" s="60" t="s">
        <v>13</v>
      </c>
      <c r="G4703" s="34" t="str">
        <f>IF(ISNUMBER(F4703),E4703*F4703,"")</f>
        <v/>
      </c>
      <c r="H4703" s="35"/>
      <c r="I4703" s="36"/>
      <c r="J4703" s="37">
        <v>0</v>
      </c>
    </row>
    <row r="4704" spans="1:10" hidden="1" x14ac:dyDescent="0.25">
      <c r="A4704" s="179"/>
      <c r="B4704" s="177"/>
      <c r="C4704" s="39"/>
      <c r="D4704" s="39"/>
      <c r="E4704" s="40"/>
      <c r="F4704" s="70" t="s">
        <v>13</v>
      </c>
      <c r="G4704" s="70" t="str">
        <f>IF(ISNUMBER(F4704),E4704*F4704,"")</f>
        <v/>
      </c>
      <c r="H4704" s="71"/>
      <c r="I4704" s="72"/>
      <c r="J4704" s="37">
        <v>0</v>
      </c>
    </row>
    <row r="4705" spans="1:10" ht="25.5" hidden="1" x14ac:dyDescent="0.25">
      <c r="A4705" s="179"/>
      <c r="B4705" s="177"/>
      <c r="C4705" s="43" t="s">
        <v>11167</v>
      </c>
      <c r="D4705" s="43" t="s">
        <v>10818</v>
      </c>
      <c r="E4705" s="44">
        <v>7.0000000000000001E-3</v>
      </c>
      <c r="F4705" s="70">
        <v>162.7825</v>
      </c>
      <c r="G4705" s="70">
        <f>IF(ISNUMBER(F4705),E4705*F4705,"")</f>
        <v>1.1394774999999999</v>
      </c>
      <c r="H4705" s="46">
        <f>SUM(G4705:G4710)</f>
        <v>45.135007299999998</v>
      </c>
      <c r="I4705" s="47"/>
      <c r="J4705" s="37">
        <v>0</v>
      </c>
    </row>
    <row r="4706" spans="1:10" ht="25.5" hidden="1" x14ac:dyDescent="0.25">
      <c r="A4706" s="179"/>
      <c r="B4706" s="177"/>
      <c r="C4706" s="43" t="s">
        <v>11168</v>
      </c>
      <c r="D4706" s="43" t="s">
        <v>1044</v>
      </c>
      <c r="E4706" s="44">
        <v>4.3330000000000002</v>
      </c>
      <c r="F4706" s="70">
        <v>8.2270000000000003</v>
      </c>
      <c r="G4706" s="70">
        <f>IF(ISNUMBER(F4706),E4706*F4706,"")</f>
        <v>35.647591000000006</v>
      </c>
      <c r="H4706" s="71"/>
      <c r="I4706" s="72"/>
      <c r="J4706" s="37">
        <v>0</v>
      </c>
    </row>
    <row r="4707" spans="1:10" ht="25.5" hidden="1" x14ac:dyDescent="0.25">
      <c r="A4707" s="179"/>
      <c r="B4707" s="177"/>
      <c r="C4707" s="43" t="s">
        <v>10825</v>
      </c>
      <c r="D4707" s="43" t="s">
        <v>2800</v>
      </c>
      <c r="E4707" s="44">
        <v>0.21299999999999999</v>
      </c>
      <c r="F4707" s="70">
        <v>25.383999999999997</v>
      </c>
      <c r="G4707" s="70">
        <f>IF(ISNUMBER(F4707),E4707*F4707,"")</f>
        <v>5.4067919999999994</v>
      </c>
      <c r="H4707" s="71"/>
      <c r="I4707" s="72"/>
      <c r="J4707" s="37">
        <v>0</v>
      </c>
    </row>
    <row r="4708" spans="1:10" hidden="1" x14ac:dyDescent="0.25">
      <c r="A4708" s="179"/>
      <c r="B4708" s="177"/>
      <c r="C4708" s="43" t="s">
        <v>10614</v>
      </c>
      <c r="D4708" s="43" t="s">
        <v>2800</v>
      </c>
      <c r="E4708" s="44">
        <v>0.106</v>
      </c>
      <c r="F4708" s="70">
        <v>23.693000000000001</v>
      </c>
      <c r="G4708" s="70">
        <f>IF(ISNUMBER(F4708),E4708*F4708,"")</f>
        <v>2.5114580000000002</v>
      </c>
      <c r="H4708" s="71"/>
      <c r="I4708" s="72"/>
      <c r="J4708" s="37">
        <v>0</v>
      </c>
    </row>
    <row r="4709" spans="1:10" ht="25.5" hidden="1" x14ac:dyDescent="0.25">
      <c r="A4709" s="179"/>
      <c r="B4709" s="177"/>
      <c r="C4709" s="43" t="s">
        <v>10801</v>
      </c>
      <c r="D4709" s="43" t="s">
        <v>1050</v>
      </c>
      <c r="E4709" s="44">
        <v>6.7999999999999996E-3</v>
      </c>
      <c r="F4709" s="70">
        <v>26.970499999999998</v>
      </c>
      <c r="G4709" s="70">
        <f>IF(ISNUMBER(F4709),E4709*F4709,"")</f>
        <v>0.18339939999999996</v>
      </c>
      <c r="H4709" s="71"/>
      <c r="I4709" s="72"/>
      <c r="J4709" s="37">
        <v>0</v>
      </c>
    </row>
    <row r="4710" spans="1:10" ht="25.5" hidden="1" x14ac:dyDescent="0.25">
      <c r="A4710" s="179"/>
      <c r="B4710" s="177"/>
      <c r="C4710" s="43" t="s">
        <v>10802</v>
      </c>
      <c r="D4710" s="43" t="s">
        <v>10677</v>
      </c>
      <c r="E4710" s="44">
        <v>9.4000000000000004E-3</v>
      </c>
      <c r="F4710" s="70">
        <v>26.200999999999997</v>
      </c>
      <c r="G4710" s="70">
        <f>IF(ISNUMBER(F4710),E4710*F4710,"")</f>
        <v>0.24628939999999999</v>
      </c>
      <c r="H4710" s="71"/>
      <c r="I4710" s="72"/>
      <c r="J4710" s="37">
        <v>0</v>
      </c>
    </row>
    <row r="4711" spans="1:10" ht="15.75" hidden="1" thickBot="1" x14ac:dyDescent="0.3">
      <c r="A4711" s="180"/>
      <c r="B4711" s="178"/>
      <c r="C4711" s="49"/>
      <c r="D4711" s="49"/>
      <c r="E4711" s="50"/>
      <c r="F4711" s="83" t="s">
        <v>13</v>
      </c>
      <c r="G4711" s="83" t="str">
        <f>IF(ISNUMBER(F4711),E4711*F4711,"")</f>
        <v/>
      </c>
      <c r="H4711" s="84"/>
      <c r="I4711" s="72"/>
      <c r="J4711" s="37">
        <v>0</v>
      </c>
    </row>
    <row r="4712" spans="1:10" ht="15.75" hidden="1" thickBot="1" x14ac:dyDescent="0.3">
      <c r="A4712" s="173" t="s">
        <v>1110</v>
      </c>
      <c r="B4712" s="176" t="s">
        <v>4627</v>
      </c>
      <c r="C4712" s="31"/>
      <c r="D4712" s="32" t="s">
        <v>68</v>
      </c>
      <c r="E4712" s="33"/>
      <c r="F4712" s="60" t="s">
        <v>13</v>
      </c>
      <c r="G4712" s="34" t="str">
        <f>IF(ISNUMBER(F4712),E4712*F4712,"")</f>
        <v/>
      </c>
      <c r="H4712" s="35"/>
      <c r="I4712" s="36"/>
      <c r="J4712" s="37">
        <v>0</v>
      </c>
    </row>
    <row r="4713" spans="1:10" hidden="1" x14ac:dyDescent="0.25">
      <c r="A4713" s="179"/>
      <c r="B4713" s="177"/>
      <c r="C4713" s="39"/>
      <c r="D4713" s="39"/>
      <c r="E4713" s="40"/>
      <c r="F4713" s="70" t="s">
        <v>13</v>
      </c>
      <c r="G4713" s="70" t="str">
        <f>IF(ISNUMBER(F4713),E4713*F4713,"")</f>
        <v/>
      </c>
      <c r="H4713" s="71"/>
      <c r="I4713" s="72"/>
      <c r="J4713" s="37">
        <v>0</v>
      </c>
    </row>
    <row r="4714" spans="1:10" hidden="1" x14ac:dyDescent="0.25">
      <c r="A4714" s="179"/>
      <c r="B4714" s="177"/>
      <c r="C4714" s="43" t="s">
        <v>10836</v>
      </c>
      <c r="D4714" s="43" t="s">
        <v>2800</v>
      </c>
      <c r="E4714" s="44">
        <v>0.1</v>
      </c>
      <c r="F4714" s="70">
        <v>26.2865</v>
      </c>
      <c r="G4714" s="70">
        <f>IF(ISNUMBER(F4714),E4714*F4714,"")</f>
        <v>2.6286500000000004</v>
      </c>
      <c r="H4714" s="46">
        <f>SUM(G4714:G4716)</f>
        <v>9.1551500000000008</v>
      </c>
      <c r="I4714" s="47"/>
      <c r="J4714" s="37">
        <v>0</v>
      </c>
    </row>
    <row r="4715" spans="1:10" hidden="1" x14ac:dyDescent="0.25">
      <c r="A4715" s="179"/>
      <c r="B4715" s="177"/>
      <c r="C4715" s="43" t="s">
        <v>10674</v>
      </c>
      <c r="D4715" s="43" t="s">
        <v>2800</v>
      </c>
      <c r="E4715" s="44">
        <v>0.2</v>
      </c>
      <c r="F4715" s="70">
        <v>32.6325</v>
      </c>
      <c r="G4715" s="70">
        <f>IF(ISNUMBER(F4715),E4715*F4715,"")</f>
        <v>6.5265000000000004</v>
      </c>
      <c r="H4715" s="71"/>
      <c r="I4715" s="72"/>
      <c r="J4715" s="37">
        <v>0</v>
      </c>
    </row>
    <row r="4716" spans="1:10" hidden="1" x14ac:dyDescent="0.25">
      <c r="A4716" s="179"/>
      <c r="B4716" s="177"/>
      <c r="C4716" s="43" t="s">
        <v>1111</v>
      </c>
      <c r="D4716" s="43" t="s">
        <v>70</v>
      </c>
      <c r="E4716" s="44">
        <f>2*3.6/75</f>
        <v>9.6000000000000002E-2</v>
      </c>
      <c r="F4716" s="70" t="s">
        <v>13</v>
      </c>
      <c r="G4716" s="70" t="str">
        <f>IF(ISNUMBER(F4716),E4716*F4716,"")</f>
        <v/>
      </c>
      <c r="H4716" s="71"/>
      <c r="I4716" s="72"/>
      <c r="J4716" s="37">
        <v>0</v>
      </c>
    </row>
    <row r="4717" spans="1:10" hidden="1" x14ac:dyDescent="0.25">
      <c r="A4717" s="179"/>
      <c r="B4717" s="177"/>
      <c r="C4717" s="43"/>
      <c r="D4717" s="43"/>
      <c r="E4717" s="44"/>
      <c r="F4717" s="70" t="s">
        <v>13</v>
      </c>
      <c r="G4717" s="70" t="str">
        <f>IF(ISNUMBER(F4717),E4717*F4717,"")</f>
        <v/>
      </c>
      <c r="H4717" s="71"/>
      <c r="I4717" s="72"/>
      <c r="J4717" s="37">
        <v>0</v>
      </c>
    </row>
    <row r="4718" spans="1:10" ht="38.25" hidden="1" x14ac:dyDescent="0.25">
      <c r="A4718" s="179"/>
      <c r="B4718" s="177"/>
      <c r="C4718" s="4" t="s">
        <v>1112</v>
      </c>
      <c r="D4718" s="43"/>
      <c r="E4718" s="44"/>
      <c r="F4718" s="70" t="s">
        <v>13</v>
      </c>
      <c r="G4718" s="70" t="str">
        <f>IF(ISNUMBER(F4718),E4718*F4718,"")</f>
        <v/>
      </c>
      <c r="H4718" s="71"/>
      <c r="I4718" s="72"/>
      <c r="J4718" s="37">
        <v>0</v>
      </c>
    </row>
    <row r="4719" spans="1:10" ht="15.75" hidden="1" thickBot="1" x14ac:dyDescent="0.3">
      <c r="A4719" s="180"/>
      <c r="B4719" s="178"/>
      <c r="C4719" s="49"/>
      <c r="D4719" s="49"/>
      <c r="E4719" s="50"/>
      <c r="F4719" s="83" t="s">
        <v>13</v>
      </c>
      <c r="G4719" s="83" t="str">
        <f>IF(ISNUMBER(F4719),E4719*F4719,"")</f>
        <v/>
      </c>
      <c r="H4719" s="84"/>
      <c r="I4719" s="72"/>
      <c r="J4719" s="37">
        <v>0</v>
      </c>
    </row>
    <row r="4720" spans="1:10" ht="15.75" hidden="1" thickBot="1" x14ac:dyDescent="0.3">
      <c r="A4720" s="173" t="s">
        <v>1113</v>
      </c>
      <c r="B4720" s="176" t="s">
        <v>4628</v>
      </c>
      <c r="C4720" s="31"/>
      <c r="D4720" s="32" t="s">
        <v>68</v>
      </c>
      <c r="E4720" s="33"/>
      <c r="F4720" s="60" t="s">
        <v>13</v>
      </c>
      <c r="G4720" s="34" t="str">
        <f>IF(ISNUMBER(F4720),E4720*F4720,"")</f>
        <v/>
      </c>
      <c r="H4720" s="35"/>
      <c r="I4720" s="36"/>
      <c r="J4720" s="37">
        <v>0</v>
      </c>
    </row>
    <row r="4721" spans="1:10" hidden="1" x14ac:dyDescent="0.25">
      <c r="A4721" s="179"/>
      <c r="B4721" s="177"/>
      <c r="C4721" s="39"/>
      <c r="D4721" s="39"/>
      <c r="E4721" s="40"/>
      <c r="F4721" s="70" t="s">
        <v>13</v>
      </c>
      <c r="G4721" s="70" t="str">
        <f>IF(ISNUMBER(F4721),E4721*F4721,"")</f>
        <v/>
      </c>
      <c r="H4721" s="71"/>
      <c r="I4721" s="72"/>
      <c r="J4721" s="37">
        <v>0</v>
      </c>
    </row>
    <row r="4722" spans="1:10" hidden="1" x14ac:dyDescent="0.25">
      <c r="A4722" s="179"/>
      <c r="B4722" s="177"/>
      <c r="C4722" s="43" t="s">
        <v>10836</v>
      </c>
      <c r="D4722" s="43" t="s">
        <v>2800</v>
      </c>
      <c r="E4722" s="44">
        <v>0.1</v>
      </c>
      <c r="F4722" s="70">
        <v>26.2865</v>
      </c>
      <c r="G4722" s="70">
        <f>IF(ISNUMBER(F4722),E4722*F4722,"")</f>
        <v>2.6286500000000004</v>
      </c>
      <c r="H4722" s="46">
        <f>SUM(G4722:G4724)</f>
        <v>9.1551500000000008</v>
      </c>
      <c r="I4722" s="47"/>
      <c r="J4722" s="37">
        <v>0</v>
      </c>
    </row>
    <row r="4723" spans="1:10" hidden="1" x14ac:dyDescent="0.25">
      <c r="A4723" s="179"/>
      <c r="B4723" s="177"/>
      <c r="C4723" s="43" t="s">
        <v>10674</v>
      </c>
      <c r="D4723" s="43" t="s">
        <v>2800</v>
      </c>
      <c r="E4723" s="44">
        <v>0.2</v>
      </c>
      <c r="F4723" s="70">
        <v>32.6325</v>
      </c>
      <c r="G4723" s="70">
        <f>IF(ISNUMBER(F4723),E4723*F4723,"")</f>
        <v>6.5265000000000004</v>
      </c>
      <c r="H4723" s="71"/>
      <c r="I4723" s="72"/>
      <c r="J4723" s="37">
        <v>0</v>
      </c>
    </row>
    <row r="4724" spans="1:10" hidden="1" x14ac:dyDescent="0.25">
      <c r="A4724" s="179"/>
      <c r="B4724" s="177"/>
      <c r="C4724" s="43" t="s">
        <v>1114</v>
      </c>
      <c r="D4724" s="43" t="s">
        <v>70</v>
      </c>
      <c r="E4724" s="44">
        <v>0.5</v>
      </c>
      <c r="F4724" s="70" t="s">
        <v>13</v>
      </c>
      <c r="G4724" s="70" t="str">
        <f>IF(ISNUMBER(F4724),E4724*F4724,"")</f>
        <v/>
      </c>
      <c r="H4724" s="71"/>
      <c r="I4724" s="72"/>
      <c r="J4724" s="37">
        <v>0</v>
      </c>
    </row>
    <row r="4725" spans="1:10" ht="15.75" hidden="1" thickBot="1" x14ac:dyDescent="0.3">
      <c r="A4725" s="180"/>
      <c r="B4725" s="178"/>
      <c r="C4725" s="49"/>
      <c r="D4725" s="49"/>
      <c r="E4725" s="50"/>
      <c r="F4725" s="83" t="s">
        <v>13</v>
      </c>
      <c r="G4725" s="83" t="str">
        <f>IF(ISNUMBER(F4725),E4725*F4725,"")</f>
        <v/>
      </c>
      <c r="H4725" s="84"/>
      <c r="I4725" s="72"/>
      <c r="J4725" s="37">
        <v>0</v>
      </c>
    </row>
    <row r="4726" spans="1:10" ht="15.75" hidden="1" thickBot="1" x14ac:dyDescent="0.3">
      <c r="A4726" s="173" t="s">
        <v>1115</v>
      </c>
      <c r="B4726" s="176" t="s">
        <v>4629</v>
      </c>
      <c r="C4726" s="31"/>
      <c r="D4726" s="32" t="s">
        <v>1788</v>
      </c>
      <c r="E4726" s="33"/>
      <c r="F4726" s="60" t="s">
        <v>13</v>
      </c>
      <c r="G4726" s="34" t="str">
        <f>IF(ISNUMBER(F4726),E4726*F4726,"")</f>
        <v/>
      </c>
      <c r="H4726" s="35"/>
      <c r="I4726" s="36"/>
      <c r="J4726" s="37">
        <v>0</v>
      </c>
    </row>
    <row r="4727" spans="1:10" hidden="1" x14ac:dyDescent="0.25">
      <c r="A4727" s="179"/>
      <c r="B4727" s="177"/>
      <c r="C4727" s="39"/>
      <c r="D4727" s="39"/>
      <c r="E4727" s="40"/>
      <c r="F4727" s="70" t="s">
        <v>13</v>
      </c>
      <c r="G4727" s="70" t="str">
        <f>IF(ISNUMBER(F4727),E4727*F4727,"")</f>
        <v/>
      </c>
      <c r="H4727" s="71"/>
      <c r="I4727" s="72"/>
      <c r="J4727" s="37">
        <v>0</v>
      </c>
    </row>
    <row r="4728" spans="1:10" hidden="1" x14ac:dyDescent="0.25">
      <c r="A4728" s="179"/>
      <c r="B4728" s="177"/>
      <c r="C4728" s="43" t="s">
        <v>10614</v>
      </c>
      <c r="D4728" s="43" t="s">
        <v>2800</v>
      </c>
      <c r="E4728" s="44">
        <v>6.5</v>
      </c>
      <c r="F4728" s="70">
        <v>23.693000000000001</v>
      </c>
      <c r="G4728" s="70">
        <f>IF(ISNUMBER(F4728),E4728*F4728,"")</f>
        <v>154.00450000000001</v>
      </c>
      <c r="H4728" s="46">
        <f>SUM(G4728:G4734)</f>
        <v>1078.8023162724999</v>
      </c>
      <c r="I4728" s="47"/>
      <c r="J4728" s="37">
        <v>0</v>
      </c>
    </row>
    <row r="4729" spans="1:10" ht="25.5" hidden="1" x14ac:dyDescent="0.25">
      <c r="A4729" s="179"/>
      <c r="B4729" s="177"/>
      <c r="C4729" s="43" t="s">
        <v>10647</v>
      </c>
      <c r="D4729" s="43" t="s">
        <v>2880</v>
      </c>
      <c r="E4729" s="44">
        <v>0.35799999999999998</v>
      </c>
      <c r="F4729" s="70">
        <v>199.71849999999998</v>
      </c>
      <c r="G4729" s="70">
        <f>IF(ISNUMBER(F4729),E4729*F4729,"")</f>
        <v>71.499222999999986</v>
      </c>
      <c r="H4729" s="71"/>
      <c r="I4729" s="72"/>
      <c r="J4729" s="37">
        <v>0</v>
      </c>
    </row>
    <row r="4730" spans="1:10" hidden="1" x14ac:dyDescent="0.25">
      <c r="A4730" s="179"/>
      <c r="B4730" s="177"/>
      <c r="C4730" s="43" t="s">
        <v>10648</v>
      </c>
      <c r="D4730" s="43" t="s">
        <v>1044</v>
      </c>
      <c r="E4730" s="44">
        <v>400</v>
      </c>
      <c r="F4730" s="70">
        <v>0.64600000000000002</v>
      </c>
      <c r="G4730" s="70">
        <f>IF(ISNUMBER(F4730),E4730*F4730,"")</f>
        <v>258.40000000000003</v>
      </c>
      <c r="H4730" s="71"/>
      <c r="I4730" s="72"/>
      <c r="J4730" s="37">
        <v>0</v>
      </c>
    </row>
    <row r="4731" spans="1:10" ht="25.5" hidden="1" x14ac:dyDescent="0.25">
      <c r="A4731" s="179"/>
      <c r="B4731" s="177"/>
      <c r="C4731" s="43" t="s">
        <v>11169</v>
      </c>
      <c r="D4731" s="43" t="s">
        <v>1044</v>
      </c>
      <c r="E4731" s="44">
        <v>10.5</v>
      </c>
      <c r="F4731" s="70">
        <v>54.320999999999998</v>
      </c>
      <c r="G4731" s="70">
        <f>IF(ISNUMBER(F4731),E4731*F4731,"")</f>
        <v>570.37049999999999</v>
      </c>
      <c r="H4731" s="71"/>
      <c r="I4731" s="72"/>
      <c r="J4731" s="37">
        <v>0</v>
      </c>
    </row>
    <row r="4732" spans="1:10" ht="38.25" hidden="1" x14ac:dyDescent="0.25">
      <c r="A4732" s="179"/>
      <c r="B4732" s="177"/>
      <c r="C4732" s="43" t="s">
        <v>10650</v>
      </c>
      <c r="D4732" s="43" t="s">
        <v>1050</v>
      </c>
      <c r="E4732" s="44">
        <v>0.34300000000000003</v>
      </c>
      <c r="F4732" s="70">
        <v>1.6435</v>
      </c>
      <c r="G4732" s="70">
        <f>IF(ISNUMBER(F4732),E4732*F4732,"")</f>
        <v>0.56372050000000007</v>
      </c>
      <c r="H4732" s="71"/>
      <c r="I4732" s="72"/>
      <c r="J4732" s="37">
        <v>0</v>
      </c>
    </row>
    <row r="4733" spans="1:10" ht="51" hidden="1" x14ac:dyDescent="0.25">
      <c r="A4733" s="179"/>
      <c r="B4733" s="177"/>
      <c r="C4733" s="43" t="s">
        <v>10624</v>
      </c>
      <c r="D4733" s="43" t="s">
        <v>2880</v>
      </c>
      <c r="E4733" s="44">
        <f>1*E4729</f>
        <v>0.35799999999999998</v>
      </c>
      <c r="F4733" s="41">
        <v>8.5522277500000001</v>
      </c>
      <c r="G4733" s="41">
        <f>IF(ISNUMBER(F4733),E4733*F4733,"")</f>
        <v>3.0616975344999999</v>
      </c>
      <c r="H4733" s="42"/>
      <c r="I4733" s="38"/>
      <c r="J4733" s="37">
        <v>0</v>
      </c>
    </row>
    <row r="4734" spans="1:10" ht="38.25" hidden="1" x14ac:dyDescent="0.25">
      <c r="A4734" s="179"/>
      <c r="B4734" s="177"/>
      <c r="C4734" s="43" t="s">
        <v>10622</v>
      </c>
      <c r="D4734" s="43" t="s">
        <v>10676</v>
      </c>
      <c r="E4734" s="44">
        <f>E4729*20</f>
        <v>7.16</v>
      </c>
      <c r="F4734" s="70">
        <v>2.9193680499999997</v>
      </c>
      <c r="G4734" s="70">
        <f>IF(ISNUMBER(F4734),E4734*F4734,"")</f>
        <v>20.902675237999997</v>
      </c>
      <c r="H4734" s="71"/>
      <c r="I4734" s="72"/>
      <c r="J4734" s="37">
        <v>0</v>
      </c>
    </row>
    <row r="4735" spans="1:10" hidden="1" x14ac:dyDescent="0.25">
      <c r="A4735" s="179"/>
      <c r="B4735" s="177"/>
      <c r="C4735" s="43"/>
      <c r="D4735" s="43"/>
      <c r="E4735" s="44"/>
      <c r="F4735" s="70" t="s">
        <v>13</v>
      </c>
      <c r="G4735" s="70" t="str">
        <f>IF(ISNUMBER(F4735),E4735*F4735,"")</f>
        <v/>
      </c>
      <c r="H4735" s="71"/>
      <c r="I4735" s="72"/>
      <c r="J4735" s="37">
        <v>0</v>
      </c>
    </row>
    <row r="4736" spans="1:10" hidden="1" x14ac:dyDescent="0.25">
      <c r="A4736" s="179"/>
      <c r="B4736" s="177"/>
      <c r="C4736" s="4" t="s">
        <v>1116</v>
      </c>
      <c r="D4736" s="43"/>
      <c r="E4736" s="44"/>
      <c r="F4736" s="70" t="s">
        <v>13</v>
      </c>
      <c r="G4736" s="70" t="str">
        <f>IF(ISNUMBER(F4736),E4736*F4736,"")</f>
        <v/>
      </c>
      <c r="H4736" s="71"/>
      <c r="I4736" s="72"/>
      <c r="J4736" s="37">
        <v>0</v>
      </c>
    </row>
    <row r="4737" spans="1:10" ht="15.75" hidden="1" thickBot="1" x14ac:dyDescent="0.3">
      <c r="A4737" s="180"/>
      <c r="B4737" s="178"/>
      <c r="C4737" s="49"/>
      <c r="D4737" s="49"/>
      <c r="E4737" s="50"/>
      <c r="F4737" s="83" t="s">
        <v>13</v>
      </c>
      <c r="G4737" s="83" t="str">
        <f>IF(ISNUMBER(F4737),E4737*F4737,"")</f>
        <v/>
      </c>
      <c r="H4737" s="84"/>
      <c r="I4737" s="72"/>
      <c r="J4737" s="37">
        <v>0</v>
      </c>
    </row>
    <row r="4738" spans="1:10" ht="15.75" hidden="1" thickBot="1" x14ac:dyDescent="0.3">
      <c r="A4738" s="173" t="s">
        <v>1117</v>
      </c>
      <c r="B4738" s="176" t="s">
        <v>4630</v>
      </c>
      <c r="C4738" s="31"/>
      <c r="D4738" s="32" t="s">
        <v>68</v>
      </c>
      <c r="E4738" s="33"/>
      <c r="F4738" s="60" t="s">
        <v>13</v>
      </c>
      <c r="G4738" s="34" t="str">
        <f>IF(ISNUMBER(F4738),E4738*F4738,"")</f>
        <v/>
      </c>
      <c r="H4738" s="35"/>
      <c r="I4738" s="36"/>
      <c r="J4738" s="37">
        <v>0</v>
      </c>
    </row>
    <row r="4739" spans="1:10" hidden="1" x14ac:dyDescent="0.25">
      <c r="A4739" s="179"/>
      <c r="B4739" s="177"/>
      <c r="C4739" s="39"/>
      <c r="D4739" s="39"/>
      <c r="E4739" s="40"/>
      <c r="F4739" s="70" t="s">
        <v>13</v>
      </c>
      <c r="G4739" s="70" t="str">
        <f>IF(ISNUMBER(F4739),E4739*F4739,"")</f>
        <v/>
      </c>
      <c r="H4739" s="71"/>
      <c r="I4739" s="72"/>
      <c r="J4739" s="37">
        <v>0</v>
      </c>
    </row>
    <row r="4740" spans="1:10" ht="25.5" hidden="1" x14ac:dyDescent="0.25">
      <c r="A4740" s="179"/>
      <c r="B4740" s="177"/>
      <c r="C4740" s="43" t="s">
        <v>11170</v>
      </c>
      <c r="D4740" s="43" t="s">
        <v>70</v>
      </c>
      <c r="E4740" s="44">
        <v>0.35</v>
      </c>
      <c r="F4740" s="70">
        <v>15.760499999999999</v>
      </c>
      <c r="G4740" s="70">
        <f>IF(ISNUMBER(F4740),E4740*F4740,"")</f>
        <v>5.5161749999999996</v>
      </c>
      <c r="H4740" s="46">
        <f>SUM(G4740:G4741)</f>
        <v>7.8764652000000002</v>
      </c>
      <c r="I4740" s="47"/>
      <c r="J4740" s="37">
        <v>0</v>
      </c>
    </row>
    <row r="4741" spans="1:10" hidden="1" x14ac:dyDescent="0.25">
      <c r="A4741" s="179"/>
      <c r="B4741" s="177"/>
      <c r="C4741" s="43" t="s">
        <v>10750</v>
      </c>
      <c r="D4741" s="43" t="s">
        <v>2800</v>
      </c>
      <c r="E4741" s="44">
        <v>9.69E-2</v>
      </c>
      <c r="F4741" s="70">
        <v>24.358000000000001</v>
      </c>
      <c r="G4741" s="70">
        <f>IF(ISNUMBER(F4741),E4741*F4741,"")</f>
        <v>2.3602902000000001</v>
      </c>
      <c r="H4741" s="71"/>
      <c r="I4741" s="72"/>
      <c r="J4741" s="37">
        <v>0</v>
      </c>
    </row>
    <row r="4742" spans="1:10" hidden="1" x14ac:dyDescent="0.25">
      <c r="A4742" s="179"/>
      <c r="B4742" s="177"/>
      <c r="C4742" s="43"/>
      <c r="D4742" s="43"/>
      <c r="E4742" s="44"/>
      <c r="F4742" s="70" t="s">
        <v>13</v>
      </c>
      <c r="G4742" s="70" t="str">
        <f>IF(ISNUMBER(F4742),E4742*F4742,"")</f>
        <v/>
      </c>
      <c r="H4742" s="71"/>
      <c r="I4742" s="72"/>
      <c r="J4742" s="37">
        <v>0</v>
      </c>
    </row>
    <row r="4743" spans="1:10" ht="25.5" hidden="1" x14ac:dyDescent="0.25">
      <c r="A4743" s="179"/>
      <c r="B4743" s="177"/>
      <c r="C4743" s="4" t="s">
        <v>1118</v>
      </c>
      <c r="D4743" s="43"/>
      <c r="E4743" s="44"/>
      <c r="F4743" s="70" t="s">
        <v>13</v>
      </c>
      <c r="G4743" s="70" t="str">
        <f>IF(ISNUMBER(F4743),E4743*F4743,"")</f>
        <v/>
      </c>
      <c r="H4743" s="71"/>
      <c r="I4743" s="72"/>
      <c r="J4743" s="37">
        <v>0</v>
      </c>
    </row>
    <row r="4744" spans="1:10" hidden="1" x14ac:dyDescent="0.25">
      <c r="A4744" s="179"/>
      <c r="B4744" s="177"/>
      <c r="C4744" s="93" t="s">
        <v>1119</v>
      </c>
      <c r="D4744" s="43"/>
      <c r="E4744" s="44"/>
      <c r="F4744" s="70" t="s">
        <v>13</v>
      </c>
      <c r="G4744" s="70" t="str">
        <f>IF(ISNUMBER(F4744),E4744*F4744,"")</f>
        <v/>
      </c>
      <c r="H4744" s="71"/>
      <c r="I4744" s="72"/>
      <c r="J4744" s="37">
        <v>0</v>
      </c>
    </row>
    <row r="4745" spans="1:10" ht="15.75" hidden="1" thickBot="1" x14ac:dyDescent="0.3">
      <c r="A4745" s="180"/>
      <c r="B4745" s="178"/>
      <c r="C4745" s="49"/>
      <c r="D4745" s="49"/>
      <c r="E4745" s="50"/>
      <c r="F4745" s="83" t="s">
        <v>13</v>
      </c>
      <c r="G4745" s="83" t="str">
        <f>IF(ISNUMBER(F4745),E4745*F4745,"")</f>
        <v/>
      </c>
      <c r="H4745" s="84"/>
      <c r="I4745" s="72"/>
      <c r="J4745" s="37">
        <v>0</v>
      </c>
    </row>
    <row r="4746" spans="1:10" ht="15.75" hidden="1" thickBot="1" x14ac:dyDescent="0.3">
      <c r="A4746" s="173" t="s">
        <v>1120</v>
      </c>
      <c r="B4746" s="176" t="s">
        <v>4631</v>
      </c>
      <c r="C4746" s="31"/>
      <c r="D4746" s="32" t="s">
        <v>68</v>
      </c>
      <c r="E4746" s="33"/>
      <c r="F4746" s="60" t="s">
        <v>13</v>
      </c>
      <c r="G4746" s="34" t="str">
        <f>IF(ISNUMBER(F4746),E4746*F4746,"")</f>
        <v/>
      </c>
      <c r="H4746" s="35"/>
      <c r="I4746" s="36"/>
      <c r="J4746" s="37">
        <v>0</v>
      </c>
    </row>
    <row r="4747" spans="1:10" hidden="1" x14ac:dyDescent="0.25">
      <c r="A4747" s="179"/>
      <c r="B4747" s="177"/>
      <c r="C4747" s="39"/>
      <c r="D4747" s="39"/>
      <c r="E4747" s="40"/>
      <c r="F4747" s="70" t="s">
        <v>13</v>
      </c>
      <c r="G4747" s="70" t="str">
        <f>IF(ISNUMBER(F4747),E4747*F4747,"")</f>
        <v/>
      </c>
      <c r="H4747" s="71"/>
      <c r="I4747" s="72"/>
      <c r="J4747" s="37">
        <v>0</v>
      </c>
    </row>
    <row r="4748" spans="1:10" hidden="1" x14ac:dyDescent="0.25">
      <c r="A4748" s="179"/>
      <c r="B4748" s="177"/>
      <c r="C4748" s="43" t="s">
        <v>11171</v>
      </c>
      <c r="D4748" s="43" t="s">
        <v>1044</v>
      </c>
      <c r="E4748" s="44">
        <v>2</v>
      </c>
      <c r="F4748" s="70">
        <v>73.881499999999988</v>
      </c>
      <c r="G4748" s="70">
        <f>IF(ISNUMBER(F4748),E4748*F4748,"")</f>
        <v>147.76299999999998</v>
      </c>
      <c r="H4748" s="46">
        <f>SUM(G4748:G4751)</f>
        <v>207.63994484999998</v>
      </c>
      <c r="I4748" s="47"/>
      <c r="J4748" s="37">
        <v>0</v>
      </c>
    </row>
    <row r="4749" spans="1:10" hidden="1" x14ac:dyDescent="0.25">
      <c r="A4749" s="179"/>
      <c r="B4749" s="177"/>
      <c r="C4749" s="43" t="s">
        <v>11128</v>
      </c>
      <c r="D4749" s="43" t="s">
        <v>70</v>
      </c>
      <c r="E4749" s="44">
        <v>0.3</v>
      </c>
      <c r="F4749" s="70">
        <v>138.88049999999998</v>
      </c>
      <c r="G4749" s="70">
        <f>IF(ISNUMBER(F4749),E4749*F4749,"")</f>
        <v>41.664149999999992</v>
      </c>
      <c r="H4749" s="71"/>
      <c r="I4749" s="72"/>
      <c r="J4749" s="37">
        <v>0</v>
      </c>
    </row>
    <row r="4750" spans="1:10" hidden="1" x14ac:dyDescent="0.25">
      <c r="A4750" s="179"/>
      <c r="B4750" s="177"/>
      <c r="C4750" s="43" t="s">
        <v>10750</v>
      </c>
      <c r="D4750" s="43" t="s">
        <v>2800</v>
      </c>
      <c r="E4750" s="44">
        <v>0.1124</v>
      </c>
      <c r="F4750" s="70">
        <v>24.358000000000001</v>
      </c>
      <c r="G4750" s="70">
        <f>IF(ISNUMBER(F4750),E4750*F4750,"")</f>
        <v>2.7378392000000003</v>
      </c>
      <c r="H4750" s="71"/>
      <c r="I4750" s="72"/>
      <c r="J4750" s="37">
        <v>0</v>
      </c>
    </row>
    <row r="4751" spans="1:10" hidden="1" x14ac:dyDescent="0.25">
      <c r="A4751" s="179"/>
      <c r="B4751" s="177"/>
      <c r="C4751" s="43" t="s">
        <v>10850</v>
      </c>
      <c r="D4751" s="43" t="s">
        <v>2800</v>
      </c>
      <c r="E4751" s="44">
        <v>0.49830000000000002</v>
      </c>
      <c r="F4751" s="70">
        <v>31.055499999999995</v>
      </c>
      <c r="G4751" s="70">
        <f>IF(ISNUMBER(F4751),E4751*F4751,"")</f>
        <v>15.474955649999998</v>
      </c>
      <c r="H4751" s="71"/>
      <c r="I4751" s="72"/>
      <c r="J4751" s="37">
        <v>0</v>
      </c>
    </row>
    <row r="4752" spans="1:10" ht="15.75" hidden="1" thickBot="1" x14ac:dyDescent="0.3">
      <c r="A4752" s="180"/>
      <c r="B4752" s="178"/>
      <c r="C4752" s="49"/>
      <c r="D4752" s="49"/>
      <c r="E4752" s="50"/>
      <c r="F4752" s="83" t="s">
        <v>13</v>
      </c>
      <c r="G4752" s="83" t="str">
        <f>IF(ISNUMBER(F4752),E4752*F4752,"")</f>
        <v/>
      </c>
      <c r="H4752" s="84"/>
      <c r="I4752" s="72"/>
      <c r="J4752" s="37">
        <v>0</v>
      </c>
    </row>
    <row r="4753" spans="1:10" ht="15.75" hidden="1" thickBot="1" x14ac:dyDescent="0.3">
      <c r="A4753" s="173" t="s">
        <v>1121</v>
      </c>
      <c r="B4753" s="176" t="s">
        <v>4632</v>
      </c>
      <c r="C4753" s="31"/>
      <c r="D4753" s="32" t="s">
        <v>68</v>
      </c>
      <c r="E4753" s="33"/>
      <c r="F4753" s="60" t="s">
        <v>13</v>
      </c>
      <c r="G4753" s="34" t="str">
        <f>IF(ISNUMBER(F4753),E4753*F4753,"")</f>
        <v/>
      </c>
      <c r="H4753" s="35"/>
      <c r="I4753" s="36"/>
      <c r="J4753" s="37">
        <v>0</v>
      </c>
    </row>
    <row r="4754" spans="1:10" hidden="1" x14ac:dyDescent="0.25">
      <c r="A4754" s="179"/>
      <c r="B4754" s="177"/>
      <c r="C4754" s="39"/>
      <c r="D4754" s="39"/>
      <c r="E4754" s="40"/>
      <c r="F4754" s="70" t="s">
        <v>13</v>
      </c>
      <c r="G4754" s="70" t="str">
        <f>IF(ISNUMBER(F4754),E4754*F4754,"")</f>
        <v/>
      </c>
      <c r="H4754" s="71"/>
      <c r="I4754" s="72"/>
      <c r="J4754" s="37">
        <v>0</v>
      </c>
    </row>
    <row r="4755" spans="1:10" ht="25.5" hidden="1" x14ac:dyDescent="0.25">
      <c r="A4755" s="179"/>
      <c r="B4755" s="177"/>
      <c r="C4755" s="43" t="s">
        <v>11170</v>
      </c>
      <c r="D4755" s="43" t="s">
        <v>70</v>
      </c>
      <c r="E4755" s="44">
        <v>0.58720000000000006</v>
      </c>
      <c r="F4755" s="70">
        <v>15.760499999999999</v>
      </c>
      <c r="G4755" s="70">
        <f>IF(ISNUMBER(F4755),E4755*F4755,"")</f>
        <v>9.2545655999999994</v>
      </c>
      <c r="H4755" s="46">
        <f>SUM(G4755:G4759)</f>
        <v>115.62270544999998</v>
      </c>
      <c r="I4755" s="47"/>
      <c r="J4755" s="37">
        <v>0</v>
      </c>
    </row>
    <row r="4756" spans="1:10" ht="25.5" hidden="1" x14ac:dyDescent="0.25">
      <c r="A4756" s="179"/>
      <c r="B4756" s="177"/>
      <c r="C4756" s="43" t="s">
        <v>11172</v>
      </c>
      <c r="D4756" s="43" t="s">
        <v>162</v>
      </c>
      <c r="E4756" s="44">
        <v>1.1318999999999999</v>
      </c>
      <c r="F4756" s="70">
        <v>62.139499999999991</v>
      </c>
      <c r="G4756" s="70">
        <f>IF(ISNUMBER(F4756),E4756*F4756,"")</f>
        <v>70.335700049999986</v>
      </c>
      <c r="H4756" s="71"/>
      <c r="I4756" s="72"/>
      <c r="J4756" s="37">
        <v>0</v>
      </c>
    </row>
    <row r="4757" spans="1:10" hidden="1" x14ac:dyDescent="0.25">
      <c r="A4757" s="179"/>
      <c r="B4757" s="177"/>
      <c r="C4757" s="43" t="s">
        <v>11173</v>
      </c>
      <c r="D4757" s="43" t="s">
        <v>1044</v>
      </c>
      <c r="E4757" s="44">
        <v>0.26</v>
      </c>
      <c r="F4757" s="70">
        <v>7.524</v>
      </c>
      <c r="G4757" s="70">
        <f>IF(ISNUMBER(F4757),E4757*F4757,"")</f>
        <v>1.95624</v>
      </c>
      <c r="H4757" s="71"/>
      <c r="I4757" s="72"/>
      <c r="J4757" s="37">
        <v>0</v>
      </c>
    </row>
    <row r="4758" spans="1:10" hidden="1" x14ac:dyDescent="0.25">
      <c r="A4758" s="179"/>
      <c r="B4758" s="177"/>
      <c r="C4758" s="43" t="s">
        <v>10750</v>
      </c>
      <c r="D4758" s="43" t="s">
        <v>2800</v>
      </c>
      <c r="E4758" s="44">
        <v>0.2102</v>
      </c>
      <c r="F4758" s="70">
        <v>24.358000000000001</v>
      </c>
      <c r="G4758" s="70">
        <f>IF(ISNUMBER(F4758),E4758*F4758,"")</f>
        <v>5.1200516</v>
      </c>
      <c r="H4758" s="71"/>
      <c r="I4758" s="72"/>
      <c r="J4758" s="37">
        <v>0</v>
      </c>
    </row>
    <row r="4759" spans="1:10" hidden="1" x14ac:dyDescent="0.25">
      <c r="A4759" s="179"/>
      <c r="B4759" s="177"/>
      <c r="C4759" s="43" t="s">
        <v>10850</v>
      </c>
      <c r="D4759" s="43" t="s">
        <v>2800</v>
      </c>
      <c r="E4759" s="44">
        <v>0.93240000000000001</v>
      </c>
      <c r="F4759" s="70">
        <v>31.055499999999995</v>
      </c>
      <c r="G4759" s="70">
        <f>IF(ISNUMBER(F4759),E4759*F4759,"")</f>
        <v>28.956148199999994</v>
      </c>
      <c r="H4759" s="71"/>
      <c r="I4759" s="72"/>
      <c r="J4759" s="37">
        <v>0</v>
      </c>
    </row>
    <row r="4760" spans="1:10" ht="15.75" hidden="1" thickBot="1" x14ac:dyDescent="0.3">
      <c r="A4760" s="180"/>
      <c r="B4760" s="178"/>
      <c r="C4760" s="49"/>
      <c r="D4760" s="49"/>
      <c r="E4760" s="50"/>
      <c r="F4760" s="83" t="s">
        <v>13</v>
      </c>
      <c r="G4760" s="83" t="str">
        <f>IF(ISNUMBER(F4760),E4760*F4760,"")</f>
        <v/>
      </c>
      <c r="H4760" s="84"/>
      <c r="I4760" s="72"/>
      <c r="J4760" s="37">
        <v>0</v>
      </c>
    </row>
    <row r="4761" spans="1:10" ht="15.75" hidden="1" thickBot="1" x14ac:dyDescent="0.3">
      <c r="A4761" s="173" t="s">
        <v>1122</v>
      </c>
      <c r="B4761" s="176" t="s">
        <v>4633</v>
      </c>
      <c r="C4761" s="31"/>
      <c r="D4761" s="32" t="s">
        <v>68</v>
      </c>
      <c r="E4761" s="33"/>
      <c r="F4761" s="60" t="s">
        <v>13</v>
      </c>
      <c r="G4761" s="34" t="str">
        <f>IF(ISNUMBER(F4761),E4761*F4761,"")</f>
        <v/>
      </c>
      <c r="H4761" s="35"/>
      <c r="I4761" s="36"/>
      <c r="J4761" s="37">
        <v>0</v>
      </c>
    </row>
    <row r="4762" spans="1:10" hidden="1" x14ac:dyDescent="0.25">
      <c r="A4762" s="179"/>
      <c r="B4762" s="177"/>
      <c r="C4762" s="39"/>
      <c r="D4762" s="39"/>
      <c r="E4762" s="40"/>
      <c r="F4762" s="70" t="s">
        <v>13</v>
      </c>
      <c r="G4762" s="70" t="str">
        <f>IF(ISNUMBER(F4762),E4762*F4762,"")</f>
        <v/>
      </c>
      <c r="H4762" s="71"/>
      <c r="I4762" s="72"/>
      <c r="J4762" s="37">
        <v>0</v>
      </c>
    </row>
    <row r="4763" spans="1:10" ht="25.5" hidden="1" x14ac:dyDescent="0.25">
      <c r="A4763" s="179"/>
      <c r="B4763" s="177"/>
      <c r="C4763" s="43" t="s">
        <v>11170</v>
      </c>
      <c r="D4763" s="43" t="s">
        <v>70</v>
      </c>
      <c r="E4763" s="44">
        <v>0.58720000000000006</v>
      </c>
      <c r="F4763" s="70">
        <v>15.760499999999999</v>
      </c>
      <c r="G4763" s="70">
        <f>IF(ISNUMBER(F4763),E4763*F4763,"")</f>
        <v>9.2545655999999994</v>
      </c>
      <c r="H4763" s="46">
        <f>SUM(G4763:G4767)</f>
        <v>45.287005399999991</v>
      </c>
      <c r="I4763" s="47"/>
      <c r="J4763" s="37">
        <v>0</v>
      </c>
    </row>
    <row r="4764" spans="1:10" hidden="1" x14ac:dyDescent="0.25">
      <c r="A4764" s="179"/>
      <c r="B4764" s="177"/>
      <c r="C4764" s="43" t="s">
        <v>1123</v>
      </c>
      <c r="D4764" s="43" t="s">
        <v>162</v>
      </c>
      <c r="E4764" s="44">
        <v>1.1318999999999999</v>
      </c>
      <c r="F4764" s="70" t="s">
        <v>13</v>
      </c>
      <c r="G4764" s="70" t="str">
        <f>IF(ISNUMBER(F4764),E4764*F4764,"")</f>
        <v/>
      </c>
      <c r="H4764" s="71"/>
      <c r="I4764" s="72"/>
      <c r="J4764" s="37">
        <v>0</v>
      </c>
    </row>
    <row r="4765" spans="1:10" hidden="1" x14ac:dyDescent="0.25">
      <c r="A4765" s="179"/>
      <c r="B4765" s="177"/>
      <c r="C4765" s="43" t="s">
        <v>11173</v>
      </c>
      <c r="D4765" s="43" t="s">
        <v>1044</v>
      </c>
      <c r="E4765" s="44">
        <v>0.26</v>
      </c>
      <c r="F4765" s="70">
        <v>7.524</v>
      </c>
      <c r="G4765" s="70">
        <f>IF(ISNUMBER(F4765),E4765*F4765,"")</f>
        <v>1.95624</v>
      </c>
      <c r="H4765" s="71"/>
      <c r="I4765" s="72"/>
      <c r="J4765" s="37">
        <v>0</v>
      </c>
    </row>
    <row r="4766" spans="1:10" hidden="1" x14ac:dyDescent="0.25">
      <c r="A4766" s="179"/>
      <c r="B4766" s="177"/>
      <c r="C4766" s="43" t="s">
        <v>10750</v>
      </c>
      <c r="D4766" s="43" t="s">
        <v>2800</v>
      </c>
      <c r="E4766" s="44">
        <v>0.2102</v>
      </c>
      <c r="F4766" s="70">
        <v>24.358000000000001</v>
      </c>
      <c r="G4766" s="70">
        <f>IF(ISNUMBER(F4766),E4766*F4766,"")</f>
        <v>5.1200516</v>
      </c>
      <c r="H4766" s="71"/>
      <c r="I4766" s="72"/>
      <c r="J4766" s="37">
        <v>0</v>
      </c>
    </row>
    <row r="4767" spans="1:10" hidden="1" x14ac:dyDescent="0.25">
      <c r="A4767" s="179"/>
      <c r="B4767" s="177"/>
      <c r="C4767" s="43" t="s">
        <v>10850</v>
      </c>
      <c r="D4767" s="43" t="s">
        <v>2800</v>
      </c>
      <c r="E4767" s="44">
        <v>0.93240000000000001</v>
      </c>
      <c r="F4767" s="70">
        <v>31.055499999999995</v>
      </c>
      <c r="G4767" s="70">
        <f>IF(ISNUMBER(F4767),E4767*F4767,"")</f>
        <v>28.956148199999994</v>
      </c>
      <c r="H4767" s="71"/>
      <c r="I4767" s="72"/>
      <c r="J4767" s="37">
        <v>0</v>
      </c>
    </row>
    <row r="4768" spans="1:10" ht="15.75" hidden="1" thickBot="1" x14ac:dyDescent="0.3">
      <c r="A4768" s="180"/>
      <c r="B4768" s="178"/>
      <c r="C4768" s="49"/>
      <c r="D4768" s="49"/>
      <c r="E4768" s="50"/>
      <c r="F4768" s="83" t="s">
        <v>13</v>
      </c>
      <c r="G4768" s="83" t="str">
        <f>IF(ISNUMBER(F4768),E4768*F4768,"")</f>
        <v/>
      </c>
      <c r="H4768" s="84"/>
      <c r="I4768" s="72"/>
      <c r="J4768" s="37">
        <v>0</v>
      </c>
    </row>
    <row r="4769" spans="1:10" ht="15.75" hidden="1" thickBot="1" x14ac:dyDescent="0.3">
      <c r="A4769" s="173" t="s">
        <v>1124</v>
      </c>
      <c r="B4769" s="176" t="s">
        <v>4634</v>
      </c>
      <c r="C4769" s="31"/>
      <c r="D4769" s="32" t="s">
        <v>68</v>
      </c>
      <c r="E4769" s="33"/>
      <c r="F4769" s="60" t="s">
        <v>13</v>
      </c>
      <c r="G4769" s="34" t="str">
        <f>IF(ISNUMBER(F4769),E4769*F4769,"")</f>
        <v/>
      </c>
      <c r="H4769" s="35"/>
      <c r="I4769" s="36"/>
      <c r="J4769" s="37">
        <v>0</v>
      </c>
    </row>
    <row r="4770" spans="1:10" hidden="1" x14ac:dyDescent="0.25">
      <c r="A4770" s="179"/>
      <c r="B4770" s="177"/>
      <c r="C4770" s="39"/>
      <c r="D4770" s="39"/>
      <c r="E4770" s="40"/>
      <c r="F4770" s="70" t="s">
        <v>13</v>
      </c>
      <c r="G4770" s="70" t="str">
        <f>IF(ISNUMBER(F4770),E4770*F4770,"")</f>
        <v/>
      </c>
      <c r="H4770" s="71"/>
      <c r="I4770" s="72"/>
      <c r="J4770" s="37">
        <v>0</v>
      </c>
    </row>
    <row r="4771" spans="1:10" hidden="1" x14ac:dyDescent="0.25">
      <c r="A4771" s="179"/>
      <c r="B4771" s="177"/>
      <c r="C4771" s="43" t="s">
        <v>10850</v>
      </c>
      <c r="D4771" s="43" t="s">
        <v>2800</v>
      </c>
      <c r="E4771" s="44">
        <v>0.5</v>
      </c>
      <c r="F4771" s="70">
        <v>31.055499999999995</v>
      </c>
      <c r="G4771" s="70">
        <f>IF(ISNUMBER(F4771),E4771*F4771,"")</f>
        <v>15.527749999999997</v>
      </c>
      <c r="H4771" s="46">
        <f>SUM(G4771:G4778)</f>
        <v>51.399749999999997</v>
      </c>
      <c r="I4771" s="47"/>
      <c r="J4771" s="37">
        <v>0</v>
      </c>
    </row>
    <row r="4772" spans="1:10" hidden="1" x14ac:dyDescent="0.25">
      <c r="A4772" s="179"/>
      <c r="B4772" s="177"/>
      <c r="C4772" s="43" t="s">
        <v>10614</v>
      </c>
      <c r="D4772" s="43" t="s">
        <v>2800</v>
      </c>
      <c r="E4772" s="44">
        <v>1</v>
      </c>
      <c r="F4772" s="70">
        <v>23.693000000000001</v>
      </c>
      <c r="G4772" s="70">
        <f>IF(ISNUMBER(F4772),E4772*F4772,"")</f>
        <v>23.693000000000001</v>
      </c>
      <c r="H4772" s="71"/>
      <c r="I4772" s="72"/>
      <c r="J4772" s="37">
        <v>0</v>
      </c>
    </row>
    <row r="4773" spans="1:10" hidden="1" x14ac:dyDescent="0.25">
      <c r="A4773" s="179"/>
      <c r="B4773" s="177"/>
      <c r="C4773" s="43" t="s">
        <v>10750</v>
      </c>
      <c r="D4773" s="43" t="s">
        <v>2800</v>
      </c>
      <c r="E4773" s="44">
        <v>0.5</v>
      </c>
      <c r="F4773" s="70">
        <v>24.358000000000001</v>
      </c>
      <c r="G4773" s="70">
        <f>IF(ISNUMBER(F4773),E4773*F4773,"")</f>
        <v>12.179</v>
      </c>
      <c r="H4773" s="71"/>
      <c r="I4773" s="72"/>
      <c r="J4773" s="37">
        <v>0</v>
      </c>
    </row>
    <row r="4774" spans="1:10" hidden="1" x14ac:dyDescent="0.25">
      <c r="A4774" s="179"/>
      <c r="B4774" s="177"/>
      <c r="C4774" s="43" t="s">
        <v>1125</v>
      </c>
      <c r="D4774" s="43" t="s">
        <v>1044</v>
      </c>
      <c r="E4774" s="44">
        <v>0.8</v>
      </c>
      <c r="F4774" s="70" t="s">
        <v>13</v>
      </c>
      <c r="G4774" s="70" t="str">
        <f>IF(ISNUMBER(F4774),E4774*F4774,"")</f>
        <v/>
      </c>
      <c r="H4774" s="71"/>
      <c r="I4774" s="72"/>
      <c r="J4774" s="37">
        <v>0</v>
      </c>
    </row>
    <row r="4775" spans="1:10" hidden="1" x14ac:dyDescent="0.25">
      <c r="A4775" s="179"/>
      <c r="B4775" s="177"/>
      <c r="C4775" s="43" t="s">
        <v>1126</v>
      </c>
      <c r="D4775" s="43" t="s">
        <v>70</v>
      </c>
      <c r="E4775" s="44">
        <v>0.6</v>
      </c>
      <c r="F4775" s="70" t="s">
        <v>13</v>
      </c>
      <c r="G4775" s="70" t="str">
        <f>IF(ISNUMBER(F4775),E4775*F4775,"")</f>
        <v/>
      </c>
      <c r="H4775" s="71"/>
      <c r="I4775" s="72"/>
      <c r="J4775" s="37">
        <v>0</v>
      </c>
    </row>
    <row r="4776" spans="1:10" hidden="1" x14ac:dyDescent="0.25">
      <c r="A4776" s="179"/>
      <c r="B4776" s="177"/>
      <c r="C4776" s="43" t="s">
        <v>1127</v>
      </c>
      <c r="D4776" s="43" t="s">
        <v>68</v>
      </c>
      <c r="E4776" s="44">
        <v>1.1000000000000001</v>
      </c>
      <c r="F4776" s="70" t="s">
        <v>13</v>
      </c>
      <c r="G4776" s="70" t="str">
        <f>IF(ISNUMBER(F4776),E4776*F4776,"")</f>
        <v/>
      </c>
      <c r="H4776" s="71"/>
      <c r="I4776" s="72"/>
      <c r="J4776" s="37">
        <v>0</v>
      </c>
    </row>
    <row r="4777" spans="1:10" hidden="1" x14ac:dyDescent="0.25">
      <c r="A4777" s="179"/>
      <c r="B4777" s="177"/>
      <c r="C4777" s="43" t="s">
        <v>1128</v>
      </c>
      <c r="D4777" s="43" t="s">
        <v>106</v>
      </c>
      <c r="E4777" s="44">
        <v>2</v>
      </c>
      <c r="F4777" s="70" t="s">
        <v>13</v>
      </c>
      <c r="G4777" s="70" t="str">
        <f>IF(ISNUMBER(F4777),E4777*F4777,"")</f>
        <v/>
      </c>
      <c r="H4777" s="71"/>
      <c r="I4777" s="72"/>
      <c r="J4777" s="37">
        <v>0</v>
      </c>
    </row>
    <row r="4778" spans="1:10" hidden="1" x14ac:dyDescent="0.25">
      <c r="A4778" s="179"/>
      <c r="B4778" s="177"/>
      <c r="C4778" s="43" t="s">
        <v>1129</v>
      </c>
      <c r="D4778" s="43" t="s">
        <v>70</v>
      </c>
      <c r="E4778" s="44">
        <v>0.2</v>
      </c>
      <c r="F4778" s="70" t="s">
        <v>13</v>
      </c>
      <c r="G4778" s="70" t="str">
        <f>IF(ISNUMBER(F4778),E4778*F4778,"")</f>
        <v/>
      </c>
      <c r="H4778" s="71"/>
      <c r="I4778" s="72"/>
      <c r="J4778" s="37">
        <v>0</v>
      </c>
    </row>
    <row r="4779" spans="1:10" ht="15.75" hidden="1" thickBot="1" x14ac:dyDescent="0.3">
      <c r="A4779" s="180"/>
      <c r="B4779" s="178"/>
      <c r="C4779" s="49"/>
      <c r="D4779" s="49"/>
      <c r="E4779" s="50"/>
      <c r="F4779" s="83" t="s">
        <v>13</v>
      </c>
      <c r="G4779" s="83" t="str">
        <f>IF(ISNUMBER(F4779),E4779*F4779,"")</f>
        <v/>
      </c>
      <c r="H4779" s="84"/>
      <c r="I4779" s="72"/>
      <c r="J4779" s="37">
        <v>0</v>
      </c>
    </row>
    <row r="4780" spans="1:10" ht="15.75" hidden="1" thickBot="1" x14ac:dyDescent="0.3">
      <c r="A4780" s="173" t="s">
        <v>1130</v>
      </c>
      <c r="B4780" s="176" t="s">
        <v>4635</v>
      </c>
      <c r="C4780" s="31"/>
      <c r="D4780" s="32" t="s">
        <v>68</v>
      </c>
      <c r="E4780" s="33"/>
      <c r="F4780" s="60" t="s">
        <v>13</v>
      </c>
      <c r="G4780" s="34" t="str">
        <f>IF(ISNUMBER(F4780),E4780*F4780,"")</f>
        <v/>
      </c>
      <c r="H4780" s="35"/>
      <c r="I4780" s="36"/>
      <c r="J4780" s="37">
        <v>0</v>
      </c>
    </row>
    <row r="4781" spans="1:10" hidden="1" x14ac:dyDescent="0.25">
      <c r="A4781" s="179"/>
      <c r="B4781" s="177"/>
      <c r="C4781" s="39"/>
      <c r="D4781" s="39"/>
      <c r="E4781" s="40"/>
      <c r="F4781" s="70" t="s">
        <v>13</v>
      </c>
      <c r="G4781" s="70" t="str">
        <f>IF(ISNUMBER(F4781),E4781*F4781,"")</f>
        <v/>
      </c>
      <c r="H4781" s="71"/>
      <c r="I4781" s="72"/>
      <c r="J4781" s="37">
        <v>0</v>
      </c>
    </row>
    <row r="4782" spans="1:10" hidden="1" x14ac:dyDescent="0.25">
      <c r="A4782" s="179"/>
      <c r="B4782" s="177"/>
      <c r="C4782" s="43" t="s">
        <v>11174</v>
      </c>
      <c r="D4782" s="43" t="s">
        <v>1044</v>
      </c>
      <c r="E4782" s="44">
        <v>1.2</v>
      </c>
      <c r="F4782" s="70">
        <v>28.614000000000001</v>
      </c>
      <c r="G4782" s="70">
        <f>IF(ISNUMBER(F4782),E4782*F4782,"")</f>
        <v>34.336799999999997</v>
      </c>
      <c r="H4782" s="46">
        <f>SUM(G4782:G4784)</f>
        <v>55.180190449999998</v>
      </c>
      <c r="I4782" s="47"/>
      <c r="J4782" s="37">
        <v>0</v>
      </c>
    </row>
    <row r="4783" spans="1:10" hidden="1" x14ac:dyDescent="0.25">
      <c r="A4783" s="179"/>
      <c r="B4783" s="177"/>
      <c r="C4783" s="43" t="s">
        <v>10750</v>
      </c>
      <c r="D4783" s="43" t="s">
        <v>2800</v>
      </c>
      <c r="E4783" s="44">
        <v>0.12859999999999999</v>
      </c>
      <c r="F4783" s="70">
        <v>24.358000000000001</v>
      </c>
      <c r="G4783" s="70">
        <f>IF(ISNUMBER(F4783),E4783*F4783,"")</f>
        <v>3.1324388000000001</v>
      </c>
      <c r="H4783" s="71"/>
      <c r="I4783" s="72"/>
      <c r="J4783" s="37">
        <v>0</v>
      </c>
    </row>
    <row r="4784" spans="1:10" hidden="1" x14ac:dyDescent="0.25">
      <c r="A4784" s="179"/>
      <c r="B4784" s="177"/>
      <c r="C4784" s="43" t="s">
        <v>10850</v>
      </c>
      <c r="D4784" s="43" t="s">
        <v>2800</v>
      </c>
      <c r="E4784" s="44">
        <v>0.57030000000000003</v>
      </c>
      <c r="F4784" s="70">
        <v>31.055499999999995</v>
      </c>
      <c r="G4784" s="70">
        <f>IF(ISNUMBER(F4784),E4784*F4784,"")</f>
        <v>17.710951649999998</v>
      </c>
      <c r="H4784" s="71"/>
      <c r="I4784" s="72"/>
      <c r="J4784" s="37">
        <v>0</v>
      </c>
    </row>
    <row r="4785" spans="1:10" ht="15.75" hidden="1" thickBot="1" x14ac:dyDescent="0.3">
      <c r="A4785" s="180"/>
      <c r="B4785" s="178"/>
      <c r="C4785" s="49"/>
      <c r="D4785" s="49"/>
      <c r="E4785" s="50"/>
      <c r="F4785" s="83" t="s">
        <v>13</v>
      </c>
      <c r="G4785" s="83" t="str">
        <f>IF(ISNUMBER(F4785),E4785*F4785,"")</f>
        <v/>
      </c>
      <c r="H4785" s="84"/>
      <c r="I4785" s="72"/>
      <c r="J4785" s="37">
        <v>0</v>
      </c>
    </row>
    <row r="4786" spans="1:10" ht="15.75" hidden="1" thickBot="1" x14ac:dyDescent="0.3">
      <c r="A4786" s="173" t="s">
        <v>1131</v>
      </c>
      <c r="B4786" s="176" t="s">
        <v>4636</v>
      </c>
      <c r="C4786" s="31"/>
      <c r="D4786" s="32" t="s">
        <v>68</v>
      </c>
      <c r="E4786" s="33"/>
      <c r="F4786" s="60" t="s">
        <v>13</v>
      </c>
      <c r="G4786" s="34" t="str">
        <f>IF(ISNUMBER(F4786),E4786*F4786,"")</f>
        <v/>
      </c>
      <c r="H4786" s="35"/>
      <c r="I4786" s="36"/>
      <c r="J4786" s="37">
        <v>0</v>
      </c>
    </row>
    <row r="4787" spans="1:10" hidden="1" x14ac:dyDescent="0.25">
      <c r="A4787" s="179"/>
      <c r="B4787" s="177"/>
      <c r="C4787" s="39"/>
      <c r="D4787" s="39"/>
      <c r="E4787" s="40"/>
      <c r="F4787" s="70" t="s">
        <v>13</v>
      </c>
      <c r="G4787" s="70" t="str">
        <f>IF(ISNUMBER(F4787),E4787*F4787,"")</f>
        <v/>
      </c>
      <c r="H4787" s="71"/>
      <c r="I4787" s="72"/>
      <c r="J4787" s="37">
        <v>0</v>
      </c>
    </row>
    <row r="4788" spans="1:10" hidden="1" x14ac:dyDescent="0.25">
      <c r="A4788" s="179"/>
      <c r="B4788" s="177"/>
      <c r="C4788" s="43" t="s">
        <v>1132</v>
      </c>
      <c r="D4788" s="43" t="s">
        <v>1044</v>
      </c>
      <c r="E4788" s="44">
        <v>3</v>
      </c>
      <c r="F4788" s="70" t="s">
        <v>13</v>
      </c>
      <c r="G4788" s="70" t="str">
        <f>IF(ISNUMBER(F4788),E4788*F4788,"")</f>
        <v/>
      </c>
      <c r="H4788" s="46">
        <f>SUM(G4788:G4789)</f>
        <v>6.2110999999999992</v>
      </c>
      <c r="I4788" s="47"/>
      <c r="J4788" s="37">
        <v>0</v>
      </c>
    </row>
    <row r="4789" spans="1:10" hidden="1" x14ac:dyDescent="0.25">
      <c r="A4789" s="179"/>
      <c r="B4789" s="177"/>
      <c r="C4789" s="43" t="s">
        <v>10850</v>
      </c>
      <c r="D4789" s="43" t="s">
        <v>2800</v>
      </c>
      <c r="E4789" s="44">
        <v>0.2</v>
      </c>
      <c r="F4789" s="70">
        <v>31.055499999999995</v>
      </c>
      <c r="G4789" s="70">
        <f>IF(ISNUMBER(F4789),E4789*F4789,"")</f>
        <v>6.2110999999999992</v>
      </c>
      <c r="H4789" s="71"/>
      <c r="I4789" s="72"/>
      <c r="J4789" s="37">
        <v>0</v>
      </c>
    </row>
    <row r="4790" spans="1:10" hidden="1" x14ac:dyDescent="0.25">
      <c r="A4790" s="179"/>
      <c r="B4790" s="177"/>
      <c r="C4790" s="43"/>
      <c r="D4790" s="43"/>
      <c r="E4790" s="44"/>
      <c r="F4790" s="70" t="s">
        <v>13</v>
      </c>
      <c r="G4790" s="70" t="str">
        <f>IF(ISNUMBER(F4790),E4790*F4790,"")</f>
        <v/>
      </c>
      <c r="H4790" s="71"/>
      <c r="I4790" s="72"/>
      <c r="J4790" s="37">
        <v>0</v>
      </c>
    </row>
    <row r="4791" spans="1:10" ht="25.5" hidden="1" x14ac:dyDescent="0.25">
      <c r="A4791" s="179"/>
      <c r="B4791" s="177"/>
      <c r="C4791" s="4" t="s">
        <v>1133</v>
      </c>
      <c r="D4791" s="43"/>
      <c r="E4791" s="44"/>
      <c r="F4791" s="70" t="s">
        <v>13</v>
      </c>
      <c r="G4791" s="70" t="str">
        <f>IF(ISNUMBER(F4791),E4791*F4791,"")</f>
        <v/>
      </c>
      <c r="H4791" s="71"/>
      <c r="I4791" s="72"/>
      <c r="J4791" s="37">
        <v>0</v>
      </c>
    </row>
    <row r="4792" spans="1:10" ht="24.75" hidden="1" x14ac:dyDescent="0.25">
      <c r="A4792" s="179"/>
      <c r="B4792" s="177"/>
      <c r="C4792" s="94" t="s">
        <v>1134</v>
      </c>
      <c r="D4792" s="43"/>
      <c r="E4792" s="44"/>
      <c r="F4792" s="70" t="s">
        <v>13</v>
      </c>
      <c r="G4792" s="70" t="str">
        <f>IF(ISNUMBER(F4792),E4792*F4792,"")</f>
        <v/>
      </c>
      <c r="H4792" s="71"/>
      <c r="I4792" s="72"/>
      <c r="J4792" s="37">
        <v>0</v>
      </c>
    </row>
    <row r="4793" spans="1:10" ht="15.75" hidden="1" thickBot="1" x14ac:dyDescent="0.3">
      <c r="A4793" s="180"/>
      <c r="B4793" s="178"/>
      <c r="C4793" s="49"/>
      <c r="D4793" s="49"/>
      <c r="E4793" s="50"/>
      <c r="F4793" s="83" t="s">
        <v>13</v>
      </c>
      <c r="G4793" s="83" t="str">
        <f>IF(ISNUMBER(F4793),E4793*F4793,"")</f>
        <v/>
      </c>
      <c r="H4793" s="84"/>
      <c r="I4793" s="72"/>
      <c r="J4793" s="37">
        <v>0</v>
      </c>
    </row>
    <row r="4794" spans="1:10" ht="15.75" hidden="1" thickBot="1" x14ac:dyDescent="0.3">
      <c r="A4794" s="173" t="s">
        <v>1135</v>
      </c>
      <c r="B4794" s="176" t="s">
        <v>4637</v>
      </c>
      <c r="C4794" s="31"/>
      <c r="D4794" s="32" t="s">
        <v>68</v>
      </c>
      <c r="E4794" s="33"/>
      <c r="F4794" s="60" t="s">
        <v>13</v>
      </c>
      <c r="G4794" s="34" t="str">
        <f>IF(ISNUMBER(F4794),E4794*F4794,"")</f>
        <v/>
      </c>
      <c r="H4794" s="35"/>
      <c r="I4794" s="36"/>
      <c r="J4794" s="37">
        <v>0</v>
      </c>
    </row>
    <row r="4795" spans="1:10" hidden="1" x14ac:dyDescent="0.25">
      <c r="A4795" s="179"/>
      <c r="B4795" s="177"/>
      <c r="C4795" s="39"/>
      <c r="D4795" s="39"/>
      <c r="E4795" s="40"/>
      <c r="F4795" s="70" t="s">
        <v>13</v>
      </c>
      <c r="G4795" s="70" t="str">
        <f>IF(ISNUMBER(F4795),E4795*F4795,"")</f>
        <v/>
      </c>
      <c r="H4795" s="71"/>
      <c r="I4795" s="72"/>
      <c r="J4795" s="37">
        <v>0</v>
      </c>
    </row>
    <row r="4796" spans="1:10" ht="25.5" hidden="1" x14ac:dyDescent="0.25">
      <c r="A4796" s="179"/>
      <c r="B4796" s="177"/>
      <c r="C4796" s="43" t="s">
        <v>11170</v>
      </c>
      <c r="D4796" s="43" t="s">
        <v>70</v>
      </c>
      <c r="E4796" s="44">
        <v>0.58720000000000006</v>
      </c>
      <c r="F4796" s="70">
        <v>15.760499999999999</v>
      </c>
      <c r="G4796" s="70">
        <f>IF(ISNUMBER(F4796),E4796*F4796,"")</f>
        <v>9.2545655999999994</v>
      </c>
      <c r="H4796" s="46">
        <f>SUM(G4796:G4801)</f>
        <v>195.04286029999997</v>
      </c>
      <c r="I4796" s="47"/>
      <c r="J4796" s="37">
        <v>0</v>
      </c>
    </row>
    <row r="4797" spans="1:10" ht="25.5" hidden="1" x14ac:dyDescent="0.25">
      <c r="A4797" s="179"/>
      <c r="B4797" s="177"/>
      <c r="C4797" s="43" t="s">
        <v>11175</v>
      </c>
      <c r="D4797" s="43" t="s">
        <v>162</v>
      </c>
      <c r="E4797" s="44">
        <v>1.1318999999999999</v>
      </c>
      <c r="F4797" s="70">
        <v>50.596999999999994</v>
      </c>
      <c r="G4797" s="70">
        <f>IF(ISNUMBER(F4797),E4797*F4797,"")</f>
        <v>57.27074429999999</v>
      </c>
      <c r="H4797" s="71"/>
      <c r="I4797" s="72"/>
      <c r="J4797" s="37">
        <v>0</v>
      </c>
    </row>
    <row r="4798" spans="1:10" ht="25.5" hidden="1" x14ac:dyDescent="0.25">
      <c r="A4798" s="179"/>
      <c r="B4798" s="177"/>
      <c r="C4798" s="43" t="s">
        <v>11172</v>
      </c>
      <c r="D4798" s="43" t="s">
        <v>162</v>
      </c>
      <c r="E4798" s="44">
        <v>1.1318999999999999</v>
      </c>
      <c r="F4798" s="70">
        <v>62.139499999999991</v>
      </c>
      <c r="G4798" s="70">
        <f>IF(ISNUMBER(F4798),E4798*F4798,"")</f>
        <v>70.335700049999986</v>
      </c>
      <c r="H4798" s="71"/>
      <c r="I4798" s="72"/>
      <c r="J4798" s="37">
        <v>0</v>
      </c>
    </row>
    <row r="4799" spans="1:10" hidden="1" x14ac:dyDescent="0.25">
      <c r="A4799" s="179"/>
      <c r="B4799" s="177"/>
      <c r="C4799" s="43" t="s">
        <v>11173</v>
      </c>
      <c r="D4799" s="43" t="s">
        <v>1044</v>
      </c>
      <c r="E4799" s="44">
        <v>0.52</v>
      </c>
      <c r="F4799" s="70">
        <v>7.524</v>
      </c>
      <c r="G4799" s="70">
        <f>IF(ISNUMBER(F4799),E4799*F4799,"")</f>
        <v>3.91248</v>
      </c>
      <c r="H4799" s="71"/>
      <c r="I4799" s="72"/>
      <c r="J4799" s="37">
        <v>0</v>
      </c>
    </row>
    <row r="4800" spans="1:10" hidden="1" x14ac:dyDescent="0.25">
      <c r="A4800" s="179"/>
      <c r="B4800" s="177"/>
      <c r="C4800" s="43" t="s">
        <v>10750</v>
      </c>
      <c r="D4800" s="43" t="s">
        <v>2800</v>
      </c>
      <c r="E4800" s="44">
        <v>0.33479999999999999</v>
      </c>
      <c r="F4800" s="70">
        <v>24.358000000000001</v>
      </c>
      <c r="G4800" s="70">
        <f>IF(ISNUMBER(F4800),E4800*F4800,"")</f>
        <v>8.1550583999999997</v>
      </c>
      <c r="H4800" s="71"/>
      <c r="I4800" s="72"/>
      <c r="J4800" s="37">
        <v>0</v>
      </c>
    </row>
    <row r="4801" spans="1:10" hidden="1" x14ac:dyDescent="0.25">
      <c r="A4801" s="179"/>
      <c r="B4801" s="177"/>
      <c r="C4801" s="43" t="s">
        <v>10850</v>
      </c>
      <c r="D4801" s="43" t="s">
        <v>2800</v>
      </c>
      <c r="E4801" s="44">
        <v>1.4849000000000001</v>
      </c>
      <c r="F4801" s="70">
        <v>31.055499999999995</v>
      </c>
      <c r="G4801" s="70">
        <f>IF(ISNUMBER(F4801),E4801*F4801,"")</f>
        <v>46.114311949999994</v>
      </c>
      <c r="H4801" s="71"/>
      <c r="I4801" s="72"/>
      <c r="J4801" s="37">
        <v>0</v>
      </c>
    </row>
    <row r="4802" spans="1:10" ht="15.75" hidden="1" thickBot="1" x14ac:dyDescent="0.3">
      <c r="A4802" s="180"/>
      <c r="B4802" s="178"/>
      <c r="C4802" s="49"/>
      <c r="D4802" s="49"/>
      <c r="E4802" s="50"/>
      <c r="F4802" s="83" t="s">
        <v>13</v>
      </c>
      <c r="G4802" s="83" t="str">
        <f>IF(ISNUMBER(F4802),E4802*F4802,"")</f>
        <v/>
      </c>
      <c r="H4802" s="84"/>
      <c r="I4802" s="72"/>
      <c r="J4802" s="37">
        <v>0</v>
      </c>
    </row>
    <row r="4803" spans="1:10" ht="15.75" hidden="1" thickBot="1" x14ac:dyDescent="0.3">
      <c r="A4803" s="173" t="s">
        <v>1136</v>
      </c>
      <c r="B4803" s="176" t="s">
        <v>4638</v>
      </c>
      <c r="C4803" s="31"/>
      <c r="D4803" s="32" t="s">
        <v>68</v>
      </c>
      <c r="E4803" s="33"/>
      <c r="F4803" s="60" t="s">
        <v>13</v>
      </c>
      <c r="G4803" s="34" t="str">
        <f>IF(ISNUMBER(F4803),E4803*F4803,"")</f>
        <v/>
      </c>
      <c r="H4803" s="35"/>
      <c r="I4803" s="36"/>
      <c r="J4803" s="37">
        <v>0</v>
      </c>
    </row>
    <row r="4804" spans="1:10" hidden="1" x14ac:dyDescent="0.25">
      <c r="A4804" s="179"/>
      <c r="B4804" s="177"/>
      <c r="C4804" s="39"/>
      <c r="D4804" s="39"/>
      <c r="E4804" s="40"/>
      <c r="F4804" s="70" t="s">
        <v>13</v>
      </c>
      <c r="G4804" s="70" t="str">
        <f>IF(ISNUMBER(F4804),E4804*F4804,"")</f>
        <v/>
      </c>
      <c r="H4804" s="71"/>
      <c r="I4804" s="72"/>
      <c r="J4804" s="37">
        <v>0</v>
      </c>
    </row>
    <row r="4805" spans="1:10" ht="25.5" hidden="1" x14ac:dyDescent="0.25">
      <c r="A4805" s="179"/>
      <c r="B4805" s="177"/>
      <c r="C4805" s="43" t="s">
        <v>11170</v>
      </c>
      <c r="D4805" s="43" t="s">
        <v>70</v>
      </c>
      <c r="E4805" s="44">
        <v>0.58720000000000006</v>
      </c>
      <c r="F4805" s="70">
        <v>15.760499999999999</v>
      </c>
      <c r="G4805" s="70">
        <f>IF(ISNUMBER(F4805),E4805*F4805,"")</f>
        <v>9.2545655999999994</v>
      </c>
      <c r="H4805" s="46">
        <f>SUM(G4805:G4810)</f>
        <v>199.28543869999999</v>
      </c>
      <c r="I4805" s="47"/>
      <c r="J4805" s="37">
        <v>0</v>
      </c>
    </row>
    <row r="4806" spans="1:10" ht="25.5" hidden="1" x14ac:dyDescent="0.25">
      <c r="A4806" s="179"/>
      <c r="B4806" s="177"/>
      <c r="C4806" s="43" t="s">
        <v>11175</v>
      </c>
      <c r="D4806" s="43" t="s">
        <v>162</v>
      </c>
      <c r="E4806" s="44">
        <v>1.1318999999999999</v>
      </c>
      <c r="F4806" s="70">
        <v>50.596999999999994</v>
      </c>
      <c r="G4806" s="70">
        <f>IF(ISNUMBER(F4806),E4806*F4806,"")</f>
        <v>57.27074429999999</v>
      </c>
      <c r="H4806" s="71"/>
      <c r="I4806" s="72"/>
      <c r="J4806" s="37">
        <v>0</v>
      </c>
    </row>
    <row r="4807" spans="1:10" ht="25.5" hidden="1" x14ac:dyDescent="0.25">
      <c r="A4807" s="179"/>
      <c r="B4807" s="177"/>
      <c r="C4807" s="43" t="s">
        <v>11172</v>
      </c>
      <c r="D4807" s="43" t="s">
        <v>162</v>
      </c>
      <c r="E4807" s="44">
        <v>1.1318999999999999</v>
      </c>
      <c r="F4807" s="70">
        <v>62.139499999999991</v>
      </c>
      <c r="G4807" s="70">
        <f>IF(ISNUMBER(F4807),E4807*F4807,"")</f>
        <v>70.335700049999986</v>
      </c>
      <c r="H4807" s="71"/>
      <c r="I4807" s="72"/>
      <c r="J4807" s="37">
        <v>0</v>
      </c>
    </row>
    <row r="4808" spans="1:10" hidden="1" x14ac:dyDescent="0.25">
      <c r="A4808" s="179"/>
      <c r="B4808" s="177"/>
      <c r="C4808" s="43" t="s">
        <v>1132</v>
      </c>
      <c r="D4808" s="43" t="s">
        <v>1044</v>
      </c>
      <c r="E4808" s="44">
        <v>2</v>
      </c>
      <c r="F4808" s="70" t="s">
        <v>13</v>
      </c>
      <c r="G4808" s="70" t="str">
        <f>IF(ISNUMBER(F4808),E4808*F4808,"")</f>
        <v/>
      </c>
      <c r="H4808" s="71"/>
      <c r="I4808" s="72"/>
      <c r="J4808" s="37">
        <v>0</v>
      </c>
    </row>
    <row r="4809" spans="1:10" hidden="1" x14ac:dyDescent="0.25">
      <c r="A4809" s="179"/>
      <c r="B4809" s="177"/>
      <c r="C4809" s="43" t="s">
        <v>10750</v>
      </c>
      <c r="D4809" s="43" t="s">
        <v>2800</v>
      </c>
      <c r="E4809" s="44">
        <f>0.3348*2</f>
        <v>0.66959999999999997</v>
      </c>
      <c r="F4809" s="70">
        <v>24.358000000000001</v>
      </c>
      <c r="G4809" s="70">
        <f>IF(ISNUMBER(F4809),E4809*F4809,"")</f>
        <v>16.310116799999999</v>
      </c>
      <c r="H4809" s="71"/>
      <c r="I4809" s="72"/>
      <c r="J4809" s="37">
        <v>0</v>
      </c>
    </row>
    <row r="4810" spans="1:10" hidden="1" x14ac:dyDescent="0.25">
      <c r="A4810" s="179"/>
      <c r="B4810" s="177"/>
      <c r="C4810" s="43" t="s">
        <v>10850</v>
      </c>
      <c r="D4810" s="43" t="s">
        <v>2800</v>
      </c>
      <c r="E4810" s="44">
        <v>1.4849000000000001</v>
      </c>
      <c r="F4810" s="70">
        <v>31.055499999999995</v>
      </c>
      <c r="G4810" s="70">
        <f>IF(ISNUMBER(F4810),E4810*F4810,"")</f>
        <v>46.114311949999994</v>
      </c>
      <c r="H4810" s="71"/>
      <c r="I4810" s="72"/>
      <c r="J4810" s="37">
        <v>0</v>
      </c>
    </row>
    <row r="4811" spans="1:10" hidden="1" x14ac:dyDescent="0.25">
      <c r="A4811" s="179"/>
      <c r="B4811" s="177"/>
      <c r="C4811" s="43"/>
      <c r="D4811" s="43"/>
      <c r="E4811" s="44"/>
      <c r="F4811" s="70" t="s">
        <v>13</v>
      </c>
      <c r="G4811" s="70" t="str">
        <f>IF(ISNUMBER(F4811),E4811*F4811,"")</f>
        <v/>
      </c>
      <c r="H4811" s="71"/>
      <c r="I4811" s="72"/>
      <c r="J4811" s="37">
        <v>0</v>
      </c>
    </row>
    <row r="4812" spans="1:10" ht="25.5" hidden="1" x14ac:dyDescent="0.25">
      <c r="A4812" s="179"/>
      <c r="B4812" s="177"/>
      <c r="C4812" s="4" t="s">
        <v>1133</v>
      </c>
      <c r="D4812" s="43"/>
      <c r="E4812" s="44"/>
      <c r="F4812" s="70" t="s">
        <v>13</v>
      </c>
      <c r="G4812" s="70" t="str">
        <f>IF(ISNUMBER(F4812),E4812*F4812,"")</f>
        <v/>
      </c>
      <c r="H4812" s="71"/>
      <c r="I4812" s="72"/>
      <c r="J4812" s="37">
        <v>0</v>
      </c>
    </row>
    <row r="4813" spans="1:10" ht="24.75" hidden="1" x14ac:dyDescent="0.25">
      <c r="A4813" s="179"/>
      <c r="B4813" s="177"/>
      <c r="C4813" s="94" t="s">
        <v>1134</v>
      </c>
      <c r="D4813" s="43"/>
      <c r="E4813" s="44"/>
      <c r="F4813" s="70" t="s">
        <v>13</v>
      </c>
      <c r="G4813" s="70" t="str">
        <f>IF(ISNUMBER(F4813),E4813*F4813,"")</f>
        <v/>
      </c>
      <c r="H4813" s="71"/>
      <c r="I4813" s="72"/>
      <c r="J4813" s="37">
        <v>0</v>
      </c>
    </row>
    <row r="4814" spans="1:10" ht="15.75" hidden="1" thickBot="1" x14ac:dyDescent="0.3">
      <c r="A4814" s="180"/>
      <c r="B4814" s="178"/>
      <c r="C4814" s="49"/>
      <c r="D4814" s="49"/>
      <c r="E4814" s="50"/>
      <c r="F4814" s="83" t="s">
        <v>13</v>
      </c>
      <c r="G4814" s="83" t="str">
        <f>IF(ISNUMBER(F4814),E4814*F4814,"")</f>
        <v/>
      </c>
      <c r="H4814" s="84"/>
      <c r="I4814" s="72"/>
      <c r="J4814" s="37">
        <v>0</v>
      </c>
    </row>
    <row r="4815" spans="1:10" ht="15.75" hidden="1" thickBot="1" x14ac:dyDescent="0.3">
      <c r="A4815" s="173" t="s">
        <v>1137</v>
      </c>
      <c r="B4815" s="176" t="s">
        <v>4639</v>
      </c>
      <c r="C4815" s="31"/>
      <c r="D4815" s="32" t="s">
        <v>72</v>
      </c>
      <c r="E4815" s="33"/>
      <c r="F4815" s="60" t="s">
        <v>13</v>
      </c>
      <c r="G4815" s="34" t="str">
        <f>IF(ISNUMBER(F4815),E4815*F4815,"")</f>
        <v/>
      </c>
      <c r="H4815" s="35"/>
      <c r="I4815" s="36"/>
      <c r="J4815" s="37">
        <v>0</v>
      </c>
    </row>
    <row r="4816" spans="1:10" hidden="1" x14ac:dyDescent="0.25">
      <c r="A4816" s="179"/>
      <c r="B4816" s="177"/>
      <c r="C4816" s="39"/>
      <c r="D4816" s="39"/>
      <c r="E4816" s="40"/>
      <c r="F4816" s="70" t="s">
        <v>13</v>
      </c>
      <c r="G4816" s="70" t="str">
        <f>IF(ISNUMBER(F4816),E4816*F4816,"")</f>
        <v/>
      </c>
      <c r="H4816" s="71"/>
      <c r="I4816" s="72"/>
      <c r="J4816" s="37">
        <v>0</v>
      </c>
    </row>
    <row r="4817" spans="1:10" ht="25.5" hidden="1" x14ac:dyDescent="0.25">
      <c r="A4817" s="179"/>
      <c r="B4817" s="177"/>
      <c r="C4817" s="43" t="s">
        <v>1138</v>
      </c>
      <c r="D4817" s="43" t="s">
        <v>72</v>
      </c>
      <c r="E4817" s="44">
        <v>1</v>
      </c>
      <c r="F4817" s="70" t="s">
        <v>13</v>
      </c>
      <c r="G4817" s="70" t="str">
        <f>IF(ISNUMBER(F4817),E4817*F4817,"")</f>
        <v/>
      </c>
      <c r="H4817" s="46">
        <f>SUM(G4817:G4817)</f>
        <v>0</v>
      </c>
      <c r="I4817" s="47"/>
      <c r="J4817" s="37">
        <v>0</v>
      </c>
    </row>
    <row r="4818" spans="1:10" ht="15.75" hidden="1" thickBot="1" x14ac:dyDescent="0.3">
      <c r="A4818" s="180"/>
      <c r="B4818" s="178"/>
      <c r="C4818" s="49"/>
      <c r="D4818" s="49"/>
      <c r="E4818" s="50"/>
      <c r="F4818" s="83" t="s">
        <v>13</v>
      </c>
      <c r="G4818" s="83" t="str">
        <f>IF(ISNUMBER(F4818),E4818*F4818,"")</f>
        <v/>
      </c>
      <c r="H4818" s="84"/>
      <c r="I4818" s="72"/>
      <c r="J4818" s="37">
        <v>0</v>
      </c>
    </row>
    <row r="4819" spans="1:10" ht="15.75" hidden="1" thickBot="1" x14ac:dyDescent="0.3">
      <c r="A4819" s="173" t="s">
        <v>1139</v>
      </c>
      <c r="B4819" s="176" t="s">
        <v>4640</v>
      </c>
      <c r="C4819" s="31"/>
      <c r="D4819" s="32" t="s">
        <v>72</v>
      </c>
      <c r="E4819" s="33"/>
      <c r="F4819" s="60" t="s">
        <v>13</v>
      </c>
      <c r="G4819" s="34" t="str">
        <f>IF(ISNUMBER(F4819),E4819*F4819,"")</f>
        <v/>
      </c>
      <c r="H4819" s="35"/>
      <c r="I4819" s="36"/>
      <c r="J4819" s="37">
        <v>0</v>
      </c>
    </row>
    <row r="4820" spans="1:10" hidden="1" x14ac:dyDescent="0.25">
      <c r="A4820" s="179"/>
      <c r="B4820" s="177"/>
      <c r="C4820" s="39"/>
      <c r="D4820" s="39"/>
      <c r="E4820" s="40"/>
      <c r="F4820" s="70" t="s">
        <v>13</v>
      </c>
      <c r="G4820" s="70" t="str">
        <f>IF(ISNUMBER(F4820),E4820*F4820,"")</f>
        <v/>
      </c>
      <c r="H4820" s="71"/>
      <c r="I4820" s="72"/>
      <c r="J4820" s="37">
        <v>0</v>
      </c>
    </row>
    <row r="4821" spans="1:10" ht="25.5" hidden="1" x14ac:dyDescent="0.25">
      <c r="A4821" s="179"/>
      <c r="B4821" s="177"/>
      <c r="C4821" s="43" t="s">
        <v>11176</v>
      </c>
      <c r="D4821" s="43" t="s">
        <v>70</v>
      </c>
      <c r="E4821" s="44">
        <v>1.01</v>
      </c>
      <c r="F4821" s="70">
        <v>8.8064999999999998</v>
      </c>
      <c r="G4821" s="70">
        <f>IF(ISNUMBER(F4821),E4821*F4821,"")</f>
        <v>8.8945650000000001</v>
      </c>
      <c r="H4821" s="46">
        <f>SUM(G4821:G4821)</f>
        <v>8.8945650000000001</v>
      </c>
      <c r="I4821" s="47"/>
      <c r="J4821" s="37">
        <v>0</v>
      </c>
    </row>
    <row r="4822" spans="1:10" hidden="1" x14ac:dyDescent="0.25">
      <c r="A4822" s="179"/>
      <c r="B4822" s="177"/>
      <c r="C4822" s="43"/>
      <c r="D4822" s="43"/>
      <c r="E4822" s="44"/>
      <c r="F4822" s="70" t="s">
        <v>13</v>
      </c>
      <c r="G4822" s="70" t="str">
        <f>IF(ISNUMBER(F4822),E4822*F4822,"")</f>
        <v/>
      </c>
      <c r="H4822" s="71"/>
      <c r="I4822" s="72"/>
      <c r="J4822" s="37">
        <v>0</v>
      </c>
    </row>
    <row r="4823" spans="1:10" ht="25.5" hidden="1" x14ac:dyDescent="0.25">
      <c r="A4823" s="179"/>
      <c r="B4823" s="177"/>
      <c r="C4823" s="4" t="s">
        <v>1140</v>
      </c>
      <c r="D4823" s="43"/>
      <c r="E4823" s="44"/>
      <c r="F4823" s="70" t="s">
        <v>13</v>
      </c>
      <c r="G4823" s="70" t="str">
        <f>IF(ISNUMBER(F4823),E4823*F4823,"")</f>
        <v/>
      </c>
      <c r="H4823" s="71"/>
      <c r="I4823" s="72"/>
      <c r="J4823" s="37">
        <v>0</v>
      </c>
    </row>
    <row r="4824" spans="1:10" ht="15.75" hidden="1" thickBot="1" x14ac:dyDescent="0.3">
      <c r="A4824" s="180"/>
      <c r="B4824" s="178"/>
      <c r="C4824" s="49"/>
      <c r="D4824" s="49"/>
      <c r="E4824" s="50"/>
      <c r="F4824" s="83" t="s">
        <v>13</v>
      </c>
      <c r="G4824" s="83" t="str">
        <f>IF(ISNUMBER(F4824),E4824*F4824,"")</f>
        <v/>
      </c>
      <c r="H4824" s="84"/>
      <c r="I4824" s="72"/>
      <c r="J4824" s="37">
        <v>0</v>
      </c>
    </row>
    <row r="4825" spans="1:10" ht="15.75" hidden="1" thickBot="1" x14ac:dyDescent="0.3">
      <c r="A4825" s="173" t="s">
        <v>1141</v>
      </c>
      <c r="B4825" s="176" t="s">
        <v>4641</v>
      </c>
      <c r="C4825" s="31"/>
      <c r="D4825" s="32" t="s">
        <v>1788</v>
      </c>
      <c r="E4825" s="33"/>
      <c r="F4825" s="60" t="s">
        <v>13</v>
      </c>
      <c r="G4825" s="34" t="str">
        <f>IF(ISNUMBER(F4825),E4825*F4825,"")</f>
        <v/>
      </c>
      <c r="H4825" s="35"/>
      <c r="I4825" s="36"/>
      <c r="J4825" s="37">
        <v>0</v>
      </c>
    </row>
    <row r="4826" spans="1:10" hidden="1" x14ac:dyDescent="0.25">
      <c r="A4826" s="179"/>
      <c r="B4826" s="177"/>
      <c r="C4826" s="39"/>
      <c r="D4826" s="39"/>
      <c r="E4826" s="40"/>
      <c r="F4826" s="70" t="s">
        <v>13</v>
      </c>
      <c r="G4826" s="70" t="str">
        <f>IF(ISNUMBER(F4826),E4826*F4826,"")</f>
        <v/>
      </c>
      <c r="H4826" s="71"/>
      <c r="I4826" s="72"/>
      <c r="J4826" s="37">
        <v>0</v>
      </c>
    </row>
    <row r="4827" spans="1:10" ht="25.5" hidden="1" x14ac:dyDescent="0.25">
      <c r="A4827" s="179"/>
      <c r="B4827" s="177"/>
      <c r="C4827" s="43" t="s">
        <v>10792</v>
      </c>
      <c r="D4827" s="43" t="s">
        <v>2880</v>
      </c>
      <c r="E4827" s="44">
        <v>1</v>
      </c>
      <c r="F4827" s="70">
        <v>195.86149999999998</v>
      </c>
      <c r="G4827" s="70">
        <f>IF(ISNUMBER(F4827),E4827*F4827,"")</f>
        <v>195.86149999999998</v>
      </c>
      <c r="H4827" s="46">
        <f>SUM(G4827:G4829)</f>
        <v>262.80108874999996</v>
      </c>
      <c r="I4827" s="47"/>
      <c r="J4827" s="37">
        <v>0</v>
      </c>
    </row>
    <row r="4828" spans="1:10" ht="51" hidden="1" x14ac:dyDescent="0.25">
      <c r="A4828" s="179"/>
      <c r="B4828" s="177"/>
      <c r="C4828" s="43" t="s">
        <v>10624</v>
      </c>
      <c r="D4828" s="43" t="s">
        <v>2880</v>
      </c>
      <c r="E4828" s="44">
        <f>1*E4827</f>
        <v>1</v>
      </c>
      <c r="F4828" s="41">
        <v>8.5522277500000001</v>
      </c>
      <c r="G4828" s="41">
        <f>IF(ISNUMBER(F4828),E4828*F4828,"")</f>
        <v>8.5522277500000001</v>
      </c>
      <c r="H4828" s="42"/>
      <c r="I4828" s="38"/>
      <c r="J4828" s="37">
        <v>0</v>
      </c>
    </row>
    <row r="4829" spans="1:10" ht="38.25" hidden="1" x14ac:dyDescent="0.25">
      <c r="A4829" s="179"/>
      <c r="B4829" s="177"/>
      <c r="C4829" s="43" t="s">
        <v>10622</v>
      </c>
      <c r="D4829" s="43" t="s">
        <v>10676</v>
      </c>
      <c r="E4829" s="44">
        <f>E4827*20</f>
        <v>20</v>
      </c>
      <c r="F4829" s="70">
        <v>2.9193680499999997</v>
      </c>
      <c r="G4829" s="70">
        <f>IF(ISNUMBER(F4829),E4829*F4829,"")</f>
        <v>58.387360999999991</v>
      </c>
      <c r="H4829" s="71"/>
      <c r="I4829" s="72"/>
      <c r="J4829" s="37">
        <v>0</v>
      </c>
    </row>
    <row r="4830" spans="1:10" hidden="1" x14ac:dyDescent="0.25">
      <c r="A4830" s="179"/>
      <c r="B4830" s="177"/>
      <c r="C4830" s="43"/>
      <c r="D4830" s="43"/>
      <c r="E4830" s="44"/>
      <c r="F4830" s="70" t="s">
        <v>13</v>
      </c>
      <c r="G4830" s="70" t="str">
        <f>IF(ISNUMBER(F4830),E4830*F4830,"")</f>
        <v/>
      </c>
      <c r="H4830" s="71"/>
      <c r="I4830" s="72"/>
      <c r="J4830" s="37">
        <v>0</v>
      </c>
    </row>
    <row r="4831" spans="1:10" hidden="1" x14ac:dyDescent="0.25">
      <c r="A4831" s="179"/>
      <c r="B4831" s="177"/>
      <c r="C4831" s="4" t="s">
        <v>1142</v>
      </c>
      <c r="D4831" s="43"/>
      <c r="E4831" s="44"/>
      <c r="F4831" s="70" t="s">
        <v>13</v>
      </c>
      <c r="G4831" s="70" t="str">
        <f>IF(ISNUMBER(F4831),E4831*F4831,"")</f>
        <v/>
      </c>
      <c r="H4831" s="71"/>
      <c r="I4831" s="72"/>
      <c r="J4831" s="37">
        <v>0</v>
      </c>
    </row>
    <row r="4832" spans="1:10" ht="15.75" hidden="1" thickBot="1" x14ac:dyDescent="0.3">
      <c r="A4832" s="180"/>
      <c r="B4832" s="178"/>
      <c r="C4832" s="49"/>
      <c r="D4832" s="49"/>
      <c r="E4832" s="50"/>
      <c r="F4832" s="83" t="s">
        <v>13</v>
      </c>
      <c r="G4832" s="83" t="str">
        <f>IF(ISNUMBER(F4832),E4832*F4832,"")</f>
        <v/>
      </c>
      <c r="H4832" s="84"/>
      <c r="I4832" s="72"/>
      <c r="J4832" s="37">
        <v>0</v>
      </c>
    </row>
    <row r="4833" spans="1:10" ht="15.75" hidden="1" thickBot="1" x14ac:dyDescent="0.3">
      <c r="A4833" s="173" t="s">
        <v>1143</v>
      </c>
      <c r="B4833" s="176" t="s">
        <v>4648</v>
      </c>
      <c r="C4833" s="31"/>
      <c r="D4833" s="32" t="s">
        <v>106</v>
      </c>
      <c r="E4833" s="33"/>
      <c r="F4833" s="60" t="s">
        <v>13</v>
      </c>
      <c r="G4833" s="34" t="str">
        <f>IF(ISNUMBER(F4833),E4833*F4833,"")</f>
        <v/>
      </c>
      <c r="H4833" s="35"/>
      <c r="I4833" s="36"/>
      <c r="J4833" s="37">
        <v>0</v>
      </c>
    </row>
    <row r="4834" spans="1:10" hidden="1" x14ac:dyDescent="0.25">
      <c r="A4834" s="179"/>
      <c r="B4834" s="177"/>
      <c r="C4834" s="39"/>
      <c r="D4834" s="39"/>
      <c r="E4834" s="40"/>
      <c r="F4834" s="70" t="s">
        <v>13</v>
      </c>
      <c r="G4834" s="70" t="str">
        <f>IF(ISNUMBER(F4834),E4834*F4834,"")</f>
        <v/>
      </c>
      <c r="H4834" s="71"/>
      <c r="I4834" s="72"/>
      <c r="J4834" s="37">
        <v>0</v>
      </c>
    </row>
    <row r="4835" spans="1:10" ht="25.5" hidden="1" x14ac:dyDescent="0.25">
      <c r="A4835" s="179"/>
      <c r="B4835" s="177"/>
      <c r="C4835" s="43" t="s">
        <v>11177</v>
      </c>
      <c r="D4835" s="43" t="s">
        <v>1302</v>
      </c>
      <c r="E4835" s="44">
        <f>65/50</f>
        <v>1.3</v>
      </c>
      <c r="F4835" s="70">
        <v>42.797499999999992</v>
      </c>
      <c r="G4835" s="70">
        <f>IF(ISNUMBER(F4835),E4835*F4835,"")</f>
        <v>55.636749999999992</v>
      </c>
      <c r="H4835" s="46">
        <f>SUM(G4835:G4835)</f>
        <v>55.636749999999992</v>
      </c>
      <c r="I4835" s="47"/>
      <c r="J4835" s="37">
        <v>0</v>
      </c>
    </row>
    <row r="4836" spans="1:10" ht="15.75" hidden="1" thickBot="1" x14ac:dyDescent="0.3">
      <c r="A4836" s="180"/>
      <c r="B4836" s="178"/>
      <c r="C4836" s="49"/>
      <c r="D4836" s="49"/>
      <c r="E4836" s="50"/>
      <c r="F4836" s="83" t="s">
        <v>13</v>
      </c>
      <c r="G4836" s="83" t="str">
        <f>IF(ISNUMBER(F4836),E4836*F4836,"")</f>
        <v/>
      </c>
      <c r="H4836" s="84"/>
      <c r="I4836" s="72"/>
      <c r="J4836" s="37">
        <v>0</v>
      </c>
    </row>
    <row r="4837" spans="1:10" ht="15.75" hidden="1" thickBot="1" x14ac:dyDescent="0.3">
      <c r="A4837" s="173" t="s">
        <v>1144</v>
      </c>
      <c r="B4837" s="176" t="s">
        <v>4649</v>
      </c>
      <c r="C4837" s="31"/>
      <c r="D4837" s="32" t="s">
        <v>106</v>
      </c>
      <c r="E4837" s="33"/>
      <c r="F4837" s="60" t="s">
        <v>13</v>
      </c>
      <c r="G4837" s="34" t="str">
        <f>IF(ISNUMBER(F4837),E4837*F4837,"")</f>
        <v/>
      </c>
      <c r="H4837" s="35"/>
      <c r="I4837" s="36"/>
      <c r="J4837" s="37">
        <v>0</v>
      </c>
    </row>
    <row r="4838" spans="1:10" hidden="1" x14ac:dyDescent="0.25">
      <c r="A4838" s="179"/>
      <c r="B4838" s="177"/>
      <c r="C4838" s="39"/>
      <c r="D4838" s="39"/>
      <c r="E4838" s="40"/>
      <c r="F4838" s="70" t="s">
        <v>13</v>
      </c>
      <c r="G4838" s="70" t="str">
        <f>IF(ISNUMBER(F4838),E4838*F4838,"")</f>
        <v/>
      </c>
      <c r="H4838" s="71"/>
      <c r="I4838" s="72"/>
      <c r="J4838" s="37">
        <v>0</v>
      </c>
    </row>
    <row r="4839" spans="1:10" ht="25.5" hidden="1" x14ac:dyDescent="0.25">
      <c r="A4839" s="179"/>
      <c r="B4839" s="177"/>
      <c r="C4839" s="43" t="s">
        <v>10806</v>
      </c>
      <c r="D4839" s="43" t="s">
        <v>1302</v>
      </c>
      <c r="E4839" s="44">
        <v>1.1000000000000001</v>
      </c>
      <c r="F4839" s="70">
        <v>83.713999999999999</v>
      </c>
      <c r="G4839" s="70">
        <f>IF(ISNUMBER(F4839),E4839*F4839,"")</f>
        <v>92.085400000000007</v>
      </c>
      <c r="H4839" s="46">
        <f>SUM(G4839:G4839)</f>
        <v>92.085400000000007</v>
      </c>
      <c r="I4839" s="47"/>
      <c r="J4839" s="37">
        <v>0</v>
      </c>
    </row>
    <row r="4840" spans="1:10" ht="15.75" hidden="1" thickBot="1" x14ac:dyDescent="0.3">
      <c r="A4840" s="180"/>
      <c r="B4840" s="178"/>
      <c r="C4840" s="49"/>
      <c r="D4840" s="49"/>
      <c r="E4840" s="50"/>
      <c r="F4840" s="83" t="s">
        <v>13</v>
      </c>
      <c r="G4840" s="83" t="str">
        <f>IF(ISNUMBER(F4840),E4840*F4840,"")</f>
        <v/>
      </c>
      <c r="H4840" s="84"/>
      <c r="I4840" s="72"/>
      <c r="J4840" s="37">
        <v>0</v>
      </c>
    </row>
    <row r="4841" spans="1:10" ht="15.75" hidden="1" thickBot="1" x14ac:dyDescent="0.3">
      <c r="A4841" s="173" t="s">
        <v>1145</v>
      </c>
      <c r="B4841" s="176" t="s">
        <v>4680</v>
      </c>
      <c r="C4841" s="31"/>
      <c r="D4841" s="32" t="s">
        <v>18</v>
      </c>
      <c r="E4841" s="33"/>
      <c r="F4841" s="60" t="s">
        <v>13</v>
      </c>
      <c r="G4841" s="34" t="str">
        <f>IF(ISNUMBER(F4841),E4841*F4841,"")</f>
        <v/>
      </c>
      <c r="H4841" s="35"/>
      <c r="I4841" s="36"/>
      <c r="J4841" s="37">
        <v>0</v>
      </c>
    </row>
    <row r="4842" spans="1:10" hidden="1" x14ac:dyDescent="0.25">
      <c r="A4842" s="179"/>
      <c r="B4842" s="177"/>
      <c r="C4842" s="39"/>
      <c r="D4842" s="39"/>
      <c r="E4842" s="40"/>
      <c r="F4842" s="70" t="s">
        <v>13</v>
      </c>
      <c r="G4842" s="70" t="str">
        <f>IF(ISNUMBER(F4842),E4842*F4842,"")</f>
        <v/>
      </c>
      <c r="H4842" s="71"/>
      <c r="I4842" s="72"/>
      <c r="J4842" s="37">
        <v>0</v>
      </c>
    </row>
    <row r="4843" spans="1:10" hidden="1" x14ac:dyDescent="0.25">
      <c r="A4843" s="179"/>
      <c r="B4843" s="177"/>
      <c r="C4843" s="43" t="s">
        <v>11178</v>
      </c>
      <c r="D4843" s="43" t="s">
        <v>83</v>
      </c>
      <c r="E4843" s="44">
        <v>1</v>
      </c>
      <c r="F4843" s="70">
        <v>71.078999999999994</v>
      </c>
      <c r="G4843" s="70">
        <f>IF(ISNUMBER(F4843),E4843*F4843,"")</f>
        <v>71.078999999999994</v>
      </c>
      <c r="H4843" s="46">
        <f>SUM(G4843:G4843)</f>
        <v>71.078999999999994</v>
      </c>
      <c r="I4843" s="47"/>
      <c r="J4843" s="37">
        <v>0</v>
      </c>
    </row>
    <row r="4844" spans="1:10" ht="15.75" hidden="1" thickBot="1" x14ac:dyDescent="0.3">
      <c r="A4844" s="180"/>
      <c r="B4844" s="178"/>
      <c r="C4844" s="49"/>
      <c r="D4844" s="49"/>
      <c r="E4844" s="50"/>
      <c r="F4844" s="83" t="s">
        <v>13</v>
      </c>
      <c r="G4844" s="83" t="str">
        <f>IF(ISNUMBER(F4844),E4844*F4844,"")</f>
        <v/>
      </c>
      <c r="H4844" s="84"/>
      <c r="I4844" s="72"/>
      <c r="J4844" s="37">
        <v>0</v>
      </c>
    </row>
    <row r="4845" spans="1:10" ht="15.75" hidden="1" thickBot="1" x14ac:dyDescent="0.3">
      <c r="A4845" s="173" t="s">
        <v>1146</v>
      </c>
      <c r="B4845" s="176" t="s">
        <v>4687</v>
      </c>
      <c r="C4845" s="31"/>
      <c r="D4845" s="32" t="s">
        <v>18</v>
      </c>
      <c r="E4845" s="33"/>
      <c r="F4845" s="60" t="s">
        <v>13</v>
      </c>
      <c r="G4845" s="34" t="str">
        <f>IF(ISNUMBER(F4845),E4845*F4845,"")</f>
        <v/>
      </c>
      <c r="H4845" s="35"/>
      <c r="I4845" s="36"/>
      <c r="J4845" s="37">
        <v>0</v>
      </c>
    </row>
    <row r="4846" spans="1:10" hidden="1" x14ac:dyDescent="0.25">
      <c r="A4846" s="179"/>
      <c r="B4846" s="177"/>
      <c r="C4846" s="39"/>
      <c r="D4846" s="39"/>
      <c r="E4846" s="40"/>
      <c r="F4846" s="70" t="s">
        <v>13</v>
      </c>
      <c r="G4846" s="70" t="str">
        <f>IF(ISNUMBER(F4846),E4846*F4846,"")</f>
        <v/>
      </c>
      <c r="H4846" s="71"/>
      <c r="I4846" s="72"/>
      <c r="J4846" s="37">
        <v>0</v>
      </c>
    </row>
    <row r="4847" spans="1:10" ht="25.5" hidden="1" x14ac:dyDescent="0.25">
      <c r="A4847" s="179"/>
      <c r="B4847" s="177"/>
      <c r="C4847" s="43" t="s">
        <v>11017</v>
      </c>
      <c r="D4847" s="43" t="s">
        <v>83</v>
      </c>
      <c r="E4847" s="44">
        <v>1</v>
      </c>
      <c r="F4847" s="70">
        <v>67.953499999999991</v>
      </c>
      <c r="G4847" s="70">
        <f>IF(ISNUMBER(F4847),E4847*F4847,"")</f>
        <v>67.953499999999991</v>
      </c>
      <c r="H4847" s="46">
        <f>SUM(G4847:G4847)</f>
        <v>67.953499999999991</v>
      </c>
      <c r="I4847" s="47"/>
      <c r="J4847" s="37">
        <v>0</v>
      </c>
    </row>
    <row r="4848" spans="1:10" ht="15.75" hidden="1" thickBot="1" x14ac:dyDescent="0.3">
      <c r="A4848" s="180"/>
      <c r="B4848" s="178"/>
      <c r="C4848" s="49"/>
      <c r="D4848" s="49"/>
      <c r="E4848" s="50"/>
      <c r="F4848" s="83" t="s">
        <v>13</v>
      </c>
      <c r="G4848" s="83" t="str">
        <f>IF(ISNUMBER(F4848),E4848*F4848,"")</f>
        <v/>
      </c>
      <c r="H4848" s="84"/>
      <c r="I4848" s="72"/>
      <c r="J4848" s="37">
        <v>0</v>
      </c>
    </row>
    <row r="4849" spans="1:10" ht="15.75" hidden="1" thickBot="1" x14ac:dyDescent="0.3">
      <c r="A4849" s="173" t="s">
        <v>1147</v>
      </c>
      <c r="B4849" s="176" t="s">
        <v>4688</v>
      </c>
      <c r="C4849" s="31"/>
      <c r="D4849" s="32" t="s">
        <v>18</v>
      </c>
      <c r="E4849" s="33"/>
      <c r="F4849" s="60" t="s">
        <v>13</v>
      </c>
      <c r="G4849" s="34" t="str">
        <f>IF(ISNUMBER(F4849),E4849*F4849,"")</f>
        <v/>
      </c>
      <c r="H4849" s="35"/>
      <c r="I4849" s="36"/>
      <c r="J4849" s="37">
        <v>0</v>
      </c>
    </row>
    <row r="4850" spans="1:10" hidden="1" x14ac:dyDescent="0.25">
      <c r="A4850" s="179"/>
      <c r="B4850" s="177"/>
      <c r="C4850" s="39"/>
      <c r="D4850" s="39"/>
      <c r="E4850" s="40"/>
      <c r="F4850" s="70" t="s">
        <v>13</v>
      </c>
      <c r="G4850" s="70" t="str">
        <f>IF(ISNUMBER(F4850),E4850*F4850,"")</f>
        <v/>
      </c>
      <c r="H4850" s="71"/>
      <c r="I4850" s="72"/>
      <c r="J4850" s="37">
        <v>0</v>
      </c>
    </row>
    <row r="4851" spans="1:10" ht="38.25" hidden="1" x14ac:dyDescent="0.25">
      <c r="A4851" s="179"/>
      <c r="B4851" s="177"/>
      <c r="C4851" s="43" t="s">
        <v>11179</v>
      </c>
      <c r="D4851" s="43" t="s">
        <v>83</v>
      </c>
      <c r="E4851" s="44">
        <v>1</v>
      </c>
      <c r="F4851" s="70">
        <v>260.0625</v>
      </c>
      <c r="G4851" s="70">
        <f>IF(ISNUMBER(F4851),E4851*F4851,"")</f>
        <v>260.0625</v>
      </c>
      <c r="H4851" s="46">
        <f>SUM(G4851:G4851)</f>
        <v>260.0625</v>
      </c>
      <c r="I4851" s="47"/>
      <c r="J4851" s="37">
        <v>0</v>
      </c>
    </row>
    <row r="4852" spans="1:10" ht="15.75" hidden="1" thickBot="1" x14ac:dyDescent="0.3">
      <c r="A4852" s="180"/>
      <c r="B4852" s="178"/>
      <c r="C4852" s="49"/>
      <c r="D4852" s="49"/>
      <c r="E4852" s="50"/>
      <c r="F4852" s="83" t="s">
        <v>13</v>
      </c>
      <c r="G4852" s="83" t="str">
        <f>IF(ISNUMBER(F4852),E4852*F4852,"")</f>
        <v/>
      </c>
      <c r="H4852" s="84"/>
      <c r="I4852" s="72"/>
      <c r="J4852" s="37">
        <v>0</v>
      </c>
    </row>
    <row r="4853" spans="1:10" ht="15.75" hidden="1" thickBot="1" x14ac:dyDescent="0.3">
      <c r="A4853" s="173" t="s">
        <v>1148</v>
      </c>
      <c r="B4853" s="176" t="s">
        <v>4703</v>
      </c>
      <c r="C4853" s="31"/>
      <c r="D4853" s="32" t="s">
        <v>18</v>
      </c>
      <c r="E4853" s="33"/>
      <c r="F4853" s="60" t="s">
        <v>13</v>
      </c>
      <c r="G4853" s="34" t="str">
        <f>IF(ISNUMBER(F4853),E4853*F4853,"")</f>
        <v/>
      </c>
      <c r="H4853" s="35"/>
      <c r="I4853" s="36"/>
      <c r="J4853" s="37">
        <v>0</v>
      </c>
    </row>
    <row r="4854" spans="1:10" hidden="1" x14ac:dyDescent="0.25">
      <c r="A4854" s="179"/>
      <c r="B4854" s="177"/>
      <c r="C4854" s="39"/>
      <c r="D4854" s="39"/>
      <c r="E4854" s="40"/>
      <c r="F4854" s="70" t="s">
        <v>13</v>
      </c>
      <c r="G4854" s="70" t="str">
        <f>IF(ISNUMBER(F4854),E4854*F4854,"")</f>
        <v/>
      </c>
      <c r="H4854" s="71"/>
      <c r="I4854" s="72"/>
      <c r="J4854" s="37">
        <v>0</v>
      </c>
    </row>
    <row r="4855" spans="1:10" hidden="1" x14ac:dyDescent="0.25">
      <c r="A4855" s="179"/>
      <c r="B4855" s="177"/>
      <c r="C4855" s="43" t="s">
        <v>11180</v>
      </c>
      <c r="D4855" s="43" t="s">
        <v>1302</v>
      </c>
      <c r="E4855" s="44">
        <v>20</v>
      </c>
      <c r="F4855" s="70">
        <v>2.3939999999999997</v>
      </c>
      <c r="G4855" s="70">
        <f>IF(ISNUMBER(F4855),E4855*F4855,"")</f>
        <v>47.879999999999995</v>
      </c>
      <c r="H4855" s="46">
        <f>SUM(G4855:G4855)</f>
        <v>47.879999999999995</v>
      </c>
      <c r="I4855" s="47"/>
      <c r="J4855" s="37">
        <v>0</v>
      </c>
    </row>
    <row r="4856" spans="1:10" ht="15.75" hidden="1" thickBot="1" x14ac:dyDescent="0.3">
      <c r="A4856" s="180"/>
      <c r="B4856" s="178"/>
      <c r="C4856" s="49"/>
      <c r="D4856" s="49"/>
      <c r="E4856" s="50"/>
      <c r="F4856" s="83" t="s">
        <v>13</v>
      </c>
      <c r="G4856" s="83" t="str">
        <f>IF(ISNUMBER(F4856),E4856*F4856,"")</f>
        <v/>
      </c>
      <c r="H4856" s="84"/>
      <c r="I4856" s="72"/>
      <c r="J4856" s="37">
        <v>0</v>
      </c>
    </row>
    <row r="4857" spans="1:10" ht="15.75" hidden="1" thickBot="1" x14ac:dyDescent="0.3">
      <c r="A4857" s="173" t="s">
        <v>1149</v>
      </c>
      <c r="B4857" s="176" t="s">
        <v>4712</v>
      </c>
      <c r="C4857" s="31"/>
      <c r="D4857" s="32" t="s">
        <v>18</v>
      </c>
      <c r="E4857" s="33"/>
      <c r="F4857" s="60" t="s">
        <v>13</v>
      </c>
      <c r="G4857" s="34" t="str">
        <f>IF(ISNUMBER(F4857),E4857*F4857,"")</f>
        <v/>
      </c>
      <c r="H4857" s="35"/>
      <c r="I4857" s="36"/>
      <c r="J4857" s="37">
        <v>0</v>
      </c>
    </row>
    <row r="4858" spans="1:10" hidden="1" x14ac:dyDescent="0.25">
      <c r="A4858" s="179"/>
      <c r="B4858" s="177"/>
      <c r="C4858" s="39"/>
      <c r="D4858" s="39"/>
      <c r="E4858" s="40"/>
      <c r="F4858" s="70" t="s">
        <v>13</v>
      </c>
      <c r="G4858" s="70" t="str">
        <f>IF(ISNUMBER(F4858),E4858*F4858,"")</f>
        <v/>
      </c>
      <c r="H4858" s="71"/>
      <c r="I4858" s="72"/>
      <c r="J4858" s="37">
        <v>0</v>
      </c>
    </row>
    <row r="4859" spans="1:10" ht="25.5" hidden="1" x14ac:dyDescent="0.25">
      <c r="A4859" s="179"/>
      <c r="B4859" s="177"/>
      <c r="C4859" s="43" t="s">
        <v>11181</v>
      </c>
      <c r="D4859" s="43" t="s">
        <v>83</v>
      </c>
      <c r="E4859" s="44">
        <v>1</v>
      </c>
      <c r="F4859" s="70">
        <v>936.32949999999994</v>
      </c>
      <c r="G4859" s="70">
        <f>IF(ISNUMBER(F4859),E4859*F4859,"")</f>
        <v>936.32949999999994</v>
      </c>
      <c r="H4859" s="46">
        <f>SUM(G4859:G4859)</f>
        <v>936.32949999999994</v>
      </c>
      <c r="I4859" s="47"/>
      <c r="J4859" s="37">
        <v>0</v>
      </c>
    </row>
    <row r="4860" spans="1:10" ht="15.75" hidden="1" thickBot="1" x14ac:dyDescent="0.3">
      <c r="A4860" s="180"/>
      <c r="B4860" s="178"/>
      <c r="C4860" s="49"/>
      <c r="D4860" s="49"/>
      <c r="E4860" s="50"/>
      <c r="F4860" s="83" t="s">
        <v>13</v>
      </c>
      <c r="G4860" s="83" t="str">
        <f>IF(ISNUMBER(F4860),E4860*F4860,"")</f>
        <v/>
      </c>
      <c r="H4860" s="84"/>
      <c r="I4860" s="72"/>
      <c r="J4860" s="37">
        <v>0</v>
      </c>
    </row>
    <row r="4861" spans="1:10" ht="15.75" hidden="1" thickBot="1" x14ac:dyDescent="0.3">
      <c r="A4861" s="173" t="s">
        <v>1150</v>
      </c>
      <c r="B4861" s="176" t="s">
        <v>4723</v>
      </c>
      <c r="C4861" s="31"/>
      <c r="D4861" s="32" t="s">
        <v>68</v>
      </c>
      <c r="E4861" s="33"/>
      <c r="F4861" s="60" t="s">
        <v>13</v>
      </c>
      <c r="G4861" s="34" t="str">
        <f>IF(ISNUMBER(F4861),E4861*F4861,"")</f>
        <v/>
      </c>
      <c r="H4861" s="35"/>
      <c r="I4861" s="36"/>
      <c r="J4861" s="37">
        <v>0</v>
      </c>
    </row>
    <row r="4862" spans="1:10" hidden="1" x14ac:dyDescent="0.25">
      <c r="A4862" s="179"/>
      <c r="B4862" s="177"/>
      <c r="C4862" s="39"/>
      <c r="D4862" s="39"/>
      <c r="E4862" s="40"/>
      <c r="F4862" s="70" t="s">
        <v>13</v>
      </c>
      <c r="G4862" s="70" t="str">
        <f>IF(ISNUMBER(F4862),E4862*F4862,"")</f>
        <v/>
      </c>
      <c r="H4862" s="71"/>
      <c r="I4862" s="72"/>
      <c r="J4862" s="37">
        <v>0</v>
      </c>
    </row>
    <row r="4863" spans="1:10" ht="25.5" hidden="1" x14ac:dyDescent="0.25">
      <c r="A4863" s="179"/>
      <c r="B4863" s="177"/>
      <c r="C4863" s="43" t="s">
        <v>11182</v>
      </c>
      <c r="D4863" s="43" t="s">
        <v>162</v>
      </c>
      <c r="E4863" s="44">
        <v>1</v>
      </c>
      <c r="F4863" s="70">
        <v>48.905999999999992</v>
      </c>
      <c r="G4863" s="70">
        <f>IF(ISNUMBER(F4863),E4863*F4863,"")</f>
        <v>48.905999999999992</v>
      </c>
      <c r="H4863" s="46">
        <f>SUM(G4863:G4863)</f>
        <v>48.905999999999992</v>
      </c>
      <c r="I4863" s="47"/>
      <c r="J4863" s="37">
        <v>0</v>
      </c>
    </row>
    <row r="4864" spans="1:10" ht="15.75" hidden="1" thickBot="1" x14ac:dyDescent="0.3">
      <c r="A4864" s="180"/>
      <c r="B4864" s="178"/>
      <c r="C4864" s="49"/>
      <c r="D4864" s="49"/>
      <c r="E4864" s="50"/>
      <c r="F4864" s="83" t="s">
        <v>13</v>
      </c>
      <c r="G4864" s="83" t="str">
        <f>IF(ISNUMBER(F4864),E4864*F4864,"")</f>
        <v/>
      </c>
      <c r="H4864" s="84"/>
      <c r="I4864" s="72"/>
      <c r="J4864" s="37">
        <v>0</v>
      </c>
    </row>
    <row r="4865" spans="1:10" ht="15.75" hidden="1" thickBot="1" x14ac:dyDescent="0.3">
      <c r="A4865" s="173" t="s">
        <v>1151</v>
      </c>
      <c r="B4865" s="176" t="s">
        <v>4724</v>
      </c>
      <c r="C4865" s="31"/>
      <c r="D4865" s="32" t="s">
        <v>70</v>
      </c>
      <c r="E4865" s="33"/>
      <c r="F4865" s="60" t="s">
        <v>13</v>
      </c>
      <c r="G4865" s="34" t="str">
        <f>IF(ISNUMBER(F4865),E4865*F4865,"")</f>
        <v/>
      </c>
      <c r="H4865" s="35"/>
      <c r="I4865" s="36"/>
      <c r="J4865" s="37">
        <v>0</v>
      </c>
    </row>
    <row r="4866" spans="1:10" hidden="1" x14ac:dyDescent="0.25">
      <c r="A4866" s="179"/>
      <c r="B4866" s="177"/>
      <c r="C4866" s="39"/>
      <c r="D4866" s="39"/>
      <c r="E4866" s="40"/>
      <c r="F4866" s="70" t="s">
        <v>13</v>
      </c>
      <c r="G4866" s="70" t="str">
        <f>IF(ISNUMBER(F4866),E4866*F4866,"")</f>
        <v/>
      </c>
      <c r="H4866" s="71"/>
      <c r="I4866" s="72"/>
      <c r="J4866" s="37">
        <v>0</v>
      </c>
    </row>
    <row r="4867" spans="1:10" ht="25.5" hidden="1" x14ac:dyDescent="0.25">
      <c r="A4867" s="179"/>
      <c r="B4867" s="177"/>
      <c r="C4867" s="43" t="s">
        <v>11170</v>
      </c>
      <c r="D4867" s="43" t="s">
        <v>70</v>
      </c>
      <c r="E4867" s="44">
        <v>1</v>
      </c>
      <c r="F4867" s="70">
        <v>15.760499999999999</v>
      </c>
      <c r="G4867" s="70">
        <f>IF(ISNUMBER(F4867),E4867*F4867,"")</f>
        <v>15.760499999999999</v>
      </c>
      <c r="H4867" s="46">
        <f>SUM(G4867:G4867)</f>
        <v>15.760499999999999</v>
      </c>
      <c r="I4867" s="47"/>
      <c r="J4867" s="37">
        <v>0</v>
      </c>
    </row>
    <row r="4868" spans="1:10" ht="15.75" hidden="1" thickBot="1" x14ac:dyDescent="0.3">
      <c r="A4868" s="180"/>
      <c r="B4868" s="178"/>
      <c r="C4868" s="49"/>
      <c r="D4868" s="49"/>
      <c r="E4868" s="50"/>
      <c r="F4868" s="83" t="s">
        <v>13</v>
      </c>
      <c r="G4868" s="83" t="str">
        <f>IF(ISNUMBER(F4868),E4868*F4868,"")</f>
        <v/>
      </c>
      <c r="H4868" s="84"/>
      <c r="I4868" s="72"/>
      <c r="J4868" s="37">
        <v>0</v>
      </c>
    </row>
    <row r="4869" spans="1:10" ht="15.75" hidden="1" thickBot="1" x14ac:dyDescent="0.3">
      <c r="A4869" s="173" t="s">
        <v>1152</v>
      </c>
      <c r="B4869" s="176" t="s">
        <v>4736</v>
      </c>
      <c r="C4869" s="31"/>
      <c r="D4869" s="32" t="s">
        <v>68</v>
      </c>
      <c r="E4869" s="33"/>
      <c r="F4869" s="60" t="s">
        <v>13</v>
      </c>
      <c r="G4869" s="34" t="str">
        <f>IF(ISNUMBER(F4869),E4869*F4869,"")</f>
        <v/>
      </c>
      <c r="H4869" s="35"/>
      <c r="I4869" s="36"/>
      <c r="J4869" s="37">
        <v>0</v>
      </c>
    </row>
    <row r="4870" spans="1:10" hidden="1" x14ac:dyDescent="0.25">
      <c r="A4870" s="179"/>
      <c r="B4870" s="177"/>
      <c r="C4870" s="39"/>
      <c r="D4870" s="39"/>
      <c r="E4870" s="40"/>
      <c r="F4870" s="70" t="s">
        <v>13</v>
      </c>
      <c r="G4870" s="70" t="str">
        <f>IF(ISNUMBER(F4870),E4870*F4870,"")</f>
        <v/>
      </c>
      <c r="H4870" s="71"/>
      <c r="I4870" s="72"/>
      <c r="J4870" s="37">
        <v>0</v>
      </c>
    </row>
    <row r="4871" spans="1:10" hidden="1" x14ac:dyDescent="0.25">
      <c r="A4871" s="179"/>
      <c r="B4871" s="177"/>
      <c r="C4871" s="43" t="s">
        <v>10757</v>
      </c>
      <c r="D4871" s="43" t="s">
        <v>2800</v>
      </c>
      <c r="E4871" s="44">
        <v>0.1</v>
      </c>
      <c r="F4871" s="70">
        <v>31.055499999999995</v>
      </c>
      <c r="G4871" s="70">
        <f>IF(ISNUMBER(F4871),E4871*F4871,"")</f>
        <v>3.1055499999999996</v>
      </c>
      <c r="H4871" s="46">
        <f>SUM(G4871:G4878)</f>
        <v>17.393550000000001</v>
      </c>
      <c r="I4871" s="47"/>
      <c r="J4871" s="37">
        <v>0</v>
      </c>
    </row>
    <row r="4872" spans="1:10" hidden="1" x14ac:dyDescent="0.25">
      <c r="A4872" s="179"/>
      <c r="B4872" s="177"/>
      <c r="C4872" s="43" t="s">
        <v>10614</v>
      </c>
      <c r="D4872" s="43" t="s">
        <v>2800</v>
      </c>
      <c r="E4872" s="44">
        <v>0.1</v>
      </c>
      <c r="F4872" s="70">
        <v>23.693000000000001</v>
      </c>
      <c r="G4872" s="70">
        <f>IF(ISNUMBER(F4872),E4872*F4872,"")</f>
        <v>2.3693000000000004</v>
      </c>
      <c r="H4872" s="71"/>
      <c r="I4872" s="72"/>
      <c r="J4872" s="37">
        <v>0</v>
      </c>
    </row>
    <row r="4873" spans="1:10" hidden="1" x14ac:dyDescent="0.25">
      <c r="A4873" s="179"/>
      <c r="B4873" s="177"/>
      <c r="C4873" s="43" t="s">
        <v>1153</v>
      </c>
      <c r="D4873" s="43" t="s">
        <v>1044</v>
      </c>
      <c r="E4873" s="44">
        <v>0.1</v>
      </c>
      <c r="F4873" s="70" t="s">
        <v>13</v>
      </c>
      <c r="G4873" s="70" t="str">
        <f>IF(ISNUMBER(F4873),E4873*F4873,"")</f>
        <v/>
      </c>
      <c r="H4873" s="71"/>
      <c r="I4873" s="72"/>
      <c r="J4873" s="37">
        <v>0</v>
      </c>
    </row>
    <row r="4874" spans="1:10" ht="25.5" hidden="1" x14ac:dyDescent="0.25">
      <c r="A4874" s="179"/>
      <c r="B4874" s="177"/>
      <c r="C4874" s="43" t="s">
        <v>1154</v>
      </c>
      <c r="D4874" s="43" t="s">
        <v>68</v>
      </c>
      <c r="E4874" s="44">
        <v>1.1000000000000001</v>
      </c>
      <c r="F4874" s="70" t="s">
        <v>13</v>
      </c>
      <c r="G4874" s="70" t="str">
        <f>IF(ISNUMBER(F4874),E4874*F4874,"")</f>
        <v/>
      </c>
      <c r="H4874" s="71"/>
      <c r="I4874" s="72"/>
      <c r="J4874" s="37">
        <v>0</v>
      </c>
    </row>
    <row r="4875" spans="1:10" hidden="1" x14ac:dyDescent="0.25">
      <c r="A4875" s="179"/>
      <c r="B4875" s="177"/>
      <c r="C4875" s="43" t="s">
        <v>10757</v>
      </c>
      <c r="D4875" s="43" t="s">
        <v>2800</v>
      </c>
      <c r="E4875" s="44">
        <v>0.2</v>
      </c>
      <c r="F4875" s="70">
        <v>31.055499999999995</v>
      </c>
      <c r="G4875" s="70">
        <f>IF(ISNUMBER(F4875),E4875*F4875,"")</f>
        <v>6.2110999999999992</v>
      </c>
      <c r="H4875" s="71"/>
      <c r="I4875" s="47"/>
      <c r="J4875" s="37">
        <v>0</v>
      </c>
    </row>
    <row r="4876" spans="1:10" hidden="1" x14ac:dyDescent="0.25">
      <c r="A4876" s="179"/>
      <c r="B4876" s="177"/>
      <c r="C4876" s="43" t="s">
        <v>10614</v>
      </c>
      <c r="D4876" s="43" t="s">
        <v>2800</v>
      </c>
      <c r="E4876" s="44">
        <v>0.2</v>
      </c>
      <c r="F4876" s="70">
        <v>23.693000000000001</v>
      </c>
      <c r="G4876" s="70">
        <f>IF(ISNUMBER(F4876),E4876*F4876,"")</f>
        <v>4.7386000000000008</v>
      </c>
      <c r="H4876" s="71"/>
      <c r="I4876" s="72"/>
      <c r="J4876" s="37">
        <v>0</v>
      </c>
    </row>
    <row r="4877" spans="1:10" hidden="1" x14ac:dyDescent="0.25">
      <c r="A4877" s="179"/>
      <c r="B4877" s="177"/>
      <c r="C4877" s="43" t="s">
        <v>10648</v>
      </c>
      <c r="D4877" s="43" t="s">
        <v>1044</v>
      </c>
      <c r="E4877" s="44">
        <v>1.5</v>
      </c>
      <c r="F4877" s="70">
        <v>0.64600000000000002</v>
      </c>
      <c r="G4877" s="70">
        <f>IF(ISNUMBER(F4877),E4877*F4877,"")</f>
        <v>0.96900000000000008</v>
      </c>
      <c r="H4877" s="71"/>
      <c r="I4877" s="72"/>
      <c r="J4877" s="37">
        <v>0</v>
      </c>
    </row>
    <row r="4878" spans="1:10" hidden="1" x14ac:dyDescent="0.25">
      <c r="A4878" s="179"/>
      <c r="B4878" s="177"/>
      <c r="C4878" s="43" t="s">
        <v>1155</v>
      </c>
      <c r="D4878" s="43" t="s">
        <v>1044</v>
      </c>
      <c r="E4878" s="44">
        <f>ROUND(E4877*0.1,2)</f>
        <v>0.15</v>
      </c>
      <c r="F4878" s="70" t="s">
        <v>13</v>
      </c>
      <c r="G4878" s="70" t="str">
        <f>IF(ISNUMBER(F4878),E4878*F4878,"")</f>
        <v/>
      </c>
      <c r="H4878" s="71"/>
      <c r="I4878" s="72"/>
      <c r="J4878" s="37">
        <v>0</v>
      </c>
    </row>
    <row r="4879" spans="1:10" ht="15.75" hidden="1" thickBot="1" x14ac:dyDescent="0.3">
      <c r="A4879" s="180"/>
      <c r="B4879" s="178"/>
      <c r="C4879" s="49"/>
      <c r="D4879" s="49"/>
      <c r="E4879" s="50"/>
      <c r="F4879" s="83" t="s">
        <v>13</v>
      </c>
      <c r="G4879" s="83" t="str">
        <f>IF(ISNUMBER(F4879),E4879*F4879,"")</f>
        <v/>
      </c>
      <c r="H4879" s="84"/>
      <c r="I4879" s="72"/>
      <c r="J4879" s="37">
        <v>0</v>
      </c>
    </row>
    <row r="4880" spans="1:10" ht="15.75" hidden="1" thickBot="1" x14ac:dyDescent="0.3">
      <c r="A4880" s="173" t="s">
        <v>1156</v>
      </c>
      <c r="B4880" s="176" t="s">
        <v>4737</v>
      </c>
      <c r="C4880" s="31"/>
      <c r="D4880" s="32" t="s">
        <v>68</v>
      </c>
      <c r="E4880" s="33"/>
      <c r="F4880" s="60" t="s">
        <v>13</v>
      </c>
      <c r="G4880" s="34" t="str">
        <f>IF(ISNUMBER(F4880),E4880*F4880,"")</f>
        <v/>
      </c>
      <c r="H4880" s="35"/>
      <c r="I4880" s="36"/>
      <c r="J4880" s="37">
        <v>0</v>
      </c>
    </row>
    <row r="4881" spans="1:10" hidden="1" x14ac:dyDescent="0.25">
      <c r="A4881" s="179"/>
      <c r="B4881" s="177"/>
      <c r="C4881" s="39"/>
      <c r="D4881" s="39"/>
      <c r="E4881" s="40"/>
      <c r="F4881" s="70" t="s">
        <v>13</v>
      </c>
      <c r="G4881" s="70" t="str">
        <f>IF(ISNUMBER(F4881),E4881*F4881,"")</f>
        <v/>
      </c>
      <c r="H4881" s="71"/>
      <c r="I4881" s="72"/>
      <c r="J4881" s="37">
        <v>0</v>
      </c>
    </row>
    <row r="4882" spans="1:10" hidden="1" x14ac:dyDescent="0.25">
      <c r="A4882" s="179"/>
      <c r="B4882" s="177"/>
      <c r="C4882" s="43" t="s">
        <v>10757</v>
      </c>
      <c r="D4882" s="43" t="s">
        <v>2800</v>
      </c>
      <c r="E4882" s="44">
        <v>0.01</v>
      </c>
      <c r="F4882" s="70">
        <v>31.055499999999995</v>
      </c>
      <c r="G4882" s="70">
        <f>IF(ISNUMBER(F4882),E4882*F4882,"")</f>
        <v>0.31055499999999997</v>
      </c>
      <c r="H4882" s="46">
        <f>SUM(G4882:G4883)</f>
        <v>2.6798550000000003</v>
      </c>
      <c r="I4882" s="47"/>
      <c r="J4882" s="37">
        <v>0</v>
      </c>
    </row>
    <row r="4883" spans="1:10" hidden="1" x14ac:dyDescent="0.25">
      <c r="A4883" s="179"/>
      <c r="B4883" s="177"/>
      <c r="C4883" s="43" t="s">
        <v>10614</v>
      </c>
      <c r="D4883" s="43" t="s">
        <v>2800</v>
      </c>
      <c r="E4883" s="44">
        <v>0.1</v>
      </c>
      <c r="F4883" s="70">
        <v>23.693000000000001</v>
      </c>
      <c r="G4883" s="70">
        <f>IF(ISNUMBER(F4883),E4883*F4883,"")</f>
        <v>2.3693000000000004</v>
      </c>
      <c r="H4883" s="71"/>
      <c r="I4883" s="72"/>
      <c r="J4883" s="37">
        <v>0</v>
      </c>
    </row>
    <row r="4884" spans="1:10" ht="15.75" hidden="1" thickBot="1" x14ac:dyDescent="0.3">
      <c r="A4884" s="180"/>
      <c r="B4884" s="178"/>
      <c r="C4884" s="49"/>
      <c r="D4884" s="49"/>
      <c r="E4884" s="50"/>
      <c r="F4884" s="83" t="s">
        <v>13</v>
      </c>
      <c r="G4884" s="83" t="str">
        <f>IF(ISNUMBER(F4884),E4884*F4884,"")</f>
        <v/>
      </c>
      <c r="H4884" s="84"/>
      <c r="I4884" s="72"/>
      <c r="J4884" s="37">
        <v>0</v>
      </c>
    </row>
    <row r="4885" spans="1:10" ht="15.75" hidden="1" thickBot="1" x14ac:dyDescent="0.3">
      <c r="A4885" s="173" t="s">
        <v>1157</v>
      </c>
      <c r="B4885" s="176" t="s">
        <v>4738</v>
      </c>
      <c r="C4885" s="31"/>
      <c r="D4885" s="32" t="s">
        <v>18</v>
      </c>
      <c r="E4885" s="33"/>
      <c r="F4885" s="60" t="s">
        <v>13</v>
      </c>
      <c r="G4885" s="34" t="str">
        <f>IF(ISNUMBER(F4885),E4885*F4885,"")</f>
        <v/>
      </c>
      <c r="H4885" s="35"/>
      <c r="I4885" s="36"/>
      <c r="J4885" s="37">
        <v>0</v>
      </c>
    </row>
    <row r="4886" spans="1:10" hidden="1" x14ac:dyDescent="0.25">
      <c r="A4886" s="179"/>
      <c r="B4886" s="177"/>
      <c r="C4886" s="39"/>
      <c r="D4886" s="39"/>
      <c r="E4886" s="40"/>
      <c r="F4886" s="70" t="s">
        <v>13</v>
      </c>
      <c r="G4886" s="70" t="str">
        <f>IF(ISNUMBER(F4886),E4886*F4886,"")</f>
        <v/>
      </c>
      <c r="H4886" s="71"/>
      <c r="I4886" s="72"/>
      <c r="J4886" s="37">
        <v>0</v>
      </c>
    </row>
    <row r="4887" spans="1:10" hidden="1" x14ac:dyDescent="0.25">
      <c r="A4887" s="179"/>
      <c r="B4887" s="177"/>
      <c r="C4887" s="43" t="s">
        <v>1158</v>
      </c>
      <c r="D4887" s="43" t="s">
        <v>83</v>
      </c>
      <c r="E4887" s="44">
        <v>1</v>
      </c>
      <c r="F4887" s="70" t="s">
        <v>13</v>
      </c>
      <c r="G4887" s="70" t="str">
        <f>IF(ISNUMBER(F4887),E4887*F4887,"")</f>
        <v/>
      </c>
      <c r="H4887" s="46">
        <f>SUM(G4887:G4888)</f>
        <v>2.3693000000000004</v>
      </c>
      <c r="I4887" s="47"/>
      <c r="J4887" s="37">
        <v>0</v>
      </c>
    </row>
    <row r="4888" spans="1:10" hidden="1" x14ac:dyDescent="0.25">
      <c r="A4888" s="179"/>
      <c r="B4888" s="177"/>
      <c r="C4888" s="43" t="s">
        <v>10614</v>
      </c>
      <c r="D4888" s="43" t="s">
        <v>2800</v>
      </c>
      <c r="E4888" s="44">
        <v>0.1</v>
      </c>
      <c r="F4888" s="70">
        <v>23.693000000000001</v>
      </c>
      <c r="G4888" s="70">
        <f>IF(ISNUMBER(F4888),E4888*F4888,"")</f>
        <v>2.3693000000000004</v>
      </c>
      <c r="H4888" s="71"/>
      <c r="I4888" s="72"/>
      <c r="J4888" s="37">
        <v>0</v>
      </c>
    </row>
    <row r="4889" spans="1:10" ht="15.75" hidden="1" thickBot="1" x14ac:dyDescent="0.3">
      <c r="A4889" s="180"/>
      <c r="B4889" s="178"/>
      <c r="C4889" s="49"/>
      <c r="D4889" s="49"/>
      <c r="E4889" s="50"/>
      <c r="F4889" s="83" t="s">
        <v>13</v>
      </c>
      <c r="G4889" s="83" t="str">
        <f>IF(ISNUMBER(F4889),E4889*F4889,"")</f>
        <v/>
      </c>
      <c r="H4889" s="84"/>
      <c r="I4889" s="72"/>
      <c r="J4889" s="37">
        <v>0</v>
      </c>
    </row>
    <row r="4890" spans="1:10" ht="15.75" hidden="1" thickBot="1" x14ac:dyDescent="0.3">
      <c r="A4890" s="173" t="s">
        <v>1159</v>
      </c>
      <c r="B4890" s="176" t="s">
        <v>4739</v>
      </c>
      <c r="C4890" s="31"/>
      <c r="D4890" s="32" t="s">
        <v>18</v>
      </c>
      <c r="E4890" s="33"/>
      <c r="F4890" s="60" t="s">
        <v>13</v>
      </c>
      <c r="G4890" s="34" t="str">
        <f>IF(ISNUMBER(F4890),E4890*F4890,"")</f>
        <v/>
      </c>
      <c r="H4890" s="35"/>
      <c r="I4890" s="36"/>
      <c r="J4890" s="37">
        <v>0</v>
      </c>
    </row>
    <row r="4891" spans="1:10" hidden="1" x14ac:dyDescent="0.25">
      <c r="A4891" s="179"/>
      <c r="B4891" s="177"/>
      <c r="C4891" s="39"/>
      <c r="D4891" s="39"/>
      <c r="E4891" s="40"/>
      <c r="F4891" s="70" t="s">
        <v>13</v>
      </c>
      <c r="G4891" s="70" t="str">
        <f>IF(ISNUMBER(F4891),E4891*F4891,"")</f>
        <v/>
      </c>
      <c r="H4891" s="71"/>
      <c r="I4891" s="72"/>
      <c r="J4891" s="37">
        <v>0</v>
      </c>
    </row>
    <row r="4892" spans="1:10" hidden="1" x14ac:dyDescent="0.25">
      <c r="A4892" s="179"/>
      <c r="B4892" s="177"/>
      <c r="C4892" s="43" t="s">
        <v>10875</v>
      </c>
      <c r="D4892" s="43" t="s">
        <v>1044</v>
      </c>
      <c r="E4892" s="44">
        <f>0.5228*2.4/1.5</f>
        <v>0.83648</v>
      </c>
      <c r="F4892" s="70">
        <v>27.777999999999999</v>
      </c>
      <c r="G4892" s="70">
        <f>IF(ISNUMBER(F4892),E4892*F4892,"")</f>
        <v>23.235741439999998</v>
      </c>
      <c r="H4892" s="46">
        <f>SUM(G4892:G4898)</f>
        <v>1053.7593245199998</v>
      </c>
      <c r="I4892" s="47"/>
      <c r="J4892" s="37">
        <v>0</v>
      </c>
    </row>
    <row r="4893" spans="1:10" ht="38.25" hidden="1" x14ac:dyDescent="0.25">
      <c r="A4893" s="179"/>
      <c r="B4893" s="177"/>
      <c r="C4893" s="43" t="s">
        <v>10876</v>
      </c>
      <c r="D4893" s="43" t="s">
        <v>83</v>
      </c>
      <c r="E4893" s="44">
        <v>9</v>
      </c>
      <c r="F4893" s="70">
        <v>1.159</v>
      </c>
      <c r="G4893" s="70">
        <f>IF(ISNUMBER(F4893),E4893*F4893,"")</f>
        <v>10.431000000000001</v>
      </c>
      <c r="H4893" s="71"/>
      <c r="I4893" s="72"/>
      <c r="J4893" s="37">
        <v>0</v>
      </c>
    </row>
    <row r="4894" spans="1:10" ht="38.25" hidden="1" x14ac:dyDescent="0.25">
      <c r="A4894" s="179"/>
      <c r="B4894" s="177"/>
      <c r="C4894" s="43" t="s">
        <v>11183</v>
      </c>
      <c r="D4894" s="43" t="s">
        <v>162</v>
      </c>
      <c r="E4894" s="44">
        <f>1.005*2.4/1.5</f>
        <v>1.6079999999999997</v>
      </c>
      <c r="F4894" s="70">
        <v>553.73599999999999</v>
      </c>
      <c r="G4894" s="70">
        <f>IF(ISNUMBER(F4894),E4894*F4894,"")</f>
        <v>890.40748799999983</v>
      </c>
      <c r="H4894" s="71"/>
      <c r="I4894" s="72"/>
      <c r="J4894" s="37">
        <v>0</v>
      </c>
    </row>
    <row r="4895" spans="1:10" hidden="1" x14ac:dyDescent="0.25">
      <c r="A4895" s="179"/>
      <c r="B4895" s="177"/>
      <c r="C4895" s="43" t="s">
        <v>10877</v>
      </c>
      <c r="D4895" s="43" t="s">
        <v>1044</v>
      </c>
      <c r="E4895" s="44">
        <f>0.0211*2.4/1.5</f>
        <v>3.3759999999999998E-2</v>
      </c>
      <c r="F4895" s="70">
        <v>71.667999999999992</v>
      </c>
      <c r="G4895" s="70">
        <f>IF(ISNUMBER(F4895),E4895*F4895,"")</f>
        <v>2.4195116799999998</v>
      </c>
      <c r="H4895" s="71"/>
      <c r="I4895" s="72"/>
      <c r="J4895" s="37">
        <v>0</v>
      </c>
    </row>
    <row r="4896" spans="1:10" ht="25.5" hidden="1" x14ac:dyDescent="0.25">
      <c r="A4896" s="179"/>
      <c r="B4896" s="177"/>
      <c r="C4896" s="43" t="s">
        <v>10878</v>
      </c>
      <c r="D4896" s="43" t="s">
        <v>83</v>
      </c>
      <c r="E4896" s="44">
        <v>3</v>
      </c>
      <c r="F4896" s="70">
        <v>19.256499999999999</v>
      </c>
      <c r="G4896" s="70">
        <f>IF(ISNUMBER(F4896),E4896*F4896,"")</f>
        <v>57.769499999999994</v>
      </c>
      <c r="H4896" s="71"/>
      <c r="I4896" s="47"/>
      <c r="J4896" s="37">
        <v>0</v>
      </c>
    </row>
    <row r="4897" spans="1:10" hidden="1" x14ac:dyDescent="0.25">
      <c r="A4897" s="179"/>
      <c r="B4897" s="177"/>
      <c r="C4897" s="43" t="s">
        <v>10830</v>
      </c>
      <c r="D4897" s="43" t="s">
        <v>2800</v>
      </c>
      <c r="E4897" s="44">
        <v>1.4944</v>
      </c>
      <c r="F4897" s="70">
        <v>30.912999999999997</v>
      </c>
      <c r="G4897" s="70">
        <f>IF(ISNUMBER(F4897),E4897*F4897,"")</f>
        <v>46.196387199999997</v>
      </c>
      <c r="H4897" s="71"/>
      <c r="I4897" s="72"/>
      <c r="J4897" s="37">
        <v>0</v>
      </c>
    </row>
    <row r="4898" spans="1:10" hidden="1" x14ac:dyDescent="0.25">
      <c r="A4898" s="179"/>
      <c r="B4898" s="177"/>
      <c r="C4898" s="43" t="s">
        <v>10614</v>
      </c>
      <c r="D4898" s="43" t="s">
        <v>2800</v>
      </c>
      <c r="E4898" s="44">
        <v>0.98340000000000005</v>
      </c>
      <c r="F4898" s="70">
        <v>23.693000000000001</v>
      </c>
      <c r="G4898" s="70">
        <f>IF(ISNUMBER(F4898),E4898*F4898,"")</f>
        <v>23.299696200000003</v>
      </c>
      <c r="H4898" s="71"/>
      <c r="I4898" s="72"/>
      <c r="J4898" s="37">
        <v>0</v>
      </c>
    </row>
    <row r="4899" spans="1:10" ht="15.75" hidden="1" thickBot="1" x14ac:dyDescent="0.3">
      <c r="A4899" s="180"/>
      <c r="B4899" s="178"/>
      <c r="C4899" s="49"/>
      <c r="D4899" s="49"/>
      <c r="E4899" s="50"/>
      <c r="F4899" s="83" t="s">
        <v>13</v>
      </c>
      <c r="G4899" s="83" t="str">
        <f>IF(ISNUMBER(F4899),E4899*F4899,"")</f>
        <v/>
      </c>
      <c r="H4899" s="84"/>
      <c r="I4899" s="72"/>
      <c r="J4899" s="37">
        <v>0</v>
      </c>
    </row>
    <row r="4900" spans="1:10" ht="15.75" hidden="1" thickBot="1" x14ac:dyDescent="0.3">
      <c r="A4900" s="173" t="s">
        <v>1160</v>
      </c>
      <c r="B4900" s="176" t="s">
        <v>4740</v>
      </c>
      <c r="C4900" s="31"/>
      <c r="D4900" s="32" t="s">
        <v>18</v>
      </c>
      <c r="E4900" s="33"/>
      <c r="F4900" s="60" t="s">
        <v>13</v>
      </c>
      <c r="G4900" s="34" t="str">
        <f>IF(ISNUMBER(F4900),E4900*F4900,"")</f>
        <v/>
      </c>
      <c r="H4900" s="35"/>
      <c r="I4900" s="36"/>
      <c r="J4900" s="37">
        <v>0</v>
      </c>
    </row>
    <row r="4901" spans="1:10" hidden="1" x14ac:dyDescent="0.25">
      <c r="A4901" s="179"/>
      <c r="B4901" s="177"/>
      <c r="C4901" s="39"/>
      <c r="D4901" s="39"/>
      <c r="E4901" s="40"/>
      <c r="F4901" s="70" t="s">
        <v>13</v>
      </c>
      <c r="G4901" s="70" t="str">
        <f>IF(ISNUMBER(F4901),E4901*F4901,"")</f>
        <v/>
      </c>
      <c r="H4901" s="71"/>
      <c r="I4901" s="72"/>
      <c r="J4901" s="37">
        <v>0</v>
      </c>
    </row>
    <row r="4902" spans="1:10" hidden="1" x14ac:dyDescent="0.25">
      <c r="A4902" s="179"/>
      <c r="B4902" s="177"/>
      <c r="C4902" s="43" t="s">
        <v>10875</v>
      </c>
      <c r="D4902" s="43" t="s">
        <v>1044</v>
      </c>
      <c r="E4902" s="44">
        <f>0.5228*2.5/1.5</f>
        <v>0.8713333333333334</v>
      </c>
      <c r="F4902" s="70">
        <v>27.777999999999999</v>
      </c>
      <c r="G4902" s="70">
        <f>IF(ISNUMBER(F4902),E4902*F4902,"")</f>
        <v>24.203897333333334</v>
      </c>
      <c r="H4902" s="46">
        <f>SUM(G4902:G4908)</f>
        <v>1091.9286053999997</v>
      </c>
      <c r="I4902" s="47"/>
      <c r="J4902" s="37">
        <v>0</v>
      </c>
    </row>
    <row r="4903" spans="1:10" ht="38.25" hidden="1" x14ac:dyDescent="0.25">
      <c r="A4903" s="179"/>
      <c r="B4903" s="177"/>
      <c r="C4903" s="43" t="s">
        <v>10876</v>
      </c>
      <c r="D4903" s="43" t="s">
        <v>83</v>
      </c>
      <c r="E4903" s="44">
        <v>9</v>
      </c>
      <c r="F4903" s="70">
        <v>1.159</v>
      </c>
      <c r="G4903" s="70">
        <f>IF(ISNUMBER(F4903),E4903*F4903,"")</f>
        <v>10.431000000000001</v>
      </c>
      <c r="H4903" s="71"/>
      <c r="I4903" s="72"/>
      <c r="J4903" s="37">
        <v>0</v>
      </c>
    </row>
    <row r="4904" spans="1:10" ht="38.25" hidden="1" x14ac:dyDescent="0.25">
      <c r="A4904" s="179"/>
      <c r="B4904" s="177"/>
      <c r="C4904" s="43" t="s">
        <v>11183</v>
      </c>
      <c r="D4904" s="43" t="s">
        <v>162</v>
      </c>
      <c r="E4904" s="44">
        <f>1.005*2.5/1.5</f>
        <v>1.6749999999999998</v>
      </c>
      <c r="F4904" s="70">
        <v>553.73599999999999</v>
      </c>
      <c r="G4904" s="70">
        <f>IF(ISNUMBER(F4904),E4904*F4904,"")</f>
        <v>927.50779999999986</v>
      </c>
      <c r="H4904" s="71"/>
      <c r="I4904" s="72"/>
      <c r="J4904" s="37">
        <v>0</v>
      </c>
    </row>
    <row r="4905" spans="1:10" hidden="1" x14ac:dyDescent="0.25">
      <c r="A4905" s="179"/>
      <c r="B4905" s="177"/>
      <c r="C4905" s="43" t="s">
        <v>10877</v>
      </c>
      <c r="D4905" s="43" t="s">
        <v>1044</v>
      </c>
      <c r="E4905" s="44">
        <f>0.0211*2.5/1.5</f>
        <v>3.5166666666666672E-2</v>
      </c>
      <c r="F4905" s="70">
        <v>71.667999999999992</v>
      </c>
      <c r="G4905" s="70">
        <f>IF(ISNUMBER(F4905),E4905*F4905,"")</f>
        <v>2.5203246666666668</v>
      </c>
      <c r="H4905" s="71"/>
      <c r="I4905" s="72"/>
      <c r="J4905" s="37">
        <v>0</v>
      </c>
    </row>
    <row r="4906" spans="1:10" ht="25.5" hidden="1" x14ac:dyDescent="0.25">
      <c r="A4906" s="179"/>
      <c r="B4906" s="177"/>
      <c r="C4906" s="43" t="s">
        <v>10878</v>
      </c>
      <c r="D4906" s="43" t="s">
        <v>83</v>
      </c>
      <c r="E4906" s="44">
        <v>3</v>
      </c>
      <c r="F4906" s="70">
        <v>19.256499999999999</v>
      </c>
      <c r="G4906" s="70">
        <f>IF(ISNUMBER(F4906),E4906*F4906,"")</f>
        <v>57.769499999999994</v>
      </c>
      <c r="H4906" s="71"/>
      <c r="I4906" s="47"/>
      <c r="J4906" s="37">
        <v>0</v>
      </c>
    </row>
    <row r="4907" spans="1:10" hidden="1" x14ac:dyDescent="0.25">
      <c r="A4907" s="179"/>
      <c r="B4907" s="177"/>
      <c r="C4907" s="43" t="s">
        <v>10830</v>
      </c>
      <c r="D4907" s="43" t="s">
        <v>2800</v>
      </c>
      <c r="E4907" s="44">
        <v>1.4944</v>
      </c>
      <c r="F4907" s="70">
        <v>30.912999999999997</v>
      </c>
      <c r="G4907" s="70">
        <f>IF(ISNUMBER(F4907),E4907*F4907,"")</f>
        <v>46.196387199999997</v>
      </c>
      <c r="H4907" s="71"/>
      <c r="I4907" s="72"/>
      <c r="J4907" s="37">
        <v>0</v>
      </c>
    </row>
    <row r="4908" spans="1:10" hidden="1" x14ac:dyDescent="0.25">
      <c r="A4908" s="179"/>
      <c r="B4908" s="177"/>
      <c r="C4908" s="43" t="s">
        <v>10614</v>
      </c>
      <c r="D4908" s="43" t="s">
        <v>2800</v>
      </c>
      <c r="E4908" s="44">
        <v>0.98340000000000005</v>
      </c>
      <c r="F4908" s="70">
        <v>23.693000000000001</v>
      </c>
      <c r="G4908" s="70">
        <f>IF(ISNUMBER(F4908),E4908*F4908,"")</f>
        <v>23.299696200000003</v>
      </c>
      <c r="H4908" s="71"/>
      <c r="I4908" s="72"/>
      <c r="J4908" s="37">
        <v>0</v>
      </c>
    </row>
    <row r="4909" spans="1:10" ht="15.75" hidden="1" thickBot="1" x14ac:dyDescent="0.3">
      <c r="A4909" s="180"/>
      <c r="B4909" s="178"/>
      <c r="C4909" s="49"/>
      <c r="D4909" s="49"/>
      <c r="E4909" s="50"/>
      <c r="F4909" s="83" t="s">
        <v>13</v>
      </c>
      <c r="G4909" s="83" t="str">
        <f>IF(ISNUMBER(F4909),E4909*F4909,"")</f>
        <v/>
      </c>
      <c r="H4909" s="84"/>
      <c r="I4909" s="72"/>
      <c r="J4909" s="37">
        <v>0</v>
      </c>
    </row>
    <row r="4910" spans="1:10" ht="15.75" hidden="1" thickBot="1" x14ac:dyDescent="0.3">
      <c r="A4910" s="173" t="s">
        <v>1161</v>
      </c>
      <c r="B4910" s="176" t="s">
        <v>4747</v>
      </c>
      <c r="C4910" s="31"/>
      <c r="D4910" s="32" t="s">
        <v>18</v>
      </c>
      <c r="E4910" s="33"/>
      <c r="F4910" s="54" t="s">
        <v>13</v>
      </c>
      <c r="G4910" s="34" t="str">
        <f>IF(ISNUMBER(F4910),E4910*F4910,"")</f>
        <v/>
      </c>
      <c r="H4910" s="35"/>
      <c r="I4910" s="36"/>
      <c r="J4910" s="37">
        <v>0</v>
      </c>
    </row>
    <row r="4911" spans="1:10" hidden="1" x14ac:dyDescent="0.25">
      <c r="A4911" s="174"/>
      <c r="B4911" s="177"/>
      <c r="C4911" s="39"/>
      <c r="D4911" s="39"/>
      <c r="E4911" s="40"/>
      <c r="F4911" s="55" t="s">
        <v>13</v>
      </c>
      <c r="G4911" s="41" t="str">
        <f>IF(ISNUMBER(F4911),E4911*F4911,"")</f>
        <v/>
      </c>
      <c r="H4911" s="42"/>
      <c r="I4911" s="38"/>
      <c r="J4911" s="37">
        <v>0</v>
      </c>
    </row>
    <row r="4912" spans="1:10" hidden="1" x14ac:dyDescent="0.25">
      <c r="A4912" s="174"/>
      <c r="B4912" s="177"/>
      <c r="C4912" s="43" t="s">
        <v>10831</v>
      </c>
      <c r="D4912" s="43" t="s">
        <v>2800</v>
      </c>
      <c r="E4912" s="44">
        <v>0.15</v>
      </c>
      <c r="F4912" s="41">
        <v>28.6615</v>
      </c>
      <c r="G4912" s="41">
        <f>IF(ISNUMBER(F4912),E4912*F4912,"")</f>
        <v>4.2992249999999999</v>
      </c>
      <c r="H4912" s="46">
        <f>SUM(G4912:G4913)</f>
        <v>4.2992249999999999</v>
      </c>
      <c r="I4912" s="47"/>
      <c r="J4912" s="37">
        <v>0</v>
      </c>
    </row>
    <row r="4913" spans="1:10" ht="25.5" hidden="1" x14ac:dyDescent="0.25">
      <c r="A4913" s="174"/>
      <c r="B4913" s="177"/>
      <c r="C4913" s="43" t="s">
        <v>1162</v>
      </c>
      <c r="D4913" s="43" t="s">
        <v>18</v>
      </c>
      <c r="E4913" s="44">
        <v>1</v>
      </c>
      <c r="F4913" s="38" t="s">
        <v>13</v>
      </c>
      <c r="G4913" s="41" t="str">
        <f>IF(ISNUMBER(F4913),E4913*F4913,"")</f>
        <v/>
      </c>
      <c r="H4913" s="42"/>
      <c r="I4913" s="38"/>
      <c r="J4913" s="37">
        <v>0</v>
      </c>
    </row>
    <row r="4914" spans="1:10" ht="15.75" hidden="1" thickBot="1" x14ac:dyDescent="0.3">
      <c r="A4914" s="175"/>
      <c r="B4914" s="178"/>
      <c r="C4914" s="49"/>
      <c r="D4914" s="49"/>
      <c r="E4914" s="50"/>
      <c r="F4914" s="51" t="s">
        <v>13</v>
      </c>
      <c r="G4914" s="52" t="str">
        <f>IF(ISNUMBER(F4914),E4914*F4914,"")</f>
        <v/>
      </c>
      <c r="H4914" s="53"/>
      <c r="I4914" s="38"/>
      <c r="J4914" s="37">
        <v>0</v>
      </c>
    </row>
    <row r="4915" spans="1:10" ht="15.75" hidden="1" thickBot="1" x14ac:dyDescent="0.3">
      <c r="A4915" s="173" t="s">
        <v>1163</v>
      </c>
      <c r="B4915" s="176" t="s">
        <v>4748</v>
      </c>
      <c r="C4915" s="31"/>
      <c r="D4915" s="32" t="s">
        <v>18</v>
      </c>
      <c r="E4915" s="33"/>
      <c r="F4915" s="54" t="s">
        <v>13</v>
      </c>
      <c r="G4915" s="34" t="str">
        <f>IF(ISNUMBER(F4915),E4915*F4915,"")</f>
        <v/>
      </c>
      <c r="H4915" s="35"/>
      <c r="I4915" s="36"/>
      <c r="J4915" s="37">
        <v>0</v>
      </c>
    </row>
    <row r="4916" spans="1:10" hidden="1" x14ac:dyDescent="0.25">
      <c r="A4916" s="174"/>
      <c r="B4916" s="177"/>
      <c r="C4916" s="39"/>
      <c r="D4916" s="39"/>
      <c r="E4916" s="40"/>
      <c r="F4916" s="55" t="s">
        <v>13</v>
      </c>
      <c r="G4916" s="41" t="str">
        <f>IF(ISNUMBER(F4916),E4916*F4916,"")</f>
        <v/>
      </c>
      <c r="H4916" s="42"/>
      <c r="I4916" s="38"/>
      <c r="J4916" s="37">
        <v>0</v>
      </c>
    </row>
    <row r="4917" spans="1:10" hidden="1" x14ac:dyDescent="0.25">
      <c r="A4917" s="174"/>
      <c r="B4917" s="177"/>
      <c r="C4917" s="43" t="s">
        <v>10831</v>
      </c>
      <c r="D4917" s="43" t="s">
        <v>2800</v>
      </c>
      <c r="E4917" s="44">
        <v>0.15</v>
      </c>
      <c r="F4917" s="41">
        <v>28.6615</v>
      </c>
      <c r="G4917" s="41">
        <f>IF(ISNUMBER(F4917),E4917*F4917,"")</f>
        <v>4.2992249999999999</v>
      </c>
      <c r="H4917" s="46">
        <f>SUM(G4917:G4918)</f>
        <v>4.2992249999999999</v>
      </c>
      <c r="I4917" s="47"/>
      <c r="J4917" s="37">
        <v>0</v>
      </c>
    </row>
    <row r="4918" spans="1:10" hidden="1" x14ac:dyDescent="0.25">
      <c r="A4918" s="174"/>
      <c r="B4918" s="177"/>
      <c r="C4918" s="43" t="s">
        <v>1164</v>
      </c>
      <c r="D4918" s="43" t="s">
        <v>18</v>
      </c>
      <c r="E4918" s="44">
        <v>1</v>
      </c>
      <c r="F4918" s="38" t="s">
        <v>13</v>
      </c>
      <c r="G4918" s="41" t="str">
        <f>IF(ISNUMBER(F4918),E4918*F4918,"")</f>
        <v/>
      </c>
      <c r="H4918" s="42"/>
      <c r="I4918" s="38"/>
      <c r="J4918" s="37">
        <v>0</v>
      </c>
    </row>
    <row r="4919" spans="1:10" ht="15.75" hidden="1" thickBot="1" x14ac:dyDescent="0.3">
      <c r="A4919" s="175"/>
      <c r="B4919" s="178"/>
      <c r="C4919" s="49"/>
      <c r="D4919" s="49"/>
      <c r="E4919" s="50"/>
      <c r="F4919" s="51" t="s">
        <v>13</v>
      </c>
      <c r="G4919" s="52" t="str">
        <f>IF(ISNUMBER(F4919),E4919*F4919,"")</f>
        <v/>
      </c>
      <c r="H4919" s="53"/>
      <c r="I4919" s="38"/>
      <c r="J4919" s="37">
        <v>0</v>
      </c>
    </row>
    <row r="4920" spans="1:10" ht="15.75" hidden="1" thickBot="1" x14ac:dyDescent="0.3">
      <c r="A4920" s="173" t="s">
        <v>1165</v>
      </c>
      <c r="B4920" s="176" t="s">
        <v>4749</v>
      </c>
      <c r="C4920" s="31"/>
      <c r="D4920" s="32" t="s">
        <v>18</v>
      </c>
      <c r="E4920" s="33"/>
      <c r="F4920" s="54" t="s">
        <v>13</v>
      </c>
      <c r="G4920" s="34" t="str">
        <f>IF(ISNUMBER(F4920),E4920*F4920,"")</f>
        <v/>
      </c>
      <c r="H4920" s="35"/>
      <c r="I4920" s="36"/>
      <c r="J4920" s="37">
        <v>0</v>
      </c>
    </row>
    <row r="4921" spans="1:10" hidden="1" x14ac:dyDescent="0.25">
      <c r="A4921" s="174"/>
      <c r="B4921" s="177"/>
      <c r="C4921" s="39"/>
      <c r="D4921" s="39"/>
      <c r="E4921" s="40"/>
      <c r="F4921" s="55" t="s">
        <v>13</v>
      </c>
      <c r="G4921" s="41" t="str">
        <f>IF(ISNUMBER(F4921),E4921*F4921,"")</f>
        <v/>
      </c>
      <c r="H4921" s="42"/>
      <c r="I4921" s="38"/>
      <c r="J4921" s="37">
        <v>0</v>
      </c>
    </row>
    <row r="4922" spans="1:10" hidden="1" x14ac:dyDescent="0.25">
      <c r="A4922" s="174"/>
      <c r="B4922" s="177"/>
      <c r="C4922" s="43" t="s">
        <v>10831</v>
      </c>
      <c r="D4922" s="43" t="s">
        <v>2800</v>
      </c>
      <c r="E4922" s="44">
        <v>0.15</v>
      </c>
      <c r="F4922" s="41">
        <v>28.6615</v>
      </c>
      <c r="G4922" s="41">
        <f>IF(ISNUMBER(F4922),E4922*F4922,"")</f>
        <v>4.2992249999999999</v>
      </c>
      <c r="H4922" s="46">
        <f>SUM(G4922:G4923)</f>
        <v>4.2992249999999999</v>
      </c>
      <c r="I4922" s="47"/>
      <c r="J4922" s="37">
        <v>0</v>
      </c>
    </row>
    <row r="4923" spans="1:10" ht="25.5" hidden="1" x14ac:dyDescent="0.25">
      <c r="A4923" s="174"/>
      <c r="B4923" s="177"/>
      <c r="C4923" s="43" t="s">
        <v>1166</v>
      </c>
      <c r="D4923" s="43" t="s">
        <v>18</v>
      </c>
      <c r="E4923" s="44">
        <v>1</v>
      </c>
      <c r="F4923" s="38" t="s">
        <v>13</v>
      </c>
      <c r="G4923" s="41" t="str">
        <f>IF(ISNUMBER(F4923),E4923*F4923,"")</f>
        <v/>
      </c>
      <c r="H4923" s="42"/>
      <c r="I4923" s="38"/>
      <c r="J4923" s="37">
        <v>0</v>
      </c>
    </row>
    <row r="4924" spans="1:10" ht="15.75" hidden="1" thickBot="1" x14ac:dyDescent="0.3">
      <c r="A4924" s="175"/>
      <c r="B4924" s="178"/>
      <c r="C4924" s="49"/>
      <c r="D4924" s="49"/>
      <c r="E4924" s="50"/>
      <c r="F4924" s="51" t="s">
        <v>13</v>
      </c>
      <c r="G4924" s="52" t="str">
        <f>IF(ISNUMBER(F4924),E4924*F4924,"")</f>
        <v/>
      </c>
      <c r="H4924" s="53"/>
      <c r="I4924" s="38"/>
      <c r="J4924" s="37">
        <v>0</v>
      </c>
    </row>
    <row r="4925" spans="1:10" ht="15.75" hidden="1" customHeight="1" thickBot="1" x14ac:dyDescent="0.3">
      <c r="A4925" s="173" t="s">
        <v>1167</v>
      </c>
      <c r="B4925" s="176" t="s">
        <v>4750</v>
      </c>
      <c r="C4925" s="31"/>
      <c r="D4925" s="32" t="s">
        <v>106</v>
      </c>
      <c r="E4925" s="33"/>
      <c r="F4925" s="54" t="s">
        <v>13</v>
      </c>
      <c r="G4925" s="34" t="str">
        <f>IF(ISNUMBER(F4925),E4925*F4925,"")</f>
        <v/>
      </c>
      <c r="H4925" s="35"/>
      <c r="I4925" s="36"/>
      <c r="J4925" s="37">
        <v>0</v>
      </c>
    </row>
    <row r="4926" spans="1:10" hidden="1" x14ac:dyDescent="0.25">
      <c r="A4926" s="179"/>
      <c r="B4926" s="177"/>
      <c r="C4926" s="39"/>
      <c r="D4926" s="39"/>
      <c r="E4926" s="40"/>
      <c r="F4926" s="55" t="s">
        <v>13</v>
      </c>
      <c r="G4926" s="41" t="str">
        <f>IF(ISNUMBER(F4926),E4926*F4926,"")</f>
        <v/>
      </c>
      <c r="H4926" s="42"/>
      <c r="I4926" s="38"/>
      <c r="J4926" s="37">
        <v>0</v>
      </c>
    </row>
    <row r="4927" spans="1:10" hidden="1" x14ac:dyDescent="0.25">
      <c r="A4927" s="179"/>
      <c r="B4927" s="177"/>
      <c r="C4927" s="43" t="s">
        <v>10831</v>
      </c>
      <c r="D4927" s="43" t="s">
        <v>2800</v>
      </c>
      <c r="E4927" s="44">
        <v>0.2</v>
      </c>
      <c r="F4927" s="41">
        <v>28.6615</v>
      </c>
      <c r="G4927" s="41">
        <f>IF(ISNUMBER(F4927),E4927*F4927,"")</f>
        <v>5.7323000000000004</v>
      </c>
      <c r="H4927" s="46">
        <f>SUM(G4927:G4928)</f>
        <v>10.898551999999999</v>
      </c>
      <c r="I4927" s="47"/>
      <c r="J4927" s="37">
        <v>0</v>
      </c>
    </row>
    <row r="4928" spans="1:10" hidden="1" x14ac:dyDescent="0.25">
      <c r="A4928" s="179"/>
      <c r="B4928" s="177"/>
      <c r="C4928" s="43" t="s">
        <v>11030</v>
      </c>
      <c r="D4928" s="43" t="s">
        <v>1044</v>
      </c>
      <c r="E4928" s="44">
        <v>0.126</v>
      </c>
      <c r="F4928" s="38">
        <v>41.001999999999995</v>
      </c>
      <c r="G4928" s="41">
        <f>IF(ISNUMBER(F4928),E4928*F4928,"")</f>
        <v>5.1662519999999992</v>
      </c>
      <c r="H4928" s="42"/>
      <c r="I4928" s="38"/>
      <c r="J4928" s="37">
        <v>0</v>
      </c>
    </row>
    <row r="4929" spans="1:10" hidden="1" x14ac:dyDescent="0.25">
      <c r="A4929" s="179"/>
      <c r="B4929" s="177"/>
      <c r="C4929" s="43"/>
      <c r="D4929" s="43"/>
      <c r="E4929" s="44"/>
      <c r="F4929" s="38" t="s">
        <v>13</v>
      </c>
      <c r="G4929" s="41" t="str">
        <f>IF(ISNUMBER(F4929),E4929*F4929,"")</f>
        <v/>
      </c>
      <c r="H4929" s="42"/>
      <c r="I4929" s="38"/>
      <c r="J4929" s="37">
        <v>0</v>
      </c>
    </row>
    <row r="4930" spans="1:10" hidden="1" x14ac:dyDescent="0.25">
      <c r="A4930" s="179"/>
      <c r="B4930" s="177"/>
      <c r="C4930" s="65" t="s">
        <v>1168</v>
      </c>
      <c r="D4930" s="43"/>
      <c r="E4930" s="44"/>
      <c r="F4930" s="38" t="s">
        <v>13</v>
      </c>
      <c r="G4930" s="41" t="str">
        <f>IF(ISNUMBER(F4930),E4930*F4930,"")</f>
        <v/>
      </c>
      <c r="H4930" s="42"/>
      <c r="I4930" s="38"/>
      <c r="J4930" s="37">
        <v>0</v>
      </c>
    </row>
    <row r="4931" spans="1:10" hidden="1" x14ac:dyDescent="0.25">
      <c r="A4931" s="179"/>
      <c r="B4931" s="177"/>
      <c r="C4931" s="65" t="s">
        <v>1169</v>
      </c>
      <c r="D4931" s="43"/>
      <c r="E4931" s="44"/>
      <c r="F4931" s="38" t="s">
        <v>13</v>
      </c>
      <c r="G4931" s="41" t="str">
        <f>IF(ISNUMBER(F4931),E4931*F4931,"")</f>
        <v/>
      </c>
      <c r="H4931" s="42"/>
      <c r="I4931" s="38"/>
      <c r="J4931" s="37">
        <v>0</v>
      </c>
    </row>
    <row r="4932" spans="1:10" ht="15.75" hidden="1" thickBot="1" x14ac:dyDescent="0.3">
      <c r="A4932" s="180"/>
      <c r="B4932" s="178"/>
      <c r="C4932" s="78"/>
      <c r="D4932" s="49"/>
      <c r="E4932" s="50"/>
      <c r="F4932" s="51" t="s">
        <v>13</v>
      </c>
      <c r="G4932" s="52" t="str">
        <f>IF(ISNUMBER(F4932),E4932*F4932,"")</f>
        <v/>
      </c>
      <c r="H4932" s="53"/>
      <c r="I4932" s="38"/>
      <c r="J4932" s="37">
        <v>0</v>
      </c>
    </row>
    <row r="4933" spans="1:10" ht="15.75" hidden="1" thickBot="1" x14ac:dyDescent="0.3">
      <c r="A4933" s="173" t="s">
        <v>1170</v>
      </c>
      <c r="B4933" s="176" t="s">
        <v>4751</v>
      </c>
      <c r="C4933" s="31"/>
      <c r="D4933" s="32" t="s">
        <v>106</v>
      </c>
      <c r="E4933" s="33"/>
      <c r="F4933" s="54" t="s">
        <v>13</v>
      </c>
      <c r="G4933" s="34" t="str">
        <f>IF(ISNUMBER(F4933),E4933*F4933,"")</f>
        <v/>
      </c>
      <c r="H4933" s="35"/>
      <c r="I4933" s="36"/>
      <c r="J4933" s="37">
        <v>0</v>
      </c>
    </row>
    <row r="4934" spans="1:10" hidden="1" x14ac:dyDescent="0.25">
      <c r="A4934" s="174"/>
      <c r="B4934" s="177"/>
      <c r="C4934" s="39"/>
      <c r="D4934" s="39"/>
      <c r="E4934" s="40"/>
      <c r="F4934" s="55" t="s">
        <v>13</v>
      </c>
      <c r="G4934" s="41" t="str">
        <f>IF(ISNUMBER(F4934),E4934*F4934,"")</f>
        <v/>
      </c>
      <c r="H4934" s="42"/>
      <c r="I4934" s="38"/>
      <c r="J4934" s="37">
        <v>0</v>
      </c>
    </row>
    <row r="4935" spans="1:10" hidden="1" x14ac:dyDescent="0.25">
      <c r="A4935" s="174"/>
      <c r="B4935" s="177"/>
      <c r="C4935" s="43" t="s">
        <v>10831</v>
      </c>
      <c r="D4935" s="43" t="s">
        <v>2800</v>
      </c>
      <c r="E4935" s="44">
        <v>0.2</v>
      </c>
      <c r="F4935" s="41">
        <v>28.6615</v>
      </c>
      <c r="G4935" s="41">
        <f>IF(ISNUMBER(F4935),E4935*F4935,"")</f>
        <v>5.7323000000000004</v>
      </c>
      <c r="H4935" s="46">
        <f>SUM(G4935:G4936)</f>
        <v>14.957749999999999</v>
      </c>
      <c r="I4935" s="47"/>
      <c r="J4935" s="37">
        <v>0</v>
      </c>
    </row>
    <row r="4936" spans="1:10" hidden="1" x14ac:dyDescent="0.25">
      <c r="A4936" s="174"/>
      <c r="B4936" s="177"/>
      <c r="C4936" s="43" t="s">
        <v>11030</v>
      </c>
      <c r="D4936" s="43" t="s">
        <v>1044</v>
      </c>
      <c r="E4936" s="44">
        <v>0.22500000000000001</v>
      </c>
      <c r="F4936" s="38">
        <v>41.001999999999995</v>
      </c>
      <c r="G4936" s="41">
        <f>IF(ISNUMBER(F4936),E4936*F4936,"")</f>
        <v>9.2254499999999986</v>
      </c>
      <c r="H4936" s="42"/>
      <c r="I4936" s="38"/>
      <c r="J4936" s="37">
        <v>0</v>
      </c>
    </row>
    <row r="4937" spans="1:10" hidden="1" x14ac:dyDescent="0.25">
      <c r="A4937" s="174"/>
      <c r="B4937" s="177"/>
      <c r="C4937" s="43"/>
      <c r="D4937" s="43"/>
      <c r="E4937" s="44"/>
      <c r="F4937" s="38" t="s">
        <v>13</v>
      </c>
      <c r="G4937" s="41" t="str">
        <f>IF(ISNUMBER(F4937),E4937*F4937,"")</f>
        <v/>
      </c>
      <c r="H4937" s="42"/>
      <c r="I4937" s="38"/>
      <c r="J4937" s="37">
        <v>0</v>
      </c>
    </row>
    <row r="4938" spans="1:10" hidden="1" x14ac:dyDescent="0.25">
      <c r="A4938" s="174"/>
      <c r="B4938" s="177"/>
      <c r="C4938" s="65" t="s">
        <v>1171</v>
      </c>
      <c r="D4938" s="43"/>
      <c r="E4938" s="44"/>
      <c r="F4938" s="38" t="s">
        <v>13</v>
      </c>
      <c r="G4938" s="41" t="str">
        <f>IF(ISNUMBER(F4938),E4938*F4938,"")</f>
        <v/>
      </c>
      <c r="H4938" s="42"/>
      <c r="I4938" s="38"/>
      <c r="J4938" s="37">
        <v>0</v>
      </c>
    </row>
    <row r="4939" spans="1:10" hidden="1" x14ac:dyDescent="0.25">
      <c r="A4939" s="174"/>
      <c r="B4939" s="177"/>
      <c r="C4939" s="65" t="s">
        <v>1169</v>
      </c>
      <c r="D4939" s="43"/>
      <c r="E4939" s="44"/>
      <c r="F4939" s="38" t="s">
        <v>13</v>
      </c>
      <c r="G4939" s="41" t="str">
        <f>IF(ISNUMBER(F4939),E4939*F4939,"")</f>
        <v/>
      </c>
      <c r="H4939" s="42"/>
      <c r="I4939" s="38"/>
      <c r="J4939" s="37">
        <v>0</v>
      </c>
    </row>
    <row r="4940" spans="1:10" ht="15.75" hidden="1" thickBot="1" x14ac:dyDescent="0.3">
      <c r="A4940" s="175"/>
      <c r="B4940" s="178"/>
      <c r="C4940" s="49"/>
      <c r="D4940" s="49"/>
      <c r="E4940" s="50"/>
      <c r="F4940" s="51" t="s">
        <v>13</v>
      </c>
      <c r="G4940" s="52" t="str">
        <f>IF(ISNUMBER(F4940),E4940*F4940,"")</f>
        <v/>
      </c>
      <c r="H4940" s="53"/>
      <c r="I4940" s="38"/>
      <c r="J4940" s="37">
        <v>0</v>
      </c>
    </row>
    <row r="4941" spans="1:10" ht="15.75" hidden="1" thickBot="1" x14ac:dyDescent="0.3">
      <c r="A4941" s="173" t="s">
        <v>1172</v>
      </c>
      <c r="B4941" s="176" t="s">
        <v>4752</v>
      </c>
      <c r="C4941" s="31"/>
      <c r="D4941" s="32" t="s">
        <v>106</v>
      </c>
      <c r="E4941" s="33"/>
      <c r="F4941" s="54" t="s">
        <v>13</v>
      </c>
      <c r="G4941" s="34" t="str">
        <f>IF(ISNUMBER(F4941),E4941*F4941,"")</f>
        <v/>
      </c>
      <c r="H4941" s="35"/>
      <c r="I4941" s="36"/>
      <c r="J4941" s="37">
        <v>0</v>
      </c>
    </row>
    <row r="4942" spans="1:10" hidden="1" x14ac:dyDescent="0.25">
      <c r="A4942" s="174"/>
      <c r="B4942" s="177"/>
      <c r="C4942" s="39"/>
      <c r="D4942" s="39"/>
      <c r="E4942" s="40"/>
      <c r="F4942" s="55" t="s">
        <v>13</v>
      </c>
      <c r="G4942" s="41" t="str">
        <f>IF(ISNUMBER(F4942),E4942*F4942,"")</f>
        <v/>
      </c>
      <c r="H4942" s="42"/>
      <c r="I4942" s="38"/>
      <c r="J4942" s="37">
        <v>0</v>
      </c>
    </row>
    <row r="4943" spans="1:10" hidden="1" x14ac:dyDescent="0.25">
      <c r="A4943" s="174"/>
      <c r="B4943" s="177"/>
      <c r="C4943" s="43" t="s">
        <v>10831</v>
      </c>
      <c r="D4943" s="43" t="s">
        <v>2800</v>
      </c>
      <c r="E4943" s="44">
        <v>0.15</v>
      </c>
      <c r="F4943" s="41">
        <v>28.6615</v>
      </c>
      <c r="G4943" s="41">
        <f>IF(ISNUMBER(F4943),E4943*F4943,"")</f>
        <v>4.2992249999999999</v>
      </c>
      <c r="H4943" s="46">
        <f>SUM(G4943:G4944)</f>
        <v>6.554335</v>
      </c>
      <c r="I4943" s="47"/>
      <c r="J4943" s="37">
        <v>0</v>
      </c>
    </row>
    <row r="4944" spans="1:10" hidden="1" x14ac:dyDescent="0.25">
      <c r="A4944" s="174"/>
      <c r="B4944" s="177"/>
      <c r="C4944" s="43" t="s">
        <v>11030</v>
      </c>
      <c r="D4944" s="43" t="s">
        <v>1044</v>
      </c>
      <c r="E4944" s="44">
        <v>5.5E-2</v>
      </c>
      <c r="F4944" s="38">
        <v>41.001999999999995</v>
      </c>
      <c r="G4944" s="41">
        <f>IF(ISNUMBER(F4944),E4944*F4944,"")</f>
        <v>2.2551099999999997</v>
      </c>
      <c r="H4944" s="42"/>
      <c r="I4944" s="38"/>
      <c r="J4944" s="37">
        <v>0</v>
      </c>
    </row>
    <row r="4945" spans="1:10" hidden="1" x14ac:dyDescent="0.25">
      <c r="A4945" s="174"/>
      <c r="B4945" s="177"/>
      <c r="C4945" s="43"/>
      <c r="D4945" s="43"/>
      <c r="E4945" s="44"/>
      <c r="F4945" s="38" t="s">
        <v>13</v>
      </c>
      <c r="G4945" s="41" t="str">
        <f>IF(ISNUMBER(F4945),E4945*F4945,"")</f>
        <v/>
      </c>
      <c r="H4945" s="42"/>
      <c r="I4945" s="38"/>
      <c r="J4945" s="37">
        <v>0</v>
      </c>
    </row>
    <row r="4946" spans="1:10" hidden="1" x14ac:dyDescent="0.25">
      <c r="A4946" s="174"/>
      <c r="B4946" s="177"/>
      <c r="C4946" s="65" t="s">
        <v>1173</v>
      </c>
      <c r="D4946" s="43"/>
      <c r="E4946" s="44"/>
      <c r="F4946" s="38" t="s">
        <v>13</v>
      </c>
      <c r="G4946" s="41" t="str">
        <f>IF(ISNUMBER(F4946),E4946*F4946,"")</f>
        <v/>
      </c>
      <c r="H4946" s="42"/>
      <c r="I4946" s="38"/>
      <c r="J4946" s="37">
        <v>0</v>
      </c>
    </row>
    <row r="4947" spans="1:10" hidden="1" x14ac:dyDescent="0.25">
      <c r="A4947" s="174"/>
      <c r="B4947" s="177"/>
      <c r="C4947" s="65" t="s">
        <v>1169</v>
      </c>
      <c r="D4947" s="43"/>
      <c r="E4947" s="44"/>
      <c r="F4947" s="38" t="s">
        <v>13</v>
      </c>
      <c r="G4947" s="41" t="str">
        <f>IF(ISNUMBER(F4947),E4947*F4947,"")</f>
        <v/>
      </c>
      <c r="H4947" s="42"/>
      <c r="I4947" s="38"/>
      <c r="J4947" s="37">
        <v>0</v>
      </c>
    </row>
    <row r="4948" spans="1:10" ht="15.75" hidden="1" thickBot="1" x14ac:dyDescent="0.3">
      <c r="A4948" s="175"/>
      <c r="B4948" s="178"/>
      <c r="C4948" s="49"/>
      <c r="D4948" s="49"/>
      <c r="E4948" s="50"/>
      <c r="F4948" s="51" t="s">
        <v>13</v>
      </c>
      <c r="G4948" s="52" t="str">
        <f>IF(ISNUMBER(F4948),E4948*F4948,"")</f>
        <v/>
      </c>
      <c r="H4948" s="53"/>
      <c r="I4948" s="38"/>
      <c r="J4948" s="37">
        <v>0</v>
      </c>
    </row>
    <row r="4949" spans="1:10" ht="15.75" hidden="1" thickBot="1" x14ac:dyDescent="0.3">
      <c r="A4949" s="173" t="s">
        <v>1174</v>
      </c>
      <c r="B4949" s="176" t="s">
        <v>4753</v>
      </c>
      <c r="C4949" s="31"/>
      <c r="D4949" s="32" t="s">
        <v>106</v>
      </c>
      <c r="E4949" s="33"/>
      <c r="F4949" s="54" t="s">
        <v>13</v>
      </c>
      <c r="G4949" s="34" t="str">
        <f>IF(ISNUMBER(F4949),E4949*F4949,"")</f>
        <v/>
      </c>
      <c r="H4949" s="35"/>
      <c r="I4949" s="36"/>
      <c r="J4949" s="37">
        <v>0</v>
      </c>
    </row>
    <row r="4950" spans="1:10" hidden="1" x14ac:dyDescent="0.25">
      <c r="A4950" s="174"/>
      <c r="B4950" s="177"/>
      <c r="C4950" s="39"/>
      <c r="D4950" s="39"/>
      <c r="E4950" s="40"/>
      <c r="F4950" s="55" t="s">
        <v>13</v>
      </c>
      <c r="G4950" s="41" t="str">
        <f>IF(ISNUMBER(F4950),E4950*F4950,"")</f>
        <v/>
      </c>
      <c r="H4950" s="42"/>
      <c r="I4950" s="38"/>
      <c r="J4950" s="37">
        <v>0</v>
      </c>
    </row>
    <row r="4951" spans="1:10" hidden="1" x14ac:dyDescent="0.25">
      <c r="A4951" s="174"/>
      <c r="B4951" s="177"/>
      <c r="C4951" s="43" t="s">
        <v>10831</v>
      </c>
      <c r="D4951" s="43" t="s">
        <v>2800</v>
      </c>
      <c r="E4951" s="44">
        <v>0.3</v>
      </c>
      <c r="F4951" s="41">
        <v>28.6615</v>
      </c>
      <c r="G4951" s="41">
        <f>IF(ISNUMBER(F4951),E4951*F4951,"")</f>
        <v>8.5984499999999997</v>
      </c>
      <c r="H4951" s="46">
        <f>SUM(G4951:G4952)</f>
        <v>17.126866</v>
      </c>
      <c r="I4951" s="47"/>
      <c r="J4951" s="37">
        <v>0</v>
      </c>
    </row>
    <row r="4952" spans="1:10" hidden="1" x14ac:dyDescent="0.25">
      <c r="A4952" s="174"/>
      <c r="B4952" s="177"/>
      <c r="C4952" s="43" t="s">
        <v>11030</v>
      </c>
      <c r="D4952" s="43" t="s">
        <v>1044</v>
      </c>
      <c r="E4952" s="44">
        <v>0.20799999999999999</v>
      </c>
      <c r="F4952" s="38">
        <v>41.001999999999995</v>
      </c>
      <c r="G4952" s="41">
        <f>IF(ISNUMBER(F4952),E4952*F4952,"")</f>
        <v>8.5284159999999982</v>
      </c>
      <c r="H4952" s="42"/>
      <c r="I4952" s="38"/>
      <c r="J4952" s="37">
        <v>0</v>
      </c>
    </row>
    <row r="4953" spans="1:10" hidden="1" x14ac:dyDescent="0.25">
      <c r="A4953" s="174"/>
      <c r="B4953" s="177"/>
      <c r="C4953" s="43"/>
      <c r="D4953" s="43"/>
      <c r="E4953" s="44"/>
      <c r="F4953" s="38" t="s">
        <v>13</v>
      </c>
      <c r="G4953" s="41" t="str">
        <f>IF(ISNUMBER(F4953),E4953*F4953,"")</f>
        <v/>
      </c>
      <c r="H4953" s="42"/>
      <c r="I4953" s="38"/>
      <c r="J4953" s="37">
        <v>0</v>
      </c>
    </row>
    <row r="4954" spans="1:10" hidden="1" x14ac:dyDescent="0.25">
      <c r="A4954" s="174"/>
      <c r="B4954" s="177"/>
      <c r="C4954" s="65" t="s">
        <v>1175</v>
      </c>
      <c r="D4954" s="43"/>
      <c r="E4954" s="44"/>
      <c r="F4954" s="38" t="s">
        <v>13</v>
      </c>
      <c r="G4954" s="41" t="str">
        <f>IF(ISNUMBER(F4954),E4954*F4954,"")</f>
        <v/>
      </c>
      <c r="H4954" s="42"/>
      <c r="I4954" s="38"/>
      <c r="J4954" s="37">
        <v>0</v>
      </c>
    </row>
    <row r="4955" spans="1:10" hidden="1" x14ac:dyDescent="0.25">
      <c r="A4955" s="174"/>
      <c r="B4955" s="177"/>
      <c r="C4955" s="65" t="s">
        <v>1169</v>
      </c>
      <c r="D4955" s="43"/>
      <c r="E4955" s="44"/>
      <c r="F4955" s="38" t="s">
        <v>13</v>
      </c>
      <c r="G4955" s="41" t="str">
        <f>IF(ISNUMBER(F4955),E4955*F4955,"")</f>
        <v/>
      </c>
      <c r="H4955" s="42"/>
      <c r="I4955" s="38"/>
      <c r="J4955" s="37">
        <v>0</v>
      </c>
    </row>
    <row r="4956" spans="1:10" ht="15.75" hidden="1" thickBot="1" x14ac:dyDescent="0.3">
      <c r="A4956" s="175"/>
      <c r="B4956" s="178"/>
      <c r="C4956" s="49"/>
      <c r="D4956" s="49"/>
      <c r="E4956" s="50"/>
      <c r="F4956" s="51" t="s">
        <v>13</v>
      </c>
      <c r="G4956" s="52" t="str">
        <f>IF(ISNUMBER(F4956),E4956*F4956,"")</f>
        <v/>
      </c>
      <c r="H4956" s="53"/>
      <c r="I4956" s="38"/>
      <c r="J4956" s="37">
        <v>0</v>
      </c>
    </row>
    <row r="4957" spans="1:10" ht="15.75" hidden="1" thickBot="1" x14ac:dyDescent="0.3">
      <c r="A4957" s="173" t="s">
        <v>1176</v>
      </c>
      <c r="B4957" s="176" t="s">
        <v>4754</v>
      </c>
      <c r="C4957" s="31"/>
      <c r="D4957" s="32" t="s">
        <v>106</v>
      </c>
      <c r="E4957" s="33"/>
      <c r="F4957" s="54" t="s">
        <v>13</v>
      </c>
      <c r="G4957" s="34" t="str">
        <f>IF(ISNUMBER(F4957),E4957*F4957,"")</f>
        <v/>
      </c>
      <c r="H4957" s="35"/>
      <c r="I4957" s="36"/>
      <c r="J4957" s="37">
        <v>0</v>
      </c>
    </row>
    <row r="4958" spans="1:10" hidden="1" x14ac:dyDescent="0.25">
      <c r="A4958" s="174"/>
      <c r="B4958" s="177"/>
      <c r="C4958" s="39"/>
      <c r="D4958" s="39"/>
      <c r="E4958" s="40"/>
      <c r="F4958" s="55" t="s">
        <v>13</v>
      </c>
      <c r="G4958" s="41" t="str">
        <f>IF(ISNUMBER(F4958),E4958*F4958,"")</f>
        <v/>
      </c>
      <c r="H4958" s="42"/>
      <c r="I4958" s="38"/>
      <c r="J4958" s="37">
        <v>0</v>
      </c>
    </row>
    <row r="4959" spans="1:10" hidden="1" x14ac:dyDescent="0.25">
      <c r="A4959" s="174"/>
      <c r="B4959" s="177"/>
      <c r="C4959" s="43" t="s">
        <v>10831</v>
      </c>
      <c r="D4959" s="43" t="s">
        <v>2800</v>
      </c>
      <c r="E4959" s="44">
        <v>0.3</v>
      </c>
      <c r="F4959" s="41">
        <v>28.6615</v>
      </c>
      <c r="G4959" s="41">
        <f>IF(ISNUMBER(F4959),E4959*F4959,"")</f>
        <v>8.5984499999999997</v>
      </c>
      <c r="H4959" s="46">
        <f>SUM(G4959:G4960)</f>
        <v>19.217967999999999</v>
      </c>
      <c r="I4959" s="47"/>
      <c r="J4959" s="37">
        <v>0</v>
      </c>
    </row>
    <row r="4960" spans="1:10" hidden="1" x14ac:dyDescent="0.25">
      <c r="A4960" s="174"/>
      <c r="B4960" s="177"/>
      <c r="C4960" s="43" t="s">
        <v>11030</v>
      </c>
      <c r="D4960" s="43" t="s">
        <v>1044</v>
      </c>
      <c r="E4960" s="44">
        <v>0.25900000000000001</v>
      </c>
      <c r="F4960" s="38">
        <v>41.001999999999995</v>
      </c>
      <c r="G4960" s="41">
        <f>IF(ISNUMBER(F4960),E4960*F4960,"")</f>
        <v>10.619517999999999</v>
      </c>
      <c r="H4960" s="42"/>
      <c r="I4960" s="38"/>
      <c r="J4960" s="37">
        <v>0</v>
      </c>
    </row>
    <row r="4961" spans="1:10" hidden="1" x14ac:dyDescent="0.25">
      <c r="A4961" s="174"/>
      <c r="B4961" s="177"/>
      <c r="C4961" s="43"/>
      <c r="D4961" s="43"/>
      <c r="E4961" s="44"/>
      <c r="F4961" s="38" t="s">
        <v>13</v>
      </c>
      <c r="G4961" s="41" t="str">
        <f>IF(ISNUMBER(F4961),E4961*F4961,"")</f>
        <v/>
      </c>
      <c r="H4961" s="42"/>
      <c r="I4961" s="38"/>
      <c r="J4961" s="37">
        <v>0</v>
      </c>
    </row>
    <row r="4962" spans="1:10" hidden="1" x14ac:dyDescent="0.25">
      <c r="A4962" s="174"/>
      <c r="B4962" s="177"/>
      <c r="C4962" s="65" t="s">
        <v>1177</v>
      </c>
      <c r="D4962" s="43"/>
      <c r="E4962" s="44"/>
      <c r="F4962" s="38" t="s">
        <v>13</v>
      </c>
      <c r="G4962" s="41" t="str">
        <f>IF(ISNUMBER(F4962),E4962*F4962,"")</f>
        <v/>
      </c>
      <c r="H4962" s="42"/>
      <c r="I4962" s="38"/>
      <c r="J4962" s="37">
        <v>0</v>
      </c>
    </row>
    <row r="4963" spans="1:10" hidden="1" x14ac:dyDescent="0.25">
      <c r="A4963" s="174"/>
      <c r="B4963" s="177"/>
      <c r="C4963" s="65" t="s">
        <v>1169</v>
      </c>
      <c r="D4963" s="43"/>
      <c r="E4963" s="44"/>
      <c r="F4963" s="38" t="s">
        <v>13</v>
      </c>
      <c r="G4963" s="41" t="str">
        <f>IF(ISNUMBER(F4963),E4963*F4963,"")</f>
        <v/>
      </c>
      <c r="H4963" s="42"/>
      <c r="I4963" s="38"/>
      <c r="J4963" s="37">
        <v>0</v>
      </c>
    </row>
    <row r="4964" spans="1:10" ht="15.75" hidden="1" thickBot="1" x14ac:dyDescent="0.3">
      <c r="A4964" s="175"/>
      <c r="B4964" s="178"/>
      <c r="C4964" s="49"/>
      <c r="D4964" s="49"/>
      <c r="E4964" s="50"/>
      <c r="F4964" s="51" t="s">
        <v>13</v>
      </c>
      <c r="G4964" s="52" t="str">
        <f>IF(ISNUMBER(F4964),E4964*F4964,"")</f>
        <v/>
      </c>
      <c r="H4964" s="53"/>
      <c r="I4964" s="38"/>
      <c r="J4964" s="37">
        <v>0</v>
      </c>
    </row>
    <row r="4965" spans="1:10" ht="15.75" hidden="1" thickBot="1" x14ac:dyDescent="0.3">
      <c r="A4965" s="173" t="s">
        <v>1178</v>
      </c>
      <c r="B4965" s="176" t="s">
        <v>4755</v>
      </c>
      <c r="C4965" s="31"/>
      <c r="D4965" s="32" t="s">
        <v>106</v>
      </c>
      <c r="E4965" s="33"/>
      <c r="F4965" s="54" t="s">
        <v>13</v>
      </c>
      <c r="G4965" s="34" t="str">
        <f>IF(ISNUMBER(F4965),E4965*F4965,"")</f>
        <v/>
      </c>
      <c r="H4965" s="35"/>
      <c r="I4965" s="36"/>
      <c r="J4965" s="37">
        <v>0</v>
      </c>
    </row>
    <row r="4966" spans="1:10" hidden="1" x14ac:dyDescent="0.25">
      <c r="A4966" s="174"/>
      <c r="B4966" s="177"/>
      <c r="C4966" s="39"/>
      <c r="D4966" s="39"/>
      <c r="E4966" s="40"/>
      <c r="F4966" s="55" t="s">
        <v>13</v>
      </c>
      <c r="G4966" s="41" t="str">
        <f>IF(ISNUMBER(F4966),E4966*F4966,"")</f>
        <v/>
      </c>
      <c r="H4966" s="42"/>
      <c r="I4966" s="38"/>
      <c r="J4966" s="37">
        <v>0</v>
      </c>
    </row>
    <row r="4967" spans="1:10" hidden="1" x14ac:dyDescent="0.25">
      <c r="A4967" s="174"/>
      <c r="B4967" s="177"/>
      <c r="C4967" s="43" t="s">
        <v>10831</v>
      </c>
      <c r="D4967" s="43" t="s">
        <v>2800</v>
      </c>
      <c r="E4967" s="44">
        <v>0.3</v>
      </c>
      <c r="F4967" s="41">
        <v>28.6615</v>
      </c>
      <c r="G4967" s="41">
        <f>IF(ISNUMBER(F4967),E4967*F4967,"")</f>
        <v>8.5984499999999997</v>
      </c>
      <c r="H4967" s="46">
        <f>SUM(G4967:G4968)</f>
        <v>30.575521999999999</v>
      </c>
      <c r="I4967" s="47"/>
      <c r="J4967" s="37">
        <v>0</v>
      </c>
    </row>
    <row r="4968" spans="1:10" hidden="1" x14ac:dyDescent="0.25">
      <c r="A4968" s="174"/>
      <c r="B4968" s="177"/>
      <c r="C4968" s="43" t="s">
        <v>11030</v>
      </c>
      <c r="D4968" s="43" t="s">
        <v>1044</v>
      </c>
      <c r="E4968" s="44">
        <v>0.53600000000000003</v>
      </c>
      <c r="F4968" s="38">
        <v>41.001999999999995</v>
      </c>
      <c r="G4968" s="41">
        <f>IF(ISNUMBER(F4968),E4968*F4968,"")</f>
        <v>21.977072</v>
      </c>
      <c r="H4968" s="42"/>
      <c r="I4968" s="38"/>
      <c r="J4968" s="37">
        <v>0</v>
      </c>
    </row>
    <row r="4969" spans="1:10" hidden="1" x14ac:dyDescent="0.25">
      <c r="A4969" s="174"/>
      <c r="B4969" s="177"/>
      <c r="C4969" s="43"/>
      <c r="D4969" s="43"/>
      <c r="E4969" s="44"/>
      <c r="F4969" s="38" t="s">
        <v>13</v>
      </c>
      <c r="G4969" s="41" t="str">
        <f>IF(ISNUMBER(F4969),E4969*F4969,"")</f>
        <v/>
      </c>
      <c r="H4969" s="42"/>
      <c r="I4969" s="38"/>
      <c r="J4969" s="37">
        <v>0</v>
      </c>
    </row>
    <row r="4970" spans="1:10" hidden="1" x14ac:dyDescent="0.25">
      <c r="A4970" s="174"/>
      <c r="B4970" s="177"/>
      <c r="C4970" s="65" t="s">
        <v>1179</v>
      </c>
      <c r="D4970" s="43"/>
      <c r="E4970" s="44"/>
      <c r="F4970" s="38" t="s">
        <v>13</v>
      </c>
      <c r="G4970" s="41" t="str">
        <f>IF(ISNUMBER(F4970),E4970*F4970,"")</f>
        <v/>
      </c>
      <c r="H4970" s="42"/>
      <c r="I4970" s="38"/>
      <c r="J4970" s="37">
        <v>0</v>
      </c>
    </row>
    <row r="4971" spans="1:10" hidden="1" x14ac:dyDescent="0.25">
      <c r="A4971" s="174"/>
      <c r="B4971" s="177"/>
      <c r="C4971" s="65" t="s">
        <v>1169</v>
      </c>
      <c r="D4971" s="43"/>
      <c r="E4971" s="44"/>
      <c r="F4971" s="38" t="s">
        <v>13</v>
      </c>
      <c r="G4971" s="41" t="str">
        <f>IF(ISNUMBER(F4971),E4971*F4971,"")</f>
        <v/>
      </c>
      <c r="H4971" s="42"/>
      <c r="I4971" s="38"/>
      <c r="J4971" s="37">
        <v>0</v>
      </c>
    </row>
    <row r="4972" spans="1:10" ht="15.75" hidden="1" thickBot="1" x14ac:dyDescent="0.3">
      <c r="A4972" s="175"/>
      <c r="B4972" s="178"/>
      <c r="C4972" s="49"/>
      <c r="D4972" s="49"/>
      <c r="E4972" s="50"/>
      <c r="F4972" s="51" t="s">
        <v>13</v>
      </c>
      <c r="G4972" s="52" t="str">
        <f>IF(ISNUMBER(F4972),E4972*F4972,"")</f>
        <v/>
      </c>
      <c r="H4972" s="53"/>
      <c r="I4972" s="38"/>
      <c r="J4972" s="37">
        <v>0</v>
      </c>
    </row>
    <row r="4973" spans="1:10" ht="15.75" hidden="1" thickBot="1" x14ac:dyDescent="0.3">
      <c r="A4973" s="173" t="s">
        <v>1180</v>
      </c>
      <c r="B4973" s="176" t="s">
        <v>4756</v>
      </c>
      <c r="C4973" s="31"/>
      <c r="D4973" s="32" t="s">
        <v>106</v>
      </c>
      <c r="E4973" s="33"/>
      <c r="F4973" s="54" t="s">
        <v>13</v>
      </c>
      <c r="G4973" s="34" t="str">
        <f>IF(ISNUMBER(F4973),E4973*F4973,"")</f>
        <v/>
      </c>
      <c r="H4973" s="35"/>
      <c r="I4973" s="36"/>
      <c r="J4973" s="37">
        <v>0</v>
      </c>
    </row>
    <row r="4974" spans="1:10" hidden="1" x14ac:dyDescent="0.25">
      <c r="A4974" s="174"/>
      <c r="B4974" s="177"/>
      <c r="C4974" s="39"/>
      <c r="D4974" s="39"/>
      <c r="E4974" s="40"/>
      <c r="F4974" s="55" t="s">
        <v>13</v>
      </c>
      <c r="G4974" s="41" t="str">
        <f>IF(ISNUMBER(F4974),E4974*F4974,"")</f>
        <v/>
      </c>
      <c r="H4974" s="42"/>
      <c r="I4974" s="38"/>
      <c r="J4974" s="37">
        <v>0</v>
      </c>
    </row>
    <row r="4975" spans="1:10" hidden="1" x14ac:dyDescent="0.25">
      <c r="A4975" s="174"/>
      <c r="B4975" s="177"/>
      <c r="C4975" s="43" t="s">
        <v>10831</v>
      </c>
      <c r="D4975" s="43" t="s">
        <v>2800</v>
      </c>
      <c r="E4975" s="44">
        <v>0.2</v>
      </c>
      <c r="F4975" s="41">
        <v>28.6615</v>
      </c>
      <c r="G4975" s="41">
        <f>IF(ISNUMBER(F4975),E4975*F4975,"")</f>
        <v>5.7323000000000004</v>
      </c>
      <c r="H4975" s="46">
        <f>SUM(G4975:G4976)</f>
        <v>10.037510000000001</v>
      </c>
      <c r="I4975" s="47"/>
      <c r="J4975" s="37">
        <v>0</v>
      </c>
    </row>
    <row r="4976" spans="1:10" hidden="1" x14ac:dyDescent="0.25">
      <c r="A4976" s="174"/>
      <c r="B4976" s="177"/>
      <c r="C4976" s="43" t="s">
        <v>11030</v>
      </c>
      <c r="D4976" s="43" t="s">
        <v>1044</v>
      </c>
      <c r="E4976" s="44">
        <v>0.105</v>
      </c>
      <c r="F4976" s="38">
        <v>41.001999999999995</v>
      </c>
      <c r="G4976" s="41">
        <f>IF(ISNUMBER(F4976),E4976*F4976,"")</f>
        <v>4.3052099999999998</v>
      </c>
      <c r="H4976" s="42"/>
      <c r="I4976" s="38"/>
      <c r="J4976" s="37">
        <v>0</v>
      </c>
    </row>
    <row r="4977" spans="1:10" hidden="1" x14ac:dyDescent="0.25">
      <c r="A4977" s="174"/>
      <c r="B4977" s="177"/>
      <c r="C4977" s="43"/>
      <c r="D4977" s="43"/>
      <c r="E4977" s="44"/>
      <c r="F4977" s="38" t="s">
        <v>13</v>
      </c>
      <c r="G4977" s="41" t="str">
        <f>IF(ISNUMBER(F4977),E4977*F4977,"")</f>
        <v/>
      </c>
      <c r="H4977" s="42"/>
      <c r="I4977" s="38"/>
      <c r="J4977" s="37">
        <v>0</v>
      </c>
    </row>
    <row r="4978" spans="1:10" hidden="1" x14ac:dyDescent="0.25">
      <c r="A4978" s="174"/>
      <c r="B4978" s="177"/>
      <c r="C4978" s="65" t="s">
        <v>1181</v>
      </c>
      <c r="D4978" s="43"/>
      <c r="E4978" s="44"/>
      <c r="F4978" s="38" t="s">
        <v>13</v>
      </c>
      <c r="G4978" s="41" t="str">
        <f>IF(ISNUMBER(F4978),E4978*F4978,"")</f>
        <v/>
      </c>
      <c r="H4978" s="42"/>
      <c r="I4978" s="38"/>
      <c r="J4978" s="37">
        <v>0</v>
      </c>
    </row>
    <row r="4979" spans="1:10" hidden="1" x14ac:dyDescent="0.25">
      <c r="A4979" s="174"/>
      <c r="B4979" s="177"/>
      <c r="C4979" s="65" t="s">
        <v>1169</v>
      </c>
      <c r="D4979" s="43"/>
      <c r="E4979" s="44"/>
      <c r="F4979" s="38" t="s">
        <v>13</v>
      </c>
      <c r="G4979" s="41" t="str">
        <f>IF(ISNUMBER(F4979),E4979*F4979,"")</f>
        <v/>
      </c>
      <c r="H4979" s="42"/>
      <c r="I4979" s="38"/>
      <c r="J4979" s="37">
        <v>0</v>
      </c>
    </row>
    <row r="4980" spans="1:10" ht="15.75" hidden="1" thickBot="1" x14ac:dyDescent="0.3">
      <c r="A4980" s="175"/>
      <c r="B4980" s="178"/>
      <c r="C4980" s="49"/>
      <c r="D4980" s="49"/>
      <c r="E4980" s="50"/>
      <c r="F4980" s="51" t="s">
        <v>13</v>
      </c>
      <c r="G4980" s="52" t="str">
        <f>IF(ISNUMBER(F4980),E4980*F4980,"")</f>
        <v/>
      </c>
      <c r="H4980" s="53"/>
      <c r="I4980" s="38"/>
      <c r="J4980" s="37">
        <v>0</v>
      </c>
    </row>
    <row r="4981" spans="1:10" ht="15.75" hidden="1" thickBot="1" x14ac:dyDescent="0.3">
      <c r="A4981" s="173" t="s">
        <v>1182</v>
      </c>
      <c r="B4981" s="176" t="s">
        <v>4757</v>
      </c>
      <c r="C4981" s="31"/>
      <c r="D4981" s="32" t="s">
        <v>106</v>
      </c>
      <c r="E4981" s="33"/>
      <c r="F4981" s="54" t="s">
        <v>13</v>
      </c>
      <c r="G4981" s="34" t="str">
        <f>IF(ISNUMBER(F4981),E4981*F4981,"")</f>
        <v/>
      </c>
      <c r="H4981" s="35"/>
      <c r="I4981" s="36"/>
      <c r="J4981" s="37">
        <v>0</v>
      </c>
    </row>
    <row r="4982" spans="1:10" hidden="1" x14ac:dyDescent="0.25">
      <c r="A4982" s="174"/>
      <c r="B4982" s="177"/>
      <c r="C4982" s="39"/>
      <c r="D4982" s="39"/>
      <c r="E4982" s="40"/>
      <c r="F4982" s="55" t="s">
        <v>13</v>
      </c>
      <c r="G4982" s="41" t="str">
        <f>IF(ISNUMBER(F4982),E4982*F4982,"")</f>
        <v/>
      </c>
      <c r="H4982" s="42"/>
      <c r="I4982" s="38"/>
      <c r="J4982" s="37">
        <v>0</v>
      </c>
    </row>
    <row r="4983" spans="1:10" hidden="1" x14ac:dyDescent="0.25">
      <c r="A4983" s="174"/>
      <c r="B4983" s="177"/>
      <c r="C4983" s="43" t="s">
        <v>10831</v>
      </c>
      <c r="D4983" s="43" t="s">
        <v>2800</v>
      </c>
      <c r="E4983" s="44">
        <v>0.2</v>
      </c>
      <c r="F4983" s="41">
        <v>28.6615</v>
      </c>
      <c r="G4983" s="41">
        <f>IF(ISNUMBER(F4983),E4983*F4983,"")</f>
        <v>5.7323000000000004</v>
      </c>
      <c r="H4983" s="46">
        <f>SUM(G4983:G4984)</f>
        <v>10.611537999999999</v>
      </c>
      <c r="I4983" s="47"/>
      <c r="J4983" s="37">
        <v>0</v>
      </c>
    </row>
    <row r="4984" spans="1:10" hidden="1" x14ac:dyDescent="0.25">
      <c r="A4984" s="174"/>
      <c r="B4984" s="177"/>
      <c r="C4984" s="43" t="s">
        <v>11030</v>
      </c>
      <c r="D4984" s="43" t="s">
        <v>1044</v>
      </c>
      <c r="E4984" s="44">
        <v>0.11899999999999999</v>
      </c>
      <c r="F4984" s="38">
        <v>41.001999999999995</v>
      </c>
      <c r="G4984" s="41">
        <f>IF(ISNUMBER(F4984),E4984*F4984,"")</f>
        <v>4.8792379999999991</v>
      </c>
      <c r="H4984" s="42"/>
      <c r="I4984" s="38"/>
      <c r="J4984" s="37">
        <v>0</v>
      </c>
    </row>
    <row r="4985" spans="1:10" hidden="1" x14ac:dyDescent="0.25">
      <c r="A4985" s="174"/>
      <c r="B4985" s="177"/>
      <c r="C4985" s="43"/>
      <c r="D4985" s="43"/>
      <c r="E4985" s="44"/>
      <c r="F4985" s="38" t="s">
        <v>13</v>
      </c>
      <c r="G4985" s="41" t="str">
        <f>IF(ISNUMBER(F4985),E4985*F4985,"")</f>
        <v/>
      </c>
      <c r="H4985" s="42"/>
      <c r="I4985" s="38"/>
      <c r="J4985" s="37">
        <v>0</v>
      </c>
    </row>
    <row r="4986" spans="1:10" hidden="1" x14ac:dyDescent="0.25">
      <c r="A4986" s="174"/>
      <c r="B4986" s="177"/>
      <c r="C4986" s="65" t="s">
        <v>1183</v>
      </c>
      <c r="D4986" s="43"/>
      <c r="E4986" s="44"/>
      <c r="F4986" s="38" t="s">
        <v>13</v>
      </c>
      <c r="G4986" s="41" t="str">
        <f>IF(ISNUMBER(F4986),E4986*F4986,"")</f>
        <v/>
      </c>
      <c r="H4986" s="42"/>
      <c r="I4986" s="38"/>
      <c r="J4986" s="37">
        <v>0</v>
      </c>
    </row>
    <row r="4987" spans="1:10" hidden="1" x14ac:dyDescent="0.25">
      <c r="A4987" s="174"/>
      <c r="B4987" s="177"/>
      <c r="C4987" s="65" t="s">
        <v>1169</v>
      </c>
      <c r="D4987" s="43"/>
      <c r="E4987" s="44"/>
      <c r="F4987" s="38" t="s">
        <v>13</v>
      </c>
      <c r="G4987" s="41" t="str">
        <f>IF(ISNUMBER(F4987),E4987*F4987,"")</f>
        <v/>
      </c>
      <c r="H4987" s="42"/>
      <c r="I4987" s="38"/>
      <c r="J4987" s="37">
        <v>0</v>
      </c>
    </row>
    <row r="4988" spans="1:10" ht="15.75" hidden="1" thickBot="1" x14ac:dyDescent="0.3">
      <c r="A4988" s="175"/>
      <c r="B4988" s="178"/>
      <c r="C4988" s="49"/>
      <c r="D4988" s="49"/>
      <c r="E4988" s="50"/>
      <c r="F4988" s="51" t="s">
        <v>13</v>
      </c>
      <c r="G4988" s="52" t="str">
        <f>IF(ISNUMBER(F4988),E4988*F4988,"")</f>
        <v/>
      </c>
      <c r="H4988" s="53"/>
      <c r="I4988" s="38"/>
      <c r="J4988" s="37">
        <v>0</v>
      </c>
    </row>
    <row r="4989" spans="1:10" ht="15.75" hidden="1" thickBot="1" x14ac:dyDescent="0.3">
      <c r="A4989" s="173" t="s">
        <v>1184</v>
      </c>
      <c r="B4989" s="176" t="s">
        <v>4758</v>
      </c>
      <c r="C4989" s="31"/>
      <c r="D4989" s="32" t="s">
        <v>18</v>
      </c>
      <c r="E4989" s="33"/>
      <c r="F4989" s="54" t="s">
        <v>13</v>
      </c>
      <c r="G4989" s="34" t="str">
        <f>IF(ISNUMBER(F4989),E4989*F4989,"")</f>
        <v/>
      </c>
      <c r="H4989" s="35"/>
      <c r="I4989" s="36"/>
      <c r="J4989" s="37">
        <v>0</v>
      </c>
    </row>
    <row r="4990" spans="1:10" hidden="1" x14ac:dyDescent="0.25">
      <c r="A4990" s="174"/>
      <c r="B4990" s="177"/>
      <c r="C4990" s="39"/>
      <c r="D4990" s="39"/>
      <c r="E4990" s="40"/>
      <c r="F4990" s="55" t="s">
        <v>13</v>
      </c>
      <c r="G4990" s="38" t="str">
        <f>IF(ISNUMBER(F4990),E4990*F4990,"")</f>
        <v/>
      </c>
      <c r="H4990" s="42"/>
      <c r="I4990" s="38"/>
      <c r="J4990" s="37">
        <v>0</v>
      </c>
    </row>
    <row r="4991" spans="1:10" ht="25.5" hidden="1" x14ac:dyDescent="0.25">
      <c r="A4991" s="174"/>
      <c r="B4991" s="177"/>
      <c r="C4991" s="43" t="s">
        <v>1185</v>
      </c>
      <c r="D4991" s="62" t="s">
        <v>83</v>
      </c>
      <c r="E4991" s="44">
        <v>1</v>
      </c>
      <c r="F4991" s="41" t="s">
        <v>13</v>
      </c>
      <c r="G4991" s="41" t="str">
        <f>IF(ISNUMBER(F4991),E4991*F4991,"")</f>
        <v/>
      </c>
      <c r="H4991" s="46">
        <f>SUM(G4991:G4997)</f>
        <v>84.426995899999994</v>
      </c>
      <c r="I4991" s="47"/>
      <c r="J4991" s="37">
        <v>0</v>
      </c>
    </row>
    <row r="4992" spans="1:10" ht="25.5" hidden="1" x14ac:dyDescent="0.25">
      <c r="A4992" s="174"/>
      <c r="B4992" s="177"/>
      <c r="C4992" s="43" t="s">
        <v>211</v>
      </c>
      <c r="D4992" s="43" t="s">
        <v>18</v>
      </c>
      <c r="E4992" s="44">
        <v>1</v>
      </c>
      <c r="F4992" s="41" t="s">
        <v>13</v>
      </c>
      <c r="G4992" s="41" t="str">
        <f>IF(ISNUMBER(F4992),E4992*F4992,"")</f>
        <v/>
      </c>
      <c r="H4992" s="42"/>
      <c r="I4992" s="38"/>
      <c r="J4992" s="37">
        <v>0</v>
      </c>
    </row>
    <row r="4993" spans="1:10" ht="38.25" hidden="1" x14ac:dyDescent="0.25">
      <c r="A4993" s="174"/>
      <c r="B4993" s="177"/>
      <c r="C4993" s="43" t="s">
        <v>10914</v>
      </c>
      <c r="D4993" s="43" t="s">
        <v>83</v>
      </c>
      <c r="E4993" s="44">
        <v>2</v>
      </c>
      <c r="F4993" s="41">
        <v>19.741</v>
      </c>
      <c r="G4993" s="41">
        <f>IF(ISNUMBER(F4993),E4993*F4993,"")</f>
        <v>39.481999999999999</v>
      </c>
      <c r="H4993" s="42"/>
      <c r="I4993" s="38"/>
      <c r="J4993" s="37">
        <v>0</v>
      </c>
    </row>
    <row r="4994" spans="1:10" ht="25.5" hidden="1" x14ac:dyDescent="0.25">
      <c r="A4994" s="174"/>
      <c r="B4994" s="177"/>
      <c r="C4994" s="43" t="s">
        <v>10897</v>
      </c>
      <c r="D4994" s="43" t="s">
        <v>83</v>
      </c>
      <c r="E4994" s="44">
        <v>1</v>
      </c>
      <c r="F4994" s="41">
        <v>15.266499999999999</v>
      </c>
      <c r="G4994" s="70">
        <f>IF(ISNUMBER(F4994),E4994*F4994,"")</f>
        <v>15.266499999999999</v>
      </c>
      <c r="H4994" s="42"/>
      <c r="I4994" s="38"/>
      <c r="J4994" s="37">
        <v>0</v>
      </c>
    </row>
    <row r="4995" spans="1:10" hidden="1" x14ac:dyDescent="0.25">
      <c r="A4995" s="174"/>
      <c r="B4995" s="177"/>
      <c r="C4995" s="43" t="s">
        <v>10877</v>
      </c>
      <c r="D4995" s="43" t="s">
        <v>1044</v>
      </c>
      <c r="E4995" s="44">
        <v>8.8099999999999998E-2</v>
      </c>
      <c r="F4995" s="41">
        <v>71.667999999999992</v>
      </c>
      <c r="G4995" s="41">
        <f>IF(ISNUMBER(F4995),E4995*F4995,"")</f>
        <v>6.3139507999999989</v>
      </c>
      <c r="H4995" s="42"/>
      <c r="I4995" s="38"/>
      <c r="J4995" s="37">
        <v>0</v>
      </c>
    </row>
    <row r="4996" spans="1:10" ht="25.5" hidden="1" x14ac:dyDescent="0.25">
      <c r="A4996" s="174"/>
      <c r="B4996" s="177"/>
      <c r="C4996" s="43" t="s">
        <v>10754</v>
      </c>
      <c r="D4996" s="43" t="s">
        <v>2800</v>
      </c>
      <c r="E4996" s="44">
        <v>0.49680000000000002</v>
      </c>
      <c r="F4996" s="38">
        <v>30.361999999999998</v>
      </c>
      <c r="G4996" s="41">
        <f>IF(ISNUMBER(F4996),E4996*F4996,"")</f>
        <v>15.0838416</v>
      </c>
      <c r="H4996" s="42"/>
      <c r="I4996" s="38"/>
      <c r="J4996" s="37">
        <v>0</v>
      </c>
    </row>
    <row r="4997" spans="1:10" hidden="1" x14ac:dyDescent="0.25">
      <c r="A4997" s="174"/>
      <c r="B4997" s="177"/>
      <c r="C4997" s="43" t="s">
        <v>10614</v>
      </c>
      <c r="D4997" s="43" t="s">
        <v>2800</v>
      </c>
      <c r="E4997" s="44">
        <v>0.34949999999999998</v>
      </c>
      <c r="F4997" s="38">
        <v>23.693000000000001</v>
      </c>
      <c r="G4997" s="41">
        <f>IF(ISNUMBER(F4997),E4997*F4997,"")</f>
        <v>8.2807034999999996</v>
      </c>
      <c r="H4997" s="42"/>
      <c r="I4997" s="38"/>
      <c r="J4997" s="37">
        <v>0</v>
      </c>
    </row>
    <row r="4998" spans="1:10" ht="15.75" hidden="1" thickBot="1" x14ac:dyDescent="0.3">
      <c r="A4998" s="175"/>
      <c r="B4998" s="178"/>
      <c r="C4998" s="49"/>
      <c r="D4998" s="49"/>
      <c r="E4998" s="50"/>
      <c r="F4998" s="51" t="s">
        <v>13</v>
      </c>
      <c r="G4998" s="51" t="str">
        <f>IF(ISNUMBER(F4998),E4998*F4998,"")</f>
        <v/>
      </c>
      <c r="H4998" s="53"/>
      <c r="I4998" s="38"/>
      <c r="J4998" s="37">
        <v>0</v>
      </c>
    </row>
    <row r="4999" spans="1:10" ht="15.75" hidden="1" thickBot="1" x14ac:dyDescent="0.3">
      <c r="A4999" s="173" t="s">
        <v>1186</v>
      </c>
      <c r="B4999" s="176" t="s">
        <v>4759</v>
      </c>
      <c r="C4999" s="31"/>
      <c r="D4999" s="32" t="s">
        <v>18</v>
      </c>
      <c r="E4999" s="33"/>
      <c r="F4999" s="54" t="s">
        <v>13</v>
      </c>
      <c r="G4999" s="34" t="str">
        <f>IF(ISNUMBER(F4999),E4999*F4999,"")</f>
        <v/>
      </c>
      <c r="H4999" s="35"/>
      <c r="I4999" s="36"/>
      <c r="J4999" s="37">
        <v>0</v>
      </c>
    </row>
    <row r="5000" spans="1:10" hidden="1" x14ac:dyDescent="0.25">
      <c r="A5000" s="174"/>
      <c r="B5000" s="177"/>
      <c r="C5000" s="39"/>
      <c r="D5000" s="39"/>
      <c r="E5000" s="40"/>
      <c r="F5000" s="55" t="s">
        <v>13</v>
      </c>
      <c r="G5000" s="38" t="str">
        <f>IF(ISNUMBER(F5000),E5000*F5000,"")</f>
        <v/>
      </c>
      <c r="H5000" s="42"/>
      <c r="I5000" s="38"/>
      <c r="J5000" s="37">
        <v>0</v>
      </c>
    </row>
    <row r="5001" spans="1:10" hidden="1" x14ac:dyDescent="0.25">
      <c r="A5001" s="174"/>
      <c r="B5001" s="177"/>
      <c r="C5001" s="43" t="s">
        <v>1187</v>
      </c>
      <c r="D5001" s="62" t="s">
        <v>83</v>
      </c>
      <c r="E5001" s="44">
        <v>1</v>
      </c>
      <c r="F5001" s="41" t="s">
        <v>13</v>
      </c>
      <c r="G5001" s="41" t="str">
        <f>IF(ISNUMBER(F5001),E5001*F5001,"")</f>
        <v/>
      </c>
      <c r="H5001" s="46">
        <f>SUM(G5001:G5006)</f>
        <v>84.426995899999994</v>
      </c>
      <c r="I5001" s="47"/>
      <c r="J5001" s="37">
        <v>0</v>
      </c>
    </row>
    <row r="5002" spans="1:10" ht="25.5" hidden="1" x14ac:dyDescent="0.25">
      <c r="A5002" s="174"/>
      <c r="B5002" s="177"/>
      <c r="C5002" s="43" t="s">
        <v>10897</v>
      </c>
      <c r="D5002" s="43" t="s">
        <v>83</v>
      </c>
      <c r="E5002" s="44">
        <v>1</v>
      </c>
      <c r="F5002" s="41">
        <v>15.266499999999999</v>
      </c>
      <c r="G5002" s="70">
        <f>IF(ISNUMBER(F5002),E5002*F5002,"")</f>
        <v>15.266499999999999</v>
      </c>
      <c r="H5002" s="42"/>
      <c r="I5002" s="38"/>
      <c r="J5002" s="37">
        <v>0</v>
      </c>
    </row>
    <row r="5003" spans="1:10" ht="38.25" hidden="1" x14ac:dyDescent="0.25">
      <c r="A5003" s="174"/>
      <c r="B5003" s="177"/>
      <c r="C5003" s="43" t="s">
        <v>10914</v>
      </c>
      <c r="D5003" s="43" t="s">
        <v>83</v>
      </c>
      <c r="E5003" s="44">
        <v>2</v>
      </c>
      <c r="F5003" s="41">
        <v>19.741</v>
      </c>
      <c r="G5003" s="41">
        <f>IF(ISNUMBER(F5003),E5003*F5003,"")</f>
        <v>39.481999999999999</v>
      </c>
      <c r="H5003" s="42"/>
      <c r="I5003" s="38"/>
      <c r="J5003" s="37">
        <v>0</v>
      </c>
    </row>
    <row r="5004" spans="1:10" hidden="1" x14ac:dyDescent="0.25">
      <c r="A5004" s="174"/>
      <c r="B5004" s="177"/>
      <c r="C5004" s="43" t="s">
        <v>10877</v>
      </c>
      <c r="D5004" s="43" t="s">
        <v>1044</v>
      </c>
      <c r="E5004" s="44">
        <v>8.8099999999999998E-2</v>
      </c>
      <c r="F5004" s="41">
        <v>71.667999999999992</v>
      </c>
      <c r="G5004" s="41">
        <f>IF(ISNUMBER(F5004),E5004*F5004,"")</f>
        <v>6.3139507999999989</v>
      </c>
      <c r="H5004" s="42"/>
      <c r="I5004" s="38"/>
      <c r="J5004" s="37">
        <v>0</v>
      </c>
    </row>
    <row r="5005" spans="1:10" ht="25.5" hidden="1" x14ac:dyDescent="0.25">
      <c r="A5005" s="174"/>
      <c r="B5005" s="177"/>
      <c r="C5005" s="43" t="s">
        <v>10754</v>
      </c>
      <c r="D5005" s="43" t="s">
        <v>2800</v>
      </c>
      <c r="E5005" s="44">
        <v>0.49680000000000002</v>
      </c>
      <c r="F5005" s="38">
        <v>30.361999999999998</v>
      </c>
      <c r="G5005" s="41">
        <f>IF(ISNUMBER(F5005),E5005*F5005,"")</f>
        <v>15.0838416</v>
      </c>
      <c r="H5005" s="42"/>
      <c r="I5005" s="38"/>
      <c r="J5005" s="37">
        <v>0</v>
      </c>
    </row>
    <row r="5006" spans="1:10" hidden="1" x14ac:dyDescent="0.25">
      <c r="A5006" s="174"/>
      <c r="B5006" s="177"/>
      <c r="C5006" s="43" t="s">
        <v>10614</v>
      </c>
      <c r="D5006" s="43" t="s">
        <v>2800</v>
      </c>
      <c r="E5006" s="44">
        <v>0.34949999999999998</v>
      </c>
      <c r="F5006" s="38">
        <v>23.693000000000001</v>
      </c>
      <c r="G5006" s="41">
        <f>IF(ISNUMBER(F5006),E5006*F5006,"")</f>
        <v>8.2807034999999996</v>
      </c>
      <c r="H5006" s="42"/>
      <c r="I5006" s="38"/>
      <c r="J5006" s="37">
        <v>0</v>
      </c>
    </row>
    <row r="5007" spans="1:10" ht="15.75" hidden="1" thickBot="1" x14ac:dyDescent="0.3">
      <c r="A5007" s="175"/>
      <c r="B5007" s="178"/>
      <c r="C5007" s="49"/>
      <c r="D5007" s="49"/>
      <c r="E5007" s="50"/>
      <c r="F5007" s="51" t="s">
        <v>13</v>
      </c>
      <c r="G5007" s="51" t="str">
        <f>IF(ISNUMBER(F5007),E5007*F5007,"")</f>
        <v/>
      </c>
      <c r="H5007" s="53"/>
      <c r="I5007" s="38"/>
      <c r="J5007" s="37">
        <v>0</v>
      </c>
    </row>
    <row r="5008" spans="1:10" ht="15.75" hidden="1" thickBot="1" x14ac:dyDescent="0.3">
      <c r="A5008" s="173" t="s">
        <v>1188</v>
      </c>
      <c r="B5008" s="176" t="s">
        <v>4764</v>
      </c>
      <c r="C5008" s="31"/>
      <c r="D5008" s="32" t="s">
        <v>18</v>
      </c>
      <c r="E5008" s="33"/>
      <c r="F5008" s="60" t="s">
        <v>13</v>
      </c>
      <c r="G5008" s="34" t="str">
        <f>IF(ISNUMBER(F5008),E5008*F5008,"")</f>
        <v/>
      </c>
      <c r="H5008" s="35"/>
      <c r="I5008" s="36"/>
      <c r="J5008" s="37">
        <v>0</v>
      </c>
    </row>
    <row r="5009" spans="1:10" hidden="1" x14ac:dyDescent="0.25">
      <c r="A5009" s="179"/>
      <c r="B5009" s="177"/>
      <c r="C5009" s="39"/>
      <c r="D5009" s="39"/>
      <c r="E5009" s="40"/>
      <c r="F5009" s="70" t="s">
        <v>13</v>
      </c>
      <c r="G5009" s="70" t="str">
        <f>IF(ISNUMBER(F5009),E5009*F5009,"")</f>
        <v/>
      </c>
      <c r="H5009" s="71"/>
      <c r="I5009" s="72"/>
      <c r="J5009" s="37">
        <v>0</v>
      </c>
    </row>
    <row r="5010" spans="1:10" ht="25.5" hidden="1" x14ac:dyDescent="0.25">
      <c r="A5010" s="179"/>
      <c r="B5010" s="177"/>
      <c r="C5010" s="43" t="s">
        <v>1189</v>
      </c>
      <c r="D5010" s="43" t="s">
        <v>83</v>
      </c>
      <c r="E5010" s="44">
        <v>1</v>
      </c>
      <c r="F5010" s="70" t="s">
        <v>13</v>
      </c>
      <c r="G5010" s="70" t="str">
        <f>IF(ISNUMBER(F5010),E5010*F5010,"")</f>
        <v/>
      </c>
      <c r="H5010" s="46">
        <f>SUM(G5010:G5013)</f>
        <v>16.980100499999999</v>
      </c>
      <c r="I5010" s="47"/>
      <c r="J5010" s="37">
        <v>0</v>
      </c>
    </row>
    <row r="5011" spans="1:10" hidden="1" x14ac:dyDescent="0.25">
      <c r="A5011" s="179"/>
      <c r="B5011" s="177"/>
      <c r="C5011" s="43" t="s">
        <v>10916</v>
      </c>
      <c r="D5011" s="43" t="s">
        <v>83</v>
      </c>
      <c r="E5011" s="44">
        <v>2.1000000000000001E-2</v>
      </c>
      <c r="F5011" s="70">
        <v>3.9899999999999998</v>
      </c>
      <c r="G5011" s="70">
        <f>IF(ISNUMBER(F5011),E5011*F5011,"")</f>
        <v>8.3790000000000003E-2</v>
      </c>
      <c r="H5011" s="71"/>
      <c r="I5011" s="72"/>
      <c r="J5011" s="37">
        <v>0</v>
      </c>
    </row>
    <row r="5012" spans="1:10" ht="25.5" hidden="1" x14ac:dyDescent="0.25">
      <c r="A5012" s="179"/>
      <c r="B5012" s="177"/>
      <c r="C5012" s="43" t="s">
        <v>10754</v>
      </c>
      <c r="D5012" s="43" t="s">
        <v>2800</v>
      </c>
      <c r="E5012" s="44">
        <v>0.44669999999999999</v>
      </c>
      <c r="F5012" s="70">
        <v>30.361999999999998</v>
      </c>
      <c r="G5012" s="70">
        <f>IF(ISNUMBER(F5012),E5012*F5012,"")</f>
        <v>13.562705399999999</v>
      </c>
      <c r="H5012" s="71"/>
      <c r="I5012" s="72"/>
      <c r="J5012" s="37">
        <v>0</v>
      </c>
    </row>
    <row r="5013" spans="1:10" hidden="1" x14ac:dyDescent="0.25">
      <c r="A5013" s="179"/>
      <c r="B5013" s="177"/>
      <c r="C5013" s="43" t="s">
        <v>10614</v>
      </c>
      <c r="D5013" s="43" t="s">
        <v>2800</v>
      </c>
      <c r="E5013" s="44">
        <v>0.14069999999999999</v>
      </c>
      <c r="F5013" s="70">
        <v>23.693000000000001</v>
      </c>
      <c r="G5013" s="70">
        <f>IF(ISNUMBER(F5013),E5013*F5013,"")</f>
        <v>3.3336051000000002</v>
      </c>
      <c r="H5013" s="71"/>
      <c r="I5013" s="72"/>
      <c r="J5013" s="37">
        <v>0</v>
      </c>
    </row>
    <row r="5014" spans="1:10" ht="15.75" hidden="1" thickBot="1" x14ac:dyDescent="0.3">
      <c r="A5014" s="180"/>
      <c r="B5014" s="178"/>
      <c r="C5014" s="49"/>
      <c r="D5014" s="49"/>
      <c r="E5014" s="50"/>
      <c r="F5014" s="83" t="s">
        <v>13</v>
      </c>
      <c r="G5014" s="83" t="str">
        <f>IF(ISNUMBER(F5014),E5014*F5014,"")</f>
        <v/>
      </c>
      <c r="H5014" s="84"/>
      <c r="I5014" s="72"/>
      <c r="J5014" s="37">
        <v>0</v>
      </c>
    </row>
    <row r="5015" spans="1:10" ht="15.75" hidden="1" thickBot="1" x14ac:dyDescent="0.3">
      <c r="A5015" s="173" t="s">
        <v>1190</v>
      </c>
      <c r="B5015" s="176" t="s">
        <v>4765</v>
      </c>
      <c r="C5015" s="31"/>
      <c r="D5015" s="32" t="s">
        <v>18</v>
      </c>
      <c r="E5015" s="33"/>
      <c r="F5015" s="60" t="s">
        <v>13</v>
      </c>
      <c r="G5015" s="34" t="str">
        <f>IF(ISNUMBER(F5015),E5015*F5015,"")</f>
        <v/>
      </c>
      <c r="H5015" s="35"/>
      <c r="I5015" s="36"/>
      <c r="J5015" s="37">
        <v>0</v>
      </c>
    </row>
    <row r="5016" spans="1:10" hidden="1" x14ac:dyDescent="0.25">
      <c r="A5016" s="179"/>
      <c r="B5016" s="177"/>
      <c r="C5016" s="39"/>
      <c r="D5016" s="39"/>
      <c r="E5016" s="40"/>
      <c r="F5016" s="70" t="s">
        <v>13</v>
      </c>
      <c r="G5016" s="70" t="str">
        <f>IF(ISNUMBER(F5016),E5016*F5016,"")</f>
        <v/>
      </c>
      <c r="H5016" s="71"/>
      <c r="I5016" s="72"/>
      <c r="J5016" s="37">
        <v>0</v>
      </c>
    </row>
    <row r="5017" spans="1:10" hidden="1" x14ac:dyDescent="0.25">
      <c r="A5017" s="179"/>
      <c r="B5017" s="177"/>
      <c r="C5017" s="43" t="s">
        <v>10916</v>
      </c>
      <c r="D5017" s="43" t="s">
        <v>83</v>
      </c>
      <c r="E5017" s="44">
        <v>4.2000000000000003E-2</v>
      </c>
      <c r="F5017" s="70">
        <v>3.9899999999999998</v>
      </c>
      <c r="G5017" s="70">
        <f>IF(ISNUMBER(F5017),E5017*F5017,"")</f>
        <v>0.16758000000000001</v>
      </c>
      <c r="H5017" s="46">
        <f>SUM(G5017:G5020)</f>
        <v>17.6934726</v>
      </c>
      <c r="I5017" s="47"/>
      <c r="J5017" s="37">
        <v>0</v>
      </c>
    </row>
    <row r="5018" spans="1:10" hidden="1" x14ac:dyDescent="0.25">
      <c r="A5018" s="179"/>
      <c r="B5018" s="177"/>
      <c r="C5018" s="43" t="s">
        <v>1191</v>
      </c>
      <c r="D5018" s="43" t="s">
        <v>83</v>
      </c>
      <c r="E5018" s="44">
        <v>1</v>
      </c>
      <c r="F5018" s="70" t="s">
        <v>13</v>
      </c>
      <c r="G5018" s="70" t="str">
        <f>IF(ISNUMBER(F5018),E5018*F5018,"")</f>
        <v/>
      </c>
      <c r="H5018" s="71"/>
      <c r="I5018" s="72"/>
      <c r="J5018" s="37">
        <v>0</v>
      </c>
    </row>
    <row r="5019" spans="1:10" ht="25.5" hidden="1" x14ac:dyDescent="0.25">
      <c r="A5019" s="179"/>
      <c r="B5019" s="177"/>
      <c r="C5019" s="43" t="s">
        <v>10754</v>
      </c>
      <c r="D5019" s="43" t="s">
        <v>2800</v>
      </c>
      <c r="E5019" s="44">
        <v>0.46329999999999999</v>
      </c>
      <c r="F5019" s="70">
        <v>30.361999999999998</v>
      </c>
      <c r="G5019" s="70">
        <f>IF(ISNUMBER(F5019),E5019*F5019,"")</f>
        <v>14.066714599999999</v>
      </c>
      <c r="H5019" s="71"/>
      <c r="I5019" s="72"/>
      <c r="J5019" s="37">
        <v>0</v>
      </c>
    </row>
    <row r="5020" spans="1:10" hidden="1" x14ac:dyDescent="0.25">
      <c r="A5020" s="179"/>
      <c r="B5020" s="177"/>
      <c r="C5020" s="43" t="s">
        <v>10614</v>
      </c>
      <c r="D5020" s="43" t="s">
        <v>2800</v>
      </c>
      <c r="E5020" s="44">
        <v>0.14599999999999999</v>
      </c>
      <c r="F5020" s="70">
        <v>23.693000000000001</v>
      </c>
      <c r="G5020" s="70">
        <f>IF(ISNUMBER(F5020),E5020*F5020,"")</f>
        <v>3.4591780000000001</v>
      </c>
      <c r="H5020" s="71"/>
      <c r="I5020" s="72"/>
      <c r="J5020" s="37">
        <v>0</v>
      </c>
    </row>
    <row r="5021" spans="1:10" ht="15.75" hidden="1" thickBot="1" x14ac:dyDescent="0.3">
      <c r="A5021" s="180"/>
      <c r="B5021" s="178"/>
      <c r="C5021" s="49"/>
      <c r="D5021" s="49"/>
      <c r="E5021" s="50"/>
      <c r="F5021" s="83" t="s">
        <v>13</v>
      </c>
      <c r="G5021" s="83" t="str">
        <f>IF(ISNUMBER(F5021),E5021*F5021,"")</f>
        <v/>
      </c>
      <c r="H5021" s="84"/>
      <c r="I5021" s="72"/>
      <c r="J5021" s="37">
        <v>0</v>
      </c>
    </row>
    <row r="5022" spans="1:10" ht="15.75" hidden="1" thickBot="1" x14ac:dyDescent="0.3">
      <c r="A5022" s="173" t="s">
        <v>1192</v>
      </c>
      <c r="B5022" s="176" t="s">
        <v>4766</v>
      </c>
      <c r="C5022" s="31"/>
      <c r="D5022" s="32" t="s">
        <v>18</v>
      </c>
      <c r="E5022" s="33"/>
      <c r="F5022" s="60" t="s">
        <v>13</v>
      </c>
      <c r="G5022" s="34" t="str">
        <f>IF(ISNUMBER(F5022),E5022*F5022,"")</f>
        <v/>
      </c>
      <c r="H5022" s="35"/>
      <c r="I5022" s="36"/>
      <c r="J5022" s="37">
        <v>0</v>
      </c>
    </row>
    <row r="5023" spans="1:10" hidden="1" x14ac:dyDescent="0.25">
      <c r="A5023" s="179"/>
      <c r="B5023" s="177"/>
      <c r="C5023" s="39"/>
      <c r="D5023" s="39"/>
      <c r="E5023" s="40"/>
      <c r="F5023" s="70" t="s">
        <v>13</v>
      </c>
      <c r="G5023" s="70" t="str">
        <f>IF(ISNUMBER(F5023),E5023*F5023,"")</f>
        <v/>
      </c>
      <c r="H5023" s="71"/>
      <c r="I5023" s="72"/>
      <c r="J5023" s="37">
        <v>0</v>
      </c>
    </row>
    <row r="5024" spans="1:10" hidden="1" x14ac:dyDescent="0.25">
      <c r="A5024" s="179"/>
      <c r="B5024" s="177"/>
      <c r="C5024" s="43" t="s">
        <v>10916</v>
      </c>
      <c r="D5024" s="43" t="s">
        <v>83</v>
      </c>
      <c r="E5024" s="44">
        <v>4.2000000000000003E-2</v>
      </c>
      <c r="F5024" s="70">
        <v>3.9899999999999998</v>
      </c>
      <c r="G5024" s="70">
        <f>IF(ISNUMBER(F5024),E5024*F5024,"")</f>
        <v>0.16758000000000001</v>
      </c>
      <c r="H5024" s="46">
        <f>SUM(G5024:G5027)</f>
        <v>8.7392893999999988</v>
      </c>
      <c r="I5024" s="47"/>
      <c r="J5024" s="37">
        <v>0</v>
      </c>
    </row>
    <row r="5025" spans="1:10" ht="25.5" hidden="1" x14ac:dyDescent="0.25">
      <c r="A5025" s="179"/>
      <c r="B5025" s="177"/>
      <c r="C5025" s="43" t="s">
        <v>1193</v>
      </c>
      <c r="D5025" s="43" t="s">
        <v>83</v>
      </c>
      <c r="E5025" s="44">
        <v>1</v>
      </c>
      <c r="F5025" s="70" t="s">
        <v>13</v>
      </c>
      <c r="G5025" s="70" t="str">
        <f>IF(ISNUMBER(F5025),E5025*F5025,"")</f>
        <v/>
      </c>
      <c r="H5025" s="71"/>
      <c r="I5025" s="72"/>
      <c r="J5025" s="37">
        <v>0</v>
      </c>
    </row>
    <row r="5026" spans="1:10" ht="25.5" hidden="1" x14ac:dyDescent="0.25">
      <c r="A5026" s="179"/>
      <c r="B5026" s="177"/>
      <c r="C5026" s="43" t="s">
        <v>10754</v>
      </c>
      <c r="D5026" s="43" t="s">
        <v>2800</v>
      </c>
      <c r="E5026" s="44">
        <v>0.2266</v>
      </c>
      <c r="F5026" s="70">
        <v>30.361999999999998</v>
      </c>
      <c r="G5026" s="70">
        <f>IF(ISNUMBER(F5026),E5026*F5026,"")</f>
        <v>6.8800291999999992</v>
      </c>
      <c r="H5026" s="71"/>
      <c r="I5026" s="72"/>
      <c r="J5026" s="37">
        <v>0</v>
      </c>
    </row>
    <row r="5027" spans="1:10" hidden="1" x14ac:dyDescent="0.25">
      <c r="A5027" s="179"/>
      <c r="B5027" s="177"/>
      <c r="C5027" s="43" t="s">
        <v>10614</v>
      </c>
      <c r="D5027" s="43" t="s">
        <v>2800</v>
      </c>
      <c r="E5027" s="44">
        <v>7.1400000000000005E-2</v>
      </c>
      <c r="F5027" s="70">
        <v>23.693000000000001</v>
      </c>
      <c r="G5027" s="70">
        <f>IF(ISNUMBER(F5027),E5027*F5027,"")</f>
        <v>1.6916802000000002</v>
      </c>
      <c r="H5027" s="71"/>
      <c r="I5027" s="72"/>
      <c r="J5027" s="37">
        <v>0</v>
      </c>
    </row>
    <row r="5028" spans="1:10" ht="15.75" hidden="1" thickBot="1" x14ac:dyDescent="0.3">
      <c r="A5028" s="180"/>
      <c r="B5028" s="178"/>
      <c r="C5028" s="49"/>
      <c r="D5028" s="49"/>
      <c r="E5028" s="50"/>
      <c r="F5028" s="83" t="s">
        <v>13</v>
      </c>
      <c r="G5028" s="83" t="str">
        <f>IF(ISNUMBER(F5028),E5028*F5028,"")</f>
        <v/>
      </c>
      <c r="H5028" s="84"/>
      <c r="I5028" s="72"/>
      <c r="J5028" s="37">
        <v>0</v>
      </c>
    </row>
    <row r="5029" spans="1:10" ht="15.75" hidden="1" thickBot="1" x14ac:dyDescent="0.3">
      <c r="A5029" s="173" t="s">
        <v>1194</v>
      </c>
      <c r="B5029" s="176" t="s">
        <v>4767</v>
      </c>
      <c r="C5029" s="31"/>
      <c r="D5029" s="32" t="s">
        <v>18</v>
      </c>
      <c r="E5029" s="33"/>
      <c r="F5029" s="60" t="s">
        <v>13</v>
      </c>
      <c r="G5029" s="34" t="str">
        <f>IF(ISNUMBER(F5029),E5029*F5029,"")</f>
        <v/>
      </c>
      <c r="H5029" s="35"/>
      <c r="I5029" s="36"/>
      <c r="J5029" s="37">
        <v>0</v>
      </c>
    </row>
    <row r="5030" spans="1:10" hidden="1" x14ac:dyDescent="0.25">
      <c r="A5030" s="179"/>
      <c r="B5030" s="177"/>
      <c r="C5030" s="39"/>
      <c r="D5030" s="39"/>
      <c r="E5030" s="40"/>
      <c r="F5030" s="70" t="s">
        <v>13</v>
      </c>
      <c r="G5030" s="70" t="str">
        <f>IF(ISNUMBER(F5030),E5030*F5030,"")</f>
        <v/>
      </c>
      <c r="H5030" s="71"/>
      <c r="I5030" s="72"/>
      <c r="J5030" s="37">
        <v>0</v>
      </c>
    </row>
    <row r="5031" spans="1:10" hidden="1" x14ac:dyDescent="0.25">
      <c r="A5031" s="179"/>
      <c r="B5031" s="177"/>
      <c r="C5031" s="43" t="s">
        <v>10916</v>
      </c>
      <c r="D5031" s="43" t="s">
        <v>83</v>
      </c>
      <c r="E5031" s="44">
        <v>4.2000000000000003E-2</v>
      </c>
      <c r="F5031" s="70">
        <v>3.9899999999999998</v>
      </c>
      <c r="G5031" s="70">
        <f>IF(ISNUMBER(F5031),E5031*F5031,"")</f>
        <v>0.16758000000000001</v>
      </c>
      <c r="H5031" s="46">
        <f>SUM(G5031:G5034)</f>
        <v>17.6934726</v>
      </c>
      <c r="I5031" s="47"/>
      <c r="J5031" s="37">
        <v>0</v>
      </c>
    </row>
    <row r="5032" spans="1:10" ht="25.5" hidden="1" x14ac:dyDescent="0.25">
      <c r="A5032" s="179"/>
      <c r="B5032" s="177"/>
      <c r="C5032" s="43" t="s">
        <v>1195</v>
      </c>
      <c r="D5032" s="43" t="s">
        <v>83</v>
      </c>
      <c r="E5032" s="44">
        <v>1</v>
      </c>
      <c r="F5032" s="70" t="s">
        <v>13</v>
      </c>
      <c r="G5032" s="70" t="str">
        <f>IF(ISNUMBER(F5032),E5032*F5032,"")</f>
        <v/>
      </c>
      <c r="H5032" s="71"/>
      <c r="I5032" s="72"/>
      <c r="J5032" s="37">
        <v>0</v>
      </c>
    </row>
    <row r="5033" spans="1:10" ht="25.5" hidden="1" x14ac:dyDescent="0.25">
      <c r="A5033" s="179"/>
      <c r="B5033" s="177"/>
      <c r="C5033" s="43" t="s">
        <v>10754</v>
      </c>
      <c r="D5033" s="43" t="s">
        <v>2800</v>
      </c>
      <c r="E5033" s="44">
        <v>0.46329999999999999</v>
      </c>
      <c r="F5033" s="70">
        <v>30.361999999999998</v>
      </c>
      <c r="G5033" s="70">
        <f>IF(ISNUMBER(F5033),E5033*F5033,"")</f>
        <v>14.066714599999999</v>
      </c>
      <c r="H5033" s="71"/>
      <c r="I5033" s="72"/>
      <c r="J5033" s="37">
        <v>0</v>
      </c>
    </row>
    <row r="5034" spans="1:10" hidden="1" x14ac:dyDescent="0.25">
      <c r="A5034" s="179"/>
      <c r="B5034" s="177"/>
      <c r="C5034" s="43" t="s">
        <v>10614</v>
      </c>
      <c r="D5034" s="43" t="s">
        <v>2800</v>
      </c>
      <c r="E5034" s="44">
        <v>0.14599999999999999</v>
      </c>
      <c r="F5034" s="70">
        <v>23.693000000000001</v>
      </c>
      <c r="G5034" s="70">
        <f>IF(ISNUMBER(F5034),E5034*F5034,"")</f>
        <v>3.4591780000000001</v>
      </c>
      <c r="H5034" s="71"/>
      <c r="I5034" s="72"/>
      <c r="J5034" s="37">
        <v>0</v>
      </c>
    </row>
    <row r="5035" spans="1:10" ht="15.75" hidden="1" thickBot="1" x14ac:dyDescent="0.3">
      <c r="A5035" s="180"/>
      <c r="B5035" s="178"/>
      <c r="C5035" s="49"/>
      <c r="D5035" s="49"/>
      <c r="E5035" s="50"/>
      <c r="F5035" s="83" t="s">
        <v>13</v>
      </c>
      <c r="G5035" s="83" t="str">
        <f>IF(ISNUMBER(F5035),E5035*F5035,"")</f>
        <v/>
      </c>
      <c r="H5035" s="84"/>
      <c r="I5035" s="72"/>
      <c r="J5035" s="37">
        <v>0</v>
      </c>
    </row>
    <row r="5036" spans="1:10" ht="15.75" hidden="1" thickBot="1" x14ac:dyDescent="0.3">
      <c r="A5036" s="173" t="s">
        <v>1196</v>
      </c>
      <c r="B5036" s="176" t="s">
        <v>4768</v>
      </c>
      <c r="C5036" s="31"/>
      <c r="D5036" s="32" t="s">
        <v>18</v>
      </c>
      <c r="E5036" s="33"/>
      <c r="F5036" s="60" t="s">
        <v>13</v>
      </c>
      <c r="G5036" s="34" t="str">
        <f>IF(ISNUMBER(F5036),E5036*F5036,"")</f>
        <v/>
      </c>
      <c r="H5036" s="35"/>
      <c r="I5036" s="36"/>
      <c r="J5036" s="37">
        <v>0</v>
      </c>
    </row>
    <row r="5037" spans="1:10" hidden="1" x14ac:dyDescent="0.25">
      <c r="A5037" s="179"/>
      <c r="B5037" s="177"/>
      <c r="C5037" s="39"/>
      <c r="D5037" s="39"/>
      <c r="E5037" s="40"/>
      <c r="F5037" s="70" t="s">
        <v>13</v>
      </c>
      <c r="G5037" s="70" t="str">
        <f>IF(ISNUMBER(F5037),E5037*F5037,"")</f>
        <v/>
      </c>
      <c r="H5037" s="71"/>
      <c r="I5037" s="72"/>
      <c r="J5037" s="37">
        <v>0</v>
      </c>
    </row>
    <row r="5038" spans="1:10" hidden="1" x14ac:dyDescent="0.25">
      <c r="A5038" s="179"/>
      <c r="B5038" s="177"/>
      <c r="C5038" s="43" t="s">
        <v>10916</v>
      </c>
      <c r="D5038" s="43" t="s">
        <v>83</v>
      </c>
      <c r="E5038" s="44">
        <v>4.2000000000000003E-2</v>
      </c>
      <c r="F5038" s="70">
        <v>3.9899999999999998</v>
      </c>
      <c r="G5038" s="70">
        <f>IF(ISNUMBER(F5038),E5038*F5038,"")</f>
        <v>0.16758000000000001</v>
      </c>
      <c r="H5038" s="46">
        <f>SUM(G5038:G5041)</f>
        <v>8.7392893999999988</v>
      </c>
      <c r="I5038" s="47"/>
      <c r="J5038" s="37">
        <v>0</v>
      </c>
    </row>
    <row r="5039" spans="1:10" ht="25.5" hidden="1" x14ac:dyDescent="0.25">
      <c r="A5039" s="179"/>
      <c r="B5039" s="177"/>
      <c r="C5039" s="43" t="s">
        <v>1197</v>
      </c>
      <c r="D5039" s="43" t="s">
        <v>83</v>
      </c>
      <c r="E5039" s="44">
        <v>1</v>
      </c>
      <c r="F5039" s="70" t="s">
        <v>13</v>
      </c>
      <c r="G5039" s="70" t="str">
        <f>IF(ISNUMBER(F5039),E5039*F5039,"")</f>
        <v/>
      </c>
      <c r="H5039" s="71"/>
      <c r="I5039" s="72"/>
      <c r="J5039" s="37">
        <v>0</v>
      </c>
    </row>
    <row r="5040" spans="1:10" ht="25.5" hidden="1" x14ac:dyDescent="0.25">
      <c r="A5040" s="179"/>
      <c r="B5040" s="177"/>
      <c r="C5040" s="43" t="s">
        <v>10754</v>
      </c>
      <c r="D5040" s="43" t="s">
        <v>2800</v>
      </c>
      <c r="E5040" s="44">
        <v>0.2266</v>
      </c>
      <c r="F5040" s="70">
        <v>30.361999999999998</v>
      </c>
      <c r="G5040" s="70">
        <f>IF(ISNUMBER(F5040),E5040*F5040,"")</f>
        <v>6.8800291999999992</v>
      </c>
      <c r="H5040" s="71"/>
      <c r="I5040" s="72"/>
      <c r="J5040" s="37">
        <v>0</v>
      </c>
    </row>
    <row r="5041" spans="1:10" hidden="1" x14ac:dyDescent="0.25">
      <c r="A5041" s="179"/>
      <c r="B5041" s="177"/>
      <c r="C5041" s="43" t="s">
        <v>10614</v>
      </c>
      <c r="D5041" s="43" t="s">
        <v>2800</v>
      </c>
      <c r="E5041" s="44">
        <v>7.1400000000000005E-2</v>
      </c>
      <c r="F5041" s="70">
        <v>23.693000000000001</v>
      </c>
      <c r="G5041" s="70">
        <f>IF(ISNUMBER(F5041),E5041*F5041,"")</f>
        <v>1.6916802000000002</v>
      </c>
      <c r="H5041" s="71"/>
      <c r="I5041" s="72"/>
      <c r="J5041" s="37">
        <v>0</v>
      </c>
    </row>
    <row r="5042" spans="1:10" ht="15.75" hidden="1" thickBot="1" x14ac:dyDescent="0.3">
      <c r="A5042" s="180"/>
      <c r="B5042" s="178"/>
      <c r="C5042" s="49"/>
      <c r="D5042" s="49"/>
      <c r="E5042" s="50"/>
      <c r="F5042" s="83" t="s">
        <v>13</v>
      </c>
      <c r="G5042" s="83" t="str">
        <f>IF(ISNUMBER(F5042),E5042*F5042,"")</f>
        <v/>
      </c>
      <c r="H5042" s="84"/>
      <c r="I5042" s="72"/>
      <c r="J5042" s="37">
        <v>0</v>
      </c>
    </row>
    <row r="5043" spans="1:10" ht="15.75" hidden="1" thickBot="1" x14ac:dyDescent="0.3">
      <c r="A5043" s="173" t="s">
        <v>1198</v>
      </c>
      <c r="B5043" s="176" t="s">
        <v>4769</v>
      </c>
      <c r="C5043" s="31"/>
      <c r="D5043" s="32" t="s">
        <v>18</v>
      </c>
      <c r="E5043" s="33"/>
      <c r="F5043" s="54" t="s">
        <v>13</v>
      </c>
      <c r="G5043" s="34" t="str">
        <f>IF(ISNUMBER(F5043),E5043*F5043,"")</f>
        <v/>
      </c>
      <c r="H5043" s="35"/>
      <c r="I5043" s="36"/>
      <c r="J5043" s="37">
        <v>0</v>
      </c>
    </row>
    <row r="5044" spans="1:10" hidden="1" x14ac:dyDescent="0.25">
      <c r="A5044" s="174"/>
      <c r="B5044" s="177"/>
      <c r="C5044" s="39"/>
      <c r="D5044" s="39"/>
      <c r="E5044" s="40"/>
      <c r="F5044" s="55" t="s">
        <v>13</v>
      </c>
      <c r="G5044" s="41" t="str">
        <f>IF(ISNUMBER(F5044),E5044*F5044,"")</f>
        <v/>
      </c>
      <c r="H5044" s="42"/>
      <c r="I5044" s="38"/>
      <c r="J5044" s="37">
        <v>0</v>
      </c>
    </row>
    <row r="5045" spans="1:10" hidden="1" x14ac:dyDescent="0.25">
      <c r="A5045" s="174"/>
      <c r="B5045" s="177"/>
      <c r="C5045" s="43" t="s">
        <v>10831</v>
      </c>
      <c r="D5045" s="43" t="s">
        <v>2800</v>
      </c>
      <c r="E5045" s="44">
        <v>0.3</v>
      </c>
      <c r="F5045" s="41">
        <v>28.6615</v>
      </c>
      <c r="G5045" s="41">
        <f>IF(ISNUMBER(F5045),E5045*F5045,"")</f>
        <v>8.5984499999999997</v>
      </c>
      <c r="H5045" s="46">
        <f>SUM(G5045:G5046)</f>
        <v>8.5984499999999997</v>
      </c>
      <c r="I5045" s="47"/>
      <c r="J5045" s="37">
        <v>0</v>
      </c>
    </row>
    <row r="5046" spans="1:10" ht="25.5" hidden="1" x14ac:dyDescent="0.25">
      <c r="A5046" s="174"/>
      <c r="B5046" s="177"/>
      <c r="C5046" s="43" t="s">
        <v>1199</v>
      </c>
      <c r="D5046" s="62" t="s">
        <v>18</v>
      </c>
      <c r="E5046" s="44">
        <v>1</v>
      </c>
      <c r="F5046" s="38" t="s">
        <v>13</v>
      </c>
      <c r="G5046" s="41" t="str">
        <f>IF(ISNUMBER(F5046),E5046*F5046,"")</f>
        <v/>
      </c>
      <c r="H5046" s="42"/>
      <c r="I5046" s="38"/>
      <c r="J5046" s="37">
        <v>0</v>
      </c>
    </row>
    <row r="5047" spans="1:10" ht="15.75" hidden="1" thickBot="1" x14ac:dyDescent="0.3">
      <c r="A5047" s="175"/>
      <c r="B5047" s="178"/>
      <c r="C5047" s="49"/>
      <c r="D5047" s="49"/>
      <c r="E5047" s="50"/>
      <c r="F5047" s="51" t="s">
        <v>13</v>
      </c>
      <c r="G5047" s="52" t="str">
        <f>IF(ISNUMBER(F5047),E5047*F5047,"")</f>
        <v/>
      </c>
      <c r="H5047" s="53"/>
      <c r="I5047" s="38"/>
      <c r="J5047" s="37">
        <v>0</v>
      </c>
    </row>
    <row r="5048" spans="1:10" ht="15.75" hidden="1" thickBot="1" x14ac:dyDescent="0.3">
      <c r="A5048" s="173" t="s">
        <v>1200</v>
      </c>
      <c r="B5048" s="176" t="s">
        <v>4770</v>
      </c>
      <c r="C5048" s="31"/>
      <c r="D5048" s="32" t="s">
        <v>18</v>
      </c>
      <c r="E5048" s="33"/>
      <c r="F5048" s="54" t="s">
        <v>13</v>
      </c>
      <c r="G5048" s="34" t="str">
        <f>IF(ISNUMBER(F5048),E5048*F5048,"")</f>
        <v/>
      </c>
      <c r="H5048" s="35"/>
      <c r="I5048" s="36"/>
      <c r="J5048" s="37">
        <v>0</v>
      </c>
    </row>
    <row r="5049" spans="1:10" hidden="1" x14ac:dyDescent="0.25">
      <c r="A5049" s="174"/>
      <c r="B5049" s="177"/>
      <c r="C5049" s="39"/>
      <c r="D5049" s="39"/>
      <c r="E5049" s="40"/>
      <c r="F5049" s="55" t="s">
        <v>13</v>
      </c>
      <c r="G5049" s="38" t="str">
        <f>IF(ISNUMBER(F5049),E5049*F5049,"")</f>
        <v/>
      </c>
      <c r="H5049" s="42"/>
      <c r="I5049" s="38"/>
      <c r="J5049" s="37">
        <v>0</v>
      </c>
    </row>
    <row r="5050" spans="1:10" ht="25.5" hidden="1" x14ac:dyDescent="0.25">
      <c r="A5050" s="174"/>
      <c r="B5050" s="177"/>
      <c r="C5050" s="43" t="s">
        <v>1201</v>
      </c>
      <c r="D5050" s="43" t="s">
        <v>87</v>
      </c>
      <c r="E5050" s="44">
        <v>1</v>
      </c>
      <c r="F5050" s="41" t="s">
        <v>13</v>
      </c>
      <c r="G5050" s="41" t="str">
        <f>IF(ISNUMBER(F5050),E5050*F5050,"")</f>
        <v/>
      </c>
      <c r="H5050" s="46">
        <f>SUM(G5050:G5053)</f>
        <v>15.041333137500001</v>
      </c>
      <c r="I5050" s="47"/>
      <c r="J5050" s="37">
        <v>0</v>
      </c>
    </row>
    <row r="5051" spans="1:10" ht="25.5" hidden="1" x14ac:dyDescent="0.25">
      <c r="A5051" s="174"/>
      <c r="B5051" s="177"/>
      <c r="C5051" s="43" t="s">
        <v>1202</v>
      </c>
      <c r="D5051" s="43" t="s">
        <v>87</v>
      </c>
      <c r="E5051" s="44">
        <v>1</v>
      </c>
      <c r="F5051" s="41" t="s">
        <v>13</v>
      </c>
      <c r="G5051" s="41" t="str">
        <f>IF(ISNUMBER(F5051),E5051*F5051,"")</f>
        <v/>
      </c>
      <c r="H5051" s="58"/>
      <c r="I5051" s="59"/>
      <c r="J5051" s="37">
        <v>0</v>
      </c>
    </row>
    <row r="5052" spans="1:10" hidden="1" x14ac:dyDescent="0.25">
      <c r="A5052" s="174"/>
      <c r="B5052" s="177"/>
      <c r="C5052" s="43" t="s">
        <v>10762</v>
      </c>
      <c r="D5052" s="43" t="s">
        <v>2800</v>
      </c>
      <c r="E5052" s="44">
        <v>0.1198125</v>
      </c>
      <c r="F5052" s="38">
        <v>24.946999999999999</v>
      </c>
      <c r="G5052" s="38">
        <f>IF(ISNUMBER(F5052),E5052*F5052,"")</f>
        <v>2.9889624375000001</v>
      </c>
      <c r="H5052" s="42"/>
      <c r="I5052" s="38"/>
      <c r="J5052" s="37">
        <v>0</v>
      </c>
    </row>
    <row r="5053" spans="1:10" hidden="1" x14ac:dyDescent="0.25">
      <c r="A5053" s="174"/>
      <c r="B5053" s="177"/>
      <c r="C5053" s="43" t="s">
        <v>10763</v>
      </c>
      <c r="D5053" s="43" t="s">
        <v>2800</v>
      </c>
      <c r="E5053" s="44">
        <v>0.38340000000000002</v>
      </c>
      <c r="F5053" s="38">
        <v>31.435500000000001</v>
      </c>
      <c r="G5053" s="38">
        <f>IF(ISNUMBER(F5053),E5053*F5053,"")</f>
        <v>12.052370700000001</v>
      </c>
      <c r="H5053" s="42"/>
      <c r="I5053" s="38"/>
      <c r="J5053" s="37">
        <v>0</v>
      </c>
    </row>
    <row r="5054" spans="1:10" ht="15.75" hidden="1" thickBot="1" x14ac:dyDescent="0.3">
      <c r="A5054" s="175"/>
      <c r="B5054" s="178"/>
      <c r="C5054" s="49"/>
      <c r="D5054" s="49"/>
      <c r="E5054" s="50"/>
      <c r="F5054" s="51" t="s">
        <v>13</v>
      </c>
      <c r="G5054" s="51" t="str">
        <f>IF(ISNUMBER(F5054),E5054*F5054,"")</f>
        <v/>
      </c>
      <c r="H5054" s="53"/>
      <c r="I5054" s="38"/>
      <c r="J5054" s="37">
        <v>0</v>
      </c>
    </row>
    <row r="5055" spans="1:10" ht="15.75" hidden="1" thickBot="1" x14ac:dyDescent="0.3">
      <c r="A5055" s="173" t="s">
        <v>1203</v>
      </c>
      <c r="B5055" s="176" t="s">
        <v>4771</v>
      </c>
      <c r="C5055" s="31"/>
      <c r="D5055" s="32" t="s">
        <v>18</v>
      </c>
      <c r="E5055" s="33"/>
      <c r="F5055" s="54" t="s">
        <v>13</v>
      </c>
      <c r="G5055" s="34" t="str">
        <f>IF(ISNUMBER(F5055),E5055*F5055,"")</f>
        <v/>
      </c>
      <c r="H5055" s="35"/>
      <c r="I5055" s="36"/>
      <c r="J5055" s="37">
        <v>0</v>
      </c>
    </row>
    <row r="5056" spans="1:10" hidden="1" x14ac:dyDescent="0.25">
      <c r="A5056" s="174"/>
      <c r="B5056" s="177"/>
      <c r="C5056" s="39"/>
      <c r="D5056" s="39"/>
      <c r="E5056" s="40"/>
      <c r="F5056" s="55" t="s">
        <v>13</v>
      </c>
      <c r="G5056" s="38" t="str">
        <f>IF(ISNUMBER(F5056),E5056*F5056,"")</f>
        <v/>
      </c>
      <c r="H5056" s="42"/>
      <c r="I5056" s="38"/>
      <c r="J5056" s="37">
        <v>0</v>
      </c>
    </row>
    <row r="5057" spans="1:10" hidden="1" x14ac:dyDescent="0.25">
      <c r="A5057" s="174"/>
      <c r="B5057" s="177"/>
      <c r="C5057" s="43" t="s">
        <v>11184</v>
      </c>
      <c r="D5057" s="43" t="s">
        <v>83</v>
      </c>
      <c r="E5057" s="44">
        <v>0.12</v>
      </c>
      <c r="F5057" s="41">
        <v>35.605999999999995</v>
      </c>
      <c r="G5057" s="41">
        <f>IF(ISNUMBER(F5057),E5057*F5057,"")</f>
        <v>4.2727199999999996</v>
      </c>
      <c r="H5057" s="46">
        <f>SUM(G5057:G5060)</f>
        <v>47.5855836</v>
      </c>
      <c r="I5057" s="47"/>
      <c r="J5057" s="37">
        <v>0</v>
      </c>
    </row>
    <row r="5058" spans="1:10" ht="25.5" hidden="1" x14ac:dyDescent="0.25">
      <c r="A5058" s="174"/>
      <c r="B5058" s="177"/>
      <c r="C5058" s="43" t="s">
        <v>11185</v>
      </c>
      <c r="D5058" s="43" t="s">
        <v>83</v>
      </c>
      <c r="E5058" s="44">
        <v>1</v>
      </c>
      <c r="F5058" s="41">
        <v>33.506500000000003</v>
      </c>
      <c r="G5058" s="41">
        <f>IF(ISNUMBER(F5058),E5058*F5058,"")</f>
        <v>33.506500000000003</v>
      </c>
      <c r="H5058" s="58"/>
      <c r="I5058" s="59"/>
      <c r="J5058" s="37">
        <v>0</v>
      </c>
    </row>
    <row r="5059" spans="1:10" ht="25.5" hidden="1" x14ac:dyDescent="0.25">
      <c r="A5059" s="174"/>
      <c r="B5059" s="177"/>
      <c r="C5059" s="43" t="s">
        <v>10753</v>
      </c>
      <c r="D5059" s="43" t="s">
        <v>2800</v>
      </c>
      <c r="E5059" s="44">
        <v>0.1804</v>
      </c>
      <c r="F5059" s="38">
        <v>23.997</v>
      </c>
      <c r="G5059" s="38">
        <f>IF(ISNUMBER(F5059),E5059*F5059,"")</f>
        <v>4.3290588000000003</v>
      </c>
      <c r="H5059" s="42"/>
      <c r="I5059" s="38"/>
      <c r="J5059" s="37">
        <v>0</v>
      </c>
    </row>
    <row r="5060" spans="1:10" ht="25.5" hidden="1" x14ac:dyDescent="0.25">
      <c r="A5060" s="174"/>
      <c r="B5060" s="177"/>
      <c r="C5060" s="43" t="s">
        <v>10754</v>
      </c>
      <c r="D5060" s="43" t="s">
        <v>2800</v>
      </c>
      <c r="E5060" s="44">
        <v>0.1804</v>
      </c>
      <c r="F5060" s="38">
        <v>30.361999999999998</v>
      </c>
      <c r="G5060" s="38">
        <f>IF(ISNUMBER(F5060),E5060*F5060,"")</f>
        <v>5.4773047999999998</v>
      </c>
      <c r="H5060" s="42"/>
      <c r="I5060" s="38"/>
      <c r="J5060" s="37">
        <v>0</v>
      </c>
    </row>
    <row r="5061" spans="1:10" ht="15.75" hidden="1" thickBot="1" x14ac:dyDescent="0.3">
      <c r="A5061" s="175"/>
      <c r="B5061" s="178"/>
      <c r="C5061" s="49"/>
      <c r="D5061" s="49"/>
      <c r="E5061" s="50"/>
      <c r="F5061" s="51" t="s">
        <v>13</v>
      </c>
      <c r="G5061" s="51" t="str">
        <f>IF(ISNUMBER(F5061),E5061*F5061,"")</f>
        <v/>
      </c>
      <c r="H5061" s="53"/>
      <c r="I5061" s="38"/>
      <c r="J5061" s="37">
        <v>0</v>
      </c>
    </row>
    <row r="5062" spans="1:10" ht="15.75" hidden="1" thickBot="1" x14ac:dyDescent="0.3">
      <c r="A5062" s="173" t="s">
        <v>1204</v>
      </c>
      <c r="B5062" s="176" t="s">
        <v>4772</v>
      </c>
      <c r="C5062" s="31"/>
      <c r="D5062" s="32" t="s">
        <v>18</v>
      </c>
      <c r="E5062" s="33"/>
      <c r="F5062" s="54" t="s">
        <v>13</v>
      </c>
      <c r="G5062" s="34" t="str">
        <f>IF(ISNUMBER(F5062),E5062*F5062,"")</f>
        <v/>
      </c>
      <c r="H5062" s="35"/>
      <c r="I5062" s="36"/>
      <c r="J5062" s="37">
        <v>0</v>
      </c>
    </row>
    <row r="5063" spans="1:10" hidden="1" x14ac:dyDescent="0.25">
      <c r="A5063" s="174"/>
      <c r="B5063" s="177"/>
      <c r="C5063" s="39"/>
      <c r="D5063" s="39"/>
      <c r="E5063" s="40"/>
      <c r="F5063" s="55" t="s">
        <v>13</v>
      </c>
      <c r="G5063" s="38" t="str">
        <f>IF(ISNUMBER(F5063),E5063*F5063,"")</f>
        <v/>
      </c>
      <c r="H5063" s="42"/>
      <c r="I5063" s="38"/>
      <c r="J5063" s="37">
        <v>0</v>
      </c>
    </row>
    <row r="5064" spans="1:10" hidden="1" x14ac:dyDescent="0.25">
      <c r="A5064" s="174"/>
      <c r="B5064" s="177"/>
      <c r="C5064" s="43" t="s">
        <v>10907</v>
      </c>
      <c r="D5064" s="43" t="s">
        <v>83</v>
      </c>
      <c r="E5064" s="44">
        <v>1.9199999999999998E-2</v>
      </c>
      <c r="F5064" s="41">
        <v>14.715499999999999</v>
      </c>
      <c r="G5064" s="41">
        <f>IF(ISNUMBER(F5064),E5064*F5064,"")</f>
        <v>0.28253759999999994</v>
      </c>
      <c r="H5064" s="46">
        <f>SUM(G5064:G5067)</f>
        <v>40.502761700000001</v>
      </c>
      <c r="I5064" s="47"/>
      <c r="J5064" s="37">
        <v>0</v>
      </c>
    </row>
    <row r="5065" spans="1:10" hidden="1" x14ac:dyDescent="0.25">
      <c r="A5065" s="174"/>
      <c r="B5065" s="177"/>
      <c r="C5065" s="43" t="s">
        <v>1205</v>
      </c>
      <c r="D5065" s="43" t="s">
        <v>83</v>
      </c>
      <c r="E5065" s="44">
        <v>1</v>
      </c>
      <c r="F5065" s="41" t="s">
        <v>13</v>
      </c>
      <c r="G5065" s="41" t="str">
        <f>IF(ISNUMBER(F5065),E5065*F5065,"")</f>
        <v/>
      </c>
      <c r="H5065" s="58"/>
      <c r="I5065" s="59"/>
      <c r="J5065" s="37">
        <v>0</v>
      </c>
    </row>
    <row r="5066" spans="1:10" ht="25.5" hidden="1" x14ac:dyDescent="0.25">
      <c r="A5066" s="174"/>
      <c r="B5066" s="177"/>
      <c r="C5066" s="43" t="s">
        <v>10753</v>
      </c>
      <c r="D5066" s="43" t="s">
        <v>2800</v>
      </c>
      <c r="E5066" s="44">
        <f>ROUND(0.9249*0.8,4)</f>
        <v>0.7399</v>
      </c>
      <c r="F5066" s="38">
        <v>23.997</v>
      </c>
      <c r="G5066" s="38">
        <f>IF(ISNUMBER(F5066),E5066*F5066,"")</f>
        <v>17.755380299999999</v>
      </c>
      <c r="H5066" s="42"/>
      <c r="I5066" s="38"/>
      <c r="J5066" s="37">
        <v>0</v>
      </c>
    </row>
    <row r="5067" spans="1:10" ht="25.5" hidden="1" x14ac:dyDescent="0.25">
      <c r="A5067" s="174"/>
      <c r="B5067" s="177"/>
      <c r="C5067" s="43" t="s">
        <v>10754</v>
      </c>
      <c r="D5067" s="43" t="s">
        <v>2800</v>
      </c>
      <c r="E5067" s="44">
        <f>ROUND(0.9249*0.8,4)</f>
        <v>0.7399</v>
      </c>
      <c r="F5067" s="38">
        <v>30.361999999999998</v>
      </c>
      <c r="G5067" s="38">
        <f>IF(ISNUMBER(F5067),E5067*F5067,"")</f>
        <v>22.464843800000001</v>
      </c>
      <c r="H5067" s="42"/>
      <c r="I5067" s="38"/>
      <c r="J5067" s="37">
        <v>0</v>
      </c>
    </row>
    <row r="5068" spans="1:10" ht="15.75" hidden="1" thickBot="1" x14ac:dyDescent="0.3">
      <c r="A5068" s="175"/>
      <c r="B5068" s="178"/>
      <c r="C5068" s="49"/>
      <c r="D5068" s="49"/>
      <c r="E5068" s="50"/>
      <c r="F5068" s="51" t="s">
        <v>13</v>
      </c>
      <c r="G5068" s="51" t="str">
        <f>IF(ISNUMBER(F5068),E5068*F5068,"")</f>
        <v/>
      </c>
      <c r="H5068" s="53"/>
      <c r="I5068" s="38"/>
      <c r="J5068" s="37">
        <v>0</v>
      </c>
    </row>
    <row r="5069" spans="1:10" ht="15.75" hidden="1" thickBot="1" x14ac:dyDescent="0.3">
      <c r="A5069" s="173" t="s">
        <v>1206</v>
      </c>
      <c r="B5069" s="176" t="s">
        <v>4773</v>
      </c>
      <c r="C5069" s="31"/>
      <c r="D5069" s="32" t="s">
        <v>18</v>
      </c>
      <c r="E5069" s="33"/>
      <c r="F5069" s="54" t="s">
        <v>13</v>
      </c>
      <c r="G5069" s="34" t="str">
        <f>IF(ISNUMBER(F5069),E5069*F5069,"")</f>
        <v/>
      </c>
      <c r="H5069" s="35"/>
      <c r="I5069" s="36"/>
      <c r="J5069" s="37">
        <v>0</v>
      </c>
    </row>
    <row r="5070" spans="1:10" hidden="1" x14ac:dyDescent="0.25">
      <c r="A5070" s="174"/>
      <c r="B5070" s="177"/>
      <c r="C5070" s="39"/>
      <c r="D5070" s="39"/>
      <c r="E5070" s="40"/>
      <c r="F5070" s="55" t="s">
        <v>13</v>
      </c>
      <c r="G5070" s="38" t="str">
        <f>IF(ISNUMBER(F5070),E5070*F5070,"")</f>
        <v/>
      </c>
      <c r="H5070" s="42"/>
      <c r="I5070" s="38"/>
      <c r="J5070" s="37">
        <v>0</v>
      </c>
    </row>
    <row r="5071" spans="1:10" hidden="1" x14ac:dyDescent="0.25">
      <c r="A5071" s="174"/>
      <c r="B5071" s="177"/>
      <c r="C5071" s="43" t="s">
        <v>10907</v>
      </c>
      <c r="D5071" s="43" t="s">
        <v>83</v>
      </c>
      <c r="E5071" s="44">
        <v>1.9199999999999998E-2</v>
      </c>
      <c r="F5071" s="41">
        <v>14.715499999999999</v>
      </c>
      <c r="G5071" s="41">
        <f>IF(ISNUMBER(F5071),E5071*F5071,"")</f>
        <v>0.28253759999999994</v>
      </c>
      <c r="H5071" s="46">
        <f>SUM(G5071:G5074)</f>
        <v>40.502761700000001</v>
      </c>
      <c r="I5071" s="47"/>
      <c r="J5071" s="37">
        <v>0</v>
      </c>
    </row>
    <row r="5072" spans="1:10" hidden="1" x14ac:dyDescent="0.25">
      <c r="A5072" s="174"/>
      <c r="B5072" s="177"/>
      <c r="C5072" s="43" t="s">
        <v>1207</v>
      </c>
      <c r="D5072" s="43" t="s">
        <v>83</v>
      </c>
      <c r="E5072" s="44">
        <v>1</v>
      </c>
      <c r="F5072" s="41" t="s">
        <v>13</v>
      </c>
      <c r="G5072" s="41" t="str">
        <f>IF(ISNUMBER(F5072),E5072*F5072,"")</f>
        <v/>
      </c>
      <c r="H5072" s="58"/>
      <c r="I5072" s="59"/>
      <c r="J5072" s="37">
        <v>0</v>
      </c>
    </row>
    <row r="5073" spans="1:10" ht="25.5" hidden="1" x14ac:dyDescent="0.25">
      <c r="A5073" s="174"/>
      <c r="B5073" s="177"/>
      <c r="C5073" s="43" t="s">
        <v>10753</v>
      </c>
      <c r="D5073" s="43" t="s">
        <v>2800</v>
      </c>
      <c r="E5073" s="44">
        <f>ROUND(0.9249*0.8,4)</f>
        <v>0.7399</v>
      </c>
      <c r="F5073" s="38">
        <v>23.997</v>
      </c>
      <c r="G5073" s="38">
        <f>IF(ISNUMBER(F5073),E5073*F5073,"")</f>
        <v>17.755380299999999</v>
      </c>
      <c r="H5073" s="42"/>
      <c r="I5073" s="38"/>
      <c r="J5073" s="37">
        <v>0</v>
      </c>
    </row>
    <row r="5074" spans="1:10" ht="25.5" hidden="1" x14ac:dyDescent="0.25">
      <c r="A5074" s="174"/>
      <c r="B5074" s="177"/>
      <c r="C5074" s="43" t="s">
        <v>10754</v>
      </c>
      <c r="D5074" s="43" t="s">
        <v>2800</v>
      </c>
      <c r="E5074" s="44">
        <f>ROUND(0.9249*0.8,4)</f>
        <v>0.7399</v>
      </c>
      <c r="F5074" s="38">
        <v>30.361999999999998</v>
      </c>
      <c r="G5074" s="38">
        <f>IF(ISNUMBER(F5074),E5074*F5074,"")</f>
        <v>22.464843800000001</v>
      </c>
      <c r="H5074" s="42"/>
      <c r="I5074" s="38"/>
      <c r="J5074" s="37">
        <v>0</v>
      </c>
    </row>
    <row r="5075" spans="1:10" ht="15.75" hidden="1" thickBot="1" x14ac:dyDescent="0.3">
      <c r="A5075" s="175"/>
      <c r="B5075" s="178"/>
      <c r="C5075" s="49"/>
      <c r="D5075" s="49"/>
      <c r="E5075" s="50"/>
      <c r="F5075" s="51" t="s">
        <v>13</v>
      </c>
      <c r="G5075" s="51" t="str">
        <f>IF(ISNUMBER(F5075),E5075*F5075,"")</f>
        <v/>
      </c>
      <c r="H5075" s="53"/>
      <c r="I5075" s="38"/>
      <c r="J5075" s="37">
        <v>0</v>
      </c>
    </row>
    <row r="5076" spans="1:10" ht="15.75" hidden="1" thickBot="1" x14ac:dyDescent="0.3">
      <c r="A5076" s="173" t="s">
        <v>1208</v>
      </c>
      <c r="B5076" s="176" t="s">
        <v>4774</v>
      </c>
      <c r="C5076" s="31"/>
      <c r="D5076" s="32" t="s">
        <v>18</v>
      </c>
      <c r="E5076" s="33"/>
      <c r="F5076" s="54" t="s">
        <v>13</v>
      </c>
      <c r="G5076" s="34" t="str">
        <f>IF(ISNUMBER(F5076),E5076*F5076,"")</f>
        <v/>
      </c>
      <c r="H5076" s="35"/>
      <c r="I5076" s="36"/>
      <c r="J5076" s="37">
        <v>0</v>
      </c>
    </row>
    <row r="5077" spans="1:10" hidden="1" x14ac:dyDescent="0.25">
      <c r="A5077" s="174"/>
      <c r="B5077" s="177"/>
      <c r="C5077" s="39"/>
      <c r="D5077" s="39"/>
      <c r="E5077" s="40"/>
      <c r="F5077" s="55" t="s">
        <v>13</v>
      </c>
      <c r="G5077" s="41" t="str">
        <f>IF(ISNUMBER(F5077),E5077*F5077,"")</f>
        <v/>
      </c>
      <c r="H5077" s="42"/>
      <c r="I5077" s="38"/>
      <c r="J5077" s="37">
        <v>0</v>
      </c>
    </row>
    <row r="5078" spans="1:10" ht="25.5" hidden="1" x14ac:dyDescent="0.25">
      <c r="A5078" s="174"/>
      <c r="B5078" s="177"/>
      <c r="C5078" s="43" t="s">
        <v>10897</v>
      </c>
      <c r="D5078" s="43" t="s">
        <v>83</v>
      </c>
      <c r="E5078" s="44">
        <v>1</v>
      </c>
      <c r="F5078" s="41">
        <v>15.266499999999999</v>
      </c>
      <c r="G5078" s="70">
        <f>IF(ISNUMBER(F5078),E5078*F5078,"")</f>
        <v>15.266499999999999</v>
      </c>
      <c r="H5078" s="46">
        <f>SUM(G5078:G5079)</f>
        <v>18.302699999999998</v>
      </c>
      <c r="I5078" s="38"/>
      <c r="J5078" s="37">
        <v>0</v>
      </c>
    </row>
    <row r="5079" spans="1:10" ht="25.5" hidden="1" x14ac:dyDescent="0.25">
      <c r="A5079" s="174"/>
      <c r="B5079" s="177"/>
      <c r="C5079" s="43" t="s">
        <v>10754</v>
      </c>
      <c r="D5079" s="43" t="s">
        <v>2800</v>
      </c>
      <c r="E5079" s="44">
        <v>0.1</v>
      </c>
      <c r="F5079" s="38">
        <v>30.361999999999998</v>
      </c>
      <c r="G5079" s="38">
        <f>IF(ISNUMBER(F5079),E5079*F5079,"")</f>
        <v>3.0362</v>
      </c>
      <c r="H5079" s="42"/>
      <c r="I5079" s="38"/>
      <c r="J5079" s="37">
        <v>0</v>
      </c>
    </row>
    <row r="5080" spans="1:10" ht="15.75" hidden="1" thickBot="1" x14ac:dyDescent="0.3">
      <c r="A5080" s="175"/>
      <c r="B5080" s="178"/>
      <c r="C5080" s="49"/>
      <c r="D5080" s="49"/>
      <c r="E5080" s="50"/>
      <c r="F5080" s="51" t="s">
        <v>13</v>
      </c>
      <c r="G5080" s="52" t="str">
        <f>IF(ISNUMBER(F5080),E5080*F5080,"")</f>
        <v/>
      </c>
      <c r="H5080" s="53"/>
      <c r="I5080" s="38"/>
      <c r="J5080" s="37">
        <v>0</v>
      </c>
    </row>
    <row r="5081" spans="1:10" ht="15.75" hidden="1" thickBot="1" x14ac:dyDescent="0.3">
      <c r="A5081" s="173" t="s">
        <v>1209</v>
      </c>
      <c r="B5081" s="176" t="s">
        <v>4775</v>
      </c>
      <c r="C5081" s="31"/>
      <c r="D5081" s="32" t="s">
        <v>18</v>
      </c>
      <c r="E5081" s="33"/>
      <c r="F5081" s="54" t="s">
        <v>13</v>
      </c>
      <c r="G5081" s="34" t="str">
        <f>IF(ISNUMBER(F5081),E5081*F5081,"")</f>
        <v/>
      </c>
      <c r="H5081" s="35"/>
      <c r="I5081" s="36"/>
      <c r="J5081" s="37">
        <v>0</v>
      </c>
    </row>
    <row r="5082" spans="1:10" hidden="1" x14ac:dyDescent="0.25">
      <c r="A5082" s="174"/>
      <c r="B5082" s="177"/>
      <c r="C5082" s="39"/>
      <c r="D5082" s="39"/>
      <c r="E5082" s="40"/>
      <c r="F5082" s="55" t="s">
        <v>13</v>
      </c>
      <c r="G5082" s="38" t="str">
        <f>IF(ISNUMBER(F5082),E5082*F5082,"")</f>
        <v/>
      </c>
      <c r="H5082" s="42"/>
      <c r="I5082" s="38"/>
      <c r="J5082" s="37">
        <v>0</v>
      </c>
    </row>
    <row r="5083" spans="1:10" ht="51" hidden="1" x14ac:dyDescent="0.25">
      <c r="A5083" s="174"/>
      <c r="B5083" s="177"/>
      <c r="C5083" s="43" t="s">
        <v>11186</v>
      </c>
      <c r="D5083" s="43" t="s">
        <v>83</v>
      </c>
      <c r="E5083" s="44">
        <v>1</v>
      </c>
      <c r="F5083" s="41">
        <v>250.33449999999999</v>
      </c>
      <c r="G5083" s="41">
        <f>IF(ISNUMBER(F5083),E5083*F5083,"")</f>
        <v>250.33449999999999</v>
      </c>
      <c r="H5083" s="46">
        <f>SUM(G5083:G5085)</f>
        <v>292.61998800000003</v>
      </c>
      <c r="I5083" s="47"/>
      <c r="J5083" s="37">
        <v>0</v>
      </c>
    </row>
    <row r="5084" spans="1:10" ht="25.5" hidden="1" x14ac:dyDescent="0.25">
      <c r="A5084" s="174"/>
      <c r="B5084" s="177"/>
      <c r="C5084" s="43" t="s">
        <v>10774</v>
      </c>
      <c r="D5084" s="43" t="s">
        <v>2800</v>
      </c>
      <c r="E5084" s="44">
        <f>ROUND(1.282*0.8,4)</f>
        <v>1.0256000000000001</v>
      </c>
      <c r="F5084" s="38">
        <v>29.383499999999998</v>
      </c>
      <c r="G5084" s="41">
        <f>IF(ISNUMBER(F5084),E5084*F5084,"")</f>
        <v>30.1357176</v>
      </c>
      <c r="H5084" s="42"/>
      <c r="I5084" s="38"/>
      <c r="J5084" s="37">
        <v>0</v>
      </c>
    </row>
    <row r="5085" spans="1:10" hidden="1" x14ac:dyDescent="0.25">
      <c r="A5085" s="174"/>
      <c r="B5085" s="177"/>
      <c r="C5085" s="43" t="s">
        <v>10614</v>
      </c>
      <c r="D5085" s="43" t="s">
        <v>2800</v>
      </c>
      <c r="E5085" s="44">
        <f>ROUND(0.641*0.8,4)</f>
        <v>0.51280000000000003</v>
      </c>
      <c r="F5085" s="38">
        <v>23.693000000000001</v>
      </c>
      <c r="G5085" s="41">
        <f>IF(ISNUMBER(F5085),E5085*F5085,"")</f>
        <v>12.149770400000001</v>
      </c>
      <c r="H5085" s="42"/>
      <c r="I5085" s="38"/>
      <c r="J5085" s="37">
        <v>0</v>
      </c>
    </row>
    <row r="5086" spans="1:10" ht="15.75" hidden="1" thickBot="1" x14ac:dyDescent="0.3">
      <c r="A5086" s="175"/>
      <c r="B5086" s="178"/>
      <c r="C5086" s="49"/>
      <c r="D5086" s="63"/>
      <c r="E5086" s="50"/>
      <c r="F5086" s="52" t="s">
        <v>13</v>
      </c>
      <c r="G5086" s="52" t="str">
        <f>IF(ISNUMBER(F5086),E5086*F5086,"")</f>
        <v/>
      </c>
      <c r="H5086" s="53"/>
      <c r="I5086" s="38"/>
      <c r="J5086" s="37">
        <v>0</v>
      </c>
    </row>
    <row r="5087" spans="1:10" ht="15.75" hidden="1" thickBot="1" x14ac:dyDescent="0.3">
      <c r="A5087" s="173" t="s">
        <v>1210</v>
      </c>
      <c r="B5087" s="176" t="s">
        <v>4776</v>
      </c>
      <c r="C5087" s="31"/>
      <c r="D5087" s="32" t="s">
        <v>18</v>
      </c>
      <c r="E5087" s="33"/>
      <c r="F5087" s="54" t="s">
        <v>13</v>
      </c>
      <c r="G5087" s="34" t="str">
        <f>IF(ISNUMBER(F5087),E5087*F5087,"")</f>
        <v/>
      </c>
      <c r="H5087" s="35"/>
      <c r="I5087" s="36"/>
      <c r="J5087" s="37">
        <v>0</v>
      </c>
    </row>
    <row r="5088" spans="1:10" hidden="1" x14ac:dyDescent="0.25">
      <c r="A5088" s="174"/>
      <c r="B5088" s="177"/>
      <c r="C5088" s="39"/>
      <c r="D5088" s="39"/>
      <c r="E5088" s="40"/>
      <c r="F5088" s="55" t="s">
        <v>13</v>
      </c>
      <c r="G5088" s="38" t="str">
        <f>IF(ISNUMBER(F5088),E5088*F5088,"")</f>
        <v/>
      </c>
      <c r="H5088" s="42"/>
      <c r="I5088" s="38"/>
      <c r="J5088" s="37">
        <v>0</v>
      </c>
    </row>
    <row r="5089" spans="1:10" ht="51" hidden="1" x14ac:dyDescent="0.25">
      <c r="A5089" s="174"/>
      <c r="B5089" s="177"/>
      <c r="C5089" s="43" t="s">
        <v>11187</v>
      </c>
      <c r="D5089" s="43" t="s">
        <v>83</v>
      </c>
      <c r="E5089" s="44">
        <v>1</v>
      </c>
      <c r="F5089" s="41">
        <v>272.10849999999999</v>
      </c>
      <c r="G5089" s="41">
        <f>IF(ISNUMBER(F5089),E5089*F5089,"")</f>
        <v>272.10849999999999</v>
      </c>
      <c r="H5089" s="46">
        <f>SUM(G5089:G5091)</f>
        <v>318.74787599999996</v>
      </c>
      <c r="I5089" s="47"/>
      <c r="J5089" s="37">
        <v>0</v>
      </c>
    </row>
    <row r="5090" spans="1:10" ht="25.5" hidden="1" x14ac:dyDescent="0.25">
      <c r="A5090" s="174"/>
      <c r="B5090" s="177"/>
      <c r="C5090" s="43" t="s">
        <v>10774</v>
      </c>
      <c r="D5090" s="43" t="s">
        <v>2800</v>
      </c>
      <c r="E5090" s="44">
        <f>ROUND(1.414*0.8,4)</f>
        <v>1.1312</v>
      </c>
      <c r="F5090" s="38">
        <v>29.383499999999998</v>
      </c>
      <c r="G5090" s="41">
        <f>IF(ISNUMBER(F5090),E5090*F5090,"")</f>
        <v>33.238615199999998</v>
      </c>
      <c r="H5090" s="42"/>
      <c r="I5090" s="38"/>
      <c r="J5090" s="37">
        <v>0</v>
      </c>
    </row>
    <row r="5091" spans="1:10" hidden="1" x14ac:dyDescent="0.25">
      <c r="A5091" s="174"/>
      <c r="B5091" s="177"/>
      <c r="C5091" s="43" t="s">
        <v>10614</v>
      </c>
      <c r="D5091" s="43" t="s">
        <v>2800</v>
      </c>
      <c r="E5091" s="44">
        <f>ROUND(0.707*0.8,4)</f>
        <v>0.56559999999999999</v>
      </c>
      <c r="F5091" s="38">
        <v>23.693000000000001</v>
      </c>
      <c r="G5091" s="41">
        <f>IF(ISNUMBER(F5091),E5091*F5091,"")</f>
        <v>13.4007608</v>
      </c>
      <c r="H5091" s="42"/>
      <c r="I5091" s="38"/>
      <c r="J5091" s="37">
        <v>0</v>
      </c>
    </row>
    <row r="5092" spans="1:10" ht="15.75" hidden="1" thickBot="1" x14ac:dyDescent="0.3">
      <c r="A5092" s="175"/>
      <c r="B5092" s="178"/>
      <c r="C5092" s="49"/>
      <c r="D5092" s="63"/>
      <c r="E5092" s="50"/>
      <c r="F5092" s="52" t="s">
        <v>13</v>
      </c>
      <c r="G5092" s="52" t="str">
        <f>IF(ISNUMBER(F5092),E5092*F5092,"")</f>
        <v/>
      </c>
      <c r="H5092" s="53"/>
      <c r="I5092" s="38"/>
      <c r="J5092" s="37">
        <v>0</v>
      </c>
    </row>
    <row r="5093" spans="1:10" ht="15.75" hidden="1" thickBot="1" x14ac:dyDescent="0.3">
      <c r="A5093" s="173" t="s">
        <v>1211</v>
      </c>
      <c r="B5093" s="176" t="s">
        <v>4777</v>
      </c>
      <c r="C5093" s="31"/>
      <c r="D5093" s="32" t="s">
        <v>18</v>
      </c>
      <c r="E5093" s="33"/>
      <c r="F5093" s="54" t="s">
        <v>13</v>
      </c>
      <c r="G5093" s="34" t="str">
        <f>IF(ISNUMBER(F5093),E5093*F5093,"")</f>
        <v/>
      </c>
      <c r="H5093" s="35"/>
      <c r="I5093" s="36"/>
      <c r="J5093" s="37">
        <v>0</v>
      </c>
    </row>
    <row r="5094" spans="1:10" hidden="1" x14ac:dyDescent="0.25">
      <c r="A5094" s="174"/>
      <c r="B5094" s="177"/>
      <c r="C5094" s="39"/>
      <c r="D5094" s="39"/>
      <c r="E5094" s="40"/>
      <c r="F5094" s="55" t="s">
        <v>13</v>
      </c>
      <c r="G5094" s="38" t="str">
        <f>IF(ISNUMBER(F5094),E5094*F5094,"")</f>
        <v/>
      </c>
      <c r="H5094" s="42"/>
      <c r="I5094" s="38"/>
      <c r="J5094" s="37">
        <v>0</v>
      </c>
    </row>
    <row r="5095" spans="1:10" ht="51" hidden="1" x14ac:dyDescent="0.25">
      <c r="A5095" s="174"/>
      <c r="B5095" s="177"/>
      <c r="C5095" s="43" t="s">
        <v>11188</v>
      </c>
      <c r="D5095" s="43" t="s">
        <v>83</v>
      </c>
      <c r="E5095" s="44">
        <v>1</v>
      </c>
      <c r="F5095" s="41">
        <v>307.32499999999999</v>
      </c>
      <c r="G5095" s="41">
        <f>IF(ISNUMBER(F5095),E5095*F5095,"")</f>
        <v>307.32499999999999</v>
      </c>
      <c r="H5095" s="46">
        <f>SUM(G5095:G5097)</f>
        <v>358.31826399999994</v>
      </c>
      <c r="I5095" s="47"/>
      <c r="J5095" s="37">
        <v>0</v>
      </c>
    </row>
    <row r="5096" spans="1:10" ht="25.5" hidden="1" x14ac:dyDescent="0.25">
      <c r="A5096" s="174"/>
      <c r="B5096" s="177"/>
      <c r="C5096" s="43" t="s">
        <v>10774</v>
      </c>
      <c r="D5096" s="43" t="s">
        <v>2800</v>
      </c>
      <c r="E5096" s="44">
        <f>ROUND(1.546*0.8,4)</f>
        <v>1.2367999999999999</v>
      </c>
      <c r="F5096" s="38">
        <v>29.383499999999998</v>
      </c>
      <c r="G5096" s="41">
        <f>IF(ISNUMBER(F5096),E5096*F5096,"")</f>
        <v>36.341512799999997</v>
      </c>
      <c r="H5096" s="42"/>
      <c r="I5096" s="38"/>
      <c r="J5096" s="37">
        <v>0</v>
      </c>
    </row>
    <row r="5097" spans="1:10" hidden="1" x14ac:dyDescent="0.25">
      <c r="A5097" s="174"/>
      <c r="B5097" s="177"/>
      <c r="C5097" s="43" t="s">
        <v>10614</v>
      </c>
      <c r="D5097" s="43" t="s">
        <v>2800</v>
      </c>
      <c r="E5097" s="44">
        <f>ROUND(0.773*0.8,4)</f>
        <v>0.61839999999999995</v>
      </c>
      <c r="F5097" s="38">
        <v>23.693000000000001</v>
      </c>
      <c r="G5097" s="41">
        <f>IF(ISNUMBER(F5097),E5097*F5097,"")</f>
        <v>14.6517512</v>
      </c>
      <c r="H5097" s="42"/>
      <c r="I5097" s="38"/>
      <c r="J5097" s="37">
        <v>0</v>
      </c>
    </row>
    <row r="5098" spans="1:10" ht="15.75" hidden="1" thickBot="1" x14ac:dyDescent="0.3">
      <c r="A5098" s="175"/>
      <c r="B5098" s="178"/>
      <c r="C5098" s="49"/>
      <c r="D5098" s="63"/>
      <c r="E5098" s="50"/>
      <c r="F5098" s="52" t="s">
        <v>13</v>
      </c>
      <c r="G5098" s="52" t="str">
        <f>IF(ISNUMBER(F5098),E5098*F5098,"")</f>
        <v/>
      </c>
      <c r="H5098" s="53"/>
      <c r="I5098" s="38"/>
      <c r="J5098" s="37">
        <v>0</v>
      </c>
    </row>
    <row r="5099" spans="1:10" ht="15.75" hidden="1" thickBot="1" x14ac:dyDescent="0.3">
      <c r="A5099" s="173" t="s">
        <v>1212</v>
      </c>
      <c r="B5099" s="176" t="s">
        <v>4778</v>
      </c>
      <c r="C5099" s="31"/>
      <c r="D5099" s="32" t="s">
        <v>18</v>
      </c>
      <c r="E5099" s="33"/>
      <c r="F5099" s="54" t="s">
        <v>13</v>
      </c>
      <c r="G5099" s="34" t="str">
        <f>IF(ISNUMBER(F5099),E5099*F5099,"")</f>
        <v/>
      </c>
      <c r="H5099" s="35"/>
      <c r="I5099" s="36"/>
      <c r="J5099" s="37">
        <v>0</v>
      </c>
    </row>
    <row r="5100" spans="1:10" hidden="1" x14ac:dyDescent="0.25">
      <c r="A5100" s="174"/>
      <c r="B5100" s="177"/>
      <c r="C5100" s="39"/>
      <c r="D5100" s="39"/>
      <c r="E5100" s="40"/>
      <c r="F5100" s="55" t="s">
        <v>13</v>
      </c>
      <c r="G5100" s="38" t="str">
        <f>IF(ISNUMBER(F5100),E5100*F5100,"")</f>
        <v/>
      </c>
      <c r="H5100" s="42"/>
      <c r="I5100" s="38"/>
      <c r="J5100" s="37">
        <v>0</v>
      </c>
    </row>
    <row r="5101" spans="1:10" ht="51" hidden="1" x14ac:dyDescent="0.25">
      <c r="A5101" s="174"/>
      <c r="B5101" s="177"/>
      <c r="C5101" s="43" t="s">
        <v>10978</v>
      </c>
      <c r="D5101" s="43" t="s">
        <v>83</v>
      </c>
      <c r="E5101" s="44">
        <v>1</v>
      </c>
      <c r="F5101" s="41">
        <v>343.45349999999996</v>
      </c>
      <c r="G5101" s="41">
        <f>IF(ISNUMBER(F5101),E5101*F5101,"")</f>
        <v>343.45349999999996</v>
      </c>
      <c r="H5101" s="46">
        <f>SUM(G5101:G5103)</f>
        <v>398.80065199999996</v>
      </c>
      <c r="I5101" s="47"/>
      <c r="J5101" s="37">
        <v>0</v>
      </c>
    </row>
    <row r="5102" spans="1:10" ht="25.5" hidden="1" x14ac:dyDescent="0.25">
      <c r="A5102" s="174"/>
      <c r="B5102" s="177"/>
      <c r="C5102" s="43" t="s">
        <v>10774</v>
      </c>
      <c r="D5102" s="43" t="s">
        <v>2800</v>
      </c>
      <c r="E5102" s="44">
        <f>ROUND(1.678*0.8,4)</f>
        <v>1.3424</v>
      </c>
      <c r="F5102" s="38">
        <v>29.383499999999998</v>
      </c>
      <c r="G5102" s="41">
        <f>IF(ISNUMBER(F5102),E5102*F5102,"")</f>
        <v>39.444410399999995</v>
      </c>
      <c r="H5102" s="42"/>
      <c r="I5102" s="38"/>
      <c r="J5102" s="37">
        <v>0</v>
      </c>
    </row>
    <row r="5103" spans="1:10" hidden="1" x14ac:dyDescent="0.25">
      <c r="A5103" s="174"/>
      <c r="B5103" s="177"/>
      <c r="C5103" s="43" t="s">
        <v>10614</v>
      </c>
      <c r="D5103" s="43" t="s">
        <v>2800</v>
      </c>
      <c r="E5103" s="44">
        <f>ROUND(0.839*0.8,4)</f>
        <v>0.67120000000000002</v>
      </c>
      <c r="F5103" s="38">
        <v>23.693000000000001</v>
      </c>
      <c r="G5103" s="41">
        <f>IF(ISNUMBER(F5103),E5103*F5103,"")</f>
        <v>15.902741600000001</v>
      </c>
      <c r="H5103" s="42"/>
      <c r="I5103" s="38"/>
      <c r="J5103" s="37">
        <v>0</v>
      </c>
    </row>
    <row r="5104" spans="1:10" ht="15.75" hidden="1" thickBot="1" x14ac:dyDescent="0.3">
      <c r="A5104" s="175"/>
      <c r="B5104" s="178"/>
      <c r="C5104" s="49"/>
      <c r="D5104" s="63"/>
      <c r="E5104" s="50"/>
      <c r="F5104" s="52" t="s">
        <v>13</v>
      </c>
      <c r="G5104" s="52" t="str">
        <f>IF(ISNUMBER(F5104),E5104*F5104,"")</f>
        <v/>
      </c>
      <c r="H5104" s="53"/>
      <c r="I5104" s="38"/>
      <c r="J5104" s="37">
        <v>0</v>
      </c>
    </row>
    <row r="5105" spans="1:10" ht="15.75" hidden="1" thickBot="1" x14ac:dyDescent="0.3">
      <c r="A5105" s="173" t="s">
        <v>1213</v>
      </c>
      <c r="B5105" s="176" t="s">
        <v>4779</v>
      </c>
      <c r="C5105" s="31"/>
      <c r="D5105" s="32" t="s">
        <v>18</v>
      </c>
      <c r="E5105" s="33"/>
      <c r="F5105" s="54" t="s">
        <v>13</v>
      </c>
      <c r="G5105" s="34" t="str">
        <f>IF(ISNUMBER(F5105),E5105*F5105,"")</f>
        <v/>
      </c>
      <c r="H5105" s="35"/>
      <c r="I5105" s="36"/>
      <c r="J5105" s="37">
        <v>0</v>
      </c>
    </row>
    <row r="5106" spans="1:10" hidden="1" x14ac:dyDescent="0.25">
      <c r="A5106" s="174"/>
      <c r="B5106" s="177"/>
      <c r="C5106" s="39"/>
      <c r="D5106" s="39"/>
      <c r="E5106" s="40"/>
      <c r="F5106" s="55" t="s">
        <v>13</v>
      </c>
      <c r="G5106" s="38" t="str">
        <f>IF(ISNUMBER(F5106),E5106*F5106,"")</f>
        <v/>
      </c>
      <c r="H5106" s="42"/>
      <c r="I5106" s="38"/>
      <c r="J5106" s="37">
        <v>0</v>
      </c>
    </row>
    <row r="5107" spans="1:10" ht="25.5" hidden="1" x14ac:dyDescent="0.25">
      <c r="A5107" s="174"/>
      <c r="B5107" s="177"/>
      <c r="C5107" s="43" t="s">
        <v>10753</v>
      </c>
      <c r="D5107" s="43" t="s">
        <v>2800</v>
      </c>
      <c r="E5107" s="44">
        <f>4*0.3</f>
        <v>1.2</v>
      </c>
      <c r="F5107" s="38">
        <v>23.997</v>
      </c>
      <c r="G5107" s="38">
        <f>IF(ISNUMBER(F5107),E5107*F5107,"")</f>
        <v>28.796399999999998</v>
      </c>
      <c r="H5107" s="46">
        <f>SUM(G5107:G5110)</f>
        <v>99.060299999999984</v>
      </c>
      <c r="I5107" s="47"/>
      <c r="J5107" s="37">
        <v>0</v>
      </c>
    </row>
    <row r="5108" spans="1:10" ht="25.5" hidden="1" x14ac:dyDescent="0.25">
      <c r="A5108" s="174"/>
      <c r="B5108" s="177"/>
      <c r="C5108" s="43" t="s">
        <v>10754</v>
      </c>
      <c r="D5108" s="43" t="s">
        <v>2800</v>
      </c>
      <c r="E5108" s="44">
        <f>4*0.3</f>
        <v>1.2</v>
      </c>
      <c r="F5108" s="38">
        <v>30.361999999999998</v>
      </c>
      <c r="G5108" s="38">
        <f>IF(ISNUMBER(F5108),E5108*F5108,"")</f>
        <v>36.434399999999997</v>
      </c>
      <c r="H5108" s="58"/>
      <c r="I5108" s="59"/>
      <c r="J5108" s="37">
        <v>0</v>
      </c>
    </row>
    <row r="5109" spans="1:10" hidden="1" x14ac:dyDescent="0.25">
      <c r="A5109" s="174"/>
      <c r="B5109" s="177"/>
      <c r="C5109" s="43" t="s">
        <v>10762</v>
      </c>
      <c r="D5109" s="43" t="s">
        <v>2800</v>
      </c>
      <c r="E5109" s="44">
        <f>2*0.3</f>
        <v>0.6</v>
      </c>
      <c r="F5109" s="38">
        <v>24.946999999999999</v>
      </c>
      <c r="G5109" s="38">
        <f>IF(ISNUMBER(F5109),E5109*F5109,"")</f>
        <v>14.9682</v>
      </c>
      <c r="H5109" s="42"/>
      <c r="I5109" s="38"/>
      <c r="J5109" s="37">
        <v>0</v>
      </c>
    </row>
    <row r="5110" spans="1:10" hidden="1" x14ac:dyDescent="0.25">
      <c r="A5110" s="174"/>
      <c r="B5110" s="177"/>
      <c r="C5110" s="43" t="s">
        <v>10763</v>
      </c>
      <c r="D5110" s="43" t="s">
        <v>2800</v>
      </c>
      <c r="E5110" s="44">
        <f>2*0.3</f>
        <v>0.6</v>
      </c>
      <c r="F5110" s="38">
        <v>31.435500000000001</v>
      </c>
      <c r="G5110" s="38">
        <f>IF(ISNUMBER(F5110),E5110*F5110,"")</f>
        <v>18.8613</v>
      </c>
      <c r="H5110" s="42"/>
      <c r="I5110" s="38"/>
      <c r="J5110" s="37">
        <v>0</v>
      </c>
    </row>
    <row r="5111" spans="1:10" ht="15.75" hidden="1" thickBot="1" x14ac:dyDescent="0.3">
      <c r="A5111" s="175"/>
      <c r="B5111" s="178"/>
      <c r="C5111" s="49"/>
      <c r="D5111" s="49"/>
      <c r="E5111" s="50"/>
      <c r="F5111" s="51" t="s">
        <v>13</v>
      </c>
      <c r="G5111" s="51" t="str">
        <f>IF(ISNUMBER(F5111),E5111*F5111,"")</f>
        <v/>
      </c>
      <c r="H5111" s="53"/>
      <c r="I5111" s="38"/>
      <c r="J5111" s="37">
        <v>0</v>
      </c>
    </row>
    <row r="5112" spans="1:10" ht="15.75" hidden="1" thickBot="1" x14ac:dyDescent="0.3">
      <c r="A5112" s="173" t="s">
        <v>1214</v>
      </c>
      <c r="B5112" s="176" t="s">
        <v>4780</v>
      </c>
      <c r="C5112" s="31"/>
      <c r="D5112" s="32" t="s">
        <v>68</v>
      </c>
      <c r="E5112" s="33"/>
      <c r="F5112" s="54" t="s">
        <v>13</v>
      </c>
      <c r="G5112" s="34" t="str">
        <f>IF(ISNUMBER(F5112),E5112*F5112,"")</f>
        <v/>
      </c>
      <c r="H5112" s="35"/>
      <c r="I5112" s="36"/>
      <c r="J5112" s="37">
        <v>0</v>
      </c>
    </row>
    <row r="5113" spans="1:10" hidden="1" x14ac:dyDescent="0.25">
      <c r="A5113" s="179"/>
      <c r="B5113" s="177"/>
      <c r="C5113" s="39"/>
      <c r="D5113" s="39"/>
      <c r="E5113" s="40"/>
      <c r="F5113" s="55" t="s">
        <v>13</v>
      </c>
      <c r="G5113" s="38" t="str">
        <f>IF(ISNUMBER(F5113),E5113*F5113,"")</f>
        <v/>
      </c>
      <c r="H5113" s="42"/>
      <c r="I5113" s="38"/>
      <c r="J5113" s="37">
        <v>0</v>
      </c>
    </row>
    <row r="5114" spans="1:10" ht="25.5" hidden="1" x14ac:dyDescent="0.25">
      <c r="A5114" s="179"/>
      <c r="B5114" s="177"/>
      <c r="C5114" s="43" t="s">
        <v>10774</v>
      </c>
      <c r="D5114" s="43" t="s">
        <v>2800</v>
      </c>
      <c r="E5114" s="44">
        <v>0.12</v>
      </c>
      <c r="F5114" s="41">
        <v>29.383499999999998</v>
      </c>
      <c r="G5114" s="41">
        <f>IF(ISNUMBER(F5114),E5114*F5114,"")</f>
        <v>3.5260199999999995</v>
      </c>
      <c r="H5114" s="46">
        <f>SUM(G5114:G5115)</f>
        <v>32.75562</v>
      </c>
      <c r="I5114" s="47"/>
      <c r="J5114" s="37">
        <v>0</v>
      </c>
    </row>
    <row r="5115" spans="1:10" hidden="1" x14ac:dyDescent="0.25">
      <c r="A5115" s="179"/>
      <c r="B5115" s="177"/>
      <c r="C5115" s="43" t="s">
        <v>10655</v>
      </c>
      <c r="D5115" s="43" t="s">
        <v>2800</v>
      </c>
      <c r="E5115" s="44">
        <v>1.2</v>
      </c>
      <c r="F5115" s="41">
        <v>24.358000000000001</v>
      </c>
      <c r="G5115" s="41">
        <f>IF(ISNUMBER(F5115),E5115*F5115,"")</f>
        <v>29.229599999999998</v>
      </c>
      <c r="H5115" s="58"/>
      <c r="I5115" s="59"/>
      <c r="J5115" s="37">
        <v>0</v>
      </c>
    </row>
    <row r="5116" spans="1:10" ht="15.75" hidden="1" thickBot="1" x14ac:dyDescent="0.3">
      <c r="A5116" s="180"/>
      <c r="B5116" s="178"/>
      <c r="C5116" s="49"/>
      <c r="D5116" s="49"/>
      <c r="E5116" s="50"/>
      <c r="F5116" s="51" t="s">
        <v>13</v>
      </c>
      <c r="G5116" s="51" t="str">
        <f>IF(ISNUMBER(F5116),E5116*F5116,"")</f>
        <v/>
      </c>
      <c r="H5116" s="53"/>
      <c r="I5116" s="38"/>
      <c r="J5116" s="37">
        <v>0</v>
      </c>
    </row>
    <row r="5117" spans="1:10" ht="15.75" hidden="1" thickBot="1" x14ac:dyDescent="0.3">
      <c r="A5117" s="173" t="s">
        <v>1215</v>
      </c>
      <c r="B5117" s="176" t="s">
        <v>4781</v>
      </c>
      <c r="C5117" s="31"/>
      <c r="D5117" s="32" t="s">
        <v>68</v>
      </c>
      <c r="E5117" s="33"/>
      <c r="F5117" s="60" t="s">
        <v>13</v>
      </c>
      <c r="G5117" s="34" t="str">
        <f>IF(ISNUMBER(F5117),E5117*F5117,"")</f>
        <v/>
      </c>
      <c r="H5117" s="35"/>
      <c r="I5117" s="36"/>
      <c r="J5117" s="37">
        <v>0</v>
      </c>
    </row>
    <row r="5118" spans="1:10" hidden="1" x14ac:dyDescent="0.25">
      <c r="A5118" s="179"/>
      <c r="B5118" s="177"/>
      <c r="C5118" s="39"/>
      <c r="D5118" s="39"/>
      <c r="E5118" s="40"/>
      <c r="F5118" s="70" t="s">
        <v>13</v>
      </c>
      <c r="G5118" s="70" t="str">
        <f>IF(ISNUMBER(F5118),E5118*F5118,"")</f>
        <v/>
      </c>
      <c r="H5118" s="71"/>
      <c r="I5118" s="72"/>
      <c r="J5118" s="37">
        <v>0</v>
      </c>
    </row>
    <row r="5119" spans="1:10" ht="25.5" hidden="1" x14ac:dyDescent="0.25">
      <c r="A5119" s="179"/>
      <c r="B5119" s="177"/>
      <c r="C5119" s="43" t="s">
        <v>1216</v>
      </c>
      <c r="D5119" s="43" t="s">
        <v>68</v>
      </c>
      <c r="E5119" s="44">
        <v>1.0798000000000001</v>
      </c>
      <c r="F5119" s="70" t="s">
        <v>13</v>
      </c>
      <c r="G5119" s="70" t="str">
        <f>IF(ISNUMBER(F5119),E5119*F5119,"")</f>
        <v/>
      </c>
      <c r="H5119" s="46">
        <f>SUM(G5119:G5123)</f>
        <v>37.089721400000002</v>
      </c>
      <c r="I5119" s="47"/>
      <c r="J5119" s="37">
        <v>0</v>
      </c>
    </row>
    <row r="5120" spans="1:10" hidden="1" x14ac:dyDescent="0.25">
      <c r="A5120" s="179"/>
      <c r="B5120" s="177"/>
      <c r="C5120" s="43" t="s">
        <v>10870</v>
      </c>
      <c r="D5120" s="43" t="s">
        <v>1044</v>
      </c>
      <c r="E5120" s="44">
        <v>6.85</v>
      </c>
      <c r="F5120" s="70">
        <v>1.0734999999999999</v>
      </c>
      <c r="G5120" s="70">
        <f>IF(ISNUMBER(F5120),E5120*F5120,"")</f>
        <v>7.3534749999999987</v>
      </c>
      <c r="H5120" s="71"/>
      <c r="I5120" s="72"/>
      <c r="J5120" s="37">
        <v>0</v>
      </c>
    </row>
    <row r="5121" spans="1:10" hidden="1" x14ac:dyDescent="0.25">
      <c r="A5121" s="179"/>
      <c r="B5121" s="177"/>
      <c r="C5121" s="43" t="s">
        <v>10871</v>
      </c>
      <c r="D5121" s="43" t="s">
        <v>1044</v>
      </c>
      <c r="E5121" s="44">
        <v>0.222</v>
      </c>
      <c r="F5121" s="70">
        <v>3.4009999999999998</v>
      </c>
      <c r="G5121" s="70">
        <f>IF(ISNUMBER(F5121),E5121*F5121,"")</f>
        <v>0.75502199999999997</v>
      </c>
      <c r="H5121" s="71"/>
      <c r="I5121" s="72"/>
      <c r="J5121" s="37">
        <v>0</v>
      </c>
    </row>
    <row r="5122" spans="1:10" hidden="1" x14ac:dyDescent="0.25">
      <c r="A5122" s="179"/>
      <c r="B5122" s="177"/>
      <c r="C5122" s="43" t="s">
        <v>10826</v>
      </c>
      <c r="D5122" s="43" t="s">
        <v>2800</v>
      </c>
      <c r="E5122" s="44">
        <v>0.69699999999999995</v>
      </c>
      <c r="F5122" s="70">
        <v>30.912999999999997</v>
      </c>
      <c r="G5122" s="70">
        <f>IF(ISNUMBER(F5122),E5122*F5122,"")</f>
        <v>21.546360999999997</v>
      </c>
      <c r="H5122" s="71"/>
      <c r="I5122" s="72"/>
      <c r="J5122" s="37">
        <v>0</v>
      </c>
    </row>
    <row r="5123" spans="1:10" hidden="1" x14ac:dyDescent="0.25">
      <c r="A5123" s="179"/>
      <c r="B5123" s="177"/>
      <c r="C5123" s="43" t="s">
        <v>10614</v>
      </c>
      <c r="D5123" s="43" t="s">
        <v>2800</v>
      </c>
      <c r="E5123" s="44">
        <v>0.31380000000000002</v>
      </c>
      <c r="F5123" s="70">
        <v>23.693000000000001</v>
      </c>
      <c r="G5123" s="70">
        <f>IF(ISNUMBER(F5123),E5123*F5123,"")</f>
        <v>7.4348634000000011</v>
      </c>
      <c r="H5123" s="71"/>
      <c r="I5123" s="72"/>
      <c r="J5123" s="37">
        <v>0</v>
      </c>
    </row>
    <row r="5124" spans="1:10" ht="15.75" hidden="1" thickBot="1" x14ac:dyDescent="0.3">
      <c r="A5124" s="180"/>
      <c r="B5124" s="178"/>
      <c r="C5124" s="49"/>
      <c r="D5124" s="63"/>
      <c r="E5124" s="50"/>
      <c r="F5124" s="83" t="s">
        <v>13</v>
      </c>
      <c r="G5124" s="83" t="str">
        <f>IF(ISNUMBER(F5124),E5124*F5124,"")</f>
        <v/>
      </c>
      <c r="H5124" s="84"/>
      <c r="I5124" s="72"/>
      <c r="J5124" s="37">
        <v>0</v>
      </c>
    </row>
    <row r="5125" spans="1:10" ht="15.75" hidden="1" thickBot="1" x14ac:dyDescent="0.3">
      <c r="A5125" s="173" t="s">
        <v>1217</v>
      </c>
      <c r="B5125" s="176" t="s">
        <v>4782</v>
      </c>
      <c r="C5125" s="31"/>
      <c r="D5125" s="32" t="s">
        <v>68</v>
      </c>
      <c r="E5125" s="33"/>
      <c r="F5125" s="54" t="s">
        <v>13</v>
      </c>
      <c r="G5125" s="34" t="str">
        <f>IF(ISNUMBER(F5125),E5125*F5125,"")</f>
        <v/>
      </c>
      <c r="H5125" s="35"/>
      <c r="I5125" s="36"/>
      <c r="J5125" s="37">
        <v>0</v>
      </c>
    </row>
    <row r="5126" spans="1:10" hidden="1" x14ac:dyDescent="0.25">
      <c r="A5126" s="174"/>
      <c r="B5126" s="177"/>
      <c r="C5126" s="39"/>
      <c r="D5126" s="39"/>
      <c r="E5126" s="40"/>
      <c r="F5126" s="55" t="s">
        <v>13</v>
      </c>
      <c r="G5126" s="38" t="str">
        <f>IF(ISNUMBER(F5126),E5126*F5126,"")</f>
        <v/>
      </c>
      <c r="H5126" s="42"/>
      <c r="I5126" s="38"/>
      <c r="J5126" s="37">
        <v>0</v>
      </c>
    </row>
    <row r="5127" spans="1:10" hidden="1" x14ac:dyDescent="0.25">
      <c r="A5127" s="174"/>
      <c r="B5127" s="177"/>
      <c r="C5127" s="43" t="s">
        <v>10873</v>
      </c>
      <c r="D5127" s="43" t="s">
        <v>1044</v>
      </c>
      <c r="E5127" s="44">
        <v>0.57499999999999996</v>
      </c>
      <c r="F5127" s="41">
        <v>46.055999999999997</v>
      </c>
      <c r="G5127" s="41">
        <f>IF(ISNUMBER(F5127),E5127*F5127,"")</f>
        <v>26.482199999999995</v>
      </c>
      <c r="H5127" s="46">
        <f>SUM(G5127:G5130)</f>
        <v>49.804815899999994</v>
      </c>
      <c r="I5127" s="47"/>
      <c r="J5127" s="37">
        <v>0</v>
      </c>
    </row>
    <row r="5128" spans="1:10" hidden="1" x14ac:dyDescent="0.25">
      <c r="A5128" s="174"/>
      <c r="B5128" s="177"/>
      <c r="C5128" s="43" t="s">
        <v>10613</v>
      </c>
      <c r="D5128" s="43" t="s">
        <v>2800</v>
      </c>
      <c r="E5128" s="44">
        <v>0.57589999999999997</v>
      </c>
      <c r="F5128" s="41">
        <v>30.628</v>
      </c>
      <c r="G5128" s="41">
        <f>IF(ISNUMBER(F5128),E5128*F5128,"")</f>
        <v>17.638665199999998</v>
      </c>
      <c r="H5128" s="58"/>
      <c r="I5128" s="59"/>
      <c r="J5128" s="37">
        <v>0</v>
      </c>
    </row>
    <row r="5129" spans="1:10" ht="14.25" hidden="1" customHeight="1" x14ac:dyDescent="0.25">
      <c r="A5129" s="174"/>
      <c r="B5129" s="177"/>
      <c r="C5129" s="43" t="s">
        <v>10614</v>
      </c>
      <c r="D5129" s="43" t="s">
        <v>2800</v>
      </c>
      <c r="E5129" s="44">
        <v>0.2399</v>
      </c>
      <c r="F5129" s="38">
        <v>23.693000000000001</v>
      </c>
      <c r="G5129" s="38">
        <f>IF(ISNUMBER(F5129),E5129*F5129,"")</f>
        <v>5.6839507000000005</v>
      </c>
      <c r="H5129" s="42"/>
      <c r="I5129" s="38"/>
      <c r="J5129" s="37">
        <v>0</v>
      </c>
    </row>
    <row r="5130" spans="1:10" ht="25.5" hidden="1" x14ac:dyDescent="0.25">
      <c r="A5130" s="174"/>
      <c r="B5130" s="177"/>
      <c r="C5130" s="43" t="s">
        <v>1026</v>
      </c>
      <c r="D5130" s="43" t="s">
        <v>68</v>
      </c>
      <c r="E5130" s="44">
        <v>1</v>
      </c>
      <c r="F5130" s="70" t="s">
        <v>13</v>
      </c>
      <c r="G5130" s="70" t="str">
        <f>IF(ISNUMBER(F5130),E5130*F5130,"")</f>
        <v/>
      </c>
      <c r="H5130" s="71"/>
      <c r="I5130" s="47"/>
      <c r="J5130" s="37">
        <v>0</v>
      </c>
    </row>
    <row r="5131" spans="1:10" ht="15.75" hidden="1" thickBot="1" x14ac:dyDescent="0.3">
      <c r="A5131" s="175"/>
      <c r="B5131" s="178"/>
      <c r="C5131" s="49"/>
      <c r="D5131" s="49"/>
      <c r="E5131" s="50"/>
      <c r="F5131" s="51" t="s">
        <v>13</v>
      </c>
      <c r="G5131" s="51" t="str">
        <f>IF(ISNUMBER(F5131),E5131*F5131,"")</f>
        <v/>
      </c>
      <c r="H5131" s="53"/>
      <c r="I5131" s="38"/>
      <c r="J5131" s="37">
        <v>0</v>
      </c>
    </row>
    <row r="5132" spans="1:10" ht="15.75" hidden="1" thickBot="1" x14ac:dyDescent="0.3">
      <c r="A5132" s="173" t="s">
        <v>1218</v>
      </c>
      <c r="B5132" s="176" t="s">
        <v>4791</v>
      </c>
      <c r="C5132" s="31"/>
      <c r="D5132" s="32" t="s">
        <v>106</v>
      </c>
      <c r="E5132" s="33"/>
      <c r="F5132" s="54" t="s">
        <v>13</v>
      </c>
      <c r="G5132" s="34" t="str">
        <f>IF(ISNUMBER(F5132),E5132*F5132,"")</f>
        <v/>
      </c>
      <c r="H5132" s="35"/>
      <c r="I5132" s="36"/>
      <c r="J5132" s="37">
        <v>0</v>
      </c>
    </row>
    <row r="5133" spans="1:10" hidden="1" x14ac:dyDescent="0.25">
      <c r="A5133" s="174"/>
      <c r="B5133" s="177"/>
      <c r="C5133" s="39"/>
      <c r="D5133" s="39"/>
      <c r="E5133" s="40"/>
      <c r="F5133" s="55" t="s">
        <v>13</v>
      </c>
      <c r="G5133" s="38" t="str">
        <f>IF(ISNUMBER(F5133),E5133*F5133,"")</f>
        <v/>
      </c>
      <c r="H5133" s="42"/>
      <c r="I5133" s="38"/>
      <c r="J5133" s="37">
        <v>0</v>
      </c>
    </row>
    <row r="5134" spans="1:10" hidden="1" x14ac:dyDescent="0.25">
      <c r="A5134" s="174"/>
      <c r="B5134" s="177"/>
      <c r="C5134" s="43" t="s">
        <v>10750</v>
      </c>
      <c r="D5134" s="43" t="s">
        <v>2800</v>
      </c>
      <c r="E5134" s="44">
        <v>0.5</v>
      </c>
      <c r="F5134" s="41">
        <v>24.358000000000001</v>
      </c>
      <c r="G5134" s="41">
        <f>IF(ISNUMBER(F5134),E5134*F5134,"")</f>
        <v>12.179</v>
      </c>
      <c r="H5134" s="46">
        <f>SUM(G5134:G5134)</f>
        <v>12.179</v>
      </c>
      <c r="I5134" s="47"/>
      <c r="J5134" s="37">
        <v>0</v>
      </c>
    </row>
    <row r="5135" spans="1:10" ht="15.75" hidden="1" thickBot="1" x14ac:dyDescent="0.3">
      <c r="A5135" s="175"/>
      <c r="B5135" s="178"/>
      <c r="C5135" s="49"/>
      <c r="D5135" s="49"/>
      <c r="E5135" s="50"/>
      <c r="F5135" s="51" t="s">
        <v>13</v>
      </c>
      <c r="G5135" s="51" t="str">
        <f>IF(ISNUMBER(F5135),E5135*F5135,"")</f>
        <v/>
      </c>
      <c r="H5135" s="53"/>
      <c r="I5135" s="38"/>
      <c r="J5135" s="37">
        <v>0</v>
      </c>
    </row>
    <row r="5136" spans="1:10" ht="15.75" hidden="1" thickBot="1" x14ac:dyDescent="0.3">
      <c r="A5136" s="173" t="s">
        <v>1219</v>
      </c>
      <c r="B5136" s="176" t="s">
        <v>4792</v>
      </c>
      <c r="C5136" s="31"/>
      <c r="D5136" s="32" t="s">
        <v>106</v>
      </c>
      <c r="E5136" s="33"/>
      <c r="F5136" s="54" t="s">
        <v>13</v>
      </c>
      <c r="G5136" s="34" t="str">
        <f>IF(ISNUMBER(F5136),E5136*F5136,"")</f>
        <v/>
      </c>
      <c r="H5136" s="35"/>
      <c r="I5136" s="36"/>
      <c r="J5136" s="37">
        <v>0</v>
      </c>
    </row>
    <row r="5137" spans="1:10" hidden="1" x14ac:dyDescent="0.25">
      <c r="A5137" s="174"/>
      <c r="B5137" s="177"/>
      <c r="C5137" s="39"/>
      <c r="D5137" s="39"/>
      <c r="E5137" s="40"/>
      <c r="F5137" s="55" t="s">
        <v>13</v>
      </c>
      <c r="G5137" s="38" t="str">
        <f>IF(ISNUMBER(F5137),E5137*F5137,"")</f>
        <v/>
      </c>
      <c r="H5137" s="42"/>
      <c r="I5137" s="38"/>
      <c r="J5137" s="37">
        <v>0</v>
      </c>
    </row>
    <row r="5138" spans="1:10" ht="25.5" hidden="1" x14ac:dyDescent="0.25">
      <c r="A5138" s="174"/>
      <c r="B5138" s="177"/>
      <c r="C5138" s="43" t="s">
        <v>11189</v>
      </c>
      <c r="D5138" s="43" t="s">
        <v>1302</v>
      </c>
      <c r="E5138" s="44">
        <v>1.0492999999999999</v>
      </c>
      <c r="F5138" s="41">
        <v>18.040499999999998</v>
      </c>
      <c r="G5138" s="41">
        <f>IF(ISNUMBER(F5138),E5138*F5138,"")</f>
        <v>18.929896649999996</v>
      </c>
      <c r="H5138" s="46">
        <f>SUM(G5138:G5140)</f>
        <v>37.884879949999998</v>
      </c>
      <c r="I5138" s="47"/>
      <c r="J5138" s="37">
        <v>0</v>
      </c>
    </row>
    <row r="5139" spans="1:10" ht="25.5" hidden="1" x14ac:dyDescent="0.25">
      <c r="A5139" s="174"/>
      <c r="B5139" s="177"/>
      <c r="C5139" s="43" t="s">
        <v>10753</v>
      </c>
      <c r="D5139" s="43" t="s">
        <v>2800</v>
      </c>
      <c r="E5139" s="44">
        <v>0.34870000000000001</v>
      </c>
      <c r="F5139" s="41">
        <v>23.997</v>
      </c>
      <c r="G5139" s="41">
        <f>IF(ISNUMBER(F5139),E5139*F5139,"")</f>
        <v>8.3677539000000003</v>
      </c>
      <c r="H5139" s="58"/>
      <c r="I5139" s="59"/>
      <c r="J5139" s="37">
        <v>0</v>
      </c>
    </row>
    <row r="5140" spans="1:10" ht="25.5" hidden="1" x14ac:dyDescent="0.25">
      <c r="A5140" s="174"/>
      <c r="B5140" s="177"/>
      <c r="C5140" s="43" t="s">
        <v>10754</v>
      </c>
      <c r="D5140" s="43" t="s">
        <v>2800</v>
      </c>
      <c r="E5140" s="44">
        <v>0.34870000000000001</v>
      </c>
      <c r="F5140" s="38">
        <v>30.361999999999998</v>
      </c>
      <c r="G5140" s="38">
        <f>IF(ISNUMBER(F5140),E5140*F5140,"")</f>
        <v>10.5872294</v>
      </c>
      <c r="H5140" s="42"/>
      <c r="I5140" s="38"/>
      <c r="J5140" s="37">
        <v>0</v>
      </c>
    </row>
    <row r="5141" spans="1:10" ht="15.75" hidden="1" thickBot="1" x14ac:dyDescent="0.3">
      <c r="A5141" s="175"/>
      <c r="B5141" s="178"/>
      <c r="C5141" s="49"/>
      <c r="D5141" s="49"/>
      <c r="E5141" s="50"/>
      <c r="F5141" s="51" t="s">
        <v>13</v>
      </c>
      <c r="G5141" s="51" t="str">
        <f>IF(ISNUMBER(F5141),E5141*F5141,"")</f>
        <v/>
      </c>
      <c r="H5141" s="53"/>
      <c r="I5141" s="38"/>
      <c r="J5141" s="37">
        <v>0</v>
      </c>
    </row>
    <row r="5142" spans="1:10" ht="15.75" hidden="1" thickBot="1" x14ac:dyDescent="0.3">
      <c r="A5142" s="173" t="s">
        <v>1220</v>
      </c>
      <c r="B5142" s="176" t="s">
        <v>4793</v>
      </c>
      <c r="C5142" s="31"/>
      <c r="D5142" s="32" t="s">
        <v>106</v>
      </c>
      <c r="E5142" s="33"/>
      <c r="F5142" s="54" t="s">
        <v>13</v>
      </c>
      <c r="G5142" s="34" t="str">
        <f>IF(ISNUMBER(F5142),E5142*F5142,"")</f>
        <v/>
      </c>
      <c r="H5142" s="35"/>
      <c r="I5142" s="36"/>
      <c r="J5142" s="37">
        <v>0</v>
      </c>
    </row>
    <row r="5143" spans="1:10" hidden="1" x14ac:dyDescent="0.25">
      <c r="A5143" s="174"/>
      <c r="B5143" s="177"/>
      <c r="C5143" s="39"/>
      <c r="D5143" s="39"/>
      <c r="E5143" s="40"/>
      <c r="F5143" s="55" t="s">
        <v>13</v>
      </c>
      <c r="G5143" s="38" t="str">
        <f>IF(ISNUMBER(F5143),E5143*F5143,"")</f>
        <v/>
      </c>
      <c r="H5143" s="42"/>
      <c r="I5143" s="38"/>
      <c r="J5143" s="37">
        <v>0</v>
      </c>
    </row>
    <row r="5144" spans="1:10" ht="25.5" hidden="1" x14ac:dyDescent="0.25">
      <c r="A5144" s="174"/>
      <c r="B5144" s="177"/>
      <c r="C5144" s="43" t="s">
        <v>11190</v>
      </c>
      <c r="D5144" s="43" t="s">
        <v>1302</v>
      </c>
      <c r="E5144" s="44">
        <v>1.0492999999999999</v>
      </c>
      <c r="F5144" s="41">
        <v>31.0745</v>
      </c>
      <c r="G5144" s="41">
        <f>IF(ISNUMBER(F5144),E5144*F5144,"")</f>
        <v>32.606472849999996</v>
      </c>
      <c r="H5144" s="46">
        <f>SUM(G5144:G5146)</f>
        <v>54.964329549999995</v>
      </c>
      <c r="I5144" s="47"/>
      <c r="J5144" s="37">
        <v>0</v>
      </c>
    </row>
    <row r="5145" spans="1:10" ht="25.5" hidden="1" x14ac:dyDescent="0.25">
      <c r="A5145" s="174"/>
      <c r="B5145" s="177"/>
      <c r="C5145" s="43" t="s">
        <v>10753</v>
      </c>
      <c r="D5145" s="43" t="s">
        <v>2800</v>
      </c>
      <c r="E5145" s="44">
        <v>0.4113</v>
      </c>
      <c r="F5145" s="41">
        <v>23.997</v>
      </c>
      <c r="G5145" s="41">
        <f>IF(ISNUMBER(F5145),E5145*F5145,"")</f>
        <v>9.8699660999999992</v>
      </c>
      <c r="H5145" s="58"/>
      <c r="I5145" s="59"/>
      <c r="J5145" s="37">
        <v>0</v>
      </c>
    </row>
    <row r="5146" spans="1:10" ht="25.5" hidden="1" x14ac:dyDescent="0.25">
      <c r="A5146" s="174"/>
      <c r="B5146" s="177"/>
      <c r="C5146" s="43" t="s">
        <v>10754</v>
      </c>
      <c r="D5146" s="43" t="s">
        <v>2800</v>
      </c>
      <c r="E5146" s="44">
        <v>0.4113</v>
      </c>
      <c r="F5146" s="38">
        <v>30.361999999999998</v>
      </c>
      <c r="G5146" s="38">
        <f>IF(ISNUMBER(F5146),E5146*F5146,"")</f>
        <v>12.4878906</v>
      </c>
      <c r="H5146" s="42"/>
      <c r="I5146" s="38"/>
      <c r="J5146" s="37">
        <v>0</v>
      </c>
    </row>
    <row r="5147" spans="1:10" ht="15.75" hidden="1" thickBot="1" x14ac:dyDescent="0.3">
      <c r="A5147" s="175"/>
      <c r="B5147" s="178"/>
      <c r="C5147" s="49"/>
      <c r="D5147" s="49"/>
      <c r="E5147" s="50"/>
      <c r="F5147" s="51" t="s">
        <v>13</v>
      </c>
      <c r="G5147" s="51" t="str">
        <f>IF(ISNUMBER(F5147),E5147*F5147,"")</f>
        <v/>
      </c>
      <c r="H5147" s="53"/>
      <c r="I5147" s="38"/>
      <c r="J5147" s="37">
        <v>0</v>
      </c>
    </row>
    <row r="5148" spans="1:10" ht="15.75" hidden="1" thickBot="1" x14ac:dyDescent="0.3">
      <c r="A5148" s="173" t="s">
        <v>1221</v>
      </c>
      <c r="B5148" s="176" t="s">
        <v>4794</v>
      </c>
      <c r="C5148" s="31"/>
      <c r="D5148" s="32" t="s">
        <v>18</v>
      </c>
      <c r="E5148" s="33"/>
      <c r="F5148" s="54" t="s">
        <v>13</v>
      </c>
      <c r="G5148" s="34" t="str">
        <f>IF(ISNUMBER(F5148),E5148*F5148,"")</f>
        <v/>
      </c>
      <c r="H5148" s="35"/>
      <c r="I5148" s="36"/>
      <c r="J5148" s="37">
        <v>0</v>
      </c>
    </row>
    <row r="5149" spans="1:10" hidden="1" x14ac:dyDescent="0.25">
      <c r="A5149" s="174"/>
      <c r="B5149" s="177"/>
      <c r="C5149" s="39"/>
      <c r="D5149" s="39"/>
      <c r="E5149" s="40"/>
      <c r="F5149" s="55" t="s">
        <v>13</v>
      </c>
      <c r="G5149" s="38" t="str">
        <f>IF(ISNUMBER(F5149),E5149*F5149,"")</f>
        <v/>
      </c>
      <c r="H5149" s="42"/>
      <c r="I5149" s="38"/>
      <c r="J5149" s="37">
        <v>0</v>
      </c>
    </row>
    <row r="5150" spans="1:10" ht="38.25" hidden="1" x14ac:dyDescent="0.25">
      <c r="A5150" s="174"/>
      <c r="B5150" s="177"/>
      <c r="C5150" s="43" t="s">
        <v>10914</v>
      </c>
      <c r="D5150" s="43" t="s">
        <v>83</v>
      </c>
      <c r="E5150" s="44">
        <v>2</v>
      </c>
      <c r="F5150" s="41">
        <v>19.741</v>
      </c>
      <c r="G5150" s="41">
        <f>IF(ISNUMBER(F5150),E5150*F5150,"")</f>
        <v>39.481999999999999</v>
      </c>
      <c r="H5150" s="46">
        <f>SUM(G5150:G5154)</f>
        <v>84.426995899999994</v>
      </c>
      <c r="I5150" s="47"/>
      <c r="J5150" s="37">
        <v>0</v>
      </c>
    </row>
    <row r="5151" spans="1:10" ht="25.5" hidden="1" x14ac:dyDescent="0.25">
      <c r="A5151" s="174"/>
      <c r="B5151" s="177"/>
      <c r="C5151" s="43" t="s">
        <v>10897</v>
      </c>
      <c r="D5151" s="43" t="s">
        <v>83</v>
      </c>
      <c r="E5151" s="44">
        <v>1</v>
      </c>
      <c r="F5151" s="41">
        <v>15.266499999999999</v>
      </c>
      <c r="G5151" s="41">
        <f>IF(ISNUMBER(F5151),E5151*F5151,"")</f>
        <v>15.266499999999999</v>
      </c>
      <c r="H5151" s="42"/>
      <c r="I5151" s="47"/>
      <c r="J5151" s="37">
        <v>0</v>
      </c>
    </row>
    <row r="5152" spans="1:10" hidden="1" x14ac:dyDescent="0.25">
      <c r="A5152" s="174"/>
      <c r="B5152" s="177"/>
      <c r="C5152" s="43" t="s">
        <v>10877</v>
      </c>
      <c r="D5152" s="43" t="s">
        <v>1044</v>
      </c>
      <c r="E5152" s="44">
        <v>8.8099999999999998E-2</v>
      </c>
      <c r="F5152" s="41">
        <v>71.667999999999992</v>
      </c>
      <c r="G5152" s="41">
        <f>IF(ISNUMBER(F5152),E5152*F5152,"")</f>
        <v>6.3139507999999989</v>
      </c>
      <c r="H5152" s="42"/>
      <c r="I5152" s="38"/>
      <c r="J5152" s="37">
        <v>0</v>
      </c>
    </row>
    <row r="5153" spans="1:10" ht="25.5" hidden="1" x14ac:dyDescent="0.25">
      <c r="A5153" s="174"/>
      <c r="B5153" s="177"/>
      <c r="C5153" s="43" t="s">
        <v>10754</v>
      </c>
      <c r="D5153" s="43" t="s">
        <v>2800</v>
      </c>
      <c r="E5153" s="44">
        <v>0.49680000000000002</v>
      </c>
      <c r="F5153" s="38">
        <v>30.361999999999998</v>
      </c>
      <c r="G5153" s="41">
        <f>IF(ISNUMBER(F5153),E5153*F5153,"")</f>
        <v>15.0838416</v>
      </c>
      <c r="H5153" s="42"/>
      <c r="I5153" s="38"/>
      <c r="J5153" s="37">
        <v>0</v>
      </c>
    </row>
    <row r="5154" spans="1:10" hidden="1" x14ac:dyDescent="0.25">
      <c r="A5154" s="174"/>
      <c r="B5154" s="177"/>
      <c r="C5154" s="43" t="s">
        <v>10614</v>
      </c>
      <c r="D5154" s="43" t="s">
        <v>2800</v>
      </c>
      <c r="E5154" s="44">
        <v>0.34949999999999998</v>
      </c>
      <c r="F5154" s="38">
        <v>23.693000000000001</v>
      </c>
      <c r="G5154" s="41">
        <f>IF(ISNUMBER(F5154),E5154*F5154,"")</f>
        <v>8.2807034999999996</v>
      </c>
      <c r="H5154" s="42"/>
      <c r="I5154" s="38"/>
      <c r="J5154" s="37">
        <v>0</v>
      </c>
    </row>
    <row r="5155" spans="1:10" ht="15.75" hidden="1" thickBot="1" x14ac:dyDescent="0.3">
      <c r="A5155" s="175"/>
      <c r="B5155" s="178"/>
      <c r="C5155" s="49"/>
      <c r="D5155" s="49"/>
      <c r="E5155" s="50"/>
      <c r="F5155" s="51" t="s">
        <v>13</v>
      </c>
      <c r="G5155" s="51" t="str">
        <f>IF(ISNUMBER(F5155),E5155*F5155,"")</f>
        <v/>
      </c>
      <c r="H5155" s="53"/>
      <c r="I5155" s="38"/>
      <c r="J5155" s="37">
        <v>0</v>
      </c>
    </row>
    <row r="5156" spans="1:10" ht="15.75" hidden="1" thickBot="1" x14ac:dyDescent="0.3">
      <c r="A5156" s="173" t="s">
        <v>1222</v>
      </c>
      <c r="B5156" s="176" t="s">
        <v>4795</v>
      </c>
      <c r="C5156" s="31"/>
      <c r="D5156" s="32" t="s">
        <v>18</v>
      </c>
      <c r="E5156" s="33"/>
      <c r="F5156" s="54" t="s">
        <v>13</v>
      </c>
      <c r="G5156" s="34" t="str">
        <f>IF(ISNUMBER(F5156),E5156*F5156,"")</f>
        <v/>
      </c>
      <c r="H5156" s="35"/>
      <c r="I5156" s="36"/>
      <c r="J5156" s="37">
        <v>0</v>
      </c>
    </row>
    <row r="5157" spans="1:10" hidden="1" x14ac:dyDescent="0.25">
      <c r="A5157" s="174"/>
      <c r="B5157" s="177"/>
      <c r="C5157" s="39"/>
      <c r="D5157" s="39"/>
      <c r="E5157" s="40"/>
      <c r="F5157" s="55" t="s">
        <v>13</v>
      </c>
      <c r="G5157" s="38" t="str">
        <f>IF(ISNUMBER(F5157),E5157*F5157,"")</f>
        <v/>
      </c>
      <c r="H5157" s="42"/>
      <c r="I5157" s="38"/>
      <c r="J5157" s="37">
        <v>0</v>
      </c>
    </row>
    <row r="5158" spans="1:10" ht="25.5" hidden="1" x14ac:dyDescent="0.25">
      <c r="A5158" s="174"/>
      <c r="B5158" s="177"/>
      <c r="C5158" s="43" t="s">
        <v>10754</v>
      </c>
      <c r="D5158" s="43" t="s">
        <v>2800</v>
      </c>
      <c r="E5158" s="44">
        <v>0.5</v>
      </c>
      <c r="F5158" s="38">
        <v>30.361999999999998</v>
      </c>
      <c r="G5158" s="38">
        <f>IF(ISNUMBER(F5158),E5158*F5158,"")</f>
        <v>15.180999999999999</v>
      </c>
      <c r="H5158" s="46">
        <f>SUM(G5158:G5161)</f>
        <v>27.317825699999997</v>
      </c>
      <c r="I5158" s="47"/>
      <c r="J5158" s="37">
        <v>0</v>
      </c>
    </row>
    <row r="5159" spans="1:10" ht="25.5" hidden="1" x14ac:dyDescent="0.25">
      <c r="A5159" s="174"/>
      <c r="B5159" s="177"/>
      <c r="C5159" s="43" t="s">
        <v>10753</v>
      </c>
      <c r="D5159" s="43" t="s">
        <v>2800</v>
      </c>
      <c r="E5159" s="44">
        <v>0.5</v>
      </c>
      <c r="F5159" s="41">
        <v>23.997</v>
      </c>
      <c r="G5159" s="41">
        <f>IF(ISNUMBER(F5159),E5159*F5159,"")</f>
        <v>11.9985</v>
      </c>
      <c r="H5159" s="42"/>
      <c r="I5159" s="38"/>
      <c r="J5159" s="37">
        <v>0</v>
      </c>
    </row>
    <row r="5160" spans="1:10" hidden="1" x14ac:dyDescent="0.25">
      <c r="A5160" s="174"/>
      <c r="B5160" s="177"/>
      <c r="C5160" s="43" t="s">
        <v>10907</v>
      </c>
      <c r="D5160" s="43" t="s">
        <v>83</v>
      </c>
      <c r="E5160" s="44">
        <f>0.47/50</f>
        <v>9.3999999999999986E-3</v>
      </c>
      <c r="F5160" s="41">
        <v>14.715499999999999</v>
      </c>
      <c r="G5160" s="41">
        <f>IF(ISNUMBER(F5160),E5160*F5160,"")</f>
        <v>0.13832569999999997</v>
      </c>
      <c r="H5160" s="42"/>
      <c r="I5160" s="38"/>
      <c r="J5160" s="37">
        <v>0</v>
      </c>
    </row>
    <row r="5161" spans="1:10" hidden="1" x14ac:dyDescent="0.25">
      <c r="A5161" s="174"/>
      <c r="B5161" s="177"/>
      <c r="C5161" s="43" t="s">
        <v>1223</v>
      </c>
      <c r="D5161" s="43" t="s">
        <v>83</v>
      </c>
      <c r="E5161" s="44">
        <v>1</v>
      </c>
      <c r="F5161" s="38" t="s">
        <v>13</v>
      </c>
      <c r="G5161" s="41" t="str">
        <f>IF(ISNUMBER(F5161),E5161*F5161,"")</f>
        <v/>
      </c>
      <c r="H5161" s="42"/>
      <c r="I5161" s="38"/>
      <c r="J5161" s="37">
        <v>0</v>
      </c>
    </row>
    <row r="5162" spans="1:10" ht="15.75" hidden="1" thickBot="1" x14ac:dyDescent="0.3">
      <c r="A5162" s="175"/>
      <c r="B5162" s="178"/>
      <c r="C5162" s="49"/>
      <c r="D5162" s="49"/>
      <c r="E5162" s="50"/>
      <c r="F5162" s="51" t="s">
        <v>13</v>
      </c>
      <c r="G5162" s="51" t="str">
        <f>IF(ISNUMBER(F5162),E5162*F5162,"")</f>
        <v/>
      </c>
      <c r="H5162" s="53"/>
      <c r="I5162" s="38"/>
      <c r="J5162" s="37">
        <v>0</v>
      </c>
    </row>
    <row r="5163" spans="1:10" ht="15.75" hidden="1" thickBot="1" x14ac:dyDescent="0.3">
      <c r="A5163" s="173" t="s">
        <v>1224</v>
      </c>
      <c r="B5163" s="176" t="s">
        <v>4796</v>
      </c>
      <c r="C5163" s="31"/>
      <c r="D5163" s="32" t="s">
        <v>18</v>
      </c>
      <c r="E5163" s="33"/>
      <c r="F5163" s="60" t="s">
        <v>13</v>
      </c>
      <c r="G5163" s="34" t="str">
        <f>IF(ISNUMBER(F5163),E5163*F5163,"")</f>
        <v/>
      </c>
      <c r="H5163" s="35"/>
      <c r="I5163" s="36"/>
      <c r="J5163" s="37">
        <v>0</v>
      </c>
    </row>
    <row r="5164" spans="1:10" hidden="1" x14ac:dyDescent="0.25">
      <c r="A5164" s="179"/>
      <c r="B5164" s="177"/>
      <c r="C5164" s="39"/>
      <c r="D5164" s="39"/>
      <c r="E5164" s="40"/>
      <c r="F5164" s="70" t="s">
        <v>13</v>
      </c>
      <c r="G5164" s="70" t="str">
        <f>IF(ISNUMBER(F5164),E5164*F5164,"")</f>
        <v/>
      </c>
      <c r="H5164" s="71"/>
      <c r="I5164" s="72"/>
      <c r="J5164" s="37">
        <v>0</v>
      </c>
    </row>
    <row r="5165" spans="1:10" hidden="1" x14ac:dyDescent="0.25">
      <c r="A5165" s="179"/>
      <c r="B5165" s="177"/>
      <c r="C5165" s="43" t="s">
        <v>1225</v>
      </c>
      <c r="D5165" s="43" t="s">
        <v>83</v>
      </c>
      <c r="E5165" s="44">
        <v>1</v>
      </c>
      <c r="F5165" s="70" t="s">
        <v>13</v>
      </c>
      <c r="G5165" s="70" t="str">
        <f>IF(ISNUMBER(F5165),E5165*F5165,"")</f>
        <v/>
      </c>
      <c r="H5165" s="46">
        <f>SUM(G5165:G5168)</f>
        <v>16.980100499999999</v>
      </c>
      <c r="I5165" s="47"/>
      <c r="J5165" s="37">
        <v>0</v>
      </c>
    </row>
    <row r="5166" spans="1:10" hidden="1" x14ac:dyDescent="0.25">
      <c r="A5166" s="179"/>
      <c r="B5166" s="177"/>
      <c r="C5166" s="43" t="s">
        <v>10916</v>
      </c>
      <c r="D5166" s="43" t="s">
        <v>83</v>
      </c>
      <c r="E5166" s="44">
        <v>2.1000000000000001E-2</v>
      </c>
      <c r="F5166" s="70">
        <v>3.9899999999999998</v>
      </c>
      <c r="G5166" s="70">
        <f>IF(ISNUMBER(F5166),E5166*F5166,"")</f>
        <v>8.3790000000000003E-2</v>
      </c>
      <c r="H5166" s="71"/>
      <c r="I5166" s="72"/>
      <c r="J5166" s="37">
        <v>0</v>
      </c>
    </row>
    <row r="5167" spans="1:10" ht="25.5" hidden="1" x14ac:dyDescent="0.25">
      <c r="A5167" s="179"/>
      <c r="B5167" s="177"/>
      <c r="C5167" s="43" t="s">
        <v>10754</v>
      </c>
      <c r="D5167" s="43" t="s">
        <v>2800</v>
      </c>
      <c r="E5167" s="44">
        <v>0.44669999999999999</v>
      </c>
      <c r="F5167" s="70">
        <v>30.361999999999998</v>
      </c>
      <c r="G5167" s="70">
        <f>IF(ISNUMBER(F5167),E5167*F5167,"")</f>
        <v>13.562705399999999</v>
      </c>
      <c r="H5167" s="71"/>
      <c r="I5167" s="72"/>
      <c r="J5167" s="37">
        <v>0</v>
      </c>
    </row>
    <row r="5168" spans="1:10" hidden="1" x14ac:dyDescent="0.25">
      <c r="A5168" s="179"/>
      <c r="B5168" s="177"/>
      <c r="C5168" s="43" t="s">
        <v>10614</v>
      </c>
      <c r="D5168" s="43" t="s">
        <v>2800</v>
      </c>
      <c r="E5168" s="44">
        <v>0.14069999999999999</v>
      </c>
      <c r="F5168" s="70">
        <v>23.693000000000001</v>
      </c>
      <c r="G5168" s="70">
        <f>IF(ISNUMBER(F5168),E5168*F5168,"")</f>
        <v>3.3336051000000002</v>
      </c>
      <c r="H5168" s="71"/>
      <c r="I5168" s="72"/>
      <c r="J5168" s="37">
        <v>0</v>
      </c>
    </row>
    <row r="5169" spans="1:10" ht="15.75" hidden="1" thickBot="1" x14ac:dyDescent="0.3">
      <c r="A5169" s="180"/>
      <c r="B5169" s="178"/>
      <c r="C5169" s="49"/>
      <c r="D5169" s="49"/>
      <c r="E5169" s="50"/>
      <c r="F5169" s="83" t="s">
        <v>13</v>
      </c>
      <c r="G5169" s="83" t="str">
        <f>IF(ISNUMBER(F5169),E5169*F5169,"")</f>
        <v/>
      </c>
      <c r="H5169" s="84"/>
      <c r="I5169" s="72"/>
      <c r="J5169" s="37">
        <v>0</v>
      </c>
    </row>
    <row r="5170" spans="1:10" ht="15.75" hidden="1" thickBot="1" x14ac:dyDescent="0.3">
      <c r="A5170" s="173" t="s">
        <v>1226</v>
      </c>
      <c r="B5170" s="176" t="s">
        <v>4797</v>
      </c>
      <c r="C5170" s="31"/>
      <c r="D5170" s="32" t="s">
        <v>18</v>
      </c>
      <c r="E5170" s="33"/>
      <c r="F5170" s="60" t="s">
        <v>13</v>
      </c>
      <c r="G5170" s="34" t="str">
        <f>IF(ISNUMBER(F5170),E5170*F5170,"")</f>
        <v/>
      </c>
      <c r="H5170" s="35"/>
      <c r="I5170" s="36"/>
      <c r="J5170" s="37">
        <v>0</v>
      </c>
    </row>
    <row r="5171" spans="1:10" hidden="1" x14ac:dyDescent="0.25">
      <c r="A5171" s="179"/>
      <c r="B5171" s="177"/>
      <c r="C5171" s="39"/>
      <c r="D5171" s="39"/>
      <c r="E5171" s="40"/>
      <c r="F5171" s="70" t="s">
        <v>13</v>
      </c>
      <c r="G5171" s="70" t="str">
        <f>IF(ISNUMBER(F5171),E5171*F5171,"")</f>
        <v/>
      </c>
      <c r="H5171" s="71"/>
      <c r="I5171" s="72"/>
      <c r="J5171" s="37">
        <v>0</v>
      </c>
    </row>
    <row r="5172" spans="1:10" ht="25.5" hidden="1" x14ac:dyDescent="0.25">
      <c r="A5172" s="179"/>
      <c r="B5172" s="177"/>
      <c r="C5172" s="43" t="s">
        <v>10753</v>
      </c>
      <c r="D5172" s="43" t="s">
        <v>2800</v>
      </c>
      <c r="E5172" s="44">
        <v>4</v>
      </c>
      <c r="F5172" s="38">
        <v>23.997</v>
      </c>
      <c r="G5172" s="70">
        <f>IF(ISNUMBER(F5172),E5172*F5172,"")</f>
        <v>95.988</v>
      </c>
      <c r="H5172" s="46">
        <f>SUM(G5172:G5176)</f>
        <v>330.55417199999994</v>
      </c>
      <c r="I5172" s="47"/>
      <c r="J5172" s="37">
        <v>0</v>
      </c>
    </row>
    <row r="5173" spans="1:10" ht="25.5" hidden="1" x14ac:dyDescent="0.25">
      <c r="A5173" s="179"/>
      <c r="B5173" s="177"/>
      <c r="C5173" s="43" t="s">
        <v>10754</v>
      </c>
      <c r="D5173" s="43" t="s">
        <v>2800</v>
      </c>
      <c r="E5173" s="44">
        <v>4</v>
      </c>
      <c r="F5173" s="38">
        <v>30.361999999999998</v>
      </c>
      <c r="G5173" s="70">
        <f>IF(ISNUMBER(F5173),E5173*F5173,"")</f>
        <v>121.44799999999999</v>
      </c>
      <c r="H5173" s="71"/>
      <c r="I5173" s="72"/>
      <c r="J5173" s="37">
        <v>0</v>
      </c>
    </row>
    <row r="5174" spans="1:10" hidden="1" x14ac:dyDescent="0.25">
      <c r="A5174" s="179"/>
      <c r="B5174" s="177"/>
      <c r="C5174" s="43" t="s">
        <v>10762</v>
      </c>
      <c r="D5174" s="43" t="s">
        <v>2800</v>
      </c>
      <c r="E5174" s="44">
        <v>2</v>
      </c>
      <c r="F5174" s="38">
        <v>24.946999999999999</v>
      </c>
      <c r="G5174" s="70">
        <f>IF(ISNUMBER(F5174),E5174*F5174,"")</f>
        <v>49.893999999999998</v>
      </c>
      <c r="H5174" s="71"/>
      <c r="I5174" s="72"/>
      <c r="J5174" s="37">
        <v>0</v>
      </c>
    </row>
    <row r="5175" spans="1:10" hidden="1" x14ac:dyDescent="0.25">
      <c r="A5175" s="179"/>
      <c r="B5175" s="177"/>
      <c r="C5175" s="43" t="s">
        <v>10763</v>
      </c>
      <c r="D5175" s="43" t="s">
        <v>2800</v>
      </c>
      <c r="E5175" s="44">
        <v>2</v>
      </c>
      <c r="F5175" s="38">
        <v>31.435500000000001</v>
      </c>
      <c r="G5175" s="70">
        <f>IF(ISNUMBER(F5175),E5175*F5175,"")</f>
        <v>62.871000000000002</v>
      </c>
      <c r="H5175" s="71"/>
      <c r="I5175" s="72"/>
      <c r="J5175" s="37">
        <v>0</v>
      </c>
    </row>
    <row r="5176" spans="1:10" hidden="1" x14ac:dyDescent="0.25">
      <c r="A5176" s="179"/>
      <c r="B5176" s="177"/>
      <c r="C5176" s="43" t="s">
        <v>10907</v>
      </c>
      <c r="D5176" s="43" t="s">
        <v>83</v>
      </c>
      <c r="E5176" s="44">
        <f>1.2/50</f>
        <v>2.4E-2</v>
      </c>
      <c r="F5176" s="70">
        <v>14.715499999999999</v>
      </c>
      <c r="G5176" s="70">
        <f>IF(ISNUMBER(F5176),E5176*F5176,"")</f>
        <v>0.35317199999999999</v>
      </c>
      <c r="H5176" s="71"/>
      <c r="I5176" s="72"/>
      <c r="J5176" s="37">
        <v>0</v>
      </c>
    </row>
    <row r="5177" spans="1:10" ht="15.75" hidden="1" thickBot="1" x14ac:dyDescent="0.3">
      <c r="A5177" s="180"/>
      <c r="B5177" s="178"/>
      <c r="C5177" s="49"/>
      <c r="D5177" s="63"/>
      <c r="E5177" s="50"/>
      <c r="F5177" s="83" t="s">
        <v>13</v>
      </c>
      <c r="G5177" s="83" t="str">
        <f>IF(ISNUMBER(F5177),E5177*F5177,"")</f>
        <v/>
      </c>
      <c r="H5177" s="84"/>
      <c r="I5177" s="72"/>
      <c r="J5177" s="37">
        <v>0</v>
      </c>
    </row>
    <row r="5178" spans="1:10" ht="15.75" hidden="1" thickBot="1" x14ac:dyDescent="0.3">
      <c r="A5178" s="173" t="s">
        <v>1227</v>
      </c>
      <c r="B5178" s="176" t="s">
        <v>4798</v>
      </c>
      <c r="C5178" s="31"/>
      <c r="D5178" s="32" t="s">
        <v>18</v>
      </c>
      <c r="E5178" s="33"/>
      <c r="F5178" s="54" t="s">
        <v>13</v>
      </c>
      <c r="G5178" s="34" t="str">
        <f>IF(ISNUMBER(F5178),E5178*F5178,"")</f>
        <v/>
      </c>
      <c r="H5178" s="35"/>
      <c r="I5178" s="36"/>
      <c r="J5178" s="37">
        <v>0</v>
      </c>
    </row>
    <row r="5179" spans="1:10" hidden="1" x14ac:dyDescent="0.25">
      <c r="A5179" s="174"/>
      <c r="B5179" s="177"/>
      <c r="C5179" s="39"/>
      <c r="D5179" s="39"/>
      <c r="E5179" s="40"/>
      <c r="F5179" s="55" t="s">
        <v>13</v>
      </c>
      <c r="G5179" s="38" t="str">
        <f>IF(ISNUMBER(F5179),E5179*F5179,"")</f>
        <v/>
      </c>
      <c r="H5179" s="42"/>
      <c r="I5179" s="38"/>
      <c r="J5179" s="37">
        <v>0</v>
      </c>
    </row>
    <row r="5180" spans="1:10" ht="25.5" hidden="1" x14ac:dyDescent="0.25">
      <c r="A5180" s="174"/>
      <c r="B5180" s="177"/>
      <c r="C5180" s="43" t="s">
        <v>1228</v>
      </c>
      <c r="D5180" s="62" t="s">
        <v>87</v>
      </c>
      <c r="E5180" s="44">
        <v>1</v>
      </c>
      <c r="F5180" s="41" t="s">
        <v>13</v>
      </c>
      <c r="G5180" s="41" t="str">
        <f>IF(ISNUMBER(F5180),E5180*F5180,"")</f>
        <v/>
      </c>
      <c r="H5180" s="46">
        <f>SUM(G5180:G5182)</f>
        <v>23.917538199999999</v>
      </c>
      <c r="I5180" s="47"/>
      <c r="J5180" s="37">
        <v>0</v>
      </c>
    </row>
    <row r="5181" spans="1:10" ht="25.5" hidden="1" x14ac:dyDescent="0.25">
      <c r="A5181" s="174"/>
      <c r="B5181" s="177"/>
      <c r="C5181" s="43" t="s">
        <v>10754</v>
      </c>
      <c r="D5181" s="43" t="s">
        <v>2800</v>
      </c>
      <c r="E5181" s="44">
        <v>0.63229999999999997</v>
      </c>
      <c r="F5181" s="38">
        <v>30.361999999999998</v>
      </c>
      <c r="G5181" s="41">
        <f>IF(ISNUMBER(F5181),E5181*F5181,"")</f>
        <v>19.197892599999999</v>
      </c>
      <c r="H5181" s="42"/>
      <c r="I5181" s="38"/>
      <c r="J5181" s="37">
        <v>0</v>
      </c>
    </row>
    <row r="5182" spans="1:10" hidden="1" x14ac:dyDescent="0.25">
      <c r="A5182" s="174"/>
      <c r="B5182" s="177"/>
      <c r="C5182" s="43" t="s">
        <v>10614</v>
      </c>
      <c r="D5182" s="43" t="s">
        <v>2800</v>
      </c>
      <c r="E5182" s="44">
        <v>0.19919999999999999</v>
      </c>
      <c r="F5182" s="38">
        <v>23.693000000000001</v>
      </c>
      <c r="G5182" s="41">
        <f>IF(ISNUMBER(F5182),E5182*F5182,"")</f>
        <v>4.7196455999999998</v>
      </c>
      <c r="H5182" s="42"/>
      <c r="I5182" s="38"/>
      <c r="J5182" s="37">
        <v>0</v>
      </c>
    </row>
    <row r="5183" spans="1:10" ht="15.75" hidden="1" thickBot="1" x14ac:dyDescent="0.3">
      <c r="A5183" s="175"/>
      <c r="B5183" s="178"/>
      <c r="C5183" s="49"/>
      <c r="D5183" s="49"/>
      <c r="E5183" s="50"/>
      <c r="F5183" s="51" t="s">
        <v>13</v>
      </c>
      <c r="G5183" s="51" t="str">
        <f>IF(ISNUMBER(F5183),E5183*F5183,"")</f>
        <v/>
      </c>
      <c r="H5183" s="53"/>
      <c r="I5183" s="38"/>
      <c r="J5183" s="37">
        <v>0</v>
      </c>
    </row>
    <row r="5184" spans="1:10" ht="15.75" hidden="1" thickBot="1" x14ac:dyDescent="0.3">
      <c r="A5184" s="173" t="s">
        <v>1229</v>
      </c>
      <c r="B5184" s="176" t="s">
        <v>4799</v>
      </c>
      <c r="C5184" s="31"/>
      <c r="D5184" s="32" t="s">
        <v>18</v>
      </c>
      <c r="E5184" s="33"/>
      <c r="F5184" s="54" t="s">
        <v>13</v>
      </c>
      <c r="G5184" s="34" t="str">
        <f>IF(ISNUMBER(F5184),E5184*F5184,"")</f>
        <v/>
      </c>
      <c r="H5184" s="35"/>
      <c r="I5184" s="36"/>
      <c r="J5184" s="37">
        <v>0</v>
      </c>
    </row>
    <row r="5185" spans="1:10" hidden="1" x14ac:dyDescent="0.25">
      <c r="A5185" s="174"/>
      <c r="B5185" s="177"/>
      <c r="C5185" s="39"/>
      <c r="D5185" s="39"/>
      <c r="E5185" s="40"/>
      <c r="F5185" s="55" t="s">
        <v>13</v>
      </c>
      <c r="G5185" s="38" t="str">
        <f>IF(ISNUMBER(F5185),E5185*F5185,"")</f>
        <v/>
      </c>
      <c r="H5185" s="42"/>
      <c r="I5185" s="38"/>
      <c r="J5185" s="37">
        <v>0</v>
      </c>
    </row>
    <row r="5186" spans="1:10" ht="25.5" hidden="1" x14ac:dyDescent="0.25">
      <c r="A5186" s="174"/>
      <c r="B5186" s="177"/>
      <c r="C5186" s="43" t="s">
        <v>1230</v>
      </c>
      <c r="D5186" s="62" t="s">
        <v>87</v>
      </c>
      <c r="E5186" s="44">
        <v>1</v>
      </c>
      <c r="F5186" s="41" t="s">
        <v>13</v>
      </c>
      <c r="G5186" s="41" t="str">
        <f>IF(ISNUMBER(F5186),E5186*F5186,"")</f>
        <v/>
      </c>
      <c r="H5186" s="46">
        <f>SUM(G5186:G5188)</f>
        <v>11.960287199999998</v>
      </c>
      <c r="I5186" s="47"/>
      <c r="J5186" s="37">
        <v>0</v>
      </c>
    </row>
    <row r="5187" spans="1:10" ht="25.5" hidden="1" x14ac:dyDescent="0.25">
      <c r="A5187" s="174"/>
      <c r="B5187" s="177"/>
      <c r="C5187" s="43" t="s">
        <v>10754</v>
      </c>
      <c r="D5187" s="43" t="s">
        <v>2800</v>
      </c>
      <c r="E5187" s="44">
        <v>0.31619999999999998</v>
      </c>
      <c r="F5187" s="38">
        <v>30.361999999999998</v>
      </c>
      <c r="G5187" s="41">
        <f>IF(ISNUMBER(F5187),E5187*F5187,"")</f>
        <v>9.6004643999999981</v>
      </c>
      <c r="H5187" s="42"/>
      <c r="I5187" s="38"/>
      <c r="J5187" s="37">
        <v>0</v>
      </c>
    </row>
    <row r="5188" spans="1:10" hidden="1" x14ac:dyDescent="0.25">
      <c r="A5188" s="174"/>
      <c r="B5188" s="177"/>
      <c r="C5188" s="43" t="s">
        <v>10614</v>
      </c>
      <c r="D5188" s="43" t="s">
        <v>2800</v>
      </c>
      <c r="E5188" s="44">
        <v>9.9599999999999994E-2</v>
      </c>
      <c r="F5188" s="38">
        <v>23.693000000000001</v>
      </c>
      <c r="G5188" s="41">
        <f>IF(ISNUMBER(F5188),E5188*F5188,"")</f>
        <v>2.3598227999999999</v>
      </c>
      <c r="H5188" s="42"/>
      <c r="I5188" s="38"/>
      <c r="J5188" s="37">
        <v>0</v>
      </c>
    </row>
    <row r="5189" spans="1:10" ht="15.75" hidden="1" thickBot="1" x14ac:dyDescent="0.3">
      <c r="A5189" s="175"/>
      <c r="B5189" s="178"/>
      <c r="C5189" s="49"/>
      <c r="D5189" s="49"/>
      <c r="E5189" s="50"/>
      <c r="F5189" s="51" t="s">
        <v>13</v>
      </c>
      <c r="G5189" s="51" t="str">
        <f>IF(ISNUMBER(F5189),E5189*F5189,"")</f>
        <v/>
      </c>
      <c r="H5189" s="53"/>
      <c r="I5189" s="38"/>
      <c r="J5189" s="37">
        <v>0</v>
      </c>
    </row>
    <row r="5190" spans="1:10" ht="15.75" hidden="1" thickBot="1" x14ac:dyDescent="0.3">
      <c r="A5190" s="173" t="s">
        <v>1231</v>
      </c>
      <c r="B5190" s="176" t="s">
        <v>4800</v>
      </c>
      <c r="C5190" s="31"/>
      <c r="D5190" s="32" t="s">
        <v>18</v>
      </c>
      <c r="E5190" s="33"/>
      <c r="F5190" s="54" t="s">
        <v>13</v>
      </c>
      <c r="G5190" s="34" t="str">
        <f>IF(ISNUMBER(F5190),E5190*F5190,"")</f>
        <v/>
      </c>
      <c r="H5190" s="35"/>
      <c r="I5190" s="36"/>
      <c r="J5190" s="37">
        <v>0</v>
      </c>
    </row>
    <row r="5191" spans="1:10" hidden="1" x14ac:dyDescent="0.25">
      <c r="A5191" s="174"/>
      <c r="B5191" s="177"/>
      <c r="C5191" s="39"/>
      <c r="D5191" s="39"/>
      <c r="E5191" s="40"/>
      <c r="F5191" s="55" t="s">
        <v>13</v>
      </c>
      <c r="G5191" s="38" t="str">
        <f>IF(ISNUMBER(F5191),E5191*F5191,"")</f>
        <v/>
      </c>
      <c r="H5191" s="42"/>
      <c r="I5191" s="38"/>
      <c r="J5191" s="37">
        <v>0</v>
      </c>
    </row>
    <row r="5192" spans="1:10" hidden="1" x14ac:dyDescent="0.25">
      <c r="A5192" s="174"/>
      <c r="B5192" s="177"/>
      <c r="C5192" s="43" t="s">
        <v>1232</v>
      </c>
      <c r="D5192" s="43" t="s">
        <v>18</v>
      </c>
      <c r="E5192" s="44">
        <v>1</v>
      </c>
      <c r="F5192" s="41" t="s">
        <v>13</v>
      </c>
      <c r="G5192" s="38" t="str">
        <f>IF(ISNUMBER(F5192),E5192*F5192,"")</f>
        <v/>
      </c>
      <c r="H5192" s="46">
        <f>SUM(G5192:G5194)</f>
        <v>20.354082499999997</v>
      </c>
      <c r="I5192" s="47"/>
      <c r="J5192" s="37">
        <v>0</v>
      </c>
    </row>
    <row r="5193" spans="1:10" hidden="1" x14ac:dyDescent="0.25">
      <c r="A5193" s="174"/>
      <c r="B5193" s="177"/>
      <c r="C5193" s="43" t="s">
        <v>10762</v>
      </c>
      <c r="D5193" s="43" t="s">
        <v>2800</v>
      </c>
      <c r="E5193" s="44">
        <v>0.36099999999999999</v>
      </c>
      <c r="F5193" s="38">
        <v>24.946999999999999</v>
      </c>
      <c r="G5193" s="41">
        <f>IF(ISNUMBER(F5193),E5193*F5193,"")</f>
        <v>9.0058669999999985</v>
      </c>
      <c r="H5193" s="42"/>
      <c r="I5193" s="38"/>
      <c r="J5193" s="37">
        <v>0</v>
      </c>
    </row>
    <row r="5194" spans="1:10" hidden="1" x14ac:dyDescent="0.25">
      <c r="A5194" s="174"/>
      <c r="B5194" s="177"/>
      <c r="C5194" s="43" t="s">
        <v>10763</v>
      </c>
      <c r="D5194" s="43" t="s">
        <v>2800</v>
      </c>
      <c r="E5194" s="44">
        <v>0.36099999999999999</v>
      </c>
      <c r="F5194" s="38">
        <v>31.435500000000001</v>
      </c>
      <c r="G5194" s="41">
        <f>IF(ISNUMBER(F5194),E5194*F5194,"")</f>
        <v>11.3482155</v>
      </c>
      <c r="H5194" s="42"/>
      <c r="I5194" s="38"/>
      <c r="J5194" s="37">
        <v>0</v>
      </c>
    </row>
    <row r="5195" spans="1:10" ht="15.75" hidden="1" thickBot="1" x14ac:dyDescent="0.3">
      <c r="A5195" s="175"/>
      <c r="B5195" s="178"/>
      <c r="C5195" s="49"/>
      <c r="D5195" s="49"/>
      <c r="E5195" s="50"/>
      <c r="F5195" s="51" t="s">
        <v>13</v>
      </c>
      <c r="G5195" s="51" t="str">
        <f>IF(ISNUMBER(F5195),E5195*F5195,"")</f>
        <v/>
      </c>
      <c r="H5195" s="53"/>
      <c r="I5195" s="38"/>
      <c r="J5195" s="37">
        <v>0</v>
      </c>
    </row>
    <row r="5196" spans="1:10" ht="15.75" hidden="1" thickBot="1" x14ac:dyDescent="0.3">
      <c r="A5196" s="173" t="s">
        <v>1233</v>
      </c>
      <c r="B5196" s="176" t="s">
        <v>4801</v>
      </c>
      <c r="C5196" s="31"/>
      <c r="D5196" s="32" t="s">
        <v>18</v>
      </c>
      <c r="E5196" s="33"/>
      <c r="F5196" s="54" t="s">
        <v>13</v>
      </c>
      <c r="G5196" s="34" t="str">
        <f>IF(ISNUMBER(F5196),E5196*F5196,"")</f>
        <v/>
      </c>
      <c r="H5196" s="35"/>
      <c r="I5196" s="36"/>
      <c r="J5196" s="37">
        <v>0</v>
      </c>
    </row>
    <row r="5197" spans="1:10" hidden="1" x14ac:dyDescent="0.25">
      <c r="A5197" s="174"/>
      <c r="B5197" s="177"/>
      <c r="C5197" s="39"/>
      <c r="D5197" s="39"/>
      <c r="E5197" s="40"/>
      <c r="F5197" s="55" t="s">
        <v>13</v>
      </c>
      <c r="G5197" s="38" t="str">
        <f>IF(ISNUMBER(F5197),E5197*F5197,"")</f>
        <v/>
      </c>
      <c r="H5197" s="42"/>
      <c r="I5197" s="38"/>
      <c r="J5197" s="37">
        <v>0</v>
      </c>
    </row>
    <row r="5198" spans="1:10" hidden="1" x14ac:dyDescent="0.25">
      <c r="A5198" s="174"/>
      <c r="B5198" s="177"/>
      <c r="C5198" s="43" t="s">
        <v>11191</v>
      </c>
      <c r="D5198" s="43" t="s">
        <v>83</v>
      </c>
      <c r="E5198" s="44">
        <v>1</v>
      </c>
      <c r="F5198" s="41">
        <v>7.9610000000000003</v>
      </c>
      <c r="G5198" s="38">
        <f>IF(ISNUMBER(F5198),E5198*F5198,"")</f>
        <v>7.9610000000000003</v>
      </c>
      <c r="H5198" s="46">
        <f>SUM(G5198:G5200)</f>
        <v>21.041740000000001</v>
      </c>
      <c r="I5198" s="47"/>
      <c r="J5198" s="37">
        <v>0</v>
      </c>
    </row>
    <row r="5199" spans="1:10" hidden="1" x14ac:dyDescent="0.25">
      <c r="A5199" s="174"/>
      <c r="B5199" s="177"/>
      <c r="C5199" s="43" t="s">
        <v>10762</v>
      </c>
      <c r="D5199" s="43" t="s">
        <v>2800</v>
      </c>
      <c r="E5199" s="44">
        <v>0.23200000000000001</v>
      </c>
      <c r="F5199" s="38">
        <v>24.946999999999999</v>
      </c>
      <c r="G5199" s="41">
        <f>IF(ISNUMBER(F5199),E5199*F5199,"")</f>
        <v>5.7877039999999997</v>
      </c>
      <c r="H5199" s="42"/>
      <c r="I5199" s="38"/>
      <c r="J5199" s="37">
        <v>0</v>
      </c>
    </row>
    <row r="5200" spans="1:10" hidden="1" x14ac:dyDescent="0.25">
      <c r="A5200" s="174"/>
      <c r="B5200" s="177"/>
      <c r="C5200" s="43" t="s">
        <v>10763</v>
      </c>
      <c r="D5200" s="43" t="s">
        <v>2800</v>
      </c>
      <c r="E5200" s="44">
        <v>0.23200000000000001</v>
      </c>
      <c r="F5200" s="38">
        <v>31.435500000000001</v>
      </c>
      <c r="G5200" s="41">
        <f>IF(ISNUMBER(F5200),E5200*F5200,"")</f>
        <v>7.2930360000000007</v>
      </c>
      <c r="H5200" s="42"/>
      <c r="I5200" s="38"/>
      <c r="J5200" s="37">
        <v>0</v>
      </c>
    </row>
    <row r="5201" spans="1:10" ht="15.75" hidden="1" thickBot="1" x14ac:dyDescent="0.3">
      <c r="A5201" s="175"/>
      <c r="B5201" s="178"/>
      <c r="C5201" s="49"/>
      <c r="D5201" s="49"/>
      <c r="E5201" s="50"/>
      <c r="F5201" s="51" t="s">
        <v>13</v>
      </c>
      <c r="G5201" s="51" t="str">
        <f>IF(ISNUMBER(F5201),E5201*F5201,"")</f>
        <v/>
      </c>
      <c r="H5201" s="53"/>
      <c r="I5201" s="38"/>
      <c r="J5201" s="37">
        <v>0</v>
      </c>
    </row>
    <row r="5202" spans="1:10" ht="15.75" hidden="1" thickBot="1" x14ac:dyDescent="0.3">
      <c r="A5202" s="173" t="s">
        <v>1234</v>
      </c>
      <c r="B5202" s="176" t="s">
        <v>4802</v>
      </c>
      <c r="C5202" s="31"/>
      <c r="D5202" s="32" t="s">
        <v>18</v>
      </c>
      <c r="E5202" s="33"/>
      <c r="F5202" s="54" t="s">
        <v>13</v>
      </c>
      <c r="G5202" s="34" t="str">
        <f>IF(ISNUMBER(F5202),E5202*F5202,"")</f>
        <v/>
      </c>
      <c r="H5202" s="35"/>
      <c r="I5202" s="36"/>
      <c r="J5202" s="37">
        <v>0</v>
      </c>
    </row>
    <row r="5203" spans="1:10" hidden="1" x14ac:dyDescent="0.25">
      <c r="A5203" s="174"/>
      <c r="B5203" s="177"/>
      <c r="C5203" s="39"/>
      <c r="D5203" s="39"/>
      <c r="E5203" s="40"/>
      <c r="F5203" s="55" t="s">
        <v>13</v>
      </c>
      <c r="G5203" s="38" t="str">
        <f>IF(ISNUMBER(F5203),E5203*F5203,"")</f>
        <v/>
      </c>
      <c r="H5203" s="42"/>
      <c r="I5203" s="38"/>
      <c r="J5203" s="37">
        <v>0</v>
      </c>
    </row>
    <row r="5204" spans="1:10" hidden="1" x14ac:dyDescent="0.25">
      <c r="A5204" s="174"/>
      <c r="B5204" s="177"/>
      <c r="C5204" s="43" t="s">
        <v>10762</v>
      </c>
      <c r="D5204" s="43" t="s">
        <v>2800</v>
      </c>
      <c r="E5204" s="44">
        <v>0.1509375</v>
      </c>
      <c r="F5204" s="41">
        <v>24.946999999999999</v>
      </c>
      <c r="G5204" s="41">
        <f>IF(ISNUMBER(F5204),E5204*F5204,"")</f>
        <v>3.7654378125000001</v>
      </c>
      <c r="H5204" s="46">
        <f>SUM(G5204:G5210)</f>
        <v>56.840537218949997</v>
      </c>
      <c r="I5204" s="47"/>
      <c r="J5204" s="37">
        <v>0</v>
      </c>
    </row>
    <row r="5205" spans="1:10" hidden="1" x14ac:dyDescent="0.25">
      <c r="A5205" s="174"/>
      <c r="B5205" s="177"/>
      <c r="C5205" s="43" t="s">
        <v>10763</v>
      </c>
      <c r="D5205" s="43" t="s">
        <v>2800</v>
      </c>
      <c r="E5205" s="44">
        <v>0.48299989999999998</v>
      </c>
      <c r="F5205" s="41">
        <v>31.435500000000001</v>
      </c>
      <c r="G5205" s="41">
        <f>IF(ISNUMBER(F5205),E5205*F5205,"")</f>
        <v>15.183343356449999</v>
      </c>
      <c r="H5205" s="58"/>
      <c r="I5205" s="59"/>
      <c r="J5205" s="37">
        <v>0</v>
      </c>
    </row>
    <row r="5206" spans="1:10" ht="25.5" hidden="1" x14ac:dyDescent="0.25">
      <c r="A5206" s="174"/>
      <c r="B5206" s="177"/>
      <c r="C5206" s="43" t="s">
        <v>11192</v>
      </c>
      <c r="D5206" s="43" t="s">
        <v>83</v>
      </c>
      <c r="E5206" s="44">
        <v>1</v>
      </c>
      <c r="F5206" s="38">
        <v>10.696999999999999</v>
      </c>
      <c r="G5206" s="38">
        <f>IF(ISNUMBER(F5206),E5206*F5206,"")</f>
        <v>10.696999999999999</v>
      </c>
      <c r="H5206" s="42"/>
      <c r="I5206" s="38"/>
      <c r="J5206" s="37">
        <v>0</v>
      </c>
    </row>
    <row r="5207" spans="1:10" hidden="1" x14ac:dyDescent="0.25">
      <c r="A5207" s="174"/>
      <c r="B5207" s="177"/>
      <c r="C5207" s="43" t="s">
        <v>10762</v>
      </c>
      <c r="D5207" s="43" t="s">
        <v>2800</v>
      </c>
      <c r="E5207" s="44">
        <f>0.050875*2</f>
        <v>0.10174999999999999</v>
      </c>
      <c r="F5207" s="38">
        <v>24.946999999999999</v>
      </c>
      <c r="G5207" s="38">
        <f>IF(ISNUMBER(F5207),E5207*F5207,"")</f>
        <v>2.5383572499999998</v>
      </c>
      <c r="H5207" s="42"/>
      <c r="I5207" s="38"/>
      <c r="J5207" s="37">
        <v>0</v>
      </c>
    </row>
    <row r="5208" spans="1:10" hidden="1" x14ac:dyDescent="0.25">
      <c r="A5208" s="174"/>
      <c r="B5208" s="177"/>
      <c r="C5208" s="43" t="s">
        <v>10763</v>
      </c>
      <c r="D5208" s="43" t="s">
        <v>2800</v>
      </c>
      <c r="E5208" s="44">
        <f>0.1628*2</f>
        <v>0.3256</v>
      </c>
      <c r="F5208" s="38">
        <v>31.435500000000001</v>
      </c>
      <c r="G5208" s="38">
        <f>IF(ISNUMBER(F5208),E5208*F5208,"")</f>
        <v>10.2353988</v>
      </c>
      <c r="H5208" s="42"/>
      <c r="I5208" s="38"/>
      <c r="J5208" s="37">
        <v>0</v>
      </c>
    </row>
    <row r="5209" spans="1:10" ht="25.5" hidden="1" x14ac:dyDescent="0.25">
      <c r="A5209" s="174"/>
      <c r="B5209" s="177"/>
      <c r="C5209" s="43" t="s">
        <v>11193</v>
      </c>
      <c r="D5209" s="43" t="s">
        <v>83</v>
      </c>
      <c r="E5209" s="44">
        <v>2</v>
      </c>
      <c r="F5209" s="38">
        <v>4.6550000000000002</v>
      </c>
      <c r="G5209" s="38">
        <f>IF(ISNUMBER(F5209),E5209*F5209,"")</f>
        <v>9.31</v>
      </c>
      <c r="H5209" s="42"/>
      <c r="I5209" s="38"/>
      <c r="J5209" s="37">
        <v>0</v>
      </c>
    </row>
    <row r="5210" spans="1:10" hidden="1" x14ac:dyDescent="0.25">
      <c r="A5210" s="174"/>
      <c r="B5210" s="177"/>
      <c r="C5210" s="43" t="s">
        <v>11194</v>
      </c>
      <c r="D5210" s="43" t="s">
        <v>83</v>
      </c>
      <c r="E5210" s="44">
        <v>2</v>
      </c>
      <c r="F5210" s="38">
        <v>2.5554999999999999</v>
      </c>
      <c r="G5210" s="38">
        <f>IF(ISNUMBER(F5210),E5210*F5210,"")</f>
        <v>5.1109999999999998</v>
      </c>
      <c r="H5210" s="42"/>
      <c r="I5210" s="38"/>
      <c r="J5210" s="37">
        <v>0</v>
      </c>
    </row>
    <row r="5211" spans="1:10" ht="15.75" hidden="1" thickBot="1" x14ac:dyDescent="0.3">
      <c r="A5211" s="175"/>
      <c r="B5211" s="178"/>
      <c r="C5211" s="49"/>
      <c r="D5211" s="49"/>
      <c r="E5211" s="50"/>
      <c r="F5211" s="51" t="s">
        <v>13</v>
      </c>
      <c r="G5211" s="51" t="str">
        <f>IF(ISNUMBER(F5211),E5211*F5211,"")</f>
        <v/>
      </c>
      <c r="H5211" s="53"/>
      <c r="I5211" s="38"/>
      <c r="J5211" s="37">
        <v>0</v>
      </c>
    </row>
    <row r="5212" spans="1:10" ht="15.75" hidden="1" thickBot="1" x14ac:dyDescent="0.3">
      <c r="A5212" s="173" t="s">
        <v>1235</v>
      </c>
      <c r="B5212" s="176" t="s">
        <v>4813</v>
      </c>
      <c r="C5212" s="31"/>
      <c r="D5212" s="32" t="s">
        <v>68</v>
      </c>
      <c r="E5212" s="33"/>
      <c r="F5212" s="54" t="s">
        <v>13</v>
      </c>
      <c r="G5212" s="34" t="str">
        <f>IF(ISNUMBER(F5212),E5212*F5212,"")</f>
        <v/>
      </c>
      <c r="H5212" s="35"/>
      <c r="I5212" s="36"/>
      <c r="J5212" s="37">
        <v>0</v>
      </c>
    </row>
    <row r="5213" spans="1:10" hidden="1" x14ac:dyDescent="0.25">
      <c r="A5213" s="174"/>
      <c r="B5213" s="177"/>
      <c r="C5213" s="39"/>
      <c r="D5213" s="39"/>
      <c r="E5213" s="40"/>
      <c r="F5213" s="55" t="s">
        <v>13</v>
      </c>
      <c r="G5213" s="38" t="str">
        <f>IF(ISNUMBER(F5213),E5213*F5213,"")</f>
        <v/>
      </c>
      <c r="H5213" s="42"/>
      <c r="I5213" s="38"/>
      <c r="J5213" s="37">
        <v>0</v>
      </c>
    </row>
    <row r="5214" spans="1:10" ht="51" hidden="1" x14ac:dyDescent="0.25">
      <c r="A5214" s="174"/>
      <c r="B5214" s="177"/>
      <c r="C5214" s="43" t="s">
        <v>11188</v>
      </c>
      <c r="D5214" s="43" t="s">
        <v>83</v>
      </c>
      <c r="E5214" s="44">
        <f>1/(0.8*2.1)</f>
        <v>0.59523809523809523</v>
      </c>
      <c r="F5214" s="41">
        <v>307.32499999999999</v>
      </c>
      <c r="G5214" s="41">
        <f>IF(ISNUMBER(F5214),E5214*F5214,"")</f>
        <v>182.93154761904762</v>
      </c>
      <c r="H5214" s="46">
        <f>SUM(G5214:G5217)</f>
        <v>239.11319861904761</v>
      </c>
      <c r="I5214" s="47"/>
      <c r="J5214" s="37">
        <v>0</v>
      </c>
    </row>
    <row r="5215" spans="1:10" ht="38.25" hidden="1" x14ac:dyDescent="0.25">
      <c r="A5215" s="174"/>
      <c r="B5215" s="177"/>
      <c r="C5215" s="43" t="s">
        <v>11195</v>
      </c>
      <c r="D5215" s="43" t="s">
        <v>1302</v>
      </c>
      <c r="E5215" s="44">
        <f>1/0.8</f>
        <v>1.25</v>
      </c>
      <c r="F5215" s="38">
        <v>20.662499999999998</v>
      </c>
      <c r="G5215" s="41">
        <f>IF(ISNUMBER(F5215),E5215*F5215,"")</f>
        <v>25.828124999999996</v>
      </c>
      <c r="H5215" s="42"/>
      <c r="I5215" s="38"/>
      <c r="J5215" s="37">
        <v>0</v>
      </c>
    </row>
    <row r="5216" spans="1:10" ht="25.5" hidden="1" x14ac:dyDescent="0.25">
      <c r="A5216" s="174"/>
      <c r="B5216" s="177"/>
      <c r="C5216" s="43" t="s">
        <v>10774</v>
      </c>
      <c r="D5216" s="43" t="s">
        <v>2800</v>
      </c>
      <c r="E5216" s="44">
        <f>ROUND(1.546*0.8/(2.1*0.8),4)</f>
        <v>0.73619999999999997</v>
      </c>
      <c r="F5216" s="38">
        <v>29.383499999999998</v>
      </c>
      <c r="G5216" s="41">
        <f>IF(ISNUMBER(F5216),E5216*F5216,"")</f>
        <v>21.632132699999996</v>
      </c>
      <c r="H5216" s="42"/>
      <c r="I5216" s="38"/>
      <c r="J5216" s="37">
        <v>0</v>
      </c>
    </row>
    <row r="5217" spans="1:10" hidden="1" x14ac:dyDescent="0.25">
      <c r="A5217" s="174"/>
      <c r="B5217" s="177"/>
      <c r="C5217" s="43" t="s">
        <v>10614</v>
      </c>
      <c r="D5217" s="43" t="s">
        <v>2800</v>
      </c>
      <c r="E5217" s="44">
        <f>ROUND(0.773*0.8/(2.1*0.8),4)</f>
        <v>0.36809999999999998</v>
      </c>
      <c r="F5217" s="38">
        <v>23.693000000000001</v>
      </c>
      <c r="G5217" s="41">
        <f>IF(ISNUMBER(F5217),E5217*F5217,"")</f>
        <v>8.7213933000000008</v>
      </c>
      <c r="H5217" s="42"/>
      <c r="I5217" s="38"/>
      <c r="J5217" s="37">
        <v>0</v>
      </c>
    </row>
    <row r="5218" spans="1:10" ht="15.75" hidden="1" thickBot="1" x14ac:dyDescent="0.3">
      <c r="A5218" s="175"/>
      <c r="B5218" s="178"/>
      <c r="C5218" s="49"/>
      <c r="D5218" s="63"/>
      <c r="E5218" s="50"/>
      <c r="F5218" s="52" t="s">
        <v>13</v>
      </c>
      <c r="G5218" s="52" t="str">
        <f>IF(ISNUMBER(F5218),E5218*F5218,"")</f>
        <v/>
      </c>
      <c r="H5218" s="53"/>
      <c r="I5218" s="38"/>
      <c r="J5218" s="37">
        <v>0</v>
      </c>
    </row>
    <row r="5219" spans="1:10" ht="15.75" hidden="1" thickBot="1" x14ac:dyDescent="0.3">
      <c r="A5219" s="173" t="s">
        <v>1236</v>
      </c>
      <c r="B5219" s="176" t="s">
        <v>4814</v>
      </c>
      <c r="C5219" s="31"/>
      <c r="D5219" s="32" t="s">
        <v>68</v>
      </c>
      <c r="E5219" s="33"/>
      <c r="F5219" s="54" t="s">
        <v>13</v>
      </c>
      <c r="G5219" s="34" t="str">
        <f>IF(ISNUMBER(F5219),E5219*F5219,"")</f>
        <v/>
      </c>
      <c r="H5219" s="35"/>
      <c r="I5219" s="36"/>
      <c r="J5219" s="37">
        <v>0</v>
      </c>
    </row>
    <row r="5220" spans="1:10" hidden="1" x14ac:dyDescent="0.25">
      <c r="A5220" s="174"/>
      <c r="B5220" s="177"/>
      <c r="C5220" s="39"/>
      <c r="D5220" s="39"/>
      <c r="E5220" s="40"/>
      <c r="F5220" s="55" t="s">
        <v>13</v>
      </c>
      <c r="G5220" s="38" t="str">
        <f>IF(ISNUMBER(F5220),E5220*F5220,"")</f>
        <v/>
      </c>
      <c r="H5220" s="42"/>
      <c r="I5220" s="38"/>
      <c r="J5220" s="37">
        <v>0</v>
      </c>
    </row>
    <row r="5221" spans="1:10" ht="51" hidden="1" x14ac:dyDescent="0.25">
      <c r="A5221" s="174"/>
      <c r="B5221" s="177"/>
      <c r="C5221" s="43" t="s">
        <v>10977</v>
      </c>
      <c r="D5221" s="43" t="s">
        <v>83</v>
      </c>
      <c r="E5221" s="44">
        <f>1/(0.8*2.1)</f>
        <v>0.59523809523809523</v>
      </c>
      <c r="F5221" s="41">
        <v>300.2</v>
      </c>
      <c r="G5221" s="41">
        <f>IF(ISNUMBER(F5221),E5221*F5221,"")</f>
        <v>178.69047619047618</v>
      </c>
      <c r="H5221" s="46">
        <f>SUM(G5221:G5226)</f>
        <v>257.96288419047619</v>
      </c>
      <c r="I5221" s="47"/>
      <c r="J5221" s="37">
        <v>0</v>
      </c>
    </row>
    <row r="5222" spans="1:10" ht="38.25" hidden="1" x14ac:dyDescent="0.25">
      <c r="A5222" s="174"/>
      <c r="B5222" s="177"/>
      <c r="C5222" s="43" t="s">
        <v>11195</v>
      </c>
      <c r="D5222" s="43" t="s">
        <v>1302</v>
      </c>
      <c r="E5222" s="44">
        <f>1/0.8</f>
        <v>1.25</v>
      </c>
      <c r="F5222" s="38">
        <v>20.662499999999998</v>
      </c>
      <c r="G5222" s="41">
        <f>IF(ISNUMBER(F5222),E5222*F5222,"")</f>
        <v>25.828124999999996</v>
      </c>
      <c r="H5222" s="42"/>
      <c r="I5222" s="38"/>
      <c r="J5222" s="37">
        <v>0</v>
      </c>
    </row>
    <row r="5223" spans="1:10" ht="25.5" hidden="1" x14ac:dyDescent="0.25">
      <c r="A5223" s="174"/>
      <c r="B5223" s="177"/>
      <c r="C5223" s="43" t="s">
        <v>10774</v>
      </c>
      <c r="D5223" s="43" t="s">
        <v>2800</v>
      </c>
      <c r="E5223" s="44">
        <f>ROUND(1.546*0.8/(0.8*2.1),4)</f>
        <v>0.73619999999999997</v>
      </c>
      <c r="F5223" s="38">
        <v>29.383499999999998</v>
      </c>
      <c r="G5223" s="41">
        <f>IF(ISNUMBER(F5223),E5223*F5223,"")</f>
        <v>21.632132699999996</v>
      </c>
      <c r="H5223" s="42"/>
      <c r="I5223" s="38"/>
      <c r="J5223" s="37">
        <v>0</v>
      </c>
    </row>
    <row r="5224" spans="1:10" hidden="1" x14ac:dyDescent="0.25">
      <c r="A5224" s="174"/>
      <c r="B5224" s="177"/>
      <c r="C5224" s="43" t="s">
        <v>10614</v>
      </c>
      <c r="D5224" s="43" t="s">
        <v>2800</v>
      </c>
      <c r="E5224" s="44">
        <f>ROUND(0.773*0.8/(0.8*2.1),4)</f>
        <v>0.36809999999999998</v>
      </c>
      <c r="F5224" s="38">
        <v>23.693000000000001</v>
      </c>
      <c r="G5224" s="41">
        <f>IF(ISNUMBER(F5224),E5224*F5224,"")</f>
        <v>8.7213933000000008</v>
      </c>
      <c r="H5224" s="42"/>
      <c r="I5224" s="38"/>
      <c r="J5224" s="37">
        <v>0</v>
      </c>
    </row>
    <row r="5225" spans="1:10" hidden="1" x14ac:dyDescent="0.25">
      <c r="A5225" s="174"/>
      <c r="B5225" s="177"/>
      <c r="C5225" s="43" t="s">
        <v>123</v>
      </c>
      <c r="D5225" s="6" t="s">
        <v>70</v>
      </c>
      <c r="E5225" s="44">
        <v>0.108</v>
      </c>
      <c r="F5225" s="41" t="s">
        <v>13</v>
      </c>
      <c r="G5225" s="38" t="str">
        <f>IF(ISNUMBER(F5225),E5225*F5225,"")</f>
        <v/>
      </c>
      <c r="H5225" s="42"/>
      <c r="I5225" s="38"/>
      <c r="J5225" s="37">
        <v>0</v>
      </c>
    </row>
    <row r="5226" spans="1:10" hidden="1" x14ac:dyDescent="0.25">
      <c r="A5226" s="174"/>
      <c r="B5226" s="177"/>
      <c r="C5226" s="43" t="s">
        <v>10674</v>
      </c>
      <c r="D5226" s="43" t="s">
        <v>2800</v>
      </c>
      <c r="E5226" s="44">
        <v>0.70760000000000001</v>
      </c>
      <c r="F5226" s="38">
        <v>32.6325</v>
      </c>
      <c r="G5226" s="38">
        <f>IF(ISNUMBER(F5226),E5226*F5226,"")</f>
        <v>23.090757</v>
      </c>
      <c r="H5226" s="42"/>
      <c r="I5226" s="38"/>
      <c r="J5226" s="37">
        <v>0</v>
      </c>
    </row>
    <row r="5227" spans="1:10" hidden="1" x14ac:dyDescent="0.25">
      <c r="A5227" s="174"/>
      <c r="B5227" s="177"/>
      <c r="C5227" s="43"/>
      <c r="D5227" s="43"/>
      <c r="E5227" s="44"/>
      <c r="F5227" s="38" t="s">
        <v>13</v>
      </c>
      <c r="G5227" s="38" t="str">
        <f>IF(ISNUMBER(F5227),E5227*F5227,"")</f>
        <v/>
      </c>
      <c r="H5227" s="42"/>
      <c r="I5227" s="38"/>
      <c r="J5227" s="37">
        <v>0</v>
      </c>
    </row>
    <row r="5228" spans="1:10" ht="38.25" hidden="1" x14ac:dyDescent="0.25">
      <c r="A5228" s="174"/>
      <c r="B5228" s="177"/>
      <c r="C5228" s="65" t="s">
        <v>124</v>
      </c>
      <c r="D5228" s="43"/>
      <c r="E5228" s="44"/>
      <c r="F5228" s="38" t="s">
        <v>13</v>
      </c>
      <c r="G5228" s="38" t="str">
        <f>IF(ISNUMBER(F5228),E5228*F5228,"")</f>
        <v/>
      </c>
      <c r="H5228" s="42"/>
      <c r="I5228" s="38"/>
      <c r="J5228" s="37">
        <v>0</v>
      </c>
    </row>
    <row r="5229" spans="1:10" ht="15.75" hidden="1" thickBot="1" x14ac:dyDescent="0.3">
      <c r="A5229" s="175"/>
      <c r="B5229" s="178"/>
      <c r="C5229" s="49"/>
      <c r="D5229" s="63"/>
      <c r="E5229" s="50"/>
      <c r="F5229" s="52" t="s">
        <v>13</v>
      </c>
      <c r="G5229" s="52" t="str">
        <f>IF(ISNUMBER(F5229),E5229*F5229,"")</f>
        <v/>
      </c>
      <c r="H5229" s="53"/>
      <c r="I5229" s="38"/>
      <c r="J5229" s="37">
        <v>0</v>
      </c>
    </row>
    <row r="5230" spans="1:10" ht="15.75" hidden="1" thickBot="1" x14ac:dyDescent="0.3">
      <c r="A5230" s="173" t="s">
        <v>1237</v>
      </c>
      <c r="B5230" s="176" t="s">
        <v>4841</v>
      </c>
      <c r="C5230" s="31"/>
      <c r="D5230" s="32" t="s">
        <v>18</v>
      </c>
      <c r="E5230" s="33"/>
      <c r="F5230" s="60" t="s">
        <v>13</v>
      </c>
      <c r="G5230" s="34" t="str">
        <f>IF(ISNUMBER(F5230),E5230*F5230,"")</f>
        <v/>
      </c>
      <c r="H5230" s="35"/>
      <c r="I5230" s="36"/>
      <c r="J5230" s="37">
        <v>0</v>
      </c>
    </row>
    <row r="5231" spans="1:10" hidden="1" x14ac:dyDescent="0.25">
      <c r="A5231" s="179"/>
      <c r="B5231" s="177"/>
      <c r="C5231" s="39"/>
      <c r="D5231" s="39"/>
      <c r="E5231" s="40"/>
      <c r="F5231" s="70" t="s">
        <v>13</v>
      </c>
      <c r="G5231" s="70" t="str">
        <f>IF(ISNUMBER(F5231),E5231*F5231,"")</f>
        <v/>
      </c>
      <c r="H5231" s="71"/>
      <c r="I5231" s="72"/>
      <c r="J5231" s="37">
        <v>0</v>
      </c>
    </row>
    <row r="5232" spans="1:10" ht="25.5" hidden="1" x14ac:dyDescent="0.25">
      <c r="A5232" s="179"/>
      <c r="B5232" s="177"/>
      <c r="C5232" s="43" t="s">
        <v>10753</v>
      </c>
      <c r="D5232" s="43" t="s">
        <v>2800</v>
      </c>
      <c r="E5232" s="44">
        <v>0.93</v>
      </c>
      <c r="F5232" s="38">
        <v>23.997</v>
      </c>
      <c r="G5232" s="70">
        <f>IF(ISNUMBER(F5232),E5232*F5232,"")</f>
        <v>22.317209999999999</v>
      </c>
      <c r="H5232" s="46">
        <f>SUM(G5232:G5234)</f>
        <v>50.553870000000003</v>
      </c>
      <c r="I5232" s="47"/>
      <c r="J5232" s="37">
        <v>0</v>
      </c>
    </row>
    <row r="5233" spans="1:10" ht="25.5" hidden="1" x14ac:dyDescent="0.25">
      <c r="A5233" s="179"/>
      <c r="B5233" s="177"/>
      <c r="C5233" s="43" t="s">
        <v>10754</v>
      </c>
      <c r="D5233" s="43" t="s">
        <v>2800</v>
      </c>
      <c r="E5233" s="44">
        <v>0.93</v>
      </c>
      <c r="F5233" s="38">
        <v>30.361999999999998</v>
      </c>
      <c r="G5233" s="70">
        <f>IF(ISNUMBER(F5233),E5233*F5233,"")</f>
        <v>28.236660000000001</v>
      </c>
      <c r="H5233" s="71"/>
      <c r="I5233" s="72"/>
      <c r="J5233" s="37">
        <v>0</v>
      </c>
    </row>
    <row r="5234" spans="1:10" hidden="1" x14ac:dyDescent="0.25">
      <c r="A5234" s="179"/>
      <c r="B5234" s="177"/>
      <c r="C5234" s="43" t="s">
        <v>1238</v>
      </c>
      <c r="D5234" s="43" t="s">
        <v>83</v>
      </c>
      <c r="E5234" s="44">
        <v>1</v>
      </c>
      <c r="F5234" s="38" t="s">
        <v>13</v>
      </c>
      <c r="G5234" s="70" t="str">
        <f>IF(ISNUMBER(F5234),E5234*F5234,"")</f>
        <v/>
      </c>
      <c r="H5234" s="71"/>
      <c r="I5234" s="72"/>
      <c r="J5234" s="37">
        <v>0</v>
      </c>
    </row>
    <row r="5235" spans="1:10" ht="15.75" hidden="1" thickBot="1" x14ac:dyDescent="0.3">
      <c r="A5235" s="180"/>
      <c r="B5235" s="178"/>
      <c r="C5235" s="49"/>
      <c r="D5235" s="63"/>
      <c r="E5235" s="50"/>
      <c r="F5235" s="83" t="s">
        <v>13</v>
      </c>
      <c r="G5235" s="83" t="str">
        <f>IF(ISNUMBER(F5235),E5235*F5235,"")</f>
        <v/>
      </c>
      <c r="H5235" s="84"/>
      <c r="I5235" s="72"/>
      <c r="J5235" s="37">
        <v>0</v>
      </c>
    </row>
    <row r="5236" spans="1:10" ht="15.75" hidden="1" thickBot="1" x14ac:dyDescent="0.3">
      <c r="A5236" s="173" t="s">
        <v>1239</v>
      </c>
      <c r="B5236" s="176" t="s">
        <v>4842</v>
      </c>
      <c r="C5236" s="31"/>
      <c r="D5236" s="32" t="s">
        <v>18</v>
      </c>
      <c r="E5236" s="33"/>
      <c r="F5236" s="60" t="s">
        <v>13</v>
      </c>
      <c r="G5236" s="34" t="str">
        <f>IF(ISNUMBER(F5236),E5236*F5236,"")</f>
        <v/>
      </c>
      <c r="H5236" s="35"/>
      <c r="I5236" s="36"/>
      <c r="J5236" s="37">
        <v>0</v>
      </c>
    </row>
    <row r="5237" spans="1:10" hidden="1" x14ac:dyDescent="0.25">
      <c r="A5237" s="179"/>
      <c r="B5237" s="177"/>
      <c r="C5237" s="39"/>
      <c r="D5237" s="39"/>
      <c r="E5237" s="40"/>
      <c r="F5237" s="70" t="s">
        <v>13</v>
      </c>
      <c r="G5237" s="70" t="str">
        <f>IF(ISNUMBER(F5237),E5237*F5237,"")</f>
        <v/>
      </c>
      <c r="H5237" s="71"/>
      <c r="I5237" s="72"/>
      <c r="J5237" s="37">
        <v>0</v>
      </c>
    </row>
    <row r="5238" spans="1:10" hidden="1" x14ac:dyDescent="0.25">
      <c r="A5238" s="179"/>
      <c r="B5238" s="177"/>
      <c r="C5238" s="43" t="s">
        <v>11100</v>
      </c>
      <c r="D5238" s="43" t="s">
        <v>1044</v>
      </c>
      <c r="E5238" s="44">
        <f>ROUND(0.089*1.3,4)</f>
        <v>0.1157</v>
      </c>
      <c r="F5238" s="38">
        <v>40.137499999999996</v>
      </c>
      <c r="G5238" s="70">
        <f>IF(ISNUMBER(F5238),E5238*F5238,"")</f>
        <v>4.6439087499999996</v>
      </c>
      <c r="H5238" s="46">
        <f>SUM(G5238:G5242)</f>
        <v>108.72550975</v>
      </c>
      <c r="I5238" s="47"/>
      <c r="J5238" s="37">
        <v>0</v>
      </c>
    </row>
    <row r="5239" spans="1:10" ht="25.5" hidden="1" x14ac:dyDescent="0.25">
      <c r="A5239" s="179"/>
      <c r="B5239" s="177"/>
      <c r="C5239" s="43" t="s">
        <v>1240</v>
      </c>
      <c r="D5239" s="43" t="s">
        <v>83</v>
      </c>
      <c r="E5239" s="44">
        <v>1</v>
      </c>
      <c r="F5239" s="38" t="s">
        <v>13</v>
      </c>
      <c r="G5239" s="70" t="str">
        <f>IF(ISNUMBER(F5239),E5239*F5239,"")</f>
        <v/>
      </c>
      <c r="H5239" s="71"/>
      <c r="I5239" s="72"/>
      <c r="J5239" s="37">
        <v>0</v>
      </c>
    </row>
    <row r="5240" spans="1:10" ht="25.5" hidden="1" x14ac:dyDescent="0.25">
      <c r="A5240" s="179"/>
      <c r="B5240" s="177"/>
      <c r="C5240" s="43" t="s">
        <v>10753</v>
      </c>
      <c r="D5240" s="43" t="s">
        <v>2800</v>
      </c>
      <c r="E5240" s="44">
        <f>ROUND(0.93*1.3,4)</f>
        <v>1.2090000000000001</v>
      </c>
      <c r="F5240" s="38">
        <v>23.997</v>
      </c>
      <c r="G5240" s="70">
        <f>IF(ISNUMBER(F5240),E5240*F5240,"")</f>
        <v>29.012373</v>
      </c>
      <c r="H5240" s="71"/>
      <c r="I5240" s="72"/>
      <c r="J5240" s="37">
        <v>0</v>
      </c>
    </row>
    <row r="5241" spans="1:10" ht="25.5" hidden="1" x14ac:dyDescent="0.25">
      <c r="A5241" s="179"/>
      <c r="B5241" s="177"/>
      <c r="C5241" s="43" t="s">
        <v>10754</v>
      </c>
      <c r="D5241" s="43" t="s">
        <v>2800</v>
      </c>
      <c r="E5241" s="44">
        <f>ROUND(0.93*1.3,4)</f>
        <v>1.2090000000000001</v>
      </c>
      <c r="F5241" s="38">
        <v>30.361999999999998</v>
      </c>
      <c r="G5241" s="70">
        <f>IF(ISNUMBER(F5241),E5241*F5241,"")</f>
        <v>36.707658000000002</v>
      </c>
      <c r="H5241" s="71"/>
      <c r="I5241" s="72"/>
      <c r="J5241" s="37">
        <v>0</v>
      </c>
    </row>
    <row r="5242" spans="1:10" hidden="1" x14ac:dyDescent="0.25">
      <c r="A5242" s="179"/>
      <c r="B5242" s="177"/>
      <c r="C5242" s="43" t="s">
        <v>10808</v>
      </c>
      <c r="D5242" s="43" t="s">
        <v>2800</v>
      </c>
      <c r="E5242" s="44">
        <f>ROUND(0.93*1.3,4)</f>
        <v>1.2090000000000001</v>
      </c>
      <c r="F5242" s="70">
        <v>31.729999999999997</v>
      </c>
      <c r="G5242" s="70">
        <f>IF(ISNUMBER(F5242),E5242*F5242,"")</f>
        <v>38.36157</v>
      </c>
      <c r="H5242" s="71"/>
      <c r="I5242" s="72"/>
      <c r="J5242" s="37">
        <v>0</v>
      </c>
    </row>
    <row r="5243" spans="1:10" ht="15.75" hidden="1" thickBot="1" x14ac:dyDescent="0.3">
      <c r="A5243" s="180"/>
      <c r="B5243" s="178"/>
      <c r="C5243" s="49"/>
      <c r="D5243" s="63"/>
      <c r="E5243" s="50"/>
      <c r="F5243" s="83" t="s">
        <v>13</v>
      </c>
      <c r="G5243" s="83" t="str">
        <f>IF(ISNUMBER(F5243),E5243*F5243,"")</f>
        <v/>
      </c>
      <c r="H5243" s="84"/>
      <c r="I5243" s="72"/>
      <c r="J5243" s="37">
        <v>0</v>
      </c>
    </row>
    <row r="5244" spans="1:10" ht="15.75" hidden="1" thickBot="1" x14ac:dyDescent="0.3">
      <c r="A5244" s="173" t="s">
        <v>1241</v>
      </c>
      <c r="B5244" s="176" t="s">
        <v>4843</v>
      </c>
      <c r="C5244" s="31"/>
      <c r="D5244" s="32" t="s">
        <v>18</v>
      </c>
      <c r="E5244" s="33"/>
      <c r="F5244" s="60" t="s">
        <v>13</v>
      </c>
      <c r="G5244" s="34" t="str">
        <f>IF(ISNUMBER(F5244),E5244*F5244,"")</f>
        <v/>
      </c>
      <c r="H5244" s="35"/>
      <c r="I5244" s="36"/>
      <c r="J5244" s="37">
        <v>0</v>
      </c>
    </row>
    <row r="5245" spans="1:10" hidden="1" x14ac:dyDescent="0.25">
      <c r="A5245" s="179"/>
      <c r="B5245" s="177"/>
      <c r="C5245" s="39"/>
      <c r="D5245" s="39"/>
      <c r="E5245" s="40"/>
      <c r="F5245" s="70" t="s">
        <v>13</v>
      </c>
      <c r="G5245" s="70" t="str">
        <f>IF(ISNUMBER(F5245),E5245*F5245,"")</f>
        <v/>
      </c>
      <c r="H5245" s="71"/>
      <c r="I5245" s="72"/>
      <c r="J5245" s="37">
        <v>0</v>
      </c>
    </row>
    <row r="5246" spans="1:10" hidden="1" x14ac:dyDescent="0.25">
      <c r="A5246" s="179"/>
      <c r="B5246" s="177"/>
      <c r="C5246" s="43" t="s">
        <v>11100</v>
      </c>
      <c r="D5246" s="43" t="s">
        <v>1044</v>
      </c>
      <c r="E5246" s="44">
        <f>ROUND(0.089*1.3,4)</f>
        <v>0.1157</v>
      </c>
      <c r="F5246" s="38">
        <v>40.137499999999996</v>
      </c>
      <c r="G5246" s="70">
        <f>IF(ISNUMBER(F5246),E5246*F5246,"")</f>
        <v>4.6439087499999996</v>
      </c>
      <c r="H5246" s="46">
        <f>SUM(G5246:G5250)</f>
        <v>108.72550975</v>
      </c>
      <c r="I5246" s="47"/>
      <c r="J5246" s="37">
        <v>0</v>
      </c>
    </row>
    <row r="5247" spans="1:10" ht="25.5" hidden="1" x14ac:dyDescent="0.25">
      <c r="A5247" s="179"/>
      <c r="B5247" s="177"/>
      <c r="C5247" s="43" t="s">
        <v>1242</v>
      </c>
      <c r="D5247" s="43" t="s">
        <v>83</v>
      </c>
      <c r="E5247" s="44">
        <v>1</v>
      </c>
      <c r="F5247" s="38" t="s">
        <v>13</v>
      </c>
      <c r="G5247" s="70" t="str">
        <f>IF(ISNUMBER(F5247),E5247*F5247,"")</f>
        <v/>
      </c>
      <c r="H5247" s="71"/>
      <c r="I5247" s="72"/>
      <c r="J5247" s="37">
        <v>0</v>
      </c>
    </row>
    <row r="5248" spans="1:10" ht="25.5" hidden="1" x14ac:dyDescent="0.25">
      <c r="A5248" s="179"/>
      <c r="B5248" s="177"/>
      <c r="C5248" s="43" t="s">
        <v>10753</v>
      </c>
      <c r="D5248" s="43" t="s">
        <v>2800</v>
      </c>
      <c r="E5248" s="44">
        <f>ROUND(0.93*1.3,4)</f>
        <v>1.2090000000000001</v>
      </c>
      <c r="F5248" s="38">
        <v>23.997</v>
      </c>
      <c r="G5248" s="70">
        <f>IF(ISNUMBER(F5248),E5248*F5248,"")</f>
        <v>29.012373</v>
      </c>
      <c r="H5248" s="71"/>
      <c r="I5248" s="72"/>
      <c r="J5248" s="37">
        <v>0</v>
      </c>
    </row>
    <row r="5249" spans="1:10" ht="25.5" hidden="1" x14ac:dyDescent="0.25">
      <c r="A5249" s="179"/>
      <c r="B5249" s="177"/>
      <c r="C5249" s="43" t="s">
        <v>10754</v>
      </c>
      <c r="D5249" s="43" t="s">
        <v>2800</v>
      </c>
      <c r="E5249" s="44">
        <f>ROUND(0.93*1.3,4)</f>
        <v>1.2090000000000001</v>
      </c>
      <c r="F5249" s="38">
        <v>30.361999999999998</v>
      </c>
      <c r="G5249" s="70">
        <f>IF(ISNUMBER(F5249),E5249*F5249,"")</f>
        <v>36.707658000000002</v>
      </c>
      <c r="H5249" s="71"/>
      <c r="I5249" s="72"/>
      <c r="J5249" s="37">
        <v>0</v>
      </c>
    </row>
    <row r="5250" spans="1:10" hidden="1" x14ac:dyDescent="0.25">
      <c r="A5250" s="179"/>
      <c r="B5250" s="177"/>
      <c r="C5250" s="43" t="s">
        <v>10808</v>
      </c>
      <c r="D5250" s="43" t="s">
        <v>2800</v>
      </c>
      <c r="E5250" s="44">
        <f>ROUND(0.93*1.3,4)</f>
        <v>1.2090000000000001</v>
      </c>
      <c r="F5250" s="70">
        <v>31.729999999999997</v>
      </c>
      <c r="G5250" s="70">
        <f>IF(ISNUMBER(F5250),E5250*F5250,"")</f>
        <v>38.36157</v>
      </c>
      <c r="H5250" s="71"/>
      <c r="I5250" s="72"/>
      <c r="J5250" s="37">
        <v>0</v>
      </c>
    </row>
    <row r="5251" spans="1:10" ht="15.75" hidden="1" thickBot="1" x14ac:dyDescent="0.3">
      <c r="A5251" s="180"/>
      <c r="B5251" s="178"/>
      <c r="C5251" s="49"/>
      <c r="D5251" s="63"/>
      <c r="E5251" s="50"/>
      <c r="F5251" s="83" t="s">
        <v>13</v>
      </c>
      <c r="G5251" s="83" t="str">
        <f>IF(ISNUMBER(F5251),E5251*F5251,"")</f>
        <v/>
      </c>
      <c r="H5251" s="84"/>
      <c r="I5251" s="72"/>
      <c r="J5251" s="37">
        <v>0</v>
      </c>
    </row>
    <row r="5252" spans="1:10" ht="15.75" hidden="1" thickBot="1" x14ac:dyDescent="0.3">
      <c r="A5252" s="173" t="s">
        <v>1243</v>
      </c>
      <c r="B5252" s="176" t="s">
        <v>4844</v>
      </c>
      <c r="C5252" s="31"/>
      <c r="D5252" s="32" t="s">
        <v>18</v>
      </c>
      <c r="E5252" s="33"/>
      <c r="F5252" s="60" t="s">
        <v>13</v>
      </c>
      <c r="G5252" s="34" t="str">
        <f>IF(ISNUMBER(F5252),E5252*F5252,"")</f>
        <v/>
      </c>
      <c r="H5252" s="35"/>
      <c r="I5252" s="36"/>
      <c r="J5252" s="37">
        <v>0</v>
      </c>
    </row>
    <row r="5253" spans="1:10" hidden="1" x14ac:dyDescent="0.25">
      <c r="A5253" s="179"/>
      <c r="B5253" s="177"/>
      <c r="C5253" s="39"/>
      <c r="D5253" s="39"/>
      <c r="E5253" s="40"/>
      <c r="F5253" s="70" t="s">
        <v>13</v>
      </c>
      <c r="G5253" s="70" t="str">
        <f>IF(ISNUMBER(F5253),E5253*F5253,"")</f>
        <v/>
      </c>
      <c r="H5253" s="71"/>
      <c r="I5253" s="72"/>
      <c r="J5253" s="37">
        <v>0</v>
      </c>
    </row>
    <row r="5254" spans="1:10" hidden="1" x14ac:dyDescent="0.25">
      <c r="A5254" s="179"/>
      <c r="B5254" s="177"/>
      <c r="C5254" s="43" t="s">
        <v>11100</v>
      </c>
      <c r="D5254" s="43" t="s">
        <v>1044</v>
      </c>
      <c r="E5254" s="44">
        <f>ROUND(0.089*1.3,4)</f>
        <v>0.1157</v>
      </c>
      <c r="F5254" s="38">
        <v>40.137499999999996</v>
      </c>
      <c r="G5254" s="70">
        <f>IF(ISNUMBER(F5254),E5254*F5254,"")</f>
        <v>4.6439087499999996</v>
      </c>
      <c r="H5254" s="46">
        <f>SUM(G5254:G5258)</f>
        <v>108.72550975</v>
      </c>
      <c r="I5254" s="47"/>
      <c r="J5254" s="37">
        <v>0</v>
      </c>
    </row>
    <row r="5255" spans="1:10" ht="25.5" hidden="1" x14ac:dyDescent="0.25">
      <c r="A5255" s="179"/>
      <c r="B5255" s="177"/>
      <c r="C5255" s="43" t="s">
        <v>1244</v>
      </c>
      <c r="D5255" s="43" t="s">
        <v>83</v>
      </c>
      <c r="E5255" s="44">
        <v>1</v>
      </c>
      <c r="F5255" s="38" t="s">
        <v>13</v>
      </c>
      <c r="G5255" s="70" t="str">
        <f>IF(ISNUMBER(F5255),E5255*F5255,"")</f>
        <v/>
      </c>
      <c r="H5255" s="71"/>
      <c r="I5255" s="72"/>
      <c r="J5255" s="37">
        <v>0</v>
      </c>
    </row>
    <row r="5256" spans="1:10" ht="25.5" hidden="1" x14ac:dyDescent="0.25">
      <c r="A5256" s="179"/>
      <c r="B5256" s="177"/>
      <c r="C5256" s="43" t="s">
        <v>10753</v>
      </c>
      <c r="D5256" s="43" t="s">
        <v>2800</v>
      </c>
      <c r="E5256" s="44">
        <f>ROUND(0.93*1.3,4)</f>
        <v>1.2090000000000001</v>
      </c>
      <c r="F5256" s="38">
        <v>23.997</v>
      </c>
      <c r="G5256" s="70">
        <f>IF(ISNUMBER(F5256),E5256*F5256,"")</f>
        <v>29.012373</v>
      </c>
      <c r="H5256" s="71"/>
      <c r="I5256" s="72"/>
      <c r="J5256" s="37">
        <v>0</v>
      </c>
    </row>
    <row r="5257" spans="1:10" ht="25.5" hidden="1" x14ac:dyDescent="0.25">
      <c r="A5257" s="179"/>
      <c r="B5257" s="177"/>
      <c r="C5257" s="43" t="s">
        <v>10754</v>
      </c>
      <c r="D5257" s="43" t="s">
        <v>2800</v>
      </c>
      <c r="E5257" s="44">
        <f>ROUND(0.93*1.3,4)</f>
        <v>1.2090000000000001</v>
      </c>
      <c r="F5257" s="38">
        <v>30.361999999999998</v>
      </c>
      <c r="G5257" s="70">
        <f>IF(ISNUMBER(F5257),E5257*F5257,"")</f>
        <v>36.707658000000002</v>
      </c>
      <c r="H5257" s="71"/>
      <c r="I5257" s="72"/>
      <c r="J5257" s="37">
        <v>0</v>
      </c>
    </row>
    <row r="5258" spans="1:10" hidden="1" x14ac:dyDescent="0.25">
      <c r="A5258" s="179"/>
      <c r="B5258" s="177"/>
      <c r="C5258" s="43" t="s">
        <v>10808</v>
      </c>
      <c r="D5258" s="43" t="s">
        <v>2800</v>
      </c>
      <c r="E5258" s="44">
        <f>ROUND(0.93*1.3,4)</f>
        <v>1.2090000000000001</v>
      </c>
      <c r="F5258" s="70">
        <v>31.729999999999997</v>
      </c>
      <c r="G5258" s="70">
        <f>IF(ISNUMBER(F5258),E5258*F5258,"")</f>
        <v>38.36157</v>
      </c>
      <c r="H5258" s="71"/>
      <c r="I5258" s="72"/>
      <c r="J5258" s="37">
        <v>0</v>
      </c>
    </row>
    <row r="5259" spans="1:10" ht="15.75" hidden="1" thickBot="1" x14ac:dyDescent="0.3">
      <c r="A5259" s="180"/>
      <c r="B5259" s="178"/>
      <c r="C5259" s="49"/>
      <c r="D5259" s="63"/>
      <c r="E5259" s="50"/>
      <c r="F5259" s="83" t="s">
        <v>13</v>
      </c>
      <c r="G5259" s="83" t="str">
        <f>IF(ISNUMBER(F5259),E5259*F5259,"")</f>
        <v/>
      </c>
      <c r="H5259" s="84"/>
      <c r="I5259" s="72"/>
      <c r="J5259" s="37">
        <v>0</v>
      </c>
    </row>
    <row r="5260" spans="1:10" ht="15.75" hidden="1" thickBot="1" x14ac:dyDescent="0.3">
      <c r="A5260" s="173" t="s">
        <v>1245</v>
      </c>
      <c r="B5260" s="176" t="s">
        <v>4845</v>
      </c>
      <c r="C5260" s="31"/>
      <c r="D5260" s="32" t="s">
        <v>18</v>
      </c>
      <c r="E5260" s="33"/>
      <c r="F5260" s="60" t="s">
        <v>13</v>
      </c>
      <c r="G5260" s="34" t="str">
        <f>IF(ISNUMBER(F5260),E5260*F5260,"")</f>
        <v/>
      </c>
      <c r="H5260" s="35"/>
      <c r="I5260" s="36"/>
      <c r="J5260" s="37">
        <v>0</v>
      </c>
    </row>
    <row r="5261" spans="1:10" hidden="1" x14ac:dyDescent="0.25">
      <c r="A5261" s="179"/>
      <c r="B5261" s="177"/>
      <c r="C5261" s="39"/>
      <c r="D5261" s="39"/>
      <c r="E5261" s="40"/>
      <c r="F5261" s="70" t="s">
        <v>13</v>
      </c>
      <c r="G5261" s="70" t="str">
        <f>IF(ISNUMBER(F5261),E5261*F5261,"")</f>
        <v/>
      </c>
      <c r="H5261" s="71"/>
      <c r="I5261" s="72"/>
      <c r="J5261" s="37">
        <v>0</v>
      </c>
    </row>
    <row r="5262" spans="1:10" hidden="1" x14ac:dyDescent="0.25">
      <c r="A5262" s="179"/>
      <c r="B5262" s="177"/>
      <c r="C5262" s="43" t="s">
        <v>11100</v>
      </c>
      <c r="D5262" s="43" t="s">
        <v>1044</v>
      </c>
      <c r="E5262" s="44">
        <f>ROUND(0.089*1.5,4)</f>
        <v>0.13350000000000001</v>
      </c>
      <c r="F5262" s="38">
        <v>40.137499999999996</v>
      </c>
      <c r="G5262" s="70">
        <f>IF(ISNUMBER(F5262),E5262*F5262,"")</f>
        <v>5.3583562499999999</v>
      </c>
      <c r="H5262" s="46">
        <f>SUM(G5262:G5266)</f>
        <v>125.45251124999999</v>
      </c>
      <c r="I5262" s="47"/>
      <c r="J5262" s="37">
        <v>0</v>
      </c>
    </row>
    <row r="5263" spans="1:10" ht="25.5" hidden="1" x14ac:dyDescent="0.25">
      <c r="A5263" s="179"/>
      <c r="B5263" s="177"/>
      <c r="C5263" s="43" t="s">
        <v>1246</v>
      </c>
      <c r="D5263" s="43" t="s">
        <v>83</v>
      </c>
      <c r="E5263" s="44">
        <v>1</v>
      </c>
      <c r="F5263" s="38" t="s">
        <v>13</v>
      </c>
      <c r="G5263" s="70" t="str">
        <f>IF(ISNUMBER(F5263),E5263*F5263,"")</f>
        <v/>
      </c>
      <c r="H5263" s="71"/>
      <c r="I5263" s="72"/>
      <c r="J5263" s="37">
        <v>0</v>
      </c>
    </row>
    <row r="5264" spans="1:10" ht="25.5" hidden="1" x14ac:dyDescent="0.25">
      <c r="A5264" s="179"/>
      <c r="B5264" s="177"/>
      <c r="C5264" s="43" t="s">
        <v>10753</v>
      </c>
      <c r="D5264" s="43" t="s">
        <v>2800</v>
      </c>
      <c r="E5264" s="44">
        <f>ROUND(0.93*1.5,4)</f>
        <v>1.395</v>
      </c>
      <c r="F5264" s="38">
        <v>23.997</v>
      </c>
      <c r="G5264" s="70">
        <f>IF(ISNUMBER(F5264),E5264*F5264,"")</f>
        <v>33.475814999999997</v>
      </c>
      <c r="H5264" s="71"/>
      <c r="I5264" s="72"/>
      <c r="J5264" s="37">
        <v>0</v>
      </c>
    </row>
    <row r="5265" spans="1:10" ht="25.5" hidden="1" x14ac:dyDescent="0.25">
      <c r="A5265" s="179"/>
      <c r="B5265" s="177"/>
      <c r="C5265" s="43" t="s">
        <v>10754</v>
      </c>
      <c r="D5265" s="43" t="s">
        <v>2800</v>
      </c>
      <c r="E5265" s="44">
        <f>ROUND(0.93*1.5,4)</f>
        <v>1.395</v>
      </c>
      <c r="F5265" s="38">
        <v>30.361999999999998</v>
      </c>
      <c r="G5265" s="70">
        <f>IF(ISNUMBER(F5265),E5265*F5265,"")</f>
        <v>42.354990000000001</v>
      </c>
      <c r="H5265" s="71"/>
      <c r="I5265" s="72"/>
      <c r="J5265" s="37">
        <v>0</v>
      </c>
    </row>
    <row r="5266" spans="1:10" hidden="1" x14ac:dyDescent="0.25">
      <c r="A5266" s="179"/>
      <c r="B5266" s="177"/>
      <c r="C5266" s="43" t="s">
        <v>10808</v>
      </c>
      <c r="D5266" s="43" t="s">
        <v>2800</v>
      </c>
      <c r="E5266" s="44">
        <f>ROUND(0.93*1.5,4)</f>
        <v>1.395</v>
      </c>
      <c r="F5266" s="70">
        <v>31.729999999999997</v>
      </c>
      <c r="G5266" s="70">
        <f>IF(ISNUMBER(F5266),E5266*F5266,"")</f>
        <v>44.263349999999996</v>
      </c>
      <c r="H5266" s="71"/>
      <c r="I5266" s="72"/>
      <c r="J5266" s="37">
        <v>0</v>
      </c>
    </row>
    <row r="5267" spans="1:10" ht="15.75" hidden="1" thickBot="1" x14ac:dyDescent="0.3">
      <c r="A5267" s="180"/>
      <c r="B5267" s="178"/>
      <c r="C5267" s="49"/>
      <c r="D5267" s="63"/>
      <c r="E5267" s="50"/>
      <c r="F5267" s="83" t="s">
        <v>13</v>
      </c>
      <c r="G5267" s="83" t="str">
        <f>IF(ISNUMBER(F5267),E5267*F5267,"")</f>
        <v/>
      </c>
      <c r="H5267" s="84"/>
      <c r="I5267" s="72"/>
      <c r="J5267" s="37">
        <v>0</v>
      </c>
    </row>
    <row r="5268" spans="1:10" ht="15.75" hidden="1" thickBot="1" x14ac:dyDescent="0.3">
      <c r="A5268" s="173" t="s">
        <v>1247</v>
      </c>
      <c r="B5268" s="176" t="s">
        <v>4846</v>
      </c>
      <c r="C5268" s="31"/>
      <c r="D5268" s="32" t="s">
        <v>18</v>
      </c>
      <c r="E5268" s="33"/>
      <c r="F5268" s="60" t="s">
        <v>13</v>
      </c>
      <c r="G5268" s="34" t="str">
        <f>IF(ISNUMBER(F5268),E5268*F5268,"")</f>
        <v/>
      </c>
      <c r="H5268" s="35"/>
      <c r="I5268" s="36"/>
      <c r="J5268" s="37">
        <v>0</v>
      </c>
    </row>
    <row r="5269" spans="1:10" hidden="1" x14ac:dyDescent="0.25">
      <c r="A5269" s="179"/>
      <c r="B5269" s="177"/>
      <c r="C5269" s="39"/>
      <c r="D5269" s="39"/>
      <c r="E5269" s="40"/>
      <c r="F5269" s="70" t="s">
        <v>13</v>
      </c>
      <c r="G5269" s="70" t="str">
        <f>IF(ISNUMBER(F5269),E5269*F5269,"")</f>
        <v/>
      </c>
      <c r="H5269" s="71"/>
      <c r="I5269" s="72"/>
      <c r="J5269" s="37">
        <v>0</v>
      </c>
    </row>
    <row r="5270" spans="1:10" ht="25.5" hidden="1" x14ac:dyDescent="0.25">
      <c r="A5270" s="179"/>
      <c r="B5270" s="177"/>
      <c r="C5270" s="43" t="s">
        <v>1248</v>
      </c>
      <c r="D5270" s="43" t="s">
        <v>83</v>
      </c>
      <c r="E5270" s="44">
        <v>1</v>
      </c>
      <c r="F5270" s="38" t="s">
        <v>13</v>
      </c>
      <c r="G5270" s="70" t="str">
        <f>IF(ISNUMBER(F5270),E5270*F5270,"")</f>
        <v/>
      </c>
      <c r="H5270" s="46">
        <f>SUM(G5270:G5272)</f>
        <v>21.308728000000002</v>
      </c>
      <c r="I5270" s="47"/>
      <c r="J5270" s="37">
        <v>0</v>
      </c>
    </row>
    <row r="5271" spans="1:10" ht="25.5" hidden="1" x14ac:dyDescent="0.25">
      <c r="A5271" s="179"/>
      <c r="B5271" s="177"/>
      <c r="C5271" s="43" t="s">
        <v>10753</v>
      </c>
      <c r="D5271" s="43" t="s">
        <v>2800</v>
      </c>
      <c r="E5271" s="44">
        <v>0.39200000000000002</v>
      </c>
      <c r="F5271" s="38">
        <v>23.997</v>
      </c>
      <c r="G5271" s="70">
        <f>IF(ISNUMBER(F5271),E5271*F5271,"")</f>
        <v>9.4068240000000003</v>
      </c>
      <c r="H5271" s="71"/>
      <c r="I5271" s="72"/>
      <c r="J5271" s="37">
        <v>0</v>
      </c>
    </row>
    <row r="5272" spans="1:10" ht="25.5" hidden="1" x14ac:dyDescent="0.25">
      <c r="A5272" s="179"/>
      <c r="B5272" s="177"/>
      <c r="C5272" s="43" t="s">
        <v>10754</v>
      </c>
      <c r="D5272" s="43" t="s">
        <v>2800</v>
      </c>
      <c r="E5272" s="44">
        <v>0.39200000000000002</v>
      </c>
      <c r="F5272" s="38">
        <v>30.361999999999998</v>
      </c>
      <c r="G5272" s="70">
        <f>IF(ISNUMBER(F5272),E5272*F5272,"")</f>
        <v>11.901904</v>
      </c>
      <c r="H5272" s="71"/>
      <c r="I5272" s="72"/>
      <c r="J5272" s="37">
        <v>0</v>
      </c>
    </row>
    <row r="5273" spans="1:10" ht="15.75" hidden="1" thickBot="1" x14ac:dyDescent="0.3">
      <c r="A5273" s="180"/>
      <c r="B5273" s="178"/>
      <c r="C5273" s="49"/>
      <c r="D5273" s="63"/>
      <c r="E5273" s="50"/>
      <c r="F5273" s="83" t="s">
        <v>13</v>
      </c>
      <c r="G5273" s="83" t="str">
        <f>IF(ISNUMBER(F5273),E5273*F5273,"")</f>
        <v/>
      </c>
      <c r="H5273" s="84"/>
      <c r="I5273" s="72"/>
      <c r="J5273" s="37">
        <v>0</v>
      </c>
    </row>
    <row r="5274" spans="1:10" ht="15.75" hidden="1" thickBot="1" x14ac:dyDescent="0.3">
      <c r="A5274" s="173" t="s">
        <v>1249</v>
      </c>
      <c r="B5274" s="176" t="s">
        <v>4847</v>
      </c>
      <c r="C5274" s="31"/>
      <c r="D5274" s="32" t="s">
        <v>18</v>
      </c>
      <c r="E5274" s="33"/>
      <c r="F5274" s="60" t="s">
        <v>13</v>
      </c>
      <c r="G5274" s="34" t="str">
        <f>IF(ISNUMBER(F5274),E5274*F5274,"")</f>
        <v/>
      </c>
      <c r="H5274" s="35"/>
      <c r="I5274" s="36"/>
      <c r="J5274" s="37">
        <v>0</v>
      </c>
    </row>
    <row r="5275" spans="1:10" hidden="1" x14ac:dyDescent="0.25">
      <c r="A5275" s="179"/>
      <c r="B5275" s="177"/>
      <c r="C5275" s="39"/>
      <c r="D5275" s="39"/>
      <c r="E5275" s="40"/>
      <c r="F5275" s="70" t="s">
        <v>13</v>
      </c>
      <c r="G5275" s="70" t="str">
        <f>IF(ISNUMBER(F5275),E5275*F5275,"")</f>
        <v/>
      </c>
      <c r="H5275" s="71"/>
      <c r="I5275" s="72"/>
      <c r="J5275" s="37">
        <v>0</v>
      </c>
    </row>
    <row r="5276" spans="1:10" hidden="1" x14ac:dyDescent="0.25">
      <c r="A5276" s="179"/>
      <c r="B5276" s="177"/>
      <c r="C5276" s="43" t="s">
        <v>11100</v>
      </c>
      <c r="D5276" s="43" t="s">
        <v>1044</v>
      </c>
      <c r="E5276" s="44">
        <f>ROUND(0.089*1.3,4)</f>
        <v>0.1157</v>
      </c>
      <c r="F5276" s="38">
        <v>40.137499999999996</v>
      </c>
      <c r="G5276" s="70">
        <f>IF(ISNUMBER(F5276),E5276*F5276,"")</f>
        <v>4.6439087499999996</v>
      </c>
      <c r="H5276" s="46">
        <f>SUM(G5276:G5280)</f>
        <v>108.72550975</v>
      </c>
      <c r="I5276" s="47"/>
      <c r="J5276" s="37">
        <v>0</v>
      </c>
    </row>
    <row r="5277" spans="1:10" hidden="1" x14ac:dyDescent="0.25">
      <c r="A5277" s="179"/>
      <c r="B5277" s="177"/>
      <c r="C5277" s="43" t="s">
        <v>1250</v>
      </c>
      <c r="D5277" s="43" t="s">
        <v>83</v>
      </c>
      <c r="E5277" s="44">
        <v>1</v>
      </c>
      <c r="F5277" s="38" t="s">
        <v>13</v>
      </c>
      <c r="G5277" s="70" t="str">
        <f>IF(ISNUMBER(F5277),E5277*F5277,"")</f>
        <v/>
      </c>
      <c r="H5277" s="71"/>
      <c r="I5277" s="72"/>
      <c r="J5277" s="37">
        <v>0</v>
      </c>
    </row>
    <row r="5278" spans="1:10" ht="25.5" hidden="1" x14ac:dyDescent="0.25">
      <c r="A5278" s="179"/>
      <c r="B5278" s="177"/>
      <c r="C5278" s="43" t="s">
        <v>10753</v>
      </c>
      <c r="D5278" s="43" t="s">
        <v>2800</v>
      </c>
      <c r="E5278" s="44">
        <f>ROUND(0.93*1.3,4)</f>
        <v>1.2090000000000001</v>
      </c>
      <c r="F5278" s="38">
        <v>23.997</v>
      </c>
      <c r="G5278" s="70">
        <f>IF(ISNUMBER(F5278),E5278*F5278,"")</f>
        <v>29.012373</v>
      </c>
      <c r="H5278" s="71"/>
      <c r="I5278" s="72"/>
      <c r="J5278" s="37">
        <v>0</v>
      </c>
    </row>
    <row r="5279" spans="1:10" ht="25.5" hidden="1" x14ac:dyDescent="0.25">
      <c r="A5279" s="179"/>
      <c r="B5279" s="177"/>
      <c r="C5279" s="43" t="s">
        <v>10754</v>
      </c>
      <c r="D5279" s="43" t="s">
        <v>2800</v>
      </c>
      <c r="E5279" s="44">
        <f>ROUND(0.93*1.3,4)</f>
        <v>1.2090000000000001</v>
      </c>
      <c r="F5279" s="38">
        <v>30.361999999999998</v>
      </c>
      <c r="G5279" s="70">
        <f>IF(ISNUMBER(F5279),E5279*F5279,"")</f>
        <v>36.707658000000002</v>
      </c>
      <c r="H5279" s="71"/>
      <c r="I5279" s="72"/>
      <c r="J5279" s="37">
        <v>0</v>
      </c>
    </row>
    <row r="5280" spans="1:10" hidden="1" x14ac:dyDescent="0.25">
      <c r="A5280" s="179"/>
      <c r="B5280" s="177"/>
      <c r="C5280" s="43" t="s">
        <v>10808</v>
      </c>
      <c r="D5280" s="43" t="s">
        <v>2800</v>
      </c>
      <c r="E5280" s="44">
        <f>ROUND(0.93*1.3,4)</f>
        <v>1.2090000000000001</v>
      </c>
      <c r="F5280" s="70">
        <v>31.729999999999997</v>
      </c>
      <c r="G5280" s="70">
        <f>IF(ISNUMBER(F5280),E5280*F5280,"")</f>
        <v>38.36157</v>
      </c>
      <c r="H5280" s="71"/>
      <c r="I5280" s="72"/>
      <c r="J5280" s="37">
        <v>0</v>
      </c>
    </row>
    <row r="5281" spans="1:10" ht="15.75" hidden="1" thickBot="1" x14ac:dyDescent="0.3">
      <c r="A5281" s="180"/>
      <c r="B5281" s="178"/>
      <c r="C5281" s="49"/>
      <c r="D5281" s="63"/>
      <c r="E5281" s="50"/>
      <c r="F5281" s="83" t="s">
        <v>13</v>
      </c>
      <c r="G5281" s="83" t="str">
        <f>IF(ISNUMBER(F5281),E5281*F5281,"")</f>
        <v/>
      </c>
      <c r="H5281" s="84"/>
      <c r="I5281" s="72"/>
      <c r="J5281" s="37">
        <v>0</v>
      </c>
    </row>
    <row r="5282" spans="1:10" ht="15.75" hidden="1" thickBot="1" x14ac:dyDescent="0.3">
      <c r="A5282" s="173" t="s">
        <v>1251</v>
      </c>
      <c r="B5282" s="176" t="s">
        <v>4848</v>
      </c>
      <c r="C5282" s="31"/>
      <c r="D5282" s="32" t="s">
        <v>106</v>
      </c>
      <c r="E5282" s="33"/>
      <c r="F5282" s="54" t="s">
        <v>13</v>
      </c>
      <c r="G5282" s="34" t="str">
        <f>IF(ISNUMBER(F5282),E5282*F5282,"")</f>
        <v/>
      </c>
      <c r="H5282" s="35"/>
      <c r="I5282" s="36"/>
      <c r="J5282" s="37">
        <v>0</v>
      </c>
    </row>
    <row r="5283" spans="1:10" hidden="1" x14ac:dyDescent="0.25">
      <c r="A5283" s="174"/>
      <c r="B5283" s="177"/>
      <c r="C5283" s="39"/>
      <c r="D5283" s="39"/>
      <c r="E5283" s="40"/>
      <c r="F5283" s="55" t="s">
        <v>13</v>
      </c>
      <c r="G5283" s="38" t="str">
        <f>IF(ISNUMBER(F5283),E5283*F5283,"")</f>
        <v/>
      </c>
      <c r="H5283" s="42"/>
      <c r="I5283" s="38"/>
      <c r="J5283" s="37">
        <v>0</v>
      </c>
    </row>
    <row r="5284" spans="1:10" ht="38.25" hidden="1" x14ac:dyDescent="0.25">
      <c r="A5284" s="174"/>
      <c r="B5284" s="177"/>
      <c r="C5284" s="43" t="s">
        <v>1252</v>
      </c>
      <c r="D5284" s="62" t="s">
        <v>106</v>
      </c>
      <c r="E5284" s="44">
        <v>1.0225</v>
      </c>
      <c r="F5284" s="41" t="s">
        <v>13</v>
      </c>
      <c r="G5284" s="41" t="str">
        <f>IF(ISNUMBER(F5284),E5284*F5284,"")</f>
        <v/>
      </c>
      <c r="H5284" s="46">
        <f>SUM(G5284:G5286)</f>
        <v>2.5766165999999999</v>
      </c>
      <c r="I5284" s="47"/>
      <c r="J5284" s="37">
        <v>0</v>
      </c>
    </row>
    <row r="5285" spans="1:10" ht="25.5" hidden="1" x14ac:dyDescent="0.25">
      <c r="A5285" s="174"/>
      <c r="B5285" s="177"/>
      <c r="C5285" s="43" t="s">
        <v>10753</v>
      </c>
      <c r="D5285" s="43" t="s">
        <v>2800</v>
      </c>
      <c r="E5285" s="44">
        <f>0.158*0.3</f>
        <v>4.7399999999999998E-2</v>
      </c>
      <c r="F5285" s="38">
        <v>23.997</v>
      </c>
      <c r="G5285" s="41">
        <f>IF(ISNUMBER(F5285),E5285*F5285,"")</f>
        <v>1.1374578</v>
      </c>
      <c r="H5285" s="42"/>
      <c r="I5285" s="38"/>
      <c r="J5285" s="37">
        <v>0</v>
      </c>
    </row>
    <row r="5286" spans="1:10" ht="25.5" hidden="1" x14ac:dyDescent="0.25">
      <c r="A5286" s="174"/>
      <c r="B5286" s="177"/>
      <c r="C5286" s="43" t="s">
        <v>10754</v>
      </c>
      <c r="D5286" s="43" t="s">
        <v>2800</v>
      </c>
      <c r="E5286" s="44">
        <f>0.158*0.3</f>
        <v>4.7399999999999998E-2</v>
      </c>
      <c r="F5286" s="38">
        <v>30.361999999999998</v>
      </c>
      <c r="G5286" s="41">
        <f>IF(ISNUMBER(F5286),E5286*F5286,"")</f>
        <v>1.4391588</v>
      </c>
      <c r="H5286" s="42"/>
      <c r="I5286" s="38"/>
      <c r="J5286" s="37">
        <v>0</v>
      </c>
    </row>
    <row r="5287" spans="1:10" hidden="1" x14ac:dyDescent="0.25">
      <c r="A5287" s="174"/>
      <c r="B5287" s="177"/>
      <c r="C5287" s="43"/>
      <c r="D5287" s="62"/>
      <c r="E5287" s="44"/>
      <c r="F5287" s="41" t="s">
        <v>13</v>
      </c>
      <c r="G5287" s="41" t="str">
        <f>IF(ISNUMBER(F5287),E5287*F5287,"")</f>
        <v/>
      </c>
      <c r="H5287" s="42"/>
      <c r="I5287" s="38"/>
      <c r="J5287" s="37">
        <v>0</v>
      </c>
    </row>
    <row r="5288" spans="1:10" ht="38.25" hidden="1" x14ac:dyDescent="0.25">
      <c r="A5288" s="174"/>
      <c r="B5288" s="177"/>
      <c r="C5288" s="65" t="s">
        <v>520</v>
      </c>
      <c r="D5288" s="62"/>
      <c r="E5288" s="44"/>
      <c r="F5288" s="41" t="s">
        <v>13</v>
      </c>
      <c r="G5288" s="41" t="str">
        <f>IF(ISNUMBER(F5288),E5288*F5288,"")</f>
        <v/>
      </c>
      <c r="H5288" s="42"/>
      <c r="I5288" s="38"/>
      <c r="J5288" s="37">
        <v>0</v>
      </c>
    </row>
    <row r="5289" spans="1:10" ht="15.75" hidden="1" thickBot="1" x14ac:dyDescent="0.3">
      <c r="A5289" s="175"/>
      <c r="B5289" s="178"/>
      <c r="C5289" s="49"/>
      <c r="D5289" s="49"/>
      <c r="E5289" s="50"/>
      <c r="F5289" s="51" t="s">
        <v>13</v>
      </c>
      <c r="G5289" s="51" t="str">
        <f>IF(ISNUMBER(F5289),E5289*F5289,"")</f>
        <v/>
      </c>
      <c r="H5289" s="53"/>
      <c r="I5289" s="38"/>
      <c r="J5289" s="37">
        <v>0</v>
      </c>
    </row>
    <row r="5290" spans="1:10" ht="15.75" hidden="1" thickBot="1" x14ac:dyDescent="0.3">
      <c r="A5290" s="173" t="s">
        <v>1253</v>
      </c>
      <c r="B5290" s="176" t="s">
        <v>4849</v>
      </c>
      <c r="C5290" s="31"/>
      <c r="D5290" s="32" t="s">
        <v>18</v>
      </c>
      <c r="E5290" s="33"/>
      <c r="F5290" s="60" t="s">
        <v>13</v>
      </c>
      <c r="G5290" s="34" t="str">
        <f>IF(ISNUMBER(F5290),E5290*F5290,"")</f>
        <v/>
      </c>
      <c r="H5290" s="35"/>
      <c r="I5290" s="36"/>
      <c r="J5290" s="37">
        <v>0</v>
      </c>
    </row>
    <row r="5291" spans="1:10" hidden="1" x14ac:dyDescent="0.25">
      <c r="A5291" s="179"/>
      <c r="B5291" s="177"/>
      <c r="C5291" s="39"/>
      <c r="D5291" s="39"/>
      <c r="E5291" s="40"/>
      <c r="F5291" s="70" t="s">
        <v>13</v>
      </c>
      <c r="G5291" s="70" t="str">
        <f>IF(ISNUMBER(F5291),E5291*F5291,"")</f>
        <v/>
      </c>
      <c r="H5291" s="71"/>
      <c r="I5291" s="72"/>
      <c r="J5291" s="37">
        <v>0</v>
      </c>
    </row>
    <row r="5292" spans="1:10" hidden="1" x14ac:dyDescent="0.25">
      <c r="A5292" s="179"/>
      <c r="B5292" s="177"/>
      <c r="C5292" s="43" t="s">
        <v>11100</v>
      </c>
      <c r="D5292" s="43" t="s">
        <v>1044</v>
      </c>
      <c r="E5292" s="44">
        <v>8.9999999999999993E-3</v>
      </c>
      <c r="F5292" s="38">
        <v>40.137499999999996</v>
      </c>
      <c r="G5292" s="70">
        <f>IF(ISNUMBER(F5292),E5292*F5292,"")</f>
        <v>0.36123749999999993</v>
      </c>
      <c r="H5292" s="46">
        <f>SUM(G5292:G5296)</f>
        <v>10.175383499999999</v>
      </c>
      <c r="I5292" s="47"/>
      <c r="J5292" s="37">
        <v>0</v>
      </c>
    </row>
    <row r="5293" spans="1:10" ht="25.5" hidden="1" x14ac:dyDescent="0.25">
      <c r="A5293" s="179"/>
      <c r="B5293" s="177"/>
      <c r="C5293" s="43" t="s">
        <v>1254</v>
      </c>
      <c r="D5293" s="43" t="s">
        <v>83</v>
      </c>
      <c r="E5293" s="44">
        <v>1</v>
      </c>
      <c r="F5293" s="38" t="s">
        <v>13</v>
      </c>
      <c r="G5293" s="70" t="str">
        <f>IF(ISNUMBER(F5293),E5293*F5293,"")</f>
        <v/>
      </c>
      <c r="H5293" s="71"/>
      <c r="I5293" s="72"/>
      <c r="J5293" s="37">
        <v>0</v>
      </c>
    </row>
    <row r="5294" spans="1:10" ht="25.5" hidden="1" x14ac:dyDescent="0.25">
      <c r="A5294" s="179"/>
      <c r="B5294" s="177"/>
      <c r="C5294" s="43" t="s">
        <v>10753</v>
      </c>
      <c r="D5294" s="43" t="s">
        <v>2800</v>
      </c>
      <c r="E5294" s="44">
        <v>0.114</v>
      </c>
      <c r="F5294" s="38">
        <v>23.997</v>
      </c>
      <c r="G5294" s="70">
        <f>IF(ISNUMBER(F5294),E5294*F5294,"")</f>
        <v>2.7356579999999999</v>
      </c>
      <c r="H5294" s="71"/>
      <c r="I5294" s="72"/>
      <c r="J5294" s="37">
        <v>0</v>
      </c>
    </row>
    <row r="5295" spans="1:10" ht="25.5" hidden="1" x14ac:dyDescent="0.25">
      <c r="A5295" s="179"/>
      <c r="B5295" s="177"/>
      <c r="C5295" s="43" t="s">
        <v>10754</v>
      </c>
      <c r="D5295" s="43" t="s">
        <v>2800</v>
      </c>
      <c r="E5295" s="44">
        <v>0.114</v>
      </c>
      <c r="F5295" s="38">
        <v>30.361999999999998</v>
      </c>
      <c r="G5295" s="70">
        <f>IF(ISNUMBER(F5295),E5295*F5295,"")</f>
        <v>3.461268</v>
      </c>
      <c r="H5295" s="71"/>
      <c r="I5295" s="72"/>
      <c r="J5295" s="37">
        <v>0</v>
      </c>
    </row>
    <row r="5296" spans="1:10" hidden="1" x14ac:dyDescent="0.25">
      <c r="A5296" s="179"/>
      <c r="B5296" s="177"/>
      <c r="C5296" s="43" t="s">
        <v>10808</v>
      </c>
      <c r="D5296" s="43" t="s">
        <v>2800</v>
      </c>
      <c r="E5296" s="44">
        <v>0.114</v>
      </c>
      <c r="F5296" s="70">
        <v>31.729999999999997</v>
      </c>
      <c r="G5296" s="70">
        <f>IF(ISNUMBER(F5296),E5296*F5296,"")</f>
        <v>3.6172199999999997</v>
      </c>
      <c r="H5296" s="71"/>
      <c r="I5296" s="72"/>
      <c r="J5296" s="37">
        <v>0</v>
      </c>
    </row>
    <row r="5297" spans="1:10" ht="15.75" hidden="1" thickBot="1" x14ac:dyDescent="0.3">
      <c r="A5297" s="180"/>
      <c r="B5297" s="178"/>
      <c r="C5297" s="49"/>
      <c r="D5297" s="63"/>
      <c r="E5297" s="50"/>
      <c r="F5297" s="83" t="s">
        <v>13</v>
      </c>
      <c r="G5297" s="83" t="str">
        <f>IF(ISNUMBER(F5297),E5297*F5297,"")</f>
        <v/>
      </c>
      <c r="H5297" s="84"/>
      <c r="I5297" s="72"/>
      <c r="J5297" s="37">
        <v>0</v>
      </c>
    </row>
    <row r="5298" spans="1:10" ht="15.75" hidden="1" thickBot="1" x14ac:dyDescent="0.3">
      <c r="A5298" s="173" t="s">
        <v>1255</v>
      </c>
      <c r="B5298" s="176" t="s">
        <v>4850</v>
      </c>
      <c r="C5298" s="31"/>
      <c r="D5298" s="32" t="s">
        <v>18</v>
      </c>
      <c r="E5298" s="33"/>
      <c r="F5298" s="60" t="s">
        <v>13</v>
      </c>
      <c r="G5298" s="34" t="str">
        <f>IF(ISNUMBER(F5298),E5298*F5298,"")</f>
        <v/>
      </c>
      <c r="H5298" s="35"/>
      <c r="I5298" s="36"/>
      <c r="J5298" s="37">
        <v>0</v>
      </c>
    </row>
    <row r="5299" spans="1:10" hidden="1" x14ac:dyDescent="0.25">
      <c r="A5299" s="179"/>
      <c r="B5299" s="177"/>
      <c r="C5299" s="39"/>
      <c r="D5299" s="39"/>
      <c r="E5299" s="40"/>
      <c r="F5299" s="70" t="s">
        <v>13</v>
      </c>
      <c r="G5299" s="70" t="str">
        <f>IF(ISNUMBER(F5299),E5299*F5299,"")</f>
        <v/>
      </c>
      <c r="H5299" s="71"/>
      <c r="I5299" s="72"/>
      <c r="J5299" s="37">
        <v>0</v>
      </c>
    </row>
    <row r="5300" spans="1:10" hidden="1" x14ac:dyDescent="0.25">
      <c r="A5300" s="179"/>
      <c r="B5300" s="177"/>
      <c r="C5300" s="43" t="s">
        <v>11100</v>
      </c>
      <c r="D5300" s="43" t="s">
        <v>1044</v>
      </c>
      <c r="E5300" s="44">
        <f>ROUND(0.089*1.3,4)</f>
        <v>0.1157</v>
      </c>
      <c r="F5300" s="38">
        <v>40.137499999999996</v>
      </c>
      <c r="G5300" s="70">
        <f>IF(ISNUMBER(F5300),E5300*F5300,"")</f>
        <v>4.6439087499999996</v>
      </c>
      <c r="H5300" s="46">
        <f>SUM(G5300:G5304)</f>
        <v>74.031642750000003</v>
      </c>
      <c r="I5300" s="47"/>
      <c r="J5300" s="37">
        <v>0</v>
      </c>
    </row>
    <row r="5301" spans="1:10" ht="25.5" hidden="1" x14ac:dyDescent="0.25">
      <c r="A5301" s="179"/>
      <c r="B5301" s="177"/>
      <c r="C5301" s="43" t="s">
        <v>1256</v>
      </c>
      <c r="D5301" s="43" t="s">
        <v>83</v>
      </c>
      <c r="E5301" s="44">
        <v>1</v>
      </c>
      <c r="F5301" s="38" t="s">
        <v>13</v>
      </c>
      <c r="G5301" s="70" t="str">
        <f>IF(ISNUMBER(F5301),E5301*F5301,"")</f>
        <v/>
      </c>
      <c r="H5301" s="71"/>
      <c r="I5301" s="72"/>
      <c r="J5301" s="37">
        <v>0</v>
      </c>
    </row>
    <row r="5302" spans="1:10" ht="25.5" hidden="1" x14ac:dyDescent="0.25">
      <c r="A5302" s="179"/>
      <c r="B5302" s="177"/>
      <c r="C5302" s="43" t="s">
        <v>10753</v>
      </c>
      <c r="D5302" s="43" t="s">
        <v>2800</v>
      </c>
      <c r="E5302" s="44">
        <f>ROUND(0.62*1.3,4)</f>
        <v>0.80600000000000005</v>
      </c>
      <c r="F5302" s="38">
        <v>23.997</v>
      </c>
      <c r="G5302" s="70">
        <f>IF(ISNUMBER(F5302),E5302*F5302,"")</f>
        <v>19.341582000000002</v>
      </c>
      <c r="H5302" s="71"/>
      <c r="I5302" s="72"/>
      <c r="J5302" s="37">
        <v>0</v>
      </c>
    </row>
    <row r="5303" spans="1:10" ht="25.5" hidden="1" x14ac:dyDescent="0.25">
      <c r="A5303" s="179"/>
      <c r="B5303" s="177"/>
      <c r="C5303" s="43" t="s">
        <v>10754</v>
      </c>
      <c r="D5303" s="43" t="s">
        <v>2800</v>
      </c>
      <c r="E5303" s="44">
        <f>ROUND(0.62*1.3,4)</f>
        <v>0.80600000000000005</v>
      </c>
      <c r="F5303" s="38">
        <v>30.361999999999998</v>
      </c>
      <c r="G5303" s="70">
        <f>IF(ISNUMBER(F5303),E5303*F5303,"")</f>
        <v>24.471772000000001</v>
      </c>
      <c r="H5303" s="71"/>
      <c r="I5303" s="72"/>
      <c r="J5303" s="37">
        <v>0</v>
      </c>
    </row>
    <row r="5304" spans="1:10" hidden="1" x14ac:dyDescent="0.25">
      <c r="A5304" s="179"/>
      <c r="B5304" s="177"/>
      <c r="C5304" s="43" t="s">
        <v>10808</v>
      </c>
      <c r="D5304" s="43" t="s">
        <v>2800</v>
      </c>
      <c r="E5304" s="44">
        <f>ROUND(0.62*1.3,4)</f>
        <v>0.80600000000000005</v>
      </c>
      <c r="F5304" s="70">
        <v>31.729999999999997</v>
      </c>
      <c r="G5304" s="70">
        <f>IF(ISNUMBER(F5304),E5304*F5304,"")</f>
        <v>25.574379999999998</v>
      </c>
      <c r="H5304" s="71"/>
      <c r="I5304" s="72"/>
      <c r="J5304" s="37">
        <v>0</v>
      </c>
    </row>
    <row r="5305" spans="1:10" ht="15.75" hidden="1" thickBot="1" x14ac:dyDescent="0.3">
      <c r="A5305" s="180"/>
      <c r="B5305" s="178"/>
      <c r="C5305" s="49"/>
      <c r="D5305" s="63"/>
      <c r="E5305" s="50"/>
      <c r="F5305" s="83" t="s">
        <v>13</v>
      </c>
      <c r="G5305" s="83" t="str">
        <f>IF(ISNUMBER(F5305),E5305*F5305,"")</f>
        <v/>
      </c>
      <c r="H5305" s="84"/>
      <c r="I5305" s="72"/>
      <c r="J5305" s="37">
        <v>0</v>
      </c>
    </row>
    <row r="5306" spans="1:10" ht="15.75" hidden="1" thickBot="1" x14ac:dyDescent="0.3">
      <c r="A5306" s="173" t="s">
        <v>1257</v>
      </c>
      <c r="B5306" s="176" t="s">
        <v>4861</v>
      </c>
      <c r="C5306" s="31"/>
      <c r="D5306" s="32" t="s">
        <v>18</v>
      </c>
      <c r="E5306" s="33"/>
      <c r="F5306" s="60" t="s">
        <v>13</v>
      </c>
      <c r="G5306" s="34" t="str">
        <f>IF(ISNUMBER(F5306),E5306*F5306,"")</f>
        <v/>
      </c>
      <c r="H5306" s="35"/>
      <c r="I5306" s="36"/>
      <c r="J5306" s="37">
        <v>0</v>
      </c>
    </row>
    <row r="5307" spans="1:10" hidden="1" x14ac:dyDescent="0.25">
      <c r="A5307" s="179"/>
      <c r="B5307" s="177"/>
      <c r="C5307" s="39"/>
      <c r="D5307" s="39"/>
      <c r="E5307" s="40"/>
      <c r="F5307" s="70" t="s">
        <v>13</v>
      </c>
      <c r="G5307" s="70" t="str">
        <f>IF(ISNUMBER(F5307),E5307*F5307,"")</f>
        <v/>
      </c>
      <c r="H5307" s="71"/>
      <c r="I5307" s="72"/>
      <c r="J5307" s="37">
        <v>0</v>
      </c>
    </row>
    <row r="5308" spans="1:10" hidden="1" x14ac:dyDescent="0.25">
      <c r="A5308" s="179"/>
      <c r="B5308" s="177"/>
      <c r="C5308" s="43" t="s">
        <v>11100</v>
      </c>
      <c r="D5308" s="43" t="s">
        <v>1044</v>
      </c>
      <c r="E5308" s="44">
        <f>ROUND(0.133*1.3,4)</f>
        <v>0.1729</v>
      </c>
      <c r="F5308" s="38">
        <v>40.137499999999996</v>
      </c>
      <c r="G5308" s="70">
        <f>IF(ISNUMBER(F5308),E5308*F5308,"")</f>
        <v>6.9397737499999996</v>
      </c>
      <c r="H5308" s="46">
        <f>SUM(G5308:G5312)</f>
        <v>114.60267714999998</v>
      </c>
      <c r="I5308" s="47"/>
      <c r="J5308" s="37">
        <v>0</v>
      </c>
    </row>
    <row r="5309" spans="1:10" hidden="1" x14ac:dyDescent="0.25">
      <c r="A5309" s="179"/>
      <c r="B5309" s="177"/>
      <c r="C5309" s="43" t="s">
        <v>1258</v>
      </c>
      <c r="D5309" s="43" t="s">
        <v>83</v>
      </c>
      <c r="E5309" s="44">
        <v>1</v>
      </c>
      <c r="F5309" s="38" t="s">
        <v>13</v>
      </c>
      <c r="G5309" s="70" t="str">
        <f>IF(ISNUMBER(F5309),E5309*F5309,"")</f>
        <v/>
      </c>
      <c r="H5309" s="71"/>
      <c r="I5309" s="72"/>
      <c r="J5309" s="37">
        <v>0</v>
      </c>
    </row>
    <row r="5310" spans="1:10" ht="25.5" hidden="1" x14ac:dyDescent="0.25">
      <c r="A5310" s="179"/>
      <c r="B5310" s="177"/>
      <c r="C5310" s="43" t="s">
        <v>10753</v>
      </c>
      <c r="D5310" s="43" t="s">
        <v>2800</v>
      </c>
      <c r="E5310" s="44">
        <f>ROUND(0.962*1.3,4)</f>
        <v>1.2505999999999999</v>
      </c>
      <c r="F5310" s="38">
        <v>23.997</v>
      </c>
      <c r="G5310" s="70">
        <f>IF(ISNUMBER(F5310),E5310*F5310,"")</f>
        <v>30.010648199999999</v>
      </c>
      <c r="H5310" s="71"/>
      <c r="I5310" s="72"/>
      <c r="J5310" s="37">
        <v>0</v>
      </c>
    </row>
    <row r="5311" spans="1:10" ht="25.5" hidden="1" x14ac:dyDescent="0.25">
      <c r="A5311" s="179"/>
      <c r="B5311" s="177"/>
      <c r="C5311" s="43" t="s">
        <v>10754</v>
      </c>
      <c r="D5311" s="43" t="s">
        <v>2800</v>
      </c>
      <c r="E5311" s="44">
        <f>ROUND(0.962*1.3,4)</f>
        <v>1.2505999999999999</v>
      </c>
      <c r="F5311" s="38">
        <v>30.361999999999998</v>
      </c>
      <c r="G5311" s="70">
        <f>IF(ISNUMBER(F5311),E5311*F5311,"")</f>
        <v>37.970717199999996</v>
      </c>
      <c r="H5311" s="71"/>
      <c r="I5311" s="72"/>
      <c r="J5311" s="37">
        <v>0</v>
      </c>
    </row>
    <row r="5312" spans="1:10" hidden="1" x14ac:dyDescent="0.25">
      <c r="A5312" s="179"/>
      <c r="B5312" s="177"/>
      <c r="C5312" s="43" t="s">
        <v>10808</v>
      </c>
      <c r="D5312" s="43" t="s">
        <v>2800</v>
      </c>
      <c r="E5312" s="44">
        <f>ROUND(0.962*1.3,4)</f>
        <v>1.2505999999999999</v>
      </c>
      <c r="F5312" s="70">
        <v>31.729999999999997</v>
      </c>
      <c r="G5312" s="70">
        <f>IF(ISNUMBER(F5312),E5312*F5312,"")</f>
        <v>39.681537999999996</v>
      </c>
      <c r="H5312" s="71"/>
      <c r="I5312" s="72"/>
      <c r="J5312" s="37">
        <v>0</v>
      </c>
    </row>
    <row r="5313" spans="1:10" ht="15.75" hidden="1" thickBot="1" x14ac:dyDescent="0.3">
      <c r="A5313" s="180"/>
      <c r="B5313" s="178"/>
      <c r="C5313" s="49"/>
      <c r="D5313" s="63"/>
      <c r="E5313" s="50"/>
      <c r="F5313" s="83" t="s">
        <v>13</v>
      </c>
      <c r="G5313" s="83" t="str">
        <f>IF(ISNUMBER(F5313),E5313*F5313,"")</f>
        <v/>
      </c>
      <c r="H5313" s="84"/>
      <c r="I5313" s="72"/>
      <c r="J5313" s="37">
        <v>0</v>
      </c>
    </row>
    <row r="5314" spans="1:10" ht="15.75" hidden="1" thickBot="1" x14ac:dyDescent="0.3">
      <c r="A5314" s="173" t="s">
        <v>1259</v>
      </c>
      <c r="B5314" s="176" t="s">
        <v>4862</v>
      </c>
      <c r="C5314" s="31"/>
      <c r="D5314" s="32" t="s">
        <v>106</v>
      </c>
      <c r="E5314" s="33"/>
      <c r="F5314" s="60" t="s">
        <v>13</v>
      </c>
      <c r="G5314" s="34" t="str">
        <f>IF(ISNUMBER(F5314),E5314*F5314,"")</f>
        <v/>
      </c>
      <c r="H5314" s="35"/>
      <c r="I5314" s="36"/>
      <c r="J5314" s="37">
        <v>0</v>
      </c>
    </row>
    <row r="5315" spans="1:10" hidden="1" x14ac:dyDescent="0.25">
      <c r="A5315" s="179"/>
      <c r="B5315" s="177"/>
      <c r="C5315" s="39"/>
      <c r="D5315" s="39"/>
      <c r="E5315" s="40"/>
      <c r="F5315" s="70" t="s">
        <v>13</v>
      </c>
      <c r="G5315" s="70" t="str">
        <f>IF(ISNUMBER(F5315),E5315*F5315,"")</f>
        <v/>
      </c>
      <c r="H5315" s="71"/>
      <c r="I5315" s="72"/>
      <c r="J5315" s="37">
        <v>0</v>
      </c>
    </row>
    <row r="5316" spans="1:10" ht="38.25" hidden="1" x14ac:dyDescent="0.25">
      <c r="A5316" s="179"/>
      <c r="B5316" s="177"/>
      <c r="C5316" s="43" t="s">
        <v>11196</v>
      </c>
      <c r="D5316" s="43" t="s">
        <v>1050</v>
      </c>
      <c r="E5316" s="44">
        <f>0.0184/2</f>
        <v>9.1999999999999998E-3</v>
      </c>
      <c r="F5316" s="38">
        <v>205.85549999999998</v>
      </c>
      <c r="G5316" s="70">
        <f>IF(ISNUMBER(F5316),E5316*F5316,"")</f>
        <v>1.8938705999999998</v>
      </c>
      <c r="H5316" s="46">
        <f>SUM(G5316:G5325)</f>
        <v>616.12600326963752</v>
      </c>
      <c r="I5316" s="47"/>
      <c r="J5316" s="37">
        <v>0</v>
      </c>
    </row>
    <row r="5317" spans="1:10" ht="38.25" hidden="1" x14ac:dyDescent="0.25">
      <c r="A5317" s="179"/>
      <c r="B5317" s="177"/>
      <c r="C5317" s="43" t="s">
        <v>11197</v>
      </c>
      <c r="D5317" s="43" t="s">
        <v>10677</v>
      </c>
      <c r="E5317" s="44">
        <f>0.0882/2</f>
        <v>4.41E-2</v>
      </c>
      <c r="F5317" s="38">
        <v>87.257499999999993</v>
      </c>
      <c r="G5317" s="70">
        <f>IF(ISNUMBER(F5317),E5317*F5317,"")</f>
        <v>3.8480557499999999</v>
      </c>
      <c r="H5317" s="71"/>
      <c r="I5317" s="72"/>
      <c r="J5317" s="37">
        <v>0</v>
      </c>
    </row>
    <row r="5318" spans="1:10" hidden="1" x14ac:dyDescent="0.25">
      <c r="A5318" s="179"/>
      <c r="B5318" s="177"/>
      <c r="C5318" s="43" t="s">
        <v>10846</v>
      </c>
      <c r="D5318" s="43" t="s">
        <v>1044</v>
      </c>
      <c r="E5318" s="44">
        <f>0.1875/2</f>
        <v>9.375E-2</v>
      </c>
      <c r="F5318" s="38">
        <v>41.8</v>
      </c>
      <c r="G5318" s="70">
        <f>IF(ISNUMBER(F5318),E5318*F5318,"")</f>
        <v>3.9187499999999997</v>
      </c>
      <c r="H5318" s="71"/>
      <c r="I5318" s="72"/>
      <c r="J5318" s="37">
        <v>0</v>
      </c>
    </row>
    <row r="5319" spans="1:10" hidden="1" x14ac:dyDescent="0.25">
      <c r="A5319" s="179"/>
      <c r="B5319" s="177"/>
      <c r="C5319" s="43" t="s">
        <v>11198</v>
      </c>
      <c r="D5319" s="43" t="s">
        <v>2800</v>
      </c>
      <c r="E5319" s="44">
        <f>0.1604/2</f>
        <v>8.0199999999999994E-2</v>
      </c>
      <c r="F5319" s="38">
        <v>25.203499999999998</v>
      </c>
      <c r="G5319" s="70">
        <f>IF(ISNUMBER(F5319),E5319*F5319,"")</f>
        <v>2.0213206999999995</v>
      </c>
      <c r="H5319" s="71"/>
      <c r="I5319" s="72"/>
      <c r="J5319" s="37">
        <v>0</v>
      </c>
    </row>
    <row r="5320" spans="1:10" hidden="1" x14ac:dyDescent="0.25">
      <c r="A5320" s="179"/>
      <c r="B5320" s="177"/>
      <c r="C5320" s="43" t="s">
        <v>10614</v>
      </c>
      <c r="D5320" s="43" t="s">
        <v>2800</v>
      </c>
      <c r="E5320" s="44">
        <f>0.1604/2</f>
        <v>8.0199999999999994E-2</v>
      </c>
      <c r="F5320" s="70">
        <v>23.693000000000001</v>
      </c>
      <c r="G5320" s="70">
        <f>IF(ISNUMBER(F5320),E5320*F5320,"")</f>
        <v>1.9001786000000001</v>
      </c>
      <c r="H5320" s="71"/>
      <c r="I5320" s="72"/>
      <c r="J5320" s="37">
        <v>0</v>
      </c>
    </row>
    <row r="5321" spans="1:10" hidden="1" x14ac:dyDescent="0.25">
      <c r="A5321" s="179"/>
      <c r="B5321" s="177"/>
      <c r="C5321" s="43" t="s">
        <v>10808</v>
      </c>
      <c r="D5321" s="43" t="s">
        <v>2800</v>
      </c>
      <c r="E5321" s="44">
        <f>0.564/2</f>
        <v>0.28199999999999997</v>
      </c>
      <c r="F5321" s="70">
        <v>31.729999999999997</v>
      </c>
      <c r="G5321" s="70">
        <f>IF(ISNUMBER(F5321),E5321*F5321,"")</f>
        <v>8.9478599999999986</v>
      </c>
      <c r="H5321" s="71"/>
      <c r="I5321" s="72"/>
      <c r="J5321" s="37">
        <v>0</v>
      </c>
    </row>
    <row r="5322" spans="1:10" ht="25.5" hidden="1" x14ac:dyDescent="0.25">
      <c r="A5322" s="179"/>
      <c r="B5322" s="177"/>
      <c r="C5322" s="43" t="s">
        <v>11199</v>
      </c>
      <c r="D5322" s="43" t="s">
        <v>1302</v>
      </c>
      <c r="E5322" s="44">
        <v>1</v>
      </c>
      <c r="F5322" s="70">
        <v>506.99599999999992</v>
      </c>
      <c r="G5322" s="70">
        <f>IF(ISNUMBER(F5322),E5322*F5322,"")</f>
        <v>506.99599999999992</v>
      </c>
      <c r="H5322" s="71"/>
      <c r="I5322" s="72"/>
      <c r="J5322" s="37">
        <v>0</v>
      </c>
    </row>
    <row r="5323" spans="1:10" ht="38.25" hidden="1" x14ac:dyDescent="0.25">
      <c r="A5323" s="179"/>
      <c r="B5323" s="177"/>
      <c r="C5323" s="43" t="s">
        <v>10729</v>
      </c>
      <c r="D5323" s="43" t="s">
        <v>2885</v>
      </c>
      <c r="E5323" s="44">
        <f>21.75/1000</f>
        <v>2.1749999999999999E-2</v>
      </c>
      <c r="F5323" s="70">
        <v>39.029483649999996</v>
      </c>
      <c r="G5323" s="70">
        <f>IF(ISNUMBER(F5323),E5323*F5323,"")</f>
        <v>0.84889126938749981</v>
      </c>
      <c r="H5323" s="71"/>
      <c r="I5323" s="72"/>
      <c r="J5323" s="37">
        <v>0</v>
      </c>
    </row>
    <row r="5324" spans="1:10" ht="38.25" hidden="1" x14ac:dyDescent="0.25">
      <c r="A5324" s="179"/>
      <c r="B5324" s="177"/>
      <c r="C5324" s="43" t="s">
        <v>10730</v>
      </c>
      <c r="D5324" s="43" t="s">
        <v>10816</v>
      </c>
      <c r="E5324" s="44">
        <f>21.75/1000*1030</f>
        <v>22.4025</v>
      </c>
      <c r="F5324" s="70">
        <v>2.7607740999999995</v>
      </c>
      <c r="G5324" s="70">
        <f>IF(ISNUMBER(F5324),E5324*F5324,"")</f>
        <v>61.848241775249988</v>
      </c>
      <c r="H5324" s="71"/>
      <c r="I5324" s="72"/>
      <c r="J5324" s="37">
        <v>0</v>
      </c>
    </row>
    <row r="5325" spans="1:10" ht="51" hidden="1" x14ac:dyDescent="0.25">
      <c r="A5325" s="179"/>
      <c r="B5325" s="177"/>
      <c r="C5325" s="43" t="s">
        <v>10731</v>
      </c>
      <c r="D5325" s="43" t="s">
        <v>10816</v>
      </c>
      <c r="E5325" s="44">
        <f>21.75/1000*1000</f>
        <v>21.75</v>
      </c>
      <c r="F5325" s="70">
        <v>1.0989808999999999</v>
      </c>
      <c r="G5325" s="70">
        <f>IF(ISNUMBER(F5325),E5325*F5325,"")</f>
        <v>23.902834575</v>
      </c>
      <c r="H5325" s="71"/>
      <c r="I5325" s="72"/>
      <c r="J5325" s="37">
        <v>0</v>
      </c>
    </row>
    <row r="5326" spans="1:10" hidden="1" x14ac:dyDescent="0.25">
      <c r="A5326" s="179"/>
      <c r="B5326" s="177"/>
      <c r="C5326" s="43"/>
      <c r="D5326" s="43"/>
      <c r="E5326" s="44"/>
      <c r="F5326" s="70" t="s">
        <v>13</v>
      </c>
      <c r="G5326" s="70" t="str">
        <f>IF(ISNUMBER(F5326),E5326*F5326,"")</f>
        <v/>
      </c>
      <c r="H5326" s="71"/>
      <c r="I5326" s="72"/>
      <c r="J5326" s="37">
        <v>0</v>
      </c>
    </row>
    <row r="5327" spans="1:10" hidden="1" x14ac:dyDescent="0.25">
      <c r="A5327" s="179"/>
      <c r="B5327" s="177"/>
      <c r="C5327" s="4" t="s">
        <v>1260</v>
      </c>
      <c r="D5327" s="43"/>
      <c r="E5327" s="44"/>
      <c r="F5327" s="70" t="s">
        <v>13</v>
      </c>
      <c r="G5327" s="70" t="str">
        <f>IF(ISNUMBER(F5327),E5327*F5327,"")</f>
        <v/>
      </c>
      <c r="H5327" s="71"/>
      <c r="I5327" s="72"/>
      <c r="J5327" s="37">
        <v>0</v>
      </c>
    </row>
    <row r="5328" spans="1:10" ht="15.75" hidden="1" thickBot="1" x14ac:dyDescent="0.3">
      <c r="A5328" s="180"/>
      <c r="B5328" s="178"/>
      <c r="C5328" s="49"/>
      <c r="D5328" s="63"/>
      <c r="E5328" s="50"/>
      <c r="F5328" s="83" t="s">
        <v>13</v>
      </c>
      <c r="G5328" s="83" t="str">
        <f>IF(ISNUMBER(F5328),E5328*F5328,"")</f>
        <v/>
      </c>
      <c r="H5328" s="84"/>
      <c r="I5328" s="72"/>
      <c r="J5328" s="37">
        <v>0</v>
      </c>
    </row>
    <row r="5329" spans="1:10" ht="15.75" hidden="1" thickBot="1" x14ac:dyDescent="0.3">
      <c r="A5329" s="173" t="s">
        <v>1261</v>
      </c>
      <c r="B5329" s="176" t="s">
        <v>4863</v>
      </c>
      <c r="C5329" s="31"/>
      <c r="D5329" s="32" t="s">
        <v>106</v>
      </c>
      <c r="E5329" s="33"/>
      <c r="F5329" s="60" t="s">
        <v>13</v>
      </c>
      <c r="G5329" s="34" t="str">
        <f>IF(ISNUMBER(F5329),E5329*F5329,"")</f>
        <v/>
      </c>
      <c r="H5329" s="35"/>
      <c r="I5329" s="36"/>
      <c r="J5329" s="37">
        <v>0</v>
      </c>
    </row>
    <row r="5330" spans="1:10" hidden="1" x14ac:dyDescent="0.25">
      <c r="A5330" s="179"/>
      <c r="B5330" s="177"/>
      <c r="C5330" s="39"/>
      <c r="D5330" s="39"/>
      <c r="E5330" s="40"/>
      <c r="F5330" s="70" t="s">
        <v>13</v>
      </c>
      <c r="G5330" s="70" t="str">
        <f>IF(ISNUMBER(F5330),E5330*F5330,"")</f>
        <v/>
      </c>
      <c r="H5330" s="71"/>
      <c r="I5330" s="72"/>
      <c r="J5330" s="37">
        <v>0</v>
      </c>
    </row>
    <row r="5331" spans="1:10" ht="38.25" hidden="1" x14ac:dyDescent="0.25">
      <c r="A5331" s="179"/>
      <c r="B5331" s="177"/>
      <c r="C5331" s="43" t="s">
        <v>11196</v>
      </c>
      <c r="D5331" s="43" t="s">
        <v>1050</v>
      </c>
      <c r="E5331" s="44">
        <f>0.0184/2</f>
        <v>9.1999999999999998E-3</v>
      </c>
      <c r="F5331" s="38">
        <v>205.85549999999998</v>
      </c>
      <c r="G5331" s="70">
        <f>IF(ISNUMBER(F5331),E5331*F5331,"")</f>
        <v>1.8938705999999998</v>
      </c>
      <c r="H5331" s="46">
        <f>SUM(G5331:G5342)</f>
        <v>968.22830644097496</v>
      </c>
      <c r="I5331" s="47"/>
      <c r="J5331" s="37">
        <v>0</v>
      </c>
    </row>
    <row r="5332" spans="1:10" ht="38.25" hidden="1" x14ac:dyDescent="0.25">
      <c r="A5332" s="179"/>
      <c r="B5332" s="177"/>
      <c r="C5332" s="43" t="s">
        <v>11197</v>
      </c>
      <c r="D5332" s="43" t="s">
        <v>10677</v>
      </c>
      <c r="E5332" s="44">
        <f>0.0882/2</f>
        <v>4.41E-2</v>
      </c>
      <c r="F5332" s="38">
        <v>87.257499999999993</v>
      </c>
      <c r="G5332" s="70">
        <f>IF(ISNUMBER(F5332),E5332*F5332,"")</f>
        <v>3.8480557499999999</v>
      </c>
      <c r="H5332" s="71"/>
      <c r="I5332" s="72"/>
      <c r="J5332" s="37">
        <v>0</v>
      </c>
    </row>
    <row r="5333" spans="1:10" hidden="1" x14ac:dyDescent="0.25">
      <c r="A5333" s="179"/>
      <c r="B5333" s="177"/>
      <c r="C5333" s="43" t="s">
        <v>10846</v>
      </c>
      <c r="D5333" s="43" t="s">
        <v>1044</v>
      </c>
      <c r="E5333" s="44">
        <f>0.1875/2</f>
        <v>9.375E-2</v>
      </c>
      <c r="F5333" s="38">
        <v>41.8</v>
      </c>
      <c r="G5333" s="70">
        <f>IF(ISNUMBER(F5333),E5333*F5333,"")</f>
        <v>3.9187499999999997</v>
      </c>
      <c r="H5333" s="71"/>
      <c r="I5333" s="72"/>
      <c r="J5333" s="37">
        <v>0</v>
      </c>
    </row>
    <row r="5334" spans="1:10" hidden="1" x14ac:dyDescent="0.25">
      <c r="A5334" s="179"/>
      <c r="B5334" s="177"/>
      <c r="C5334" s="43" t="s">
        <v>11198</v>
      </c>
      <c r="D5334" s="43" t="s">
        <v>2800</v>
      </c>
      <c r="E5334" s="44">
        <f>0.1604/2</f>
        <v>8.0199999999999994E-2</v>
      </c>
      <c r="F5334" s="38">
        <v>25.203499999999998</v>
      </c>
      <c r="G5334" s="70">
        <f>IF(ISNUMBER(F5334),E5334*F5334,"")</f>
        <v>2.0213206999999995</v>
      </c>
      <c r="H5334" s="71"/>
      <c r="I5334" s="72"/>
      <c r="J5334" s="37">
        <v>0</v>
      </c>
    </row>
    <row r="5335" spans="1:10" hidden="1" x14ac:dyDescent="0.25">
      <c r="A5335" s="179"/>
      <c r="B5335" s="177"/>
      <c r="C5335" s="43" t="s">
        <v>10614</v>
      </c>
      <c r="D5335" s="43" t="s">
        <v>2800</v>
      </c>
      <c r="E5335" s="44">
        <f>0.1604/2</f>
        <v>8.0199999999999994E-2</v>
      </c>
      <c r="F5335" s="70">
        <v>23.693000000000001</v>
      </c>
      <c r="G5335" s="70">
        <f>IF(ISNUMBER(F5335),E5335*F5335,"")</f>
        <v>1.9001786000000001</v>
      </c>
      <c r="H5335" s="71"/>
      <c r="I5335" s="72"/>
      <c r="J5335" s="37">
        <v>0</v>
      </c>
    </row>
    <row r="5336" spans="1:10" hidden="1" x14ac:dyDescent="0.25">
      <c r="A5336" s="179"/>
      <c r="B5336" s="177"/>
      <c r="C5336" s="43" t="s">
        <v>10808</v>
      </c>
      <c r="D5336" s="43" t="s">
        <v>2800</v>
      </c>
      <c r="E5336" s="44">
        <f>0.564/2</f>
        <v>0.28199999999999997</v>
      </c>
      <c r="F5336" s="70">
        <v>31.729999999999997</v>
      </c>
      <c r="G5336" s="70">
        <f>IF(ISNUMBER(F5336),E5336*F5336,"")</f>
        <v>8.9478599999999986</v>
      </c>
      <c r="H5336" s="71"/>
      <c r="I5336" s="72"/>
      <c r="J5336" s="37">
        <v>0</v>
      </c>
    </row>
    <row r="5337" spans="1:10" ht="25.5" hidden="1" x14ac:dyDescent="0.25">
      <c r="A5337" s="179"/>
      <c r="B5337" s="177"/>
      <c r="C5337" s="43" t="s">
        <v>11200</v>
      </c>
      <c r="D5337" s="43" t="s">
        <v>1302</v>
      </c>
      <c r="E5337" s="44">
        <v>1</v>
      </c>
      <c r="F5337" s="70">
        <v>859.30349999999999</v>
      </c>
      <c r="G5337" s="70">
        <f>IF(ISNUMBER(F5337),E5337*F5337,"")</f>
        <v>859.30349999999999</v>
      </c>
      <c r="H5337" s="71"/>
      <c r="I5337" s="72"/>
      <c r="J5337" s="37">
        <v>0</v>
      </c>
    </row>
    <row r="5338" spans="1:10" ht="38.25" hidden="1" x14ac:dyDescent="0.25">
      <c r="A5338" s="179"/>
      <c r="B5338" s="177"/>
      <c r="C5338" s="43" t="s">
        <v>10732</v>
      </c>
      <c r="D5338" s="43" t="s">
        <v>2885</v>
      </c>
      <c r="E5338" s="44">
        <f>21.75/1000</f>
        <v>2.1749999999999999E-2</v>
      </c>
      <c r="F5338" s="70">
        <v>29.595146699999994</v>
      </c>
      <c r="G5338" s="70">
        <f>IF(ISNUMBER(F5338),E5338*F5338,"")</f>
        <v>0.64369444072499982</v>
      </c>
      <c r="H5338" s="71"/>
      <c r="I5338" s="72"/>
      <c r="J5338" s="37">
        <v>0</v>
      </c>
    </row>
    <row r="5339" spans="1:10" ht="38.25" hidden="1" x14ac:dyDescent="0.25">
      <c r="A5339" s="179"/>
      <c r="B5339" s="177"/>
      <c r="C5339" s="43" t="s">
        <v>10730</v>
      </c>
      <c r="D5339" s="43" t="s">
        <v>10816</v>
      </c>
      <c r="E5339" s="44">
        <f>21.75/1000*1030</f>
        <v>22.4025</v>
      </c>
      <c r="F5339" s="70">
        <v>2.7607740999999995</v>
      </c>
      <c r="G5339" s="70">
        <f>IF(ISNUMBER(F5339),E5339*F5339,"")</f>
        <v>61.848241775249988</v>
      </c>
      <c r="H5339" s="71"/>
      <c r="I5339" s="72"/>
      <c r="J5339" s="37">
        <v>0</v>
      </c>
    </row>
    <row r="5340" spans="1:10" ht="51" hidden="1" x14ac:dyDescent="0.25">
      <c r="A5340" s="179"/>
      <c r="B5340" s="177"/>
      <c r="C5340" s="43" t="s">
        <v>10731</v>
      </c>
      <c r="D5340" s="43" t="s">
        <v>10816</v>
      </c>
      <c r="E5340" s="44">
        <f>21.75/1000*1000</f>
        <v>21.75</v>
      </c>
      <c r="F5340" s="70">
        <v>1.0989808999999999</v>
      </c>
      <c r="G5340" s="70">
        <f>IF(ISNUMBER(F5340),E5340*F5340,"")</f>
        <v>23.902834575</v>
      </c>
      <c r="H5340" s="71"/>
      <c r="I5340" s="72"/>
      <c r="J5340" s="37">
        <v>0</v>
      </c>
    </row>
    <row r="5341" spans="1:10" hidden="1" x14ac:dyDescent="0.25">
      <c r="A5341" s="179"/>
      <c r="B5341" s="177"/>
      <c r="C5341" s="43"/>
      <c r="D5341" s="43"/>
      <c r="E5341" s="44"/>
      <c r="F5341" s="70"/>
      <c r="G5341" s="70" t="str">
        <f>IF(ISNUMBER(F5341),E5341*F5341,"")</f>
        <v/>
      </c>
      <c r="H5341" s="71"/>
      <c r="I5341" s="72"/>
      <c r="J5341" s="37">
        <v>0</v>
      </c>
    </row>
    <row r="5342" spans="1:10" hidden="1" x14ac:dyDescent="0.25">
      <c r="A5342" s="179"/>
      <c r="B5342" s="177"/>
      <c r="C5342" s="4" t="s">
        <v>1260</v>
      </c>
      <c r="D5342" s="43"/>
      <c r="E5342" s="44"/>
      <c r="F5342" s="70" t="s">
        <v>13</v>
      </c>
      <c r="G5342" s="70" t="str">
        <f>IF(ISNUMBER(F5342),E5342*F5342,"")</f>
        <v/>
      </c>
      <c r="H5342" s="71"/>
      <c r="I5342" s="72"/>
      <c r="J5342" s="37">
        <v>0</v>
      </c>
    </row>
    <row r="5343" spans="1:10" ht="15.75" hidden="1" thickBot="1" x14ac:dyDescent="0.3">
      <c r="A5343" s="180"/>
      <c r="B5343" s="178"/>
      <c r="C5343" s="49"/>
      <c r="D5343" s="63"/>
      <c r="E5343" s="50"/>
      <c r="F5343" s="83" t="s">
        <v>13</v>
      </c>
      <c r="G5343" s="83" t="str">
        <f>IF(ISNUMBER(F5343),E5343*F5343,"")</f>
        <v/>
      </c>
      <c r="H5343" s="84"/>
      <c r="I5343" s="72"/>
      <c r="J5343" s="37">
        <v>0</v>
      </c>
    </row>
    <row r="5344" spans="1:10" ht="15.75" hidden="1" thickBot="1" x14ac:dyDescent="0.3">
      <c r="A5344" s="173" t="s">
        <v>1262</v>
      </c>
      <c r="B5344" s="176" t="s">
        <v>4864</v>
      </c>
      <c r="C5344" s="31"/>
      <c r="D5344" s="32" t="s">
        <v>18</v>
      </c>
      <c r="E5344" s="33"/>
      <c r="F5344" s="60" t="s">
        <v>13</v>
      </c>
      <c r="G5344" s="34" t="str">
        <f>IF(ISNUMBER(F5344),E5344*F5344,"")</f>
        <v/>
      </c>
      <c r="H5344" s="35"/>
      <c r="I5344" s="36"/>
      <c r="J5344" s="37">
        <v>0</v>
      </c>
    </row>
    <row r="5345" spans="1:10" hidden="1" x14ac:dyDescent="0.25">
      <c r="A5345" s="179"/>
      <c r="B5345" s="177"/>
      <c r="C5345" s="39"/>
      <c r="D5345" s="39"/>
      <c r="E5345" s="40"/>
      <c r="F5345" s="70" t="s">
        <v>13</v>
      </c>
      <c r="G5345" s="70" t="str">
        <f>IF(ISNUMBER(F5345),E5345*F5345,"")</f>
        <v/>
      </c>
      <c r="H5345" s="71"/>
      <c r="I5345" s="72"/>
      <c r="J5345" s="37">
        <v>0</v>
      </c>
    </row>
    <row r="5346" spans="1:10" hidden="1" x14ac:dyDescent="0.25">
      <c r="A5346" s="179"/>
      <c r="B5346" s="177"/>
      <c r="C5346" s="43" t="s">
        <v>10907</v>
      </c>
      <c r="D5346" s="43" t="s">
        <v>83</v>
      </c>
      <c r="E5346" s="44">
        <v>8.3999999999999995E-3</v>
      </c>
      <c r="F5346" s="38">
        <v>14.715499999999999</v>
      </c>
      <c r="G5346" s="70">
        <f>IF(ISNUMBER(F5346),E5346*F5346,"")</f>
        <v>0.12361019999999998</v>
      </c>
      <c r="H5346" s="46">
        <f>SUM(G5346:G5349)</f>
        <v>51.019022300000003</v>
      </c>
      <c r="I5346" s="47"/>
      <c r="J5346" s="37">
        <v>0</v>
      </c>
    </row>
    <row r="5347" spans="1:10" hidden="1" x14ac:dyDescent="0.25">
      <c r="A5347" s="179"/>
      <c r="B5347" s="177"/>
      <c r="C5347" s="43" t="s">
        <v>11093</v>
      </c>
      <c r="D5347" s="43" t="s">
        <v>83</v>
      </c>
      <c r="E5347" s="44">
        <v>1</v>
      </c>
      <c r="F5347" s="38">
        <v>46.987000000000002</v>
      </c>
      <c r="G5347" s="70">
        <f>IF(ISNUMBER(F5347),E5347*F5347,"")</f>
        <v>46.987000000000002</v>
      </c>
      <c r="H5347" s="71"/>
      <c r="I5347" s="72"/>
      <c r="J5347" s="37">
        <v>0</v>
      </c>
    </row>
    <row r="5348" spans="1:10" ht="25.5" hidden="1" x14ac:dyDescent="0.25">
      <c r="A5348" s="179"/>
      <c r="B5348" s="177"/>
      <c r="C5348" s="43" t="s">
        <v>10753</v>
      </c>
      <c r="D5348" s="43" t="s">
        <v>2800</v>
      </c>
      <c r="E5348" s="44">
        <v>7.1900000000000006E-2</v>
      </c>
      <c r="F5348" s="38">
        <v>23.997</v>
      </c>
      <c r="G5348" s="70">
        <f>IF(ISNUMBER(F5348),E5348*F5348,"")</f>
        <v>1.7253843000000002</v>
      </c>
      <c r="H5348" s="71"/>
      <c r="I5348" s="72"/>
      <c r="J5348" s="37">
        <v>0</v>
      </c>
    </row>
    <row r="5349" spans="1:10" ht="25.5" hidden="1" x14ac:dyDescent="0.25">
      <c r="A5349" s="179"/>
      <c r="B5349" s="177"/>
      <c r="C5349" s="43" t="s">
        <v>10754</v>
      </c>
      <c r="D5349" s="43" t="s">
        <v>2800</v>
      </c>
      <c r="E5349" s="44">
        <v>7.1900000000000006E-2</v>
      </c>
      <c r="F5349" s="38">
        <v>30.361999999999998</v>
      </c>
      <c r="G5349" s="70">
        <f>IF(ISNUMBER(F5349),E5349*F5349,"")</f>
        <v>2.1830278000000001</v>
      </c>
      <c r="H5349" s="71"/>
      <c r="I5349" s="72"/>
      <c r="J5349" s="37">
        <v>0</v>
      </c>
    </row>
    <row r="5350" spans="1:10" ht="15.75" hidden="1" thickBot="1" x14ac:dyDescent="0.3">
      <c r="A5350" s="180"/>
      <c r="B5350" s="178"/>
      <c r="C5350" s="49"/>
      <c r="D5350" s="63"/>
      <c r="E5350" s="50"/>
      <c r="F5350" s="83" t="s">
        <v>13</v>
      </c>
      <c r="G5350" s="83" t="str">
        <f>IF(ISNUMBER(F5350),E5350*F5350,"")</f>
        <v/>
      </c>
      <c r="H5350" s="84"/>
      <c r="I5350" s="72"/>
      <c r="J5350" s="37">
        <v>0</v>
      </c>
    </row>
    <row r="5351" spans="1:10" ht="15.75" hidden="1" thickBot="1" x14ac:dyDescent="0.3">
      <c r="A5351" s="173" t="s">
        <v>1263</v>
      </c>
      <c r="B5351" s="176" t="s">
        <v>1264</v>
      </c>
      <c r="C5351" s="31"/>
      <c r="D5351" s="32" t="s">
        <v>18</v>
      </c>
      <c r="E5351" s="33"/>
      <c r="F5351" s="60" t="s">
        <v>13</v>
      </c>
      <c r="G5351" s="34" t="str">
        <f>IF(ISNUMBER(F5351),E5351*F5351,"")</f>
        <v/>
      </c>
      <c r="H5351" s="35"/>
      <c r="I5351" s="36"/>
      <c r="J5351" s="37">
        <v>0</v>
      </c>
    </row>
    <row r="5352" spans="1:10" hidden="1" x14ac:dyDescent="0.25">
      <c r="A5352" s="179"/>
      <c r="B5352" s="177"/>
      <c r="C5352" s="39"/>
      <c r="D5352" s="39"/>
      <c r="E5352" s="40"/>
      <c r="F5352" s="70" t="s">
        <v>13</v>
      </c>
      <c r="G5352" s="70" t="str">
        <f>IF(ISNUMBER(F5352),E5352*F5352,"")</f>
        <v/>
      </c>
      <c r="H5352" s="71"/>
      <c r="I5352" s="72"/>
      <c r="J5352" s="37">
        <v>0</v>
      </c>
    </row>
    <row r="5353" spans="1:10" hidden="1" x14ac:dyDescent="0.25">
      <c r="A5353" s="179"/>
      <c r="B5353" s="177"/>
      <c r="C5353" s="43" t="s">
        <v>10907</v>
      </c>
      <c r="D5353" s="43" t="s">
        <v>83</v>
      </c>
      <c r="E5353" s="44">
        <v>4.5199999999999997E-2</v>
      </c>
      <c r="F5353" s="38">
        <v>14.715499999999999</v>
      </c>
      <c r="G5353" s="70">
        <f>IF(ISNUMBER(F5353),E5353*F5353,"")</f>
        <v>0.66514059999999986</v>
      </c>
      <c r="H5353" s="46">
        <f>SUM(G5353:G5356)</f>
        <v>39.939518100000001</v>
      </c>
      <c r="I5353" s="47"/>
      <c r="J5353" s="37">
        <v>0</v>
      </c>
    </row>
    <row r="5354" spans="1:10" hidden="1" x14ac:dyDescent="0.25">
      <c r="A5354" s="179"/>
      <c r="B5354" s="177"/>
      <c r="C5354" s="43" t="s">
        <v>1264</v>
      </c>
      <c r="D5354" s="43" t="s">
        <v>83</v>
      </c>
      <c r="E5354" s="44">
        <v>1</v>
      </c>
      <c r="F5354" s="38" t="s">
        <v>13</v>
      </c>
      <c r="G5354" s="70" t="str">
        <f>IF(ISNUMBER(F5354),E5354*F5354,"")</f>
        <v/>
      </c>
      <c r="H5354" s="71"/>
      <c r="I5354" s="72"/>
      <c r="J5354" s="37">
        <v>0</v>
      </c>
    </row>
    <row r="5355" spans="1:10" ht="25.5" hidden="1" x14ac:dyDescent="0.25">
      <c r="A5355" s="179"/>
      <c r="B5355" s="177"/>
      <c r="C5355" s="43" t="s">
        <v>10753</v>
      </c>
      <c r="D5355" s="43" t="s">
        <v>2800</v>
      </c>
      <c r="E5355" s="44">
        <v>0.72250000000000003</v>
      </c>
      <c r="F5355" s="38">
        <v>23.997</v>
      </c>
      <c r="G5355" s="70">
        <f>IF(ISNUMBER(F5355),E5355*F5355,"")</f>
        <v>17.337832500000001</v>
      </c>
      <c r="H5355" s="71"/>
      <c r="I5355" s="72"/>
      <c r="J5355" s="37">
        <v>0</v>
      </c>
    </row>
    <row r="5356" spans="1:10" ht="25.5" hidden="1" x14ac:dyDescent="0.25">
      <c r="A5356" s="179"/>
      <c r="B5356" s="177"/>
      <c r="C5356" s="43" t="s">
        <v>10754</v>
      </c>
      <c r="D5356" s="43" t="s">
        <v>2800</v>
      </c>
      <c r="E5356" s="44">
        <v>0.72250000000000003</v>
      </c>
      <c r="F5356" s="38">
        <v>30.361999999999998</v>
      </c>
      <c r="G5356" s="70">
        <f>IF(ISNUMBER(F5356),E5356*F5356,"")</f>
        <v>21.936544999999999</v>
      </c>
      <c r="H5356" s="71"/>
      <c r="I5356" s="72"/>
      <c r="J5356" s="37">
        <v>0</v>
      </c>
    </row>
    <row r="5357" spans="1:10" ht="15.75" hidden="1" thickBot="1" x14ac:dyDescent="0.3">
      <c r="A5357" s="180"/>
      <c r="B5357" s="178"/>
      <c r="C5357" s="49"/>
      <c r="D5357" s="63"/>
      <c r="E5357" s="50"/>
      <c r="F5357" s="83" t="s">
        <v>13</v>
      </c>
      <c r="G5357" s="83" t="str">
        <f>IF(ISNUMBER(F5357),E5357*F5357,"")</f>
        <v/>
      </c>
      <c r="H5357" s="84"/>
      <c r="I5357" s="72"/>
      <c r="J5357" s="37">
        <v>0</v>
      </c>
    </row>
    <row r="5358" spans="1:10" ht="15.75" hidden="1" thickBot="1" x14ac:dyDescent="0.3">
      <c r="A5358" s="173" t="s">
        <v>1265</v>
      </c>
      <c r="B5358" s="176" t="s">
        <v>1266</v>
      </c>
      <c r="C5358" s="31"/>
      <c r="D5358" s="32" t="s">
        <v>18</v>
      </c>
      <c r="E5358" s="33"/>
      <c r="F5358" s="54" t="s">
        <v>13</v>
      </c>
      <c r="G5358" s="34" t="str">
        <f>IF(ISNUMBER(F5358),E5358*F5358,"")</f>
        <v/>
      </c>
      <c r="H5358" s="35"/>
      <c r="I5358" s="36"/>
      <c r="J5358" s="37">
        <v>0</v>
      </c>
    </row>
    <row r="5359" spans="1:10" hidden="1" x14ac:dyDescent="0.25">
      <c r="A5359" s="174"/>
      <c r="B5359" s="177"/>
      <c r="C5359" s="39"/>
      <c r="D5359" s="39"/>
      <c r="E5359" s="40"/>
      <c r="F5359" s="55" t="s">
        <v>13</v>
      </c>
      <c r="G5359" s="38" t="str">
        <f>IF(ISNUMBER(F5359),E5359*F5359,"")</f>
        <v/>
      </c>
      <c r="H5359" s="42"/>
      <c r="I5359" s="38"/>
      <c r="J5359" s="37">
        <v>0</v>
      </c>
    </row>
    <row r="5360" spans="1:10" ht="38.25" hidden="1" x14ac:dyDescent="0.25">
      <c r="A5360" s="174"/>
      <c r="B5360" s="177"/>
      <c r="C5360" s="43" t="s">
        <v>10947</v>
      </c>
      <c r="D5360" s="43" t="s">
        <v>83</v>
      </c>
      <c r="E5360" s="44">
        <v>10</v>
      </c>
      <c r="F5360" s="41">
        <v>1.0734999999999999</v>
      </c>
      <c r="G5360" s="38">
        <f>IF(ISNUMBER(F5360),E5360*F5360,"")</f>
        <v>10.734999999999999</v>
      </c>
      <c r="H5360" s="46">
        <f>SUM(G5360:G5367)</f>
        <v>211.73452749999996</v>
      </c>
      <c r="I5360" s="47"/>
      <c r="J5360" s="37">
        <v>0</v>
      </c>
    </row>
    <row r="5361" spans="1:10" ht="38.25" hidden="1" x14ac:dyDescent="0.25">
      <c r="A5361" s="174"/>
      <c r="B5361" s="177"/>
      <c r="C5361" s="43" t="s">
        <v>10876</v>
      </c>
      <c r="D5361" s="43" t="s">
        <v>83</v>
      </c>
      <c r="E5361" s="44">
        <v>9</v>
      </c>
      <c r="F5361" s="38">
        <v>1.159</v>
      </c>
      <c r="G5361" s="38">
        <f>IF(ISNUMBER(F5361),E5361*F5361,"")</f>
        <v>10.431000000000001</v>
      </c>
      <c r="H5361" s="42"/>
      <c r="I5361" s="38"/>
      <c r="J5361" s="37">
        <v>0</v>
      </c>
    </row>
    <row r="5362" spans="1:10" ht="25.5" hidden="1" x14ac:dyDescent="0.25">
      <c r="A5362" s="174"/>
      <c r="B5362" s="177"/>
      <c r="C5362" s="43" t="s">
        <v>10954</v>
      </c>
      <c r="D5362" s="43" t="s">
        <v>83</v>
      </c>
      <c r="E5362" s="44">
        <v>6</v>
      </c>
      <c r="F5362" s="38">
        <v>1.0545</v>
      </c>
      <c r="G5362" s="38">
        <f>IF(ISNUMBER(F5362),E5362*F5362,"")</f>
        <v>6.327</v>
      </c>
      <c r="H5362" s="42"/>
      <c r="I5362" s="38"/>
      <c r="J5362" s="37">
        <v>0</v>
      </c>
    </row>
    <row r="5363" spans="1:10" ht="38.25" hidden="1" x14ac:dyDescent="0.25">
      <c r="A5363" s="174"/>
      <c r="B5363" s="177"/>
      <c r="C5363" s="43" t="s">
        <v>10949</v>
      </c>
      <c r="D5363" s="43" t="s">
        <v>83</v>
      </c>
      <c r="E5363" s="44">
        <v>4</v>
      </c>
      <c r="F5363" s="38">
        <v>0.38949999999999996</v>
      </c>
      <c r="G5363" s="38">
        <f>IF(ISNUMBER(F5363),E5363*F5363,"")</f>
        <v>1.5579999999999998</v>
      </c>
      <c r="H5363" s="42"/>
      <c r="I5363" s="38"/>
      <c r="J5363" s="37">
        <v>0</v>
      </c>
    </row>
    <row r="5364" spans="1:10" ht="25.5" hidden="1" x14ac:dyDescent="0.25">
      <c r="A5364" s="174"/>
      <c r="B5364" s="177"/>
      <c r="C5364" s="43" t="s">
        <v>10878</v>
      </c>
      <c r="D5364" s="43" t="s">
        <v>83</v>
      </c>
      <c r="E5364" s="44">
        <v>2</v>
      </c>
      <c r="F5364" s="38">
        <v>19.256499999999999</v>
      </c>
      <c r="G5364" s="38">
        <f>IF(ISNUMBER(F5364),E5364*F5364,"")</f>
        <v>38.512999999999998</v>
      </c>
      <c r="H5364" s="42"/>
      <c r="I5364" s="38"/>
      <c r="J5364" s="37">
        <v>0</v>
      </c>
    </row>
    <row r="5365" spans="1:10" hidden="1" x14ac:dyDescent="0.25">
      <c r="A5365" s="174"/>
      <c r="B5365" s="177"/>
      <c r="C5365" s="43" t="s">
        <v>1266</v>
      </c>
      <c r="D5365" s="43" t="s">
        <v>83</v>
      </c>
      <c r="E5365" s="44">
        <v>1</v>
      </c>
      <c r="F5365" s="38" t="s">
        <v>13</v>
      </c>
      <c r="G5365" s="38" t="str">
        <f>IF(ISNUMBER(F5365),E5365*F5365,"")</f>
        <v/>
      </c>
      <c r="H5365" s="42"/>
      <c r="I5365" s="38"/>
      <c r="J5365" s="37">
        <v>0</v>
      </c>
    </row>
    <row r="5366" spans="1:10" hidden="1" x14ac:dyDescent="0.25">
      <c r="A5366" s="174"/>
      <c r="B5366" s="177"/>
      <c r="C5366" s="43" t="s">
        <v>10750</v>
      </c>
      <c r="D5366" s="43" t="s">
        <v>2800</v>
      </c>
      <c r="E5366" s="44">
        <v>2.5230000000000001</v>
      </c>
      <c r="F5366" s="38">
        <v>24.358000000000001</v>
      </c>
      <c r="G5366" s="38">
        <f>IF(ISNUMBER(F5366),E5366*F5366,"")</f>
        <v>61.455234000000004</v>
      </c>
      <c r="H5366" s="42"/>
      <c r="I5366" s="38"/>
      <c r="J5366" s="37">
        <v>0</v>
      </c>
    </row>
    <row r="5367" spans="1:10" ht="25.5" hidden="1" x14ac:dyDescent="0.25">
      <c r="A5367" s="174"/>
      <c r="B5367" s="177"/>
      <c r="C5367" s="43" t="s">
        <v>10751</v>
      </c>
      <c r="D5367" s="43" t="s">
        <v>2800</v>
      </c>
      <c r="E5367" s="44">
        <v>2.5230000000000001</v>
      </c>
      <c r="F5367" s="38">
        <v>32.784499999999994</v>
      </c>
      <c r="G5367" s="38">
        <f>IF(ISNUMBER(F5367),E5367*F5367,"")</f>
        <v>82.715293499999987</v>
      </c>
      <c r="H5367" s="42"/>
      <c r="I5367" s="38"/>
      <c r="J5367" s="37">
        <v>0</v>
      </c>
    </row>
    <row r="5368" spans="1:10" ht="15.75" hidden="1" thickBot="1" x14ac:dyDescent="0.3">
      <c r="A5368" s="175"/>
      <c r="B5368" s="178"/>
      <c r="C5368" s="49"/>
      <c r="D5368" s="49"/>
      <c r="E5368" s="50"/>
      <c r="F5368" s="51" t="s">
        <v>13</v>
      </c>
      <c r="G5368" s="51" t="str">
        <f>IF(ISNUMBER(F5368),E5368*F5368,"")</f>
        <v/>
      </c>
      <c r="H5368" s="53"/>
      <c r="I5368" s="38"/>
      <c r="J5368" s="37">
        <v>0</v>
      </c>
    </row>
    <row r="5369" spans="1:10" ht="15.75" hidden="1" thickBot="1" x14ac:dyDescent="0.3">
      <c r="A5369" s="173" t="s">
        <v>1267</v>
      </c>
      <c r="B5369" s="176" t="s">
        <v>4865</v>
      </c>
      <c r="C5369" s="31"/>
      <c r="D5369" s="32" t="s">
        <v>106</v>
      </c>
      <c r="E5369" s="33"/>
      <c r="F5369" s="60" t="s">
        <v>13</v>
      </c>
      <c r="G5369" s="34" t="str">
        <f>IF(ISNUMBER(F5369),E5369*F5369,"")</f>
        <v/>
      </c>
      <c r="H5369" s="35"/>
      <c r="I5369" s="36"/>
      <c r="J5369" s="37">
        <v>0</v>
      </c>
    </row>
    <row r="5370" spans="1:10" hidden="1" x14ac:dyDescent="0.25">
      <c r="A5370" s="179"/>
      <c r="B5370" s="177"/>
      <c r="C5370" s="39"/>
      <c r="D5370" s="39"/>
      <c r="E5370" s="40"/>
      <c r="F5370" s="70" t="s">
        <v>13</v>
      </c>
      <c r="G5370" s="70" t="str">
        <f>IF(ISNUMBER(F5370),E5370*F5370,"")</f>
        <v/>
      </c>
      <c r="H5370" s="71"/>
      <c r="I5370" s="72"/>
      <c r="J5370" s="37">
        <v>0</v>
      </c>
    </row>
    <row r="5371" spans="1:10" hidden="1" x14ac:dyDescent="0.25">
      <c r="A5371" s="179"/>
      <c r="B5371" s="177"/>
      <c r="C5371" s="43" t="s">
        <v>1268</v>
      </c>
      <c r="D5371" s="43" t="s">
        <v>106</v>
      </c>
      <c r="E5371" s="44">
        <v>1.05</v>
      </c>
      <c r="F5371" s="38" t="s">
        <v>13</v>
      </c>
      <c r="G5371" s="70" t="str">
        <f>IF(ISNUMBER(F5371),E5371*F5371,"")</f>
        <v/>
      </c>
      <c r="H5371" s="46">
        <f>SUM(G5371:G5373)</f>
        <v>4.00879575</v>
      </c>
      <c r="I5371" s="47"/>
      <c r="J5371" s="37">
        <v>0</v>
      </c>
    </row>
    <row r="5372" spans="1:10" hidden="1" x14ac:dyDescent="0.25">
      <c r="A5372" s="179"/>
      <c r="B5372" s="177"/>
      <c r="C5372" s="43" t="s">
        <v>10762</v>
      </c>
      <c r="D5372" s="43" t="s">
        <v>2800</v>
      </c>
      <c r="E5372" s="44">
        <v>7.1099999999999997E-2</v>
      </c>
      <c r="F5372" s="38">
        <v>24.946999999999999</v>
      </c>
      <c r="G5372" s="70">
        <f>IF(ISNUMBER(F5372),E5372*F5372,"")</f>
        <v>1.7737316999999999</v>
      </c>
      <c r="H5372" s="71"/>
      <c r="I5372" s="72"/>
      <c r="J5372" s="37">
        <v>0</v>
      </c>
    </row>
    <row r="5373" spans="1:10" hidden="1" x14ac:dyDescent="0.25">
      <c r="A5373" s="179"/>
      <c r="B5373" s="177"/>
      <c r="C5373" s="43" t="s">
        <v>10763</v>
      </c>
      <c r="D5373" s="43" t="s">
        <v>2800</v>
      </c>
      <c r="E5373" s="44">
        <v>7.1099999999999997E-2</v>
      </c>
      <c r="F5373" s="38">
        <v>31.435500000000001</v>
      </c>
      <c r="G5373" s="70">
        <f>IF(ISNUMBER(F5373),E5373*F5373,"")</f>
        <v>2.2350640500000001</v>
      </c>
      <c r="H5373" s="71"/>
      <c r="I5373" s="72"/>
      <c r="J5373" s="37">
        <v>0</v>
      </c>
    </row>
    <row r="5374" spans="1:10" ht="15.75" hidden="1" thickBot="1" x14ac:dyDescent="0.3">
      <c r="A5374" s="180"/>
      <c r="B5374" s="178"/>
      <c r="C5374" s="49"/>
      <c r="D5374" s="63"/>
      <c r="E5374" s="50"/>
      <c r="F5374" s="83" t="s">
        <v>13</v>
      </c>
      <c r="G5374" s="83" t="str">
        <f>IF(ISNUMBER(F5374),E5374*F5374,"")</f>
        <v/>
      </c>
      <c r="H5374" s="84"/>
      <c r="I5374" s="72"/>
      <c r="J5374" s="37">
        <v>0</v>
      </c>
    </row>
    <row r="5375" spans="1:10" ht="15.75" hidden="1" thickBot="1" x14ac:dyDescent="0.3">
      <c r="A5375" s="173" t="s">
        <v>1269</v>
      </c>
      <c r="B5375" s="176" t="s">
        <v>4866</v>
      </c>
      <c r="C5375" s="31"/>
      <c r="D5375" s="32" t="s">
        <v>106</v>
      </c>
      <c r="E5375" s="33"/>
      <c r="F5375" s="60" t="s">
        <v>13</v>
      </c>
      <c r="G5375" s="34" t="str">
        <f>IF(ISNUMBER(F5375),E5375*F5375,"")</f>
        <v/>
      </c>
      <c r="H5375" s="35"/>
      <c r="I5375" s="36"/>
      <c r="J5375" s="37">
        <v>0</v>
      </c>
    </row>
    <row r="5376" spans="1:10" hidden="1" x14ac:dyDescent="0.25">
      <c r="A5376" s="179"/>
      <c r="B5376" s="177"/>
      <c r="C5376" s="39"/>
      <c r="D5376" s="39"/>
      <c r="E5376" s="40"/>
      <c r="F5376" s="70" t="s">
        <v>13</v>
      </c>
      <c r="G5376" s="70" t="str">
        <f>IF(ISNUMBER(F5376),E5376*F5376,"")</f>
        <v/>
      </c>
      <c r="H5376" s="71"/>
      <c r="I5376" s="72"/>
      <c r="J5376" s="37">
        <v>0</v>
      </c>
    </row>
    <row r="5377" spans="1:10" hidden="1" x14ac:dyDescent="0.25">
      <c r="A5377" s="179"/>
      <c r="B5377" s="177"/>
      <c r="C5377" s="43" t="s">
        <v>1270</v>
      </c>
      <c r="D5377" s="43" t="s">
        <v>106</v>
      </c>
      <c r="E5377" s="44">
        <v>1.05</v>
      </c>
      <c r="F5377" s="38" t="s">
        <v>13</v>
      </c>
      <c r="G5377" s="70" t="str">
        <f>IF(ISNUMBER(F5377),E5377*F5377,"")</f>
        <v/>
      </c>
      <c r="H5377" s="46">
        <f>SUM(G5377:G5379)</f>
        <v>7.8258910000000004</v>
      </c>
      <c r="I5377" s="47"/>
      <c r="J5377" s="37">
        <v>0</v>
      </c>
    </row>
    <row r="5378" spans="1:10" hidden="1" x14ac:dyDescent="0.25">
      <c r="A5378" s="179"/>
      <c r="B5378" s="177"/>
      <c r="C5378" s="43" t="s">
        <v>10762</v>
      </c>
      <c r="D5378" s="43" t="s">
        <v>2800</v>
      </c>
      <c r="E5378" s="44">
        <v>0.13880000000000001</v>
      </c>
      <c r="F5378" s="38">
        <v>24.946999999999999</v>
      </c>
      <c r="G5378" s="70">
        <f>IF(ISNUMBER(F5378),E5378*F5378,"")</f>
        <v>3.4626436000000003</v>
      </c>
      <c r="H5378" s="71"/>
      <c r="I5378" s="72"/>
      <c r="J5378" s="37">
        <v>0</v>
      </c>
    </row>
    <row r="5379" spans="1:10" hidden="1" x14ac:dyDescent="0.25">
      <c r="A5379" s="179"/>
      <c r="B5379" s="177"/>
      <c r="C5379" s="43" t="s">
        <v>10763</v>
      </c>
      <c r="D5379" s="43" t="s">
        <v>2800</v>
      </c>
      <c r="E5379" s="44">
        <v>0.13880000000000001</v>
      </c>
      <c r="F5379" s="38">
        <v>31.435500000000001</v>
      </c>
      <c r="G5379" s="70">
        <f>IF(ISNUMBER(F5379),E5379*F5379,"")</f>
        <v>4.3632474000000006</v>
      </c>
      <c r="H5379" s="71"/>
      <c r="I5379" s="72"/>
      <c r="J5379" s="37">
        <v>0</v>
      </c>
    </row>
    <row r="5380" spans="1:10" ht="15.75" hidden="1" thickBot="1" x14ac:dyDescent="0.3">
      <c r="A5380" s="180"/>
      <c r="B5380" s="178"/>
      <c r="C5380" s="49"/>
      <c r="D5380" s="63"/>
      <c r="E5380" s="50"/>
      <c r="F5380" s="83" t="s">
        <v>13</v>
      </c>
      <c r="G5380" s="83" t="str">
        <f>IF(ISNUMBER(F5380),E5380*F5380,"")</f>
        <v/>
      </c>
      <c r="H5380" s="84"/>
      <c r="I5380" s="72"/>
      <c r="J5380" s="37">
        <v>0</v>
      </c>
    </row>
    <row r="5381" spans="1:10" ht="15.75" hidden="1" thickBot="1" x14ac:dyDescent="0.3">
      <c r="A5381" s="173" t="s">
        <v>1271</v>
      </c>
      <c r="B5381" s="176" t="s">
        <v>4867</v>
      </c>
      <c r="C5381" s="31"/>
      <c r="D5381" s="32" t="s">
        <v>106</v>
      </c>
      <c r="E5381" s="33"/>
      <c r="F5381" s="54" t="s">
        <v>13</v>
      </c>
      <c r="G5381" s="34" t="str">
        <f>IF(ISNUMBER(F5381),E5381*F5381,"")</f>
        <v/>
      </c>
      <c r="H5381" s="35"/>
      <c r="I5381" s="36"/>
      <c r="J5381" s="37">
        <v>0</v>
      </c>
    </row>
    <row r="5382" spans="1:10" hidden="1" x14ac:dyDescent="0.25">
      <c r="A5382" s="174"/>
      <c r="B5382" s="177"/>
      <c r="C5382" s="39"/>
      <c r="D5382" s="39"/>
      <c r="E5382" s="40"/>
      <c r="F5382" s="55" t="s">
        <v>13</v>
      </c>
      <c r="G5382" s="38" t="str">
        <f>IF(ISNUMBER(F5382),E5382*F5382,"")</f>
        <v/>
      </c>
      <c r="H5382" s="42"/>
      <c r="I5382" s="38"/>
      <c r="J5382" s="37">
        <v>0</v>
      </c>
    </row>
    <row r="5383" spans="1:10" ht="38.25" hidden="1" x14ac:dyDescent="0.25">
      <c r="A5383" s="174"/>
      <c r="B5383" s="177"/>
      <c r="C5383" s="43" t="s">
        <v>11201</v>
      </c>
      <c r="D5383" s="43" t="s">
        <v>1302</v>
      </c>
      <c r="E5383" s="44">
        <v>1.1000000000000001</v>
      </c>
      <c r="F5383" s="38">
        <v>3.6004999999999998</v>
      </c>
      <c r="G5383" s="41">
        <f>IF(ISNUMBER(F5383),E5383*F5383,"")</f>
        <v>3.96055</v>
      </c>
      <c r="H5383" s="46">
        <f>SUM(G5383:G5386)</f>
        <v>21.621312199999998</v>
      </c>
      <c r="I5383" s="47"/>
      <c r="J5383" s="37">
        <v>0</v>
      </c>
    </row>
    <row r="5384" spans="1:10" hidden="1" x14ac:dyDescent="0.25">
      <c r="A5384" s="174"/>
      <c r="B5384" s="177"/>
      <c r="C5384" s="43" t="s">
        <v>10762</v>
      </c>
      <c r="D5384" s="43" t="s">
        <v>2800</v>
      </c>
      <c r="E5384" s="44">
        <v>0.123</v>
      </c>
      <c r="F5384" s="38">
        <v>24.946999999999999</v>
      </c>
      <c r="G5384" s="41">
        <f>IF(ISNUMBER(F5384),E5384*F5384,"")</f>
        <v>3.0684809999999998</v>
      </c>
      <c r="H5384" s="42"/>
      <c r="I5384" s="38"/>
      <c r="J5384" s="37">
        <v>0</v>
      </c>
    </row>
    <row r="5385" spans="1:10" hidden="1" x14ac:dyDescent="0.25">
      <c r="A5385" s="174"/>
      <c r="B5385" s="177"/>
      <c r="C5385" s="43" t="s">
        <v>10763</v>
      </c>
      <c r="D5385" s="43" t="s">
        <v>2800</v>
      </c>
      <c r="E5385" s="44">
        <v>0.123</v>
      </c>
      <c r="F5385" s="38">
        <v>31.435500000000001</v>
      </c>
      <c r="G5385" s="41">
        <f>IF(ISNUMBER(F5385),E5385*F5385,"")</f>
        <v>3.8665665000000002</v>
      </c>
      <c r="H5385" s="42"/>
      <c r="I5385" s="38"/>
      <c r="J5385" s="37">
        <v>0</v>
      </c>
    </row>
    <row r="5386" spans="1:10" ht="63.75" hidden="1" x14ac:dyDescent="0.25">
      <c r="A5386" s="174"/>
      <c r="B5386" s="177"/>
      <c r="C5386" s="43" t="s">
        <v>10681</v>
      </c>
      <c r="D5386" s="43" t="s">
        <v>1302</v>
      </c>
      <c r="E5386" s="44">
        <v>1</v>
      </c>
      <c r="F5386" s="41">
        <v>10.725714699999999</v>
      </c>
      <c r="G5386" s="38">
        <f>IF(ISNUMBER(F5386),E5386*F5386,"")</f>
        <v>10.725714699999999</v>
      </c>
      <c r="H5386" s="42"/>
      <c r="I5386" s="38"/>
      <c r="J5386" s="37">
        <v>0</v>
      </c>
    </row>
    <row r="5387" spans="1:10" ht="15.75" hidden="1" thickBot="1" x14ac:dyDescent="0.3">
      <c r="A5387" s="175"/>
      <c r="B5387" s="178"/>
      <c r="C5387" s="49"/>
      <c r="D5387" s="49"/>
      <c r="E5387" s="50"/>
      <c r="F5387" s="51" t="s">
        <v>13</v>
      </c>
      <c r="G5387" s="51" t="str">
        <f>IF(ISNUMBER(F5387),E5387*F5387,"")</f>
        <v/>
      </c>
      <c r="H5387" s="53"/>
      <c r="I5387" s="38"/>
      <c r="J5387" s="37">
        <v>0</v>
      </c>
    </row>
    <row r="5388" spans="1:10" ht="15.75" hidden="1" thickBot="1" x14ac:dyDescent="0.3">
      <c r="A5388" s="173" t="s">
        <v>1272</v>
      </c>
      <c r="B5388" s="176" t="s">
        <v>4868</v>
      </c>
      <c r="C5388" s="31"/>
      <c r="D5388" s="32" t="s">
        <v>18</v>
      </c>
      <c r="E5388" s="33"/>
      <c r="F5388" s="54" t="s">
        <v>13</v>
      </c>
      <c r="G5388" s="34" t="str">
        <f>IF(ISNUMBER(F5388),E5388*F5388,"")</f>
        <v/>
      </c>
      <c r="H5388" s="35"/>
      <c r="I5388" s="36"/>
      <c r="J5388" s="37">
        <v>0</v>
      </c>
    </row>
    <row r="5389" spans="1:10" hidden="1" x14ac:dyDescent="0.25">
      <c r="A5389" s="174"/>
      <c r="B5389" s="177"/>
      <c r="C5389" s="39"/>
      <c r="D5389" s="39"/>
      <c r="E5389" s="40"/>
      <c r="F5389" s="55" t="s">
        <v>13</v>
      </c>
      <c r="G5389" s="38" t="str">
        <f>IF(ISNUMBER(F5389),E5389*F5389,"")</f>
        <v/>
      </c>
      <c r="H5389" s="42"/>
      <c r="I5389" s="38"/>
      <c r="J5389" s="37">
        <v>0</v>
      </c>
    </row>
    <row r="5390" spans="1:10" ht="63.75" hidden="1" x14ac:dyDescent="0.25">
      <c r="A5390" s="174"/>
      <c r="B5390" s="177"/>
      <c r="C5390" s="43" t="s">
        <v>10781</v>
      </c>
      <c r="D5390" s="43" t="s">
        <v>1050</v>
      </c>
      <c r="E5390" s="44">
        <f>ROUND(0.0087*3.33,4)</f>
        <v>2.9000000000000001E-2</v>
      </c>
      <c r="F5390" s="38">
        <v>140.87549999999999</v>
      </c>
      <c r="G5390" s="41">
        <f>IF(ISNUMBER(F5390),E5390*F5390,"")</f>
        <v>4.0853894999999998</v>
      </c>
      <c r="H5390" s="46">
        <f>SUM(G5390:G5398)</f>
        <v>1851.0721051885653</v>
      </c>
      <c r="I5390" s="47"/>
      <c r="J5390" s="37">
        <v>0</v>
      </c>
    </row>
    <row r="5391" spans="1:10" ht="63.75" hidden="1" x14ac:dyDescent="0.25">
      <c r="A5391" s="174"/>
      <c r="B5391" s="177"/>
      <c r="C5391" s="43" t="s">
        <v>10782</v>
      </c>
      <c r="D5391" s="43" t="s">
        <v>10677</v>
      </c>
      <c r="E5391" s="44">
        <f>ROUND(0.0178*3.33,4)</f>
        <v>5.9299999999999999E-2</v>
      </c>
      <c r="F5391" s="38">
        <v>61.037499999999994</v>
      </c>
      <c r="G5391" s="41">
        <f>IF(ISNUMBER(F5391),E5391*F5391,"")</f>
        <v>3.6195237499999995</v>
      </c>
      <c r="H5391" s="42"/>
      <c r="I5391" s="38"/>
      <c r="J5391" s="37">
        <v>0</v>
      </c>
    </row>
    <row r="5392" spans="1:10" hidden="1" x14ac:dyDescent="0.25">
      <c r="A5392" s="174"/>
      <c r="B5392" s="177"/>
      <c r="C5392" s="43" t="s">
        <v>10861</v>
      </c>
      <c r="D5392" s="43" t="s">
        <v>83</v>
      </c>
      <c r="E5392" s="44">
        <f>ROUND(134.764*3.33,4)</f>
        <v>448.76409999999998</v>
      </c>
      <c r="F5392" s="41">
        <v>0.71249999999999991</v>
      </c>
      <c r="G5392" s="38">
        <f>IF(ISNUMBER(F5392),E5392*F5392,"")</f>
        <v>319.74442124999996</v>
      </c>
      <c r="H5392" s="42"/>
      <c r="I5392" s="38"/>
      <c r="J5392" s="37">
        <v>0</v>
      </c>
    </row>
    <row r="5393" spans="1:10" ht="38.25" hidden="1" x14ac:dyDescent="0.25">
      <c r="A5393" s="174"/>
      <c r="B5393" s="177"/>
      <c r="C5393" s="43" t="s">
        <v>10705</v>
      </c>
      <c r="D5393" s="43" t="s">
        <v>2880</v>
      </c>
      <c r="E5393" s="44">
        <f>ROUND(0.00136*3.33,4)</f>
        <v>4.4999999999999997E-3</v>
      </c>
      <c r="F5393" s="38">
        <v>619.28009052499988</v>
      </c>
      <c r="G5393" s="41">
        <f>IF(ISNUMBER(F5393),E5393*F5393,"")</f>
        <v>2.7867604073624994</v>
      </c>
      <c r="H5393" s="42"/>
      <c r="I5393" s="47"/>
      <c r="J5393" s="37">
        <v>0</v>
      </c>
    </row>
    <row r="5394" spans="1:10" hidden="1" x14ac:dyDescent="0.25">
      <c r="A5394" s="174"/>
      <c r="B5394" s="177"/>
      <c r="C5394" s="43" t="s">
        <v>10757</v>
      </c>
      <c r="D5394" s="43" t="s">
        <v>2800</v>
      </c>
      <c r="E5394" s="44">
        <f>ROUND(4.5403*3.33,4)</f>
        <v>15.119199999999999</v>
      </c>
      <c r="F5394" s="38">
        <v>31.055499999999995</v>
      </c>
      <c r="G5394" s="41">
        <f>IF(ISNUMBER(F5394),E5394*F5394,"")</f>
        <v>469.5343155999999</v>
      </c>
      <c r="H5394" s="42"/>
      <c r="I5394" s="38"/>
      <c r="J5394" s="37">
        <v>0</v>
      </c>
    </row>
    <row r="5395" spans="1:10" hidden="1" x14ac:dyDescent="0.25">
      <c r="A5395" s="174"/>
      <c r="B5395" s="177"/>
      <c r="C5395" s="43" t="s">
        <v>10614</v>
      </c>
      <c r="D5395" s="43" t="s">
        <v>2800</v>
      </c>
      <c r="E5395" s="44">
        <f>ROUND(3.5674*3.33,4)</f>
        <v>11.8794</v>
      </c>
      <c r="F5395" s="41">
        <v>23.693000000000001</v>
      </c>
      <c r="G5395" s="38">
        <f>IF(ISNUMBER(F5395),E5395*F5395,"")</f>
        <v>281.45862420000003</v>
      </c>
      <c r="H5395" s="42"/>
      <c r="I5395" s="38"/>
      <c r="J5395" s="37">
        <v>0</v>
      </c>
    </row>
    <row r="5396" spans="1:10" ht="25.5" hidden="1" x14ac:dyDescent="0.25">
      <c r="A5396" s="174"/>
      <c r="B5396" s="177"/>
      <c r="C5396" s="43" t="s">
        <v>10713</v>
      </c>
      <c r="D5396" s="43" t="s">
        <v>2880</v>
      </c>
      <c r="E5396" s="44">
        <f>ROUND(0.1012*3.33,4)</f>
        <v>0.33700000000000002</v>
      </c>
      <c r="F5396" s="38">
        <v>688.25221496250003</v>
      </c>
      <c r="G5396" s="41">
        <f>IF(ISNUMBER(F5396),E5396*F5396,"")</f>
        <v>231.94099644236252</v>
      </c>
      <c r="H5396" s="42"/>
      <c r="I5396" s="47"/>
      <c r="J5396" s="37">
        <v>0</v>
      </c>
    </row>
    <row r="5397" spans="1:10" ht="25.5" hidden="1" x14ac:dyDescent="0.25">
      <c r="A5397" s="174"/>
      <c r="B5397" s="177"/>
      <c r="C5397" s="43" t="s">
        <v>10714</v>
      </c>
      <c r="D5397" s="43" t="s">
        <v>2880</v>
      </c>
      <c r="E5397" s="44">
        <f>ROUND(0.0448*3.33,4)</f>
        <v>0.1492</v>
      </c>
      <c r="F5397" s="38">
        <v>2716.9668922225051</v>
      </c>
      <c r="G5397" s="41">
        <f>IF(ISNUMBER(F5397),E5397*F5397,"")</f>
        <v>405.37146031959776</v>
      </c>
      <c r="H5397" s="42"/>
      <c r="I5397" s="38"/>
      <c r="J5397" s="37">
        <v>0</v>
      </c>
    </row>
    <row r="5398" spans="1:10" ht="25.5" hidden="1" x14ac:dyDescent="0.25">
      <c r="A5398" s="174"/>
      <c r="B5398" s="177"/>
      <c r="C5398" s="43" t="s">
        <v>10717</v>
      </c>
      <c r="D5398" s="43" t="s">
        <v>2880</v>
      </c>
      <c r="E5398" s="44">
        <f>ROUND(0.081*3.33,4)</f>
        <v>0.2697</v>
      </c>
      <c r="F5398" s="41">
        <v>491.40012502499991</v>
      </c>
      <c r="G5398" s="38">
        <f>IF(ISNUMBER(F5398),E5398*F5398,"")</f>
        <v>132.53061371924247</v>
      </c>
      <c r="H5398" s="42"/>
      <c r="I5398" s="38"/>
      <c r="J5398" s="37">
        <v>0</v>
      </c>
    </row>
    <row r="5399" spans="1:10" ht="15.75" hidden="1" thickBot="1" x14ac:dyDescent="0.3">
      <c r="A5399" s="175"/>
      <c r="B5399" s="178"/>
      <c r="C5399" s="49"/>
      <c r="D5399" s="49"/>
      <c r="E5399" s="50"/>
      <c r="F5399" s="51" t="s">
        <v>13</v>
      </c>
      <c r="G5399" s="51" t="str">
        <f>IF(ISNUMBER(F5399),E5399*F5399,"")</f>
        <v/>
      </c>
      <c r="H5399" s="53"/>
      <c r="I5399" s="38"/>
      <c r="J5399" s="37">
        <v>0</v>
      </c>
    </row>
    <row r="5400" spans="1:10" ht="15.75" hidden="1" thickBot="1" x14ac:dyDescent="0.3">
      <c r="A5400" s="173" t="s">
        <v>1273</v>
      </c>
      <c r="B5400" s="176" t="s">
        <v>4869</v>
      </c>
      <c r="C5400" s="31"/>
      <c r="D5400" s="32" t="s">
        <v>18</v>
      </c>
      <c r="E5400" s="33"/>
      <c r="F5400" s="54" t="s">
        <v>13</v>
      </c>
      <c r="G5400" s="34" t="str">
        <f>IF(ISNUMBER(F5400),E5400*F5400,"")</f>
        <v/>
      </c>
      <c r="H5400" s="35"/>
      <c r="I5400" s="36"/>
      <c r="J5400" s="37">
        <v>0</v>
      </c>
    </row>
    <row r="5401" spans="1:10" hidden="1" x14ac:dyDescent="0.25">
      <c r="A5401" s="174"/>
      <c r="B5401" s="177"/>
      <c r="C5401" s="39"/>
      <c r="D5401" s="39"/>
      <c r="E5401" s="40"/>
      <c r="F5401" s="55" t="s">
        <v>13</v>
      </c>
      <c r="G5401" s="38" t="str">
        <f>IF(ISNUMBER(F5401),E5401*F5401,"")</f>
        <v/>
      </c>
      <c r="H5401" s="42"/>
      <c r="I5401" s="38"/>
      <c r="J5401" s="37">
        <v>0</v>
      </c>
    </row>
    <row r="5402" spans="1:10" ht="25.5" hidden="1" x14ac:dyDescent="0.25">
      <c r="A5402" s="174"/>
      <c r="B5402" s="177"/>
      <c r="C5402" s="43" t="s">
        <v>10611</v>
      </c>
      <c r="D5402" s="43" t="s">
        <v>2800</v>
      </c>
      <c r="E5402" s="44">
        <v>40</v>
      </c>
      <c r="F5402" s="38">
        <v>142.75650000000002</v>
      </c>
      <c r="G5402" s="41">
        <f>IF(ISNUMBER(F5402),E5402*F5402,"")</f>
        <v>5710.26</v>
      </c>
      <c r="H5402" s="46">
        <f>SUM(G5402:G5406)</f>
        <v>7078.6</v>
      </c>
      <c r="I5402" s="47"/>
      <c r="J5402" s="37">
        <v>0</v>
      </c>
    </row>
    <row r="5403" spans="1:10" hidden="1" x14ac:dyDescent="0.25">
      <c r="A5403" s="174"/>
      <c r="B5403" s="177"/>
      <c r="C5403" s="43" t="s">
        <v>11202</v>
      </c>
      <c r="D5403" s="43" t="s">
        <v>2800</v>
      </c>
      <c r="E5403" s="44">
        <v>20</v>
      </c>
      <c r="F5403" s="38">
        <v>18.344499999999996</v>
      </c>
      <c r="G5403" s="41">
        <f>IF(ISNUMBER(F5403),E5403*F5403,"")</f>
        <v>366.88999999999993</v>
      </c>
      <c r="H5403" s="42"/>
      <c r="I5403" s="38"/>
      <c r="J5403" s="37">
        <v>0</v>
      </c>
    </row>
    <row r="5404" spans="1:10" hidden="1" x14ac:dyDescent="0.25">
      <c r="A5404" s="174"/>
      <c r="B5404" s="177"/>
      <c r="C5404" s="43" t="s">
        <v>11203</v>
      </c>
      <c r="D5404" s="43" t="s">
        <v>2800</v>
      </c>
      <c r="E5404" s="44">
        <v>20</v>
      </c>
      <c r="F5404" s="38">
        <v>24.358000000000001</v>
      </c>
      <c r="G5404" s="41">
        <f>IF(ISNUMBER(F5404),E5404*F5404,"")</f>
        <v>487.16</v>
      </c>
      <c r="H5404" s="42"/>
      <c r="I5404" s="38"/>
      <c r="J5404" s="37">
        <v>0</v>
      </c>
    </row>
    <row r="5405" spans="1:10" hidden="1" x14ac:dyDescent="0.25">
      <c r="A5405" s="174"/>
      <c r="B5405" s="177"/>
      <c r="C5405" s="43" t="s">
        <v>11204</v>
      </c>
      <c r="D5405" s="43" t="s">
        <v>2800</v>
      </c>
      <c r="E5405" s="44">
        <v>20</v>
      </c>
      <c r="F5405" s="38">
        <v>12.140999999999998</v>
      </c>
      <c r="G5405" s="41">
        <f>IF(ISNUMBER(F5405),E5405*F5405,"")</f>
        <v>242.81999999999996</v>
      </c>
      <c r="H5405" s="42"/>
      <c r="I5405" s="38"/>
      <c r="J5405" s="37">
        <v>0</v>
      </c>
    </row>
    <row r="5406" spans="1:10" hidden="1" x14ac:dyDescent="0.25">
      <c r="A5406" s="174"/>
      <c r="B5406" s="177"/>
      <c r="C5406" s="43" t="s">
        <v>17</v>
      </c>
      <c r="D5406" s="43" t="s">
        <v>18</v>
      </c>
      <c r="E5406" s="44">
        <v>1</v>
      </c>
      <c r="F5406" s="41">
        <v>271.47000000000003</v>
      </c>
      <c r="G5406" s="38">
        <f>IF(ISNUMBER(F5406),E5406*F5406,"")</f>
        <v>271.47000000000003</v>
      </c>
      <c r="H5406" s="42"/>
      <c r="I5406" s="38"/>
      <c r="J5406" s="37">
        <v>0</v>
      </c>
    </row>
    <row r="5407" spans="1:10" ht="15.75" hidden="1" thickBot="1" x14ac:dyDescent="0.3">
      <c r="A5407" s="175"/>
      <c r="B5407" s="178"/>
      <c r="C5407" s="49"/>
      <c r="D5407" s="49"/>
      <c r="E5407" s="50"/>
      <c r="F5407" s="51" t="s">
        <v>13</v>
      </c>
      <c r="G5407" s="51" t="str">
        <f>IF(ISNUMBER(F5407),E5407*F5407,"")</f>
        <v/>
      </c>
      <c r="H5407" s="53"/>
      <c r="I5407" s="38"/>
      <c r="J5407" s="37">
        <v>0</v>
      </c>
    </row>
    <row r="5408" spans="1:10" ht="15.75" hidden="1" thickBot="1" x14ac:dyDescent="0.3">
      <c r="A5408" s="173" t="s">
        <v>1274</v>
      </c>
      <c r="B5408" s="176" t="s">
        <v>4870</v>
      </c>
      <c r="C5408" s="31"/>
      <c r="D5408" s="32" t="s">
        <v>106</v>
      </c>
      <c r="E5408" s="33"/>
      <c r="F5408" s="54" t="s">
        <v>13</v>
      </c>
      <c r="G5408" s="34" t="str">
        <f>IF(ISNUMBER(F5408),E5408*F5408,"")</f>
        <v/>
      </c>
      <c r="H5408" s="35"/>
      <c r="I5408" s="36"/>
      <c r="J5408" s="37">
        <v>0</v>
      </c>
    </row>
    <row r="5409" spans="1:10" hidden="1" x14ac:dyDescent="0.25">
      <c r="A5409" s="174"/>
      <c r="B5409" s="177"/>
      <c r="C5409" s="39"/>
      <c r="D5409" s="39"/>
      <c r="E5409" s="40"/>
      <c r="F5409" s="55" t="s">
        <v>13</v>
      </c>
      <c r="G5409" s="38" t="str">
        <f>IF(ISNUMBER(F5409),E5409*F5409,"")</f>
        <v/>
      </c>
      <c r="H5409" s="42"/>
      <c r="I5409" s="38"/>
      <c r="J5409" s="37">
        <v>0</v>
      </c>
    </row>
    <row r="5410" spans="1:10" ht="38.25" hidden="1" x14ac:dyDescent="0.25">
      <c r="A5410" s="174"/>
      <c r="B5410" s="177"/>
      <c r="C5410" s="43" t="s">
        <v>11205</v>
      </c>
      <c r="D5410" s="43" t="s">
        <v>1302</v>
      </c>
      <c r="E5410" s="44">
        <v>1.1000000000000001</v>
      </c>
      <c r="F5410" s="38">
        <v>5.9375</v>
      </c>
      <c r="G5410" s="41">
        <f>IF(ISNUMBER(F5410),E5410*F5410,"")</f>
        <v>6.5312500000000009</v>
      </c>
      <c r="H5410" s="46">
        <f>SUM(G5410:G5412)</f>
        <v>11.859396250000001</v>
      </c>
      <c r="I5410" s="47"/>
      <c r="J5410" s="37">
        <v>0</v>
      </c>
    </row>
    <row r="5411" spans="1:10" hidden="1" x14ac:dyDescent="0.25">
      <c r="A5411" s="174"/>
      <c r="B5411" s="177"/>
      <c r="C5411" s="43" t="s">
        <v>10762</v>
      </c>
      <c r="D5411" s="43" t="s">
        <v>2800</v>
      </c>
      <c r="E5411" s="44">
        <v>9.4500000000000001E-2</v>
      </c>
      <c r="F5411" s="38">
        <v>24.946999999999999</v>
      </c>
      <c r="G5411" s="41">
        <f>IF(ISNUMBER(F5411),E5411*F5411,"")</f>
        <v>2.3574915000000001</v>
      </c>
      <c r="H5411" s="42"/>
      <c r="I5411" s="38"/>
      <c r="J5411" s="37">
        <v>0</v>
      </c>
    </row>
    <row r="5412" spans="1:10" hidden="1" x14ac:dyDescent="0.25">
      <c r="A5412" s="174"/>
      <c r="B5412" s="177"/>
      <c r="C5412" s="43" t="s">
        <v>10763</v>
      </c>
      <c r="D5412" s="43" t="s">
        <v>2800</v>
      </c>
      <c r="E5412" s="44">
        <v>9.4500000000000001E-2</v>
      </c>
      <c r="F5412" s="41">
        <v>31.435500000000001</v>
      </c>
      <c r="G5412" s="38">
        <f>IF(ISNUMBER(F5412),E5412*F5412,"")</f>
        <v>2.97065475</v>
      </c>
      <c r="H5412" s="42"/>
      <c r="I5412" s="38"/>
      <c r="J5412" s="37">
        <v>0</v>
      </c>
    </row>
    <row r="5413" spans="1:10" ht="15.75" hidden="1" thickBot="1" x14ac:dyDescent="0.3">
      <c r="A5413" s="175"/>
      <c r="B5413" s="178"/>
      <c r="C5413" s="49"/>
      <c r="D5413" s="49"/>
      <c r="E5413" s="50"/>
      <c r="F5413" s="51" t="s">
        <v>13</v>
      </c>
      <c r="G5413" s="51" t="str">
        <f>IF(ISNUMBER(F5413),E5413*F5413,"")</f>
        <v/>
      </c>
      <c r="H5413" s="53"/>
      <c r="I5413" s="38"/>
      <c r="J5413" s="37">
        <v>0</v>
      </c>
    </row>
    <row r="5414" spans="1:10" ht="15.75" hidden="1" thickBot="1" x14ac:dyDescent="0.3">
      <c r="A5414" s="173" t="s">
        <v>1275</v>
      </c>
      <c r="B5414" s="176" t="s">
        <v>4875</v>
      </c>
      <c r="C5414" s="31"/>
      <c r="D5414" s="32" t="s">
        <v>18</v>
      </c>
      <c r="E5414" s="33"/>
      <c r="F5414" s="60" t="s">
        <v>13</v>
      </c>
      <c r="G5414" s="34" t="str">
        <f>IF(ISNUMBER(F5414),E5414*F5414,"")</f>
        <v/>
      </c>
      <c r="H5414" s="35"/>
      <c r="I5414" s="36"/>
      <c r="J5414" s="37">
        <v>0</v>
      </c>
    </row>
    <row r="5415" spans="1:10" hidden="1" x14ac:dyDescent="0.25">
      <c r="A5415" s="179"/>
      <c r="B5415" s="177"/>
      <c r="C5415" s="39"/>
      <c r="D5415" s="39"/>
      <c r="E5415" s="40"/>
      <c r="F5415" s="70" t="s">
        <v>13</v>
      </c>
      <c r="G5415" s="70" t="str">
        <f>IF(ISNUMBER(F5415),E5415*F5415,"")</f>
        <v/>
      </c>
      <c r="H5415" s="71"/>
      <c r="I5415" s="72"/>
      <c r="J5415" s="37">
        <v>0</v>
      </c>
    </row>
    <row r="5416" spans="1:10" ht="38.25" hidden="1" x14ac:dyDescent="0.25">
      <c r="A5416" s="179"/>
      <c r="B5416" s="177"/>
      <c r="C5416" s="43" t="s">
        <v>11206</v>
      </c>
      <c r="D5416" s="43" t="s">
        <v>83</v>
      </c>
      <c r="E5416" s="44">
        <v>1</v>
      </c>
      <c r="F5416" s="38">
        <v>649.66700000000003</v>
      </c>
      <c r="G5416" s="70">
        <f>IF(ISNUMBER(F5416),E5416*F5416,"")</f>
        <v>649.66700000000003</v>
      </c>
      <c r="H5416" s="46">
        <f>SUM(G5416:G5419)</f>
        <v>702.80864479583511</v>
      </c>
      <c r="I5416" s="47"/>
      <c r="J5416" s="37">
        <v>0</v>
      </c>
    </row>
    <row r="5417" spans="1:10" hidden="1" x14ac:dyDescent="0.25">
      <c r="A5417" s="179"/>
      <c r="B5417" s="177"/>
      <c r="C5417" s="43" t="s">
        <v>10757</v>
      </c>
      <c r="D5417" s="43" t="s">
        <v>2800</v>
      </c>
      <c r="E5417" s="44">
        <v>1.0088999999999999</v>
      </c>
      <c r="F5417" s="38">
        <v>31.055499999999995</v>
      </c>
      <c r="G5417" s="70">
        <f>IF(ISNUMBER(F5417),E5417*F5417,"")</f>
        <v>31.331893949999991</v>
      </c>
      <c r="H5417" s="71"/>
      <c r="I5417" s="72"/>
      <c r="J5417" s="37">
        <v>0</v>
      </c>
    </row>
    <row r="5418" spans="1:10" hidden="1" x14ac:dyDescent="0.25">
      <c r="A5418" s="179"/>
      <c r="B5418" s="177"/>
      <c r="C5418" s="43" t="s">
        <v>10614</v>
      </c>
      <c r="D5418" s="43" t="s">
        <v>2800</v>
      </c>
      <c r="E5418" s="44">
        <v>0.79269999999999996</v>
      </c>
      <c r="F5418" s="38">
        <v>23.693000000000001</v>
      </c>
      <c r="G5418" s="70">
        <f>IF(ISNUMBER(F5418),E5418*F5418,"")</f>
        <v>18.781441099999999</v>
      </c>
      <c r="H5418" s="71"/>
      <c r="I5418" s="72"/>
      <c r="J5418" s="37">
        <v>0</v>
      </c>
    </row>
    <row r="5419" spans="1:10" ht="25.5" hidden="1" x14ac:dyDescent="0.25">
      <c r="A5419" s="179"/>
      <c r="B5419" s="177"/>
      <c r="C5419" s="43" t="s">
        <v>10713</v>
      </c>
      <c r="D5419" s="43" t="s">
        <v>2880</v>
      </c>
      <c r="E5419" s="44">
        <v>4.4000000000000003E-3</v>
      </c>
      <c r="F5419" s="38">
        <v>688.25221496250003</v>
      </c>
      <c r="G5419" s="70">
        <f>IF(ISNUMBER(F5419),E5419*F5419,"")</f>
        <v>3.0283097458350001</v>
      </c>
      <c r="H5419" s="71"/>
      <c r="I5419" s="72"/>
      <c r="J5419" s="37">
        <v>0</v>
      </c>
    </row>
    <row r="5420" spans="1:10" ht="15.75" hidden="1" thickBot="1" x14ac:dyDescent="0.3">
      <c r="A5420" s="180"/>
      <c r="B5420" s="178"/>
      <c r="C5420" s="49"/>
      <c r="D5420" s="63"/>
      <c r="E5420" s="50"/>
      <c r="F5420" s="83" t="s">
        <v>13</v>
      </c>
      <c r="G5420" s="83" t="str">
        <f>IF(ISNUMBER(F5420),E5420*F5420,"")</f>
        <v/>
      </c>
      <c r="H5420" s="84"/>
      <c r="I5420" s="72"/>
      <c r="J5420" s="37">
        <v>0</v>
      </c>
    </row>
    <row r="5421" spans="1:10" ht="15.75" hidden="1" thickBot="1" x14ac:dyDescent="0.3">
      <c r="A5421" s="173" t="s">
        <v>1276</v>
      </c>
      <c r="B5421" s="176" t="s">
        <v>1277</v>
      </c>
      <c r="C5421" s="31"/>
      <c r="D5421" s="32" t="s">
        <v>18</v>
      </c>
      <c r="E5421" s="33"/>
      <c r="F5421" s="60" t="s">
        <v>13</v>
      </c>
      <c r="G5421" s="34" t="str">
        <f>IF(ISNUMBER(F5421),E5421*F5421,"")</f>
        <v/>
      </c>
      <c r="H5421" s="35"/>
      <c r="I5421" s="36"/>
      <c r="J5421" s="37">
        <v>0</v>
      </c>
    </row>
    <row r="5422" spans="1:10" hidden="1" x14ac:dyDescent="0.25">
      <c r="A5422" s="179"/>
      <c r="B5422" s="177"/>
      <c r="C5422" s="39"/>
      <c r="D5422" s="39"/>
      <c r="E5422" s="40"/>
      <c r="F5422" s="70" t="s">
        <v>13</v>
      </c>
      <c r="G5422" s="70" t="str">
        <f>IF(ISNUMBER(F5422),E5422*F5422,"")</f>
        <v/>
      </c>
      <c r="H5422" s="71"/>
      <c r="I5422" s="72"/>
      <c r="J5422" s="37">
        <v>0</v>
      </c>
    </row>
    <row r="5423" spans="1:10" hidden="1" x14ac:dyDescent="0.25">
      <c r="A5423" s="179"/>
      <c r="B5423" s="177"/>
      <c r="C5423" s="43" t="s">
        <v>10907</v>
      </c>
      <c r="D5423" s="43" t="s">
        <v>83</v>
      </c>
      <c r="E5423" s="44">
        <v>8.3999999999999995E-3</v>
      </c>
      <c r="F5423" s="38">
        <v>14.715499999999999</v>
      </c>
      <c r="G5423" s="70">
        <f>IF(ISNUMBER(F5423),E5423*F5423,"")</f>
        <v>0.12361019999999998</v>
      </c>
      <c r="H5423" s="46">
        <f>SUM(G5423:G5426)</f>
        <v>4.0320223000000004</v>
      </c>
      <c r="I5423" s="47"/>
      <c r="J5423" s="37">
        <v>0</v>
      </c>
    </row>
    <row r="5424" spans="1:10" hidden="1" x14ac:dyDescent="0.25">
      <c r="A5424" s="179"/>
      <c r="B5424" s="177"/>
      <c r="C5424" s="43" t="s">
        <v>1277</v>
      </c>
      <c r="D5424" s="43" t="s">
        <v>83</v>
      </c>
      <c r="E5424" s="44">
        <v>1</v>
      </c>
      <c r="F5424" s="38" t="s">
        <v>13</v>
      </c>
      <c r="G5424" s="70" t="str">
        <f>IF(ISNUMBER(F5424),E5424*F5424,"")</f>
        <v/>
      </c>
      <c r="H5424" s="71"/>
      <c r="I5424" s="72"/>
      <c r="J5424" s="37">
        <v>0</v>
      </c>
    </row>
    <row r="5425" spans="1:10" ht="25.5" hidden="1" x14ac:dyDescent="0.25">
      <c r="A5425" s="179"/>
      <c r="B5425" s="177"/>
      <c r="C5425" s="43" t="s">
        <v>10753</v>
      </c>
      <c r="D5425" s="43" t="s">
        <v>2800</v>
      </c>
      <c r="E5425" s="44">
        <v>7.1900000000000006E-2</v>
      </c>
      <c r="F5425" s="38">
        <v>23.997</v>
      </c>
      <c r="G5425" s="70">
        <f>IF(ISNUMBER(F5425),E5425*F5425,"")</f>
        <v>1.7253843000000002</v>
      </c>
      <c r="H5425" s="71"/>
      <c r="I5425" s="72"/>
      <c r="J5425" s="37">
        <v>0</v>
      </c>
    </row>
    <row r="5426" spans="1:10" ht="25.5" hidden="1" x14ac:dyDescent="0.25">
      <c r="A5426" s="179"/>
      <c r="B5426" s="177"/>
      <c r="C5426" s="43" t="s">
        <v>10754</v>
      </c>
      <c r="D5426" s="43" t="s">
        <v>2800</v>
      </c>
      <c r="E5426" s="44">
        <v>7.1900000000000006E-2</v>
      </c>
      <c r="F5426" s="38">
        <v>30.361999999999998</v>
      </c>
      <c r="G5426" s="70">
        <f>IF(ISNUMBER(F5426),E5426*F5426,"")</f>
        <v>2.1830278000000001</v>
      </c>
      <c r="H5426" s="71"/>
      <c r="I5426" s="72"/>
      <c r="J5426" s="37">
        <v>0</v>
      </c>
    </row>
    <row r="5427" spans="1:10" ht="15.75" hidden="1" thickBot="1" x14ac:dyDescent="0.3">
      <c r="A5427" s="180"/>
      <c r="B5427" s="178"/>
      <c r="C5427" s="49"/>
      <c r="D5427" s="63"/>
      <c r="E5427" s="50"/>
      <c r="F5427" s="83" t="s">
        <v>13</v>
      </c>
      <c r="G5427" s="83" t="str">
        <f>IF(ISNUMBER(F5427),E5427*F5427,"")</f>
        <v/>
      </c>
      <c r="H5427" s="84"/>
      <c r="I5427" s="72"/>
      <c r="J5427" s="37">
        <v>0</v>
      </c>
    </row>
    <row r="5428" spans="1:10" ht="15.75" hidden="1" thickBot="1" x14ac:dyDescent="0.3">
      <c r="A5428" s="173" t="s">
        <v>1278</v>
      </c>
      <c r="B5428" s="176" t="s">
        <v>1279</v>
      </c>
      <c r="C5428" s="31"/>
      <c r="D5428" s="32" t="s">
        <v>18</v>
      </c>
      <c r="E5428" s="33"/>
      <c r="F5428" s="60" t="s">
        <v>13</v>
      </c>
      <c r="G5428" s="34" t="str">
        <f>IF(ISNUMBER(F5428),E5428*F5428,"")</f>
        <v/>
      </c>
      <c r="H5428" s="35"/>
      <c r="I5428" s="36"/>
      <c r="J5428" s="37">
        <v>0</v>
      </c>
    </row>
    <row r="5429" spans="1:10" hidden="1" x14ac:dyDescent="0.25">
      <c r="A5429" s="179"/>
      <c r="B5429" s="177"/>
      <c r="C5429" s="39"/>
      <c r="D5429" s="39"/>
      <c r="E5429" s="40"/>
      <c r="F5429" s="70" t="s">
        <v>13</v>
      </c>
      <c r="G5429" s="70" t="str">
        <f>IF(ISNUMBER(F5429),E5429*F5429,"")</f>
        <v/>
      </c>
      <c r="H5429" s="71"/>
      <c r="I5429" s="72"/>
      <c r="J5429" s="37">
        <v>0</v>
      </c>
    </row>
    <row r="5430" spans="1:10" hidden="1" x14ac:dyDescent="0.25">
      <c r="A5430" s="179"/>
      <c r="B5430" s="177"/>
      <c r="C5430" s="43" t="s">
        <v>10907</v>
      </c>
      <c r="D5430" s="43" t="s">
        <v>83</v>
      </c>
      <c r="E5430" s="44">
        <v>1.06E-2</v>
      </c>
      <c r="F5430" s="38">
        <v>14.715499999999999</v>
      </c>
      <c r="G5430" s="70">
        <f>IF(ISNUMBER(F5430),E5430*F5430,"")</f>
        <v>0.15598429999999999</v>
      </c>
      <c r="H5430" s="46">
        <f>SUM(G5430:G5433)</f>
        <v>6.1463461000000006</v>
      </c>
      <c r="I5430" s="47"/>
      <c r="J5430" s="37">
        <v>0</v>
      </c>
    </row>
    <row r="5431" spans="1:10" hidden="1" x14ac:dyDescent="0.25">
      <c r="A5431" s="179"/>
      <c r="B5431" s="177"/>
      <c r="C5431" s="43" t="s">
        <v>1279</v>
      </c>
      <c r="D5431" s="43" t="s">
        <v>83</v>
      </c>
      <c r="E5431" s="44">
        <v>1</v>
      </c>
      <c r="F5431" s="38" t="s">
        <v>13</v>
      </c>
      <c r="G5431" s="70" t="str">
        <f>IF(ISNUMBER(F5431),E5431*F5431,"")</f>
        <v/>
      </c>
      <c r="H5431" s="71"/>
      <c r="I5431" s="72"/>
      <c r="J5431" s="37">
        <v>0</v>
      </c>
    </row>
    <row r="5432" spans="1:10" ht="25.5" hidden="1" x14ac:dyDescent="0.25">
      <c r="A5432" s="179"/>
      <c r="B5432" s="177"/>
      <c r="C5432" s="43" t="s">
        <v>10753</v>
      </c>
      <c r="D5432" s="43" t="s">
        <v>2800</v>
      </c>
      <c r="E5432" s="44">
        <v>0.11020000000000001</v>
      </c>
      <c r="F5432" s="38">
        <v>23.997</v>
      </c>
      <c r="G5432" s="70">
        <f>IF(ISNUMBER(F5432),E5432*F5432,"")</f>
        <v>2.6444694000000002</v>
      </c>
      <c r="H5432" s="71"/>
      <c r="I5432" s="72"/>
      <c r="J5432" s="37">
        <v>0</v>
      </c>
    </row>
    <row r="5433" spans="1:10" ht="25.5" hidden="1" x14ac:dyDescent="0.25">
      <c r="A5433" s="179"/>
      <c r="B5433" s="177"/>
      <c r="C5433" s="43" t="s">
        <v>10754</v>
      </c>
      <c r="D5433" s="43" t="s">
        <v>2800</v>
      </c>
      <c r="E5433" s="44">
        <v>0.11020000000000001</v>
      </c>
      <c r="F5433" s="38">
        <v>30.361999999999998</v>
      </c>
      <c r="G5433" s="70">
        <f>IF(ISNUMBER(F5433),E5433*F5433,"")</f>
        <v>3.3458923999999999</v>
      </c>
      <c r="H5433" s="71"/>
      <c r="I5433" s="72"/>
      <c r="J5433" s="37">
        <v>0</v>
      </c>
    </row>
    <row r="5434" spans="1:10" ht="15.75" hidden="1" thickBot="1" x14ac:dyDescent="0.3">
      <c r="A5434" s="180"/>
      <c r="B5434" s="178"/>
      <c r="C5434" s="49"/>
      <c r="D5434" s="63"/>
      <c r="E5434" s="50"/>
      <c r="F5434" s="83" t="s">
        <v>13</v>
      </c>
      <c r="G5434" s="83" t="str">
        <f>IF(ISNUMBER(F5434),E5434*F5434,"")</f>
        <v/>
      </c>
      <c r="H5434" s="84"/>
      <c r="I5434" s="72"/>
      <c r="J5434" s="37">
        <v>0</v>
      </c>
    </row>
    <row r="5435" spans="1:10" ht="15.75" hidden="1" thickBot="1" x14ac:dyDescent="0.3">
      <c r="A5435" s="173" t="s">
        <v>1280</v>
      </c>
      <c r="B5435" s="176" t="s">
        <v>4876</v>
      </c>
      <c r="C5435" s="31"/>
      <c r="D5435" s="32" t="s">
        <v>106</v>
      </c>
      <c r="E5435" s="33"/>
      <c r="F5435" s="60" t="s">
        <v>13</v>
      </c>
      <c r="G5435" s="34" t="str">
        <f>IF(ISNUMBER(F5435),E5435*F5435,"")</f>
        <v/>
      </c>
      <c r="H5435" s="35"/>
      <c r="I5435" s="36"/>
      <c r="J5435" s="37">
        <v>0</v>
      </c>
    </row>
    <row r="5436" spans="1:10" hidden="1" x14ac:dyDescent="0.25">
      <c r="A5436" s="179"/>
      <c r="B5436" s="177"/>
      <c r="C5436" s="39"/>
      <c r="D5436" s="39"/>
      <c r="E5436" s="40"/>
      <c r="F5436" s="70" t="s">
        <v>13</v>
      </c>
      <c r="G5436" s="70" t="str">
        <f>IF(ISNUMBER(F5436),E5436*F5436,"")</f>
        <v/>
      </c>
      <c r="H5436" s="71"/>
      <c r="I5436" s="72"/>
      <c r="J5436" s="37">
        <v>0</v>
      </c>
    </row>
    <row r="5437" spans="1:10" hidden="1" x14ac:dyDescent="0.25">
      <c r="A5437" s="179"/>
      <c r="B5437" s="177"/>
      <c r="C5437" s="43" t="s">
        <v>11207</v>
      </c>
      <c r="D5437" s="43" t="s">
        <v>1302</v>
      </c>
      <c r="E5437" s="44">
        <v>1.0216000000000001</v>
      </c>
      <c r="F5437" s="38">
        <v>15.038499999999999</v>
      </c>
      <c r="G5437" s="70">
        <f>IF(ISNUMBER(F5437),E5437*F5437,"")</f>
        <v>15.3633316</v>
      </c>
      <c r="H5437" s="46">
        <f>SUM(G5437:G5439)</f>
        <v>25.524026200000002</v>
      </c>
      <c r="I5437" s="47"/>
      <c r="J5437" s="37">
        <v>0</v>
      </c>
    </row>
    <row r="5438" spans="1:10" ht="25.5" hidden="1" x14ac:dyDescent="0.25">
      <c r="A5438" s="179"/>
      <c r="B5438" s="177"/>
      <c r="C5438" s="43" t="s">
        <v>10753</v>
      </c>
      <c r="D5438" s="43" t="s">
        <v>2800</v>
      </c>
      <c r="E5438" s="44">
        <v>8.1799999999999998E-2</v>
      </c>
      <c r="F5438" s="38">
        <v>23.997</v>
      </c>
      <c r="G5438" s="70">
        <f>IF(ISNUMBER(F5438),E5438*F5438,"")</f>
        <v>1.9629546</v>
      </c>
      <c r="H5438" s="71"/>
      <c r="I5438" s="72"/>
      <c r="J5438" s="37">
        <v>0</v>
      </c>
    </row>
    <row r="5439" spans="1:10" ht="25.5" hidden="1" x14ac:dyDescent="0.25">
      <c r="A5439" s="179"/>
      <c r="B5439" s="177"/>
      <c r="C5439" s="43" t="s">
        <v>10754</v>
      </c>
      <c r="D5439" s="43" t="s">
        <v>2800</v>
      </c>
      <c r="E5439" s="44">
        <v>0.27</v>
      </c>
      <c r="F5439" s="38">
        <v>30.361999999999998</v>
      </c>
      <c r="G5439" s="70">
        <f>IF(ISNUMBER(F5439),E5439*F5439,"")</f>
        <v>8.1977399999999996</v>
      </c>
      <c r="H5439" s="71"/>
      <c r="I5439" s="72"/>
      <c r="J5439" s="37">
        <v>0</v>
      </c>
    </row>
    <row r="5440" spans="1:10" ht="15.75" hidden="1" thickBot="1" x14ac:dyDescent="0.3">
      <c r="A5440" s="180"/>
      <c r="B5440" s="178"/>
      <c r="C5440" s="49"/>
      <c r="D5440" s="63"/>
      <c r="E5440" s="50"/>
      <c r="F5440" s="83" t="s">
        <v>13</v>
      </c>
      <c r="G5440" s="83" t="str">
        <f>IF(ISNUMBER(F5440),E5440*F5440,"")</f>
        <v/>
      </c>
      <c r="H5440" s="84"/>
      <c r="I5440" s="72"/>
      <c r="J5440" s="37">
        <v>0</v>
      </c>
    </row>
    <row r="5441" spans="1:10" ht="15.75" hidden="1" thickBot="1" x14ac:dyDescent="0.3">
      <c r="A5441" s="173" t="s">
        <v>1281</v>
      </c>
      <c r="B5441" s="176" t="s">
        <v>4877</v>
      </c>
      <c r="C5441" s="31"/>
      <c r="D5441" s="32" t="s">
        <v>106</v>
      </c>
      <c r="E5441" s="33"/>
      <c r="F5441" s="60" t="s">
        <v>13</v>
      </c>
      <c r="G5441" s="34" t="str">
        <f>IF(ISNUMBER(F5441),E5441*F5441,"")</f>
        <v/>
      </c>
      <c r="H5441" s="35"/>
      <c r="I5441" s="36"/>
      <c r="J5441" s="37">
        <v>0</v>
      </c>
    </row>
    <row r="5442" spans="1:10" hidden="1" x14ac:dyDescent="0.25">
      <c r="A5442" s="179"/>
      <c r="B5442" s="177"/>
      <c r="C5442" s="39"/>
      <c r="D5442" s="39"/>
      <c r="E5442" s="40"/>
      <c r="F5442" s="70" t="s">
        <v>13</v>
      </c>
      <c r="G5442" s="70" t="str">
        <f>IF(ISNUMBER(F5442),E5442*F5442,"")</f>
        <v/>
      </c>
      <c r="H5442" s="71"/>
      <c r="I5442" s="72"/>
      <c r="J5442" s="37">
        <v>0</v>
      </c>
    </row>
    <row r="5443" spans="1:10" hidden="1" x14ac:dyDescent="0.25">
      <c r="A5443" s="179"/>
      <c r="B5443" s="177"/>
      <c r="C5443" s="43" t="s">
        <v>11208</v>
      </c>
      <c r="D5443" s="43" t="s">
        <v>1302</v>
      </c>
      <c r="E5443" s="44">
        <v>1.0216000000000001</v>
      </c>
      <c r="F5443" s="38">
        <v>20.833499999999997</v>
      </c>
      <c r="G5443" s="70">
        <f>IF(ISNUMBER(F5443),E5443*F5443,"")</f>
        <v>21.2835036</v>
      </c>
      <c r="H5443" s="46">
        <f>SUM(G5443:G5445)</f>
        <v>33.439735899999995</v>
      </c>
      <c r="I5443" s="47"/>
      <c r="J5443" s="37">
        <v>0</v>
      </c>
    </row>
    <row r="5444" spans="1:10" ht="25.5" hidden="1" x14ac:dyDescent="0.25">
      <c r="A5444" s="179"/>
      <c r="B5444" s="177"/>
      <c r="C5444" s="43" t="s">
        <v>10753</v>
      </c>
      <c r="D5444" s="43" t="s">
        <v>2800</v>
      </c>
      <c r="E5444" s="44">
        <v>9.7900000000000001E-2</v>
      </c>
      <c r="F5444" s="38">
        <v>23.997</v>
      </c>
      <c r="G5444" s="70">
        <f>IF(ISNUMBER(F5444),E5444*F5444,"")</f>
        <v>2.3493062999999998</v>
      </c>
      <c r="H5444" s="71"/>
      <c r="I5444" s="72"/>
      <c r="J5444" s="37">
        <v>0</v>
      </c>
    </row>
    <row r="5445" spans="1:10" ht="25.5" hidden="1" x14ac:dyDescent="0.25">
      <c r="A5445" s="179"/>
      <c r="B5445" s="177"/>
      <c r="C5445" s="43" t="s">
        <v>10754</v>
      </c>
      <c r="D5445" s="43" t="s">
        <v>2800</v>
      </c>
      <c r="E5445" s="44">
        <v>0.32300000000000001</v>
      </c>
      <c r="F5445" s="38">
        <v>30.361999999999998</v>
      </c>
      <c r="G5445" s="70">
        <f>IF(ISNUMBER(F5445),E5445*F5445,"")</f>
        <v>9.8069259999999989</v>
      </c>
      <c r="H5445" s="71"/>
      <c r="I5445" s="72"/>
      <c r="J5445" s="37">
        <v>0</v>
      </c>
    </row>
    <row r="5446" spans="1:10" ht="15.75" hidden="1" thickBot="1" x14ac:dyDescent="0.3">
      <c r="A5446" s="180"/>
      <c r="B5446" s="178"/>
      <c r="C5446" s="49"/>
      <c r="D5446" s="63"/>
      <c r="E5446" s="50"/>
      <c r="F5446" s="83" t="s">
        <v>13</v>
      </c>
      <c r="G5446" s="83" t="str">
        <f>IF(ISNUMBER(F5446),E5446*F5446,"")</f>
        <v/>
      </c>
      <c r="H5446" s="84"/>
      <c r="I5446" s="72"/>
      <c r="J5446" s="37">
        <v>0</v>
      </c>
    </row>
    <row r="5447" spans="1:10" ht="15.75" hidden="1" thickBot="1" x14ac:dyDescent="0.3">
      <c r="A5447" s="173" t="s">
        <v>1282</v>
      </c>
      <c r="B5447" s="176" t="s">
        <v>4878</v>
      </c>
      <c r="C5447" s="31"/>
      <c r="D5447" s="32" t="s">
        <v>18</v>
      </c>
      <c r="E5447" s="33"/>
      <c r="F5447" s="60" t="s">
        <v>13</v>
      </c>
      <c r="G5447" s="34" t="str">
        <f>IF(ISNUMBER(F5447),E5447*F5447,"")</f>
        <v/>
      </c>
      <c r="H5447" s="35"/>
      <c r="I5447" s="36"/>
      <c r="J5447" s="37">
        <v>0</v>
      </c>
    </row>
    <row r="5448" spans="1:10" hidden="1" x14ac:dyDescent="0.25">
      <c r="A5448" s="179"/>
      <c r="B5448" s="177"/>
      <c r="C5448" s="39"/>
      <c r="D5448" s="39"/>
      <c r="E5448" s="40"/>
      <c r="F5448" s="70" t="s">
        <v>13</v>
      </c>
      <c r="G5448" s="70" t="str">
        <f>IF(ISNUMBER(F5448),E5448*F5448,"")</f>
        <v/>
      </c>
      <c r="H5448" s="71"/>
      <c r="I5448" s="72"/>
      <c r="J5448" s="37">
        <v>0</v>
      </c>
    </row>
    <row r="5449" spans="1:10" hidden="1" x14ac:dyDescent="0.25">
      <c r="A5449" s="179"/>
      <c r="B5449" s="177"/>
      <c r="C5449" s="43" t="s">
        <v>10907</v>
      </c>
      <c r="D5449" s="43" t="s">
        <v>83</v>
      </c>
      <c r="E5449" s="44">
        <v>1.06E-2</v>
      </c>
      <c r="F5449" s="38">
        <v>14.715499999999999</v>
      </c>
      <c r="G5449" s="70">
        <f>IF(ISNUMBER(F5449),E5449*F5449,"")</f>
        <v>0.15598429999999999</v>
      </c>
      <c r="H5449" s="46">
        <f>SUM(G5449:G5452)</f>
        <v>44.668846099999989</v>
      </c>
      <c r="I5449" s="47"/>
      <c r="J5449" s="37">
        <v>0</v>
      </c>
    </row>
    <row r="5450" spans="1:10" ht="25.5" hidden="1" x14ac:dyDescent="0.25">
      <c r="A5450" s="179"/>
      <c r="B5450" s="177"/>
      <c r="C5450" s="43" t="s">
        <v>11209</v>
      </c>
      <c r="D5450" s="43" t="s">
        <v>83</v>
      </c>
      <c r="E5450" s="44">
        <v>1</v>
      </c>
      <c r="F5450" s="38">
        <v>38.522499999999994</v>
      </c>
      <c r="G5450" s="70">
        <f>IF(ISNUMBER(F5450),E5450*F5450,"")</f>
        <v>38.522499999999994</v>
      </c>
      <c r="H5450" s="71"/>
      <c r="I5450" s="72"/>
      <c r="J5450" s="37">
        <v>0</v>
      </c>
    </row>
    <row r="5451" spans="1:10" ht="25.5" hidden="1" x14ac:dyDescent="0.25">
      <c r="A5451" s="179"/>
      <c r="B5451" s="177"/>
      <c r="C5451" s="43" t="s">
        <v>10753</v>
      </c>
      <c r="D5451" s="43" t="s">
        <v>2800</v>
      </c>
      <c r="E5451" s="44">
        <v>0.11020000000000001</v>
      </c>
      <c r="F5451" s="38">
        <v>23.997</v>
      </c>
      <c r="G5451" s="70">
        <f>IF(ISNUMBER(F5451),E5451*F5451,"")</f>
        <v>2.6444694000000002</v>
      </c>
      <c r="H5451" s="71"/>
      <c r="I5451" s="72"/>
      <c r="J5451" s="37">
        <v>0</v>
      </c>
    </row>
    <row r="5452" spans="1:10" ht="25.5" hidden="1" x14ac:dyDescent="0.25">
      <c r="A5452" s="179"/>
      <c r="B5452" s="177"/>
      <c r="C5452" s="43" t="s">
        <v>10754</v>
      </c>
      <c r="D5452" s="43" t="s">
        <v>2800</v>
      </c>
      <c r="E5452" s="44">
        <v>0.11020000000000001</v>
      </c>
      <c r="F5452" s="38">
        <v>30.361999999999998</v>
      </c>
      <c r="G5452" s="70">
        <f>IF(ISNUMBER(F5452),E5452*F5452,"")</f>
        <v>3.3458923999999999</v>
      </c>
      <c r="H5452" s="71"/>
      <c r="I5452" s="72"/>
      <c r="J5452" s="37">
        <v>0</v>
      </c>
    </row>
    <row r="5453" spans="1:10" ht="15.75" hidden="1" thickBot="1" x14ac:dyDescent="0.3">
      <c r="A5453" s="180"/>
      <c r="B5453" s="178"/>
      <c r="C5453" s="49"/>
      <c r="D5453" s="63"/>
      <c r="E5453" s="50"/>
      <c r="F5453" s="83" t="s">
        <v>13</v>
      </c>
      <c r="G5453" s="83" t="str">
        <f>IF(ISNUMBER(F5453),E5453*F5453,"")</f>
        <v/>
      </c>
      <c r="H5453" s="84"/>
      <c r="I5453" s="72"/>
      <c r="J5453" s="37">
        <v>0</v>
      </c>
    </row>
    <row r="5454" spans="1:10" ht="15.75" hidden="1" thickBot="1" x14ac:dyDescent="0.3">
      <c r="A5454" s="173" t="s">
        <v>1283</v>
      </c>
      <c r="B5454" s="176" t="s">
        <v>4883</v>
      </c>
      <c r="C5454" s="31"/>
      <c r="D5454" s="32" t="s">
        <v>18</v>
      </c>
      <c r="E5454" s="33"/>
      <c r="F5454" s="60" t="s">
        <v>13</v>
      </c>
      <c r="G5454" s="34" t="str">
        <f>IF(ISNUMBER(F5454),E5454*F5454,"")</f>
        <v/>
      </c>
      <c r="H5454" s="35"/>
      <c r="I5454" s="36"/>
      <c r="J5454" s="37">
        <v>0</v>
      </c>
    </row>
    <row r="5455" spans="1:10" hidden="1" x14ac:dyDescent="0.25">
      <c r="A5455" s="179"/>
      <c r="B5455" s="177"/>
      <c r="C5455" s="39"/>
      <c r="D5455" s="39"/>
      <c r="E5455" s="40"/>
      <c r="F5455" s="70" t="s">
        <v>13</v>
      </c>
      <c r="G5455" s="70" t="str">
        <f>IF(ISNUMBER(F5455),E5455*F5455,"")</f>
        <v/>
      </c>
      <c r="H5455" s="71"/>
      <c r="I5455" s="72"/>
      <c r="J5455" s="37">
        <v>0</v>
      </c>
    </row>
    <row r="5456" spans="1:10" hidden="1" x14ac:dyDescent="0.25">
      <c r="A5456" s="179"/>
      <c r="B5456" s="177"/>
      <c r="C5456" s="43" t="s">
        <v>1284</v>
      </c>
      <c r="D5456" s="43" t="s">
        <v>83</v>
      </c>
      <c r="E5456" s="44">
        <v>1</v>
      </c>
      <c r="F5456" s="38" t="s">
        <v>13</v>
      </c>
      <c r="G5456" s="70" t="str">
        <f>IF(ISNUMBER(F5456),E5456*F5456,"")</f>
        <v/>
      </c>
      <c r="H5456" s="46">
        <f>SUM(G5456:G5458)</f>
        <v>6.9243474714000008</v>
      </c>
      <c r="I5456" s="47"/>
      <c r="J5456" s="37">
        <v>0</v>
      </c>
    </row>
    <row r="5457" spans="1:10" hidden="1" x14ac:dyDescent="0.25">
      <c r="A5457" s="179"/>
      <c r="B5457" s="177"/>
      <c r="C5457" s="43" t="s">
        <v>10762</v>
      </c>
      <c r="D5457" s="43" t="s">
        <v>2800</v>
      </c>
      <c r="E5457" s="44">
        <v>5.5156200000000002E-2</v>
      </c>
      <c r="F5457" s="38">
        <v>24.946999999999999</v>
      </c>
      <c r="G5457" s="70">
        <f>IF(ISNUMBER(F5457),E5457*F5457,"")</f>
        <v>1.3759817214000001</v>
      </c>
      <c r="H5457" s="71"/>
      <c r="I5457" s="72"/>
      <c r="J5457" s="37">
        <v>0</v>
      </c>
    </row>
    <row r="5458" spans="1:10" hidden="1" x14ac:dyDescent="0.25">
      <c r="A5458" s="179"/>
      <c r="B5458" s="177"/>
      <c r="C5458" s="43" t="s">
        <v>10763</v>
      </c>
      <c r="D5458" s="43" t="s">
        <v>2800</v>
      </c>
      <c r="E5458" s="44">
        <v>0.17649999999999999</v>
      </c>
      <c r="F5458" s="38">
        <v>31.435500000000001</v>
      </c>
      <c r="G5458" s="70">
        <f>IF(ISNUMBER(F5458),E5458*F5458,"")</f>
        <v>5.5483657500000003</v>
      </c>
      <c r="H5458" s="71"/>
      <c r="I5458" s="72"/>
      <c r="J5458" s="37">
        <v>0</v>
      </c>
    </row>
    <row r="5459" spans="1:10" ht="15.75" hidden="1" thickBot="1" x14ac:dyDescent="0.3">
      <c r="A5459" s="180"/>
      <c r="B5459" s="178"/>
      <c r="C5459" s="49"/>
      <c r="D5459" s="63"/>
      <c r="E5459" s="50"/>
      <c r="F5459" s="83" t="s">
        <v>13</v>
      </c>
      <c r="G5459" s="83" t="str">
        <f>IF(ISNUMBER(F5459),E5459*F5459,"")</f>
        <v/>
      </c>
      <c r="H5459" s="84"/>
      <c r="I5459" s="72"/>
      <c r="J5459" s="37">
        <v>0</v>
      </c>
    </row>
    <row r="5460" spans="1:10" ht="15.75" hidden="1" thickBot="1" x14ac:dyDescent="0.3">
      <c r="A5460" s="173" t="s">
        <v>1285</v>
      </c>
      <c r="B5460" s="176" t="s">
        <v>4884</v>
      </c>
      <c r="C5460" s="31"/>
      <c r="D5460" s="32" t="s">
        <v>106</v>
      </c>
      <c r="E5460" s="33"/>
      <c r="F5460" s="60" t="s">
        <v>13</v>
      </c>
      <c r="G5460" s="34" t="str">
        <f>IF(ISNUMBER(F5460),E5460*F5460,"")</f>
        <v/>
      </c>
      <c r="H5460" s="35"/>
      <c r="I5460" s="36"/>
      <c r="J5460" s="37">
        <v>0</v>
      </c>
    </row>
    <row r="5461" spans="1:10" hidden="1" x14ac:dyDescent="0.25">
      <c r="A5461" s="179"/>
      <c r="B5461" s="177"/>
      <c r="C5461" s="39"/>
      <c r="D5461" s="39"/>
      <c r="E5461" s="40"/>
      <c r="F5461" s="70" t="s">
        <v>13</v>
      </c>
      <c r="G5461" s="70" t="str">
        <f>IF(ISNUMBER(F5461),E5461*F5461,"")</f>
        <v/>
      </c>
      <c r="H5461" s="71"/>
      <c r="I5461" s="72"/>
      <c r="J5461" s="37">
        <v>0</v>
      </c>
    </row>
    <row r="5462" spans="1:10" hidden="1" x14ac:dyDescent="0.25">
      <c r="A5462" s="179"/>
      <c r="B5462" s="177"/>
      <c r="C5462" s="43" t="s">
        <v>1286</v>
      </c>
      <c r="D5462" s="43" t="s">
        <v>106</v>
      </c>
      <c r="E5462" s="44">
        <v>1.05</v>
      </c>
      <c r="F5462" s="38" t="s">
        <v>13</v>
      </c>
      <c r="G5462" s="70" t="str">
        <f>IF(ISNUMBER(F5462),E5462*F5462,"")</f>
        <v/>
      </c>
      <c r="H5462" s="46">
        <f>SUM(G5462:G5464)</f>
        <v>0.15787099999999998</v>
      </c>
      <c r="I5462" s="47"/>
      <c r="J5462" s="37">
        <v>0</v>
      </c>
    </row>
    <row r="5463" spans="1:10" hidden="1" x14ac:dyDescent="0.25">
      <c r="A5463" s="179"/>
      <c r="B5463" s="177"/>
      <c r="C5463" s="43" t="s">
        <v>10762</v>
      </c>
      <c r="D5463" s="43" t="s">
        <v>2800</v>
      </c>
      <c r="E5463" s="44">
        <v>2.8E-3</v>
      </c>
      <c r="F5463" s="38">
        <v>24.946999999999999</v>
      </c>
      <c r="G5463" s="70">
        <f>IF(ISNUMBER(F5463),E5463*F5463,"")</f>
        <v>6.98516E-2</v>
      </c>
      <c r="H5463" s="71"/>
      <c r="I5463" s="72"/>
      <c r="J5463" s="37">
        <v>0</v>
      </c>
    </row>
    <row r="5464" spans="1:10" hidden="1" x14ac:dyDescent="0.25">
      <c r="A5464" s="179"/>
      <c r="B5464" s="177"/>
      <c r="C5464" s="43" t="s">
        <v>10763</v>
      </c>
      <c r="D5464" s="43" t="s">
        <v>2800</v>
      </c>
      <c r="E5464" s="44">
        <v>2.8E-3</v>
      </c>
      <c r="F5464" s="38">
        <v>31.435500000000001</v>
      </c>
      <c r="G5464" s="70">
        <f>IF(ISNUMBER(F5464),E5464*F5464,"")</f>
        <v>8.8019399999999998E-2</v>
      </c>
      <c r="H5464" s="71"/>
      <c r="I5464" s="72"/>
      <c r="J5464" s="37">
        <v>0</v>
      </c>
    </row>
    <row r="5465" spans="1:10" ht="15.75" hidden="1" thickBot="1" x14ac:dyDescent="0.3">
      <c r="A5465" s="180"/>
      <c r="B5465" s="178"/>
      <c r="C5465" s="49"/>
      <c r="D5465" s="63"/>
      <c r="E5465" s="50"/>
      <c r="F5465" s="83" t="s">
        <v>13</v>
      </c>
      <c r="G5465" s="83" t="str">
        <f>IF(ISNUMBER(F5465),E5465*F5465,"")</f>
        <v/>
      </c>
      <c r="H5465" s="84"/>
      <c r="I5465" s="72"/>
      <c r="J5465" s="37">
        <v>0</v>
      </c>
    </row>
    <row r="5466" spans="1:10" ht="15.75" hidden="1" thickBot="1" x14ac:dyDescent="0.3">
      <c r="A5466" s="173" t="s">
        <v>1287</v>
      </c>
      <c r="B5466" s="176" t="s">
        <v>4885</v>
      </c>
      <c r="C5466" s="31"/>
      <c r="D5466" s="32" t="s">
        <v>106</v>
      </c>
      <c r="E5466" s="33"/>
      <c r="F5466" s="60" t="s">
        <v>13</v>
      </c>
      <c r="G5466" s="34" t="str">
        <f>IF(ISNUMBER(F5466),E5466*F5466,"")</f>
        <v/>
      </c>
      <c r="H5466" s="35"/>
      <c r="I5466" s="36"/>
      <c r="J5466" s="37">
        <v>0</v>
      </c>
    </row>
    <row r="5467" spans="1:10" hidden="1" x14ac:dyDescent="0.25">
      <c r="A5467" s="179"/>
      <c r="B5467" s="177"/>
      <c r="C5467" s="39"/>
      <c r="D5467" s="39"/>
      <c r="E5467" s="40"/>
      <c r="F5467" s="70" t="s">
        <v>13</v>
      </c>
      <c r="G5467" s="70" t="str">
        <f>IF(ISNUMBER(F5467),E5467*F5467,"")</f>
        <v/>
      </c>
      <c r="H5467" s="71"/>
      <c r="I5467" s="72"/>
      <c r="J5467" s="37">
        <v>0</v>
      </c>
    </row>
    <row r="5468" spans="1:10" hidden="1" x14ac:dyDescent="0.25">
      <c r="A5468" s="179"/>
      <c r="B5468" s="177"/>
      <c r="C5468" s="43" t="s">
        <v>1288</v>
      </c>
      <c r="D5468" s="43" t="s">
        <v>106</v>
      </c>
      <c r="E5468" s="44">
        <v>1.05</v>
      </c>
      <c r="F5468" s="38" t="s">
        <v>13</v>
      </c>
      <c r="G5468" s="70" t="str">
        <f>IF(ISNUMBER(F5468),E5468*F5468,"")</f>
        <v/>
      </c>
      <c r="H5468" s="46">
        <f>SUM(G5468:G5470)</f>
        <v>4.00879575</v>
      </c>
      <c r="I5468" s="47"/>
      <c r="J5468" s="37">
        <v>0</v>
      </c>
    </row>
    <row r="5469" spans="1:10" hidden="1" x14ac:dyDescent="0.25">
      <c r="A5469" s="179"/>
      <c r="B5469" s="177"/>
      <c r="C5469" s="43" t="s">
        <v>10762</v>
      </c>
      <c r="D5469" s="43" t="s">
        <v>2800</v>
      </c>
      <c r="E5469" s="44">
        <v>7.1099999999999997E-2</v>
      </c>
      <c r="F5469" s="38">
        <v>24.946999999999999</v>
      </c>
      <c r="G5469" s="70">
        <f>IF(ISNUMBER(F5469),E5469*F5469,"")</f>
        <v>1.7737316999999999</v>
      </c>
      <c r="H5469" s="71"/>
      <c r="I5469" s="72"/>
      <c r="J5469" s="37">
        <v>0</v>
      </c>
    </row>
    <row r="5470" spans="1:10" hidden="1" x14ac:dyDescent="0.25">
      <c r="A5470" s="179"/>
      <c r="B5470" s="177"/>
      <c r="C5470" s="43" t="s">
        <v>10763</v>
      </c>
      <c r="D5470" s="43" t="s">
        <v>2800</v>
      </c>
      <c r="E5470" s="44">
        <v>7.1099999999999997E-2</v>
      </c>
      <c r="F5470" s="38">
        <v>31.435500000000001</v>
      </c>
      <c r="G5470" s="70">
        <f>IF(ISNUMBER(F5470),E5470*F5470,"")</f>
        <v>2.2350640500000001</v>
      </c>
      <c r="H5470" s="71"/>
      <c r="I5470" s="72"/>
      <c r="J5470" s="37">
        <v>0</v>
      </c>
    </row>
    <row r="5471" spans="1:10" ht="15.75" hidden="1" thickBot="1" x14ac:dyDescent="0.3">
      <c r="A5471" s="180"/>
      <c r="B5471" s="178"/>
      <c r="C5471" s="49"/>
      <c r="D5471" s="63"/>
      <c r="E5471" s="50"/>
      <c r="F5471" s="83" t="s">
        <v>13</v>
      </c>
      <c r="G5471" s="83" t="str">
        <f>IF(ISNUMBER(F5471),E5471*F5471,"")</f>
        <v/>
      </c>
      <c r="H5471" s="84"/>
      <c r="I5471" s="72"/>
      <c r="J5471" s="37">
        <v>0</v>
      </c>
    </row>
    <row r="5472" spans="1:10" ht="15.75" hidden="1" thickBot="1" x14ac:dyDescent="0.3">
      <c r="A5472" s="173" t="s">
        <v>1289</v>
      </c>
      <c r="B5472" s="176" t="s">
        <v>4886</v>
      </c>
      <c r="C5472" s="31"/>
      <c r="D5472" s="32" t="s">
        <v>106</v>
      </c>
      <c r="E5472" s="33"/>
      <c r="F5472" s="60" t="s">
        <v>13</v>
      </c>
      <c r="G5472" s="34" t="str">
        <f>IF(ISNUMBER(F5472),E5472*F5472,"")</f>
        <v/>
      </c>
      <c r="H5472" s="35"/>
      <c r="I5472" s="36"/>
      <c r="J5472" s="37">
        <v>0</v>
      </c>
    </row>
    <row r="5473" spans="1:10" hidden="1" x14ac:dyDescent="0.25">
      <c r="A5473" s="179"/>
      <c r="B5473" s="177"/>
      <c r="C5473" s="39"/>
      <c r="D5473" s="39"/>
      <c r="E5473" s="40"/>
      <c r="F5473" s="70" t="s">
        <v>13</v>
      </c>
      <c r="G5473" s="70" t="str">
        <f>IF(ISNUMBER(F5473),E5473*F5473,"")</f>
        <v/>
      </c>
      <c r="H5473" s="71"/>
      <c r="I5473" s="72"/>
      <c r="J5473" s="37">
        <v>0</v>
      </c>
    </row>
    <row r="5474" spans="1:10" hidden="1" x14ac:dyDescent="0.25">
      <c r="A5474" s="179"/>
      <c r="B5474" s="177"/>
      <c r="C5474" s="43" t="s">
        <v>1290</v>
      </c>
      <c r="D5474" s="43" t="s">
        <v>106</v>
      </c>
      <c r="E5474" s="44">
        <v>1.05</v>
      </c>
      <c r="F5474" s="38" t="s">
        <v>13</v>
      </c>
      <c r="G5474" s="70" t="str">
        <f>IF(ISNUMBER(F5474),E5474*F5474,"")</f>
        <v/>
      </c>
      <c r="H5474" s="46">
        <f>SUM(G5474:G5476)</f>
        <v>0.15787099999999998</v>
      </c>
      <c r="I5474" s="47"/>
      <c r="J5474" s="37">
        <v>0</v>
      </c>
    </row>
    <row r="5475" spans="1:10" hidden="1" x14ac:dyDescent="0.25">
      <c r="A5475" s="179"/>
      <c r="B5475" s="177"/>
      <c r="C5475" s="43" t="s">
        <v>10762</v>
      </c>
      <c r="D5475" s="43" t="s">
        <v>2800</v>
      </c>
      <c r="E5475" s="44">
        <v>2.8E-3</v>
      </c>
      <c r="F5475" s="38">
        <v>24.946999999999999</v>
      </c>
      <c r="G5475" s="70">
        <f>IF(ISNUMBER(F5475),E5475*F5475,"")</f>
        <v>6.98516E-2</v>
      </c>
      <c r="H5475" s="71"/>
      <c r="I5475" s="72"/>
      <c r="J5475" s="37">
        <v>0</v>
      </c>
    </row>
    <row r="5476" spans="1:10" hidden="1" x14ac:dyDescent="0.25">
      <c r="A5476" s="179"/>
      <c r="B5476" s="177"/>
      <c r="C5476" s="43" t="s">
        <v>10763</v>
      </c>
      <c r="D5476" s="43" t="s">
        <v>2800</v>
      </c>
      <c r="E5476" s="44">
        <v>2.8E-3</v>
      </c>
      <c r="F5476" s="38">
        <v>31.435500000000001</v>
      </c>
      <c r="G5476" s="70">
        <f>IF(ISNUMBER(F5476),E5476*F5476,"")</f>
        <v>8.8019399999999998E-2</v>
      </c>
      <c r="H5476" s="71"/>
      <c r="I5476" s="72"/>
      <c r="J5476" s="37">
        <v>0</v>
      </c>
    </row>
    <row r="5477" spans="1:10" ht="15.75" hidden="1" thickBot="1" x14ac:dyDescent="0.3">
      <c r="A5477" s="180"/>
      <c r="B5477" s="178"/>
      <c r="C5477" s="49"/>
      <c r="D5477" s="63"/>
      <c r="E5477" s="50"/>
      <c r="F5477" s="83" t="s">
        <v>13</v>
      </c>
      <c r="G5477" s="83" t="str">
        <f>IF(ISNUMBER(F5477),E5477*F5477,"")</f>
        <v/>
      </c>
      <c r="H5477" s="84"/>
      <c r="I5477" s="72"/>
      <c r="J5477" s="37">
        <v>0</v>
      </c>
    </row>
    <row r="5478" spans="1:10" ht="15.75" hidden="1" thickBot="1" x14ac:dyDescent="0.3">
      <c r="A5478" s="173" t="s">
        <v>1291</v>
      </c>
      <c r="B5478" s="176" t="s">
        <v>4887</v>
      </c>
      <c r="C5478" s="31"/>
      <c r="D5478" s="32" t="s">
        <v>106</v>
      </c>
      <c r="E5478" s="33"/>
      <c r="F5478" s="60" t="s">
        <v>13</v>
      </c>
      <c r="G5478" s="34" t="str">
        <f>IF(ISNUMBER(F5478),E5478*F5478,"")</f>
        <v/>
      </c>
      <c r="H5478" s="35"/>
      <c r="I5478" s="36"/>
      <c r="J5478" s="37">
        <v>0</v>
      </c>
    </row>
    <row r="5479" spans="1:10" hidden="1" x14ac:dyDescent="0.25">
      <c r="A5479" s="179"/>
      <c r="B5479" s="177"/>
      <c r="C5479" s="39"/>
      <c r="D5479" s="39"/>
      <c r="E5479" s="40"/>
      <c r="F5479" s="70" t="s">
        <v>13</v>
      </c>
      <c r="G5479" s="70" t="str">
        <f>IF(ISNUMBER(F5479),E5479*F5479,"")</f>
        <v/>
      </c>
      <c r="H5479" s="71"/>
      <c r="I5479" s="72"/>
      <c r="J5479" s="37">
        <v>0</v>
      </c>
    </row>
    <row r="5480" spans="1:10" hidden="1" x14ac:dyDescent="0.25">
      <c r="A5480" s="179"/>
      <c r="B5480" s="177"/>
      <c r="C5480" s="43" t="s">
        <v>1292</v>
      </c>
      <c r="D5480" s="43" t="s">
        <v>106</v>
      </c>
      <c r="E5480" s="44">
        <v>1.05</v>
      </c>
      <c r="F5480" s="38" t="s">
        <v>13</v>
      </c>
      <c r="G5480" s="70" t="str">
        <f>IF(ISNUMBER(F5480),E5480*F5480,"")</f>
        <v/>
      </c>
      <c r="H5480" s="46">
        <f>SUM(G5480:G5482)</f>
        <v>0.15787099999999998</v>
      </c>
      <c r="I5480" s="47"/>
      <c r="J5480" s="37">
        <v>0</v>
      </c>
    </row>
    <row r="5481" spans="1:10" hidden="1" x14ac:dyDescent="0.25">
      <c r="A5481" s="179"/>
      <c r="B5481" s="177"/>
      <c r="C5481" s="43" t="s">
        <v>10762</v>
      </c>
      <c r="D5481" s="43" t="s">
        <v>2800</v>
      </c>
      <c r="E5481" s="44">
        <v>2.8E-3</v>
      </c>
      <c r="F5481" s="38">
        <v>24.946999999999999</v>
      </c>
      <c r="G5481" s="70">
        <f>IF(ISNUMBER(F5481),E5481*F5481,"")</f>
        <v>6.98516E-2</v>
      </c>
      <c r="H5481" s="71"/>
      <c r="I5481" s="72"/>
      <c r="J5481" s="37">
        <v>0</v>
      </c>
    </row>
    <row r="5482" spans="1:10" hidden="1" x14ac:dyDescent="0.25">
      <c r="A5482" s="179"/>
      <c r="B5482" s="177"/>
      <c r="C5482" s="43" t="s">
        <v>10763</v>
      </c>
      <c r="D5482" s="43" t="s">
        <v>2800</v>
      </c>
      <c r="E5482" s="44">
        <v>2.8E-3</v>
      </c>
      <c r="F5482" s="38">
        <v>31.435500000000001</v>
      </c>
      <c r="G5482" s="70">
        <f>IF(ISNUMBER(F5482),E5482*F5482,"")</f>
        <v>8.8019399999999998E-2</v>
      </c>
      <c r="H5482" s="71"/>
      <c r="I5482" s="72"/>
      <c r="J5482" s="37">
        <v>0</v>
      </c>
    </row>
    <row r="5483" spans="1:10" ht="15.75" hidden="1" thickBot="1" x14ac:dyDescent="0.3">
      <c r="A5483" s="180"/>
      <c r="B5483" s="178"/>
      <c r="C5483" s="49"/>
      <c r="D5483" s="63"/>
      <c r="E5483" s="50"/>
      <c r="F5483" s="83" t="s">
        <v>13</v>
      </c>
      <c r="G5483" s="83" t="str">
        <f>IF(ISNUMBER(F5483),E5483*F5483,"")</f>
        <v/>
      </c>
      <c r="H5483" s="84"/>
      <c r="I5483" s="72"/>
      <c r="J5483" s="37">
        <v>0</v>
      </c>
    </row>
    <row r="5484" spans="1:10" ht="15.75" hidden="1" thickBot="1" x14ac:dyDescent="0.3">
      <c r="A5484" s="173" t="s">
        <v>1293</v>
      </c>
      <c r="B5484" s="176" t="s">
        <v>4888</v>
      </c>
      <c r="C5484" s="31"/>
      <c r="D5484" s="32" t="s">
        <v>18</v>
      </c>
      <c r="E5484" s="33"/>
      <c r="F5484" s="54" t="s">
        <v>13</v>
      </c>
      <c r="G5484" s="34" t="str">
        <f>IF(ISNUMBER(F5484),E5484*F5484,"")</f>
        <v/>
      </c>
      <c r="H5484" s="35"/>
      <c r="I5484" s="36"/>
      <c r="J5484" s="37">
        <v>0</v>
      </c>
    </row>
    <row r="5485" spans="1:10" hidden="1" x14ac:dyDescent="0.25">
      <c r="A5485" s="174"/>
      <c r="B5485" s="177"/>
      <c r="C5485" s="39"/>
      <c r="D5485" s="39"/>
      <c r="E5485" s="40"/>
      <c r="F5485" s="55" t="s">
        <v>13</v>
      </c>
      <c r="G5485" s="38" t="str">
        <f>IF(ISNUMBER(F5485),E5485*F5485,"")</f>
        <v/>
      </c>
      <c r="H5485" s="42"/>
      <c r="I5485" s="38"/>
      <c r="J5485" s="37">
        <v>0</v>
      </c>
    </row>
    <row r="5486" spans="1:10" hidden="1" x14ac:dyDescent="0.25">
      <c r="A5486" s="174"/>
      <c r="B5486" s="177"/>
      <c r="C5486" s="43" t="s">
        <v>10762</v>
      </c>
      <c r="D5486" s="43" t="s">
        <v>2800</v>
      </c>
      <c r="E5486" s="44">
        <v>0.59730000000000005</v>
      </c>
      <c r="F5486" s="38">
        <v>24.946999999999999</v>
      </c>
      <c r="G5486" s="41">
        <f>IF(ISNUMBER(F5486),E5486*F5486,"")</f>
        <v>14.900843100000001</v>
      </c>
      <c r="H5486" s="46">
        <f>SUM(G5486:G5489)</f>
        <v>84.359767250000004</v>
      </c>
      <c r="I5486" s="47"/>
      <c r="J5486" s="37">
        <v>0</v>
      </c>
    </row>
    <row r="5487" spans="1:10" hidden="1" x14ac:dyDescent="0.25">
      <c r="A5487" s="174"/>
      <c r="B5487" s="177"/>
      <c r="C5487" s="43" t="s">
        <v>10763</v>
      </c>
      <c r="D5487" s="43" t="s">
        <v>2800</v>
      </c>
      <c r="E5487" s="44">
        <v>0.59730000000000005</v>
      </c>
      <c r="F5487" s="38">
        <v>31.435500000000001</v>
      </c>
      <c r="G5487" s="41">
        <f>IF(ISNUMBER(F5487),E5487*F5487,"")</f>
        <v>18.776424150000004</v>
      </c>
      <c r="H5487" s="42"/>
      <c r="I5487" s="38"/>
      <c r="J5487" s="37">
        <v>0</v>
      </c>
    </row>
    <row r="5488" spans="1:10" ht="38.25" hidden="1" x14ac:dyDescent="0.25">
      <c r="A5488" s="174"/>
      <c r="B5488" s="177"/>
      <c r="C5488" s="43" t="s">
        <v>10931</v>
      </c>
      <c r="D5488" s="43" t="s">
        <v>83</v>
      </c>
      <c r="E5488" s="44">
        <v>2</v>
      </c>
      <c r="F5488" s="41">
        <v>0.38949999999999996</v>
      </c>
      <c r="G5488" s="41">
        <f>IF(ISNUMBER(F5488),E5488*F5488,"")</f>
        <v>0.77899999999999991</v>
      </c>
      <c r="H5488" s="42"/>
      <c r="I5488" s="38"/>
      <c r="J5488" s="37">
        <v>0</v>
      </c>
    </row>
    <row r="5489" spans="1:10" ht="25.5" hidden="1" x14ac:dyDescent="0.25">
      <c r="A5489" s="174"/>
      <c r="B5489" s="177"/>
      <c r="C5489" s="43" t="s">
        <v>11210</v>
      </c>
      <c r="D5489" s="43" t="s">
        <v>83</v>
      </c>
      <c r="E5489" s="44">
        <v>1</v>
      </c>
      <c r="F5489" s="41">
        <v>49.903500000000001</v>
      </c>
      <c r="G5489" s="38">
        <f>IF(ISNUMBER(F5489),E5489*F5489,"")</f>
        <v>49.903500000000001</v>
      </c>
      <c r="H5489" s="42"/>
      <c r="I5489" s="38"/>
      <c r="J5489" s="37">
        <v>0</v>
      </c>
    </row>
    <row r="5490" spans="1:10" ht="15.75" hidden="1" thickBot="1" x14ac:dyDescent="0.3">
      <c r="A5490" s="175"/>
      <c r="B5490" s="178"/>
      <c r="C5490" s="49"/>
      <c r="D5490" s="49"/>
      <c r="E5490" s="50"/>
      <c r="F5490" s="51" t="s">
        <v>13</v>
      </c>
      <c r="G5490" s="51" t="str">
        <f>IF(ISNUMBER(F5490),E5490*F5490,"")</f>
        <v/>
      </c>
      <c r="H5490" s="53"/>
      <c r="I5490" s="38"/>
      <c r="J5490" s="37">
        <v>0</v>
      </c>
    </row>
    <row r="5491" spans="1:10" ht="15.75" hidden="1" thickBot="1" x14ac:dyDescent="0.3">
      <c r="A5491" s="173" t="s">
        <v>1294</v>
      </c>
      <c r="B5491" s="176" t="s">
        <v>1295</v>
      </c>
      <c r="C5491" s="31"/>
      <c r="D5491" s="32" t="s">
        <v>106</v>
      </c>
      <c r="E5491" s="33"/>
      <c r="F5491" s="54" t="s">
        <v>13</v>
      </c>
      <c r="G5491" s="34" t="str">
        <f>IF(ISNUMBER(F5491),E5491*F5491,"")</f>
        <v/>
      </c>
      <c r="H5491" s="35"/>
      <c r="I5491" s="36"/>
      <c r="J5491" s="37">
        <v>0</v>
      </c>
    </row>
    <row r="5492" spans="1:10" hidden="1" x14ac:dyDescent="0.25">
      <c r="A5492" s="174"/>
      <c r="B5492" s="177"/>
      <c r="C5492" s="39"/>
      <c r="D5492" s="39"/>
      <c r="E5492" s="40"/>
      <c r="F5492" s="55" t="s">
        <v>13</v>
      </c>
      <c r="G5492" s="38" t="str">
        <f>IF(ISNUMBER(F5492),E5492*F5492,"")</f>
        <v/>
      </c>
      <c r="H5492" s="42"/>
      <c r="I5492" s="38"/>
      <c r="J5492" s="37">
        <v>0</v>
      </c>
    </row>
    <row r="5493" spans="1:10" hidden="1" x14ac:dyDescent="0.25">
      <c r="A5493" s="174"/>
      <c r="B5493" s="177"/>
      <c r="C5493" s="43" t="s">
        <v>10762</v>
      </c>
      <c r="D5493" s="43" t="s">
        <v>2800</v>
      </c>
      <c r="E5493" s="44">
        <v>0.12280000000000001</v>
      </c>
      <c r="F5493" s="38">
        <v>24.946999999999999</v>
      </c>
      <c r="G5493" s="41">
        <f>IF(ISNUMBER(F5493),E5493*F5493,"")</f>
        <v>3.0634915999999999</v>
      </c>
      <c r="H5493" s="46">
        <f>SUM(G5493:G5496)</f>
        <v>6.9630155</v>
      </c>
      <c r="I5493" s="47"/>
      <c r="J5493" s="37">
        <v>0</v>
      </c>
    </row>
    <row r="5494" spans="1:10" hidden="1" x14ac:dyDescent="0.25">
      <c r="A5494" s="174"/>
      <c r="B5494" s="177"/>
      <c r="C5494" s="43" t="s">
        <v>10763</v>
      </c>
      <c r="D5494" s="43" t="s">
        <v>2800</v>
      </c>
      <c r="E5494" s="44">
        <v>0.12280000000000001</v>
      </c>
      <c r="F5494" s="38">
        <v>31.435500000000001</v>
      </c>
      <c r="G5494" s="41">
        <f>IF(ISNUMBER(F5494),E5494*F5494,"")</f>
        <v>3.8602794000000005</v>
      </c>
      <c r="H5494" s="42"/>
      <c r="I5494" s="38"/>
      <c r="J5494" s="37">
        <v>0</v>
      </c>
    </row>
    <row r="5495" spans="1:10" ht="25.5" hidden="1" x14ac:dyDescent="0.25">
      <c r="A5495" s="174"/>
      <c r="B5495" s="177"/>
      <c r="C5495" s="43" t="s">
        <v>10946</v>
      </c>
      <c r="D5495" s="43" t="s">
        <v>83</v>
      </c>
      <c r="E5495" s="44">
        <v>8.9999999999999993E-3</v>
      </c>
      <c r="F5495" s="41">
        <v>4.3605</v>
      </c>
      <c r="G5495" s="41">
        <f>IF(ISNUMBER(F5495),E5495*F5495,"")</f>
        <v>3.9244499999999995E-2</v>
      </c>
      <c r="H5495" s="42"/>
      <c r="I5495" s="38"/>
      <c r="J5495" s="37">
        <v>0</v>
      </c>
    </row>
    <row r="5496" spans="1:10" hidden="1" x14ac:dyDescent="0.25">
      <c r="A5496" s="174"/>
      <c r="B5496" s="177"/>
      <c r="C5496" s="43" t="s">
        <v>1295</v>
      </c>
      <c r="D5496" s="43" t="s">
        <v>106</v>
      </c>
      <c r="E5496" s="44">
        <v>1.0149999999999999</v>
      </c>
      <c r="F5496" s="41" t="s">
        <v>13</v>
      </c>
      <c r="G5496" s="38" t="str">
        <f>IF(ISNUMBER(F5496),E5496*F5496,"")</f>
        <v/>
      </c>
      <c r="H5496" s="42"/>
      <c r="I5496" s="38"/>
      <c r="J5496" s="37">
        <v>0</v>
      </c>
    </row>
    <row r="5497" spans="1:10" ht="15.75" hidden="1" thickBot="1" x14ac:dyDescent="0.3">
      <c r="A5497" s="175"/>
      <c r="B5497" s="178"/>
      <c r="C5497" s="49"/>
      <c r="D5497" s="49"/>
      <c r="E5497" s="50"/>
      <c r="F5497" s="51" t="s">
        <v>13</v>
      </c>
      <c r="G5497" s="51" t="str">
        <f>IF(ISNUMBER(F5497),E5497*F5497,"")</f>
        <v/>
      </c>
      <c r="H5497" s="53"/>
      <c r="I5497" s="38"/>
      <c r="J5497" s="37">
        <v>0</v>
      </c>
    </row>
    <row r="5498" spans="1:10" ht="15.75" hidden="1" thickBot="1" x14ac:dyDescent="0.3">
      <c r="A5498" s="173" t="s">
        <v>1296</v>
      </c>
      <c r="B5498" s="176" t="s">
        <v>1297</v>
      </c>
      <c r="C5498" s="31"/>
      <c r="D5498" s="32" t="s">
        <v>106</v>
      </c>
      <c r="E5498" s="33"/>
      <c r="F5498" s="54" t="s">
        <v>13</v>
      </c>
      <c r="G5498" s="34" t="str">
        <f>IF(ISNUMBER(F5498),E5498*F5498,"")</f>
        <v/>
      </c>
      <c r="H5498" s="35"/>
      <c r="I5498" s="36"/>
      <c r="J5498" s="37">
        <v>0</v>
      </c>
    </row>
    <row r="5499" spans="1:10" hidden="1" x14ac:dyDescent="0.25">
      <c r="A5499" s="174"/>
      <c r="B5499" s="177"/>
      <c r="C5499" s="39"/>
      <c r="D5499" s="39"/>
      <c r="E5499" s="40"/>
      <c r="F5499" s="55" t="s">
        <v>13</v>
      </c>
      <c r="G5499" s="38" t="str">
        <f>IF(ISNUMBER(F5499),E5499*F5499,"")</f>
        <v/>
      </c>
      <c r="H5499" s="42"/>
      <c r="I5499" s="38"/>
      <c r="J5499" s="37">
        <v>0</v>
      </c>
    </row>
    <row r="5500" spans="1:10" hidden="1" x14ac:dyDescent="0.25">
      <c r="A5500" s="174"/>
      <c r="B5500" s="177"/>
      <c r="C5500" s="43" t="s">
        <v>10762</v>
      </c>
      <c r="D5500" s="43" t="s">
        <v>2800</v>
      </c>
      <c r="E5500" s="44">
        <v>0.25119999999999998</v>
      </c>
      <c r="F5500" s="38">
        <v>24.946999999999999</v>
      </c>
      <c r="G5500" s="41">
        <f>IF(ISNUMBER(F5500),E5500*F5500,"")</f>
        <v>6.2666863999999993</v>
      </c>
      <c r="H5500" s="46">
        <f>SUM(G5500:G5503)</f>
        <v>14.2025285</v>
      </c>
      <c r="I5500" s="47"/>
      <c r="J5500" s="37">
        <v>0</v>
      </c>
    </row>
    <row r="5501" spans="1:10" hidden="1" x14ac:dyDescent="0.25">
      <c r="A5501" s="174"/>
      <c r="B5501" s="177"/>
      <c r="C5501" s="43" t="s">
        <v>10763</v>
      </c>
      <c r="D5501" s="43" t="s">
        <v>2800</v>
      </c>
      <c r="E5501" s="44">
        <v>0.25119999999999998</v>
      </c>
      <c r="F5501" s="38">
        <v>31.435500000000001</v>
      </c>
      <c r="G5501" s="41">
        <f>IF(ISNUMBER(F5501),E5501*F5501,"")</f>
        <v>7.8965975999999998</v>
      </c>
      <c r="H5501" s="42"/>
      <c r="I5501" s="38"/>
      <c r="J5501" s="37">
        <v>0</v>
      </c>
    </row>
    <row r="5502" spans="1:10" ht="25.5" hidden="1" x14ac:dyDescent="0.25">
      <c r="A5502" s="174"/>
      <c r="B5502" s="177"/>
      <c r="C5502" s="43" t="s">
        <v>10946</v>
      </c>
      <c r="D5502" s="43" t="s">
        <v>83</v>
      </c>
      <c r="E5502" s="44">
        <v>8.9999999999999993E-3</v>
      </c>
      <c r="F5502" s="41">
        <v>4.3605</v>
      </c>
      <c r="G5502" s="41">
        <f>IF(ISNUMBER(F5502),E5502*F5502,"")</f>
        <v>3.9244499999999995E-2</v>
      </c>
      <c r="H5502" s="42"/>
      <c r="I5502" s="38"/>
      <c r="J5502" s="37">
        <v>0</v>
      </c>
    </row>
    <row r="5503" spans="1:10" hidden="1" x14ac:dyDescent="0.25">
      <c r="A5503" s="174"/>
      <c r="B5503" s="177"/>
      <c r="C5503" s="43" t="s">
        <v>1297</v>
      </c>
      <c r="D5503" s="43" t="s">
        <v>106</v>
      </c>
      <c r="E5503" s="44">
        <v>1.0149999999999999</v>
      </c>
      <c r="F5503" s="41" t="s">
        <v>13</v>
      </c>
      <c r="G5503" s="38" t="str">
        <f>IF(ISNUMBER(F5503),E5503*F5503,"")</f>
        <v/>
      </c>
      <c r="H5503" s="42"/>
      <c r="I5503" s="38"/>
      <c r="J5503" s="37">
        <v>0</v>
      </c>
    </row>
    <row r="5504" spans="1:10" ht="15.75" hidden="1" thickBot="1" x14ac:dyDescent="0.3">
      <c r="A5504" s="175"/>
      <c r="B5504" s="178"/>
      <c r="C5504" s="49"/>
      <c r="D5504" s="49"/>
      <c r="E5504" s="50"/>
      <c r="F5504" s="51" t="s">
        <v>13</v>
      </c>
      <c r="G5504" s="51" t="str">
        <f>IF(ISNUMBER(F5504),E5504*F5504,"")</f>
        <v/>
      </c>
      <c r="H5504" s="53"/>
      <c r="I5504" s="38"/>
      <c r="J5504" s="37">
        <v>0</v>
      </c>
    </row>
    <row r="5505" spans="1:10" ht="15.75" hidden="1" thickBot="1" x14ac:dyDescent="0.3">
      <c r="A5505" s="173" t="s">
        <v>1298</v>
      </c>
      <c r="B5505" s="176" t="s">
        <v>4889</v>
      </c>
      <c r="C5505" s="31"/>
      <c r="D5505" s="32" t="s">
        <v>18</v>
      </c>
      <c r="E5505" s="33"/>
      <c r="F5505" s="60" t="s">
        <v>13</v>
      </c>
      <c r="G5505" s="34" t="str">
        <f>IF(ISNUMBER(F5505),E5505*F5505,"")</f>
        <v/>
      </c>
      <c r="H5505" s="35"/>
      <c r="I5505" s="36"/>
      <c r="J5505" s="37">
        <v>0</v>
      </c>
    </row>
    <row r="5506" spans="1:10" hidden="1" x14ac:dyDescent="0.25">
      <c r="A5506" s="179"/>
      <c r="B5506" s="177"/>
      <c r="C5506" s="39"/>
      <c r="D5506" s="39"/>
      <c r="E5506" s="40"/>
      <c r="F5506" s="70" t="s">
        <v>13</v>
      </c>
      <c r="G5506" s="70" t="str">
        <f>IF(ISNUMBER(F5506),E5506*F5506,"")</f>
        <v/>
      </c>
      <c r="H5506" s="71"/>
      <c r="I5506" s="72"/>
      <c r="J5506" s="37">
        <v>0</v>
      </c>
    </row>
    <row r="5507" spans="1:10" hidden="1" x14ac:dyDescent="0.25">
      <c r="A5507" s="179"/>
      <c r="B5507" s="177"/>
      <c r="C5507" s="43" t="s">
        <v>1299</v>
      </c>
      <c r="D5507" s="43" t="s">
        <v>18</v>
      </c>
      <c r="E5507" s="44">
        <v>1</v>
      </c>
      <c r="F5507" s="38" t="s">
        <v>13</v>
      </c>
      <c r="G5507" s="70" t="str">
        <f>IF(ISNUMBER(F5507),E5507*F5507,"")</f>
        <v/>
      </c>
      <c r="H5507" s="46">
        <f>SUM(G5507:G5509)</f>
        <v>140.95625000000001</v>
      </c>
      <c r="I5507" s="47"/>
      <c r="J5507" s="37">
        <v>0</v>
      </c>
    </row>
    <row r="5508" spans="1:10" hidden="1" x14ac:dyDescent="0.25">
      <c r="A5508" s="179"/>
      <c r="B5508" s="177"/>
      <c r="C5508" s="43" t="s">
        <v>10762</v>
      </c>
      <c r="D5508" s="43" t="s">
        <v>2800</v>
      </c>
      <c r="E5508" s="44">
        <v>2.5</v>
      </c>
      <c r="F5508" s="38">
        <v>24.946999999999999</v>
      </c>
      <c r="G5508" s="70">
        <f>IF(ISNUMBER(F5508),E5508*F5508,"")</f>
        <v>62.3675</v>
      </c>
      <c r="H5508" s="71"/>
      <c r="I5508" s="72"/>
      <c r="J5508" s="37">
        <v>0</v>
      </c>
    </row>
    <row r="5509" spans="1:10" hidden="1" x14ac:dyDescent="0.25">
      <c r="A5509" s="179"/>
      <c r="B5509" s="177"/>
      <c r="C5509" s="43" t="s">
        <v>10763</v>
      </c>
      <c r="D5509" s="43" t="s">
        <v>2800</v>
      </c>
      <c r="E5509" s="44">
        <v>2.5</v>
      </c>
      <c r="F5509" s="38">
        <v>31.435500000000001</v>
      </c>
      <c r="G5509" s="70">
        <f>IF(ISNUMBER(F5509),E5509*F5509,"")</f>
        <v>78.588750000000005</v>
      </c>
      <c r="H5509" s="71"/>
      <c r="I5509" s="72"/>
      <c r="J5509" s="37">
        <v>0</v>
      </c>
    </row>
    <row r="5510" spans="1:10" ht="15.75" hidden="1" thickBot="1" x14ac:dyDescent="0.3">
      <c r="A5510" s="180"/>
      <c r="B5510" s="178"/>
      <c r="C5510" s="49"/>
      <c r="D5510" s="63"/>
      <c r="E5510" s="50"/>
      <c r="F5510" s="83" t="s">
        <v>13</v>
      </c>
      <c r="G5510" s="83" t="str">
        <f>IF(ISNUMBER(F5510),E5510*F5510,"")</f>
        <v/>
      </c>
      <c r="H5510" s="84"/>
      <c r="I5510" s="72"/>
      <c r="J5510" s="37">
        <v>0</v>
      </c>
    </row>
    <row r="5511" spans="1:10" ht="15.75" hidden="1" thickBot="1" x14ac:dyDescent="0.3">
      <c r="A5511" s="173" t="s">
        <v>1300</v>
      </c>
      <c r="B5511" s="176" t="s">
        <v>4890</v>
      </c>
      <c r="C5511" s="31"/>
      <c r="D5511" s="32" t="s">
        <v>106</v>
      </c>
      <c r="E5511" s="33"/>
      <c r="F5511" s="54" t="s">
        <v>13</v>
      </c>
      <c r="G5511" s="34" t="str">
        <f>IF(ISNUMBER(F5511),E5511*F5511,"")</f>
        <v/>
      </c>
      <c r="H5511" s="35"/>
      <c r="I5511" s="36"/>
      <c r="J5511" s="37">
        <v>0</v>
      </c>
    </row>
    <row r="5512" spans="1:10" hidden="1" x14ac:dyDescent="0.25">
      <c r="A5512" s="174"/>
      <c r="B5512" s="177"/>
      <c r="C5512" s="39"/>
      <c r="D5512" s="39"/>
      <c r="E5512" s="40"/>
      <c r="F5512" s="55" t="s">
        <v>13</v>
      </c>
      <c r="G5512" s="38" t="str">
        <f>IF(ISNUMBER(F5512),E5512*F5512,"")</f>
        <v/>
      </c>
      <c r="H5512" s="42"/>
      <c r="I5512" s="38"/>
      <c r="J5512" s="37">
        <v>0</v>
      </c>
    </row>
    <row r="5513" spans="1:10" ht="38.25" hidden="1" x14ac:dyDescent="0.25">
      <c r="A5513" s="174"/>
      <c r="B5513" s="177"/>
      <c r="C5513" s="43" t="s">
        <v>1301</v>
      </c>
      <c r="D5513" s="43" t="s">
        <v>1302</v>
      </c>
      <c r="E5513" s="44">
        <v>1.1000000000000001</v>
      </c>
      <c r="F5513" s="38" t="s">
        <v>13</v>
      </c>
      <c r="G5513" s="41" t="str">
        <f>IF(ISNUMBER(F5513),E5513*F5513,"")</f>
        <v/>
      </c>
      <c r="H5513" s="46">
        <f>SUM(G5513:G5515)</f>
        <v>9.70342825</v>
      </c>
      <c r="I5513" s="47"/>
      <c r="J5513" s="37">
        <v>0</v>
      </c>
    </row>
    <row r="5514" spans="1:10" hidden="1" x14ac:dyDescent="0.25">
      <c r="A5514" s="174"/>
      <c r="B5514" s="177"/>
      <c r="C5514" s="43" t="s">
        <v>10762</v>
      </c>
      <c r="D5514" s="43" t="s">
        <v>2800</v>
      </c>
      <c r="E5514" s="44">
        <v>0.1721</v>
      </c>
      <c r="F5514" s="38">
        <v>24.946999999999999</v>
      </c>
      <c r="G5514" s="41">
        <f>IF(ISNUMBER(F5514),E5514*F5514,"")</f>
        <v>4.2933786999999999</v>
      </c>
      <c r="H5514" s="42"/>
      <c r="I5514" s="38"/>
      <c r="J5514" s="37">
        <v>0</v>
      </c>
    </row>
    <row r="5515" spans="1:10" hidden="1" x14ac:dyDescent="0.25">
      <c r="A5515" s="174"/>
      <c r="B5515" s="177"/>
      <c r="C5515" s="43" t="s">
        <v>10763</v>
      </c>
      <c r="D5515" s="43" t="s">
        <v>2800</v>
      </c>
      <c r="E5515" s="44">
        <v>0.1721</v>
      </c>
      <c r="F5515" s="41">
        <v>31.435500000000001</v>
      </c>
      <c r="G5515" s="38">
        <f>IF(ISNUMBER(F5515),E5515*F5515,"")</f>
        <v>5.4100495500000001</v>
      </c>
      <c r="H5515" s="42"/>
      <c r="I5515" s="38"/>
      <c r="J5515" s="37">
        <v>0</v>
      </c>
    </row>
    <row r="5516" spans="1:10" ht="15.75" hidden="1" thickBot="1" x14ac:dyDescent="0.3">
      <c r="A5516" s="175"/>
      <c r="B5516" s="178"/>
      <c r="C5516" s="49"/>
      <c r="D5516" s="49"/>
      <c r="E5516" s="50"/>
      <c r="F5516" s="51" t="s">
        <v>13</v>
      </c>
      <c r="G5516" s="51" t="str">
        <f>IF(ISNUMBER(F5516),E5516*F5516,"")</f>
        <v/>
      </c>
      <c r="H5516" s="53"/>
      <c r="I5516" s="38"/>
      <c r="J5516" s="37">
        <v>0</v>
      </c>
    </row>
    <row r="5517" spans="1:10" ht="15.75" hidden="1" thickBot="1" x14ac:dyDescent="0.3">
      <c r="A5517" s="173" t="s">
        <v>1303</v>
      </c>
      <c r="B5517" s="176" t="s">
        <v>4893</v>
      </c>
      <c r="C5517" s="31"/>
      <c r="D5517" s="32" t="s">
        <v>18</v>
      </c>
      <c r="E5517" s="33"/>
      <c r="F5517" s="54" t="s">
        <v>13</v>
      </c>
      <c r="G5517" s="34" t="str">
        <f>IF(ISNUMBER(F5517),E5517*F5517,"")</f>
        <v/>
      </c>
      <c r="H5517" s="35"/>
      <c r="I5517" s="36"/>
      <c r="J5517" s="37">
        <v>0</v>
      </c>
    </row>
    <row r="5518" spans="1:10" hidden="1" x14ac:dyDescent="0.25">
      <c r="A5518" s="174"/>
      <c r="B5518" s="177"/>
      <c r="C5518" s="39"/>
      <c r="D5518" s="39"/>
      <c r="E5518" s="40"/>
      <c r="F5518" s="55" t="s">
        <v>13</v>
      </c>
      <c r="G5518" s="38" t="str">
        <f>IF(ISNUMBER(F5518),E5518*F5518,"")</f>
        <v/>
      </c>
      <c r="H5518" s="42"/>
      <c r="I5518" s="38"/>
      <c r="J5518" s="37">
        <v>0</v>
      </c>
    </row>
    <row r="5519" spans="1:10" hidden="1" x14ac:dyDescent="0.25">
      <c r="A5519" s="174"/>
      <c r="B5519" s="177"/>
      <c r="C5519" s="43" t="s">
        <v>10763</v>
      </c>
      <c r="D5519" s="43" t="s">
        <v>2800</v>
      </c>
      <c r="E5519" s="44">
        <f>0.3/2</f>
        <v>0.15</v>
      </c>
      <c r="F5519" s="38">
        <v>31.435500000000001</v>
      </c>
      <c r="G5519" s="41">
        <f>IF(ISNUMBER(F5519),E5519*F5519,"")</f>
        <v>4.715325</v>
      </c>
      <c r="H5519" s="46">
        <f>SUM(G5519:G5522)</f>
        <v>8.457374999999999</v>
      </c>
      <c r="I5519" s="47"/>
      <c r="J5519" s="37">
        <v>0</v>
      </c>
    </row>
    <row r="5520" spans="1:10" hidden="1" x14ac:dyDescent="0.25">
      <c r="A5520" s="174"/>
      <c r="B5520" s="177"/>
      <c r="C5520" s="43" t="s">
        <v>10762</v>
      </c>
      <c r="D5520" s="43" t="s">
        <v>2800</v>
      </c>
      <c r="E5520" s="44">
        <f>0.3/2</f>
        <v>0.15</v>
      </c>
      <c r="F5520" s="38">
        <v>24.946999999999999</v>
      </c>
      <c r="G5520" s="41">
        <f>IF(ISNUMBER(F5520),E5520*F5520,"")</f>
        <v>3.7420499999999999</v>
      </c>
      <c r="H5520" s="42"/>
      <c r="I5520" s="38"/>
      <c r="J5520" s="37">
        <v>0</v>
      </c>
    </row>
    <row r="5521" spans="1:10" ht="25.5" hidden="1" x14ac:dyDescent="0.25">
      <c r="A5521" s="174"/>
      <c r="B5521" s="177"/>
      <c r="C5521" s="43" t="s">
        <v>380</v>
      </c>
      <c r="D5521" s="43" t="s">
        <v>18</v>
      </c>
      <c r="E5521" s="44">
        <v>1</v>
      </c>
      <c r="F5521" s="41" t="s">
        <v>13</v>
      </c>
      <c r="G5521" s="41" t="str">
        <f>IF(ISNUMBER(F5521),E5521*F5521,"")</f>
        <v/>
      </c>
      <c r="H5521" s="42"/>
      <c r="I5521" s="38"/>
      <c r="J5521" s="37">
        <v>0</v>
      </c>
    </row>
    <row r="5522" spans="1:10" ht="25.5" hidden="1" x14ac:dyDescent="0.25">
      <c r="A5522" s="174"/>
      <c r="B5522" s="177"/>
      <c r="C5522" s="43" t="s">
        <v>1304</v>
      </c>
      <c r="D5522" s="43" t="s">
        <v>18</v>
      </c>
      <c r="E5522" s="44">
        <v>1</v>
      </c>
      <c r="F5522" s="41" t="s">
        <v>13</v>
      </c>
      <c r="G5522" s="38" t="str">
        <f>IF(ISNUMBER(F5522),E5522*F5522,"")</f>
        <v/>
      </c>
      <c r="H5522" s="42"/>
      <c r="I5522" s="38"/>
      <c r="J5522" s="37">
        <v>0</v>
      </c>
    </row>
    <row r="5523" spans="1:10" ht="15.75" hidden="1" thickBot="1" x14ac:dyDescent="0.3">
      <c r="A5523" s="175"/>
      <c r="B5523" s="178"/>
      <c r="C5523" s="49"/>
      <c r="D5523" s="49"/>
      <c r="E5523" s="50"/>
      <c r="F5523" s="51" t="s">
        <v>13</v>
      </c>
      <c r="G5523" s="51" t="str">
        <f>IF(ISNUMBER(F5523),E5523*F5523,"")</f>
        <v/>
      </c>
      <c r="H5523" s="53"/>
      <c r="I5523" s="38"/>
      <c r="J5523" s="37">
        <v>0</v>
      </c>
    </row>
    <row r="5524" spans="1:10" ht="15.75" hidden="1" thickBot="1" x14ac:dyDescent="0.3">
      <c r="A5524" s="173" t="s">
        <v>1305</v>
      </c>
      <c r="B5524" s="176" t="s">
        <v>4894</v>
      </c>
      <c r="C5524" s="31"/>
      <c r="D5524" s="32" t="s">
        <v>106</v>
      </c>
      <c r="E5524" s="33"/>
      <c r="F5524" s="54" t="s">
        <v>13</v>
      </c>
      <c r="G5524" s="34" t="str">
        <f>IF(ISNUMBER(F5524),E5524*F5524,"")</f>
        <v/>
      </c>
      <c r="H5524" s="35"/>
      <c r="I5524" s="36"/>
      <c r="J5524" s="37">
        <v>0</v>
      </c>
    </row>
    <row r="5525" spans="1:10" hidden="1" x14ac:dyDescent="0.25">
      <c r="A5525" s="174"/>
      <c r="B5525" s="177"/>
      <c r="C5525" s="39"/>
      <c r="D5525" s="39"/>
      <c r="E5525" s="40"/>
      <c r="F5525" s="55" t="s">
        <v>13</v>
      </c>
      <c r="G5525" s="38" t="str">
        <f>IF(ISNUMBER(F5525),E5525*F5525,"")</f>
        <v/>
      </c>
      <c r="H5525" s="42"/>
      <c r="I5525" s="38"/>
      <c r="J5525" s="37">
        <v>0</v>
      </c>
    </row>
    <row r="5526" spans="1:10" hidden="1" x14ac:dyDescent="0.25">
      <c r="A5526" s="174"/>
      <c r="B5526" s="177"/>
      <c r="C5526" s="43" t="s">
        <v>10763</v>
      </c>
      <c r="D5526" s="43" t="s">
        <v>2800</v>
      </c>
      <c r="E5526" s="44">
        <v>0.65</v>
      </c>
      <c r="F5526" s="38">
        <v>31.435500000000001</v>
      </c>
      <c r="G5526" s="41">
        <f>IF(ISNUMBER(F5526),E5526*F5526,"")</f>
        <v>20.433075000000002</v>
      </c>
      <c r="H5526" s="46">
        <f>SUM(G5526:G5528)</f>
        <v>36.648625000000003</v>
      </c>
      <c r="I5526" s="47"/>
      <c r="J5526" s="37">
        <v>0</v>
      </c>
    </row>
    <row r="5527" spans="1:10" hidden="1" x14ac:dyDescent="0.25">
      <c r="A5527" s="174"/>
      <c r="B5527" s="177"/>
      <c r="C5527" s="43" t="s">
        <v>10762</v>
      </c>
      <c r="D5527" s="43" t="s">
        <v>2800</v>
      </c>
      <c r="E5527" s="44">
        <v>0.65</v>
      </c>
      <c r="F5527" s="38">
        <v>24.946999999999999</v>
      </c>
      <c r="G5527" s="41">
        <f>IF(ISNUMBER(F5527),E5527*F5527,"")</f>
        <v>16.21555</v>
      </c>
      <c r="H5527" s="42"/>
      <c r="I5527" s="38"/>
      <c r="J5527" s="37">
        <v>0</v>
      </c>
    </row>
    <row r="5528" spans="1:10" ht="25.5" hidden="1" x14ac:dyDescent="0.25">
      <c r="A5528" s="174"/>
      <c r="B5528" s="177"/>
      <c r="C5528" s="43" t="s">
        <v>1306</v>
      </c>
      <c r="D5528" s="43" t="s">
        <v>106</v>
      </c>
      <c r="E5528" s="44">
        <v>1.05</v>
      </c>
      <c r="F5528" s="38" t="s">
        <v>13</v>
      </c>
      <c r="G5528" s="41" t="str">
        <f>IF(ISNUMBER(F5528),E5528*F5528,"")</f>
        <v/>
      </c>
      <c r="H5528" s="42"/>
      <c r="I5528" s="38"/>
      <c r="J5528" s="37">
        <v>0</v>
      </c>
    </row>
    <row r="5529" spans="1:10" ht="15.75" hidden="1" thickBot="1" x14ac:dyDescent="0.3">
      <c r="A5529" s="175"/>
      <c r="B5529" s="178"/>
      <c r="C5529" s="49"/>
      <c r="D5529" s="49"/>
      <c r="E5529" s="50"/>
      <c r="F5529" s="51" t="s">
        <v>13</v>
      </c>
      <c r="G5529" s="51" t="str">
        <f>IF(ISNUMBER(F5529),E5529*F5529,"")</f>
        <v/>
      </c>
      <c r="H5529" s="53"/>
      <c r="I5529" s="38"/>
      <c r="J5529" s="37">
        <v>0</v>
      </c>
    </row>
    <row r="5530" spans="1:10" ht="15.75" hidden="1" thickBot="1" x14ac:dyDescent="0.3">
      <c r="A5530" s="173" t="s">
        <v>1307</v>
      </c>
      <c r="B5530" s="176" t="s">
        <v>4895</v>
      </c>
      <c r="C5530" s="31"/>
      <c r="D5530" s="32" t="s">
        <v>106</v>
      </c>
      <c r="E5530" s="33"/>
      <c r="F5530" s="54" t="s">
        <v>13</v>
      </c>
      <c r="G5530" s="34" t="str">
        <f>IF(ISNUMBER(F5530),E5530*F5530,"")</f>
        <v/>
      </c>
      <c r="H5530" s="35"/>
      <c r="I5530" s="36"/>
      <c r="J5530" s="37">
        <v>0</v>
      </c>
    </row>
    <row r="5531" spans="1:10" hidden="1" x14ac:dyDescent="0.25">
      <c r="A5531" s="174"/>
      <c r="B5531" s="177"/>
      <c r="C5531" s="39"/>
      <c r="D5531" s="39"/>
      <c r="E5531" s="40"/>
      <c r="F5531" s="55" t="s">
        <v>13</v>
      </c>
      <c r="G5531" s="38" t="str">
        <f>IF(ISNUMBER(F5531),E5531*F5531,"")</f>
        <v/>
      </c>
      <c r="H5531" s="42"/>
      <c r="I5531" s="38"/>
      <c r="J5531" s="37">
        <v>0</v>
      </c>
    </row>
    <row r="5532" spans="1:10" hidden="1" x14ac:dyDescent="0.25">
      <c r="A5532" s="174"/>
      <c r="B5532" s="177"/>
      <c r="C5532" s="43" t="s">
        <v>10763</v>
      </c>
      <c r="D5532" s="43" t="s">
        <v>2800</v>
      </c>
      <c r="E5532" s="44">
        <v>0.65</v>
      </c>
      <c r="F5532" s="38">
        <v>31.435500000000001</v>
      </c>
      <c r="G5532" s="41">
        <f>IF(ISNUMBER(F5532),E5532*F5532,"")</f>
        <v>20.433075000000002</v>
      </c>
      <c r="H5532" s="46">
        <f>SUM(G5532:G5534)</f>
        <v>36.648625000000003</v>
      </c>
      <c r="I5532" s="47"/>
      <c r="J5532" s="37">
        <v>0</v>
      </c>
    </row>
    <row r="5533" spans="1:10" hidden="1" x14ac:dyDescent="0.25">
      <c r="A5533" s="174"/>
      <c r="B5533" s="177"/>
      <c r="C5533" s="43" t="s">
        <v>10762</v>
      </c>
      <c r="D5533" s="43" t="s">
        <v>2800</v>
      </c>
      <c r="E5533" s="44">
        <v>0.65</v>
      </c>
      <c r="F5533" s="38">
        <v>24.946999999999999</v>
      </c>
      <c r="G5533" s="41">
        <f>IF(ISNUMBER(F5533),E5533*F5533,"")</f>
        <v>16.21555</v>
      </c>
      <c r="H5533" s="42"/>
      <c r="I5533" s="38"/>
      <c r="J5533" s="37">
        <v>0</v>
      </c>
    </row>
    <row r="5534" spans="1:10" ht="25.5" hidden="1" x14ac:dyDescent="0.25">
      <c r="A5534" s="174"/>
      <c r="B5534" s="177"/>
      <c r="C5534" s="43" t="s">
        <v>1308</v>
      </c>
      <c r="D5534" s="43" t="s">
        <v>106</v>
      </c>
      <c r="E5534" s="44">
        <v>1.05</v>
      </c>
      <c r="F5534" s="38" t="s">
        <v>13</v>
      </c>
      <c r="G5534" s="41" t="str">
        <f>IF(ISNUMBER(F5534),E5534*F5534,"")</f>
        <v/>
      </c>
      <c r="H5534" s="42"/>
      <c r="I5534" s="38"/>
      <c r="J5534" s="37">
        <v>0</v>
      </c>
    </row>
    <row r="5535" spans="1:10" ht="15.75" hidden="1" thickBot="1" x14ac:dyDescent="0.3">
      <c r="A5535" s="175"/>
      <c r="B5535" s="178"/>
      <c r="C5535" s="49"/>
      <c r="D5535" s="49"/>
      <c r="E5535" s="50"/>
      <c r="F5535" s="51" t="s">
        <v>13</v>
      </c>
      <c r="G5535" s="51" t="str">
        <f>IF(ISNUMBER(F5535),E5535*F5535,"")</f>
        <v/>
      </c>
      <c r="H5535" s="53"/>
      <c r="I5535" s="38"/>
      <c r="J5535" s="37">
        <v>0</v>
      </c>
    </row>
    <row r="5536" spans="1:10" ht="15.75" hidden="1" thickBot="1" x14ac:dyDescent="0.3">
      <c r="A5536" s="173" t="s">
        <v>1309</v>
      </c>
      <c r="B5536" s="176" t="s">
        <v>4896</v>
      </c>
      <c r="C5536" s="31"/>
      <c r="D5536" s="32" t="s">
        <v>18</v>
      </c>
      <c r="E5536" s="33"/>
      <c r="F5536" s="54" t="s">
        <v>13</v>
      </c>
      <c r="G5536" s="34" t="str">
        <f>IF(ISNUMBER(F5536),E5536*F5536,"")</f>
        <v/>
      </c>
      <c r="H5536" s="35"/>
      <c r="I5536" s="36"/>
      <c r="J5536" s="37">
        <v>0</v>
      </c>
    </row>
    <row r="5537" spans="1:10" hidden="1" x14ac:dyDescent="0.25">
      <c r="A5537" s="174"/>
      <c r="B5537" s="177"/>
      <c r="C5537" s="39"/>
      <c r="D5537" s="39"/>
      <c r="E5537" s="40"/>
      <c r="F5537" s="55" t="s">
        <v>13</v>
      </c>
      <c r="G5537" s="38" t="str">
        <f>IF(ISNUMBER(F5537),E5537*F5537,"")</f>
        <v/>
      </c>
      <c r="H5537" s="42"/>
      <c r="I5537" s="38"/>
      <c r="J5537" s="37">
        <v>0</v>
      </c>
    </row>
    <row r="5538" spans="1:10" ht="63.75" hidden="1" x14ac:dyDescent="0.25">
      <c r="A5538" s="174"/>
      <c r="B5538" s="177"/>
      <c r="C5538" s="43" t="s">
        <v>1310</v>
      </c>
      <c r="D5538" s="43" t="s">
        <v>87</v>
      </c>
      <c r="E5538" s="44">
        <v>1</v>
      </c>
      <c r="F5538" s="41" t="s">
        <v>13</v>
      </c>
      <c r="G5538" s="38" t="str">
        <f>IF(ISNUMBER(F5538),E5538*F5538,"")</f>
        <v/>
      </c>
      <c r="H5538" s="46">
        <f>SUM(G5538:G5542)</f>
        <v>18.211233287500001</v>
      </c>
      <c r="I5538" s="47"/>
      <c r="J5538" s="37">
        <v>0</v>
      </c>
    </row>
    <row r="5539" spans="1:10" ht="25.5" hidden="1" x14ac:dyDescent="0.25">
      <c r="A5539" s="174"/>
      <c r="B5539" s="177"/>
      <c r="C5539" s="43" t="s">
        <v>1311</v>
      </c>
      <c r="D5539" s="43" t="s">
        <v>87</v>
      </c>
      <c r="E5539" s="44">
        <v>1</v>
      </c>
      <c r="F5539" s="41" t="s">
        <v>13</v>
      </c>
      <c r="G5539" s="38" t="str">
        <f>IF(ISNUMBER(F5539),E5539*F5539,"")</f>
        <v/>
      </c>
      <c r="H5539" s="58"/>
      <c r="I5539" s="59"/>
      <c r="J5539" s="37">
        <v>0</v>
      </c>
    </row>
    <row r="5540" spans="1:10" ht="38.25" hidden="1" x14ac:dyDescent="0.25">
      <c r="A5540" s="174"/>
      <c r="B5540" s="177"/>
      <c r="C5540" s="43" t="s">
        <v>1312</v>
      </c>
      <c r="D5540" s="43" t="s">
        <v>87</v>
      </c>
      <c r="E5540" s="44">
        <v>2</v>
      </c>
      <c r="F5540" s="41" t="s">
        <v>13</v>
      </c>
      <c r="G5540" s="38" t="str">
        <f>IF(ISNUMBER(F5540),E5540*F5540,"")</f>
        <v/>
      </c>
      <c r="H5540" s="58"/>
      <c r="I5540" s="59"/>
      <c r="J5540" s="37">
        <v>0</v>
      </c>
    </row>
    <row r="5541" spans="1:10" hidden="1" x14ac:dyDescent="0.25">
      <c r="A5541" s="174"/>
      <c r="B5541" s="177"/>
      <c r="C5541" s="43" t="s">
        <v>10762</v>
      </c>
      <c r="D5541" s="43" t="s">
        <v>2800</v>
      </c>
      <c r="E5541" s="44">
        <v>0.14506250000000001</v>
      </c>
      <c r="F5541" s="38">
        <v>24.946999999999999</v>
      </c>
      <c r="G5541" s="38">
        <f>IF(ISNUMBER(F5541),E5541*F5541,"")</f>
        <v>3.6188741875000003</v>
      </c>
      <c r="H5541" s="42"/>
      <c r="I5541" s="38"/>
      <c r="J5541" s="37">
        <v>0</v>
      </c>
    </row>
    <row r="5542" spans="1:10" hidden="1" x14ac:dyDescent="0.25">
      <c r="A5542" s="174"/>
      <c r="B5542" s="177"/>
      <c r="C5542" s="43" t="s">
        <v>10763</v>
      </c>
      <c r="D5542" s="43" t="s">
        <v>2800</v>
      </c>
      <c r="E5542" s="44">
        <v>0.4642</v>
      </c>
      <c r="F5542" s="38">
        <v>31.435500000000001</v>
      </c>
      <c r="G5542" s="38">
        <f>IF(ISNUMBER(F5542),E5542*F5542,"")</f>
        <v>14.592359100000001</v>
      </c>
      <c r="H5542" s="42"/>
      <c r="I5542" s="38"/>
      <c r="J5542" s="37">
        <v>0</v>
      </c>
    </row>
    <row r="5543" spans="1:10" ht="15.75" hidden="1" thickBot="1" x14ac:dyDescent="0.3">
      <c r="A5543" s="175"/>
      <c r="B5543" s="178"/>
      <c r="C5543" s="49"/>
      <c r="D5543" s="49"/>
      <c r="E5543" s="50"/>
      <c r="F5543" s="51" t="s">
        <v>13</v>
      </c>
      <c r="G5543" s="51" t="str">
        <f>IF(ISNUMBER(F5543),E5543*F5543,"")</f>
        <v/>
      </c>
      <c r="H5543" s="53"/>
      <c r="I5543" s="38"/>
      <c r="J5543" s="37">
        <v>0</v>
      </c>
    </row>
    <row r="5544" spans="1:10" ht="15.75" hidden="1" thickBot="1" x14ac:dyDescent="0.3">
      <c r="A5544" s="173" t="s">
        <v>1313</v>
      </c>
      <c r="B5544" s="176" t="s">
        <v>4897</v>
      </c>
      <c r="C5544" s="31"/>
      <c r="D5544" s="32" t="s">
        <v>18</v>
      </c>
      <c r="E5544" s="33"/>
      <c r="F5544" s="54" t="s">
        <v>13</v>
      </c>
      <c r="G5544" s="34" t="str">
        <f>IF(ISNUMBER(F5544),E5544*F5544,"")</f>
        <v/>
      </c>
      <c r="H5544" s="35"/>
      <c r="I5544" s="36"/>
      <c r="J5544" s="37">
        <v>0</v>
      </c>
    </row>
    <row r="5545" spans="1:10" hidden="1" x14ac:dyDescent="0.25">
      <c r="A5545" s="174"/>
      <c r="B5545" s="177"/>
      <c r="C5545" s="39"/>
      <c r="D5545" s="39"/>
      <c r="E5545" s="40"/>
      <c r="F5545" s="55" t="s">
        <v>13</v>
      </c>
      <c r="G5545" s="38" t="str">
        <f>IF(ISNUMBER(F5545),E5545*F5545,"")</f>
        <v/>
      </c>
      <c r="H5545" s="42"/>
      <c r="I5545" s="38"/>
      <c r="J5545" s="37">
        <v>0</v>
      </c>
    </row>
    <row r="5546" spans="1:10" ht="51" hidden="1" x14ac:dyDescent="0.25">
      <c r="A5546" s="174"/>
      <c r="B5546" s="177"/>
      <c r="C5546" s="43" t="s">
        <v>10786</v>
      </c>
      <c r="D5546" s="43" t="s">
        <v>1050</v>
      </c>
      <c r="E5546" s="44">
        <v>0.20160710000000001</v>
      </c>
      <c r="F5546" s="41">
        <v>266.43699999999995</v>
      </c>
      <c r="G5546" s="38">
        <f>IF(ISNUMBER(F5546),E5546*F5546,"")</f>
        <v>53.715590902699994</v>
      </c>
      <c r="H5546" s="46">
        <f>SUM(G5546:G5551)</f>
        <v>290.42069667119995</v>
      </c>
      <c r="I5546" s="47"/>
      <c r="J5546" s="37">
        <v>0</v>
      </c>
    </row>
    <row r="5547" spans="1:10" ht="51" hidden="1" x14ac:dyDescent="0.25">
      <c r="A5547" s="174"/>
      <c r="B5547" s="177"/>
      <c r="C5547" s="43" t="s">
        <v>10787</v>
      </c>
      <c r="D5547" s="43" t="s">
        <v>10677</v>
      </c>
      <c r="E5547" s="44">
        <v>5.1701400000000002E-2</v>
      </c>
      <c r="F5547" s="41">
        <v>70.727500000000006</v>
      </c>
      <c r="G5547" s="38">
        <f>IF(ISNUMBER(F5547),E5547*F5547,"")</f>
        <v>3.6567107685000004</v>
      </c>
      <c r="H5547" s="58"/>
      <c r="I5547" s="59"/>
      <c r="J5547" s="37">
        <v>0</v>
      </c>
    </row>
    <row r="5548" spans="1:10" ht="25.5" hidden="1" x14ac:dyDescent="0.25">
      <c r="A5548" s="174"/>
      <c r="B5548" s="177"/>
      <c r="C5548" s="43" t="s">
        <v>10946</v>
      </c>
      <c r="D5548" s="43" t="s">
        <v>83</v>
      </c>
      <c r="E5548" s="44">
        <v>1.4E-2</v>
      </c>
      <c r="F5548" s="41">
        <v>4.3605</v>
      </c>
      <c r="G5548" s="38">
        <f>IF(ISNUMBER(F5548),E5548*F5548,"")</f>
        <v>6.1047000000000004E-2</v>
      </c>
      <c r="H5548" s="58"/>
      <c r="I5548" s="59"/>
      <c r="J5548" s="37">
        <v>0</v>
      </c>
    </row>
    <row r="5549" spans="1:10" ht="25.5" hidden="1" x14ac:dyDescent="0.25">
      <c r="A5549" s="174"/>
      <c r="B5549" s="177"/>
      <c r="C5549" s="43" t="s">
        <v>11211</v>
      </c>
      <c r="D5549" s="43" t="s">
        <v>83</v>
      </c>
      <c r="E5549" s="44">
        <v>1</v>
      </c>
      <c r="F5549" s="41">
        <v>221.35</v>
      </c>
      <c r="G5549" s="38">
        <f>IF(ISNUMBER(F5549),E5549*F5549,"")</f>
        <v>221.35</v>
      </c>
      <c r="H5549" s="58"/>
      <c r="I5549" s="59"/>
      <c r="J5549" s="37">
        <v>0</v>
      </c>
    </row>
    <row r="5550" spans="1:10" hidden="1" x14ac:dyDescent="0.25">
      <c r="A5550" s="174"/>
      <c r="B5550" s="177"/>
      <c r="C5550" s="43" t="s">
        <v>10762</v>
      </c>
      <c r="D5550" s="43" t="s">
        <v>2800</v>
      </c>
      <c r="E5550" s="44">
        <v>0.2064</v>
      </c>
      <c r="F5550" s="38">
        <v>24.946999999999999</v>
      </c>
      <c r="G5550" s="38">
        <f>IF(ISNUMBER(F5550),E5550*F5550,"")</f>
        <v>5.1490608</v>
      </c>
      <c r="H5550" s="42"/>
      <c r="I5550" s="38"/>
      <c r="J5550" s="37">
        <v>0</v>
      </c>
    </row>
    <row r="5551" spans="1:10" hidden="1" x14ac:dyDescent="0.25">
      <c r="A5551" s="174"/>
      <c r="B5551" s="177"/>
      <c r="C5551" s="43" t="s">
        <v>10763</v>
      </c>
      <c r="D5551" s="43" t="s">
        <v>2800</v>
      </c>
      <c r="E5551" s="44">
        <v>0.2064</v>
      </c>
      <c r="F5551" s="38">
        <v>31.435500000000001</v>
      </c>
      <c r="G5551" s="38">
        <f>IF(ISNUMBER(F5551),E5551*F5551,"")</f>
        <v>6.4882872000000003</v>
      </c>
      <c r="H5551" s="42"/>
      <c r="I5551" s="38"/>
      <c r="J5551" s="37">
        <v>0</v>
      </c>
    </row>
    <row r="5552" spans="1:10" ht="15.75" hidden="1" thickBot="1" x14ac:dyDescent="0.3">
      <c r="A5552" s="175"/>
      <c r="B5552" s="178"/>
      <c r="C5552" s="49"/>
      <c r="D5552" s="49"/>
      <c r="E5552" s="50"/>
      <c r="F5552" s="51" t="s">
        <v>13</v>
      </c>
      <c r="G5552" s="51" t="str">
        <f>IF(ISNUMBER(F5552),E5552*F5552,"")</f>
        <v/>
      </c>
      <c r="H5552" s="53"/>
      <c r="I5552" s="38"/>
      <c r="J5552" s="37">
        <v>0</v>
      </c>
    </row>
    <row r="5553" spans="1:10" ht="15.75" hidden="1" thickBot="1" x14ac:dyDescent="0.3">
      <c r="A5553" s="173" t="s">
        <v>1314</v>
      </c>
      <c r="B5553" s="176" t="s">
        <v>4898</v>
      </c>
      <c r="C5553" s="31"/>
      <c r="D5553" s="32" t="s">
        <v>18</v>
      </c>
      <c r="E5553" s="33"/>
      <c r="F5553" s="54" t="s">
        <v>13</v>
      </c>
      <c r="G5553" s="34" t="str">
        <f>IF(ISNUMBER(F5553),E5553*F5553,"")</f>
        <v/>
      </c>
      <c r="H5553" s="35"/>
      <c r="I5553" s="36"/>
      <c r="J5553" s="37">
        <v>0</v>
      </c>
    </row>
    <row r="5554" spans="1:10" hidden="1" x14ac:dyDescent="0.25">
      <c r="A5554" s="174"/>
      <c r="B5554" s="177"/>
      <c r="C5554" s="39"/>
      <c r="D5554" s="39"/>
      <c r="E5554" s="40"/>
      <c r="F5554" s="55" t="s">
        <v>13</v>
      </c>
      <c r="G5554" s="38" t="str">
        <f>IF(ISNUMBER(F5554),E5554*F5554,"")</f>
        <v/>
      </c>
      <c r="H5554" s="42"/>
      <c r="I5554" s="38"/>
      <c r="J5554" s="37">
        <v>0</v>
      </c>
    </row>
    <row r="5555" spans="1:10" ht="51" hidden="1" x14ac:dyDescent="0.25">
      <c r="A5555" s="174"/>
      <c r="B5555" s="177"/>
      <c r="C5555" s="43" t="s">
        <v>10786</v>
      </c>
      <c r="D5555" s="43" t="s">
        <v>1050</v>
      </c>
      <c r="E5555" s="44">
        <v>0.20160710000000001</v>
      </c>
      <c r="F5555" s="41">
        <v>266.43699999999995</v>
      </c>
      <c r="G5555" s="38">
        <f>IF(ISNUMBER(F5555),E5555*F5555,"")</f>
        <v>53.715590902699994</v>
      </c>
      <c r="H5555" s="46">
        <f>SUM(G5555:G5560)</f>
        <v>364.53019667119997</v>
      </c>
      <c r="I5555" s="47"/>
      <c r="J5555" s="37">
        <v>0</v>
      </c>
    </row>
    <row r="5556" spans="1:10" ht="51" hidden="1" x14ac:dyDescent="0.25">
      <c r="A5556" s="174"/>
      <c r="B5556" s="177"/>
      <c r="C5556" s="43" t="s">
        <v>10787</v>
      </c>
      <c r="D5556" s="43" t="s">
        <v>10677</v>
      </c>
      <c r="E5556" s="44">
        <v>5.1701400000000002E-2</v>
      </c>
      <c r="F5556" s="41">
        <v>70.727500000000006</v>
      </c>
      <c r="G5556" s="38">
        <f>IF(ISNUMBER(F5556),E5556*F5556,"")</f>
        <v>3.6567107685000004</v>
      </c>
      <c r="H5556" s="58"/>
      <c r="I5556" s="59"/>
      <c r="J5556" s="37">
        <v>0</v>
      </c>
    </row>
    <row r="5557" spans="1:10" ht="25.5" hidden="1" x14ac:dyDescent="0.25">
      <c r="A5557" s="174"/>
      <c r="B5557" s="177"/>
      <c r="C5557" s="43" t="s">
        <v>10946</v>
      </c>
      <c r="D5557" s="43" t="s">
        <v>83</v>
      </c>
      <c r="E5557" s="44">
        <v>1.4E-2</v>
      </c>
      <c r="F5557" s="41">
        <v>4.3605</v>
      </c>
      <c r="G5557" s="38">
        <f>IF(ISNUMBER(F5557),E5557*F5557,"")</f>
        <v>6.1047000000000004E-2</v>
      </c>
      <c r="H5557" s="58"/>
      <c r="I5557" s="59"/>
      <c r="J5557" s="37">
        <v>0</v>
      </c>
    </row>
    <row r="5558" spans="1:10" ht="25.5" hidden="1" x14ac:dyDescent="0.25">
      <c r="A5558" s="174"/>
      <c r="B5558" s="177"/>
      <c r="C5558" s="43" t="s">
        <v>11212</v>
      </c>
      <c r="D5558" s="43" t="s">
        <v>83</v>
      </c>
      <c r="E5558" s="44">
        <v>1</v>
      </c>
      <c r="F5558" s="41">
        <v>295.45949999999999</v>
      </c>
      <c r="G5558" s="38">
        <f>IF(ISNUMBER(F5558),E5558*F5558,"")</f>
        <v>295.45949999999999</v>
      </c>
      <c r="H5558" s="58"/>
      <c r="I5558" s="59"/>
      <c r="J5558" s="37">
        <v>0</v>
      </c>
    </row>
    <row r="5559" spans="1:10" hidden="1" x14ac:dyDescent="0.25">
      <c r="A5559" s="174"/>
      <c r="B5559" s="177"/>
      <c r="C5559" s="43" t="s">
        <v>10762</v>
      </c>
      <c r="D5559" s="43" t="s">
        <v>2800</v>
      </c>
      <c r="E5559" s="44">
        <v>0.2064</v>
      </c>
      <c r="F5559" s="38">
        <v>24.946999999999999</v>
      </c>
      <c r="G5559" s="38">
        <f>IF(ISNUMBER(F5559),E5559*F5559,"")</f>
        <v>5.1490608</v>
      </c>
      <c r="H5559" s="42"/>
      <c r="I5559" s="38"/>
      <c r="J5559" s="37">
        <v>0</v>
      </c>
    </row>
    <row r="5560" spans="1:10" hidden="1" x14ac:dyDescent="0.25">
      <c r="A5560" s="174"/>
      <c r="B5560" s="177"/>
      <c r="C5560" s="43" t="s">
        <v>10763</v>
      </c>
      <c r="D5560" s="43" t="s">
        <v>2800</v>
      </c>
      <c r="E5560" s="44">
        <v>0.2064</v>
      </c>
      <c r="F5560" s="38">
        <v>31.435500000000001</v>
      </c>
      <c r="G5560" s="38">
        <f>IF(ISNUMBER(F5560),E5560*F5560,"")</f>
        <v>6.4882872000000003</v>
      </c>
      <c r="H5560" s="42"/>
      <c r="I5560" s="38"/>
      <c r="J5560" s="37">
        <v>0</v>
      </c>
    </row>
    <row r="5561" spans="1:10" ht="15.75" hidden="1" thickBot="1" x14ac:dyDescent="0.3">
      <c r="A5561" s="175"/>
      <c r="B5561" s="178"/>
      <c r="C5561" s="49"/>
      <c r="D5561" s="49"/>
      <c r="E5561" s="50"/>
      <c r="F5561" s="51" t="s">
        <v>13</v>
      </c>
      <c r="G5561" s="51" t="str">
        <f>IF(ISNUMBER(F5561),E5561*F5561,"")</f>
        <v/>
      </c>
      <c r="H5561" s="53"/>
      <c r="I5561" s="38"/>
      <c r="J5561" s="37">
        <v>0</v>
      </c>
    </row>
    <row r="5562" spans="1:10" ht="15.75" hidden="1" thickBot="1" x14ac:dyDescent="0.3">
      <c r="A5562" s="173" t="s">
        <v>1315</v>
      </c>
      <c r="B5562" s="176" t="s">
        <v>4909</v>
      </c>
      <c r="C5562" s="31"/>
      <c r="D5562" s="32" t="s">
        <v>18</v>
      </c>
      <c r="E5562" s="33"/>
      <c r="F5562" s="54" t="s">
        <v>13</v>
      </c>
      <c r="G5562" s="34" t="str">
        <f>IF(ISNUMBER(F5562),E5562*F5562,"")</f>
        <v/>
      </c>
      <c r="H5562" s="35"/>
      <c r="I5562" s="36"/>
      <c r="J5562" s="37">
        <v>0</v>
      </c>
    </row>
    <row r="5563" spans="1:10" hidden="1" x14ac:dyDescent="0.25">
      <c r="A5563" s="174"/>
      <c r="B5563" s="177"/>
      <c r="C5563" s="39"/>
      <c r="D5563" s="39"/>
      <c r="E5563" s="40"/>
      <c r="F5563" s="55" t="s">
        <v>13</v>
      </c>
      <c r="G5563" s="38" t="str">
        <f>IF(ISNUMBER(F5563),E5563*F5563,"")</f>
        <v/>
      </c>
      <c r="H5563" s="42"/>
      <c r="I5563" s="38"/>
      <c r="J5563" s="37">
        <v>0</v>
      </c>
    </row>
    <row r="5564" spans="1:10" ht="25.5" hidden="1" x14ac:dyDescent="0.25">
      <c r="A5564" s="174"/>
      <c r="B5564" s="177"/>
      <c r="C5564" s="43" t="s">
        <v>11213</v>
      </c>
      <c r="D5564" s="43" t="s">
        <v>83</v>
      </c>
      <c r="E5564" s="44">
        <v>1</v>
      </c>
      <c r="F5564" s="41">
        <v>1512.5709999999999</v>
      </c>
      <c r="G5564" s="38">
        <f>IF(ISNUMBER(F5564),E5564*F5564,"")</f>
        <v>1512.5709999999999</v>
      </c>
      <c r="H5564" s="46">
        <f>SUM(G5564:G5568)</f>
        <v>1680.9407479907748</v>
      </c>
      <c r="I5564" s="47"/>
      <c r="J5564" s="37">
        <v>0</v>
      </c>
    </row>
    <row r="5565" spans="1:10" ht="51" hidden="1" x14ac:dyDescent="0.25">
      <c r="A5565" s="174"/>
      <c r="B5565" s="177"/>
      <c r="C5565" s="43" t="s">
        <v>10786</v>
      </c>
      <c r="D5565" s="43" t="s">
        <v>1050</v>
      </c>
      <c r="E5565" s="44">
        <v>0.18010000000000001</v>
      </c>
      <c r="F5565" s="41">
        <v>266.43699999999995</v>
      </c>
      <c r="G5565" s="38">
        <f>IF(ISNUMBER(F5565),E5565*F5565,"")</f>
        <v>47.985303699999996</v>
      </c>
      <c r="H5565" s="58"/>
      <c r="I5565" s="59"/>
      <c r="J5565" s="37">
        <v>0</v>
      </c>
    </row>
    <row r="5566" spans="1:10" ht="51" hidden="1" x14ac:dyDescent="0.25">
      <c r="A5566" s="174"/>
      <c r="B5566" s="177"/>
      <c r="C5566" s="43" t="s">
        <v>10787</v>
      </c>
      <c r="D5566" s="43" t="s">
        <v>10677</v>
      </c>
      <c r="E5566" s="44">
        <v>0.98652010000000001</v>
      </c>
      <c r="F5566" s="41">
        <v>70.727500000000006</v>
      </c>
      <c r="G5566" s="38">
        <f>IF(ISNUMBER(F5566),E5566*F5566,"")</f>
        <v>69.774100372750013</v>
      </c>
      <c r="H5566" s="58"/>
      <c r="I5566" s="59"/>
      <c r="J5566" s="37">
        <v>0</v>
      </c>
    </row>
    <row r="5567" spans="1:10" hidden="1" x14ac:dyDescent="0.25">
      <c r="A5567" s="174"/>
      <c r="B5567" s="177"/>
      <c r="C5567" s="43" t="s">
        <v>10762</v>
      </c>
      <c r="D5567" s="43" t="s">
        <v>2800</v>
      </c>
      <c r="E5567" s="44">
        <f>0.6082727/2</f>
        <v>0.30413635</v>
      </c>
      <c r="F5567" s="41">
        <v>24.946999999999999</v>
      </c>
      <c r="G5567" s="38">
        <f>IF(ISNUMBER(F5567),E5567*F5567,"")</f>
        <v>7.58728952345</v>
      </c>
      <c r="H5567" s="58"/>
      <c r="I5567" s="59"/>
      <c r="J5567" s="37">
        <v>0</v>
      </c>
    </row>
    <row r="5568" spans="1:10" hidden="1" x14ac:dyDescent="0.25">
      <c r="A5568" s="174"/>
      <c r="B5568" s="177"/>
      <c r="C5568" s="43" t="s">
        <v>10763</v>
      </c>
      <c r="D5568" s="43" t="s">
        <v>2800</v>
      </c>
      <c r="E5568" s="44">
        <f>2.7372273/2</f>
        <v>1.3686136499999999</v>
      </c>
      <c r="F5568" s="38">
        <v>31.435500000000001</v>
      </c>
      <c r="G5568" s="38">
        <f>IF(ISNUMBER(F5568),E5568*F5568,"")</f>
        <v>43.023054394574999</v>
      </c>
      <c r="H5568" s="42"/>
      <c r="I5568" s="38"/>
      <c r="J5568" s="37">
        <v>0</v>
      </c>
    </row>
    <row r="5569" spans="1:10" ht="15.75" hidden="1" thickBot="1" x14ac:dyDescent="0.3">
      <c r="A5569" s="175"/>
      <c r="B5569" s="178"/>
      <c r="C5569" s="49"/>
      <c r="D5569" s="49"/>
      <c r="E5569" s="50"/>
      <c r="F5569" s="51" t="s">
        <v>13</v>
      </c>
      <c r="G5569" s="51" t="str">
        <f>IF(ISNUMBER(F5569),E5569*F5569,"")</f>
        <v/>
      </c>
      <c r="H5569" s="53"/>
      <c r="I5569" s="38"/>
      <c r="J5569" s="37">
        <v>0</v>
      </c>
    </row>
    <row r="5570" spans="1:10" ht="15.75" hidden="1" thickBot="1" x14ac:dyDescent="0.3">
      <c r="A5570" s="173" t="s">
        <v>1316</v>
      </c>
      <c r="B5570" s="176" t="s">
        <v>4910</v>
      </c>
      <c r="C5570" s="31"/>
      <c r="D5570" s="32" t="s">
        <v>18</v>
      </c>
      <c r="E5570" s="33"/>
      <c r="F5570" s="54" t="s">
        <v>13</v>
      </c>
      <c r="G5570" s="34" t="str">
        <f>IF(ISNUMBER(F5570),E5570*F5570,"")</f>
        <v/>
      </c>
      <c r="H5570" s="35"/>
      <c r="I5570" s="36"/>
      <c r="J5570" s="37">
        <v>0</v>
      </c>
    </row>
    <row r="5571" spans="1:10" hidden="1" x14ac:dyDescent="0.25">
      <c r="A5571" s="174"/>
      <c r="B5571" s="177"/>
      <c r="C5571" s="39"/>
      <c r="D5571" s="39"/>
      <c r="E5571" s="40"/>
      <c r="F5571" s="55" t="s">
        <v>13</v>
      </c>
      <c r="G5571" s="38" t="str">
        <f>IF(ISNUMBER(F5571),E5571*F5571,"")</f>
        <v/>
      </c>
      <c r="H5571" s="42"/>
      <c r="I5571" s="38"/>
      <c r="J5571" s="37">
        <v>0</v>
      </c>
    </row>
    <row r="5572" spans="1:10" hidden="1" x14ac:dyDescent="0.25">
      <c r="A5572" s="174"/>
      <c r="B5572" s="177"/>
      <c r="C5572" s="43" t="s">
        <v>10861</v>
      </c>
      <c r="D5572" s="43" t="s">
        <v>83</v>
      </c>
      <c r="E5572" s="44">
        <f>38.691*5/3</f>
        <v>64.484999999999999</v>
      </c>
      <c r="F5572" s="38">
        <v>0.71249999999999991</v>
      </c>
      <c r="G5572" s="41">
        <f>IF(ISNUMBER(F5572),E5572*F5572,"")</f>
        <v>45.945562499999994</v>
      </c>
      <c r="H5572" s="46">
        <f>SUM(G5572:G5578)</f>
        <v>309.35162079310857</v>
      </c>
      <c r="I5572" s="47"/>
      <c r="J5572" s="37">
        <v>0</v>
      </c>
    </row>
    <row r="5573" spans="1:10" ht="38.25" hidden="1" x14ac:dyDescent="0.25">
      <c r="A5573" s="174"/>
      <c r="B5573" s="177"/>
      <c r="C5573" s="43" t="s">
        <v>10705</v>
      </c>
      <c r="D5573" s="43" t="s">
        <v>2880</v>
      </c>
      <c r="E5573" s="44">
        <f>0.0039*5/3</f>
        <v>6.4999999999999997E-3</v>
      </c>
      <c r="F5573" s="38">
        <v>619.28009052499988</v>
      </c>
      <c r="G5573" s="41">
        <f>IF(ISNUMBER(F5573),E5573*F5573,"")</f>
        <v>4.025320588412499</v>
      </c>
      <c r="H5573" s="42"/>
      <c r="I5573" s="38"/>
      <c r="J5573" s="37">
        <v>0</v>
      </c>
    </row>
    <row r="5574" spans="1:10" hidden="1" x14ac:dyDescent="0.25">
      <c r="A5574" s="174"/>
      <c r="B5574" s="177"/>
      <c r="C5574" s="43" t="s">
        <v>10757</v>
      </c>
      <c r="D5574" s="43" t="s">
        <v>2800</v>
      </c>
      <c r="E5574" s="44">
        <f>1.2686*5/3</f>
        <v>2.1143333333333332</v>
      </c>
      <c r="F5574" s="41">
        <v>31.055499999999995</v>
      </c>
      <c r="G5574" s="38">
        <f>IF(ISNUMBER(F5574),E5574*F5574,"")</f>
        <v>65.661678833333312</v>
      </c>
      <c r="H5574" s="42"/>
      <c r="I5574" s="38"/>
      <c r="J5574" s="37">
        <v>0</v>
      </c>
    </row>
    <row r="5575" spans="1:10" hidden="1" x14ac:dyDescent="0.25">
      <c r="A5575" s="174"/>
      <c r="B5575" s="177"/>
      <c r="C5575" s="43" t="s">
        <v>10614</v>
      </c>
      <c r="D5575" s="43" t="s">
        <v>2800</v>
      </c>
      <c r="E5575" s="44">
        <f>0.9967*5/3</f>
        <v>1.6611666666666667</v>
      </c>
      <c r="F5575" s="38">
        <v>23.693000000000001</v>
      </c>
      <c r="G5575" s="41">
        <f>IF(ISNUMBER(F5575),E5575*F5575,"")</f>
        <v>39.358021833333339</v>
      </c>
      <c r="H5575" s="42"/>
      <c r="I5575" s="47"/>
      <c r="J5575" s="37">
        <v>0</v>
      </c>
    </row>
    <row r="5576" spans="1:10" ht="25.5" hidden="1" x14ac:dyDescent="0.25">
      <c r="A5576" s="174"/>
      <c r="B5576" s="177"/>
      <c r="C5576" s="43" t="s">
        <v>10716</v>
      </c>
      <c r="D5576" s="43" t="s">
        <v>2880</v>
      </c>
      <c r="E5576" s="44">
        <f>0.0175*5/3</f>
        <v>2.9166666666666671E-2</v>
      </c>
      <c r="F5576" s="38">
        <v>3297.7565904370099</v>
      </c>
      <c r="G5576" s="41">
        <f>IF(ISNUMBER(F5576),E5576*F5576,"")</f>
        <v>96.184567221079462</v>
      </c>
      <c r="H5576" s="42"/>
      <c r="I5576" s="38"/>
      <c r="J5576" s="37">
        <v>0</v>
      </c>
    </row>
    <row r="5577" spans="1:10" ht="38.25" hidden="1" x14ac:dyDescent="0.25">
      <c r="A5577" s="174"/>
      <c r="B5577" s="177"/>
      <c r="C5577" s="43" t="s">
        <v>10733</v>
      </c>
      <c r="D5577" s="43" t="s">
        <v>2880</v>
      </c>
      <c r="E5577" s="44">
        <f>0.0278*5/3</f>
        <v>4.6333333333333331E-2</v>
      </c>
      <c r="F5577" s="41">
        <v>873.79997084999991</v>
      </c>
      <c r="G5577" s="38">
        <f>IF(ISNUMBER(F5577),E5577*F5577,"")</f>
        <v>40.486065316049995</v>
      </c>
      <c r="H5577" s="42"/>
      <c r="I5577" s="38"/>
      <c r="J5577" s="37">
        <v>0</v>
      </c>
    </row>
    <row r="5578" spans="1:10" ht="25.5" hidden="1" x14ac:dyDescent="0.25">
      <c r="A5578" s="174"/>
      <c r="B5578" s="177"/>
      <c r="C5578" s="43" t="s">
        <v>10717</v>
      </c>
      <c r="D5578" s="43" t="s">
        <v>2880</v>
      </c>
      <c r="E5578" s="44">
        <f>0.036</f>
        <v>3.5999999999999997E-2</v>
      </c>
      <c r="F5578" s="38">
        <v>491.40012502499991</v>
      </c>
      <c r="G5578" s="41">
        <f>IF(ISNUMBER(F5578),E5578*F5578,"")</f>
        <v>17.690404500899994</v>
      </c>
      <c r="H5578" s="42"/>
      <c r="I5578" s="47"/>
      <c r="J5578" s="37">
        <v>0</v>
      </c>
    </row>
    <row r="5579" spans="1:10" ht="15.75" hidden="1" thickBot="1" x14ac:dyDescent="0.3">
      <c r="A5579" s="175"/>
      <c r="B5579" s="178"/>
      <c r="C5579" s="49"/>
      <c r="D5579" s="49"/>
      <c r="E5579" s="50"/>
      <c r="F5579" s="51" t="s">
        <v>13</v>
      </c>
      <c r="G5579" s="51" t="str">
        <f>IF(ISNUMBER(F5579),E5579*F5579,"")</f>
        <v/>
      </c>
      <c r="H5579" s="53"/>
      <c r="I5579" s="38"/>
      <c r="J5579" s="37">
        <v>0</v>
      </c>
    </row>
    <row r="5580" spans="1:10" ht="15.75" hidden="1" thickBot="1" x14ac:dyDescent="0.3">
      <c r="A5580" s="173" t="s">
        <v>1317</v>
      </c>
      <c r="B5580" s="176" t="s">
        <v>4915</v>
      </c>
      <c r="C5580" s="31"/>
      <c r="D5580" s="32" t="s">
        <v>18</v>
      </c>
      <c r="E5580" s="33"/>
      <c r="F5580" s="54" t="s">
        <v>13</v>
      </c>
      <c r="G5580" s="34" t="str">
        <f>IF(ISNUMBER(F5580),E5580*F5580,"")</f>
        <v/>
      </c>
      <c r="H5580" s="35"/>
      <c r="I5580" s="36"/>
      <c r="J5580" s="37">
        <v>0</v>
      </c>
    </row>
    <row r="5581" spans="1:10" hidden="1" x14ac:dyDescent="0.25">
      <c r="A5581" s="174"/>
      <c r="B5581" s="177"/>
      <c r="C5581" s="39"/>
      <c r="D5581" s="39"/>
      <c r="E5581" s="40"/>
      <c r="F5581" s="55" t="s">
        <v>13</v>
      </c>
      <c r="G5581" s="38" t="str">
        <f>IF(ISNUMBER(F5581),E5581*F5581,"")</f>
        <v/>
      </c>
      <c r="H5581" s="42"/>
      <c r="I5581" s="38"/>
      <c r="J5581" s="37">
        <v>0</v>
      </c>
    </row>
    <row r="5582" spans="1:10" ht="63.75" hidden="1" x14ac:dyDescent="0.25">
      <c r="A5582" s="174"/>
      <c r="B5582" s="177"/>
      <c r="C5582" s="43" t="s">
        <v>10781</v>
      </c>
      <c r="D5582" s="43" t="s">
        <v>1050</v>
      </c>
      <c r="E5582" s="44">
        <f>ROUND(0.0087*8/6,4)</f>
        <v>1.1599999999999999E-2</v>
      </c>
      <c r="F5582" s="38">
        <v>140.87549999999999</v>
      </c>
      <c r="G5582" s="41">
        <f>IF(ISNUMBER(F5582),E5582*F5582,"")</f>
        <v>1.6341557999999998</v>
      </c>
      <c r="H5582" s="46">
        <f>SUM(G5582:G5590)</f>
        <v>693.52200076788699</v>
      </c>
      <c r="I5582" s="47"/>
      <c r="J5582" s="37">
        <v>0</v>
      </c>
    </row>
    <row r="5583" spans="1:10" ht="63.75" hidden="1" x14ac:dyDescent="0.25">
      <c r="A5583" s="174"/>
      <c r="B5583" s="177"/>
      <c r="C5583" s="43" t="s">
        <v>10782</v>
      </c>
      <c r="D5583" s="43" t="s">
        <v>10677</v>
      </c>
      <c r="E5583" s="44">
        <f>ROUND(0.0178*8/6,4)</f>
        <v>2.3699999999999999E-2</v>
      </c>
      <c r="F5583" s="38">
        <v>61.037499999999994</v>
      </c>
      <c r="G5583" s="41">
        <f>IF(ISNUMBER(F5583),E5583*F5583,"")</f>
        <v>1.4465887499999999</v>
      </c>
      <c r="H5583" s="42"/>
      <c r="I5583" s="38"/>
      <c r="J5583" s="37">
        <v>0</v>
      </c>
    </row>
    <row r="5584" spans="1:10" hidden="1" x14ac:dyDescent="0.25">
      <c r="A5584" s="174"/>
      <c r="B5584" s="177"/>
      <c r="C5584" s="43" t="s">
        <v>10861</v>
      </c>
      <c r="D5584" s="43" t="s">
        <v>83</v>
      </c>
      <c r="E5584" s="44">
        <f>ROUND(134.764*8/6,4)</f>
        <v>179.68530000000001</v>
      </c>
      <c r="F5584" s="41">
        <v>0.71249999999999991</v>
      </c>
      <c r="G5584" s="38">
        <f>IF(ISNUMBER(F5584),E5584*F5584,"")</f>
        <v>128.02577625000001</v>
      </c>
      <c r="H5584" s="42"/>
      <c r="I5584" s="38"/>
      <c r="J5584" s="37">
        <v>0</v>
      </c>
    </row>
    <row r="5585" spans="1:10" ht="38.25" hidden="1" x14ac:dyDescent="0.25">
      <c r="A5585" s="174"/>
      <c r="B5585" s="177"/>
      <c r="C5585" s="43" t="s">
        <v>10705</v>
      </c>
      <c r="D5585" s="43" t="s">
        <v>2880</v>
      </c>
      <c r="E5585" s="44">
        <f>ROUND(0.0136*8/6,4)</f>
        <v>1.8100000000000002E-2</v>
      </c>
      <c r="F5585" s="38">
        <v>619.28009052499988</v>
      </c>
      <c r="G5585" s="41">
        <f>IF(ISNUMBER(F5585),E5585*F5585,"")</f>
        <v>11.208969638502499</v>
      </c>
      <c r="H5585" s="42"/>
      <c r="I5585" s="47"/>
      <c r="J5585" s="37">
        <v>0</v>
      </c>
    </row>
    <row r="5586" spans="1:10" hidden="1" x14ac:dyDescent="0.25">
      <c r="A5586" s="174"/>
      <c r="B5586" s="177"/>
      <c r="C5586" s="43" t="s">
        <v>10757</v>
      </c>
      <c r="D5586" s="43" t="s">
        <v>2800</v>
      </c>
      <c r="E5586" s="44">
        <f>ROUND(4.5403*8/6,4)</f>
        <v>6.0537000000000001</v>
      </c>
      <c r="F5586" s="38">
        <v>31.055499999999995</v>
      </c>
      <c r="G5586" s="41">
        <f>IF(ISNUMBER(F5586),E5586*F5586,"")</f>
        <v>188.00068034999998</v>
      </c>
      <c r="H5586" s="42"/>
      <c r="I5586" s="38"/>
      <c r="J5586" s="37">
        <v>0</v>
      </c>
    </row>
    <row r="5587" spans="1:10" hidden="1" x14ac:dyDescent="0.25">
      <c r="A5587" s="174"/>
      <c r="B5587" s="177"/>
      <c r="C5587" s="43" t="s">
        <v>10614</v>
      </c>
      <c r="D5587" s="43" t="s">
        <v>2800</v>
      </c>
      <c r="E5587" s="44">
        <f>ROUND(3.5674*8/6,4)</f>
        <v>4.7565</v>
      </c>
      <c r="F5587" s="41">
        <v>23.693000000000001</v>
      </c>
      <c r="G5587" s="38">
        <f>IF(ISNUMBER(F5587),E5587*F5587,"")</f>
        <v>112.69575450000001</v>
      </c>
      <c r="H5587" s="42"/>
      <c r="I5587" s="38"/>
      <c r="J5587" s="37">
        <v>0</v>
      </c>
    </row>
    <row r="5588" spans="1:10" ht="25.5" hidden="1" x14ac:dyDescent="0.25">
      <c r="A5588" s="174"/>
      <c r="B5588" s="177"/>
      <c r="C5588" s="43" t="s">
        <v>10713</v>
      </c>
      <c r="D5588" s="43" t="s">
        <v>2880</v>
      </c>
      <c r="E5588" s="44">
        <f>ROUND(0.1012*8/6,4)</f>
        <v>0.13489999999999999</v>
      </c>
      <c r="F5588" s="38">
        <v>688.25221496250003</v>
      </c>
      <c r="G5588" s="41">
        <f>IF(ISNUMBER(F5588),E5588*F5588,"")</f>
        <v>92.845223798441253</v>
      </c>
      <c r="H5588" s="42"/>
      <c r="I5588" s="47"/>
      <c r="J5588" s="37">
        <v>0</v>
      </c>
    </row>
    <row r="5589" spans="1:10" ht="25.5" hidden="1" x14ac:dyDescent="0.25">
      <c r="A5589" s="174"/>
      <c r="B5589" s="177"/>
      <c r="C5589" s="43" t="s">
        <v>10714</v>
      </c>
      <c r="D5589" s="43" t="s">
        <v>2880</v>
      </c>
      <c r="E5589" s="44">
        <v>4.48E-2</v>
      </c>
      <c r="F5589" s="38">
        <v>2716.9668922225051</v>
      </c>
      <c r="G5589" s="41">
        <f>IF(ISNUMBER(F5589),E5589*F5589,"")</f>
        <v>121.72011677156823</v>
      </c>
      <c r="H5589" s="42"/>
      <c r="I5589" s="38"/>
      <c r="J5589" s="37">
        <v>0</v>
      </c>
    </row>
    <row r="5590" spans="1:10" ht="25.5" hidden="1" x14ac:dyDescent="0.25">
      <c r="A5590" s="174"/>
      <c r="B5590" s="177"/>
      <c r="C5590" s="43" t="s">
        <v>10715</v>
      </c>
      <c r="D5590" s="43" t="s">
        <v>2880</v>
      </c>
      <c r="E5590" s="44">
        <v>8.1000000000000003E-2</v>
      </c>
      <c r="F5590" s="41">
        <v>443.76215937500001</v>
      </c>
      <c r="G5590" s="38">
        <f>IF(ISNUMBER(F5590),E5590*F5590,"")</f>
        <v>35.944734909375001</v>
      </c>
      <c r="H5590" s="42"/>
      <c r="I5590" s="38"/>
      <c r="J5590" s="37">
        <v>0</v>
      </c>
    </row>
    <row r="5591" spans="1:10" ht="15.75" hidden="1" thickBot="1" x14ac:dyDescent="0.3">
      <c r="A5591" s="175"/>
      <c r="B5591" s="178"/>
      <c r="C5591" s="49"/>
      <c r="D5591" s="49"/>
      <c r="E5591" s="50"/>
      <c r="F5591" s="51" t="s">
        <v>13</v>
      </c>
      <c r="G5591" s="51" t="str">
        <f>IF(ISNUMBER(F5591),E5591*F5591,"")</f>
        <v/>
      </c>
      <c r="H5591" s="53"/>
      <c r="I5591" s="38"/>
      <c r="J5591" s="37">
        <v>0</v>
      </c>
    </row>
    <row r="5592" spans="1:10" ht="15.75" hidden="1" thickBot="1" x14ac:dyDescent="0.3">
      <c r="A5592" s="173" t="s">
        <v>1318</v>
      </c>
      <c r="B5592" s="176" t="s">
        <v>4918</v>
      </c>
      <c r="C5592" s="31"/>
      <c r="D5592" s="32" t="s">
        <v>18</v>
      </c>
      <c r="E5592" s="33"/>
      <c r="F5592" s="54" t="s">
        <v>13</v>
      </c>
      <c r="G5592" s="34" t="str">
        <f>IF(ISNUMBER(F5592),E5592*F5592,"")</f>
        <v/>
      </c>
      <c r="H5592" s="35"/>
      <c r="I5592" s="36"/>
      <c r="J5592" s="37">
        <v>0</v>
      </c>
    </row>
    <row r="5593" spans="1:10" hidden="1" x14ac:dyDescent="0.25">
      <c r="A5593" s="174"/>
      <c r="B5593" s="177"/>
      <c r="C5593" s="39"/>
      <c r="D5593" s="39"/>
      <c r="E5593" s="40"/>
      <c r="F5593" s="55" t="s">
        <v>13</v>
      </c>
      <c r="G5593" s="38" t="str">
        <f>IF(ISNUMBER(F5593),E5593*F5593,"")</f>
        <v/>
      </c>
      <c r="H5593" s="42"/>
      <c r="I5593" s="38"/>
      <c r="J5593" s="37">
        <v>0</v>
      </c>
    </row>
    <row r="5594" spans="1:10" hidden="1" x14ac:dyDescent="0.25">
      <c r="A5594" s="174"/>
      <c r="B5594" s="177"/>
      <c r="C5594" s="43" t="s">
        <v>1319</v>
      </c>
      <c r="D5594" s="43" t="s">
        <v>83</v>
      </c>
      <c r="E5594" s="44">
        <v>1</v>
      </c>
      <c r="F5594" s="41" t="s">
        <v>13</v>
      </c>
      <c r="G5594" s="38" t="str">
        <f>IF(ISNUMBER(F5594),E5594*F5594,"")</f>
        <v/>
      </c>
      <c r="H5594" s="46">
        <f>SUM(G5594:G5596)</f>
        <v>112.765</v>
      </c>
      <c r="I5594" s="47"/>
      <c r="J5594" s="37">
        <v>0</v>
      </c>
    </row>
    <row r="5595" spans="1:10" hidden="1" x14ac:dyDescent="0.25">
      <c r="A5595" s="174"/>
      <c r="B5595" s="177"/>
      <c r="C5595" s="43" t="s">
        <v>10762</v>
      </c>
      <c r="D5595" s="43" t="s">
        <v>2800</v>
      </c>
      <c r="E5595" s="44">
        <v>2</v>
      </c>
      <c r="F5595" s="41">
        <v>24.946999999999999</v>
      </c>
      <c r="G5595" s="38">
        <f>IF(ISNUMBER(F5595),E5595*F5595,"")</f>
        <v>49.893999999999998</v>
      </c>
      <c r="H5595" s="58"/>
      <c r="I5595" s="59"/>
      <c r="J5595" s="37">
        <v>0</v>
      </c>
    </row>
    <row r="5596" spans="1:10" hidden="1" x14ac:dyDescent="0.25">
      <c r="A5596" s="174"/>
      <c r="B5596" s="177"/>
      <c r="C5596" s="43" t="s">
        <v>10763</v>
      </c>
      <c r="D5596" s="43" t="s">
        <v>2800</v>
      </c>
      <c r="E5596" s="44">
        <v>2</v>
      </c>
      <c r="F5596" s="38">
        <v>31.435500000000001</v>
      </c>
      <c r="G5596" s="38">
        <f>IF(ISNUMBER(F5596),E5596*F5596,"")</f>
        <v>62.871000000000002</v>
      </c>
      <c r="H5596" s="42"/>
      <c r="I5596" s="38"/>
      <c r="J5596" s="37">
        <v>0</v>
      </c>
    </row>
    <row r="5597" spans="1:10" ht="15.75" hidden="1" thickBot="1" x14ac:dyDescent="0.3">
      <c r="A5597" s="175"/>
      <c r="B5597" s="178"/>
      <c r="C5597" s="49"/>
      <c r="D5597" s="49"/>
      <c r="E5597" s="50"/>
      <c r="F5597" s="51" t="s">
        <v>13</v>
      </c>
      <c r="G5597" s="51" t="str">
        <f>IF(ISNUMBER(F5597),E5597*F5597,"")</f>
        <v/>
      </c>
      <c r="H5597" s="53"/>
      <c r="I5597" s="38"/>
      <c r="J5597" s="37">
        <v>0</v>
      </c>
    </row>
    <row r="5598" spans="1:10" ht="15.75" hidden="1" thickBot="1" x14ac:dyDescent="0.3">
      <c r="A5598" s="173" t="s">
        <v>1320</v>
      </c>
      <c r="B5598" s="176" t="s">
        <v>4919</v>
      </c>
      <c r="C5598" s="31"/>
      <c r="D5598" s="32" t="s">
        <v>18</v>
      </c>
      <c r="E5598" s="33"/>
      <c r="F5598" s="54" t="s">
        <v>13</v>
      </c>
      <c r="G5598" s="34" t="str">
        <f>IF(ISNUMBER(F5598),E5598*F5598,"")</f>
        <v/>
      </c>
      <c r="H5598" s="35"/>
      <c r="I5598" s="36"/>
      <c r="J5598" s="37">
        <v>0</v>
      </c>
    </row>
    <row r="5599" spans="1:10" hidden="1" x14ac:dyDescent="0.25">
      <c r="A5599" s="174"/>
      <c r="B5599" s="177"/>
      <c r="C5599" s="39"/>
      <c r="D5599" s="39"/>
      <c r="E5599" s="40"/>
      <c r="F5599" s="55" t="s">
        <v>13</v>
      </c>
      <c r="G5599" s="38" t="str">
        <f>IF(ISNUMBER(F5599),E5599*F5599,"")</f>
        <v/>
      </c>
      <c r="H5599" s="42"/>
      <c r="I5599" s="38"/>
      <c r="J5599" s="37">
        <v>0</v>
      </c>
    </row>
    <row r="5600" spans="1:10" hidden="1" x14ac:dyDescent="0.25">
      <c r="A5600" s="174"/>
      <c r="B5600" s="177"/>
      <c r="C5600" s="43" t="s">
        <v>1321</v>
      </c>
      <c r="D5600" s="43" t="s">
        <v>83</v>
      </c>
      <c r="E5600" s="44">
        <v>1</v>
      </c>
      <c r="F5600" s="41" t="s">
        <v>13</v>
      </c>
      <c r="G5600" s="38" t="str">
        <f>IF(ISNUMBER(F5600),E5600*F5600,"")</f>
        <v/>
      </c>
      <c r="H5600" s="46">
        <f>SUM(G5600:G5602)</f>
        <v>112.765</v>
      </c>
      <c r="I5600" s="47"/>
      <c r="J5600" s="37">
        <v>0</v>
      </c>
    </row>
    <row r="5601" spans="1:10" hidden="1" x14ac:dyDescent="0.25">
      <c r="A5601" s="174"/>
      <c r="B5601" s="177"/>
      <c r="C5601" s="43" t="s">
        <v>10762</v>
      </c>
      <c r="D5601" s="43" t="s">
        <v>2800</v>
      </c>
      <c r="E5601" s="44">
        <v>2</v>
      </c>
      <c r="F5601" s="41">
        <v>24.946999999999999</v>
      </c>
      <c r="G5601" s="38">
        <f>IF(ISNUMBER(F5601),E5601*F5601,"")</f>
        <v>49.893999999999998</v>
      </c>
      <c r="H5601" s="58"/>
      <c r="I5601" s="59"/>
      <c r="J5601" s="37">
        <v>0</v>
      </c>
    </row>
    <row r="5602" spans="1:10" hidden="1" x14ac:dyDescent="0.25">
      <c r="A5602" s="174"/>
      <c r="B5602" s="177"/>
      <c r="C5602" s="43" t="s">
        <v>10763</v>
      </c>
      <c r="D5602" s="43" t="s">
        <v>2800</v>
      </c>
      <c r="E5602" s="44">
        <v>2</v>
      </c>
      <c r="F5602" s="38">
        <v>31.435500000000001</v>
      </c>
      <c r="G5602" s="38">
        <f>IF(ISNUMBER(F5602),E5602*F5602,"")</f>
        <v>62.871000000000002</v>
      </c>
      <c r="H5602" s="42"/>
      <c r="I5602" s="38"/>
      <c r="J5602" s="37">
        <v>0</v>
      </c>
    </row>
    <row r="5603" spans="1:10" ht="15.75" hidden="1" thickBot="1" x14ac:dyDescent="0.3">
      <c r="A5603" s="175"/>
      <c r="B5603" s="178"/>
      <c r="C5603" s="49"/>
      <c r="D5603" s="49"/>
      <c r="E5603" s="50"/>
      <c r="F5603" s="51" t="s">
        <v>13</v>
      </c>
      <c r="G5603" s="51" t="str">
        <f>IF(ISNUMBER(F5603),E5603*F5603,"")</f>
        <v/>
      </c>
      <c r="H5603" s="53"/>
      <c r="I5603" s="38"/>
      <c r="J5603" s="37">
        <v>0</v>
      </c>
    </row>
    <row r="5604" spans="1:10" ht="15.75" hidden="1" thickBot="1" x14ac:dyDescent="0.3">
      <c r="A5604" s="173" t="s">
        <v>1322</v>
      </c>
      <c r="B5604" s="176" t="s">
        <v>4920</v>
      </c>
      <c r="C5604" s="31"/>
      <c r="D5604" s="32" t="s">
        <v>18</v>
      </c>
      <c r="E5604" s="33"/>
      <c r="F5604" s="54" t="s">
        <v>13</v>
      </c>
      <c r="G5604" s="34" t="str">
        <f>IF(ISNUMBER(F5604),E5604*F5604,"")</f>
        <v/>
      </c>
      <c r="H5604" s="35"/>
      <c r="I5604" s="36"/>
      <c r="J5604" s="37">
        <v>0</v>
      </c>
    </row>
    <row r="5605" spans="1:10" hidden="1" x14ac:dyDescent="0.25">
      <c r="A5605" s="174"/>
      <c r="B5605" s="177"/>
      <c r="C5605" s="39"/>
      <c r="D5605" s="39"/>
      <c r="E5605" s="40"/>
      <c r="F5605" s="55" t="s">
        <v>13</v>
      </c>
      <c r="G5605" s="38" t="str">
        <f>IF(ISNUMBER(F5605),E5605*F5605,"")</f>
        <v/>
      </c>
      <c r="H5605" s="42"/>
      <c r="I5605" s="38"/>
      <c r="J5605" s="37">
        <v>0</v>
      </c>
    </row>
    <row r="5606" spans="1:10" hidden="1" x14ac:dyDescent="0.25">
      <c r="A5606" s="174"/>
      <c r="B5606" s="177"/>
      <c r="C5606" s="43" t="s">
        <v>10763</v>
      </c>
      <c r="D5606" s="43" t="s">
        <v>2800</v>
      </c>
      <c r="E5606" s="44">
        <v>0.317</v>
      </c>
      <c r="F5606" s="38">
        <v>31.435500000000001</v>
      </c>
      <c r="G5606" s="41">
        <f>IF(ISNUMBER(F5606),E5606*F5606,"")</f>
        <v>9.9650534999999998</v>
      </c>
      <c r="H5606" s="46">
        <f>SUM(G5606:G5609)</f>
        <v>17.8732525</v>
      </c>
      <c r="I5606" s="47"/>
      <c r="J5606" s="37">
        <v>0</v>
      </c>
    </row>
    <row r="5607" spans="1:10" hidden="1" x14ac:dyDescent="0.25">
      <c r="A5607" s="174"/>
      <c r="B5607" s="177"/>
      <c r="C5607" s="43" t="s">
        <v>10762</v>
      </c>
      <c r="D5607" s="43" t="s">
        <v>2800</v>
      </c>
      <c r="E5607" s="44">
        <v>0.317</v>
      </c>
      <c r="F5607" s="38">
        <v>24.946999999999999</v>
      </c>
      <c r="G5607" s="41">
        <f>IF(ISNUMBER(F5607),E5607*F5607,"")</f>
        <v>7.9081989999999998</v>
      </c>
      <c r="H5607" s="42"/>
      <c r="I5607" s="38"/>
      <c r="J5607" s="37">
        <v>0</v>
      </c>
    </row>
    <row r="5608" spans="1:10" ht="25.5" hidden="1" x14ac:dyDescent="0.25">
      <c r="A5608" s="174"/>
      <c r="B5608" s="177"/>
      <c r="C5608" s="43" t="s">
        <v>380</v>
      </c>
      <c r="D5608" s="43" t="s">
        <v>18</v>
      </c>
      <c r="E5608" s="44">
        <v>1</v>
      </c>
      <c r="F5608" s="41" t="s">
        <v>13</v>
      </c>
      <c r="G5608" s="41" t="str">
        <f>IF(ISNUMBER(F5608),E5608*F5608,"")</f>
        <v/>
      </c>
      <c r="H5608" s="42"/>
      <c r="I5608" s="38"/>
      <c r="J5608" s="37">
        <v>0</v>
      </c>
    </row>
    <row r="5609" spans="1:10" ht="25.5" hidden="1" x14ac:dyDescent="0.25">
      <c r="A5609" s="174"/>
      <c r="B5609" s="177"/>
      <c r="C5609" s="43" t="s">
        <v>1323</v>
      </c>
      <c r="D5609" s="43" t="s">
        <v>18</v>
      </c>
      <c r="E5609" s="44">
        <v>1</v>
      </c>
      <c r="F5609" s="41" t="s">
        <v>13</v>
      </c>
      <c r="G5609" s="38" t="str">
        <f>IF(ISNUMBER(F5609),E5609*F5609,"")</f>
        <v/>
      </c>
      <c r="H5609" s="42"/>
      <c r="I5609" s="38"/>
      <c r="J5609" s="37">
        <v>0</v>
      </c>
    </row>
    <row r="5610" spans="1:10" ht="15.75" hidden="1" thickBot="1" x14ac:dyDescent="0.3">
      <c r="A5610" s="175"/>
      <c r="B5610" s="178"/>
      <c r="C5610" s="49"/>
      <c r="D5610" s="49"/>
      <c r="E5610" s="50"/>
      <c r="F5610" s="51" t="s">
        <v>13</v>
      </c>
      <c r="G5610" s="51" t="str">
        <f>IF(ISNUMBER(F5610),E5610*F5610,"")</f>
        <v/>
      </c>
      <c r="H5610" s="53"/>
      <c r="I5610" s="38"/>
      <c r="J5610" s="37">
        <v>0</v>
      </c>
    </row>
    <row r="5611" spans="1:10" ht="15.75" hidden="1" thickBot="1" x14ac:dyDescent="0.3">
      <c r="A5611" s="173" t="s">
        <v>1324</v>
      </c>
      <c r="B5611" s="176" t="s">
        <v>4928</v>
      </c>
      <c r="C5611" s="31"/>
      <c r="D5611" s="32" t="s">
        <v>68</v>
      </c>
      <c r="E5611" s="33"/>
      <c r="F5611" s="54" t="s">
        <v>13</v>
      </c>
      <c r="G5611" s="34" t="str">
        <f>IF(ISNUMBER(F5611),E5611*F5611,"")</f>
        <v/>
      </c>
      <c r="H5611" s="35"/>
      <c r="I5611" s="36"/>
      <c r="J5611" s="37">
        <v>0</v>
      </c>
    </row>
    <row r="5612" spans="1:10" hidden="1" x14ac:dyDescent="0.25">
      <c r="A5612" s="174"/>
      <c r="B5612" s="177"/>
      <c r="C5612" s="39"/>
      <c r="D5612" s="39"/>
      <c r="E5612" s="40"/>
      <c r="F5612" s="55" t="s">
        <v>13</v>
      </c>
      <c r="G5612" s="38" t="str">
        <f>IF(ISNUMBER(F5612),E5612*F5612,"")</f>
        <v/>
      </c>
      <c r="H5612" s="42"/>
      <c r="I5612" s="38"/>
      <c r="J5612" s="37">
        <v>0</v>
      </c>
    </row>
    <row r="5613" spans="1:10" ht="25.5" hidden="1" x14ac:dyDescent="0.25">
      <c r="A5613" s="174"/>
      <c r="B5613" s="177"/>
      <c r="C5613" s="43" t="s">
        <v>10993</v>
      </c>
      <c r="D5613" s="43" t="s">
        <v>162</v>
      </c>
      <c r="E5613" s="44">
        <v>1</v>
      </c>
      <c r="F5613" s="41">
        <v>40.945</v>
      </c>
      <c r="G5613" s="38">
        <f>IF(ISNUMBER(F5613),E5613*F5613,"")</f>
        <v>40.945</v>
      </c>
      <c r="H5613" s="46">
        <f>SUM(G5613:G5613)</f>
        <v>40.945</v>
      </c>
      <c r="I5613" s="47"/>
      <c r="J5613" s="37">
        <v>0</v>
      </c>
    </row>
    <row r="5614" spans="1:10" ht="15.75" hidden="1" thickBot="1" x14ac:dyDescent="0.3">
      <c r="A5614" s="175"/>
      <c r="B5614" s="178"/>
      <c r="C5614" s="49"/>
      <c r="D5614" s="49"/>
      <c r="E5614" s="50"/>
      <c r="F5614" s="51" t="s">
        <v>13</v>
      </c>
      <c r="G5614" s="51" t="str">
        <f>IF(ISNUMBER(F5614),E5614*F5614,"")</f>
        <v/>
      </c>
      <c r="H5614" s="53"/>
      <c r="I5614" s="38"/>
      <c r="J5614" s="37">
        <v>0</v>
      </c>
    </row>
    <row r="5615" spans="1:10" ht="15.75" hidden="1" thickBot="1" x14ac:dyDescent="0.3">
      <c r="A5615" s="173" t="s">
        <v>1325</v>
      </c>
      <c r="B5615" s="176" t="s">
        <v>4933</v>
      </c>
      <c r="C5615" s="31"/>
      <c r="D5615" s="32" t="s">
        <v>106</v>
      </c>
      <c r="E5615" s="33"/>
      <c r="F5615" s="54" t="s">
        <v>13</v>
      </c>
      <c r="G5615" s="34" t="str">
        <f>IF(ISNUMBER(F5615),E5615*F5615,"")</f>
        <v/>
      </c>
      <c r="H5615" s="35"/>
      <c r="I5615" s="36"/>
      <c r="J5615" s="37">
        <v>0</v>
      </c>
    </row>
    <row r="5616" spans="1:10" hidden="1" x14ac:dyDescent="0.25">
      <c r="A5616" s="174"/>
      <c r="B5616" s="177"/>
      <c r="C5616" s="39"/>
      <c r="D5616" s="39"/>
      <c r="E5616" s="40"/>
      <c r="F5616" s="55" t="s">
        <v>13</v>
      </c>
      <c r="G5616" s="38" t="str">
        <f>IF(ISNUMBER(F5616),E5616*F5616,"")</f>
        <v/>
      </c>
      <c r="H5616" s="42"/>
      <c r="I5616" s="38"/>
      <c r="J5616" s="37">
        <v>0</v>
      </c>
    </row>
    <row r="5617" spans="1:10" hidden="1" x14ac:dyDescent="0.25">
      <c r="A5617" s="174"/>
      <c r="B5617" s="177"/>
      <c r="C5617" s="43" t="s">
        <v>11214</v>
      </c>
      <c r="D5617" s="43" t="s">
        <v>1302</v>
      </c>
      <c r="E5617" s="44">
        <v>1.05</v>
      </c>
      <c r="F5617" s="41">
        <v>62.101500000000001</v>
      </c>
      <c r="G5617" s="38">
        <f>IF(ISNUMBER(F5617),E5617*F5617,"")</f>
        <v>65.206575000000001</v>
      </c>
      <c r="H5617" s="46">
        <f>SUM(G5617:G5619)</f>
        <v>67.072835749999996</v>
      </c>
      <c r="I5617" s="47"/>
      <c r="J5617" s="37">
        <v>0</v>
      </c>
    </row>
    <row r="5618" spans="1:10" hidden="1" x14ac:dyDescent="0.25">
      <c r="A5618" s="174"/>
      <c r="B5618" s="177"/>
      <c r="C5618" s="43" t="s">
        <v>10762</v>
      </c>
      <c r="D5618" s="43" t="s">
        <v>2800</v>
      </c>
      <c r="E5618" s="44">
        <v>3.3099999999999997E-2</v>
      </c>
      <c r="F5618" s="41">
        <v>24.946999999999999</v>
      </c>
      <c r="G5618" s="38">
        <f>IF(ISNUMBER(F5618),E5618*F5618,"")</f>
        <v>0.82574569999999992</v>
      </c>
      <c r="H5618" s="58"/>
      <c r="I5618" s="59"/>
      <c r="J5618" s="37">
        <v>0</v>
      </c>
    </row>
    <row r="5619" spans="1:10" hidden="1" x14ac:dyDescent="0.25">
      <c r="A5619" s="174"/>
      <c r="B5619" s="177"/>
      <c r="C5619" s="43" t="s">
        <v>10763</v>
      </c>
      <c r="D5619" s="43" t="s">
        <v>2800</v>
      </c>
      <c r="E5619" s="44">
        <v>3.3099999999999997E-2</v>
      </c>
      <c r="F5619" s="38">
        <v>31.435500000000001</v>
      </c>
      <c r="G5619" s="38">
        <f>IF(ISNUMBER(F5619),E5619*F5619,"")</f>
        <v>1.04051505</v>
      </c>
      <c r="H5619" s="42"/>
      <c r="I5619" s="38"/>
      <c r="J5619" s="37">
        <v>0</v>
      </c>
    </row>
    <row r="5620" spans="1:10" ht="15.75" hidden="1" thickBot="1" x14ac:dyDescent="0.3">
      <c r="A5620" s="175"/>
      <c r="B5620" s="178"/>
      <c r="C5620" s="49"/>
      <c r="D5620" s="49"/>
      <c r="E5620" s="50"/>
      <c r="F5620" s="51" t="s">
        <v>13</v>
      </c>
      <c r="G5620" s="51" t="str">
        <f>IF(ISNUMBER(F5620),E5620*F5620,"")</f>
        <v/>
      </c>
      <c r="H5620" s="53"/>
      <c r="I5620" s="38"/>
      <c r="J5620" s="37">
        <v>0</v>
      </c>
    </row>
    <row r="5621" spans="1:10" ht="15.75" hidden="1" thickBot="1" x14ac:dyDescent="0.3">
      <c r="A5621" s="173" t="s">
        <v>1326</v>
      </c>
      <c r="B5621" s="176" t="s">
        <v>4936</v>
      </c>
      <c r="C5621" s="31"/>
      <c r="D5621" s="32" t="s">
        <v>18</v>
      </c>
      <c r="E5621" s="33"/>
      <c r="F5621" s="54" t="s">
        <v>13</v>
      </c>
      <c r="G5621" s="34" t="str">
        <f>IF(ISNUMBER(F5621),E5621*F5621,"")</f>
        <v/>
      </c>
      <c r="H5621" s="35"/>
      <c r="I5621" s="36"/>
      <c r="J5621" s="37">
        <v>0</v>
      </c>
    </row>
    <row r="5622" spans="1:10" hidden="1" x14ac:dyDescent="0.25">
      <c r="A5622" s="174"/>
      <c r="B5622" s="177"/>
      <c r="C5622" s="39"/>
      <c r="D5622" s="39"/>
      <c r="E5622" s="40"/>
      <c r="F5622" s="55" t="s">
        <v>13</v>
      </c>
      <c r="G5622" s="38" t="str">
        <f>IF(ISNUMBER(F5622),E5622*F5622,"")</f>
        <v/>
      </c>
      <c r="H5622" s="42"/>
      <c r="I5622" s="38"/>
      <c r="J5622" s="37">
        <v>0</v>
      </c>
    </row>
    <row r="5623" spans="1:10" hidden="1" x14ac:dyDescent="0.25">
      <c r="A5623" s="174"/>
      <c r="B5623" s="177"/>
      <c r="C5623" s="43" t="s">
        <v>1327</v>
      </c>
      <c r="D5623" s="43" t="s">
        <v>18</v>
      </c>
      <c r="E5623" s="44">
        <v>1</v>
      </c>
      <c r="F5623" s="41" t="s">
        <v>13</v>
      </c>
      <c r="G5623" s="38" t="str">
        <f>IF(ISNUMBER(F5623),E5623*F5623,"")</f>
        <v/>
      </c>
      <c r="H5623" s="46">
        <f>SUM(G5623:G5625)</f>
        <v>21.887686500000001</v>
      </c>
      <c r="I5623" s="47"/>
      <c r="J5623" s="37">
        <v>0</v>
      </c>
    </row>
    <row r="5624" spans="1:10" hidden="1" x14ac:dyDescent="0.25">
      <c r="A5624" s="174"/>
      <c r="B5624" s="177"/>
      <c r="C5624" s="43" t="s">
        <v>10762</v>
      </c>
      <c r="D5624" s="43" t="s">
        <v>2800</v>
      </c>
      <c r="E5624" s="44">
        <v>0.38819999999999999</v>
      </c>
      <c r="F5624" s="41">
        <v>24.946999999999999</v>
      </c>
      <c r="G5624" s="38">
        <f>IF(ISNUMBER(F5624),E5624*F5624,"")</f>
        <v>9.6844254000000003</v>
      </c>
      <c r="H5624" s="58"/>
      <c r="I5624" s="59"/>
      <c r="J5624" s="37">
        <v>0</v>
      </c>
    </row>
    <row r="5625" spans="1:10" hidden="1" x14ac:dyDescent="0.25">
      <c r="A5625" s="174"/>
      <c r="B5625" s="177"/>
      <c r="C5625" s="43" t="s">
        <v>10763</v>
      </c>
      <c r="D5625" s="43" t="s">
        <v>2800</v>
      </c>
      <c r="E5625" s="44">
        <v>0.38819999999999999</v>
      </c>
      <c r="F5625" s="38">
        <v>31.435500000000001</v>
      </c>
      <c r="G5625" s="38">
        <f>IF(ISNUMBER(F5625),E5625*F5625,"")</f>
        <v>12.203261100000001</v>
      </c>
      <c r="H5625" s="42"/>
      <c r="I5625" s="38"/>
      <c r="J5625" s="37">
        <v>0</v>
      </c>
    </row>
    <row r="5626" spans="1:10" ht="15.75" hidden="1" thickBot="1" x14ac:dyDescent="0.3">
      <c r="A5626" s="175"/>
      <c r="B5626" s="178"/>
      <c r="C5626" s="49"/>
      <c r="D5626" s="49"/>
      <c r="E5626" s="50"/>
      <c r="F5626" s="51" t="s">
        <v>13</v>
      </c>
      <c r="G5626" s="51" t="str">
        <f>IF(ISNUMBER(F5626),E5626*F5626,"")</f>
        <v/>
      </c>
      <c r="H5626" s="53"/>
      <c r="I5626" s="38"/>
      <c r="J5626" s="37">
        <v>0</v>
      </c>
    </row>
    <row r="5627" spans="1:10" ht="15.75" hidden="1" thickBot="1" x14ac:dyDescent="0.3">
      <c r="A5627" s="173" t="s">
        <v>1328</v>
      </c>
      <c r="B5627" s="176" t="s">
        <v>4937</v>
      </c>
      <c r="C5627" s="31"/>
      <c r="D5627" s="32" t="s">
        <v>106</v>
      </c>
      <c r="E5627" s="33"/>
      <c r="F5627" s="54" t="s">
        <v>13</v>
      </c>
      <c r="G5627" s="34" t="str">
        <f>IF(ISNUMBER(F5627),E5627*F5627,"")</f>
        <v/>
      </c>
      <c r="H5627" s="35"/>
      <c r="I5627" s="36"/>
      <c r="J5627" s="37">
        <v>0</v>
      </c>
    </row>
    <row r="5628" spans="1:10" hidden="1" x14ac:dyDescent="0.25">
      <c r="A5628" s="174"/>
      <c r="B5628" s="177"/>
      <c r="C5628" s="39"/>
      <c r="D5628" s="39"/>
      <c r="E5628" s="40"/>
      <c r="F5628" s="55" t="s">
        <v>13</v>
      </c>
      <c r="G5628" s="38" t="str">
        <f>IF(ISNUMBER(F5628),E5628*F5628,"")</f>
        <v/>
      </c>
      <c r="H5628" s="42"/>
      <c r="I5628" s="38"/>
      <c r="J5628" s="37">
        <v>0</v>
      </c>
    </row>
    <row r="5629" spans="1:10" hidden="1" x14ac:dyDescent="0.25">
      <c r="A5629" s="174"/>
      <c r="B5629" s="177"/>
      <c r="C5629" s="43" t="s">
        <v>10763</v>
      </c>
      <c r="D5629" s="43" t="s">
        <v>2800</v>
      </c>
      <c r="E5629" s="44">
        <v>0.75</v>
      </c>
      <c r="F5629" s="38">
        <v>31.435500000000001</v>
      </c>
      <c r="G5629" s="41">
        <f>IF(ISNUMBER(F5629),E5629*F5629,"")</f>
        <v>23.576625</v>
      </c>
      <c r="H5629" s="46">
        <f>SUM(G5629:G5631)</f>
        <v>42.286874999999995</v>
      </c>
      <c r="I5629" s="47"/>
      <c r="J5629" s="37">
        <v>0</v>
      </c>
    </row>
    <row r="5630" spans="1:10" hidden="1" x14ac:dyDescent="0.25">
      <c r="A5630" s="174"/>
      <c r="B5630" s="177"/>
      <c r="C5630" s="43" t="s">
        <v>10762</v>
      </c>
      <c r="D5630" s="43" t="s">
        <v>2800</v>
      </c>
      <c r="E5630" s="44">
        <v>0.75</v>
      </c>
      <c r="F5630" s="38">
        <v>24.946999999999999</v>
      </c>
      <c r="G5630" s="41">
        <f>IF(ISNUMBER(F5630),E5630*F5630,"")</f>
        <v>18.710249999999998</v>
      </c>
      <c r="H5630" s="42"/>
      <c r="I5630" s="38"/>
      <c r="J5630" s="37">
        <v>0</v>
      </c>
    </row>
    <row r="5631" spans="1:10" ht="25.5" hidden="1" x14ac:dyDescent="0.25">
      <c r="A5631" s="174"/>
      <c r="B5631" s="177"/>
      <c r="C5631" s="43" t="s">
        <v>1329</v>
      </c>
      <c r="D5631" s="43" t="s">
        <v>106</v>
      </c>
      <c r="E5631" s="44">
        <v>1.05</v>
      </c>
      <c r="F5631" s="38" t="s">
        <v>13</v>
      </c>
      <c r="G5631" s="41" t="str">
        <f>IF(ISNUMBER(F5631),E5631*F5631,"")</f>
        <v/>
      </c>
      <c r="H5631" s="42"/>
      <c r="I5631" s="38"/>
      <c r="J5631" s="37">
        <v>0</v>
      </c>
    </row>
    <row r="5632" spans="1:10" ht="15.75" hidden="1" thickBot="1" x14ac:dyDescent="0.3">
      <c r="A5632" s="175"/>
      <c r="B5632" s="178"/>
      <c r="C5632" s="49"/>
      <c r="D5632" s="49"/>
      <c r="E5632" s="50"/>
      <c r="F5632" s="51" t="s">
        <v>13</v>
      </c>
      <c r="G5632" s="51" t="str">
        <f>IF(ISNUMBER(F5632),E5632*F5632,"")</f>
        <v/>
      </c>
      <c r="H5632" s="53"/>
      <c r="I5632" s="38"/>
      <c r="J5632" s="37">
        <v>0</v>
      </c>
    </row>
    <row r="5633" spans="1:10" ht="15.75" hidden="1" thickBot="1" x14ac:dyDescent="0.3">
      <c r="A5633" s="173" t="s">
        <v>1330</v>
      </c>
      <c r="B5633" s="176" t="s">
        <v>4938</v>
      </c>
      <c r="C5633" s="31"/>
      <c r="D5633" s="32" t="s">
        <v>2975</v>
      </c>
      <c r="E5633" s="33"/>
      <c r="F5633" s="54" t="s">
        <v>13</v>
      </c>
      <c r="G5633" s="34" t="str">
        <f>IF(ISNUMBER(F5633),E5633*F5633,"")</f>
        <v/>
      </c>
      <c r="H5633" s="35"/>
      <c r="I5633" s="36"/>
      <c r="J5633" s="37">
        <v>0</v>
      </c>
    </row>
    <row r="5634" spans="1:10" hidden="1" x14ac:dyDescent="0.25">
      <c r="A5634" s="174"/>
      <c r="B5634" s="177"/>
      <c r="C5634" s="39"/>
      <c r="D5634" s="39"/>
      <c r="E5634" s="40"/>
      <c r="F5634" s="55" t="s">
        <v>13</v>
      </c>
      <c r="G5634" s="38" t="str">
        <f>IF(ISNUMBER(F5634),E5634*F5634,"")</f>
        <v/>
      </c>
      <c r="H5634" s="42"/>
      <c r="I5634" s="38"/>
      <c r="J5634" s="37">
        <v>0</v>
      </c>
    </row>
    <row r="5635" spans="1:10" ht="25.5" hidden="1" x14ac:dyDescent="0.25">
      <c r="A5635" s="174"/>
      <c r="B5635" s="177"/>
      <c r="C5635" s="43" t="s">
        <v>10611</v>
      </c>
      <c r="D5635" s="43" t="s">
        <v>2800</v>
      </c>
      <c r="E5635" s="44">
        <v>1</v>
      </c>
      <c r="F5635" s="38">
        <v>142.75650000000002</v>
      </c>
      <c r="G5635" s="41">
        <f>IF(ISNUMBER(F5635),E5635*F5635,"")</f>
        <v>142.75650000000002</v>
      </c>
      <c r="H5635" s="46">
        <f>SUM(G5635:G5635)</f>
        <v>142.75650000000002</v>
      </c>
      <c r="I5635" s="47"/>
      <c r="J5635" s="37">
        <v>0</v>
      </c>
    </row>
    <row r="5636" spans="1:10" ht="15.75" hidden="1" thickBot="1" x14ac:dyDescent="0.3">
      <c r="A5636" s="175"/>
      <c r="B5636" s="178"/>
      <c r="C5636" s="49"/>
      <c r="D5636" s="49"/>
      <c r="E5636" s="50"/>
      <c r="F5636" s="51" t="s">
        <v>13</v>
      </c>
      <c r="G5636" s="51" t="str">
        <f>IF(ISNUMBER(F5636),E5636*F5636,"")</f>
        <v/>
      </c>
      <c r="H5636" s="53"/>
      <c r="I5636" s="38"/>
      <c r="J5636" s="37">
        <v>0</v>
      </c>
    </row>
    <row r="5637" spans="1:10" ht="15.75" hidden="1" thickBot="1" x14ac:dyDescent="0.3">
      <c r="A5637" s="173" t="s">
        <v>1331</v>
      </c>
      <c r="B5637" s="176" t="s">
        <v>4941</v>
      </c>
      <c r="C5637" s="31"/>
      <c r="D5637" s="32" t="s">
        <v>18</v>
      </c>
      <c r="E5637" s="33"/>
      <c r="F5637" s="54" t="s">
        <v>13</v>
      </c>
      <c r="G5637" s="34" t="str">
        <f>IF(ISNUMBER(F5637),E5637*F5637,"")</f>
        <v/>
      </c>
      <c r="H5637" s="35"/>
      <c r="I5637" s="36"/>
      <c r="J5637" s="37">
        <v>0</v>
      </c>
    </row>
    <row r="5638" spans="1:10" hidden="1" x14ac:dyDescent="0.25">
      <c r="A5638" s="174"/>
      <c r="B5638" s="177"/>
      <c r="C5638" s="39"/>
      <c r="D5638" s="39"/>
      <c r="E5638" s="40"/>
      <c r="F5638" s="55" t="s">
        <v>13</v>
      </c>
      <c r="G5638" s="38" t="str">
        <f>IF(ISNUMBER(F5638),E5638*F5638,"")</f>
        <v/>
      </c>
      <c r="H5638" s="42"/>
      <c r="I5638" s="38"/>
      <c r="J5638" s="37">
        <v>0</v>
      </c>
    </row>
    <row r="5639" spans="1:10" ht="38.25" hidden="1" x14ac:dyDescent="0.25">
      <c r="A5639" s="174"/>
      <c r="B5639" s="177"/>
      <c r="C5639" s="43" t="s">
        <v>10876</v>
      </c>
      <c r="D5639" s="43" t="s">
        <v>83</v>
      </c>
      <c r="E5639" s="44">
        <v>3</v>
      </c>
      <c r="F5639" s="38">
        <v>1.159</v>
      </c>
      <c r="G5639" s="41">
        <f>IF(ISNUMBER(F5639),E5639*F5639,"")</f>
        <v>3.4770000000000003</v>
      </c>
      <c r="H5639" s="46">
        <f>SUM(G5639:G5642)</f>
        <v>22.113939450000004</v>
      </c>
      <c r="I5639" s="47"/>
      <c r="J5639" s="37">
        <v>0</v>
      </c>
    </row>
    <row r="5640" spans="1:10" ht="25.5" hidden="1" x14ac:dyDescent="0.25">
      <c r="A5640" s="174"/>
      <c r="B5640" s="177"/>
      <c r="C5640" s="43" t="s">
        <v>1332</v>
      </c>
      <c r="D5640" s="43" t="s">
        <v>83</v>
      </c>
      <c r="E5640" s="44">
        <v>1</v>
      </c>
      <c r="F5640" s="38" t="s">
        <v>13</v>
      </c>
      <c r="G5640" s="41" t="str">
        <f>IF(ISNUMBER(F5640),E5640*F5640,"")</f>
        <v/>
      </c>
      <c r="H5640" s="42"/>
      <c r="I5640" s="38"/>
      <c r="J5640" s="37">
        <v>0</v>
      </c>
    </row>
    <row r="5641" spans="1:10" hidden="1" x14ac:dyDescent="0.25">
      <c r="A5641" s="174"/>
      <c r="B5641" s="177"/>
      <c r="C5641" s="43" t="s">
        <v>10763</v>
      </c>
      <c r="D5641" s="43" t="s">
        <v>2800</v>
      </c>
      <c r="E5641" s="44">
        <v>0.4743</v>
      </c>
      <c r="F5641" s="38">
        <v>31.435500000000001</v>
      </c>
      <c r="G5641" s="41">
        <f>IF(ISNUMBER(F5641),E5641*F5641,"")</f>
        <v>14.909857650000001</v>
      </c>
      <c r="H5641" s="42"/>
      <c r="I5641" s="38"/>
      <c r="J5641" s="37">
        <v>0</v>
      </c>
    </row>
    <row r="5642" spans="1:10" hidden="1" x14ac:dyDescent="0.25">
      <c r="A5642" s="174"/>
      <c r="B5642" s="177"/>
      <c r="C5642" s="43" t="s">
        <v>10762</v>
      </c>
      <c r="D5642" s="43" t="s">
        <v>2800</v>
      </c>
      <c r="E5642" s="44">
        <v>0.14940000000000001</v>
      </c>
      <c r="F5642" s="38">
        <v>24.946999999999999</v>
      </c>
      <c r="G5642" s="41">
        <f>IF(ISNUMBER(F5642),E5642*F5642,"")</f>
        <v>3.7270818000000001</v>
      </c>
      <c r="H5642" s="42"/>
      <c r="I5642" s="38"/>
      <c r="J5642" s="37">
        <v>0</v>
      </c>
    </row>
    <row r="5643" spans="1:10" ht="15.75" hidden="1" thickBot="1" x14ac:dyDescent="0.3">
      <c r="A5643" s="175"/>
      <c r="B5643" s="178"/>
      <c r="C5643" s="49"/>
      <c r="D5643" s="49"/>
      <c r="E5643" s="50"/>
      <c r="F5643" s="51" t="s">
        <v>13</v>
      </c>
      <c r="G5643" s="51" t="str">
        <f>IF(ISNUMBER(F5643),E5643*F5643,"")</f>
        <v/>
      </c>
      <c r="H5643" s="53"/>
      <c r="I5643" s="38"/>
      <c r="J5643" s="37">
        <v>0</v>
      </c>
    </row>
    <row r="5644" spans="1:10" ht="15.75" hidden="1" thickBot="1" x14ac:dyDescent="0.3">
      <c r="A5644" s="173" t="s">
        <v>1333</v>
      </c>
      <c r="B5644" s="176" t="s">
        <v>4942</v>
      </c>
      <c r="C5644" s="31"/>
      <c r="D5644" s="32" t="s">
        <v>70</v>
      </c>
      <c r="E5644" s="33"/>
      <c r="F5644" s="54" t="s">
        <v>13</v>
      </c>
      <c r="G5644" s="34" t="str">
        <f>IF(ISNUMBER(F5644),E5644*F5644,"")</f>
        <v/>
      </c>
      <c r="H5644" s="35"/>
      <c r="I5644" s="36"/>
      <c r="J5644" s="37">
        <v>0</v>
      </c>
    </row>
    <row r="5645" spans="1:10" hidden="1" x14ac:dyDescent="0.25">
      <c r="A5645" s="174"/>
      <c r="B5645" s="177"/>
      <c r="C5645" s="39"/>
      <c r="D5645" s="39"/>
      <c r="E5645" s="40"/>
      <c r="F5645" s="55" t="s">
        <v>13</v>
      </c>
      <c r="G5645" s="38" t="str">
        <f>IF(ISNUMBER(F5645),E5645*F5645,"")</f>
        <v/>
      </c>
      <c r="H5645" s="42"/>
      <c r="I5645" s="38"/>
      <c r="J5645" s="37">
        <v>0</v>
      </c>
    </row>
    <row r="5646" spans="1:10" hidden="1" x14ac:dyDescent="0.25">
      <c r="A5646" s="174"/>
      <c r="B5646" s="177"/>
      <c r="C5646" s="43" t="s">
        <v>1334</v>
      </c>
      <c r="D5646" s="43" t="s">
        <v>70</v>
      </c>
      <c r="E5646" s="44">
        <v>1</v>
      </c>
      <c r="F5646" s="38" t="s">
        <v>13</v>
      </c>
      <c r="G5646" s="41" t="str">
        <f>IF(ISNUMBER(F5646),E5646*F5646,"")</f>
        <v/>
      </c>
      <c r="H5646" s="46">
        <f>SUM(G5646:G5646)</f>
        <v>0</v>
      </c>
      <c r="I5646" s="47"/>
      <c r="J5646" s="37">
        <v>0</v>
      </c>
    </row>
    <row r="5647" spans="1:10" ht="15.75" hidden="1" thickBot="1" x14ac:dyDescent="0.3">
      <c r="A5647" s="175"/>
      <c r="B5647" s="178"/>
      <c r="C5647" s="49"/>
      <c r="D5647" s="49"/>
      <c r="E5647" s="50"/>
      <c r="F5647" s="51" t="s">
        <v>13</v>
      </c>
      <c r="G5647" s="51" t="str">
        <f>IF(ISNUMBER(F5647),E5647*F5647,"")</f>
        <v/>
      </c>
      <c r="H5647" s="53"/>
      <c r="I5647" s="38"/>
      <c r="J5647" s="37">
        <v>0</v>
      </c>
    </row>
    <row r="5648" spans="1:10" ht="15.75" hidden="1" thickBot="1" x14ac:dyDescent="0.3">
      <c r="A5648" s="173" t="s">
        <v>1335</v>
      </c>
      <c r="B5648" s="176" t="s">
        <v>4965</v>
      </c>
      <c r="C5648" s="31"/>
      <c r="D5648" s="32" t="s">
        <v>3982</v>
      </c>
      <c r="E5648" s="33"/>
      <c r="F5648" s="60" t="s">
        <v>13</v>
      </c>
      <c r="G5648" s="34" t="str">
        <f>IF(ISNUMBER(F5648),E5648*F5648,"")</f>
        <v/>
      </c>
      <c r="H5648" s="35"/>
      <c r="I5648" s="36"/>
      <c r="J5648" s="37">
        <v>0</v>
      </c>
    </row>
    <row r="5649" spans="1:10" hidden="1" x14ac:dyDescent="0.25">
      <c r="A5649" s="179"/>
      <c r="B5649" s="177"/>
      <c r="C5649" s="39"/>
      <c r="D5649" s="39"/>
      <c r="E5649" s="40"/>
      <c r="F5649" s="70" t="s">
        <v>13</v>
      </c>
      <c r="G5649" s="70" t="str">
        <f>IF(ISNUMBER(F5649),E5649*F5649,"")</f>
        <v/>
      </c>
      <c r="H5649" s="71"/>
      <c r="I5649" s="72"/>
      <c r="J5649" s="37">
        <v>0</v>
      </c>
    </row>
    <row r="5650" spans="1:10" ht="25.5" hidden="1" x14ac:dyDescent="0.25">
      <c r="A5650" s="179"/>
      <c r="B5650" s="177"/>
      <c r="C5650" s="43" t="s">
        <v>10611</v>
      </c>
      <c r="D5650" s="43" t="s">
        <v>2800</v>
      </c>
      <c r="E5650" s="44" t="e">
        <f>IF(#REF!="Desonerado",ROUND(220/(1+'[1]Serviços SINAPI'!$E$6),4),ROUND(220/(1+'[1]Serviços SINAPI'!$F$6),4))</f>
        <v>#REF!</v>
      </c>
      <c r="F5650" s="38">
        <v>142.75650000000002</v>
      </c>
      <c r="G5650" s="70" t="e">
        <f>IF(ISNUMBER(F5650),E5650*F5650,"")</f>
        <v>#REF!</v>
      </c>
      <c r="H5650" s="46" t="e">
        <f>SUM(G5650:G5650)</f>
        <v>#REF!</v>
      </c>
      <c r="I5650" s="47"/>
      <c r="J5650" s="37">
        <v>0</v>
      </c>
    </row>
    <row r="5651" spans="1:10" hidden="1" x14ac:dyDescent="0.25">
      <c r="A5651" s="179"/>
      <c r="B5651" s="177"/>
      <c r="C5651" s="39"/>
      <c r="D5651" s="39"/>
      <c r="E5651" s="40"/>
      <c r="F5651" s="70" t="s">
        <v>13</v>
      </c>
      <c r="G5651" s="70" t="str">
        <f>IF(ISNUMBER(F5651),E5651*F5651,"")</f>
        <v/>
      </c>
      <c r="H5651" s="71"/>
      <c r="I5651" s="72"/>
      <c r="J5651" s="37">
        <v>0</v>
      </c>
    </row>
    <row r="5652" spans="1:10" ht="25.5" hidden="1" x14ac:dyDescent="0.25">
      <c r="A5652" s="179"/>
      <c r="B5652" s="177"/>
      <c r="C5652" s="4" t="s">
        <v>668</v>
      </c>
      <c r="D5652" s="39"/>
      <c r="E5652" s="40"/>
      <c r="F5652" s="70" t="s">
        <v>13</v>
      </c>
      <c r="G5652" s="70" t="str">
        <f>IF(ISNUMBER(F5652),E5652*F5652,"")</f>
        <v/>
      </c>
      <c r="H5652" s="71"/>
      <c r="I5652" s="72"/>
      <c r="J5652" s="37">
        <v>0</v>
      </c>
    </row>
    <row r="5653" spans="1:10" ht="15.75" hidden="1" thickBot="1" x14ac:dyDescent="0.3">
      <c r="A5653" s="180"/>
      <c r="B5653" s="178"/>
      <c r="C5653" s="49"/>
      <c r="D5653" s="63"/>
      <c r="E5653" s="50"/>
      <c r="F5653" s="83" t="s">
        <v>13</v>
      </c>
      <c r="G5653" s="83" t="str">
        <f>IF(ISNUMBER(F5653),E5653*F5653,"")</f>
        <v/>
      </c>
      <c r="H5653" s="84"/>
      <c r="I5653" s="72"/>
      <c r="J5653" s="37">
        <v>0</v>
      </c>
    </row>
    <row r="5654" spans="1:10" ht="15.75" hidden="1" thickBot="1" x14ac:dyDescent="0.3">
      <c r="A5654" s="173" t="s">
        <v>1336</v>
      </c>
      <c r="B5654" s="176" t="s">
        <v>4966</v>
      </c>
      <c r="C5654" s="31"/>
      <c r="D5654" s="32" t="s">
        <v>3982</v>
      </c>
      <c r="E5654" s="33"/>
      <c r="F5654" s="60" t="s">
        <v>13</v>
      </c>
      <c r="G5654" s="34" t="str">
        <f>IF(ISNUMBER(F5654),E5654*F5654,"")</f>
        <v/>
      </c>
      <c r="H5654" s="35"/>
      <c r="I5654" s="36"/>
      <c r="J5654" s="37">
        <v>0</v>
      </c>
    </row>
    <row r="5655" spans="1:10" hidden="1" x14ac:dyDescent="0.25">
      <c r="A5655" s="179"/>
      <c r="B5655" s="177"/>
      <c r="C5655" s="39"/>
      <c r="D5655" s="39"/>
      <c r="E5655" s="40"/>
      <c r="F5655" s="70" t="s">
        <v>13</v>
      </c>
      <c r="G5655" s="70" t="str">
        <f>IF(ISNUMBER(F5655),E5655*F5655,"")</f>
        <v/>
      </c>
      <c r="H5655" s="71"/>
      <c r="I5655" s="72"/>
      <c r="J5655" s="37">
        <v>0</v>
      </c>
    </row>
    <row r="5656" spans="1:10" ht="25.5" hidden="1" x14ac:dyDescent="0.25">
      <c r="A5656" s="179"/>
      <c r="B5656" s="177"/>
      <c r="C5656" s="43" t="s">
        <v>10611</v>
      </c>
      <c r="D5656" s="43" t="s">
        <v>2800</v>
      </c>
      <c r="E5656" s="44" t="e">
        <f>IF(#REF!="Desonerado",ROUND(220/(1+'[1]Serviços SINAPI'!$E$6),4),ROUND(220/(1+'[1]Serviços SINAPI'!$F$6),4))</f>
        <v>#REF!</v>
      </c>
      <c r="F5656" s="38">
        <v>142.75650000000002</v>
      </c>
      <c r="G5656" s="70" t="e">
        <f>IF(ISNUMBER(F5656),E5656*F5656,"")</f>
        <v>#REF!</v>
      </c>
      <c r="H5656" s="46" t="e">
        <f>SUM(G5656:G5656)</f>
        <v>#REF!</v>
      </c>
      <c r="I5656" s="47"/>
      <c r="J5656" s="37">
        <v>0</v>
      </c>
    </row>
    <row r="5657" spans="1:10" hidden="1" x14ac:dyDescent="0.25">
      <c r="A5657" s="179"/>
      <c r="B5657" s="177"/>
      <c r="C5657" s="39"/>
      <c r="D5657" s="39"/>
      <c r="E5657" s="40"/>
      <c r="F5657" s="70" t="s">
        <v>13</v>
      </c>
      <c r="G5657" s="70" t="str">
        <f>IF(ISNUMBER(F5657),E5657*F5657,"")</f>
        <v/>
      </c>
      <c r="H5657" s="71"/>
      <c r="I5657" s="72"/>
      <c r="J5657" s="37">
        <v>0</v>
      </c>
    </row>
    <row r="5658" spans="1:10" ht="25.5" hidden="1" x14ac:dyDescent="0.25">
      <c r="A5658" s="179"/>
      <c r="B5658" s="177"/>
      <c r="C5658" s="4" t="s">
        <v>668</v>
      </c>
      <c r="D5658" s="39"/>
      <c r="E5658" s="40"/>
      <c r="F5658" s="70" t="s">
        <v>13</v>
      </c>
      <c r="G5658" s="70" t="str">
        <f>IF(ISNUMBER(F5658),E5658*F5658,"")</f>
        <v/>
      </c>
      <c r="H5658" s="71"/>
      <c r="I5658" s="72"/>
      <c r="J5658" s="37">
        <v>0</v>
      </c>
    </row>
    <row r="5659" spans="1:10" ht="15.75" hidden="1" thickBot="1" x14ac:dyDescent="0.3">
      <c r="A5659" s="180"/>
      <c r="B5659" s="178"/>
      <c r="C5659" s="49"/>
      <c r="D5659" s="63"/>
      <c r="E5659" s="50"/>
      <c r="F5659" s="83" t="s">
        <v>13</v>
      </c>
      <c r="G5659" s="83" t="str">
        <f>IF(ISNUMBER(F5659),E5659*F5659,"")</f>
        <v/>
      </c>
      <c r="H5659" s="84"/>
      <c r="I5659" s="72"/>
      <c r="J5659" s="37">
        <v>0</v>
      </c>
    </row>
    <row r="5660" spans="1:10" ht="15.75" hidden="1" thickBot="1" x14ac:dyDescent="0.3">
      <c r="A5660" s="173" t="s">
        <v>1337</v>
      </c>
      <c r="B5660" s="176" t="s">
        <v>4967</v>
      </c>
      <c r="C5660" s="31"/>
      <c r="D5660" s="32" t="s">
        <v>3982</v>
      </c>
      <c r="E5660" s="33"/>
      <c r="F5660" s="60" t="s">
        <v>13</v>
      </c>
      <c r="G5660" s="34" t="str">
        <f>IF(ISNUMBER(F5660),E5660*F5660,"")</f>
        <v/>
      </c>
      <c r="H5660" s="35"/>
      <c r="I5660" s="36"/>
      <c r="J5660" s="37">
        <v>0</v>
      </c>
    </row>
    <row r="5661" spans="1:10" hidden="1" x14ac:dyDescent="0.25">
      <c r="A5661" s="179"/>
      <c r="B5661" s="177"/>
      <c r="C5661" s="39"/>
      <c r="D5661" s="39"/>
      <c r="E5661" s="40"/>
      <c r="F5661" s="70" t="s">
        <v>13</v>
      </c>
      <c r="G5661" s="70" t="str">
        <f>IF(ISNUMBER(F5661),E5661*F5661,"")</f>
        <v/>
      </c>
      <c r="H5661" s="71"/>
      <c r="I5661" s="72"/>
      <c r="J5661" s="37">
        <v>0</v>
      </c>
    </row>
    <row r="5662" spans="1:10" ht="25.5" hidden="1" x14ac:dyDescent="0.25">
      <c r="A5662" s="179"/>
      <c r="B5662" s="177"/>
      <c r="C5662" s="43" t="s">
        <v>11082</v>
      </c>
      <c r="D5662" s="43" t="s">
        <v>2800</v>
      </c>
      <c r="E5662" s="44" t="e">
        <f>IF(#REF!="Desonerado",ROUND(220/(1+'[1]Serviços SINAPI'!$E$6),4),ROUND(220/(1+'[1]Serviços SINAPI'!$F$6),4))</f>
        <v>#REF!</v>
      </c>
      <c r="F5662" s="38">
        <v>55.261499999999998</v>
      </c>
      <c r="G5662" s="70" t="e">
        <f>IF(ISNUMBER(F5662),E5662*F5662,"")</f>
        <v>#REF!</v>
      </c>
      <c r="H5662" s="46" t="e">
        <f>SUM(G5662:G5662)</f>
        <v>#REF!</v>
      </c>
      <c r="I5662" s="47"/>
      <c r="J5662" s="37">
        <v>0</v>
      </c>
    </row>
    <row r="5663" spans="1:10" hidden="1" x14ac:dyDescent="0.25">
      <c r="A5663" s="179"/>
      <c r="B5663" s="177"/>
      <c r="C5663" s="39"/>
      <c r="D5663" s="39"/>
      <c r="E5663" s="40"/>
      <c r="F5663" s="70" t="s">
        <v>13</v>
      </c>
      <c r="G5663" s="70" t="str">
        <f>IF(ISNUMBER(F5663),E5663*F5663,"")</f>
        <v/>
      </c>
      <c r="H5663" s="71"/>
      <c r="I5663" s="72"/>
      <c r="J5663" s="37">
        <v>0</v>
      </c>
    </row>
    <row r="5664" spans="1:10" ht="25.5" hidden="1" x14ac:dyDescent="0.25">
      <c r="A5664" s="179"/>
      <c r="B5664" s="177"/>
      <c r="C5664" s="4" t="s">
        <v>668</v>
      </c>
      <c r="D5664" s="39"/>
      <c r="E5664" s="40"/>
      <c r="F5664" s="70" t="s">
        <v>13</v>
      </c>
      <c r="G5664" s="70" t="str">
        <f>IF(ISNUMBER(F5664),E5664*F5664,"")</f>
        <v/>
      </c>
      <c r="H5664" s="71"/>
      <c r="I5664" s="72"/>
      <c r="J5664" s="37">
        <v>0</v>
      </c>
    </row>
    <row r="5665" spans="1:10" ht="15.75" hidden="1" thickBot="1" x14ac:dyDescent="0.3">
      <c r="A5665" s="180"/>
      <c r="B5665" s="178"/>
      <c r="C5665" s="49"/>
      <c r="D5665" s="63"/>
      <c r="E5665" s="50"/>
      <c r="F5665" s="83" t="s">
        <v>13</v>
      </c>
      <c r="G5665" s="83" t="str">
        <f>IF(ISNUMBER(F5665),E5665*F5665,"")</f>
        <v/>
      </c>
      <c r="H5665" s="84"/>
      <c r="I5665" s="72"/>
      <c r="J5665" s="37">
        <v>0</v>
      </c>
    </row>
    <row r="5666" spans="1:10" ht="15.75" hidden="1" thickBot="1" x14ac:dyDescent="0.3">
      <c r="A5666" s="173" t="s">
        <v>1338</v>
      </c>
      <c r="B5666" s="176" t="s">
        <v>4968</v>
      </c>
      <c r="C5666" s="31"/>
      <c r="D5666" s="32" t="s">
        <v>3982</v>
      </c>
      <c r="E5666" s="33"/>
      <c r="F5666" s="60" t="s">
        <v>13</v>
      </c>
      <c r="G5666" s="34" t="str">
        <f>IF(ISNUMBER(F5666),E5666*F5666,"")</f>
        <v/>
      </c>
      <c r="H5666" s="35"/>
      <c r="I5666" s="36"/>
      <c r="J5666" s="37">
        <v>0</v>
      </c>
    </row>
    <row r="5667" spans="1:10" hidden="1" x14ac:dyDescent="0.25">
      <c r="A5667" s="179"/>
      <c r="B5667" s="177"/>
      <c r="C5667" s="39"/>
      <c r="D5667" s="39"/>
      <c r="E5667" s="40"/>
      <c r="F5667" s="70" t="s">
        <v>13</v>
      </c>
      <c r="G5667" s="70" t="str">
        <f>IF(ISNUMBER(F5667),E5667*F5667,"")</f>
        <v/>
      </c>
      <c r="H5667" s="71"/>
      <c r="I5667" s="72"/>
      <c r="J5667" s="37">
        <v>0</v>
      </c>
    </row>
    <row r="5668" spans="1:10" hidden="1" x14ac:dyDescent="0.25">
      <c r="A5668" s="179"/>
      <c r="B5668" s="177"/>
      <c r="C5668" s="43" t="s">
        <v>11215</v>
      </c>
      <c r="D5668" s="43" t="s">
        <v>2800</v>
      </c>
      <c r="E5668" s="44" t="e">
        <f>IF(#REF!="Desonerado",ROUND(220/(1+'[1]Serviços SINAPI'!$E$6),4),ROUND(220/(1+'[1]Serviços SINAPI'!$F$6),4))</f>
        <v>#REF!</v>
      </c>
      <c r="F5668" s="38">
        <v>29.734999999999999</v>
      </c>
      <c r="G5668" s="70" t="e">
        <f>IF(ISNUMBER(F5668),E5668*F5668,"")</f>
        <v>#REF!</v>
      </c>
      <c r="H5668" s="46" t="e">
        <f>SUM(G5668:G5668)</f>
        <v>#REF!</v>
      </c>
      <c r="I5668" s="47"/>
      <c r="J5668" s="37">
        <v>0</v>
      </c>
    </row>
    <row r="5669" spans="1:10" hidden="1" x14ac:dyDescent="0.25">
      <c r="A5669" s="179"/>
      <c r="B5669" s="177"/>
      <c r="C5669" s="39"/>
      <c r="D5669" s="39"/>
      <c r="E5669" s="40"/>
      <c r="F5669" s="70" t="s">
        <v>13</v>
      </c>
      <c r="G5669" s="70" t="str">
        <f>IF(ISNUMBER(F5669),E5669*F5669,"")</f>
        <v/>
      </c>
      <c r="H5669" s="71"/>
      <c r="I5669" s="72"/>
      <c r="J5669" s="37">
        <v>0</v>
      </c>
    </row>
    <row r="5670" spans="1:10" ht="25.5" hidden="1" x14ac:dyDescent="0.25">
      <c r="A5670" s="179"/>
      <c r="B5670" s="177"/>
      <c r="C5670" s="4" t="s">
        <v>668</v>
      </c>
      <c r="D5670" s="39"/>
      <c r="E5670" s="40"/>
      <c r="F5670" s="70" t="s">
        <v>13</v>
      </c>
      <c r="G5670" s="70" t="str">
        <f>IF(ISNUMBER(F5670),E5670*F5670,"")</f>
        <v/>
      </c>
      <c r="H5670" s="71"/>
      <c r="I5670" s="72"/>
      <c r="J5670" s="37">
        <v>0</v>
      </c>
    </row>
    <row r="5671" spans="1:10" ht="15.75" hidden="1" thickBot="1" x14ac:dyDescent="0.3">
      <c r="A5671" s="180"/>
      <c r="B5671" s="178"/>
      <c r="C5671" s="49"/>
      <c r="D5671" s="63"/>
      <c r="E5671" s="50"/>
      <c r="F5671" s="83" t="s">
        <v>13</v>
      </c>
      <c r="G5671" s="83" t="str">
        <f>IF(ISNUMBER(F5671),E5671*F5671,"")</f>
        <v/>
      </c>
      <c r="H5671" s="84"/>
      <c r="I5671" s="72"/>
      <c r="J5671" s="37">
        <v>0</v>
      </c>
    </row>
    <row r="5672" spans="1:10" ht="15.75" hidden="1" thickBot="1" x14ac:dyDescent="0.3">
      <c r="A5672" s="179" t="s">
        <v>1339</v>
      </c>
      <c r="B5672" s="177" t="s">
        <v>4969</v>
      </c>
      <c r="C5672" s="56"/>
      <c r="D5672" s="48" t="s">
        <v>3982</v>
      </c>
      <c r="E5672" s="95"/>
      <c r="F5672" s="96" t="s">
        <v>13</v>
      </c>
      <c r="G5672" s="97" t="str">
        <f>IF(ISNUMBER(F5672),E5672*F5672,"")</f>
        <v/>
      </c>
      <c r="H5672" s="98"/>
      <c r="I5672" s="36"/>
      <c r="J5672" s="37">
        <v>0</v>
      </c>
    </row>
    <row r="5673" spans="1:10" hidden="1" x14ac:dyDescent="0.25">
      <c r="A5673" s="179"/>
      <c r="B5673" s="177"/>
      <c r="C5673" s="39"/>
      <c r="D5673" s="39"/>
      <c r="E5673" s="40"/>
      <c r="F5673" s="70" t="s">
        <v>13</v>
      </c>
      <c r="G5673" s="70" t="str">
        <f>IF(ISNUMBER(F5673),E5673*F5673,"")</f>
        <v/>
      </c>
      <c r="H5673" s="71"/>
      <c r="I5673" s="72"/>
      <c r="J5673" s="37">
        <v>0</v>
      </c>
    </row>
    <row r="5674" spans="1:10" hidden="1" x14ac:dyDescent="0.25">
      <c r="A5674" s="179"/>
      <c r="B5674" s="177"/>
      <c r="C5674" s="43" t="s">
        <v>11215</v>
      </c>
      <c r="D5674" s="43" t="s">
        <v>2800</v>
      </c>
      <c r="E5674" s="44" t="e">
        <f>IF(#REF!="Desonerado",ROUND(220/(1+'[1]Serviços SINAPI'!$E$6),4),ROUND(220/(1+'[1]Serviços SINAPI'!$F$6),4))</f>
        <v>#REF!</v>
      </c>
      <c r="F5674" s="38">
        <v>29.734999999999999</v>
      </c>
      <c r="G5674" s="70" t="e">
        <f>IF(ISNUMBER(F5674),E5674*F5674,"")</f>
        <v>#REF!</v>
      </c>
      <c r="H5674" s="46" t="e">
        <f>SUM(G5674:G5674)</f>
        <v>#REF!</v>
      </c>
      <c r="I5674" s="47"/>
      <c r="J5674" s="37">
        <v>0</v>
      </c>
    </row>
    <row r="5675" spans="1:10" hidden="1" x14ac:dyDescent="0.25">
      <c r="A5675" s="179"/>
      <c r="B5675" s="177"/>
      <c r="C5675" s="39"/>
      <c r="D5675" s="39"/>
      <c r="E5675" s="40"/>
      <c r="F5675" s="70" t="s">
        <v>13</v>
      </c>
      <c r="G5675" s="70" t="str">
        <f>IF(ISNUMBER(F5675),E5675*F5675,"")</f>
        <v/>
      </c>
      <c r="H5675" s="71"/>
      <c r="I5675" s="72"/>
      <c r="J5675" s="37">
        <v>0</v>
      </c>
    </row>
    <row r="5676" spans="1:10" ht="25.5" hidden="1" x14ac:dyDescent="0.25">
      <c r="A5676" s="179"/>
      <c r="B5676" s="177"/>
      <c r="C5676" s="4" t="s">
        <v>668</v>
      </c>
      <c r="D5676" s="39"/>
      <c r="E5676" s="40"/>
      <c r="F5676" s="70" t="s">
        <v>13</v>
      </c>
      <c r="G5676" s="70" t="str">
        <f>IF(ISNUMBER(F5676),E5676*F5676,"")</f>
        <v/>
      </c>
      <c r="H5676" s="71"/>
      <c r="I5676" s="72"/>
      <c r="J5676" s="37">
        <v>0</v>
      </c>
    </row>
    <row r="5677" spans="1:10" ht="15.75" hidden="1" thickBot="1" x14ac:dyDescent="0.3">
      <c r="A5677" s="180"/>
      <c r="B5677" s="178"/>
      <c r="C5677" s="49"/>
      <c r="D5677" s="63"/>
      <c r="E5677" s="50"/>
      <c r="F5677" s="83" t="s">
        <v>13</v>
      </c>
      <c r="G5677" s="83" t="str">
        <f>IF(ISNUMBER(F5677),E5677*F5677,"")</f>
        <v/>
      </c>
      <c r="H5677" s="84"/>
      <c r="I5677" s="72"/>
      <c r="J5677" s="37">
        <v>0</v>
      </c>
    </row>
    <row r="5678" spans="1:10" ht="15.75" hidden="1" thickBot="1" x14ac:dyDescent="0.3">
      <c r="A5678" s="179" t="s">
        <v>1340</v>
      </c>
      <c r="B5678" s="177" t="s">
        <v>4970</v>
      </c>
      <c r="C5678" s="56"/>
      <c r="D5678" s="48" t="s">
        <v>3982</v>
      </c>
      <c r="E5678" s="95"/>
      <c r="F5678" s="96" t="s">
        <v>13</v>
      </c>
      <c r="G5678" s="97" t="str">
        <f>IF(ISNUMBER(F5678),E5678*F5678,"")</f>
        <v/>
      </c>
      <c r="H5678" s="98"/>
      <c r="I5678" s="36"/>
      <c r="J5678" s="37">
        <v>0</v>
      </c>
    </row>
    <row r="5679" spans="1:10" hidden="1" x14ac:dyDescent="0.25">
      <c r="A5679" s="179"/>
      <c r="B5679" s="177"/>
      <c r="C5679" s="39"/>
      <c r="D5679" s="39"/>
      <c r="E5679" s="40"/>
      <c r="F5679" s="70" t="s">
        <v>13</v>
      </c>
      <c r="G5679" s="70" t="str">
        <f>IF(ISNUMBER(F5679),E5679*F5679,"")</f>
        <v/>
      </c>
      <c r="H5679" s="71"/>
      <c r="I5679" s="72"/>
      <c r="J5679" s="37">
        <v>0</v>
      </c>
    </row>
    <row r="5680" spans="1:10" hidden="1" x14ac:dyDescent="0.25">
      <c r="A5680" s="179"/>
      <c r="B5680" s="177"/>
      <c r="C5680" s="43" t="s">
        <v>11202</v>
      </c>
      <c r="D5680" s="43" t="s">
        <v>2800</v>
      </c>
      <c r="E5680" s="44" t="e">
        <f>IF(#REF!="Desonerado",ROUND(220/(1+'[1]Serviços SINAPI'!$E$6),4),ROUND(220/(1+'[1]Serviços SINAPI'!$F$6),4))</f>
        <v>#REF!</v>
      </c>
      <c r="F5680" s="38">
        <v>18.344499999999996</v>
      </c>
      <c r="G5680" s="70" t="e">
        <f>IF(ISNUMBER(F5680),E5680*F5680,"")</f>
        <v>#REF!</v>
      </c>
      <c r="H5680" s="46" t="e">
        <f>SUM(G5680:G5680)</f>
        <v>#REF!</v>
      </c>
      <c r="I5680" s="47"/>
      <c r="J5680" s="37">
        <v>0</v>
      </c>
    </row>
    <row r="5681" spans="1:10" hidden="1" x14ac:dyDescent="0.25">
      <c r="A5681" s="179"/>
      <c r="B5681" s="177"/>
      <c r="C5681" s="39"/>
      <c r="D5681" s="39"/>
      <c r="E5681" s="40"/>
      <c r="F5681" s="70" t="s">
        <v>13</v>
      </c>
      <c r="G5681" s="70" t="str">
        <f>IF(ISNUMBER(F5681),E5681*F5681,"")</f>
        <v/>
      </c>
      <c r="H5681" s="71"/>
      <c r="I5681" s="72"/>
      <c r="J5681" s="37">
        <v>0</v>
      </c>
    </row>
    <row r="5682" spans="1:10" ht="25.5" hidden="1" x14ac:dyDescent="0.25">
      <c r="A5682" s="179"/>
      <c r="B5682" s="177"/>
      <c r="C5682" s="4" t="s">
        <v>668</v>
      </c>
      <c r="D5682" s="39"/>
      <c r="E5682" s="40"/>
      <c r="F5682" s="70" t="s">
        <v>13</v>
      </c>
      <c r="G5682" s="70" t="str">
        <f>IF(ISNUMBER(F5682),E5682*F5682,"")</f>
        <v/>
      </c>
      <c r="H5682" s="71"/>
      <c r="I5682" s="72"/>
      <c r="J5682" s="37">
        <v>0</v>
      </c>
    </row>
    <row r="5683" spans="1:10" ht="15.75" hidden="1" thickBot="1" x14ac:dyDescent="0.3">
      <c r="A5683" s="180"/>
      <c r="B5683" s="178"/>
      <c r="C5683" s="49"/>
      <c r="D5683" s="63"/>
      <c r="E5683" s="50"/>
      <c r="F5683" s="83" t="s">
        <v>13</v>
      </c>
      <c r="G5683" s="83" t="str">
        <f>IF(ISNUMBER(F5683),E5683*F5683,"")</f>
        <v/>
      </c>
      <c r="H5683" s="84"/>
      <c r="I5683" s="72"/>
      <c r="J5683" s="37">
        <v>0</v>
      </c>
    </row>
    <row r="5684" spans="1:10" ht="15.75" hidden="1" thickBot="1" x14ac:dyDescent="0.3">
      <c r="A5684" s="179" t="s">
        <v>1341</v>
      </c>
      <c r="B5684" s="177" t="s">
        <v>4971</v>
      </c>
      <c r="C5684" s="56"/>
      <c r="D5684" s="48" t="s">
        <v>3982</v>
      </c>
      <c r="E5684" s="95"/>
      <c r="F5684" s="96" t="s">
        <v>13</v>
      </c>
      <c r="G5684" s="97" t="str">
        <f>IF(ISNUMBER(F5684),E5684*F5684,"")</f>
        <v/>
      </c>
      <c r="H5684" s="98"/>
      <c r="I5684" s="36"/>
      <c r="J5684" s="37">
        <v>0</v>
      </c>
    </row>
    <row r="5685" spans="1:10" hidden="1" x14ac:dyDescent="0.25">
      <c r="A5685" s="179"/>
      <c r="B5685" s="177"/>
      <c r="C5685" s="39"/>
      <c r="D5685" s="39"/>
      <c r="E5685" s="40"/>
      <c r="F5685" s="70" t="s">
        <v>13</v>
      </c>
      <c r="G5685" s="70" t="str">
        <f>IF(ISNUMBER(F5685),E5685*F5685,"")</f>
        <v/>
      </c>
      <c r="H5685" s="71"/>
      <c r="I5685" s="72"/>
      <c r="J5685" s="37">
        <v>0</v>
      </c>
    </row>
    <row r="5686" spans="1:10" hidden="1" x14ac:dyDescent="0.25">
      <c r="A5686" s="179"/>
      <c r="B5686" s="177"/>
      <c r="C5686" s="43" t="s">
        <v>11216</v>
      </c>
      <c r="D5686" s="43" t="s">
        <v>2800</v>
      </c>
      <c r="E5686" s="44" t="e">
        <f>IF(#REF!="Desonerado",ROUND(220/(1+'[1]Serviços SINAPI'!$E$6),4),ROUND(220/(1+'[1]Serviços SINAPI'!$F$6),4))</f>
        <v>#REF!</v>
      </c>
      <c r="F5686" s="38">
        <v>38.037999999999997</v>
      </c>
      <c r="G5686" s="70" t="e">
        <f>IF(ISNUMBER(F5686),E5686*F5686,"")</f>
        <v>#REF!</v>
      </c>
      <c r="H5686" s="46" t="e">
        <f>SUM(G5686:G5686)</f>
        <v>#REF!</v>
      </c>
      <c r="I5686" s="47"/>
      <c r="J5686" s="37">
        <v>0</v>
      </c>
    </row>
    <row r="5687" spans="1:10" hidden="1" x14ac:dyDescent="0.25">
      <c r="A5687" s="179"/>
      <c r="B5687" s="177"/>
      <c r="C5687" s="39"/>
      <c r="D5687" s="39"/>
      <c r="E5687" s="40"/>
      <c r="F5687" s="70" t="s">
        <v>13</v>
      </c>
      <c r="G5687" s="70" t="str">
        <f>IF(ISNUMBER(F5687),E5687*F5687,"")</f>
        <v/>
      </c>
      <c r="H5687" s="71"/>
      <c r="I5687" s="72"/>
      <c r="J5687" s="37">
        <v>0</v>
      </c>
    </row>
    <row r="5688" spans="1:10" ht="25.5" hidden="1" x14ac:dyDescent="0.25">
      <c r="A5688" s="179"/>
      <c r="B5688" s="177"/>
      <c r="C5688" s="4" t="s">
        <v>668</v>
      </c>
      <c r="D5688" s="39"/>
      <c r="E5688" s="40"/>
      <c r="F5688" s="70" t="s">
        <v>13</v>
      </c>
      <c r="G5688" s="70" t="str">
        <f>IF(ISNUMBER(F5688),E5688*F5688,"")</f>
        <v/>
      </c>
      <c r="H5688" s="71"/>
      <c r="I5688" s="72"/>
      <c r="J5688" s="37">
        <v>0</v>
      </c>
    </row>
    <row r="5689" spans="1:10" ht="15.75" hidden="1" thickBot="1" x14ac:dyDescent="0.3">
      <c r="A5689" s="180"/>
      <c r="B5689" s="178"/>
      <c r="C5689" s="49"/>
      <c r="D5689" s="63"/>
      <c r="E5689" s="50"/>
      <c r="F5689" s="83" t="s">
        <v>13</v>
      </c>
      <c r="G5689" s="83" t="str">
        <f>IF(ISNUMBER(F5689),E5689*F5689,"")</f>
        <v/>
      </c>
      <c r="H5689" s="84"/>
      <c r="I5689" s="72"/>
      <c r="J5689" s="37">
        <v>0</v>
      </c>
    </row>
    <row r="5690" spans="1:10" ht="15.75" hidden="1" thickBot="1" x14ac:dyDescent="0.3">
      <c r="A5690" s="179" t="s">
        <v>1342</v>
      </c>
      <c r="B5690" s="177" t="s">
        <v>4972</v>
      </c>
      <c r="C5690" s="56"/>
      <c r="D5690" s="48" t="s">
        <v>3982</v>
      </c>
      <c r="E5690" s="95"/>
      <c r="F5690" s="96" t="s">
        <v>13</v>
      </c>
      <c r="G5690" s="97" t="str">
        <f>IF(ISNUMBER(F5690),E5690*F5690,"")</f>
        <v/>
      </c>
      <c r="H5690" s="98"/>
      <c r="I5690" s="36"/>
      <c r="J5690" s="37">
        <v>0</v>
      </c>
    </row>
    <row r="5691" spans="1:10" hidden="1" x14ac:dyDescent="0.25">
      <c r="A5691" s="179"/>
      <c r="B5691" s="177"/>
      <c r="C5691" s="39"/>
      <c r="D5691" s="39"/>
      <c r="E5691" s="40"/>
      <c r="F5691" s="70" t="s">
        <v>13</v>
      </c>
      <c r="G5691" s="70" t="str">
        <f>IF(ISNUMBER(F5691),E5691*F5691,"")</f>
        <v/>
      </c>
      <c r="H5691" s="71"/>
      <c r="I5691" s="72"/>
      <c r="J5691" s="37">
        <v>0</v>
      </c>
    </row>
    <row r="5692" spans="1:10" hidden="1" x14ac:dyDescent="0.25">
      <c r="A5692" s="179"/>
      <c r="B5692" s="177"/>
      <c r="C5692" s="43" t="s">
        <v>11216</v>
      </c>
      <c r="D5692" s="43" t="s">
        <v>2800</v>
      </c>
      <c r="E5692" s="44" t="e">
        <f>IF(#REF!="Desonerado",ROUND(220/(1+'[1]Serviços SINAPI'!$E$6),4),ROUND(220/(1+'[1]Serviços SINAPI'!$F$6),4))</f>
        <v>#REF!</v>
      </c>
      <c r="F5692" s="38">
        <v>38.037999999999997</v>
      </c>
      <c r="G5692" s="70" t="e">
        <f>IF(ISNUMBER(F5692),E5692*F5692,"")</f>
        <v>#REF!</v>
      </c>
      <c r="H5692" s="46" t="e">
        <f>SUM(G5692:G5692)</f>
        <v>#REF!</v>
      </c>
      <c r="I5692" s="47"/>
      <c r="J5692" s="37">
        <v>0</v>
      </c>
    </row>
    <row r="5693" spans="1:10" hidden="1" x14ac:dyDescent="0.25">
      <c r="A5693" s="179"/>
      <c r="B5693" s="177"/>
      <c r="C5693" s="39"/>
      <c r="D5693" s="39"/>
      <c r="E5693" s="40"/>
      <c r="F5693" s="70" t="s">
        <v>13</v>
      </c>
      <c r="G5693" s="70" t="str">
        <f>IF(ISNUMBER(F5693),E5693*F5693,"")</f>
        <v/>
      </c>
      <c r="H5693" s="71"/>
      <c r="I5693" s="72"/>
      <c r="J5693" s="37">
        <v>0</v>
      </c>
    </row>
    <row r="5694" spans="1:10" ht="25.5" hidden="1" x14ac:dyDescent="0.25">
      <c r="A5694" s="179"/>
      <c r="B5694" s="177"/>
      <c r="C5694" s="4" t="s">
        <v>668</v>
      </c>
      <c r="D5694" s="39"/>
      <c r="E5694" s="40"/>
      <c r="F5694" s="70" t="s">
        <v>13</v>
      </c>
      <c r="G5694" s="70" t="str">
        <f>IF(ISNUMBER(F5694),E5694*F5694,"")</f>
        <v/>
      </c>
      <c r="H5694" s="71"/>
      <c r="I5694" s="72"/>
      <c r="J5694" s="37">
        <v>0</v>
      </c>
    </row>
    <row r="5695" spans="1:10" ht="15.75" hidden="1" thickBot="1" x14ac:dyDescent="0.3">
      <c r="A5695" s="180"/>
      <c r="B5695" s="178"/>
      <c r="C5695" s="49"/>
      <c r="D5695" s="63"/>
      <c r="E5695" s="50"/>
      <c r="F5695" s="83" t="s">
        <v>13</v>
      </c>
      <c r="G5695" s="83" t="str">
        <f>IF(ISNUMBER(F5695),E5695*F5695,"")</f>
        <v/>
      </c>
      <c r="H5695" s="84"/>
      <c r="I5695" s="72"/>
      <c r="J5695" s="37">
        <v>0</v>
      </c>
    </row>
    <row r="5696" spans="1:10" ht="15.75" hidden="1" thickBot="1" x14ac:dyDescent="0.3">
      <c r="A5696" s="179" t="s">
        <v>1343</v>
      </c>
      <c r="B5696" s="177" t="s">
        <v>4973</v>
      </c>
      <c r="C5696" s="56"/>
      <c r="D5696" s="48" t="s">
        <v>3982</v>
      </c>
      <c r="E5696" s="95"/>
      <c r="F5696" s="96" t="s">
        <v>13</v>
      </c>
      <c r="G5696" s="97" t="str">
        <f>IF(ISNUMBER(F5696),E5696*F5696,"")</f>
        <v/>
      </c>
      <c r="H5696" s="98"/>
      <c r="I5696" s="36"/>
      <c r="J5696" s="37">
        <v>0</v>
      </c>
    </row>
    <row r="5697" spans="1:10" hidden="1" x14ac:dyDescent="0.25">
      <c r="A5697" s="179"/>
      <c r="B5697" s="177"/>
      <c r="C5697" s="39"/>
      <c r="D5697" s="39"/>
      <c r="E5697" s="40"/>
      <c r="F5697" s="70" t="s">
        <v>13</v>
      </c>
      <c r="G5697" s="70" t="str">
        <f>IF(ISNUMBER(F5697),E5697*F5697,"")</f>
        <v/>
      </c>
      <c r="H5697" s="71"/>
      <c r="I5697" s="72"/>
      <c r="J5697" s="37">
        <v>0</v>
      </c>
    </row>
    <row r="5698" spans="1:10" hidden="1" x14ac:dyDescent="0.25">
      <c r="A5698" s="179"/>
      <c r="B5698" s="177"/>
      <c r="C5698" s="43" t="s">
        <v>11216</v>
      </c>
      <c r="D5698" s="43" t="s">
        <v>2800</v>
      </c>
      <c r="E5698" s="44" t="e">
        <f>IF(#REF!="Desonerado",ROUND(220/(1+'[1]Serviços SINAPI'!$E$6),4),ROUND(220/(1+'[1]Serviços SINAPI'!$F$6),4))</f>
        <v>#REF!</v>
      </c>
      <c r="F5698" s="38">
        <v>38.037999999999997</v>
      </c>
      <c r="G5698" s="70" t="e">
        <f>IF(ISNUMBER(F5698),E5698*F5698,"")</f>
        <v>#REF!</v>
      </c>
      <c r="H5698" s="46" t="e">
        <f>SUM(G5698:G5698)</f>
        <v>#REF!</v>
      </c>
      <c r="I5698" s="47"/>
      <c r="J5698" s="37">
        <v>0</v>
      </c>
    </row>
    <row r="5699" spans="1:10" hidden="1" x14ac:dyDescent="0.25">
      <c r="A5699" s="179"/>
      <c r="B5699" s="177"/>
      <c r="C5699" s="39"/>
      <c r="D5699" s="39"/>
      <c r="E5699" s="40"/>
      <c r="F5699" s="70" t="s">
        <v>13</v>
      </c>
      <c r="G5699" s="70" t="str">
        <f>IF(ISNUMBER(F5699),E5699*F5699,"")</f>
        <v/>
      </c>
      <c r="H5699" s="71"/>
      <c r="I5699" s="72"/>
      <c r="J5699" s="37">
        <v>0</v>
      </c>
    </row>
    <row r="5700" spans="1:10" ht="25.5" hidden="1" x14ac:dyDescent="0.25">
      <c r="A5700" s="179"/>
      <c r="B5700" s="177"/>
      <c r="C5700" s="4" t="s">
        <v>668</v>
      </c>
      <c r="D5700" s="39"/>
      <c r="E5700" s="40"/>
      <c r="F5700" s="70" t="s">
        <v>13</v>
      </c>
      <c r="G5700" s="70" t="str">
        <f>IF(ISNUMBER(F5700),E5700*F5700,"")</f>
        <v/>
      </c>
      <c r="H5700" s="71"/>
      <c r="I5700" s="72"/>
      <c r="J5700" s="37">
        <v>0</v>
      </c>
    </row>
    <row r="5701" spans="1:10" ht="15.75" hidden="1" thickBot="1" x14ac:dyDescent="0.3">
      <c r="A5701" s="180"/>
      <c r="B5701" s="178"/>
      <c r="C5701" s="49"/>
      <c r="D5701" s="63"/>
      <c r="E5701" s="50"/>
      <c r="F5701" s="83" t="s">
        <v>13</v>
      </c>
      <c r="G5701" s="83" t="str">
        <f>IF(ISNUMBER(F5701),E5701*F5701,"")</f>
        <v/>
      </c>
      <c r="H5701" s="84"/>
      <c r="I5701" s="72"/>
      <c r="J5701" s="37">
        <v>0</v>
      </c>
    </row>
    <row r="5702" spans="1:10" ht="15.75" hidden="1" thickBot="1" x14ac:dyDescent="0.3">
      <c r="A5702" s="179" t="s">
        <v>1344</v>
      </c>
      <c r="B5702" s="177" t="s">
        <v>4974</v>
      </c>
      <c r="C5702" s="56"/>
      <c r="D5702" s="48" t="s">
        <v>3982</v>
      </c>
      <c r="E5702" s="95"/>
      <c r="F5702" s="96" t="s">
        <v>13</v>
      </c>
      <c r="G5702" s="97" t="str">
        <f>IF(ISNUMBER(F5702),E5702*F5702,"")</f>
        <v/>
      </c>
      <c r="H5702" s="98"/>
      <c r="I5702" s="36"/>
      <c r="J5702" s="37">
        <v>0</v>
      </c>
    </row>
    <row r="5703" spans="1:10" hidden="1" x14ac:dyDescent="0.25">
      <c r="A5703" s="179"/>
      <c r="B5703" s="177"/>
      <c r="C5703" s="39"/>
      <c r="D5703" s="39"/>
      <c r="E5703" s="40"/>
      <c r="F5703" s="70" t="s">
        <v>13</v>
      </c>
      <c r="G5703" s="70" t="str">
        <f>IF(ISNUMBER(F5703),E5703*F5703,"")</f>
        <v/>
      </c>
      <c r="H5703" s="71"/>
      <c r="I5703" s="72"/>
      <c r="J5703" s="37">
        <v>0</v>
      </c>
    </row>
    <row r="5704" spans="1:10" hidden="1" x14ac:dyDescent="0.25">
      <c r="A5704" s="179"/>
      <c r="B5704" s="177"/>
      <c r="C5704" s="43" t="s">
        <v>11216</v>
      </c>
      <c r="D5704" s="43" t="s">
        <v>2800</v>
      </c>
      <c r="E5704" s="44" t="e">
        <f>IF(#REF!="Desonerado",ROUND(220/(1+'[1]Serviços SINAPI'!$E$6),4),ROUND(220/(1+'[1]Serviços SINAPI'!$F$6),4))</f>
        <v>#REF!</v>
      </c>
      <c r="F5704" s="38">
        <v>38.037999999999997</v>
      </c>
      <c r="G5704" s="70" t="e">
        <f>IF(ISNUMBER(F5704),E5704*F5704,"")</f>
        <v>#REF!</v>
      </c>
      <c r="H5704" s="46" t="e">
        <f>SUM(G5704:G5704)</f>
        <v>#REF!</v>
      </c>
      <c r="I5704" s="47"/>
      <c r="J5704" s="37">
        <v>0</v>
      </c>
    </row>
    <row r="5705" spans="1:10" hidden="1" x14ac:dyDescent="0.25">
      <c r="A5705" s="179"/>
      <c r="B5705" s="177"/>
      <c r="C5705" s="39"/>
      <c r="D5705" s="39"/>
      <c r="E5705" s="40"/>
      <c r="F5705" s="70" t="s">
        <v>13</v>
      </c>
      <c r="G5705" s="70" t="str">
        <f>IF(ISNUMBER(F5705),E5705*F5705,"")</f>
        <v/>
      </c>
      <c r="H5705" s="71"/>
      <c r="I5705" s="72"/>
      <c r="J5705" s="37">
        <v>0</v>
      </c>
    </row>
    <row r="5706" spans="1:10" ht="25.5" hidden="1" x14ac:dyDescent="0.25">
      <c r="A5706" s="179"/>
      <c r="B5706" s="177"/>
      <c r="C5706" s="4" t="s">
        <v>668</v>
      </c>
      <c r="D5706" s="39"/>
      <c r="E5706" s="40"/>
      <c r="F5706" s="70" t="s">
        <v>13</v>
      </c>
      <c r="G5706" s="70" t="str">
        <f>IF(ISNUMBER(F5706),E5706*F5706,"")</f>
        <v/>
      </c>
      <c r="H5706" s="71"/>
      <c r="I5706" s="72"/>
      <c r="J5706" s="37">
        <v>0</v>
      </c>
    </row>
    <row r="5707" spans="1:10" ht="15.75" hidden="1" thickBot="1" x14ac:dyDescent="0.3">
      <c r="A5707" s="180"/>
      <c r="B5707" s="178"/>
      <c r="C5707" s="49"/>
      <c r="D5707" s="63"/>
      <c r="E5707" s="50"/>
      <c r="F5707" s="83" t="s">
        <v>13</v>
      </c>
      <c r="G5707" s="83" t="str">
        <f>IF(ISNUMBER(F5707),E5707*F5707,"")</f>
        <v/>
      </c>
      <c r="H5707" s="84"/>
      <c r="I5707" s="72"/>
      <c r="J5707" s="37">
        <v>0</v>
      </c>
    </row>
    <row r="5708" spans="1:10" ht="15.75" hidden="1" thickBot="1" x14ac:dyDescent="0.3">
      <c r="A5708" s="179" t="s">
        <v>1345</v>
      </c>
      <c r="B5708" s="177" t="s">
        <v>4975</v>
      </c>
      <c r="C5708" s="56"/>
      <c r="D5708" s="48" t="s">
        <v>3982</v>
      </c>
      <c r="E5708" s="95"/>
      <c r="F5708" s="96" t="s">
        <v>13</v>
      </c>
      <c r="G5708" s="97" t="str">
        <f>IF(ISNUMBER(F5708),E5708*F5708,"")</f>
        <v/>
      </c>
      <c r="H5708" s="98"/>
      <c r="I5708" s="36"/>
      <c r="J5708" s="37">
        <v>0</v>
      </c>
    </row>
    <row r="5709" spans="1:10" hidden="1" x14ac:dyDescent="0.25">
      <c r="A5709" s="179"/>
      <c r="B5709" s="177"/>
      <c r="C5709" s="39"/>
      <c r="D5709" s="39"/>
      <c r="E5709" s="40"/>
      <c r="F5709" s="70" t="s">
        <v>13</v>
      </c>
      <c r="G5709" s="70" t="str">
        <f>IF(ISNUMBER(F5709),E5709*F5709,"")</f>
        <v/>
      </c>
      <c r="H5709" s="71"/>
      <c r="I5709" s="72"/>
      <c r="J5709" s="37">
        <v>0</v>
      </c>
    </row>
    <row r="5710" spans="1:10" hidden="1" x14ac:dyDescent="0.25">
      <c r="A5710" s="179"/>
      <c r="B5710" s="177"/>
      <c r="C5710" s="43" t="s">
        <v>10763</v>
      </c>
      <c r="D5710" s="43" t="s">
        <v>2800</v>
      </c>
      <c r="E5710" s="44" t="e">
        <f>IF(#REF!="Desonerado",ROUND(220/(1+'[1]Serviços SINAPI'!$E$6),4),ROUND(220/(1+'[1]Serviços SINAPI'!$F$6),4))</f>
        <v>#REF!</v>
      </c>
      <c r="F5710" s="38">
        <v>31.435500000000001</v>
      </c>
      <c r="G5710" s="70" t="e">
        <f>IF(ISNUMBER(F5710),E5710*F5710,"")</f>
        <v>#REF!</v>
      </c>
      <c r="H5710" s="46" t="e">
        <f>SUM(G5710:G5710)</f>
        <v>#REF!</v>
      </c>
      <c r="I5710" s="47"/>
      <c r="J5710" s="37">
        <v>0</v>
      </c>
    </row>
    <row r="5711" spans="1:10" hidden="1" x14ac:dyDescent="0.25">
      <c r="A5711" s="179"/>
      <c r="B5711" s="177"/>
      <c r="C5711" s="39"/>
      <c r="D5711" s="39"/>
      <c r="E5711" s="40"/>
      <c r="F5711" s="70" t="s">
        <v>13</v>
      </c>
      <c r="G5711" s="70" t="str">
        <f>IF(ISNUMBER(F5711),E5711*F5711,"")</f>
        <v/>
      </c>
      <c r="H5711" s="71"/>
      <c r="I5711" s="72"/>
      <c r="J5711" s="37">
        <v>0</v>
      </c>
    </row>
    <row r="5712" spans="1:10" ht="25.5" hidden="1" x14ac:dyDescent="0.25">
      <c r="A5712" s="179"/>
      <c r="B5712" s="177"/>
      <c r="C5712" s="4" t="s">
        <v>668</v>
      </c>
      <c r="D5712" s="39"/>
      <c r="E5712" s="40"/>
      <c r="F5712" s="70" t="s">
        <v>13</v>
      </c>
      <c r="G5712" s="70" t="str">
        <f>IF(ISNUMBER(F5712),E5712*F5712,"")</f>
        <v/>
      </c>
      <c r="H5712" s="71"/>
      <c r="I5712" s="72"/>
      <c r="J5712" s="37">
        <v>0</v>
      </c>
    </row>
    <row r="5713" spans="1:10" ht="15.75" hidden="1" thickBot="1" x14ac:dyDescent="0.3">
      <c r="A5713" s="180"/>
      <c r="B5713" s="178"/>
      <c r="C5713" s="49"/>
      <c r="D5713" s="63"/>
      <c r="E5713" s="50"/>
      <c r="F5713" s="83" t="s">
        <v>13</v>
      </c>
      <c r="G5713" s="83" t="str">
        <f>IF(ISNUMBER(F5713),E5713*F5713,"")</f>
        <v/>
      </c>
      <c r="H5713" s="84"/>
      <c r="I5713" s="72"/>
      <c r="J5713" s="37">
        <v>0</v>
      </c>
    </row>
    <row r="5714" spans="1:10" ht="15.75" hidden="1" thickBot="1" x14ac:dyDescent="0.3">
      <c r="A5714" s="179" t="s">
        <v>1346</v>
      </c>
      <c r="B5714" s="177" t="s">
        <v>4976</v>
      </c>
      <c r="C5714" s="56"/>
      <c r="D5714" s="48" t="s">
        <v>3982</v>
      </c>
      <c r="E5714" s="95"/>
      <c r="F5714" s="96" t="s">
        <v>13</v>
      </c>
      <c r="G5714" s="97" t="str">
        <f>IF(ISNUMBER(F5714),E5714*F5714,"")</f>
        <v/>
      </c>
      <c r="H5714" s="98"/>
      <c r="I5714" s="36"/>
      <c r="J5714" s="37">
        <v>0</v>
      </c>
    </row>
    <row r="5715" spans="1:10" hidden="1" x14ac:dyDescent="0.25">
      <c r="A5715" s="179"/>
      <c r="B5715" s="177"/>
      <c r="C5715" s="39"/>
      <c r="D5715" s="39"/>
      <c r="E5715" s="40"/>
      <c r="F5715" s="70" t="s">
        <v>13</v>
      </c>
      <c r="G5715" s="70" t="str">
        <f>IF(ISNUMBER(F5715),E5715*F5715,"")</f>
        <v/>
      </c>
      <c r="H5715" s="71"/>
      <c r="I5715" s="72"/>
      <c r="J5715" s="37">
        <v>0</v>
      </c>
    </row>
    <row r="5716" spans="1:10" hidden="1" x14ac:dyDescent="0.25">
      <c r="A5716" s="179"/>
      <c r="B5716" s="177"/>
      <c r="C5716" s="43" t="s">
        <v>10762</v>
      </c>
      <c r="D5716" s="43" t="s">
        <v>2800</v>
      </c>
      <c r="E5716" s="44" t="e">
        <f>IF(#REF!="Desonerado",ROUND(220/(1+'[1]Serviços SINAPI'!$E$6),4),ROUND(220/(1+'[1]Serviços SINAPI'!$F$6),4))</f>
        <v>#REF!</v>
      </c>
      <c r="F5716" s="38">
        <v>24.946999999999999</v>
      </c>
      <c r="G5716" s="70" t="e">
        <f>IF(ISNUMBER(F5716),E5716*F5716,"")</f>
        <v>#REF!</v>
      </c>
      <c r="H5716" s="46" t="e">
        <f>SUM(G5716:G5716)</f>
        <v>#REF!</v>
      </c>
      <c r="I5716" s="47"/>
      <c r="J5716" s="37">
        <v>0</v>
      </c>
    </row>
    <row r="5717" spans="1:10" hidden="1" x14ac:dyDescent="0.25">
      <c r="A5717" s="179"/>
      <c r="B5717" s="177"/>
      <c r="C5717" s="39"/>
      <c r="D5717" s="39"/>
      <c r="E5717" s="40"/>
      <c r="F5717" s="70" t="s">
        <v>13</v>
      </c>
      <c r="G5717" s="70" t="str">
        <f>IF(ISNUMBER(F5717),E5717*F5717,"")</f>
        <v/>
      </c>
      <c r="H5717" s="71"/>
      <c r="I5717" s="72"/>
      <c r="J5717" s="37">
        <v>0</v>
      </c>
    </row>
    <row r="5718" spans="1:10" ht="25.5" hidden="1" x14ac:dyDescent="0.25">
      <c r="A5718" s="179"/>
      <c r="B5718" s="177"/>
      <c r="C5718" s="4" t="s">
        <v>668</v>
      </c>
      <c r="D5718" s="39"/>
      <c r="E5718" s="40"/>
      <c r="F5718" s="70" t="s">
        <v>13</v>
      </c>
      <c r="G5718" s="70" t="str">
        <f>IF(ISNUMBER(F5718),E5718*F5718,"")</f>
        <v/>
      </c>
      <c r="H5718" s="71"/>
      <c r="I5718" s="72"/>
      <c r="J5718" s="37">
        <v>0</v>
      </c>
    </row>
    <row r="5719" spans="1:10" ht="15.75" hidden="1" thickBot="1" x14ac:dyDescent="0.3">
      <c r="A5719" s="180"/>
      <c r="B5719" s="178"/>
      <c r="C5719" s="49"/>
      <c r="D5719" s="63"/>
      <c r="E5719" s="50"/>
      <c r="F5719" s="83" t="s">
        <v>13</v>
      </c>
      <c r="G5719" s="83" t="str">
        <f>IF(ISNUMBER(F5719),E5719*F5719,"")</f>
        <v/>
      </c>
      <c r="H5719" s="84"/>
      <c r="I5719" s="72"/>
      <c r="J5719" s="37">
        <v>0</v>
      </c>
    </row>
    <row r="5720" spans="1:10" ht="15.75" hidden="1" thickBot="1" x14ac:dyDescent="0.3">
      <c r="A5720" s="179" t="s">
        <v>1347</v>
      </c>
      <c r="B5720" s="177" t="s">
        <v>4977</v>
      </c>
      <c r="C5720" s="56"/>
      <c r="D5720" s="48" t="s">
        <v>3982</v>
      </c>
      <c r="E5720" s="95"/>
      <c r="F5720" s="96" t="s">
        <v>13</v>
      </c>
      <c r="G5720" s="97" t="str">
        <f>IF(ISNUMBER(F5720),E5720*F5720,"")</f>
        <v/>
      </c>
      <c r="H5720" s="98"/>
      <c r="I5720" s="36"/>
      <c r="J5720" s="37">
        <v>0</v>
      </c>
    </row>
    <row r="5721" spans="1:10" hidden="1" x14ac:dyDescent="0.25">
      <c r="A5721" s="179"/>
      <c r="B5721" s="177"/>
      <c r="C5721" s="39"/>
      <c r="D5721" s="39"/>
      <c r="E5721" s="40"/>
      <c r="F5721" s="70" t="s">
        <v>13</v>
      </c>
      <c r="G5721" s="70" t="str">
        <f>IF(ISNUMBER(F5721),E5721*F5721,"")</f>
        <v/>
      </c>
      <c r="H5721" s="71"/>
      <c r="I5721" s="72"/>
      <c r="J5721" s="37">
        <v>0</v>
      </c>
    </row>
    <row r="5722" spans="1:10" hidden="1" x14ac:dyDescent="0.25">
      <c r="A5722" s="179"/>
      <c r="B5722" s="177"/>
      <c r="C5722" s="43" t="s">
        <v>11216</v>
      </c>
      <c r="D5722" s="43" t="s">
        <v>2800</v>
      </c>
      <c r="E5722" s="44" t="e">
        <f>IF(#REF!="Desonerado",ROUND(220/(1+'[1]Serviços SINAPI'!$E$6),4),ROUND(220/(1+'[1]Serviços SINAPI'!$F$6),4))</f>
        <v>#REF!</v>
      </c>
      <c r="F5722" s="38">
        <v>38.037999999999997</v>
      </c>
      <c r="G5722" s="70" t="e">
        <f>IF(ISNUMBER(F5722),E5722*F5722,"")</f>
        <v>#REF!</v>
      </c>
      <c r="H5722" s="46" t="e">
        <f>SUM(G5722:G5722)</f>
        <v>#REF!</v>
      </c>
      <c r="I5722" s="47"/>
      <c r="J5722" s="37">
        <v>0</v>
      </c>
    </row>
    <row r="5723" spans="1:10" hidden="1" x14ac:dyDescent="0.25">
      <c r="A5723" s="179"/>
      <c r="B5723" s="177"/>
      <c r="C5723" s="39"/>
      <c r="D5723" s="39"/>
      <c r="E5723" s="40"/>
      <c r="F5723" s="70" t="s">
        <v>13</v>
      </c>
      <c r="G5723" s="70" t="str">
        <f>IF(ISNUMBER(F5723),E5723*F5723,"")</f>
        <v/>
      </c>
      <c r="H5723" s="71"/>
      <c r="I5723" s="72"/>
      <c r="J5723" s="37">
        <v>0</v>
      </c>
    </row>
    <row r="5724" spans="1:10" ht="25.5" hidden="1" x14ac:dyDescent="0.25">
      <c r="A5724" s="179"/>
      <c r="B5724" s="177"/>
      <c r="C5724" s="4" t="s">
        <v>668</v>
      </c>
      <c r="D5724" s="39"/>
      <c r="E5724" s="40"/>
      <c r="F5724" s="70" t="s">
        <v>13</v>
      </c>
      <c r="G5724" s="70" t="str">
        <f>IF(ISNUMBER(F5724),E5724*F5724,"")</f>
        <v/>
      </c>
      <c r="H5724" s="71"/>
      <c r="I5724" s="72"/>
      <c r="J5724" s="37">
        <v>0</v>
      </c>
    </row>
    <row r="5725" spans="1:10" ht="15.75" hidden="1" thickBot="1" x14ac:dyDescent="0.3">
      <c r="A5725" s="180"/>
      <c r="B5725" s="178"/>
      <c r="C5725" s="49"/>
      <c r="D5725" s="63"/>
      <c r="E5725" s="50"/>
      <c r="F5725" s="83" t="s">
        <v>13</v>
      </c>
      <c r="G5725" s="83" t="str">
        <f>IF(ISNUMBER(F5725),E5725*F5725,"")</f>
        <v/>
      </c>
      <c r="H5725" s="84"/>
      <c r="I5725" s="72"/>
      <c r="J5725" s="37">
        <v>0</v>
      </c>
    </row>
    <row r="5726" spans="1:10" ht="15.75" hidden="1" thickBot="1" x14ac:dyDescent="0.3">
      <c r="A5726" s="173" t="s">
        <v>1348</v>
      </c>
      <c r="B5726" s="176" t="s">
        <v>4978</v>
      </c>
      <c r="C5726" s="31"/>
      <c r="D5726" s="32" t="s">
        <v>3982</v>
      </c>
      <c r="E5726" s="33"/>
      <c r="F5726" s="60" t="s">
        <v>13</v>
      </c>
      <c r="G5726" s="34" t="str">
        <f>IF(ISNUMBER(F5726),E5726*F5726,"")</f>
        <v/>
      </c>
      <c r="H5726" s="35"/>
      <c r="I5726" s="36"/>
      <c r="J5726" s="37">
        <v>0</v>
      </c>
    </row>
    <row r="5727" spans="1:10" hidden="1" x14ac:dyDescent="0.25">
      <c r="A5727" s="179"/>
      <c r="B5727" s="177"/>
      <c r="C5727" s="39"/>
      <c r="D5727" s="39"/>
      <c r="E5727" s="40"/>
      <c r="F5727" s="70" t="s">
        <v>13</v>
      </c>
      <c r="G5727" s="70" t="str">
        <f>IF(ISNUMBER(F5727),E5727*F5727,"")</f>
        <v/>
      </c>
      <c r="H5727" s="71"/>
      <c r="I5727" s="72"/>
      <c r="J5727" s="37">
        <v>0</v>
      </c>
    </row>
    <row r="5728" spans="1:10" hidden="1" x14ac:dyDescent="0.25">
      <c r="A5728" s="179"/>
      <c r="B5728" s="177"/>
      <c r="C5728" s="43" t="s">
        <v>11216</v>
      </c>
      <c r="D5728" s="43" t="s">
        <v>2800</v>
      </c>
      <c r="E5728" s="44" t="e">
        <f>IF(#REF!="Desonerado",ROUND(220/(1+'[1]Serviços SINAPI'!$E$6),4),ROUND(220/(1+'[1]Serviços SINAPI'!$F$6),4))</f>
        <v>#REF!</v>
      </c>
      <c r="F5728" s="38">
        <v>38.037999999999997</v>
      </c>
      <c r="G5728" s="70" t="e">
        <f>IF(ISNUMBER(F5728),E5728*F5728,"")</f>
        <v>#REF!</v>
      </c>
      <c r="H5728" s="46" t="e">
        <f>SUM(G5728:G5728)</f>
        <v>#REF!</v>
      </c>
      <c r="I5728" s="47"/>
      <c r="J5728" s="37">
        <v>0</v>
      </c>
    </row>
    <row r="5729" spans="1:10" hidden="1" x14ac:dyDescent="0.25">
      <c r="A5729" s="179"/>
      <c r="B5729" s="177"/>
      <c r="C5729" s="39"/>
      <c r="D5729" s="39"/>
      <c r="E5729" s="40"/>
      <c r="F5729" s="70" t="s">
        <v>13</v>
      </c>
      <c r="G5729" s="70" t="str">
        <f>IF(ISNUMBER(F5729),E5729*F5729,"")</f>
        <v/>
      </c>
      <c r="H5729" s="71"/>
      <c r="I5729" s="72"/>
      <c r="J5729" s="37">
        <v>0</v>
      </c>
    </row>
    <row r="5730" spans="1:10" ht="25.5" hidden="1" x14ac:dyDescent="0.25">
      <c r="A5730" s="179"/>
      <c r="B5730" s="177"/>
      <c r="C5730" s="4" t="s">
        <v>668</v>
      </c>
      <c r="D5730" s="39"/>
      <c r="E5730" s="40"/>
      <c r="F5730" s="70" t="s">
        <v>13</v>
      </c>
      <c r="G5730" s="70" t="str">
        <f>IF(ISNUMBER(F5730),E5730*F5730,"")</f>
        <v/>
      </c>
      <c r="H5730" s="71"/>
      <c r="I5730" s="72"/>
      <c r="J5730" s="37">
        <v>0</v>
      </c>
    </row>
    <row r="5731" spans="1:10" ht="15.75" hidden="1" thickBot="1" x14ac:dyDescent="0.3">
      <c r="A5731" s="180"/>
      <c r="B5731" s="178"/>
      <c r="C5731" s="49"/>
      <c r="D5731" s="63"/>
      <c r="E5731" s="50"/>
      <c r="F5731" s="83" t="s">
        <v>13</v>
      </c>
      <c r="G5731" s="83" t="str">
        <f>IF(ISNUMBER(F5731),E5731*F5731,"")</f>
        <v/>
      </c>
      <c r="H5731" s="84"/>
      <c r="I5731" s="72"/>
      <c r="J5731" s="37">
        <v>0</v>
      </c>
    </row>
    <row r="5732" spans="1:10" ht="15.75" hidden="1" thickBot="1" x14ac:dyDescent="0.3">
      <c r="A5732" s="173" t="s">
        <v>1349</v>
      </c>
      <c r="B5732" s="176" t="s">
        <v>4979</v>
      </c>
      <c r="C5732" s="31"/>
      <c r="D5732" s="32" t="s">
        <v>3982</v>
      </c>
      <c r="E5732" s="33"/>
      <c r="F5732" s="60" t="s">
        <v>13</v>
      </c>
      <c r="G5732" s="34" t="str">
        <f>IF(ISNUMBER(F5732),E5732*F5732,"")</f>
        <v/>
      </c>
      <c r="H5732" s="35"/>
      <c r="I5732" s="36"/>
      <c r="J5732" s="37">
        <v>0</v>
      </c>
    </row>
    <row r="5733" spans="1:10" hidden="1" x14ac:dyDescent="0.25">
      <c r="A5733" s="179"/>
      <c r="B5733" s="177"/>
      <c r="C5733" s="39"/>
      <c r="D5733" s="39"/>
      <c r="E5733" s="40"/>
      <c r="F5733" s="70" t="s">
        <v>13</v>
      </c>
      <c r="G5733" s="70" t="str">
        <f>IF(ISNUMBER(F5733),E5733*F5733,"")</f>
        <v/>
      </c>
      <c r="H5733" s="71"/>
      <c r="I5733" s="72"/>
      <c r="J5733" s="37">
        <v>0</v>
      </c>
    </row>
    <row r="5734" spans="1:10" hidden="1" x14ac:dyDescent="0.25">
      <c r="A5734" s="179"/>
      <c r="B5734" s="177"/>
      <c r="C5734" s="43" t="s">
        <v>11216</v>
      </c>
      <c r="D5734" s="43" t="s">
        <v>2800</v>
      </c>
      <c r="E5734" s="44" t="e">
        <f>IF(#REF!="Desonerado",ROUND(220/(1+'[1]Serviços SINAPI'!$E$6),4),ROUND(220/(1+'[1]Serviços SINAPI'!$F$6),4))</f>
        <v>#REF!</v>
      </c>
      <c r="F5734" s="38">
        <v>38.037999999999997</v>
      </c>
      <c r="G5734" s="70" t="e">
        <f>IF(ISNUMBER(F5734),E5734*F5734,"")</f>
        <v>#REF!</v>
      </c>
      <c r="H5734" s="46" t="e">
        <f>SUM(G5734:G5734)</f>
        <v>#REF!</v>
      </c>
      <c r="I5734" s="47"/>
      <c r="J5734" s="37">
        <v>0</v>
      </c>
    </row>
    <row r="5735" spans="1:10" hidden="1" x14ac:dyDescent="0.25">
      <c r="A5735" s="179"/>
      <c r="B5735" s="177"/>
      <c r="C5735" s="39"/>
      <c r="D5735" s="39"/>
      <c r="E5735" s="40"/>
      <c r="F5735" s="70" t="s">
        <v>13</v>
      </c>
      <c r="G5735" s="70" t="str">
        <f>IF(ISNUMBER(F5735),E5735*F5735,"")</f>
        <v/>
      </c>
      <c r="H5735" s="71"/>
      <c r="I5735" s="72"/>
      <c r="J5735" s="37">
        <v>0</v>
      </c>
    </row>
    <row r="5736" spans="1:10" ht="25.5" hidden="1" x14ac:dyDescent="0.25">
      <c r="A5736" s="179"/>
      <c r="B5736" s="177"/>
      <c r="C5736" s="4" t="s">
        <v>668</v>
      </c>
      <c r="D5736" s="39"/>
      <c r="E5736" s="40"/>
      <c r="F5736" s="70" t="s">
        <v>13</v>
      </c>
      <c r="G5736" s="70" t="str">
        <f>IF(ISNUMBER(F5736),E5736*F5736,"")</f>
        <v/>
      </c>
      <c r="H5736" s="71"/>
      <c r="I5736" s="72"/>
      <c r="J5736" s="37">
        <v>0</v>
      </c>
    </row>
    <row r="5737" spans="1:10" ht="15.75" hidden="1" thickBot="1" x14ac:dyDescent="0.3">
      <c r="A5737" s="180"/>
      <c r="B5737" s="178"/>
      <c r="C5737" s="49"/>
      <c r="D5737" s="63"/>
      <c r="E5737" s="50"/>
      <c r="F5737" s="83" t="s">
        <v>13</v>
      </c>
      <c r="G5737" s="83" t="str">
        <f>IF(ISNUMBER(F5737),E5737*F5737,"")</f>
        <v/>
      </c>
      <c r="H5737" s="84"/>
      <c r="I5737" s="72"/>
      <c r="J5737" s="37">
        <v>0</v>
      </c>
    </row>
    <row r="5738" spans="1:10" ht="15.75" hidden="1" thickBot="1" x14ac:dyDescent="0.3">
      <c r="A5738" s="173" t="s">
        <v>1350</v>
      </c>
      <c r="B5738" s="176" t="s">
        <v>4980</v>
      </c>
      <c r="C5738" s="31"/>
      <c r="D5738" s="32" t="s">
        <v>3982</v>
      </c>
      <c r="E5738" s="33"/>
      <c r="F5738" s="60" t="s">
        <v>13</v>
      </c>
      <c r="G5738" s="34" t="str">
        <f>IF(ISNUMBER(F5738),E5738*F5738,"")</f>
        <v/>
      </c>
      <c r="H5738" s="35"/>
      <c r="I5738" s="36"/>
      <c r="J5738" s="37">
        <v>0</v>
      </c>
    </row>
    <row r="5739" spans="1:10" hidden="1" x14ac:dyDescent="0.25">
      <c r="A5739" s="179"/>
      <c r="B5739" s="177"/>
      <c r="C5739" s="39"/>
      <c r="D5739" s="39"/>
      <c r="E5739" s="40"/>
      <c r="F5739" s="70" t="s">
        <v>13</v>
      </c>
      <c r="G5739" s="70" t="str">
        <f>IF(ISNUMBER(F5739),E5739*F5739,"")</f>
        <v/>
      </c>
      <c r="H5739" s="71"/>
      <c r="I5739" s="72"/>
      <c r="J5739" s="37">
        <v>0</v>
      </c>
    </row>
    <row r="5740" spans="1:10" hidden="1" x14ac:dyDescent="0.25">
      <c r="A5740" s="179"/>
      <c r="B5740" s="177"/>
      <c r="C5740" s="43" t="s">
        <v>11216</v>
      </c>
      <c r="D5740" s="43" t="s">
        <v>2800</v>
      </c>
      <c r="E5740" s="44" t="e">
        <f>IF(#REF!="Desonerado",ROUND(220/(1+'[1]Serviços SINAPI'!$E$6),4),ROUND(220/(1+'[1]Serviços SINAPI'!$F$6),4))</f>
        <v>#REF!</v>
      </c>
      <c r="F5740" s="38">
        <v>38.037999999999997</v>
      </c>
      <c r="G5740" s="70" t="e">
        <f>IF(ISNUMBER(F5740),E5740*F5740,"")</f>
        <v>#REF!</v>
      </c>
      <c r="H5740" s="46" t="e">
        <f>SUM(G5740:G5740)</f>
        <v>#REF!</v>
      </c>
      <c r="I5740" s="47"/>
      <c r="J5740" s="37">
        <v>0</v>
      </c>
    </row>
    <row r="5741" spans="1:10" hidden="1" x14ac:dyDescent="0.25">
      <c r="A5741" s="179"/>
      <c r="B5741" s="177"/>
      <c r="C5741" s="39"/>
      <c r="D5741" s="39"/>
      <c r="E5741" s="40"/>
      <c r="F5741" s="70" t="s">
        <v>13</v>
      </c>
      <c r="G5741" s="70" t="str">
        <f>IF(ISNUMBER(F5741),E5741*F5741,"")</f>
        <v/>
      </c>
      <c r="H5741" s="71"/>
      <c r="I5741" s="72"/>
      <c r="J5741" s="37">
        <v>0</v>
      </c>
    </row>
    <row r="5742" spans="1:10" ht="25.5" hidden="1" x14ac:dyDescent="0.25">
      <c r="A5742" s="179"/>
      <c r="B5742" s="177"/>
      <c r="C5742" s="4" t="s">
        <v>668</v>
      </c>
      <c r="D5742" s="39"/>
      <c r="E5742" s="40"/>
      <c r="F5742" s="70" t="s">
        <v>13</v>
      </c>
      <c r="G5742" s="70" t="str">
        <f>IF(ISNUMBER(F5742),E5742*F5742,"")</f>
        <v/>
      </c>
      <c r="H5742" s="71"/>
      <c r="I5742" s="72"/>
      <c r="J5742" s="37">
        <v>0</v>
      </c>
    </row>
    <row r="5743" spans="1:10" ht="15.75" hidden="1" thickBot="1" x14ac:dyDescent="0.3">
      <c r="A5743" s="180"/>
      <c r="B5743" s="178"/>
      <c r="C5743" s="49"/>
      <c r="D5743" s="63"/>
      <c r="E5743" s="50"/>
      <c r="F5743" s="83" t="s">
        <v>13</v>
      </c>
      <c r="G5743" s="83" t="str">
        <f>IF(ISNUMBER(F5743),E5743*F5743,"")</f>
        <v/>
      </c>
      <c r="H5743" s="84"/>
      <c r="I5743" s="72"/>
      <c r="J5743" s="37">
        <v>0</v>
      </c>
    </row>
    <row r="5744" spans="1:10" ht="15.75" hidden="1" thickBot="1" x14ac:dyDescent="0.3">
      <c r="A5744" s="173" t="s">
        <v>1351</v>
      </c>
      <c r="B5744" s="176" t="s">
        <v>4981</v>
      </c>
      <c r="C5744" s="31"/>
      <c r="D5744" s="32" t="s">
        <v>3982</v>
      </c>
      <c r="E5744" s="33"/>
      <c r="F5744" s="60" t="s">
        <v>13</v>
      </c>
      <c r="G5744" s="34" t="str">
        <f>IF(ISNUMBER(F5744),E5744*F5744,"")</f>
        <v/>
      </c>
      <c r="H5744" s="35"/>
      <c r="I5744" s="36"/>
      <c r="J5744" s="37">
        <v>0</v>
      </c>
    </row>
    <row r="5745" spans="1:10" hidden="1" x14ac:dyDescent="0.25">
      <c r="A5745" s="179"/>
      <c r="B5745" s="177"/>
      <c r="C5745" s="39"/>
      <c r="D5745" s="39"/>
      <c r="E5745" s="40"/>
      <c r="F5745" s="70" t="s">
        <v>13</v>
      </c>
      <c r="G5745" s="70" t="str">
        <f>IF(ISNUMBER(F5745),E5745*F5745,"")</f>
        <v/>
      </c>
      <c r="H5745" s="71"/>
      <c r="I5745" s="72"/>
      <c r="J5745" s="37">
        <v>0</v>
      </c>
    </row>
    <row r="5746" spans="1:10" hidden="1" x14ac:dyDescent="0.25">
      <c r="A5746" s="179"/>
      <c r="B5746" s="177"/>
      <c r="C5746" s="43" t="s">
        <v>10763</v>
      </c>
      <c r="D5746" s="43" t="s">
        <v>2800</v>
      </c>
      <c r="E5746" s="44" t="e">
        <f>IF(#REF!="Desonerado",ROUND(220/(1+'[1]Serviços SINAPI'!$E$6),4),ROUND(220/(1+'[1]Serviços SINAPI'!$F$6),4))</f>
        <v>#REF!</v>
      </c>
      <c r="F5746" s="38">
        <v>31.435500000000001</v>
      </c>
      <c r="G5746" s="70" t="e">
        <f>IF(ISNUMBER(F5746),E5746*F5746,"")</f>
        <v>#REF!</v>
      </c>
      <c r="H5746" s="46" t="e">
        <f>SUM(G5746:G5746)</f>
        <v>#REF!</v>
      </c>
      <c r="I5746" s="47"/>
      <c r="J5746" s="37">
        <v>0</v>
      </c>
    </row>
    <row r="5747" spans="1:10" hidden="1" x14ac:dyDescent="0.25">
      <c r="A5747" s="179"/>
      <c r="B5747" s="177"/>
      <c r="C5747" s="39"/>
      <c r="D5747" s="39"/>
      <c r="E5747" s="40"/>
      <c r="F5747" s="70" t="s">
        <v>13</v>
      </c>
      <c r="G5747" s="70" t="str">
        <f>IF(ISNUMBER(F5747),E5747*F5747,"")</f>
        <v/>
      </c>
      <c r="H5747" s="71"/>
      <c r="I5747" s="72"/>
      <c r="J5747" s="37">
        <v>0</v>
      </c>
    </row>
    <row r="5748" spans="1:10" ht="25.5" hidden="1" x14ac:dyDescent="0.25">
      <c r="A5748" s="179"/>
      <c r="B5748" s="177"/>
      <c r="C5748" s="4" t="s">
        <v>668</v>
      </c>
      <c r="D5748" s="39"/>
      <c r="E5748" s="40"/>
      <c r="F5748" s="70" t="s">
        <v>13</v>
      </c>
      <c r="G5748" s="70" t="str">
        <f>IF(ISNUMBER(F5748),E5748*F5748,"")</f>
        <v/>
      </c>
      <c r="H5748" s="71"/>
      <c r="I5748" s="72"/>
      <c r="J5748" s="37">
        <v>0</v>
      </c>
    </row>
    <row r="5749" spans="1:10" ht="15.75" hidden="1" thickBot="1" x14ac:dyDescent="0.3">
      <c r="A5749" s="180"/>
      <c r="B5749" s="178"/>
      <c r="C5749" s="49"/>
      <c r="D5749" s="63"/>
      <c r="E5749" s="50"/>
      <c r="F5749" s="83" t="s">
        <v>13</v>
      </c>
      <c r="G5749" s="83" t="str">
        <f>IF(ISNUMBER(F5749),E5749*F5749,"")</f>
        <v/>
      </c>
      <c r="H5749" s="84"/>
      <c r="I5749" s="72"/>
      <c r="J5749" s="37">
        <v>0</v>
      </c>
    </row>
    <row r="5750" spans="1:10" ht="15.75" hidden="1" thickBot="1" x14ac:dyDescent="0.3">
      <c r="A5750" s="173" t="s">
        <v>1352</v>
      </c>
      <c r="B5750" s="176" t="s">
        <v>4982</v>
      </c>
      <c r="C5750" s="31"/>
      <c r="D5750" s="32" t="s">
        <v>3982</v>
      </c>
      <c r="E5750" s="33"/>
      <c r="F5750" s="60" t="s">
        <v>13</v>
      </c>
      <c r="G5750" s="34" t="str">
        <f>IF(ISNUMBER(F5750),E5750*F5750,"")</f>
        <v/>
      </c>
      <c r="H5750" s="35"/>
      <c r="I5750" s="36"/>
      <c r="J5750" s="37">
        <v>0</v>
      </c>
    </row>
    <row r="5751" spans="1:10" hidden="1" x14ac:dyDescent="0.25">
      <c r="A5751" s="179"/>
      <c r="B5751" s="177"/>
      <c r="C5751" s="39"/>
      <c r="D5751" s="39"/>
      <c r="E5751" s="40"/>
      <c r="F5751" s="70" t="s">
        <v>13</v>
      </c>
      <c r="G5751" s="70" t="str">
        <f>IF(ISNUMBER(F5751),E5751*F5751,"")</f>
        <v/>
      </c>
      <c r="H5751" s="71"/>
      <c r="I5751" s="72"/>
      <c r="J5751" s="37">
        <v>0</v>
      </c>
    </row>
    <row r="5752" spans="1:10" hidden="1" x14ac:dyDescent="0.25">
      <c r="A5752" s="179"/>
      <c r="B5752" s="177"/>
      <c r="C5752" s="43" t="s">
        <v>10763</v>
      </c>
      <c r="D5752" s="43" t="s">
        <v>2800</v>
      </c>
      <c r="E5752" s="44" t="e">
        <f>IF(#REF!="Desonerado",ROUND(220/(1+'[1]Serviços SINAPI'!$E$6),4),ROUND(220/(1+'[1]Serviços SINAPI'!$F$6),4))</f>
        <v>#REF!</v>
      </c>
      <c r="F5752" s="38">
        <v>31.435500000000001</v>
      </c>
      <c r="G5752" s="70" t="e">
        <f>IF(ISNUMBER(F5752),E5752*F5752,"")</f>
        <v>#REF!</v>
      </c>
      <c r="H5752" s="46" t="e">
        <f>SUM(G5752:G5752)</f>
        <v>#REF!</v>
      </c>
      <c r="I5752" s="47"/>
      <c r="J5752" s="37">
        <v>0</v>
      </c>
    </row>
    <row r="5753" spans="1:10" hidden="1" x14ac:dyDescent="0.25">
      <c r="A5753" s="179"/>
      <c r="B5753" s="177"/>
      <c r="C5753" s="39"/>
      <c r="D5753" s="39"/>
      <c r="E5753" s="40"/>
      <c r="F5753" s="70" t="s">
        <v>13</v>
      </c>
      <c r="G5753" s="70" t="str">
        <f>IF(ISNUMBER(F5753),E5753*F5753,"")</f>
        <v/>
      </c>
      <c r="H5753" s="71"/>
      <c r="I5753" s="72"/>
      <c r="J5753" s="37">
        <v>0</v>
      </c>
    </row>
    <row r="5754" spans="1:10" ht="25.5" hidden="1" x14ac:dyDescent="0.25">
      <c r="A5754" s="179"/>
      <c r="B5754" s="177"/>
      <c r="C5754" s="4" t="s">
        <v>668</v>
      </c>
      <c r="D5754" s="39"/>
      <c r="E5754" s="40"/>
      <c r="F5754" s="70" t="s">
        <v>13</v>
      </c>
      <c r="G5754" s="70" t="str">
        <f>IF(ISNUMBER(F5754),E5754*F5754,"")</f>
        <v/>
      </c>
      <c r="H5754" s="71"/>
      <c r="I5754" s="72"/>
      <c r="J5754" s="37">
        <v>0</v>
      </c>
    </row>
    <row r="5755" spans="1:10" ht="15.75" hidden="1" thickBot="1" x14ac:dyDescent="0.3">
      <c r="A5755" s="180"/>
      <c r="B5755" s="178"/>
      <c r="C5755" s="49"/>
      <c r="D5755" s="63"/>
      <c r="E5755" s="50"/>
      <c r="F5755" s="83" t="s">
        <v>13</v>
      </c>
      <c r="G5755" s="83" t="str">
        <f>IF(ISNUMBER(F5755),E5755*F5755,"")</f>
        <v/>
      </c>
      <c r="H5755" s="84"/>
      <c r="I5755" s="72"/>
      <c r="J5755" s="37">
        <v>0</v>
      </c>
    </row>
    <row r="5756" spans="1:10" ht="15.75" hidden="1" thickBot="1" x14ac:dyDescent="0.3">
      <c r="A5756" s="173" t="s">
        <v>1353</v>
      </c>
      <c r="B5756" s="176" t="s">
        <v>4983</v>
      </c>
      <c r="C5756" s="31"/>
      <c r="D5756" s="32" t="s">
        <v>3982</v>
      </c>
      <c r="E5756" s="33"/>
      <c r="F5756" s="60" t="s">
        <v>13</v>
      </c>
      <c r="G5756" s="34" t="str">
        <f>IF(ISNUMBER(F5756),E5756*F5756,"")</f>
        <v/>
      </c>
      <c r="H5756" s="35"/>
      <c r="I5756" s="36"/>
      <c r="J5756" s="37">
        <v>0</v>
      </c>
    </row>
    <row r="5757" spans="1:10" hidden="1" x14ac:dyDescent="0.25">
      <c r="A5757" s="179"/>
      <c r="B5757" s="177"/>
      <c r="C5757" s="39"/>
      <c r="D5757" s="39"/>
      <c r="E5757" s="40"/>
      <c r="F5757" s="70" t="s">
        <v>13</v>
      </c>
      <c r="G5757" s="70" t="str">
        <f>IF(ISNUMBER(F5757),E5757*F5757,"")</f>
        <v/>
      </c>
      <c r="H5757" s="71"/>
      <c r="I5757" s="72"/>
      <c r="J5757" s="37">
        <v>0</v>
      </c>
    </row>
    <row r="5758" spans="1:10" hidden="1" x14ac:dyDescent="0.25">
      <c r="A5758" s="179"/>
      <c r="B5758" s="177"/>
      <c r="C5758" s="43" t="s">
        <v>10763</v>
      </c>
      <c r="D5758" s="43" t="s">
        <v>2800</v>
      </c>
      <c r="E5758" s="44" t="e">
        <f>IF(#REF!="Desonerado",ROUND(220/(1+'[1]Serviços SINAPI'!$E$6),4),ROUND(220/(1+'[1]Serviços SINAPI'!$F$6),4))</f>
        <v>#REF!</v>
      </c>
      <c r="F5758" s="38">
        <v>31.435500000000001</v>
      </c>
      <c r="G5758" s="70" t="e">
        <f>IF(ISNUMBER(F5758),E5758*F5758,"")</f>
        <v>#REF!</v>
      </c>
      <c r="H5758" s="46" t="e">
        <f>SUM(G5758:G5758)</f>
        <v>#REF!</v>
      </c>
      <c r="I5758" s="47"/>
      <c r="J5758" s="37">
        <v>0</v>
      </c>
    </row>
    <row r="5759" spans="1:10" hidden="1" x14ac:dyDescent="0.25">
      <c r="A5759" s="179"/>
      <c r="B5759" s="177"/>
      <c r="C5759" s="39"/>
      <c r="D5759" s="39"/>
      <c r="E5759" s="40"/>
      <c r="F5759" s="70" t="s">
        <v>13</v>
      </c>
      <c r="G5759" s="70" t="str">
        <f>IF(ISNUMBER(F5759),E5759*F5759,"")</f>
        <v/>
      </c>
      <c r="H5759" s="71"/>
      <c r="I5759" s="72"/>
      <c r="J5759" s="37">
        <v>0</v>
      </c>
    </row>
    <row r="5760" spans="1:10" ht="25.5" hidden="1" x14ac:dyDescent="0.25">
      <c r="A5760" s="179"/>
      <c r="B5760" s="177"/>
      <c r="C5760" s="4" t="s">
        <v>668</v>
      </c>
      <c r="D5760" s="39"/>
      <c r="E5760" s="40"/>
      <c r="F5760" s="70" t="s">
        <v>13</v>
      </c>
      <c r="G5760" s="70" t="str">
        <f>IF(ISNUMBER(F5760),E5760*F5760,"")</f>
        <v/>
      </c>
      <c r="H5760" s="71"/>
      <c r="I5760" s="72"/>
      <c r="J5760" s="37">
        <v>0</v>
      </c>
    </row>
    <row r="5761" spans="1:10" ht="15.75" hidden="1" thickBot="1" x14ac:dyDescent="0.3">
      <c r="A5761" s="180"/>
      <c r="B5761" s="178"/>
      <c r="C5761" s="49"/>
      <c r="D5761" s="63"/>
      <c r="E5761" s="50"/>
      <c r="F5761" s="83" t="s">
        <v>13</v>
      </c>
      <c r="G5761" s="83" t="str">
        <f>IF(ISNUMBER(F5761),E5761*F5761,"")</f>
        <v/>
      </c>
      <c r="H5761" s="84"/>
      <c r="I5761" s="72"/>
      <c r="J5761" s="37">
        <v>0</v>
      </c>
    </row>
    <row r="5762" spans="1:10" ht="15.75" hidden="1" thickBot="1" x14ac:dyDescent="0.3">
      <c r="A5762" s="173" t="s">
        <v>1354</v>
      </c>
      <c r="B5762" s="176" t="s">
        <v>4984</v>
      </c>
      <c r="C5762" s="31"/>
      <c r="D5762" s="32" t="s">
        <v>3982</v>
      </c>
      <c r="E5762" s="33"/>
      <c r="F5762" s="60" t="s">
        <v>13</v>
      </c>
      <c r="G5762" s="34" t="str">
        <f>IF(ISNUMBER(F5762),E5762*F5762,"")</f>
        <v/>
      </c>
      <c r="H5762" s="35"/>
      <c r="I5762" s="36"/>
      <c r="J5762" s="37">
        <v>0</v>
      </c>
    </row>
    <row r="5763" spans="1:10" hidden="1" x14ac:dyDescent="0.25">
      <c r="A5763" s="179"/>
      <c r="B5763" s="177"/>
      <c r="C5763" s="39"/>
      <c r="D5763" s="39"/>
      <c r="E5763" s="40"/>
      <c r="F5763" s="70" t="s">
        <v>13</v>
      </c>
      <c r="G5763" s="70" t="str">
        <f>IF(ISNUMBER(F5763),E5763*F5763,"")</f>
        <v/>
      </c>
      <c r="H5763" s="71"/>
      <c r="I5763" s="72"/>
      <c r="J5763" s="37">
        <v>0</v>
      </c>
    </row>
    <row r="5764" spans="1:10" hidden="1" x14ac:dyDescent="0.25">
      <c r="A5764" s="179"/>
      <c r="B5764" s="177"/>
      <c r="C5764" s="43" t="s">
        <v>10763</v>
      </c>
      <c r="D5764" s="43" t="s">
        <v>2800</v>
      </c>
      <c r="E5764" s="44" t="e">
        <f>IF(#REF!="Desonerado",ROUND(220/(1+'[1]Serviços SINAPI'!$E$6),4),ROUND(220/(1+'[1]Serviços SINAPI'!$F$6),4))</f>
        <v>#REF!</v>
      </c>
      <c r="F5764" s="38">
        <v>31.435500000000001</v>
      </c>
      <c r="G5764" s="70" t="e">
        <f>IF(ISNUMBER(F5764),E5764*F5764,"")</f>
        <v>#REF!</v>
      </c>
      <c r="H5764" s="46" t="e">
        <f>SUM(G5764:G5764)</f>
        <v>#REF!</v>
      </c>
      <c r="I5764" s="47"/>
      <c r="J5764" s="37">
        <v>0</v>
      </c>
    </row>
    <row r="5765" spans="1:10" hidden="1" x14ac:dyDescent="0.25">
      <c r="A5765" s="179"/>
      <c r="B5765" s="177"/>
      <c r="C5765" s="39"/>
      <c r="D5765" s="39"/>
      <c r="E5765" s="40"/>
      <c r="F5765" s="70" t="s">
        <v>13</v>
      </c>
      <c r="G5765" s="70" t="str">
        <f>IF(ISNUMBER(F5765),E5765*F5765,"")</f>
        <v/>
      </c>
      <c r="H5765" s="71"/>
      <c r="I5765" s="72"/>
      <c r="J5765" s="37">
        <v>0</v>
      </c>
    </row>
    <row r="5766" spans="1:10" ht="25.5" hidden="1" x14ac:dyDescent="0.25">
      <c r="A5766" s="179"/>
      <c r="B5766" s="177"/>
      <c r="C5766" s="4" t="s">
        <v>668</v>
      </c>
      <c r="D5766" s="39"/>
      <c r="E5766" s="40"/>
      <c r="F5766" s="70" t="s">
        <v>13</v>
      </c>
      <c r="G5766" s="70" t="str">
        <f>IF(ISNUMBER(F5766),E5766*F5766,"")</f>
        <v/>
      </c>
      <c r="H5766" s="71"/>
      <c r="I5766" s="72"/>
      <c r="J5766" s="37">
        <v>0</v>
      </c>
    </row>
    <row r="5767" spans="1:10" ht="15.75" hidden="1" thickBot="1" x14ac:dyDescent="0.3">
      <c r="A5767" s="180"/>
      <c r="B5767" s="178"/>
      <c r="C5767" s="49"/>
      <c r="D5767" s="63"/>
      <c r="E5767" s="50"/>
      <c r="F5767" s="83" t="s">
        <v>13</v>
      </c>
      <c r="G5767" s="83" t="str">
        <f>IF(ISNUMBER(F5767),E5767*F5767,"")</f>
        <v/>
      </c>
      <c r="H5767" s="84"/>
      <c r="I5767" s="72"/>
      <c r="J5767" s="37">
        <v>0</v>
      </c>
    </row>
    <row r="5768" spans="1:10" ht="15.75" hidden="1" thickBot="1" x14ac:dyDescent="0.3">
      <c r="A5768" s="173" t="s">
        <v>1355</v>
      </c>
      <c r="B5768" s="176" t="s">
        <v>5116</v>
      </c>
      <c r="C5768" s="31"/>
      <c r="D5768" s="32" t="s">
        <v>72</v>
      </c>
      <c r="E5768" s="33"/>
      <c r="F5768" s="60" t="s">
        <v>13</v>
      </c>
      <c r="G5768" s="34" t="str">
        <f>IF(ISNUMBER(F5768),E5768*F5768,"")</f>
        <v/>
      </c>
      <c r="H5768" s="35"/>
      <c r="I5768" s="36"/>
      <c r="J5768" s="37">
        <v>0</v>
      </c>
    </row>
    <row r="5769" spans="1:10" hidden="1" x14ac:dyDescent="0.25">
      <c r="A5769" s="179"/>
      <c r="B5769" s="177"/>
      <c r="C5769" s="39"/>
      <c r="D5769" s="39"/>
      <c r="E5769" s="40"/>
      <c r="F5769" s="70" t="s">
        <v>13</v>
      </c>
      <c r="G5769" s="70" t="str">
        <f>IF(ISNUMBER(F5769),E5769*F5769,"")</f>
        <v/>
      </c>
      <c r="H5769" s="71"/>
      <c r="I5769" s="72"/>
      <c r="J5769" s="37">
        <v>0</v>
      </c>
    </row>
    <row r="5770" spans="1:10" ht="25.5" hidden="1" x14ac:dyDescent="0.25">
      <c r="A5770" s="179"/>
      <c r="B5770" s="177"/>
      <c r="C5770" s="43" t="s">
        <v>11000</v>
      </c>
      <c r="D5770" s="43" t="s">
        <v>1044</v>
      </c>
      <c r="E5770" s="44">
        <v>1</v>
      </c>
      <c r="F5770" s="38">
        <v>10.9155</v>
      </c>
      <c r="G5770" s="70">
        <f>IF(ISNUMBER(F5770),E5770*F5770,"")</f>
        <v>10.9155</v>
      </c>
      <c r="H5770" s="46">
        <f>SUM(G5770:G5770)</f>
        <v>10.9155</v>
      </c>
      <c r="I5770" s="47"/>
      <c r="J5770" s="37">
        <v>0</v>
      </c>
    </row>
    <row r="5771" spans="1:10" ht="15.75" hidden="1" thickBot="1" x14ac:dyDescent="0.3">
      <c r="A5771" s="180"/>
      <c r="B5771" s="178"/>
      <c r="C5771" s="49"/>
      <c r="D5771" s="63"/>
      <c r="E5771" s="50"/>
      <c r="F5771" s="83" t="s">
        <v>13</v>
      </c>
      <c r="G5771" s="83" t="str">
        <f>IF(ISNUMBER(F5771),E5771*F5771,"")</f>
        <v/>
      </c>
      <c r="H5771" s="84"/>
      <c r="I5771" s="72"/>
      <c r="J5771" s="37">
        <v>0</v>
      </c>
    </row>
    <row r="5772" spans="1:10" ht="15.75" hidden="1" thickBot="1" x14ac:dyDescent="0.3">
      <c r="A5772" s="173" t="s">
        <v>1356</v>
      </c>
      <c r="B5772" s="176" t="s">
        <v>5128</v>
      </c>
      <c r="C5772" s="31"/>
      <c r="D5772" s="32" t="s">
        <v>72</v>
      </c>
      <c r="E5772" s="33"/>
      <c r="F5772" s="60" t="s">
        <v>13</v>
      </c>
      <c r="G5772" s="34" t="str">
        <f>IF(ISNUMBER(F5772),E5772*F5772,"")</f>
        <v/>
      </c>
      <c r="H5772" s="35"/>
      <c r="I5772" s="36"/>
      <c r="J5772" s="37">
        <v>0</v>
      </c>
    </row>
    <row r="5773" spans="1:10" hidden="1" x14ac:dyDescent="0.25">
      <c r="A5773" s="179"/>
      <c r="B5773" s="177"/>
      <c r="C5773" s="39"/>
      <c r="D5773" s="39"/>
      <c r="E5773" s="40"/>
      <c r="F5773" s="70" t="s">
        <v>13</v>
      </c>
      <c r="G5773" s="70" t="str">
        <f>IF(ISNUMBER(F5773),E5773*F5773,"")</f>
        <v/>
      </c>
      <c r="H5773" s="71"/>
      <c r="I5773" s="72"/>
      <c r="J5773" s="37">
        <v>0</v>
      </c>
    </row>
    <row r="5774" spans="1:10" ht="25.5" hidden="1" x14ac:dyDescent="0.25">
      <c r="A5774" s="179"/>
      <c r="B5774" s="177"/>
      <c r="C5774" s="43" t="s">
        <v>10999</v>
      </c>
      <c r="D5774" s="43" t="s">
        <v>1044</v>
      </c>
      <c r="E5774" s="44">
        <v>1</v>
      </c>
      <c r="F5774" s="38">
        <v>7.6189999999999989</v>
      </c>
      <c r="G5774" s="70">
        <f>IF(ISNUMBER(F5774),E5774*F5774,"")</f>
        <v>7.6189999999999989</v>
      </c>
      <c r="H5774" s="46">
        <f>SUM(G5774:G5774)</f>
        <v>7.6189999999999989</v>
      </c>
      <c r="I5774" s="47"/>
      <c r="J5774" s="37">
        <v>0</v>
      </c>
    </row>
    <row r="5775" spans="1:10" ht="15.75" hidden="1" thickBot="1" x14ac:dyDescent="0.3">
      <c r="A5775" s="180"/>
      <c r="B5775" s="178"/>
      <c r="C5775" s="49"/>
      <c r="D5775" s="63"/>
      <c r="E5775" s="50"/>
      <c r="F5775" s="83" t="s">
        <v>13</v>
      </c>
      <c r="G5775" s="83" t="str">
        <f>IF(ISNUMBER(F5775),E5775*F5775,"")</f>
        <v/>
      </c>
      <c r="H5775" s="84"/>
      <c r="I5775" s="72"/>
      <c r="J5775" s="37">
        <v>0</v>
      </c>
    </row>
    <row r="5776" spans="1:10" ht="15.75" hidden="1" thickBot="1" x14ac:dyDescent="0.3">
      <c r="A5776" s="173" t="s">
        <v>1357</v>
      </c>
      <c r="B5776" s="176" t="s">
        <v>5219</v>
      </c>
      <c r="C5776" s="31"/>
      <c r="D5776" s="32" t="s">
        <v>18</v>
      </c>
      <c r="E5776" s="33"/>
      <c r="F5776" s="60" t="s">
        <v>13</v>
      </c>
      <c r="G5776" s="34" t="str">
        <f>IF(ISNUMBER(F5776),E5776*F5776,"")</f>
        <v/>
      </c>
      <c r="H5776" s="35"/>
      <c r="I5776" s="36"/>
      <c r="J5776" s="37">
        <v>0</v>
      </c>
    </row>
    <row r="5777" spans="1:10" hidden="1" x14ac:dyDescent="0.25">
      <c r="A5777" s="179"/>
      <c r="B5777" s="177"/>
      <c r="C5777" s="39"/>
      <c r="D5777" s="39"/>
      <c r="E5777" s="40"/>
      <c r="F5777" s="70" t="s">
        <v>13</v>
      </c>
      <c r="G5777" s="70" t="str">
        <f>IF(ISNUMBER(F5777),E5777*F5777,"")</f>
        <v/>
      </c>
      <c r="H5777" s="71"/>
      <c r="I5777" s="72"/>
      <c r="J5777" s="37">
        <v>0</v>
      </c>
    </row>
    <row r="5778" spans="1:10" ht="25.5" hidden="1" x14ac:dyDescent="0.25">
      <c r="A5778" s="179"/>
      <c r="B5778" s="177"/>
      <c r="C5778" s="43" t="s">
        <v>11217</v>
      </c>
      <c r="D5778" s="43" t="s">
        <v>83</v>
      </c>
      <c r="E5778" s="44">
        <v>1</v>
      </c>
      <c r="F5778" s="38">
        <v>9.7089999999999996</v>
      </c>
      <c r="G5778" s="70">
        <f>IF(ISNUMBER(F5778),E5778*F5778,"")</f>
        <v>9.7089999999999996</v>
      </c>
      <c r="H5778" s="46">
        <f>SUM(G5778:G5778)</f>
        <v>9.7089999999999996</v>
      </c>
      <c r="I5778" s="47"/>
      <c r="J5778" s="37">
        <v>0</v>
      </c>
    </row>
    <row r="5779" spans="1:10" ht="15.75" hidden="1" thickBot="1" x14ac:dyDescent="0.3">
      <c r="A5779" s="180"/>
      <c r="B5779" s="178"/>
      <c r="C5779" s="49"/>
      <c r="D5779" s="63"/>
      <c r="E5779" s="50"/>
      <c r="F5779" s="83" t="s">
        <v>13</v>
      </c>
      <c r="G5779" s="83" t="str">
        <f>IF(ISNUMBER(F5779),E5779*F5779,"")</f>
        <v/>
      </c>
      <c r="H5779" s="84"/>
      <c r="I5779" s="72"/>
      <c r="J5779" s="37">
        <v>0</v>
      </c>
    </row>
    <row r="5780" spans="1:10" ht="15.75" hidden="1" thickBot="1" x14ac:dyDescent="0.3">
      <c r="A5780" s="173" t="s">
        <v>1358</v>
      </c>
      <c r="B5780" s="176" t="s">
        <v>5220</v>
      </c>
      <c r="C5780" s="31"/>
      <c r="D5780" s="32" t="s">
        <v>18</v>
      </c>
      <c r="E5780" s="33"/>
      <c r="F5780" s="60" t="s">
        <v>13</v>
      </c>
      <c r="G5780" s="34" t="str">
        <f>IF(ISNUMBER(F5780),E5780*F5780,"")</f>
        <v/>
      </c>
      <c r="H5780" s="35"/>
      <c r="I5780" s="36"/>
      <c r="J5780" s="37">
        <v>0</v>
      </c>
    </row>
    <row r="5781" spans="1:10" hidden="1" x14ac:dyDescent="0.25">
      <c r="A5781" s="179"/>
      <c r="B5781" s="177"/>
      <c r="C5781" s="39"/>
      <c r="D5781" s="39"/>
      <c r="E5781" s="40"/>
      <c r="F5781" s="70" t="s">
        <v>13</v>
      </c>
      <c r="G5781" s="70" t="str">
        <f>IF(ISNUMBER(F5781),E5781*F5781,"")</f>
        <v/>
      </c>
      <c r="H5781" s="71"/>
      <c r="I5781" s="72"/>
      <c r="J5781" s="37">
        <v>0</v>
      </c>
    </row>
    <row r="5782" spans="1:10" ht="25.5" hidden="1" x14ac:dyDescent="0.25">
      <c r="A5782" s="179"/>
      <c r="B5782" s="177"/>
      <c r="C5782" s="43" t="s">
        <v>11218</v>
      </c>
      <c r="D5782" s="43" t="s">
        <v>83</v>
      </c>
      <c r="E5782" s="44">
        <v>1</v>
      </c>
      <c r="F5782" s="38">
        <v>16.311500000000002</v>
      </c>
      <c r="G5782" s="70">
        <f>IF(ISNUMBER(F5782),E5782*F5782,"")</f>
        <v>16.311500000000002</v>
      </c>
      <c r="H5782" s="46">
        <f>SUM(G5782:G5782)</f>
        <v>16.311500000000002</v>
      </c>
      <c r="I5782" s="47"/>
      <c r="J5782" s="37">
        <v>0</v>
      </c>
    </row>
    <row r="5783" spans="1:10" ht="15.75" hidden="1" thickBot="1" x14ac:dyDescent="0.3">
      <c r="A5783" s="180"/>
      <c r="B5783" s="178"/>
      <c r="C5783" s="49"/>
      <c r="D5783" s="63"/>
      <c r="E5783" s="50"/>
      <c r="F5783" s="83" t="s">
        <v>13</v>
      </c>
      <c r="G5783" s="83" t="str">
        <f>IF(ISNUMBER(F5783),E5783*F5783,"")</f>
        <v/>
      </c>
      <c r="H5783" s="84"/>
      <c r="I5783" s="72"/>
      <c r="J5783" s="37">
        <v>0</v>
      </c>
    </row>
    <row r="5784" spans="1:10" ht="15.75" hidden="1" thickBot="1" x14ac:dyDescent="0.3">
      <c r="A5784" s="173" t="s">
        <v>1359</v>
      </c>
      <c r="B5784" s="176" t="s">
        <v>5221</v>
      </c>
      <c r="C5784" s="31"/>
      <c r="D5784" s="32" t="s">
        <v>18</v>
      </c>
      <c r="E5784" s="33"/>
      <c r="F5784" s="60" t="s">
        <v>13</v>
      </c>
      <c r="G5784" s="34" t="str">
        <f>IF(ISNUMBER(F5784),E5784*F5784,"")</f>
        <v/>
      </c>
      <c r="H5784" s="35"/>
      <c r="I5784" s="36"/>
      <c r="J5784" s="37">
        <v>0</v>
      </c>
    </row>
    <row r="5785" spans="1:10" hidden="1" x14ac:dyDescent="0.25">
      <c r="A5785" s="179"/>
      <c r="B5785" s="177"/>
      <c r="C5785" s="39"/>
      <c r="D5785" s="39"/>
      <c r="E5785" s="40"/>
      <c r="F5785" s="70" t="s">
        <v>13</v>
      </c>
      <c r="G5785" s="70" t="str">
        <f>IF(ISNUMBER(F5785),E5785*F5785,"")</f>
        <v/>
      </c>
      <c r="H5785" s="71"/>
      <c r="I5785" s="72"/>
      <c r="J5785" s="37">
        <v>0</v>
      </c>
    </row>
    <row r="5786" spans="1:10" ht="25.5" hidden="1" x14ac:dyDescent="0.25">
      <c r="A5786" s="179"/>
      <c r="B5786" s="177"/>
      <c r="C5786" s="43" t="s">
        <v>11219</v>
      </c>
      <c r="D5786" s="43" t="s">
        <v>83</v>
      </c>
      <c r="E5786" s="44">
        <v>1</v>
      </c>
      <c r="F5786" s="38">
        <v>19.997499999999999</v>
      </c>
      <c r="G5786" s="70">
        <f>IF(ISNUMBER(F5786),E5786*F5786,"")</f>
        <v>19.997499999999999</v>
      </c>
      <c r="H5786" s="46">
        <f>SUM(G5786:G5786)</f>
        <v>19.997499999999999</v>
      </c>
      <c r="I5786" s="47"/>
      <c r="J5786" s="37">
        <v>0</v>
      </c>
    </row>
    <row r="5787" spans="1:10" ht="15.75" hidden="1" thickBot="1" x14ac:dyDescent="0.3">
      <c r="A5787" s="180"/>
      <c r="B5787" s="178"/>
      <c r="C5787" s="49"/>
      <c r="D5787" s="63"/>
      <c r="E5787" s="50"/>
      <c r="F5787" s="83" t="s">
        <v>13</v>
      </c>
      <c r="G5787" s="83" t="str">
        <f>IF(ISNUMBER(F5787),E5787*F5787,"")</f>
        <v/>
      </c>
      <c r="H5787" s="84"/>
      <c r="I5787" s="72"/>
      <c r="J5787" s="37">
        <v>0</v>
      </c>
    </row>
    <row r="5788" spans="1:10" ht="15.75" hidden="1" thickBot="1" x14ac:dyDescent="0.3">
      <c r="A5788" s="173" t="s">
        <v>1360</v>
      </c>
      <c r="B5788" s="176" t="s">
        <v>5222</v>
      </c>
      <c r="C5788" s="31"/>
      <c r="D5788" s="32" t="s">
        <v>18</v>
      </c>
      <c r="E5788" s="33"/>
      <c r="F5788" s="60" t="s">
        <v>13</v>
      </c>
      <c r="G5788" s="34" t="str">
        <f>IF(ISNUMBER(F5788),E5788*F5788,"")</f>
        <v/>
      </c>
      <c r="H5788" s="35"/>
      <c r="I5788" s="36"/>
      <c r="J5788" s="37">
        <v>0</v>
      </c>
    </row>
    <row r="5789" spans="1:10" hidden="1" x14ac:dyDescent="0.25">
      <c r="A5789" s="179"/>
      <c r="B5789" s="177"/>
      <c r="C5789" s="39"/>
      <c r="D5789" s="39"/>
      <c r="E5789" s="40"/>
      <c r="F5789" s="70" t="s">
        <v>13</v>
      </c>
      <c r="G5789" s="70" t="str">
        <f>IF(ISNUMBER(F5789),E5789*F5789,"")</f>
        <v/>
      </c>
      <c r="H5789" s="71"/>
      <c r="I5789" s="72"/>
      <c r="J5789" s="37">
        <v>0</v>
      </c>
    </row>
    <row r="5790" spans="1:10" ht="25.5" hidden="1" x14ac:dyDescent="0.25">
      <c r="A5790" s="179"/>
      <c r="B5790" s="177"/>
      <c r="C5790" s="43" t="s">
        <v>11220</v>
      </c>
      <c r="D5790" s="43" t="s">
        <v>83</v>
      </c>
      <c r="E5790" s="44">
        <v>1</v>
      </c>
      <c r="F5790" s="38">
        <v>26.581</v>
      </c>
      <c r="G5790" s="70">
        <f>IF(ISNUMBER(F5790),E5790*F5790,"")</f>
        <v>26.581</v>
      </c>
      <c r="H5790" s="46">
        <f>SUM(G5790:G5790)</f>
        <v>26.581</v>
      </c>
      <c r="I5790" s="47"/>
      <c r="J5790" s="37">
        <v>0</v>
      </c>
    </row>
    <row r="5791" spans="1:10" ht="15.75" hidden="1" thickBot="1" x14ac:dyDescent="0.3">
      <c r="A5791" s="180"/>
      <c r="B5791" s="178"/>
      <c r="C5791" s="49"/>
      <c r="D5791" s="63"/>
      <c r="E5791" s="50"/>
      <c r="F5791" s="83" t="s">
        <v>13</v>
      </c>
      <c r="G5791" s="83" t="str">
        <f>IF(ISNUMBER(F5791),E5791*F5791,"")</f>
        <v/>
      </c>
      <c r="H5791" s="84"/>
      <c r="I5791" s="72"/>
      <c r="J5791" s="37">
        <v>0</v>
      </c>
    </row>
    <row r="5792" spans="1:10" ht="15.75" hidden="1" thickBot="1" x14ac:dyDescent="0.3">
      <c r="A5792" s="173" t="s">
        <v>1361</v>
      </c>
      <c r="B5792" s="176" t="s">
        <v>5223</v>
      </c>
      <c r="C5792" s="31"/>
      <c r="D5792" s="32" t="s">
        <v>18</v>
      </c>
      <c r="E5792" s="33"/>
      <c r="F5792" s="60" t="s">
        <v>13</v>
      </c>
      <c r="G5792" s="34" t="str">
        <f>IF(ISNUMBER(F5792),E5792*F5792,"")</f>
        <v/>
      </c>
      <c r="H5792" s="35"/>
      <c r="I5792" s="36"/>
      <c r="J5792" s="37">
        <v>0</v>
      </c>
    </row>
    <row r="5793" spans="1:10" hidden="1" x14ac:dyDescent="0.25">
      <c r="A5793" s="179"/>
      <c r="B5793" s="177"/>
      <c r="C5793" s="39"/>
      <c r="D5793" s="39"/>
      <c r="E5793" s="40"/>
      <c r="F5793" s="70" t="s">
        <v>13</v>
      </c>
      <c r="G5793" s="70" t="str">
        <f>IF(ISNUMBER(F5793),E5793*F5793,"")</f>
        <v/>
      </c>
      <c r="H5793" s="71"/>
      <c r="I5793" s="72"/>
      <c r="J5793" s="37">
        <v>0</v>
      </c>
    </row>
    <row r="5794" spans="1:10" ht="25.5" hidden="1" x14ac:dyDescent="0.25">
      <c r="A5794" s="179"/>
      <c r="B5794" s="177"/>
      <c r="C5794" s="43" t="s">
        <v>11221</v>
      </c>
      <c r="D5794" s="43" t="s">
        <v>83</v>
      </c>
      <c r="E5794" s="44">
        <v>1</v>
      </c>
      <c r="F5794" s="38">
        <v>38.997499999999995</v>
      </c>
      <c r="G5794" s="70">
        <f>IF(ISNUMBER(F5794),E5794*F5794,"")</f>
        <v>38.997499999999995</v>
      </c>
      <c r="H5794" s="46">
        <f>SUM(G5794:G5794)</f>
        <v>38.997499999999995</v>
      </c>
      <c r="I5794" s="47"/>
      <c r="J5794" s="37">
        <v>0</v>
      </c>
    </row>
    <row r="5795" spans="1:10" ht="15.75" hidden="1" thickBot="1" x14ac:dyDescent="0.3">
      <c r="A5795" s="180"/>
      <c r="B5795" s="178"/>
      <c r="C5795" s="49"/>
      <c r="D5795" s="63"/>
      <c r="E5795" s="50"/>
      <c r="F5795" s="83" t="s">
        <v>13</v>
      </c>
      <c r="G5795" s="83" t="str">
        <f>IF(ISNUMBER(F5795),E5795*F5795,"")</f>
        <v/>
      </c>
      <c r="H5795" s="84"/>
      <c r="I5795" s="72"/>
      <c r="J5795" s="37">
        <v>0</v>
      </c>
    </row>
    <row r="5796" spans="1:10" ht="15.75" hidden="1" thickBot="1" x14ac:dyDescent="0.3">
      <c r="A5796" s="173" t="s">
        <v>1362</v>
      </c>
      <c r="B5796" s="176" t="s">
        <v>5226</v>
      </c>
      <c r="C5796" s="31"/>
      <c r="D5796" s="32" t="s">
        <v>18</v>
      </c>
      <c r="E5796" s="33"/>
      <c r="F5796" s="60" t="s">
        <v>13</v>
      </c>
      <c r="G5796" s="34" t="str">
        <f>IF(ISNUMBER(F5796),E5796*F5796,"")</f>
        <v/>
      </c>
      <c r="H5796" s="35"/>
      <c r="I5796" s="36"/>
      <c r="J5796" s="37">
        <v>0</v>
      </c>
    </row>
    <row r="5797" spans="1:10" hidden="1" x14ac:dyDescent="0.25">
      <c r="A5797" s="179"/>
      <c r="B5797" s="177"/>
      <c r="C5797" s="39"/>
      <c r="D5797" s="39"/>
      <c r="E5797" s="40"/>
      <c r="F5797" s="70" t="s">
        <v>13</v>
      </c>
      <c r="G5797" s="70" t="str">
        <f>IF(ISNUMBER(F5797),E5797*F5797,"")</f>
        <v/>
      </c>
      <c r="H5797" s="71"/>
      <c r="I5797" s="72"/>
      <c r="J5797" s="37">
        <v>0</v>
      </c>
    </row>
    <row r="5798" spans="1:10" ht="25.5" hidden="1" x14ac:dyDescent="0.25">
      <c r="A5798" s="179"/>
      <c r="B5798" s="177"/>
      <c r="C5798" s="43" t="s">
        <v>11222</v>
      </c>
      <c r="D5798" s="43" t="s">
        <v>83</v>
      </c>
      <c r="E5798" s="44">
        <v>1</v>
      </c>
      <c r="F5798" s="38">
        <v>108.28099999999999</v>
      </c>
      <c r="G5798" s="70">
        <f>IF(ISNUMBER(F5798),E5798*F5798,"")</f>
        <v>108.28099999999999</v>
      </c>
      <c r="H5798" s="46">
        <f>SUM(G5798:G5798)</f>
        <v>108.28099999999999</v>
      </c>
      <c r="I5798" s="47"/>
      <c r="J5798" s="37">
        <v>0</v>
      </c>
    </row>
    <row r="5799" spans="1:10" ht="15.75" hidden="1" thickBot="1" x14ac:dyDescent="0.3">
      <c r="A5799" s="180"/>
      <c r="B5799" s="178"/>
      <c r="C5799" s="49"/>
      <c r="D5799" s="63"/>
      <c r="E5799" s="50"/>
      <c r="F5799" s="83" t="s">
        <v>13</v>
      </c>
      <c r="G5799" s="83" t="str">
        <f>IF(ISNUMBER(F5799),E5799*F5799,"")</f>
        <v/>
      </c>
      <c r="H5799" s="84"/>
      <c r="I5799" s="72"/>
      <c r="J5799" s="37">
        <v>0</v>
      </c>
    </row>
    <row r="5800" spans="1:10" ht="15.75" hidden="1" thickBot="1" x14ac:dyDescent="0.3">
      <c r="A5800" s="173" t="s">
        <v>1363</v>
      </c>
      <c r="B5800" s="176" t="s">
        <v>5227</v>
      </c>
      <c r="C5800" s="31"/>
      <c r="D5800" s="32" t="s">
        <v>18</v>
      </c>
      <c r="E5800" s="33"/>
      <c r="F5800" s="60" t="s">
        <v>13</v>
      </c>
      <c r="G5800" s="34" t="str">
        <f>IF(ISNUMBER(F5800),E5800*F5800,"")</f>
        <v/>
      </c>
      <c r="H5800" s="35"/>
      <c r="I5800" s="36"/>
      <c r="J5800" s="37">
        <v>0</v>
      </c>
    </row>
    <row r="5801" spans="1:10" hidden="1" x14ac:dyDescent="0.25">
      <c r="A5801" s="179"/>
      <c r="B5801" s="177"/>
      <c r="C5801" s="39"/>
      <c r="D5801" s="39"/>
      <c r="E5801" s="40"/>
      <c r="F5801" s="70" t="s">
        <v>13</v>
      </c>
      <c r="G5801" s="70" t="str">
        <f>IF(ISNUMBER(F5801),E5801*F5801,"")</f>
        <v/>
      </c>
      <c r="H5801" s="71"/>
      <c r="I5801" s="72"/>
      <c r="J5801" s="37">
        <v>0</v>
      </c>
    </row>
    <row r="5802" spans="1:10" ht="25.5" hidden="1" x14ac:dyDescent="0.25">
      <c r="A5802" s="179"/>
      <c r="B5802" s="177"/>
      <c r="C5802" s="43" t="s">
        <v>11223</v>
      </c>
      <c r="D5802" s="43" t="s">
        <v>83</v>
      </c>
      <c r="E5802" s="44">
        <v>1</v>
      </c>
      <c r="F5802" s="38">
        <v>198.74950000000001</v>
      </c>
      <c r="G5802" s="70">
        <f>IF(ISNUMBER(F5802),E5802*F5802,"")</f>
        <v>198.74950000000001</v>
      </c>
      <c r="H5802" s="46">
        <f>SUM(G5802:G5802)</f>
        <v>198.74950000000001</v>
      </c>
      <c r="I5802" s="47"/>
      <c r="J5802" s="37">
        <v>0</v>
      </c>
    </row>
    <row r="5803" spans="1:10" ht="15.75" hidden="1" thickBot="1" x14ac:dyDescent="0.3">
      <c r="A5803" s="180"/>
      <c r="B5803" s="178"/>
      <c r="C5803" s="49"/>
      <c r="D5803" s="63"/>
      <c r="E5803" s="50"/>
      <c r="F5803" s="83" t="s">
        <v>13</v>
      </c>
      <c r="G5803" s="83" t="str">
        <f>IF(ISNUMBER(F5803),E5803*F5803,"")</f>
        <v/>
      </c>
      <c r="H5803" s="84"/>
      <c r="I5803" s="72"/>
      <c r="J5803" s="37">
        <v>0</v>
      </c>
    </row>
    <row r="5804" spans="1:10" ht="15.75" hidden="1" thickBot="1" x14ac:dyDescent="0.3">
      <c r="A5804" s="173" t="s">
        <v>1364</v>
      </c>
      <c r="B5804" s="176" t="s">
        <v>5254</v>
      </c>
      <c r="C5804" s="31"/>
      <c r="D5804" s="32" t="s">
        <v>18</v>
      </c>
      <c r="E5804" s="33"/>
      <c r="F5804" s="60" t="s">
        <v>13</v>
      </c>
      <c r="G5804" s="34" t="str">
        <f>IF(ISNUMBER(F5804),E5804*F5804,"")</f>
        <v/>
      </c>
      <c r="H5804" s="35"/>
      <c r="I5804" s="36"/>
      <c r="J5804" s="37">
        <v>0</v>
      </c>
    </row>
    <row r="5805" spans="1:10" hidden="1" x14ac:dyDescent="0.25">
      <c r="A5805" s="179"/>
      <c r="B5805" s="177"/>
      <c r="C5805" s="39"/>
      <c r="D5805" s="39"/>
      <c r="E5805" s="40"/>
      <c r="F5805" s="70" t="s">
        <v>13</v>
      </c>
      <c r="G5805" s="70" t="str">
        <f>IF(ISNUMBER(F5805),E5805*F5805,"")</f>
        <v/>
      </c>
      <c r="H5805" s="71"/>
      <c r="I5805" s="72"/>
      <c r="J5805" s="37">
        <v>0</v>
      </c>
    </row>
    <row r="5806" spans="1:10" hidden="1" x14ac:dyDescent="0.25">
      <c r="A5806" s="179"/>
      <c r="B5806" s="177"/>
      <c r="C5806" s="43" t="s">
        <v>11224</v>
      </c>
      <c r="D5806" s="43" t="s">
        <v>83</v>
      </c>
      <c r="E5806" s="44">
        <v>1</v>
      </c>
      <c r="F5806" s="38">
        <v>3.8759999999999999</v>
      </c>
      <c r="G5806" s="70">
        <f>IF(ISNUMBER(F5806),E5806*F5806,"")</f>
        <v>3.8759999999999999</v>
      </c>
      <c r="H5806" s="46">
        <f>SUM(G5806:G5806)</f>
        <v>3.8759999999999999</v>
      </c>
      <c r="I5806" s="47"/>
      <c r="J5806" s="37">
        <v>0</v>
      </c>
    </row>
    <row r="5807" spans="1:10" ht="15.75" hidden="1" thickBot="1" x14ac:dyDescent="0.3">
      <c r="A5807" s="180"/>
      <c r="B5807" s="178"/>
      <c r="C5807" s="49"/>
      <c r="D5807" s="63"/>
      <c r="E5807" s="50"/>
      <c r="F5807" s="83" t="s">
        <v>13</v>
      </c>
      <c r="G5807" s="83" t="str">
        <f>IF(ISNUMBER(F5807),E5807*F5807,"")</f>
        <v/>
      </c>
      <c r="H5807" s="84"/>
      <c r="I5807" s="72"/>
      <c r="J5807" s="37">
        <v>0</v>
      </c>
    </row>
    <row r="5808" spans="1:10" ht="15.75" hidden="1" thickBot="1" x14ac:dyDescent="0.3">
      <c r="A5808" s="173" t="s">
        <v>1365</v>
      </c>
      <c r="B5808" s="176" t="s">
        <v>5257</v>
      </c>
      <c r="C5808" s="31"/>
      <c r="D5808" s="32" t="s">
        <v>18</v>
      </c>
      <c r="E5808" s="33"/>
      <c r="F5808" s="60" t="s">
        <v>13</v>
      </c>
      <c r="G5808" s="34" t="str">
        <f>IF(ISNUMBER(F5808),E5808*F5808,"")</f>
        <v/>
      </c>
      <c r="H5808" s="35"/>
      <c r="I5808" s="36"/>
      <c r="J5808" s="37">
        <v>0</v>
      </c>
    </row>
    <row r="5809" spans="1:10" hidden="1" x14ac:dyDescent="0.25">
      <c r="A5809" s="179"/>
      <c r="B5809" s="177"/>
      <c r="C5809" s="39"/>
      <c r="D5809" s="39"/>
      <c r="E5809" s="40"/>
      <c r="F5809" s="70" t="s">
        <v>13</v>
      </c>
      <c r="G5809" s="70" t="str">
        <f>IF(ISNUMBER(F5809),E5809*F5809,"")</f>
        <v/>
      </c>
      <c r="H5809" s="71"/>
      <c r="I5809" s="72"/>
      <c r="J5809" s="37">
        <v>0</v>
      </c>
    </row>
    <row r="5810" spans="1:10" ht="25.5" hidden="1" x14ac:dyDescent="0.25">
      <c r="A5810" s="179"/>
      <c r="B5810" s="177"/>
      <c r="C5810" s="43" t="s">
        <v>11225</v>
      </c>
      <c r="D5810" s="43" t="s">
        <v>83</v>
      </c>
      <c r="E5810" s="44">
        <v>1</v>
      </c>
      <c r="F5810" s="38">
        <v>2.964</v>
      </c>
      <c r="G5810" s="70">
        <f>IF(ISNUMBER(F5810),E5810*F5810,"")</f>
        <v>2.964</v>
      </c>
      <c r="H5810" s="46">
        <f>SUM(G5810:G5810)</f>
        <v>2.964</v>
      </c>
      <c r="I5810" s="47"/>
      <c r="J5810" s="37">
        <v>0</v>
      </c>
    </row>
    <row r="5811" spans="1:10" ht="15.75" hidden="1" thickBot="1" x14ac:dyDescent="0.3">
      <c r="A5811" s="180"/>
      <c r="B5811" s="178"/>
      <c r="C5811" s="49"/>
      <c r="D5811" s="63"/>
      <c r="E5811" s="50"/>
      <c r="F5811" s="83" t="s">
        <v>13</v>
      </c>
      <c r="G5811" s="83" t="str">
        <f>IF(ISNUMBER(F5811),E5811*F5811,"")</f>
        <v/>
      </c>
      <c r="H5811" s="84"/>
      <c r="I5811" s="72"/>
      <c r="J5811" s="37">
        <v>0</v>
      </c>
    </row>
    <row r="5812" spans="1:10" ht="15.75" hidden="1" thickBot="1" x14ac:dyDescent="0.3">
      <c r="A5812" s="173" t="s">
        <v>1366</v>
      </c>
      <c r="B5812" s="176" t="s">
        <v>5258</v>
      </c>
      <c r="C5812" s="31"/>
      <c r="D5812" s="32" t="s">
        <v>18</v>
      </c>
      <c r="E5812" s="33"/>
      <c r="F5812" s="60" t="s">
        <v>13</v>
      </c>
      <c r="G5812" s="34" t="str">
        <f>IF(ISNUMBER(F5812),E5812*F5812,"")</f>
        <v/>
      </c>
      <c r="H5812" s="35"/>
      <c r="I5812" s="36"/>
      <c r="J5812" s="37">
        <v>0</v>
      </c>
    </row>
    <row r="5813" spans="1:10" hidden="1" x14ac:dyDescent="0.25">
      <c r="A5813" s="179"/>
      <c r="B5813" s="177"/>
      <c r="C5813" s="39"/>
      <c r="D5813" s="39"/>
      <c r="E5813" s="40"/>
      <c r="F5813" s="70" t="s">
        <v>13</v>
      </c>
      <c r="G5813" s="70" t="str">
        <f>IF(ISNUMBER(F5813),E5813*F5813,"")</f>
        <v/>
      </c>
      <c r="H5813" s="71"/>
      <c r="I5813" s="72"/>
      <c r="J5813" s="37">
        <v>0</v>
      </c>
    </row>
    <row r="5814" spans="1:10" ht="25.5" hidden="1" x14ac:dyDescent="0.25">
      <c r="A5814" s="179"/>
      <c r="B5814" s="177"/>
      <c r="C5814" s="43" t="s">
        <v>11226</v>
      </c>
      <c r="D5814" s="43" t="s">
        <v>83</v>
      </c>
      <c r="E5814" s="44">
        <v>1</v>
      </c>
      <c r="F5814" s="38">
        <v>3.3439999999999999</v>
      </c>
      <c r="G5814" s="70">
        <f>IF(ISNUMBER(F5814),E5814*F5814,"")</f>
        <v>3.3439999999999999</v>
      </c>
      <c r="H5814" s="46">
        <f>SUM(G5814:G5814)</f>
        <v>3.3439999999999999</v>
      </c>
      <c r="I5814" s="47"/>
      <c r="J5814" s="37">
        <v>0</v>
      </c>
    </row>
    <row r="5815" spans="1:10" ht="15.75" hidden="1" thickBot="1" x14ac:dyDescent="0.3">
      <c r="A5815" s="180"/>
      <c r="B5815" s="178"/>
      <c r="C5815" s="49"/>
      <c r="D5815" s="63"/>
      <c r="E5815" s="50"/>
      <c r="F5815" s="83" t="s">
        <v>13</v>
      </c>
      <c r="G5815" s="83" t="str">
        <f>IF(ISNUMBER(F5815),E5815*F5815,"")</f>
        <v/>
      </c>
      <c r="H5815" s="84"/>
      <c r="I5815" s="72"/>
      <c r="J5815" s="37">
        <v>0</v>
      </c>
    </row>
    <row r="5816" spans="1:10" ht="15.75" hidden="1" thickBot="1" x14ac:dyDescent="0.3">
      <c r="A5816" s="173" t="s">
        <v>1367</v>
      </c>
      <c r="B5816" s="176" t="s">
        <v>5259</v>
      </c>
      <c r="C5816" s="31"/>
      <c r="D5816" s="32" t="s">
        <v>18</v>
      </c>
      <c r="E5816" s="33"/>
      <c r="F5816" s="60" t="s">
        <v>13</v>
      </c>
      <c r="G5816" s="34" t="str">
        <f>IF(ISNUMBER(F5816),E5816*F5816,"")</f>
        <v/>
      </c>
      <c r="H5816" s="35"/>
      <c r="I5816" s="36"/>
      <c r="J5816" s="37">
        <v>0</v>
      </c>
    </row>
    <row r="5817" spans="1:10" hidden="1" x14ac:dyDescent="0.25">
      <c r="A5817" s="179"/>
      <c r="B5817" s="177"/>
      <c r="C5817" s="39"/>
      <c r="D5817" s="39"/>
      <c r="E5817" s="40"/>
      <c r="F5817" s="70" t="s">
        <v>13</v>
      </c>
      <c r="G5817" s="70" t="str">
        <f>IF(ISNUMBER(F5817),E5817*F5817,"")</f>
        <v/>
      </c>
      <c r="H5817" s="71"/>
      <c r="I5817" s="72"/>
      <c r="J5817" s="37">
        <v>0</v>
      </c>
    </row>
    <row r="5818" spans="1:10" ht="25.5" hidden="1" x14ac:dyDescent="0.25">
      <c r="A5818" s="179"/>
      <c r="B5818" s="177"/>
      <c r="C5818" s="43" t="s">
        <v>11227</v>
      </c>
      <c r="D5818" s="43" t="s">
        <v>83</v>
      </c>
      <c r="E5818" s="44">
        <v>1</v>
      </c>
      <c r="F5818" s="38">
        <v>5.8045</v>
      </c>
      <c r="G5818" s="70">
        <f>IF(ISNUMBER(F5818),E5818*F5818,"")</f>
        <v>5.8045</v>
      </c>
      <c r="H5818" s="46">
        <f>SUM(G5818:G5818)</f>
        <v>5.8045</v>
      </c>
      <c r="I5818" s="47"/>
      <c r="J5818" s="37">
        <v>0</v>
      </c>
    </row>
    <row r="5819" spans="1:10" ht="15.75" hidden="1" thickBot="1" x14ac:dyDescent="0.3">
      <c r="A5819" s="180"/>
      <c r="B5819" s="178"/>
      <c r="C5819" s="49"/>
      <c r="D5819" s="63"/>
      <c r="E5819" s="50"/>
      <c r="F5819" s="83" t="s">
        <v>13</v>
      </c>
      <c r="G5819" s="83" t="str">
        <f>IF(ISNUMBER(F5819),E5819*F5819,"")</f>
        <v/>
      </c>
      <c r="H5819" s="84"/>
      <c r="I5819" s="72"/>
      <c r="J5819" s="37">
        <v>0</v>
      </c>
    </row>
    <row r="5820" spans="1:10" ht="15.75" hidden="1" thickBot="1" x14ac:dyDescent="0.3">
      <c r="A5820" s="173" t="s">
        <v>1368</v>
      </c>
      <c r="B5820" s="176" t="s">
        <v>5260</v>
      </c>
      <c r="C5820" s="31"/>
      <c r="D5820" s="32" t="s">
        <v>18</v>
      </c>
      <c r="E5820" s="33"/>
      <c r="F5820" s="60" t="s">
        <v>13</v>
      </c>
      <c r="G5820" s="34" t="str">
        <f>IF(ISNUMBER(F5820),E5820*F5820,"")</f>
        <v/>
      </c>
      <c r="H5820" s="35"/>
      <c r="I5820" s="36"/>
      <c r="J5820" s="37">
        <v>0</v>
      </c>
    </row>
    <row r="5821" spans="1:10" hidden="1" x14ac:dyDescent="0.25">
      <c r="A5821" s="179"/>
      <c r="B5821" s="177"/>
      <c r="C5821" s="39"/>
      <c r="D5821" s="39"/>
      <c r="E5821" s="40"/>
      <c r="F5821" s="70" t="s">
        <v>13</v>
      </c>
      <c r="G5821" s="70" t="str">
        <f>IF(ISNUMBER(F5821),E5821*F5821,"")</f>
        <v/>
      </c>
      <c r="H5821" s="71"/>
      <c r="I5821" s="72"/>
      <c r="J5821" s="37">
        <v>0</v>
      </c>
    </row>
    <row r="5822" spans="1:10" ht="25.5" hidden="1" x14ac:dyDescent="0.25">
      <c r="A5822" s="179"/>
      <c r="B5822" s="177"/>
      <c r="C5822" s="43" t="s">
        <v>11228</v>
      </c>
      <c r="D5822" s="43" t="s">
        <v>83</v>
      </c>
      <c r="E5822" s="44">
        <v>1</v>
      </c>
      <c r="F5822" s="38">
        <v>7.2389999999999999</v>
      </c>
      <c r="G5822" s="70">
        <f>IF(ISNUMBER(F5822),E5822*F5822,"")</f>
        <v>7.2389999999999999</v>
      </c>
      <c r="H5822" s="46">
        <f>SUM(G5822:G5822)</f>
        <v>7.2389999999999999</v>
      </c>
      <c r="I5822" s="47"/>
      <c r="J5822" s="37">
        <v>0</v>
      </c>
    </row>
    <row r="5823" spans="1:10" ht="15.75" hidden="1" thickBot="1" x14ac:dyDescent="0.3">
      <c r="A5823" s="180"/>
      <c r="B5823" s="178"/>
      <c r="C5823" s="49"/>
      <c r="D5823" s="63"/>
      <c r="E5823" s="50"/>
      <c r="F5823" s="83" t="s">
        <v>13</v>
      </c>
      <c r="G5823" s="83" t="str">
        <f>IF(ISNUMBER(F5823),E5823*F5823,"")</f>
        <v/>
      </c>
      <c r="H5823" s="84"/>
      <c r="I5823" s="72"/>
      <c r="J5823" s="37">
        <v>0</v>
      </c>
    </row>
    <row r="5824" spans="1:10" ht="15.75" hidden="1" thickBot="1" x14ac:dyDescent="0.3">
      <c r="A5824" s="173" t="s">
        <v>1369</v>
      </c>
      <c r="B5824" s="176" t="s">
        <v>5261</v>
      </c>
      <c r="C5824" s="31"/>
      <c r="D5824" s="32" t="s">
        <v>18</v>
      </c>
      <c r="E5824" s="33"/>
      <c r="F5824" s="60" t="s">
        <v>13</v>
      </c>
      <c r="G5824" s="34" t="str">
        <f>IF(ISNUMBER(F5824),E5824*F5824,"")</f>
        <v/>
      </c>
      <c r="H5824" s="35"/>
      <c r="I5824" s="36"/>
      <c r="J5824" s="37">
        <v>0</v>
      </c>
    </row>
    <row r="5825" spans="1:10" hidden="1" x14ac:dyDescent="0.25">
      <c r="A5825" s="179"/>
      <c r="B5825" s="177"/>
      <c r="C5825" s="39"/>
      <c r="D5825" s="39"/>
      <c r="E5825" s="40"/>
      <c r="F5825" s="70" t="s">
        <v>13</v>
      </c>
      <c r="G5825" s="70" t="str">
        <f>IF(ISNUMBER(F5825),E5825*F5825,"")</f>
        <v/>
      </c>
      <c r="H5825" s="71"/>
      <c r="I5825" s="72"/>
      <c r="J5825" s="37">
        <v>0</v>
      </c>
    </row>
    <row r="5826" spans="1:10" ht="25.5" hidden="1" x14ac:dyDescent="0.25">
      <c r="A5826" s="179"/>
      <c r="B5826" s="177"/>
      <c r="C5826" s="43" t="s">
        <v>11229</v>
      </c>
      <c r="D5826" s="43" t="s">
        <v>83</v>
      </c>
      <c r="E5826" s="44">
        <v>1</v>
      </c>
      <c r="F5826" s="38">
        <v>8.9109999999999996</v>
      </c>
      <c r="G5826" s="70">
        <f>IF(ISNUMBER(F5826),E5826*F5826,"")</f>
        <v>8.9109999999999996</v>
      </c>
      <c r="H5826" s="46">
        <f>SUM(G5826:G5826)</f>
        <v>8.9109999999999996</v>
      </c>
      <c r="I5826" s="47"/>
      <c r="J5826" s="37">
        <v>0</v>
      </c>
    </row>
    <row r="5827" spans="1:10" ht="15.75" hidden="1" thickBot="1" x14ac:dyDescent="0.3">
      <c r="A5827" s="180"/>
      <c r="B5827" s="178"/>
      <c r="C5827" s="49"/>
      <c r="D5827" s="63"/>
      <c r="E5827" s="50"/>
      <c r="F5827" s="83" t="s">
        <v>13</v>
      </c>
      <c r="G5827" s="83" t="str">
        <f>IF(ISNUMBER(F5827),E5827*F5827,"")</f>
        <v/>
      </c>
      <c r="H5827" s="84"/>
      <c r="I5827" s="72"/>
      <c r="J5827" s="37">
        <v>0</v>
      </c>
    </row>
    <row r="5828" spans="1:10" ht="15.75" hidden="1" thickBot="1" x14ac:dyDescent="0.3">
      <c r="A5828" s="173" t="s">
        <v>1370</v>
      </c>
      <c r="B5828" s="176" t="s">
        <v>5262</v>
      </c>
      <c r="C5828" s="31"/>
      <c r="D5828" s="32" t="s">
        <v>18</v>
      </c>
      <c r="E5828" s="33"/>
      <c r="F5828" s="60" t="s">
        <v>13</v>
      </c>
      <c r="G5828" s="34" t="str">
        <f>IF(ISNUMBER(F5828),E5828*F5828,"")</f>
        <v/>
      </c>
      <c r="H5828" s="35"/>
      <c r="I5828" s="36"/>
      <c r="J5828" s="37">
        <v>0</v>
      </c>
    </row>
    <row r="5829" spans="1:10" hidden="1" x14ac:dyDescent="0.25">
      <c r="A5829" s="179"/>
      <c r="B5829" s="177"/>
      <c r="C5829" s="39"/>
      <c r="D5829" s="39"/>
      <c r="E5829" s="40"/>
      <c r="F5829" s="70" t="s">
        <v>13</v>
      </c>
      <c r="G5829" s="70" t="str">
        <f>IF(ISNUMBER(F5829),E5829*F5829,"")</f>
        <v/>
      </c>
      <c r="H5829" s="71"/>
      <c r="I5829" s="72"/>
      <c r="J5829" s="37">
        <v>0</v>
      </c>
    </row>
    <row r="5830" spans="1:10" ht="38.25" hidden="1" x14ac:dyDescent="0.25">
      <c r="A5830" s="179"/>
      <c r="B5830" s="177"/>
      <c r="C5830" s="43" t="s">
        <v>11230</v>
      </c>
      <c r="D5830" s="43" t="s">
        <v>83</v>
      </c>
      <c r="E5830" s="44">
        <v>1</v>
      </c>
      <c r="F5830" s="38">
        <v>12.530499999999998</v>
      </c>
      <c r="G5830" s="70">
        <f>IF(ISNUMBER(F5830),E5830*F5830,"")</f>
        <v>12.530499999999998</v>
      </c>
      <c r="H5830" s="46">
        <f>SUM(G5830:G5830)</f>
        <v>12.530499999999998</v>
      </c>
      <c r="I5830" s="47"/>
      <c r="J5830" s="37">
        <v>0</v>
      </c>
    </row>
    <row r="5831" spans="1:10" ht="15.75" hidden="1" thickBot="1" x14ac:dyDescent="0.3">
      <c r="A5831" s="180"/>
      <c r="B5831" s="178"/>
      <c r="C5831" s="49"/>
      <c r="D5831" s="63"/>
      <c r="E5831" s="50"/>
      <c r="F5831" s="83" t="s">
        <v>13</v>
      </c>
      <c r="G5831" s="83" t="str">
        <f>IF(ISNUMBER(F5831),E5831*F5831,"")</f>
        <v/>
      </c>
      <c r="H5831" s="84"/>
      <c r="I5831" s="72"/>
      <c r="J5831" s="37">
        <v>0</v>
      </c>
    </row>
    <row r="5832" spans="1:10" ht="15.75" hidden="1" thickBot="1" x14ac:dyDescent="0.3">
      <c r="A5832" s="173" t="s">
        <v>1371</v>
      </c>
      <c r="B5832" s="176" t="s">
        <v>5263</v>
      </c>
      <c r="C5832" s="31"/>
      <c r="D5832" s="32" t="s">
        <v>18</v>
      </c>
      <c r="E5832" s="33"/>
      <c r="F5832" s="60" t="s">
        <v>13</v>
      </c>
      <c r="G5832" s="34" t="str">
        <f>IF(ISNUMBER(F5832),E5832*F5832,"")</f>
        <v/>
      </c>
      <c r="H5832" s="35"/>
      <c r="I5832" s="36"/>
      <c r="J5832" s="37">
        <v>0</v>
      </c>
    </row>
    <row r="5833" spans="1:10" hidden="1" x14ac:dyDescent="0.25">
      <c r="A5833" s="179"/>
      <c r="B5833" s="177"/>
      <c r="C5833" s="39"/>
      <c r="D5833" s="39"/>
      <c r="E5833" s="40"/>
      <c r="F5833" s="70" t="s">
        <v>13</v>
      </c>
      <c r="G5833" s="70" t="str">
        <f>IF(ISNUMBER(F5833),E5833*F5833,"")</f>
        <v/>
      </c>
      <c r="H5833" s="71"/>
      <c r="I5833" s="72"/>
      <c r="J5833" s="37">
        <v>0</v>
      </c>
    </row>
    <row r="5834" spans="1:10" ht="25.5" hidden="1" x14ac:dyDescent="0.25">
      <c r="A5834" s="179"/>
      <c r="B5834" s="177"/>
      <c r="C5834" s="43" t="s">
        <v>11231</v>
      </c>
      <c r="D5834" s="43" t="s">
        <v>83</v>
      </c>
      <c r="E5834" s="44">
        <v>1</v>
      </c>
      <c r="F5834" s="38">
        <v>28.195999999999998</v>
      </c>
      <c r="G5834" s="70">
        <f>IF(ISNUMBER(F5834),E5834*F5834,"")</f>
        <v>28.195999999999998</v>
      </c>
      <c r="H5834" s="46">
        <f>SUM(G5834:G5834)</f>
        <v>28.195999999999998</v>
      </c>
      <c r="I5834" s="47"/>
      <c r="J5834" s="37">
        <v>0</v>
      </c>
    </row>
    <row r="5835" spans="1:10" ht="15.75" hidden="1" thickBot="1" x14ac:dyDescent="0.3">
      <c r="A5835" s="180"/>
      <c r="B5835" s="178"/>
      <c r="C5835" s="49"/>
      <c r="D5835" s="63"/>
      <c r="E5835" s="50"/>
      <c r="F5835" s="83" t="s">
        <v>13</v>
      </c>
      <c r="G5835" s="83" t="str">
        <f>IF(ISNUMBER(F5835),E5835*F5835,"")</f>
        <v/>
      </c>
      <c r="H5835" s="84"/>
      <c r="I5835" s="72"/>
      <c r="J5835" s="37">
        <v>0</v>
      </c>
    </row>
    <row r="5836" spans="1:10" ht="15.75" hidden="1" thickBot="1" x14ac:dyDescent="0.3">
      <c r="A5836" s="173" t="s">
        <v>1372</v>
      </c>
      <c r="B5836" s="176" t="s">
        <v>5264</v>
      </c>
      <c r="C5836" s="31"/>
      <c r="D5836" s="32" t="s">
        <v>18</v>
      </c>
      <c r="E5836" s="33"/>
      <c r="F5836" s="60" t="s">
        <v>13</v>
      </c>
      <c r="G5836" s="34" t="str">
        <f>IF(ISNUMBER(F5836),E5836*F5836,"")</f>
        <v/>
      </c>
      <c r="H5836" s="35"/>
      <c r="I5836" s="36"/>
      <c r="J5836" s="37">
        <v>0</v>
      </c>
    </row>
    <row r="5837" spans="1:10" hidden="1" x14ac:dyDescent="0.25">
      <c r="A5837" s="179"/>
      <c r="B5837" s="177"/>
      <c r="C5837" s="39"/>
      <c r="D5837" s="39"/>
      <c r="E5837" s="40"/>
      <c r="F5837" s="70" t="s">
        <v>13</v>
      </c>
      <c r="G5837" s="70" t="str">
        <f>IF(ISNUMBER(F5837),E5837*F5837,"")</f>
        <v/>
      </c>
      <c r="H5837" s="71"/>
      <c r="I5837" s="72"/>
      <c r="J5837" s="37">
        <v>0</v>
      </c>
    </row>
    <row r="5838" spans="1:10" ht="25.5" hidden="1" x14ac:dyDescent="0.25">
      <c r="A5838" s="179"/>
      <c r="B5838" s="177"/>
      <c r="C5838" s="43" t="s">
        <v>11232</v>
      </c>
      <c r="D5838" s="43" t="s">
        <v>83</v>
      </c>
      <c r="E5838" s="44">
        <v>1</v>
      </c>
      <c r="F5838" s="38">
        <v>30.817999999999998</v>
      </c>
      <c r="G5838" s="70">
        <f>IF(ISNUMBER(F5838),E5838*F5838,"")</f>
        <v>30.817999999999998</v>
      </c>
      <c r="H5838" s="46">
        <f>SUM(G5838:G5838)</f>
        <v>30.817999999999998</v>
      </c>
      <c r="I5838" s="47"/>
      <c r="J5838" s="37">
        <v>0</v>
      </c>
    </row>
    <row r="5839" spans="1:10" ht="15.75" hidden="1" thickBot="1" x14ac:dyDescent="0.3">
      <c r="A5839" s="180"/>
      <c r="B5839" s="178"/>
      <c r="C5839" s="49"/>
      <c r="D5839" s="63"/>
      <c r="E5839" s="50"/>
      <c r="F5839" s="83" t="s">
        <v>13</v>
      </c>
      <c r="G5839" s="83" t="str">
        <f>IF(ISNUMBER(F5839),E5839*F5839,"")</f>
        <v/>
      </c>
      <c r="H5839" s="84"/>
      <c r="I5839" s="72"/>
      <c r="J5839" s="37">
        <v>0</v>
      </c>
    </row>
    <row r="5840" spans="1:10" ht="15.75" hidden="1" thickBot="1" x14ac:dyDescent="0.3">
      <c r="A5840" s="173" t="s">
        <v>1373</v>
      </c>
      <c r="B5840" s="176" t="s">
        <v>5265</v>
      </c>
      <c r="C5840" s="31"/>
      <c r="D5840" s="32" t="s">
        <v>18</v>
      </c>
      <c r="E5840" s="33"/>
      <c r="F5840" s="60" t="s">
        <v>13</v>
      </c>
      <c r="G5840" s="34" t="str">
        <f>IF(ISNUMBER(F5840),E5840*F5840,"")</f>
        <v/>
      </c>
      <c r="H5840" s="35"/>
      <c r="I5840" s="36"/>
      <c r="J5840" s="37">
        <v>0</v>
      </c>
    </row>
    <row r="5841" spans="1:10" hidden="1" x14ac:dyDescent="0.25">
      <c r="A5841" s="179"/>
      <c r="B5841" s="177"/>
      <c r="C5841" s="39"/>
      <c r="D5841" s="39"/>
      <c r="E5841" s="40"/>
      <c r="F5841" s="70" t="s">
        <v>13</v>
      </c>
      <c r="G5841" s="70" t="str">
        <f>IF(ISNUMBER(F5841),E5841*F5841,"")</f>
        <v/>
      </c>
      <c r="H5841" s="71"/>
      <c r="I5841" s="72"/>
      <c r="J5841" s="37">
        <v>0</v>
      </c>
    </row>
    <row r="5842" spans="1:10" ht="25.5" hidden="1" x14ac:dyDescent="0.25">
      <c r="A5842" s="179"/>
      <c r="B5842" s="177"/>
      <c r="C5842" s="43" t="s">
        <v>11233</v>
      </c>
      <c r="D5842" s="43" t="s">
        <v>83</v>
      </c>
      <c r="E5842" s="44">
        <v>1</v>
      </c>
      <c r="F5842" s="38">
        <v>40.659999999999997</v>
      </c>
      <c r="G5842" s="70">
        <f>IF(ISNUMBER(F5842),E5842*F5842,"")</f>
        <v>40.659999999999997</v>
      </c>
      <c r="H5842" s="46">
        <f>SUM(G5842:G5842)</f>
        <v>40.659999999999997</v>
      </c>
      <c r="I5842" s="47"/>
      <c r="J5842" s="37">
        <v>0</v>
      </c>
    </row>
    <row r="5843" spans="1:10" ht="15.75" hidden="1" thickBot="1" x14ac:dyDescent="0.3">
      <c r="A5843" s="180"/>
      <c r="B5843" s="178"/>
      <c r="C5843" s="49"/>
      <c r="D5843" s="63"/>
      <c r="E5843" s="50"/>
      <c r="F5843" s="83" t="s">
        <v>13</v>
      </c>
      <c r="G5843" s="83" t="str">
        <f>IF(ISNUMBER(F5843),E5843*F5843,"")</f>
        <v/>
      </c>
      <c r="H5843" s="84"/>
      <c r="I5843" s="72"/>
      <c r="J5843" s="37">
        <v>0</v>
      </c>
    </row>
    <row r="5844" spans="1:10" ht="15.75" hidden="1" thickBot="1" x14ac:dyDescent="0.3">
      <c r="A5844" s="173" t="s">
        <v>1374</v>
      </c>
      <c r="B5844" s="176" t="s">
        <v>5266</v>
      </c>
      <c r="C5844" s="31"/>
      <c r="D5844" s="32" t="s">
        <v>18</v>
      </c>
      <c r="E5844" s="33"/>
      <c r="F5844" s="60" t="s">
        <v>13</v>
      </c>
      <c r="G5844" s="34" t="str">
        <f>IF(ISNUMBER(F5844),E5844*F5844,"")</f>
        <v/>
      </c>
      <c r="H5844" s="35"/>
      <c r="I5844" s="36"/>
      <c r="J5844" s="37">
        <v>0</v>
      </c>
    </row>
    <row r="5845" spans="1:10" hidden="1" x14ac:dyDescent="0.25">
      <c r="A5845" s="179"/>
      <c r="B5845" s="177"/>
      <c r="C5845" s="39"/>
      <c r="D5845" s="39"/>
      <c r="E5845" s="40"/>
      <c r="F5845" s="70" t="s">
        <v>13</v>
      </c>
      <c r="G5845" s="70" t="str">
        <f>IF(ISNUMBER(F5845),E5845*F5845,"")</f>
        <v/>
      </c>
      <c r="H5845" s="71"/>
      <c r="I5845" s="72"/>
      <c r="J5845" s="37">
        <v>0</v>
      </c>
    </row>
    <row r="5846" spans="1:10" ht="25.5" hidden="1" x14ac:dyDescent="0.25">
      <c r="A5846" s="179"/>
      <c r="B5846" s="177"/>
      <c r="C5846" s="43" t="s">
        <v>11234</v>
      </c>
      <c r="D5846" s="43" t="s">
        <v>83</v>
      </c>
      <c r="E5846" s="44">
        <v>1</v>
      </c>
      <c r="F5846" s="38">
        <v>59.165999999999997</v>
      </c>
      <c r="G5846" s="70">
        <f>IF(ISNUMBER(F5846),E5846*F5846,"")</f>
        <v>59.165999999999997</v>
      </c>
      <c r="H5846" s="46">
        <f>SUM(G5846:G5846)</f>
        <v>59.165999999999997</v>
      </c>
      <c r="I5846" s="47"/>
      <c r="J5846" s="37">
        <v>0</v>
      </c>
    </row>
    <row r="5847" spans="1:10" ht="15.75" hidden="1" thickBot="1" x14ac:dyDescent="0.3">
      <c r="A5847" s="180"/>
      <c r="B5847" s="178"/>
      <c r="C5847" s="49"/>
      <c r="D5847" s="63"/>
      <c r="E5847" s="50"/>
      <c r="F5847" s="83" t="s">
        <v>13</v>
      </c>
      <c r="G5847" s="83" t="str">
        <f>IF(ISNUMBER(F5847),E5847*F5847,"")</f>
        <v/>
      </c>
      <c r="H5847" s="84"/>
      <c r="I5847" s="72"/>
      <c r="J5847" s="37">
        <v>0</v>
      </c>
    </row>
    <row r="5848" spans="1:10" ht="15.75" hidden="1" thickBot="1" x14ac:dyDescent="0.3">
      <c r="A5848" s="173" t="s">
        <v>1375</v>
      </c>
      <c r="B5848" s="176" t="s">
        <v>5319</v>
      </c>
      <c r="C5848" s="31"/>
      <c r="D5848" s="32" t="s">
        <v>106</v>
      </c>
      <c r="E5848" s="33"/>
      <c r="F5848" s="60" t="s">
        <v>13</v>
      </c>
      <c r="G5848" s="34" t="str">
        <f>IF(ISNUMBER(F5848),E5848*F5848,"")</f>
        <v/>
      </c>
      <c r="H5848" s="35"/>
      <c r="I5848" s="36"/>
      <c r="J5848" s="37">
        <v>0</v>
      </c>
    </row>
    <row r="5849" spans="1:10" hidden="1" x14ac:dyDescent="0.25">
      <c r="A5849" s="179"/>
      <c r="B5849" s="177"/>
      <c r="C5849" s="39"/>
      <c r="D5849" s="39"/>
      <c r="E5849" s="40"/>
      <c r="F5849" s="70" t="s">
        <v>13</v>
      </c>
      <c r="G5849" s="70" t="str">
        <f>IF(ISNUMBER(F5849),E5849*F5849,"")</f>
        <v/>
      </c>
      <c r="H5849" s="71"/>
      <c r="I5849" s="72"/>
      <c r="J5849" s="37">
        <v>0</v>
      </c>
    </row>
    <row r="5850" spans="1:10" hidden="1" x14ac:dyDescent="0.25">
      <c r="A5850" s="179"/>
      <c r="B5850" s="177"/>
      <c r="C5850" s="43" t="s">
        <v>11235</v>
      </c>
      <c r="D5850" s="43" t="s">
        <v>1302</v>
      </c>
      <c r="E5850" s="44">
        <v>1</v>
      </c>
      <c r="F5850" s="38">
        <v>20.766999999999999</v>
      </c>
      <c r="G5850" s="70">
        <f>IF(ISNUMBER(F5850),E5850*F5850,"")</f>
        <v>20.766999999999999</v>
      </c>
      <c r="H5850" s="46">
        <f>SUM(G5850:G5850)</f>
        <v>20.766999999999999</v>
      </c>
      <c r="I5850" s="47"/>
      <c r="J5850" s="37">
        <v>0</v>
      </c>
    </row>
    <row r="5851" spans="1:10" ht="15.75" hidden="1" thickBot="1" x14ac:dyDescent="0.3">
      <c r="A5851" s="180"/>
      <c r="B5851" s="178"/>
      <c r="C5851" s="49"/>
      <c r="D5851" s="63"/>
      <c r="E5851" s="50"/>
      <c r="F5851" s="83" t="s">
        <v>13</v>
      </c>
      <c r="G5851" s="83" t="str">
        <f>IF(ISNUMBER(F5851),E5851*F5851,"")</f>
        <v/>
      </c>
      <c r="H5851" s="84"/>
      <c r="I5851" s="72"/>
      <c r="J5851" s="37">
        <v>0</v>
      </c>
    </row>
    <row r="5852" spans="1:10" ht="15.75" hidden="1" thickBot="1" x14ac:dyDescent="0.3">
      <c r="A5852" s="173" t="s">
        <v>1376</v>
      </c>
      <c r="B5852" s="176" t="s">
        <v>5320</v>
      </c>
      <c r="C5852" s="31"/>
      <c r="D5852" s="32" t="s">
        <v>106</v>
      </c>
      <c r="E5852" s="33"/>
      <c r="F5852" s="60" t="s">
        <v>13</v>
      </c>
      <c r="G5852" s="34" t="str">
        <f>IF(ISNUMBER(F5852),E5852*F5852,"")</f>
        <v/>
      </c>
      <c r="H5852" s="35"/>
      <c r="I5852" s="36"/>
      <c r="J5852" s="37">
        <v>0</v>
      </c>
    </row>
    <row r="5853" spans="1:10" hidden="1" x14ac:dyDescent="0.25">
      <c r="A5853" s="179"/>
      <c r="B5853" s="177"/>
      <c r="C5853" s="39"/>
      <c r="D5853" s="39"/>
      <c r="E5853" s="40"/>
      <c r="F5853" s="70" t="s">
        <v>13</v>
      </c>
      <c r="G5853" s="70" t="str">
        <f>IF(ISNUMBER(F5853),E5853*F5853,"")</f>
        <v/>
      </c>
      <c r="H5853" s="71"/>
      <c r="I5853" s="72"/>
      <c r="J5853" s="37">
        <v>0</v>
      </c>
    </row>
    <row r="5854" spans="1:10" hidden="1" x14ac:dyDescent="0.25">
      <c r="A5854" s="179"/>
      <c r="B5854" s="177"/>
      <c r="C5854" s="43" t="s">
        <v>11236</v>
      </c>
      <c r="D5854" s="43" t="s">
        <v>1302</v>
      </c>
      <c r="E5854" s="44">
        <v>1</v>
      </c>
      <c r="F5854" s="38">
        <v>29.602</v>
      </c>
      <c r="G5854" s="70">
        <f>IF(ISNUMBER(F5854),E5854*F5854,"")</f>
        <v>29.602</v>
      </c>
      <c r="H5854" s="46">
        <f>SUM(G5854:G5854)</f>
        <v>29.602</v>
      </c>
      <c r="I5854" s="47"/>
      <c r="J5854" s="37">
        <v>0</v>
      </c>
    </row>
    <row r="5855" spans="1:10" ht="15.75" hidden="1" thickBot="1" x14ac:dyDescent="0.3">
      <c r="A5855" s="180"/>
      <c r="B5855" s="178"/>
      <c r="C5855" s="49"/>
      <c r="D5855" s="63"/>
      <c r="E5855" s="50"/>
      <c r="F5855" s="83" t="s">
        <v>13</v>
      </c>
      <c r="G5855" s="83" t="str">
        <f>IF(ISNUMBER(F5855),E5855*F5855,"")</f>
        <v/>
      </c>
      <c r="H5855" s="84"/>
      <c r="I5855" s="72"/>
      <c r="J5855" s="37">
        <v>0</v>
      </c>
    </row>
    <row r="5856" spans="1:10" ht="15.75" hidden="1" thickBot="1" x14ac:dyDescent="0.3">
      <c r="A5856" s="173" t="s">
        <v>1377</v>
      </c>
      <c r="B5856" s="176" t="s">
        <v>5321</v>
      </c>
      <c r="C5856" s="31"/>
      <c r="D5856" s="32" t="s">
        <v>106</v>
      </c>
      <c r="E5856" s="33"/>
      <c r="F5856" s="60" t="s">
        <v>13</v>
      </c>
      <c r="G5856" s="34" t="str">
        <f>IF(ISNUMBER(F5856),E5856*F5856,"")</f>
        <v/>
      </c>
      <c r="H5856" s="35"/>
      <c r="I5856" s="36"/>
      <c r="J5856" s="37">
        <v>0</v>
      </c>
    </row>
    <row r="5857" spans="1:10" hidden="1" x14ac:dyDescent="0.25">
      <c r="A5857" s="179"/>
      <c r="B5857" s="177"/>
      <c r="C5857" s="39"/>
      <c r="D5857" s="39"/>
      <c r="E5857" s="40"/>
      <c r="F5857" s="70" t="s">
        <v>13</v>
      </c>
      <c r="G5857" s="70" t="str">
        <f>IF(ISNUMBER(F5857),E5857*F5857,"")</f>
        <v/>
      </c>
      <c r="H5857" s="71"/>
      <c r="I5857" s="72"/>
      <c r="J5857" s="37">
        <v>0</v>
      </c>
    </row>
    <row r="5858" spans="1:10" hidden="1" x14ac:dyDescent="0.25">
      <c r="A5858" s="179"/>
      <c r="B5858" s="177"/>
      <c r="C5858" s="43" t="s">
        <v>11237</v>
      </c>
      <c r="D5858" s="43" t="s">
        <v>1302</v>
      </c>
      <c r="E5858" s="44">
        <v>1</v>
      </c>
      <c r="F5858" s="38">
        <v>43.595500000000001</v>
      </c>
      <c r="G5858" s="70">
        <f>IF(ISNUMBER(F5858),E5858*F5858,"")</f>
        <v>43.595500000000001</v>
      </c>
      <c r="H5858" s="46">
        <f>SUM(G5858:G5858)</f>
        <v>43.595500000000001</v>
      </c>
      <c r="I5858" s="47"/>
      <c r="J5858" s="37">
        <v>0</v>
      </c>
    </row>
    <row r="5859" spans="1:10" ht="15.75" hidden="1" thickBot="1" x14ac:dyDescent="0.3">
      <c r="A5859" s="180"/>
      <c r="B5859" s="178"/>
      <c r="C5859" s="49"/>
      <c r="D5859" s="63"/>
      <c r="E5859" s="50"/>
      <c r="F5859" s="83" t="s">
        <v>13</v>
      </c>
      <c r="G5859" s="83" t="str">
        <f>IF(ISNUMBER(F5859),E5859*F5859,"")</f>
        <v/>
      </c>
      <c r="H5859" s="84"/>
      <c r="I5859" s="72"/>
      <c r="J5859" s="37">
        <v>0</v>
      </c>
    </row>
    <row r="5860" spans="1:10" ht="15.75" hidden="1" thickBot="1" x14ac:dyDescent="0.3">
      <c r="A5860" s="173" t="s">
        <v>1378</v>
      </c>
      <c r="B5860" s="176" t="s">
        <v>5322</v>
      </c>
      <c r="C5860" s="31"/>
      <c r="D5860" s="32" t="s">
        <v>106</v>
      </c>
      <c r="E5860" s="33"/>
      <c r="F5860" s="60" t="s">
        <v>13</v>
      </c>
      <c r="G5860" s="34" t="str">
        <f>IF(ISNUMBER(F5860),E5860*F5860,"")</f>
        <v/>
      </c>
      <c r="H5860" s="35"/>
      <c r="I5860" s="36"/>
      <c r="J5860" s="37">
        <v>0</v>
      </c>
    </row>
    <row r="5861" spans="1:10" hidden="1" x14ac:dyDescent="0.25">
      <c r="A5861" s="179"/>
      <c r="B5861" s="177"/>
      <c r="C5861" s="39"/>
      <c r="D5861" s="39"/>
      <c r="E5861" s="40"/>
      <c r="F5861" s="70" t="s">
        <v>13</v>
      </c>
      <c r="G5861" s="70" t="str">
        <f>IF(ISNUMBER(F5861),E5861*F5861,"")</f>
        <v/>
      </c>
      <c r="H5861" s="71"/>
      <c r="I5861" s="72"/>
      <c r="J5861" s="37">
        <v>0</v>
      </c>
    </row>
    <row r="5862" spans="1:10" hidden="1" x14ac:dyDescent="0.25">
      <c r="A5862" s="179"/>
      <c r="B5862" s="177"/>
      <c r="C5862" s="43" t="s">
        <v>11214</v>
      </c>
      <c r="D5862" s="43" t="s">
        <v>1302</v>
      </c>
      <c r="E5862" s="44">
        <v>1</v>
      </c>
      <c r="F5862" s="38">
        <v>62.101500000000001</v>
      </c>
      <c r="G5862" s="70">
        <f>IF(ISNUMBER(F5862),E5862*F5862,"")</f>
        <v>62.101500000000001</v>
      </c>
      <c r="H5862" s="46">
        <f>SUM(G5862:G5862)</f>
        <v>62.101500000000001</v>
      </c>
      <c r="I5862" s="47"/>
      <c r="J5862" s="37">
        <v>0</v>
      </c>
    </row>
    <row r="5863" spans="1:10" ht="15.75" hidden="1" thickBot="1" x14ac:dyDescent="0.3">
      <c r="A5863" s="180"/>
      <c r="B5863" s="178"/>
      <c r="C5863" s="49"/>
      <c r="D5863" s="63"/>
      <c r="E5863" s="50"/>
      <c r="F5863" s="83" t="s">
        <v>13</v>
      </c>
      <c r="G5863" s="83" t="str">
        <f>IF(ISNUMBER(F5863),E5863*F5863,"")</f>
        <v/>
      </c>
      <c r="H5863" s="84"/>
      <c r="I5863" s="72"/>
      <c r="J5863" s="37">
        <v>0</v>
      </c>
    </row>
    <row r="5864" spans="1:10" ht="15.75" hidden="1" thickBot="1" x14ac:dyDescent="0.3">
      <c r="A5864" s="173" t="s">
        <v>1379</v>
      </c>
      <c r="B5864" s="176" t="s">
        <v>5323</v>
      </c>
      <c r="C5864" s="31"/>
      <c r="D5864" s="32" t="s">
        <v>106</v>
      </c>
      <c r="E5864" s="33"/>
      <c r="F5864" s="60" t="s">
        <v>13</v>
      </c>
      <c r="G5864" s="34" t="str">
        <f>IF(ISNUMBER(F5864),E5864*F5864,"")</f>
        <v/>
      </c>
      <c r="H5864" s="35"/>
      <c r="I5864" s="36"/>
      <c r="J5864" s="37">
        <v>0</v>
      </c>
    </row>
    <row r="5865" spans="1:10" hidden="1" x14ac:dyDescent="0.25">
      <c r="A5865" s="179"/>
      <c r="B5865" s="177"/>
      <c r="C5865" s="39"/>
      <c r="D5865" s="39"/>
      <c r="E5865" s="40"/>
      <c r="F5865" s="70" t="s">
        <v>13</v>
      </c>
      <c r="G5865" s="70" t="str">
        <f>IF(ISNUMBER(F5865),E5865*F5865,"")</f>
        <v/>
      </c>
      <c r="H5865" s="71"/>
      <c r="I5865" s="72"/>
      <c r="J5865" s="37">
        <v>0</v>
      </c>
    </row>
    <row r="5866" spans="1:10" hidden="1" x14ac:dyDescent="0.25">
      <c r="A5866" s="179"/>
      <c r="B5866" s="177"/>
      <c r="C5866" s="43" t="s">
        <v>11238</v>
      </c>
      <c r="D5866" s="43" t="s">
        <v>1302</v>
      </c>
      <c r="E5866" s="44">
        <v>1</v>
      </c>
      <c r="F5866" s="38">
        <v>82.032499999999985</v>
      </c>
      <c r="G5866" s="70">
        <f>IF(ISNUMBER(F5866),E5866*F5866,"")</f>
        <v>82.032499999999985</v>
      </c>
      <c r="H5866" s="46">
        <f>SUM(G5866:G5866)</f>
        <v>82.032499999999985</v>
      </c>
      <c r="I5866" s="47"/>
      <c r="J5866" s="37">
        <v>0</v>
      </c>
    </row>
    <row r="5867" spans="1:10" ht="15.75" hidden="1" thickBot="1" x14ac:dyDescent="0.3">
      <c r="A5867" s="180"/>
      <c r="B5867" s="178"/>
      <c r="C5867" s="49"/>
      <c r="D5867" s="63"/>
      <c r="E5867" s="50"/>
      <c r="F5867" s="83" t="s">
        <v>13</v>
      </c>
      <c r="G5867" s="83" t="str">
        <f>IF(ISNUMBER(F5867),E5867*F5867,"")</f>
        <v/>
      </c>
      <c r="H5867" s="84"/>
      <c r="I5867" s="72"/>
      <c r="J5867" s="37">
        <v>0</v>
      </c>
    </row>
    <row r="5868" spans="1:10" ht="15.75" hidden="1" thickBot="1" x14ac:dyDescent="0.3">
      <c r="A5868" s="173" t="s">
        <v>1380</v>
      </c>
      <c r="B5868" s="176" t="s">
        <v>5730</v>
      </c>
      <c r="C5868" s="31"/>
      <c r="D5868" s="32" t="s">
        <v>106</v>
      </c>
      <c r="E5868" s="33"/>
      <c r="F5868" s="60" t="s">
        <v>13</v>
      </c>
      <c r="G5868" s="34" t="str">
        <f>IF(ISNUMBER(F5868),E5868*F5868,"")</f>
        <v/>
      </c>
      <c r="H5868" s="35"/>
      <c r="I5868" s="36"/>
      <c r="J5868" s="37">
        <v>0</v>
      </c>
    </row>
    <row r="5869" spans="1:10" hidden="1" x14ac:dyDescent="0.25">
      <c r="A5869" s="179"/>
      <c r="B5869" s="177"/>
      <c r="C5869" s="39"/>
      <c r="D5869" s="39"/>
      <c r="E5869" s="40"/>
      <c r="F5869" s="70" t="s">
        <v>13</v>
      </c>
      <c r="G5869" s="70" t="str">
        <f>IF(ISNUMBER(F5869),E5869*F5869,"")</f>
        <v/>
      </c>
      <c r="H5869" s="71"/>
      <c r="I5869" s="72"/>
      <c r="J5869" s="37">
        <v>0</v>
      </c>
    </row>
    <row r="5870" spans="1:10" ht="25.5" hidden="1" x14ac:dyDescent="0.25">
      <c r="A5870" s="179"/>
      <c r="B5870" s="177"/>
      <c r="C5870" s="43" t="s">
        <v>11239</v>
      </c>
      <c r="D5870" s="43" t="s">
        <v>1302</v>
      </c>
      <c r="E5870" s="44">
        <v>1</v>
      </c>
      <c r="F5870" s="38">
        <v>7.6759999999999993</v>
      </c>
      <c r="G5870" s="70">
        <f>IF(ISNUMBER(F5870),E5870*F5870,"")</f>
        <v>7.6759999999999993</v>
      </c>
      <c r="H5870" s="46">
        <f>SUM(G5870:G5870)</f>
        <v>7.6759999999999993</v>
      </c>
      <c r="I5870" s="47"/>
      <c r="J5870" s="37">
        <v>0</v>
      </c>
    </row>
    <row r="5871" spans="1:10" ht="15.75" hidden="1" thickBot="1" x14ac:dyDescent="0.3">
      <c r="A5871" s="180"/>
      <c r="B5871" s="178"/>
      <c r="C5871" s="49"/>
      <c r="D5871" s="63"/>
      <c r="E5871" s="50"/>
      <c r="F5871" s="83" t="s">
        <v>13</v>
      </c>
      <c r="G5871" s="83" t="str">
        <f>IF(ISNUMBER(F5871),E5871*F5871,"")</f>
        <v/>
      </c>
      <c r="H5871" s="84"/>
      <c r="I5871" s="72"/>
      <c r="J5871" s="37">
        <v>0</v>
      </c>
    </row>
    <row r="5872" spans="1:10" ht="15.75" hidden="1" thickBot="1" x14ac:dyDescent="0.3">
      <c r="A5872" s="173" t="s">
        <v>1381</v>
      </c>
      <c r="B5872" s="176" t="s">
        <v>5731</v>
      </c>
      <c r="C5872" s="31"/>
      <c r="D5872" s="32" t="s">
        <v>106</v>
      </c>
      <c r="E5872" s="33"/>
      <c r="F5872" s="60" t="s">
        <v>13</v>
      </c>
      <c r="G5872" s="34" t="str">
        <f>IF(ISNUMBER(F5872),E5872*F5872,"")</f>
        <v/>
      </c>
      <c r="H5872" s="35"/>
      <c r="I5872" s="36"/>
      <c r="J5872" s="37">
        <v>0</v>
      </c>
    </row>
    <row r="5873" spans="1:10" hidden="1" x14ac:dyDescent="0.25">
      <c r="A5873" s="179"/>
      <c r="B5873" s="177"/>
      <c r="C5873" s="39"/>
      <c r="D5873" s="39"/>
      <c r="E5873" s="40"/>
      <c r="F5873" s="70" t="s">
        <v>13</v>
      </c>
      <c r="G5873" s="70" t="str">
        <f>IF(ISNUMBER(F5873),E5873*F5873,"")</f>
        <v/>
      </c>
      <c r="H5873" s="71"/>
      <c r="I5873" s="72"/>
      <c r="J5873" s="37">
        <v>0</v>
      </c>
    </row>
    <row r="5874" spans="1:10" ht="25.5" hidden="1" x14ac:dyDescent="0.25">
      <c r="A5874" s="179"/>
      <c r="B5874" s="177"/>
      <c r="C5874" s="43" t="s">
        <v>1382</v>
      </c>
      <c r="D5874" s="43" t="s">
        <v>1302</v>
      </c>
      <c r="E5874" s="44">
        <v>1</v>
      </c>
      <c r="F5874" s="38" t="s">
        <v>13</v>
      </c>
      <c r="G5874" s="70" t="str">
        <f>IF(ISNUMBER(F5874),E5874*F5874,"")</f>
        <v/>
      </c>
      <c r="H5874" s="46">
        <f>SUM(G5874:G5874)</f>
        <v>0</v>
      </c>
      <c r="I5874" s="47"/>
      <c r="J5874" s="37">
        <v>0</v>
      </c>
    </row>
    <row r="5875" spans="1:10" ht="15.75" hidden="1" thickBot="1" x14ac:dyDescent="0.3">
      <c r="A5875" s="180"/>
      <c r="B5875" s="178"/>
      <c r="C5875" s="49"/>
      <c r="D5875" s="63"/>
      <c r="E5875" s="50"/>
      <c r="F5875" s="83" t="s">
        <v>13</v>
      </c>
      <c r="G5875" s="83" t="str">
        <f>IF(ISNUMBER(F5875),E5875*F5875,"")</f>
        <v/>
      </c>
      <c r="H5875" s="84"/>
      <c r="I5875" s="72"/>
      <c r="J5875" s="37">
        <v>0</v>
      </c>
    </row>
    <row r="5876" spans="1:10" ht="15.75" hidden="1" thickBot="1" x14ac:dyDescent="0.3">
      <c r="A5876" s="173" t="s">
        <v>1383</v>
      </c>
      <c r="B5876" s="176" t="s">
        <v>5732</v>
      </c>
      <c r="C5876" s="31"/>
      <c r="D5876" s="32" t="s">
        <v>106</v>
      </c>
      <c r="E5876" s="33"/>
      <c r="F5876" s="60" t="s">
        <v>13</v>
      </c>
      <c r="G5876" s="34" t="str">
        <f>IF(ISNUMBER(F5876),E5876*F5876,"")</f>
        <v/>
      </c>
      <c r="H5876" s="35"/>
      <c r="I5876" s="36"/>
      <c r="J5876" s="37">
        <v>0</v>
      </c>
    </row>
    <row r="5877" spans="1:10" hidden="1" x14ac:dyDescent="0.25">
      <c r="A5877" s="179"/>
      <c r="B5877" s="177"/>
      <c r="C5877" s="39"/>
      <c r="D5877" s="39"/>
      <c r="E5877" s="40"/>
      <c r="F5877" s="70" t="s">
        <v>13</v>
      </c>
      <c r="G5877" s="70" t="str">
        <f>IF(ISNUMBER(F5877),E5877*F5877,"")</f>
        <v/>
      </c>
      <c r="H5877" s="71"/>
      <c r="I5877" s="72"/>
      <c r="J5877" s="37">
        <v>0</v>
      </c>
    </row>
    <row r="5878" spans="1:10" ht="25.5" hidden="1" x14ac:dyDescent="0.25">
      <c r="A5878" s="179"/>
      <c r="B5878" s="177"/>
      <c r="C5878" s="43" t="s">
        <v>1384</v>
      </c>
      <c r="D5878" s="43" t="s">
        <v>106</v>
      </c>
      <c r="E5878" s="44">
        <v>1</v>
      </c>
      <c r="F5878" s="38" t="s">
        <v>13</v>
      </c>
      <c r="G5878" s="70" t="str">
        <f>IF(ISNUMBER(F5878),E5878*F5878,"")</f>
        <v/>
      </c>
      <c r="H5878" s="46">
        <f>SUM(G5878:G5878)</f>
        <v>0</v>
      </c>
      <c r="I5878" s="47"/>
      <c r="J5878" s="37">
        <v>0</v>
      </c>
    </row>
    <row r="5879" spans="1:10" ht="15.75" hidden="1" thickBot="1" x14ac:dyDescent="0.3">
      <c r="A5879" s="180"/>
      <c r="B5879" s="178"/>
      <c r="C5879" s="49"/>
      <c r="D5879" s="63"/>
      <c r="E5879" s="50"/>
      <c r="F5879" s="83" t="s">
        <v>13</v>
      </c>
      <c r="G5879" s="83" t="str">
        <f>IF(ISNUMBER(F5879),E5879*F5879,"")</f>
        <v/>
      </c>
      <c r="H5879" s="84"/>
      <c r="I5879" s="72"/>
      <c r="J5879" s="37">
        <v>0</v>
      </c>
    </row>
    <row r="5880" spans="1:10" ht="15.75" hidden="1" thickBot="1" x14ac:dyDescent="0.3">
      <c r="A5880" s="173" t="s">
        <v>1385</v>
      </c>
      <c r="B5880" s="176" t="s">
        <v>5733</v>
      </c>
      <c r="C5880" s="31"/>
      <c r="D5880" s="32" t="s">
        <v>106</v>
      </c>
      <c r="E5880" s="33"/>
      <c r="F5880" s="60" t="s">
        <v>13</v>
      </c>
      <c r="G5880" s="34" t="str">
        <f>IF(ISNUMBER(F5880),E5880*F5880,"")</f>
        <v/>
      </c>
      <c r="H5880" s="35"/>
      <c r="I5880" s="36"/>
      <c r="J5880" s="37">
        <v>0</v>
      </c>
    </row>
    <row r="5881" spans="1:10" hidden="1" x14ac:dyDescent="0.25">
      <c r="A5881" s="179"/>
      <c r="B5881" s="177"/>
      <c r="C5881" s="39"/>
      <c r="D5881" s="39"/>
      <c r="E5881" s="40"/>
      <c r="F5881" s="70" t="s">
        <v>13</v>
      </c>
      <c r="G5881" s="70" t="str">
        <f>IF(ISNUMBER(F5881),E5881*F5881,"")</f>
        <v/>
      </c>
      <c r="H5881" s="71"/>
      <c r="I5881" s="72"/>
      <c r="J5881" s="37">
        <v>0</v>
      </c>
    </row>
    <row r="5882" spans="1:10" ht="25.5" hidden="1" x14ac:dyDescent="0.25">
      <c r="A5882" s="179"/>
      <c r="B5882" s="177"/>
      <c r="C5882" s="43" t="s">
        <v>1386</v>
      </c>
      <c r="D5882" s="43" t="s">
        <v>106</v>
      </c>
      <c r="E5882" s="44">
        <v>1</v>
      </c>
      <c r="F5882" s="38" t="s">
        <v>13</v>
      </c>
      <c r="G5882" s="70" t="str">
        <f>IF(ISNUMBER(F5882),E5882*F5882,"")</f>
        <v/>
      </c>
      <c r="H5882" s="46">
        <f>SUM(G5882:G5882)</f>
        <v>0</v>
      </c>
      <c r="I5882" s="47"/>
      <c r="J5882" s="37">
        <v>0</v>
      </c>
    </row>
    <row r="5883" spans="1:10" ht="15.75" hidden="1" thickBot="1" x14ac:dyDescent="0.3">
      <c r="A5883" s="180"/>
      <c r="B5883" s="178"/>
      <c r="C5883" s="49"/>
      <c r="D5883" s="63"/>
      <c r="E5883" s="50"/>
      <c r="F5883" s="83" t="s">
        <v>13</v>
      </c>
      <c r="G5883" s="83" t="str">
        <f>IF(ISNUMBER(F5883),E5883*F5883,"")</f>
        <v/>
      </c>
      <c r="H5883" s="84"/>
      <c r="I5883" s="72"/>
      <c r="J5883" s="37">
        <v>0</v>
      </c>
    </row>
    <row r="5884" spans="1:10" ht="15.75" hidden="1" thickBot="1" x14ac:dyDescent="0.3">
      <c r="A5884" s="173" t="s">
        <v>1387</v>
      </c>
      <c r="B5884" s="176" t="s">
        <v>5734</v>
      </c>
      <c r="C5884" s="31"/>
      <c r="D5884" s="32" t="s">
        <v>106</v>
      </c>
      <c r="E5884" s="33"/>
      <c r="F5884" s="60" t="s">
        <v>13</v>
      </c>
      <c r="G5884" s="34" t="str">
        <f>IF(ISNUMBER(F5884),E5884*F5884,"")</f>
        <v/>
      </c>
      <c r="H5884" s="35"/>
      <c r="I5884" s="36"/>
      <c r="J5884" s="37">
        <v>0</v>
      </c>
    </row>
    <row r="5885" spans="1:10" hidden="1" x14ac:dyDescent="0.25">
      <c r="A5885" s="179"/>
      <c r="B5885" s="177"/>
      <c r="C5885" s="39"/>
      <c r="D5885" s="39"/>
      <c r="E5885" s="40"/>
      <c r="F5885" s="70" t="s">
        <v>13</v>
      </c>
      <c r="G5885" s="70" t="str">
        <f>IF(ISNUMBER(F5885),E5885*F5885,"")</f>
        <v/>
      </c>
      <c r="H5885" s="71"/>
      <c r="I5885" s="72"/>
      <c r="J5885" s="37">
        <v>0</v>
      </c>
    </row>
    <row r="5886" spans="1:10" ht="25.5" hidden="1" x14ac:dyDescent="0.25">
      <c r="A5886" s="179"/>
      <c r="B5886" s="177"/>
      <c r="C5886" s="43" t="s">
        <v>1388</v>
      </c>
      <c r="D5886" s="43" t="s">
        <v>106</v>
      </c>
      <c r="E5886" s="44">
        <v>1</v>
      </c>
      <c r="F5886" s="38" t="s">
        <v>13</v>
      </c>
      <c r="G5886" s="70" t="str">
        <f>IF(ISNUMBER(F5886),E5886*F5886,"")</f>
        <v/>
      </c>
      <c r="H5886" s="46">
        <f>SUM(G5886:G5886)</f>
        <v>0</v>
      </c>
      <c r="I5886" s="47"/>
      <c r="J5886" s="37">
        <v>0</v>
      </c>
    </row>
    <row r="5887" spans="1:10" ht="15.75" hidden="1" thickBot="1" x14ac:dyDescent="0.3">
      <c r="A5887" s="180"/>
      <c r="B5887" s="178"/>
      <c r="C5887" s="49"/>
      <c r="D5887" s="63"/>
      <c r="E5887" s="50"/>
      <c r="F5887" s="83" t="s">
        <v>13</v>
      </c>
      <c r="G5887" s="83" t="str">
        <f>IF(ISNUMBER(F5887),E5887*F5887,"")</f>
        <v/>
      </c>
      <c r="H5887" s="84"/>
      <c r="I5887" s="72"/>
      <c r="J5887" s="37">
        <v>0</v>
      </c>
    </row>
    <row r="5888" spans="1:10" ht="15.75" hidden="1" thickBot="1" x14ac:dyDescent="0.3">
      <c r="A5888" s="173" t="s">
        <v>1389</v>
      </c>
      <c r="B5888" s="176" t="s">
        <v>5735</v>
      </c>
      <c r="C5888" s="31"/>
      <c r="D5888" s="32" t="s">
        <v>106</v>
      </c>
      <c r="E5888" s="33"/>
      <c r="F5888" s="60" t="s">
        <v>13</v>
      </c>
      <c r="G5888" s="34" t="str">
        <f>IF(ISNUMBER(F5888),E5888*F5888,"")</f>
        <v/>
      </c>
      <c r="H5888" s="35"/>
      <c r="I5888" s="36"/>
      <c r="J5888" s="37">
        <v>0</v>
      </c>
    </row>
    <row r="5889" spans="1:10" hidden="1" x14ac:dyDescent="0.25">
      <c r="A5889" s="179"/>
      <c r="B5889" s="177"/>
      <c r="C5889" s="39"/>
      <c r="D5889" s="39"/>
      <c r="E5889" s="40"/>
      <c r="F5889" s="70" t="s">
        <v>13</v>
      </c>
      <c r="G5889" s="70" t="str">
        <f>IF(ISNUMBER(F5889),E5889*F5889,"")</f>
        <v/>
      </c>
      <c r="H5889" s="71"/>
      <c r="I5889" s="72"/>
      <c r="J5889" s="37">
        <v>0</v>
      </c>
    </row>
    <row r="5890" spans="1:10" ht="25.5" hidden="1" x14ac:dyDescent="0.25">
      <c r="A5890" s="179"/>
      <c r="B5890" s="177"/>
      <c r="C5890" s="43" t="s">
        <v>1390</v>
      </c>
      <c r="D5890" s="43" t="s">
        <v>106</v>
      </c>
      <c r="E5890" s="44">
        <v>1</v>
      </c>
      <c r="F5890" s="38" t="s">
        <v>13</v>
      </c>
      <c r="G5890" s="70" t="str">
        <f>IF(ISNUMBER(F5890),E5890*F5890,"")</f>
        <v/>
      </c>
      <c r="H5890" s="46">
        <f>SUM(G5890:G5890)</f>
        <v>0</v>
      </c>
      <c r="I5890" s="47"/>
      <c r="J5890" s="37">
        <v>0</v>
      </c>
    </row>
    <row r="5891" spans="1:10" ht="15.75" hidden="1" thickBot="1" x14ac:dyDescent="0.3">
      <c r="A5891" s="180"/>
      <c r="B5891" s="178"/>
      <c r="C5891" s="49"/>
      <c r="D5891" s="63"/>
      <c r="E5891" s="50"/>
      <c r="F5891" s="83" t="s">
        <v>13</v>
      </c>
      <c r="G5891" s="83" t="str">
        <f>IF(ISNUMBER(F5891),E5891*F5891,"")</f>
        <v/>
      </c>
      <c r="H5891" s="84"/>
      <c r="I5891" s="72"/>
      <c r="J5891" s="37">
        <v>0</v>
      </c>
    </row>
    <row r="5892" spans="1:10" ht="15.75" hidden="1" thickBot="1" x14ac:dyDescent="0.3">
      <c r="A5892" s="173" t="s">
        <v>1391</v>
      </c>
      <c r="B5892" s="176" t="s">
        <v>5736</v>
      </c>
      <c r="C5892" s="31"/>
      <c r="D5892" s="32" t="s">
        <v>106</v>
      </c>
      <c r="E5892" s="33"/>
      <c r="F5892" s="60" t="s">
        <v>13</v>
      </c>
      <c r="G5892" s="34" t="str">
        <f>IF(ISNUMBER(F5892),E5892*F5892,"")</f>
        <v/>
      </c>
      <c r="H5892" s="35"/>
      <c r="I5892" s="36"/>
      <c r="J5892" s="37">
        <v>0</v>
      </c>
    </row>
    <row r="5893" spans="1:10" hidden="1" x14ac:dyDescent="0.25">
      <c r="A5893" s="179"/>
      <c r="B5893" s="177"/>
      <c r="C5893" s="39"/>
      <c r="D5893" s="39"/>
      <c r="E5893" s="40"/>
      <c r="F5893" s="70" t="s">
        <v>13</v>
      </c>
      <c r="G5893" s="70" t="str">
        <f>IF(ISNUMBER(F5893),E5893*F5893,"")</f>
        <v/>
      </c>
      <c r="H5893" s="71"/>
      <c r="I5893" s="72"/>
      <c r="J5893" s="37">
        <v>0</v>
      </c>
    </row>
    <row r="5894" spans="1:10" ht="25.5" hidden="1" x14ac:dyDescent="0.25">
      <c r="A5894" s="179"/>
      <c r="B5894" s="177"/>
      <c r="C5894" s="43" t="s">
        <v>1392</v>
      </c>
      <c r="D5894" s="43" t="s">
        <v>106</v>
      </c>
      <c r="E5894" s="44">
        <v>1</v>
      </c>
      <c r="F5894" s="38" t="s">
        <v>13</v>
      </c>
      <c r="G5894" s="70" t="str">
        <f>IF(ISNUMBER(F5894),E5894*F5894,"")</f>
        <v/>
      </c>
      <c r="H5894" s="46">
        <f>SUM(G5894:G5894)</f>
        <v>0</v>
      </c>
      <c r="I5894" s="47"/>
      <c r="J5894" s="37">
        <v>0</v>
      </c>
    </row>
    <row r="5895" spans="1:10" ht="15.75" hidden="1" thickBot="1" x14ac:dyDescent="0.3">
      <c r="A5895" s="180"/>
      <c r="B5895" s="178"/>
      <c r="C5895" s="49"/>
      <c r="D5895" s="63"/>
      <c r="E5895" s="50"/>
      <c r="F5895" s="83" t="s">
        <v>13</v>
      </c>
      <c r="G5895" s="83" t="str">
        <f>IF(ISNUMBER(F5895),E5895*F5895,"")</f>
        <v/>
      </c>
      <c r="H5895" s="84"/>
      <c r="I5895" s="72"/>
      <c r="J5895" s="37">
        <v>0</v>
      </c>
    </row>
    <row r="5896" spans="1:10" ht="15.75" hidden="1" thickBot="1" x14ac:dyDescent="0.3">
      <c r="A5896" s="173" t="s">
        <v>1393</v>
      </c>
      <c r="B5896" s="176" t="s">
        <v>5737</v>
      </c>
      <c r="C5896" s="31"/>
      <c r="D5896" s="32" t="s">
        <v>106</v>
      </c>
      <c r="E5896" s="33"/>
      <c r="F5896" s="60" t="s">
        <v>13</v>
      </c>
      <c r="G5896" s="34" t="str">
        <f>IF(ISNUMBER(F5896),E5896*F5896,"")</f>
        <v/>
      </c>
      <c r="H5896" s="35"/>
      <c r="I5896" s="36"/>
      <c r="J5896" s="37">
        <v>0</v>
      </c>
    </row>
    <row r="5897" spans="1:10" hidden="1" x14ac:dyDescent="0.25">
      <c r="A5897" s="179"/>
      <c r="B5897" s="177"/>
      <c r="C5897" s="39"/>
      <c r="D5897" s="39"/>
      <c r="E5897" s="40"/>
      <c r="F5897" s="70" t="s">
        <v>13</v>
      </c>
      <c r="G5897" s="70" t="str">
        <f>IF(ISNUMBER(F5897),E5897*F5897,"")</f>
        <v/>
      </c>
      <c r="H5897" s="71"/>
      <c r="I5897" s="72"/>
      <c r="J5897" s="37">
        <v>0</v>
      </c>
    </row>
    <row r="5898" spans="1:10" ht="25.5" hidden="1" x14ac:dyDescent="0.25">
      <c r="A5898" s="179"/>
      <c r="B5898" s="177"/>
      <c r="C5898" s="43" t="s">
        <v>1394</v>
      </c>
      <c r="D5898" s="43" t="s">
        <v>87</v>
      </c>
      <c r="E5898" s="44">
        <v>1</v>
      </c>
      <c r="F5898" s="38" t="s">
        <v>13</v>
      </c>
      <c r="G5898" s="70" t="str">
        <f>IF(ISNUMBER(F5898),E5898*F5898,"")</f>
        <v/>
      </c>
      <c r="H5898" s="46">
        <f>SUM(G5898:G5898)</f>
        <v>0</v>
      </c>
      <c r="I5898" s="47"/>
      <c r="J5898" s="37">
        <v>0</v>
      </c>
    </row>
    <row r="5899" spans="1:10" ht="15.75" hidden="1" thickBot="1" x14ac:dyDescent="0.3">
      <c r="A5899" s="180"/>
      <c r="B5899" s="178"/>
      <c r="C5899" s="49"/>
      <c r="D5899" s="63"/>
      <c r="E5899" s="50"/>
      <c r="F5899" s="83" t="s">
        <v>13</v>
      </c>
      <c r="G5899" s="83" t="str">
        <f>IF(ISNUMBER(F5899),E5899*F5899,"")</f>
        <v/>
      </c>
      <c r="H5899" s="84"/>
      <c r="I5899" s="72"/>
      <c r="J5899" s="37">
        <v>0</v>
      </c>
    </row>
    <row r="5900" spans="1:10" ht="15.75" hidden="1" thickBot="1" x14ac:dyDescent="0.3">
      <c r="A5900" s="173" t="s">
        <v>1395</v>
      </c>
      <c r="B5900" s="176" t="s">
        <v>5756</v>
      </c>
      <c r="C5900" s="31"/>
      <c r="D5900" s="32" t="s">
        <v>18</v>
      </c>
      <c r="E5900" s="33"/>
      <c r="F5900" s="60" t="s">
        <v>13</v>
      </c>
      <c r="G5900" s="34" t="str">
        <f>IF(ISNUMBER(F5900),E5900*F5900,"")</f>
        <v/>
      </c>
      <c r="H5900" s="35"/>
      <c r="I5900" s="36"/>
      <c r="J5900" s="37">
        <v>0</v>
      </c>
    </row>
    <row r="5901" spans="1:10" hidden="1" x14ac:dyDescent="0.25">
      <c r="A5901" s="179"/>
      <c r="B5901" s="177"/>
      <c r="C5901" s="39"/>
      <c r="D5901" s="39"/>
      <c r="E5901" s="40"/>
      <c r="F5901" s="70" t="s">
        <v>13</v>
      </c>
      <c r="G5901" s="70" t="str">
        <f>IF(ISNUMBER(F5901),E5901*F5901,"")</f>
        <v/>
      </c>
      <c r="H5901" s="71"/>
      <c r="I5901" s="72"/>
      <c r="J5901" s="37">
        <v>0</v>
      </c>
    </row>
    <row r="5902" spans="1:10" ht="25.5" hidden="1" x14ac:dyDescent="0.25">
      <c r="A5902" s="179"/>
      <c r="B5902" s="177"/>
      <c r="C5902" s="43" t="s">
        <v>11240</v>
      </c>
      <c r="D5902" s="43" t="s">
        <v>83</v>
      </c>
      <c r="E5902" s="44">
        <v>1</v>
      </c>
      <c r="F5902" s="38">
        <v>1.3299999999999998</v>
      </c>
      <c r="G5902" s="70">
        <f>IF(ISNUMBER(F5902),E5902*F5902,"")</f>
        <v>1.3299999999999998</v>
      </c>
      <c r="H5902" s="46">
        <f>SUM(G5902:G5902)</f>
        <v>1.3299999999999998</v>
      </c>
      <c r="I5902" s="47"/>
      <c r="J5902" s="37">
        <v>0</v>
      </c>
    </row>
    <row r="5903" spans="1:10" ht="15.75" hidden="1" thickBot="1" x14ac:dyDescent="0.3">
      <c r="A5903" s="180"/>
      <c r="B5903" s="178"/>
      <c r="C5903" s="49"/>
      <c r="D5903" s="63"/>
      <c r="E5903" s="50"/>
      <c r="F5903" s="83" t="s">
        <v>13</v>
      </c>
      <c r="G5903" s="83" t="str">
        <f>IF(ISNUMBER(F5903),E5903*F5903,"")</f>
        <v/>
      </c>
      <c r="H5903" s="84"/>
      <c r="I5903" s="72"/>
      <c r="J5903" s="37">
        <v>0</v>
      </c>
    </row>
    <row r="5904" spans="1:10" ht="15.75" hidden="1" thickBot="1" x14ac:dyDescent="0.3">
      <c r="A5904" s="173" t="s">
        <v>1396</v>
      </c>
      <c r="B5904" s="176" t="s">
        <v>5759</v>
      </c>
      <c r="C5904" s="31"/>
      <c r="D5904" s="32" t="s">
        <v>18</v>
      </c>
      <c r="E5904" s="33"/>
      <c r="F5904" s="60" t="s">
        <v>13</v>
      </c>
      <c r="G5904" s="34" t="str">
        <f>IF(ISNUMBER(F5904),E5904*F5904,"")</f>
        <v/>
      </c>
      <c r="H5904" s="35"/>
      <c r="I5904" s="36"/>
      <c r="J5904" s="37">
        <v>0</v>
      </c>
    </row>
    <row r="5905" spans="1:10" hidden="1" x14ac:dyDescent="0.25">
      <c r="A5905" s="179"/>
      <c r="B5905" s="177"/>
      <c r="C5905" s="39"/>
      <c r="D5905" s="39"/>
      <c r="E5905" s="40"/>
      <c r="F5905" s="70" t="s">
        <v>13</v>
      </c>
      <c r="G5905" s="70" t="str">
        <f>IF(ISNUMBER(F5905),E5905*F5905,"")</f>
        <v/>
      </c>
      <c r="H5905" s="71"/>
      <c r="I5905" s="72"/>
      <c r="J5905" s="37">
        <v>0</v>
      </c>
    </row>
    <row r="5906" spans="1:10" ht="38.25" hidden="1" x14ac:dyDescent="0.25">
      <c r="A5906" s="179"/>
      <c r="B5906" s="177"/>
      <c r="C5906" s="43" t="s">
        <v>11241</v>
      </c>
      <c r="D5906" s="43" t="s">
        <v>83</v>
      </c>
      <c r="E5906" s="44">
        <v>1</v>
      </c>
      <c r="F5906" s="38">
        <v>3.3155000000000001</v>
      </c>
      <c r="G5906" s="70">
        <f>IF(ISNUMBER(F5906),E5906*F5906,"")</f>
        <v>3.3155000000000001</v>
      </c>
      <c r="H5906" s="46">
        <f>SUM(G5906:G5906)</f>
        <v>3.3155000000000001</v>
      </c>
      <c r="I5906" s="47"/>
      <c r="J5906" s="37">
        <v>0</v>
      </c>
    </row>
    <row r="5907" spans="1:10" ht="15.75" hidden="1" thickBot="1" x14ac:dyDescent="0.3">
      <c r="A5907" s="180"/>
      <c r="B5907" s="178"/>
      <c r="C5907" s="49"/>
      <c r="D5907" s="63"/>
      <c r="E5907" s="50"/>
      <c r="F5907" s="83" t="s">
        <v>13</v>
      </c>
      <c r="G5907" s="83" t="str">
        <f>IF(ISNUMBER(F5907),E5907*F5907,"")</f>
        <v/>
      </c>
      <c r="H5907" s="84"/>
      <c r="I5907" s="72"/>
      <c r="J5907" s="37">
        <v>0</v>
      </c>
    </row>
    <row r="5908" spans="1:10" ht="15.75" hidden="1" thickBot="1" x14ac:dyDescent="0.3">
      <c r="A5908" s="173" t="s">
        <v>1397</v>
      </c>
      <c r="B5908" s="176" t="s">
        <v>5760</v>
      </c>
      <c r="C5908" s="31"/>
      <c r="D5908" s="32" t="s">
        <v>18</v>
      </c>
      <c r="E5908" s="33"/>
      <c r="F5908" s="60" t="s">
        <v>13</v>
      </c>
      <c r="G5908" s="34" t="str">
        <f>IF(ISNUMBER(F5908),E5908*F5908,"")</f>
        <v/>
      </c>
      <c r="H5908" s="35"/>
      <c r="I5908" s="36"/>
      <c r="J5908" s="37">
        <v>0</v>
      </c>
    </row>
    <row r="5909" spans="1:10" hidden="1" x14ac:dyDescent="0.25">
      <c r="A5909" s="179"/>
      <c r="B5909" s="177"/>
      <c r="C5909" s="39"/>
      <c r="D5909" s="39"/>
      <c r="E5909" s="40"/>
      <c r="F5909" s="70" t="s">
        <v>13</v>
      </c>
      <c r="G5909" s="70" t="str">
        <f>IF(ISNUMBER(F5909),E5909*F5909,"")</f>
        <v/>
      </c>
      <c r="H5909" s="71"/>
      <c r="I5909" s="72"/>
      <c r="J5909" s="37">
        <v>0</v>
      </c>
    </row>
    <row r="5910" spans="1:10" ht="38.25" hidden="1" x14ac:dyDescent="0.25">
      <c r="A5910" s="179"/>
      <c r="B5910" s="177"/>
      <c r="C5910" s="43" t="s">
        <v>11242</v>
      </c>
      <c r="D5910" s="43" t="s">
        <v>83</v>
      </c>
      <c r="E5910" s="44">
        <v>1</v>
      </c>
      <c r="F5910" s="38">
        <v>1.9474999999999998</v>
      </c>
      <c r="G5910" s="70">
        <f>IF(ISNUMBER(F5910),E5910*F5910,"")</f>
        <v>1.9474999999999998</v>
      </c>
      <c r="H5910" s="46">
        <f>SUM(G5910:G5910)</f>
        <v>1.9474999999999998</v>
      </c>
      <c r="I5910" s="47"/>
      <c r="J5910" s="37">
        <v>0</v>
      </c>
    </row>
    <row r="5911" spans="1:10" ht="15.75" hidden="1" thickBot="1" x14ac:dyDescent="0.3">
      <c r="A5911" s="180"/>
      <c r="B5911" s="178"/>
      <c r="C5911" s="49"/>
      <c r="D5911" s="63"/>
      <c r="E5911" s="50"/>
      <c r="F5911" s="83" t="s">
        <v>13</v>
      </c>
      <c r="G5911" s="83" t="str">
        <f>IF(ISNUMBER(F5911),E5911*F5911,"")</f>
        <v/>
      </c>
      <c r="H5911" s="84"/>
      <c r="I5911" s="72"/>
      <c r="J5911" s="37">
        <v>0</v>
      </c>
    </row>
    <row r="5912" spans="1:10" ht="15.75" hidden="1" thickBot="1" x14ac:dyDescent="0.3">
      <c r="A5912" s="173" t="s">
        <v>1398</v>
      </c>
      <c r="B5912" s="176" t="s">
        <v>5761</v>
      </c>
      <c r="C5912" s="31"/>
      <c r="D5912" s="32" t="s">
        <v>18</v>
      </c>
      <c r="E5912" s="33"/>
      <c r="F5912" s="60" t="s">
        <v>13</v>
      </c>
      <c r="G5912" s="34" t="str">
        <f>IF(ISNUMBER(F5912),E5912*F5912,"")</f>
        <v/>
      </c>
      <c r="H5912" s="35"/>
      <c r="I5912" s="36"/>
      <c r="J5912" s="37">
        <v>0</v>
      </c>
    </row>
    <row r="5913" spans="1:10" hidden="1" x14ac:dyDescent="0.25">
      <c r="A5913" s="179"/>
      <c r="B5913" s="177"/>
      <c r="C5913" s="39"/>
      <c r="D5913" s="39"/>
      <c r="E5913" s="40"/>
      <c r="F5913" s="70" t="s">
        <v>13</v>
      </c>
      <c r="G5913" s="70" t="str">
        <f>IF(ISNUMBER(F5913),E5913*F5913,"")</f>
        <v/>
      </c>
      <c r="H5913" s="71"/>
      <c r="I5913" s="72"/>
      <c r="J5913" s="37">
        <v>0</v>
      </c>
    </row>
    <row r="5914" spans="1:10" ht="38.25" hidden="1" x14ac:dyDescent="0.25">
      <c r="A5914" s="179"/>
      <c r="B5914" s="177"/>
      <c r="C5914" s="43" t="s">
        <v>11243</v>
      </c>
      <c r="D5914" s="43" t="s">
        <v>83</v>
      </c>
      <c r="E5914" s="44">
        <v>1</v>
      </c>
      <c r="F5914" s="38">
        <v>9.1864999999999988</v>
      </c>
      <c r="G5914" s="70">
        <f>IF(ISNUMBER(F5914),E5914*F5914,"")</f>
        <v>9.1864999999999988</v>
      </c>
      <c r="H5914" s="46">
        <f>SUM(G5914:G5914)</f>
        <v>9.1864999999999988</v>
      </c>
      <c r="I5914" s="47"/>
      <c r="J5914" s="37">
        <v>0</v>
      </c>
    </row>
    <row r="5915" spans="1:10" ht="15.75" hidden="1" thickBot="1" x14ac:dyDescent="0.3">
      <c r="A5915" s="180"/>
      <c r="B5915" s="178"/>
      <c r="C5915" s="49"/>
      <c r="D5915" s="63"/>
      <c r="E5915" s="50"/>
      <c r="F5915" s="83" t="s">
        <v>13</v>
      </c>
      <c r="G5915" s="83" t="str">
        <f>IF(ISNUMBER(F5915),E5915*F5915,"")</f>
        <v/>
      </c>
      <c r="H5915" s="84"/>
      <c r="I5915" s="72"/>
      <c r="J5915" s="37">
        <v>0</v>
      </c>
    </row>
    <row r="5916" spans="1:10" ht="15.75" hidden="1" thickBot="1" x14ac:dyDescent="0.3">
      <c r="A5916" s="173" t="s">
        <v>1399</v>
      </c>
      <c r="B5916" s="176" t="s">
        <v>5762</v>
      </c>
      <c r="C5916" s="31"/>
      <c r="D5916" s="32" t="s">
        <v>18</v>
      </c>
      <c r="E5916" s="33"/>
      <c r="F5916" s="60" t="s">
        <v>13</v>
      </c>
      <c r="G5916" s="34" t="str">
        <f>IF(ISNUMBER(F5916),E5916*F5916,"")</f>
        <v/>
      </c>
      <c r="H5916" s="35"/>
      <c r="I5916" s="36"/>
      <c r="J5916" s="37">
        <v>0</v>
      </c>
    </row>
    <row r="5917" spans="1:10" hidden="1" x14ac:dyDescent="0.25">
      <c r="A5917" s="179"/>
      <c r="B5917" s="177"/>
      <c r="C5917" s="39"/>
      <c r="D5917" s="39"/>
      <c r="E5917" s="40"/>
      <c r="F5917" s="70" t="s">
        <v>13</v>
      </c>
      <c r="G5917" s="70" t="str">
        <f>IF(ISNUMBER(F5917),E5917*F5917,"")</f>
        <v/>
      </c>
      <c r="H5917" s="71"/>
      <c r="I5917" s="72"/>
      <c r="J5917" s="37">
        <v>0</v>
      </c>
    </row>
    <row r="5918" spans="1:10" ht="25.5" hidden="1" x14ac:dyDescent="0.25">
      <c r="A5918" s="179"/>
      <c r="B5918" s="177"/>
      <c r="C5918" s="43" t="s">
        <v>10761</v>
      </c>
      <c r="D5918" s="43" t="s">
        <v>83</v>
      </c>
      <c r="E5918" s="44">
        <v>1</v>
      </c>
      <c r="F5918" s="38">
        <v>1.4155</v>
      </c>
      <c r="G5918" s="70">
        <f>IF(ISNUMBER(F5918),E5918*F5918,"")</f>
        <v>1.4155</v>
      </c>
      <c r="H5918" s="46">
        <f>SUM(G5918:G5918)</f>
        <v>1.4155</v>
      </c>
      <c r="I5918" s="47"/>
      <c r="J5918" s="37">
        <v>0</v>
      </c>
    </row>
    <row r="5919" spans="1:10" ht="15.75" hidden="1" thickBot="1" x14ac:dyDescent="0.3">
      <c r="A5919" s="180"/>
      <c r="B5919" s="178"/>
      <c r="C5919" s="49"/>
      <c r="D5919" s="63"/>
      <c r="E5919" s="50"/>
      <c r="F5919" s="83" t="s">
        <v>13</v>
      </c>
      <c r="G5919" s="83" t="str">
        <f>IF(ISNUMBER(F5919),E5919*F5919,"")</f>
        <v/>
      </c>
      <c r="H5919" s="84"/>
      <c r="I5919" s="72"/>
      <c r="J5919" s="37">
        <v>0</v>
      </c>
    </row>
    <row r="5920" spans="1:10" ht="15.75" hidden="1" thickBot="1" x14ac:dyDescent="0.3">
      <c r="A5920" s="173" t="s">
        <v>1400</v>
      </c>
      <c r="B5920" s="176" t="s">
        <v>5765</v>
      </c>
      <c r="C5920" s="31"/>
      <c r="D5920" s="32" t="s">
        <v>18</v>
      </c>
      <c r="E5920" s="33"/>
      <c r="F5920" s="60" t="s">
        <v>13</v>
      </c>
      <c r="G5920" s="34" t="str">
        <f>IF(ISNUMBER(F5920),E5920*F5920,"")</f>
        <v/>
      </c>
      <c r="H5920" s="35"/>
      <c r="I5920" s="36"/>
      <c r="J5920" s="37">
        <v>0</v>
      </c>
    </row>
    <row r="5921" spans="1:10" hidden="1" x14ac:dyDescent="0.25">
      <c r="A5921" s="179"/>
      <c r="B5921" s="177"/>
      <c r="C5921" s="39"/>
      <c r="D5921" s="39"/>
      <c r="E5921" s="40"/>
      <c r="F5921" s="70" t="s">
        <v>13</v>
      </c>
      <c r="G5921" s="70" t="str">
        <f>IF(ISNUMBER(F5921),E5921*F5921,"")</f>
        <v/>
      </c>
      <c r="H5921" s="71"/>
      <c r="I5921" s="72"/>
      <c r="J5921" s="37">
        <v>0</v>
      </c>
    </row>
    <row r="5922" spans="1:10" ht="38.25" hidden="1" x14ac:dyDescent="0.25">
      <c r="A5922" s="179"/>
      <c r="B5922" s="177"/>
      <c r="C5922" s="43" t="s">
        <v>11244</v>
      </c>
      <c r="D5922" s="43" t="s">
        <v>83</v>
      </c>
      <c r="E5922" s="44">
        <v>1</v>
      </c>
      <c r="F5922" s="38">
        <v>3.7524999999999999</v>
      </c>
      <c r="G5922" s="70">
        <f>IF(ISNUMBER(F5922),E5922*F5922,"")</f>
        <v>3.7524999999999999</v>
      </c>
      <c r="H5922" s="46">
        <f>SUM(G5922:G5922)</f>
        <v>3.7524999999999999</v>
      </c>
      <c r="I5922" s="47"/>
      <c r="J5922" s="37">
        <v>0</v>
      </c>
    </row>
    <row r="5923" spans="1:10" ht="15.75" hidden="1" thickBot="1" x14ac:dyDescent="0.3">
      <c r="A5923" s="180"/>
      <c r="B5923" s="178"/>
      <c r="C5923" s="49"/>
      <c r="D5923" s="63"/>
      <c r="E5923" s="50"/>
      <c r="F5923" s="83" t="s">
        <v>13</v>
      </c>
      <c r="G5923" s="83" t="str">
        <f>IF(ISNUMBER(F5923),E5923*F5923,"")</f>
        <v/>
      </c>
      <c r="H5923" s="84"/>
      <c r="I5923" s="72"/>
      <c r="J5923" s="37">
        <v>0</v>
      </c>
    </row>
    <row r="5924" spans="1:10" ht="15.75" hidden="1" thickBot="1" x14ac:dyDescent="0.3">
      <c r="A5924" s="173" t="s">
        <v>1401</v>
      </c>
      <c r="B5924" s="176" t="s">
        <v>5766</v>
      </c>
      <c r="C5924" s="31"/>
      <c r="D5924" s="32" t="s">
        <v>18</v>
      </c>
      <c r="E5924" s="33"/>
      <c r="F5924" s="60" t="s">
        <v>13</v>
      </c>
      <c r="G5924" s="34" t="str">
        <f>IF(ISNUMBER(F5924),E5924*F5924,"")</f>
        <v/>
      </c>
      <c r="H5924" s="35"/>
      <c r="I5924" s="36"/>
      <c r="J5924" s="37">
        <v>0</v>
      </c>
    </row>
    <row r="5925" spans="1:10" hidden="1" x14ac:dyDescent="0.25">
      <c r="A5925" s="179"/>
      <c r="B5925" s="177"/>
      <c r="C5925" s="39"/>
      <c r="D5925" s="39"/>
      <c r="E5925" s="40"/>
      <c r="F5925" s="70" t="s">
        <v>13</v>
      </c>
      <c r="G5925" s="70" t="str">
        <f>IF(ISNUMBER(F5925),E5925*F5925,"")</f>
        <v/>
      </c>
      <c r="H5925" s="71"/>
      <c r="I5925" s="72"/>
      <c r="J5925" s="37">
        <v>0</v>
      </c>
    </row>
    <row r="5926" spans="1:10" ht="38.25" hidden="1" x14ac:dyDescent="0.25">
      <c r="A5926" s="179"/>
      <c r="B5926" s="177"/>
      <c r="C5926" s="43" t="s">
        <v>11245</v>
      </c>
      <c r="D5926" s="43" t="s">
        <v>83</v>
      </c>
      <c r="E5926" s="44">
        <v>1</v>
      </c>
      <c r="F5926" s="38">
        <v>3.4769999999999999</v>
      </c>
      <c r="G5926" s="70">
        <f>IF(ISNUMBER(F5926),E5926*F5926,"")</f>
        <v>3.4769999999999999</v>
      </c>
      <c r="H5926" s="46">
        <f>SUM(G5926:G5926)</f>
        <v>3.4769999999999999</v>
      </c>
      <c r="I5926" s="47"/>
      <c r="J5926" s="37">
        <v>0</v>
      </c>
    </row>
    <row r="5927" spans="1:10" ht="15.75" hidden="1" thickBot="1" x14ac:dyDescent="0.3">
      <c r="A5927" s="180"/>
      <c r="B5927" s="178"/>
      <c r="C5927" s="49"/>
      <c r="D5927" s="63"/>
      <c r="E5927" s="50"/>
      <c r="F5927" s="83" t="s">
        <v>13</v>
      </c>
      <c r="G5927" s="83" t="str">
        <f>IF(ISNUMBER(F5927),E5927*F5927,"")</f>
        <v/>
      </c>
      <c r="H5927" s="84"/>
      <c r="I5927" s="72"/>
      <c r="J5927" s="37">
        <v>0</v>
      </c>
    </row>
    <row r="5928" spans="1:10" ht="15.75" hidden="1" thickBot="1" x14ac:dyDescent="0.3">
      <c r="A5928" s="173" t="s">
        <v>1402</v>
      </c>
      <c r="B5928" s="176" t="s">
        <v>5767</v>
      </c>
      <c r="C5928" s="31"/>
      <c r="D5928" s="32" t="s">
        <v>18</v>
      </c>
      <c r="E5928" s="33"/>
      <c r="F5928" s="60" t="s">
        <v>13</v>
      </c>
      <c r="G5928" s="34" t="str">
        <f>IF(ISNUMBER(F5928),E5928*F5928,"")</f>
        <v/>
      </c>
      <c r="H5928" s="35"/>
      <c r="I5928" s="36"/>
      <c r="J5928" s="37">
        <v>0</v>
      </c>
    </row>
    <row r="5929" spans="1:10" hidden="1" x14ac:dyDescent="0.25">
      <c r="A5929" s="179"/>
      <c r="B5929" s="177"/>
      <c r="C5929" s="39"/>
      <c r="D5929" s="39"/>
      <c r="E5929" s="40"/>
      <c r="F5929" s="70" t="s">
        <v>13</v>
      </c>
      <c r="G5929" s="70" t="str">
        <f>IF(ISNUMBER(F5929),E5929*F5929,"")</f>
        <v/>
      </c>
      <c r="H5929" s="71"/>
      <c r="I5929" s="72"/>
      <c r="J5929" s="37">
        <v>0</v>
      </c>
    </row>
    <row r="5930" spans="1:10" ht="38.25" hidden="1" x14ac:dyDescent="0.25">
      <c r="A5930" s="179"/>
      <c r="B5930" s="177"/>
      <c r="C5930" s="43" t="s">
        <v>11246</v>
      </c>
      <c r="D5930" s="43" t="s">
        <v>83</v>
      </c>
      <c r="E5930" s="44">
        <v>1</v>
      </c>
      <c r="F5930" s="38">
        <v>11.038999999999998</v>
      </c>
      <c r="G5930" s="70">
        <f>IF(ISNUMBER(F5930),E5930*F5930,"")</f>
        <v>11.038999999999998</v>
      </c>
      <c r="H5930" s="46">
        <f>SUM(G5930:G5930)</f>
        <v>11.038999999999998</v>
      </c>
      <c r="I5930" s="47"/>
      <c r="J5930" s="37">
        <v>0</v>
      </c>
    </row>
    <row r="5931" spans="1:10" ht="15.75" hidden="1" thickBot="1" x14ac:dyDescent="0.3">
      <c r="A5931" s="180"/>
      <c r="B5931" s="178"/>
      <c r="C5931" s="49"/>
      <c r="D5931" s="63"/>
      <c r="E5931" s="50"/>
      <c r="F5931" s="83" t="s">
        <v>13</v>
      </c>
      <c r="G5931" s="83" t="str">
        <f>IF(ISNUMBER(F5931),E5931*F5931,"")</f>
        <v/>
      </c>
      <c r="H5931" s="84"/>
      <c r="I5931" s="72"/>
      <c r="J5931" s="37">
        <v>0</v>
      </c>
    </row>
    <row r="5932" spans="1:10" ht="15.75" hidden="1" thickBot="1" x14ac:dyDescent="0.3">
      <c r="A5932" s="173" t="s">
        <v>1403</v>
      </c>
      <c r="B5932" s="176" t="s">
        <v>5768</v>
      </c>
      <c r="C5932" s="31"/>
      <c r="D5932" s="32" t="s">
        <v>18</v>
      </c>
      <c r="E5932" s="33"/>
      <c r="F5932" s="60" t="s">
        <v>13</v>
      </c>
      <c r="G5932" s="34" t="str">
        <f>IF(ISNUMBER(F5932),E5932*F5932,"")</f>
        <v/>
      </c>
      <c r="H5932" s="35"/>
      <c r="I5932" s="36"/>
      <c r="J5932" s="37">
        <v>0</v>
      </c>
    </row>
    <row r="5933" spans="1:10" hidden="1" x14ac:dyDescent="0.25">
      <c r="A5933" s="179"/>
      <c r="B5933" s="177"/>
      <c r="C5933" s="39"/>
      <c r="D5933" s="39"/>
      <c r="E5933" s="40"/>
      <c r="F5933" s="70" t="s">
        <v>13</v>
      </c>
      <c r="G5933" s="70" t="str">
        <f>IF(ISNUMBER(F5933),E5933*F5933,"")</f>
        <v/>
      </c>
      <c r="H5933" s="71"/>
      <c r="I5933" s="72"/>
      <c r="J5933" s="37">
        <v>0</v>
      </c>
    </row>
    <row r="5934" spans="1:10" ht="25.5" hidden="1" x14ac:dyDescent="0.25">
      <c r="A5934" s="179"/>
      <c r="B5934" s="177"/>
      <c r="C5934" s="43" t="s">
        <v>10764</v>
      </c>
      <c r="D5934" s="43" t="s">
        <v>83</v>
      </c>
      <c r="E5934" s="44">
        <v>1</v>
      </c>
      <c r="F5934" s="38">
        <v>1.6435</v>
      </c>
      <c r="G5934" s="70">
        <f>IF(ISNUMBER(F5934),E5934*F5934,"")</f>
        <v>1.6435</v>
      </c>
      <c r="H5934" s="46">
        <f>SUM(G5934:G5934)</f>
        <v>1.6435</v>
      </c>
      <c r="I5934" s="47"/>
      <c r="J5934" s="37">
        <v>0</v>
      </c>
    </row>
    <row r="5935" spans="1:10" ht="15.75" hidden="1" thickBot="1" x14ac:dyDescent="0.3">
      <c r="A5935" s="180"/>
      <c r="B5935" s="178"/>
      <c r="C5935" s="49"/>
      <c r="D5935" s="63"/>
      <c r="E5935" s="50"/>
      <c r="F5935" s="83" t="s">
        <v>13</v>
      </c>
      <c r="G5935" s="83" t="str">
        <f>IF(ISNUMBER(F5935),E5935*F5935,"")</f>
        <v/>
      </c>
      <c r="H5935" s="84"/>
      <c r="I5935" s="72"/>
      <c r="J5935" s="37">
        <v>0</v>
      </c>
    </row>
    <row r="5936" spans="1:10" ht="15.75" hidden="1" thickBot="1" x14ac:dyDescent="0.3">
      <c r="A5936" s="173" t="s">
        <v>1404</v>
      </c>
      <c r="B5936" s="176" t="s">
        <v>5771</v>
      </c>
      <c r="C5936" s="31"/>
      <c r="D5936" s="32" t="s">
        <v>18</v>
      </c>
      <c r="E5936" s="33"/>
      <c r="F5936" s="60" t="s">
        <v>13</v>
      </c>
      <c r="G5936" s="34" t="str">
        <f>IF(ISNUMBER(F5936),E5936*F5936,"")</f>
        <v/>
      </c>
      <c r="H5936" s="35"/>
      <c r="I5936" s="36"/>
      <c r="J5936" s="37">
        <v>0</v>
      </c>
    </row>
    <row r="5937" spans="1:10" hidden="1" x14ac:dyDescent="0.25">
      <c r="A5937" s="179"/>
      <c r="B5937" s="177"/>
      <c r="C5937" s="39"/>
      <c r="D5937" s="39"/>
      <c r="E5937" s="40"/>
      <c r="F5937" s="70" t="s">
        <v>13</v>
      </c>
      <c r="G5937" s="70" t="str">
        <f>IF(ISNUMBER(F5937),E5937*F5937,"")</f>
        <v/>
      </c>
      <c r="H5937" s="71"/>
      <c r="I5937" s="72"/>
      <c r="J5937" s="37">
        <v>0</v>
      </c>
    </row>
    <row r="5938" spans="1:10" ht="38.25" hidden="1" x14ac:dyDescent="0.25">
      <c r="A5938" s="179"/>
      <c r="B5938" s="177"/>
      <c r="C5938" s="43" t="s">
        <v>11247</v>
      </c>
      <c r="D5938" s="43" t="s">
        <v>83</v>
      </c>
      <c r="E5938" s="44">
        <v>1</v>
      </c>
      <c r="F5938" s="38">
        <v>5.0919999999999996</v>
      </c>
      <c r="G5938" s="70">
        <f>IF(ISNUMBER(F5938),E5938*F5938,"")</f>
        <v>5.0919999999999996</v>
      </c>
      <c r="H5938" s="46">
        <f>SUM(G5938:G5938)</f>
        <v>5.0919999999999996</v>
      </c>
      <c r="I5938" s="47"/>
      <c r="J5938" s="37">
        <v>0</v>
      </c>
    </row>
    <row r="5939" spans="1:10" ht="15.75" hidden="1" thickBot="1" x14ac:dyDescent="0.3">
      <c r="A5939" s="180"/>
      <c r="B5939" s="178"/>
      <c r="C5939" s="49"/>
      <c r="D5939" s="63"/>
      <c r="E5939" s="50"/>
      <c r="F5939" s="83" t="s">
        <v>13</v>
      </c>
      <c r="G5939" s="83" t="str">
        <f>IF(ISNUMBER(F5939),E5939*F5939,"")</f>
        <v/>
      </c>
      <c r="H5939" s="84"/>
      <c r="I5939" s="72"/>
      <c r="J5939" s="37">
        <v>0</v>
      </c>
    </row>
    <row r="5940" spans="1:10" ht="15.75" hidden="1" thickBot="1" x14ac:dyDescent="0.3">
      <c r="A5940" s="173" t="s">
        <v>1405</v>
      </c>
      <c r="B5940" s="176" t="s">
        <v>5772</v>
      </c>
      <c r="C5940" s="31"/>
      <c r="D5940" s="32" t="s">
        <v>18</v>
      </c>
      <c r="E5940" s="33"/>
      <c r="F5940" s="60" t="s">
        <v>13</v>
      </c>
      <c r="G5940" s="34" t="str">
        <f>IF(ISNUMBER(F5940),E5940*F5940,"")</f>
        <v/>
      </c>
      <c r="H5940" s="35"/>
      <c r="I5940" s="36"/>
      <c r="J5940" s="37">
        <v>0</v>
      </c>
    </row>
    <row r="5941" spans="1:10" hidden="1" x14ac:dyDescent="0.25">
      <c r="A5941" s="179"/>
      <c r="B5941" s="177"/>
      <c r="C5941" s="39"/>
      <c r="D5941" s="39"/>
      <c r="E5941" s="40"/>
      <c r="F5941" s="70" t="s">
        <v>13</v>
      </c>
      <c r="G5941" s="70" t="str">
        <f>IF(ISNUMBER(F5941),E5941*F5941,"")</f>
        <v/>
      </c>
      <c r="H5941" s="71"/>
      <c r="I5941" s="72"/>
      <c r="J5941" s="37">
        <v>0</v>
      </c>
    </row>
    <row r="5942" spans="1:10" ht="38.25" hidden="1" x14ac:dyDescent="0.25">
      <c r="A5942" s="179"/>
      <c r="B5942" s="177"/>
      <c r="C5942" s="43" t="s">
        <v>11248</v>
      </c>
      <c r="D5942" s="43" t="s">
        <v>83</v>
      </c>
      <c r="E5942" s="44">
        <v>1</v>
      </c>
      <c r="F5942" s="38">
        <v>4.8829999999999991</v>
      </c>
      <c r="G5942" s="70">
        <f>IF(ISNUMBER(F5942),E5942*F5942,"")</f>
        <v>4.8829999999999991</v>
      </c>
      <c r="H5942" s="46">
        <f>SUM(G5942:G5942)</f>
        <v>4.8829999999999991</v>
      </c>
      <c r="I5942" s="47"/>
      <c r="J5942" s="37">
        <v>0</v>
      </c>
    </row>
    <row r="5943" spans="1:10" ht="15.75" hidden="1" thickBot="1" x14ac:dyDescent="0.3">
      <c r="A5943" s="180"/>
      <c r="B5943" s="178"/>
      <c r="C5943" s="49"/>
      <c r="D5943" s="63"/>
      <c r="E5943" s="50"/>
      <c r="F5943" s="83" t="s">
        <v>13</v>
      </c>
      <c r="G5943" s="83" t="str">
        <f>IF(ISNUMBER(F5943),E5943*F5943,"")</f>
        <v/>
      </c>
      <c r="H5943" s="84"/>
      <c r="I5943" s="72"/>
      <c r="J5943" s="37">
        <v>0</v>
      </c>
    </row>
    <row r="5944" spans="1:10" ht="15.75" hidden="1" thickBot="1" x14ac:dyDescent="0.3">
      <c r="A5944" s="173" t="s">
        <v>1406</v>
      </c>
      <c r="B5944" s="176" t="s">
        <v>5773</v>
      </c>
      <c r="C5944" s="31"/>
      <c r="D5944" s="32" t="s">
        <v>18</v>
      </c>
      <c r="E5944" s="33"/>
      <c r="F5944" s="60" t="s">
        <v>13</v>
      </c>
      <c r="G5944" s="34" t="str">
        <f>IF(ISNUMBER(F5944),E5944*F5944,"")</f>
        <v/>
      </c>
      <c r="H5944" s="35"/>
      <c r="I5944" s="36"/>
      <c r="J5944" s="37">
        <v>0</v>
      </c>
    </row>
    <row r="5945" spans="1:10" hidden="1" x14ac:dyDescent="0.25">
      <c r="A5945" s="179"/>
      <c r="B5945" s="177"/>
      <c r="C5945" s="39"/>
      <c r="D5945" s="39"/>
      <c r="E5945" s="40"/>
      <c r="F5945" s="70" t="s">
        <v>13</v>
      </c>
      <c r="G5945" s="70" t="str">
        <f>IF(ISNUMBER(F5945),E5945*F5945,"")</f>
        <v/>
      </c>
      <c r="H5945" s="71"/>
      <c r="I5945" s="72"/>
      <c r="J5945" s="37">
        <v>0</v>
      </c>
    </row>
    <row r="5946" spans="1:10" ht="38.25" hidden="1" x14ac:dyDescent="0.25">
      <c r="A5946" s="179"/>
      <c r="B5946" s="177"/>
      <c r="C5946" s="43" t="s">
        <v>11249</v>
      </c>
      <c r="D5946" s="43" t="s">
        <v>83</v>
      </c>
      <c r="E5946" s="44">
        <v>1</v>
      </c>
      <c r="F5946" s="38">
        <v>13.756</v>
      </c>
      <c r="G5946" s="70">
        <f>IF(ISNUMBER(F5946),E5946*F5946,"")</f>
        <v>13.756</v>
      </c>
      <c r="H5946" s="46">
        <f>SUM(G5946:G5946)</f>
        <v>13.756</v>
      </c>
      <c r="I5946" s="47"/>
      <c r="J5946" s="37">
        <v>0</v>
      </c>
    </row>
    <row r="5947" spans="1:10" ht="15.75" hidden="1" thickBot="1" x14ac:dyDescent="0.3">
      <c r="A5947" s="180"/>
      <c r="B5947" s="178"/>
      <c r="C5947" s="49"/>
      <c r="D5947" s="63"/>
      <c r="E5947" s="50"/>
      <c r="F5947" s="83" t="s">
        <v>13</v>
      </c>
      <c r="G5947" s="83" t="str">
        <f>IF(ISNUMBER(F5947),E5947*F5947,"")</f>
        <v/>
      </c>
      <c r="H5947" s="84"/>
      <c r="I5947" s="72"/>
      <c r="J5947" s="37">
        <v>0</v>
      </c>
    </row>
    <row r="5948" spans="1:10" ht="15.75" hidden="1" thickBot="1" x14ac:dyDescent="0.3">
      <c r="A5948" s="173" t="s">
        <v>1407</v>
      </c>
      <c r="B5948" s="176" t="s">
        <v>5774</v>
      </c>
      <c r="C5948" s="31"/>
      <c r="D5948" s="32" t="s">
        <v>18</v>
      </c>
      <c r="E5948" s="33"/>
      <c r="F5948" s="60" t="s">
        <v>13</v>
      </c>
      <c r="G5948" s="34" t="str">
        <f>IF(ISNUMBER(F5948),E5948*F5948,"")</f>
        <v/>
      </c>
      <c r="H5948" s="35"/>
      <c r="I5948" s="36"/>
      <c r="J5948" s="37">
        <v>0</v>
      </c>
    </row>
    <row r="5949" spans="1:10" hidden="1" x14ac:dyDescent="0.25">
      <c r="A5949" s="179"/>
      <c r="B5949" s="177"/>
      <c r="C5949" s="39"/>
      <c r="D5949" s="39"/>
      <c r="E5949" s="40"/>
      <c r="F5949" s="70" t="s">
        <v>13</v>
      </c>
      <c r="G5949" s="70" t="str">
        <f>IF(ISNUMBER(F5949),E5949*F5949,"")</f>
        <v/>
      </c>
      <c r="H5949" s="71"/>
      <c r="I5949" s="72"/>
      <c r="J5949" s="37">
        <v>0</v>
      </c>
    </row>
    <row r="5950" spans="1:10" ht="25.5" hidden="1" x14ac:dyDescent="0.25">
      <c r="A5950" s="179"/>
      <c r="B5950" s="177"/>
      <c r="C5950" s="43" t="s">
        <v>10765</v>
      </c>
      <c r="D5950" s="43" t="s">
        <v>83</v>
      </c>
      <c r="E5950" s="44">
        <v>1</v>
      </c>
      <c r="F5950" s="38">
        <v>2.9164999999999996</v>
      </c>
      <c r="G5950" s="70">
        <f>IF(ISNUMBER(F5950),E5950*F5950,"")</f>
        <v>2.9164999999999996</v>
      </c>
      <c r="H5950" s="46">
        <f>SUM(G5950:G5950)</f>
        <v>2.9164999999999996</v>
      </c>
      <c r="I5950" s="47"/>
      <c r="J5950" s="37">
        <v>0</v>
      </c>
    </row>
    <row r="5951" spans="1:10" ht="15.75" hidden="1" thickBot="1" x14ac:dyDescent="0.3">
      <c r="A5951" s="180"/>
      <c r="B5951" s="178"/>
      <c r="C5951" s="49"/>
      <c r="D5951" s="63"/>
      <c r="E5951" s="50"/>
      <c r="F5951" s="83" t="s">
        <v>13</v>
      </c>
      <c r="G5951" s="83" t="str">
        <f>IF(ISNUMBER(F5951),E5951*F5951,"")</f>
        <v/>
      </c>
      <c r="H5951" s="84"/>
      <c r="I5951" s="72"/>
      <c r="J5951" s="37">
        <v>0</v>
      </c>
    </row>
    <row r="5952" spans="1:10" ht="15.75" hidden="1" thickBot="1" x14ac:dyDescent="0.3">
      <c r="A5952" s="173" t="s">
        <v>1408</v>
      </c>
      <c r="B5952" s="176" t="s">
        <v>5777</v>
      </c>
      <c r="C5952" s="31"/>
      <c r="D5952" s="32" t="s">
        <v>18</v>
      </c>
      <c r="E5952" s="33"/>
      <c r="F5952" s="60" t="s">
        <v>13</v>
      </c>
      <c r="G5952" s="34" t="str">
        <f>IF(ISNUMBER(F5952),E5952*F5952,"")</f>
        <v/>
      </c>
      <c r="H5952" s="35"/>
      <c r="I5952" s="36"/>
      <c r="J5952" s="37">
        <v>0</v>
      </c>
    </row>
    <row r="5953" spans="1:10" hidden="1" x14ac:dyDescent="0.25">
      <c r="A5953" s="179"/>
      <c r="B5953" s="177"/>
      <c r="C5953" s="39"/>
      <c r="D5953" s="39"/>
      <c r="E5953" s="40"/>
      <c r="F5953" s="70" t="s">
        <v>13</v>
      </c>
      <c r="G5953" s="70" t="str">
        <f>IF(ISNUMBER(F5953),E5953*F5953,"")</f>
        <v/>
      </c>
      <c r="H5953" s="71"/>
      <c r="I5953" s="72"/>
      <c r="J5953" s="37">
        <v>0</v>
      </c>
    </row>
    <row r="5954" spans="1:10" ht="38.25" hidden="1" x14ac:dyDescent="0.25">
      <c r="A5954" s="179"/>
      <c r="B5954" s="177"/>
      <c r="C5954" s="43" t="s">
        <v>11250</v>
      </c>
      <c r="D5954" s="43" t="s">
        <v>83</v>
      </c>
      <c r="E5954" s="44">
        <v>1</v>
      </c>
      <c r="F5954" s="38">
        <v>11.599500000000001</v>
      </c>
      <c r="G5954" s="70">
        <f>IF(ISNUMBER(F5954),E5954*F5954,"")</f>
        <v>11.599500000000001</v>
      </c>
      <c r="H5954" s="46">
        <f>SUM(G5954:G5954)</f>
        <v>11.599500000000001</v>
      </c>
      <c r="I5954" s="47"/>
      <c r="J5954" s="37">
        <v>0</v>
      </c>
    </row>
    <row r="5955" spans="1:10" ht="15.75" hidden="1" thickBot="1" x14ac:dyDescent="0.3">
      <c r="A5955" s="180"/>
      <c r="B5955" s="178"/>
      <c r="C5955" s="49"/>
      <c r="D5955" s="63"/>
      <c r="E5955" s="50"/>
      <c r="F5955" s="83" t="s">
        <v>13</v>
      </c>
      <c r="G5955" s="83" t="str">
        <f>IF(ISNUMBER(F5955),E5955*F5955,"")</f>
        <v/>
      </c>
      <c r="H5955" s="84"/>
      <c r="I5955" s="72"/>
      <c r="J5955" s="37">
        <v>0</v>
      </c>
    </row>
    <row r="5956" spans="1:10" ht="15.75" hidden="1" thickBot="1" x14ac:dyDescent="0.3">
      <c r="A5956" s="173" t="s">
        <v>1409</v>
      </c>
      <c r="B5956" s="176" t="s">
        <v>5778</v>
      </c>
      <c r="C5956" s="31"/>
      <c r="D5956" s="32" t="s">
        <v>18</v>
      </c>
      <c r="E5956" s="33"/>
      <c r="F5956" s="60" t="s">
        <v>13</v>
      </c>
      <c r="G5956" s="34" t="str">
        <f>IF(ISNUMBER(F5956),E5956*F5956,"")</f>
        <v/>
      </c>
      <c r="H5956" s="35"/>
      <c r="I5956" s="36"/>
      <c r="J5956" s="37">
        <v>0</v>
      </c>
    </row>
    <row r="5957" spans="1:10" hidden="1" x14ac:dyDescent="0.25">
      <c r="A5957" s="179"/>
      <c r="B5957" s="177"/>
      <c r="C5957" s="39"/>
      <c r="D5957" s="39"/>
      <c r="E5957" s="40"/>
      <c r="F5957" s="70" t="s">
        <v>13</v>
      </c>
      <c r="G5957" s="70" t="str">
        <f>IF(ISNUMBER(F5957),E5957*F5957,"")</f>
        <v/>
      </c>
      <c r="H5957" s="71"/>
      <c r="I5957" s="72"/>
      <c r="J5957" s="37">
        <v>0</v>
      </c>
    </row>
    <row r="5958" spans="1:10" ht="38.25" hidden="1" x14ac:dyDescent="0.25">
      <c r="A5958" s="179"/>
      <c r="B5958" s="177"/>
      <c r="C5958" s="43" t="s">
        <v>11251</v>
      </c>
      <c r="D5958" s="43" t="s">
        <v>83</v>
      </c>
      <c r="E5958" s="44">
        <v>1</v>
      </c>
      <c r="F5958" s="38">
        <v>7.6189999999999989</v>
      </c>
      <c r="G5958" s="70">
        <f>IF(ISNUMBER(F5958),E5958*F5958,"")</f>
        <v>7.6189999999999989</v>
      </c>
      <c r="H5958" s="46">
        <f>SUM(G5958:G5958)</f>
        <v>7.6189999999999989</v>
      </c>
      <c r="I5958" s="47"/>
      <c r="J5958" s="37">
        <v>0</v>
      </c>
    </row>
    <row r="5959" spans="1:10" ht="15.75" hidden="1" thickBot="1" x14ac:dyDescent="0.3">
      <c r="A5959" s="180"/>
      <c r="B5959" s="178"/>
      <c r="C5959" s="49"/>
      <c r="D5959" s="63"/>
      <c r="E5959" s="50"/>
      <c r="F5959" s="83" t="s">
        <v>13</v>
      </c>
      <c r="G5959" s="83" t="str">
        <f>IF(ISNUMBER(F5959),E5959*F5959,"")</f>
        <v/>
      </c>
      <c r="H5959" s="84"/>
      <c r="I5959" s="72"/>
      <c r="J5959" s="37">
        <v>0</v>
      </c>
    </row>
    <row r="5960" spans="1:10" ht="15.75" hidden="1" thickBot="1" x14ac:dyDescent="0.3">
      <c r="A5960" s="173" t="s">
        <v>1410</v>
      </c>
      <c r="B5960" s="176" t="s">
        <v>5779</v>
      </c>
      <c r="C5960" s="31"/>
      <c r="D5960" s="32" t="s">
        <v>18</v>
      </c>
      <c r="E5960" s="33"/>
      <c r="F5960" s="60" t="s">
        <v>13</v>
      </c>
      <c r="G5960" s="34" t="str">
        <f>IF(ISNUMBER(F5960),E5960*F5960,"")</f>
        <v/>
      </c>
      <c r="H5960" s="35"/>
      <c r="I5960" s="36"/>
      <c r="J5960" s="37">
        <v>0</v>
      </c>
    </row>
    <row r="5961" spans="1:10" hidden="1" x14ac:dyDescent="0.25">
      <c r="A5961" s="179"/>
      <c r="B5961" s="177"/>
      <c r="C5961" s="39"/>
      <c r="D5961" s="39"/>
      <c r="E5961" s="40"/>
      <c r="F5961" s="70" t="s">
        <v>13</v>
      </c>
      <c r="G5961" s="70" t="str">
        <f>IF(ISNUMBER(F5961),E5961*F5961,"")</f>
        <v/>
      </c>
      <c r="H5961" s="71"/>
      <c r="I5961" s="72"/>
      <c r="J5961" s="37">
        <v>0</v>
      </c>
    </row>
    <row r="5962" spans="1:10" ht="38.25" hidden="1" x14ac:dyDescent="0.25">
      <c r="A5962" s="179"/>
      <c r="B5962" s="177"/>
      <c r="C5962" s="43" t="s">
        <v>11252</v>
      </c>
      <c r="D5962" s="43" t="s">
        <v>83</v>
      </c>
      <c r="E5962" s="44">
        <v>1</v>
      </c>
      <c r="F5962" s="38">
        <v>21.279999999999998</v>
      </c>
      <c r="G5962" s="70">
        <f>IF(ISNUMBER(F5962),E5962*F5962,"")</f>
        <v>21.279999999999998</v>
      </c>
      <c r="H5962" s="46">
        <f>SUM(G5962:G5962)</f>
        <v>21.279999999999998</v>
      </c>
      <c r="I5962" s="47"/>
      <c r="J5962" s="37">
        <v>0</v>
      </c>
    </row>
    <row r="5963" spans="1:10" ht="15.75" hidden="1" thickBot="1" x14ac:dyDescent="0.3">
      <c r="A5963" s="180"/>
      <c r="B5963" s="178"/>
      <c r="C5963" s="49"/>
      <c r="D5963" s="63"/>
      <c r="E5963" s="50"/>
      <c r="F5963" s="83" t="s">
        <v>13</v>
      </c>
      <c r="G5963" s="83" t="str">
        <f>IF(ISNUMBER(F5963),E5963*F5963,"")</f>
        <v/>
      </c>
      <c r="H5963" s="84"/>
      <c r="I5963" s="72"/>
      <c r="J5963" s="37">
        <v>0</v>
      </c>
    </row>
    <row r="5964" spans="1:10" ht="15.75" hidden="1" thickBot="1" x14ac:dyDescent="0.3">
      <c r="A5964" s="173" t="s">
        <v>1411</v>
      </c>
      <c r="B5964" s="176" t="s">
        <v>5780</v>
      </c>
      <c r="C5964" s="31"/>
      <c r="D5964" s="32" t="s">
        <v>18</v>
      </c>
      <c r="E5964" s="33"/>
      <c r="F5964" s="60" t="s">
        <v>13</v>
      </c>
      <c r="G5964" s="34" t="str">
        <f>IF(ISNUMBER(F5964),E5964*F5964,"")</f>
        <v/>
      </c>
      <c r="H5964" s="35"/>
      <c r="I5964" s="36"/>
      <c r="J5964" s="37">
        <v>0</v>
      </c>
    </row>
    <row r="5965" spans="1:10" hidden="1" x14ac:dyDescent="0.25">
      <c r="A5965" s="179"/>
      <c r="B5965" s="177"/>
      <c r="C5965" s="39"/>
      <c r="D5965" s="39"/>
      <c r="E5965" s="40"/>
      <c r="F5965" s="70" t="s">
        <v>13</v>
      </c>
      <c r="G5965" s="70" t="str">
        <f>IF(ISNUMBER(F5965),E5965*F5965,"")</f>
        <v/>
      </c>
      <c r="H5965" s="71"/>
      <c r="I5965" s="72"/>
      <c r="J5965" s="37">
        <v>0</v>
      </c>
    </row>
    <row r="5966" spans="1:10" ht="25.5" hidden="1" x14ac:dyDescent="0.25">
      <c r="A5966" s="179"/>
      <c r="B5966" s="177"/>
      <c r="C5966" s="43" t="s">
        <v>10766</v>
      </c>
      <c r="D5966" s="43" t="s">
        <v>83</v>
      </c>
      <c r="E5966" s="44">
        <v>1</v>
      </c>
      <c r="F5966" s="38">
        <v>4.218</v>
      </c>
      <c r="G5966" s="70">
        <f>IF(ISNUMBER(F5966),E5966*F5966,"")</f>
        <v>4.218</v>
      </c>
      <c r="H5966" s="46">
        <f>SUM(G5966:G5966)</f>
        <v>4.218</v>
      </c>
      <c r="I5966" s="47"/>
      <c r="J5966" s="37">
        <v>0</v>
      </c>
    </row>
    <row r="5967" spans="1:10" ht="15.75" hidden="1" thickBot="1" x14ac:dyDescent="0.3">
      <c r="A5967" s="180"/>
      <c r="B5967" s="178"/>
      <c r="C5967" s="49"/>
      <c r="D5967" s="63"/>
      <c r="E5967" s="50"/>
      <c r="F5967" s="83" t="s">
        <v>13</v>
      </c>
      <c r="G5967" s="83" t="str">
        <f>IF(ISNUMBER(F5967),E5967*F5967,"")</f>
        <v/>
      </c>
      <c r="H5967" s="84"/>
      <c r="I5967" s="72"/>
      <c r="J5967" s="37">
        <v>0</v>
      </c>
    </row>
    <row r="5968" spans="1:10" ht="15.75" hidden="1" thickBot="1" x14ac:dyDescent="0.3">
      <c r="A5968" s="173" t="s">
        <v>1412</v>
      </c>
      <c r="B5968" s="176" t="s">
        <v>5265</v>
      </c>
      <c r="C5968" s="31"/>
      <c r="D5968" s="32" t="s">
        <v>18</v>
      </c>
      <c r="E5968" s="33"/>
      <c r="F5968" s="60" t="s">
        <v>13</v>
      </c>
      <c r="G5968" s="34" t="str">
        <f>IF(ISNUMBER(F5968),E5968*F5968,"")</f>
        <v/>
      </c>
      <c r="H5968" s="35"/>
      <c r="I5968" s="36"/>
      <c r="J5968" s="37">
        <v>0</v>
      </c>
    </row>
    <row r="5969" spans="1:10" hidden="1" x14ac:dyDescent="0.25">
      <c r="A5969" s="179"/>
      <c r="B5969" s="177"/>
      <c r="C5969" s="39"/>
      <c r="D5969" s="39"/>
      <c r="E5969" s="40"/>
      <c r="F5969" s="70" t="s">
        <v>13</v>
      </c>
      <c r="G5969" s="70" t="str">
        <f>IF(ISNUMBER(F5969),E5969*F5969,"")</f>
        <v/>
      </c>
      <c r="H5969" s="71"/>
      <c r="I5969" s="72"/>
      <c r="J5969" s="37">
        <v>0</v>
      </c>
    </row>
    <row r="5970" spans="1:10" ht="38.25" hidden="1" x14ac:dyDescent="0.25">
      <c r="A5970" s="179"/>
      <c r="B5970" s="177"/>
      <c r="C5970" s="43" t="s">
        <v>11253</v>
      </c>
      <c r="D5970" s="43" t="s">
        <v>83</v>
      </c>
      <c r="E5970" s="44">
        <v>1</v>
      </c>
      <c r="F5970" s="38">
        <v>14.154999999999999</v>
      </c>
      <c r="G5970" s="70">
        <f>IF(ISNUMBER(F5970),E5970*F5970,"")</f>
        <v>14.154999999999999</v>
      </c>
      <c r="H5970" s="46">
        <f>SUM(G5970:G5970)</f>
        <v>14.154999999999999</v>
      </c>
      <c r="I5970" s="47"/>
      <c r="J5970" s="37">
        <v>0</v>
      </c>
    </row>
    <row r="5971" spans="1:10" ht="15.75" hidden="1" thickBot="1" x14ac:dyDescent="0.3">
      <c r="A5971" s="180"/>
      <c r="B5971" s="178"/>
      <c r="C5971" s="49"/>
      <c r="D5971" s="63"/>
      <c r="E5971" s="50"/>
      <c r="F5971" s="83" t="s">
        <v>13</v>
      </c>
      <c r="G5971" s="83" t="str">
        <f>IF(ISNUMBER(F5971),E5971*F5971,"")</f>
        <v/>
      </c>
      <c r="H5971" s="84"/>
      <c r="I5971" s="72"/>
      <c r="J5971" s="37">
        <v>0</v>
      </c>
    </row>
    <row r="5972" spans="1:10" ht="15.75" hidden="1" thickBot="1" x14ac:dyDescent="0.3">
      <c r="A5972" s="173" t="s">
        <v>1413</v>
      </c>
      <c r="B5972" s="176" t="s">
        <v>5784</v>
      </c>
      <c r="C5972" s="31"/>
      <c r="D5972" s="32" t="s">
        <v>18</v>
      </c>
      <c r="E5972" s="33"/>
      <c r="F5972" s="60" t="s">
        <v>13</v>
      </c>
      <c r="G5972" s="34" t="str">
        <f>IF(ISNUMBER(F5972),E5972*F5972,"")</f>
        <v/>
      </c>
      <c r="H5972" s="35"/>
      <c r="I5972" s="36"/>
      <c r="J5972" s="37">
        <v>0</v>
      </c>
    </row>
    <row r="5973" spans="1:10" hidden="1" x14ac:dyDescent="0.25">
      <c r="A5973" s="179"/>
      <c r="B5973" s="177"/>
      <c r="C5973" s="39"/>
      <c r="D5973" s="39"/>
      <c r="E5973" s="40"/>
      <c r="F5973" s="70" t="s">
        <v>13</v>
      </c>
      <c r="G5973" s="70" t="str">
        <f>IF(ISNUMBER(F5973),E5973*F5973,"")</f>
        <v/>
      </c>
      <c r="H5973" s="71"/>
      <c r="I5973" s="72"/>
      <c r="J5973" s="37">
        <v>0</v>
      </c>
    </row>
    <row r="5974" spans="1:10" ht="38.25" hidden="1" x14ac:dyDescent="0.25">
      <c r="A5974" s="179"/>
      <c r="B5974" s="177"/>
      <c r="C5974" s="43" t="s">
        <v>11254</v>
      </c>
      <c r="D5974" s="43" t="s">
        <v>83</v>
      </c>
      <c r="E5974" s="44">
        <v>1</v>
      </c>
      <c r="F5974" s="38">
        <v>8.4359999999999999</v>
      </c>
      <c r="G5974" s="70">
        <f>IF(ISNUMBER(F5974),E5974*F5974,"")</f>
        <v>8.4359999999999999</v>
      </c>
      <c r="H5974" s="46">
        <f>SUM(G5974:G5974)</f>
        <v>8.4359999999999999</v>
      </c>
      <c r="I5974" s="47"/>
      <c r="J5974" s="37">
        <v>0</v>
      </c>
    </row>
    <row r="5975" spans="1:10" ht="15.75" hidden="1" thickBot="1" x14ac:dyDescent="0.3">
      <c r="A5975" s="180"/>
      <c r="B5975" s="178"/>
      <c r="C5975" s="49"/>
      <c r="D5975" s="63"/>
      <c r="E5975" s="50"/>
      <c r="F5975" s="83" t="s">
        <v>13</v>
      </c>
      <c r="G5975" s="83" t="str">
        <f>IF(ISNUMBER(F5975),E5975*F5975,"")</f>
        <v/>
      </c>
      <c r="H5975" s="84"/>
      <c r="I5975" s="72"/>
      <c r="J5975" s="37">
        <v>0</v>
      </c>
    </row>
    <row r="5976" spans="1:10" ht="15.75" hidden="1" thickBot="1" x14ac:dyDescent="0.3">
      <c r="A5976" s="173" t="s">
        <v>1414</v>
      </c>
      <c r="B5976" s="176" t="s">
        <v>5785</v>
      </c>
      <c r="C5976" s="31"/>
      <c r="D5976" s="32" t="s">
        <v>18</v>
      </c>
      <c r="E5976" s="33"/>
      <c r="F5976" s="60" t="s">
        <v>13</v>
      </c>
      <c r="G5976" s="34" t="str">
        <f>IF(ISNUMBER(F5976),E5976*F5976,"")</f>
        <v/>
      </c>
      <c r="H5976" s="35"/>
      <c r="I5976" s="36"/>
      <c r="J5976" s="37">
        <v>0</v>
      </c>
    </row>
    <row r="5977" spans="1:10" hidden="1" x14ac:dyDescent="0.25">
      <c r="A5977" s="179"/>
      <c r="B5977" s="177"/>
      <c r="C5977" s="39"/>
      <c r="D5977" s="39"/>
      <c r="E5977" s="40"/>
      <c r="F5977" s="70" t="s">
        <v>13</v>
      </c>
      <c r="G5977" s="70" t="str">
        <f>IF(ISNUMBER(F5977),E5977*F5977,"")</f>
        <v/>
      </c>
      <c r="H5977" s="71"/>
      <c r="I5977" s="72"/>
      <c r="J5977" s="37">
        <v>0</v>
      </c>
    </row>
    <row r="5978" spans="1:10" ht="38.25" hidden="1" x14ac:dyDescent="0.25">
      <c r="A5978" s="179"/>
      <c r="B5978" s="177"/>
      <c r="C5978" s="43" t="s">
        <v>11255</v>
      </c>
      <c r="D5978" s="43" t="s">
        <v>83</v>
      </c>
      <c r="E5978" s="44">
        <v>1</v>
      </c>
      <c r="F5978" s="38">
        <v>43.1205</v>
      </c>
      <c r="G5978" s="70">
        <f>IF(ISNUMBER(F5978),E5978*F5978,"")</f>
        <v>43.1205</v>
      </c>
      <c r="H5978" s="46">
        <f>SUM(G5978:G5978)</f>
        <v>43.1205</v>
      </c>
      <c r="I5978" s="47"/>
      <c r="J5978" s="37">
        <v>0</v>
      </c>
    </row>
    <row r="5979" spans="1:10" ht="15.75" hidden="1" thickBot="1" x14ac:dyDescent="0.3">
      <c r="A5979" s="180"/>
      <c r="B5979" s="178"/>
      <c r="C5979" s="49"/>
      <c r="D5979" s="63"/>
      <c r="E5979" s="50"/>
      <c r="F5979" s="83" t="s">
        <v>13</v>
      </c>
      <c r="G5979" s="83" t="str">
        <f>IF(ISNUMBER(F5979),E5979*F5979,"")</f>
        <v/>
      </c>
      <c r="H5979" s="84"/>
      <c r="I5979" s="72"/>
      <c r="J5979" s="37">
        <v>0</v>
      </c>
    </row>
    <row r="5980" spans="1:10" ht="15.75" hidden="1" thickBot="1" x14ac:dyDescent="0.3">
      <c r="A5980" s="173" t="s">
        <v>1415</v>
      </c>
      <c r="B5980" s="176" t="s">
        <v>5786</v>
      </c>
      <c r="C5980" s="31"/>
      <c r="D5980" s="32" t="s">
        <v>18</v>
      </c>
      <c r="E5980" s="33"/>
      <c r="F5980" s="60" t="s">
        <v>13</v>
      </c>
      <c r="G5980" s="34" t="str">
        <f>IF(ISNUMBER(F5980),E5980*F5980,"")</f>
        <v/>
      </c>
      <c r="H5980" s="35"/>
      <c r="I5980" s="36"/>
      <c r="J5980" s="37">
        <v>0</v>
      </c>
    </row>
    <row r="5981" spans="1:10" hidden="1" x14ac:dyDescent="0.25">
      <c r="A5981" s="179"/>
      <c r="B5981" s="177"/>
      <c r="C5981" s="39"/>
      <c r="D5981" s="39"/>
      <c r="E5981" s="40"/>
      <c r="F5981" s="70" t="s">
        <v>13</v>
      </c>
      <c r="G5981" s="70" t="str">
        <f>IF(ISNUMBER(F5981),E5981*F5981,"")</f>
        <v/>
      </c>
      <c r="H5981" s="71"/>
      <c r="I5981" s="72"/>
      <c r="J5981" s="37">
        <v>0</v>
      </c>
    </row>
    <row r="5982" spans="1:10" ht="25.5" hidden="1" x14ac:dyDescent="0.25">
      <c r="A5982" s="179"/>
      <c r="B5982" s="177"/>
      <c r="C5982" s="43" t="s">
        <v>11256</v>
      </c>
      <c r="D5982" s="43" t="s">
        <v>83</v>
      </c>
      <c r="E5982" s="44">
        <v>1</v>
      </c>
      <c r="F5982" s="38">
        <v>5.8805000000000005</v>
      </c>
      <c r="G5982" s="70">
        <f>IF(ISNUMBER(F5982),E5982*F5982,"")</f>
        <v>5.8805000000000005</v>
      </c>
      <c r="H5982" s="46">
        <f>SUM(G5982:G5982)</f>
        <v>5.8805000000000005</v>
      </c>
      <c r="I5982" s="47"/>
      <c r="J5982" s="37">
        <v>0</v>
      </c>
    </row>
    <row r="5983" spans="1:10" ht="15.75" hidden="1" thickBot="1" x14ac:dyDescent="0.3">
      <c r="A5983" s="180"/>
      <c r="B5983" s="178"/>
      <c r="C5983" s="49"/>
      <c r="D5983" s="63"/>
      <c r="E5983" s="50"/>
      <c r="F5983" s="83" t="s">
        <v>13</v>
      </c>
      <c r="G5983" s="83" t="str">
        <f>IF(ISNUMBER(F5983),E5983*F5983,"")</f>
        <v/>
      </c>
      <c r="H5983" s="84"/>
      <c r="I5983" s="72"/>
      <c r="J5983" s="37">
        <v>0</v>
      </c>
    </row>
    <row r="5984" spans="1:10" ht="15.75" hidden="1" thickBot="1" x14ac:dyDescent="0.3">
      <c r="A5984" s="173" t="s">
        <v>1416</v>
      </c>
      <c r="B5984" s="176" t="s">
        <v>5789</v>
      </c>
      <c r="C5984" s="31"/>
      <c r="D5984" s="32" t="s">
        <v>18</v>
      </c>
      <c r="E5984" s="33"/>
      <c r="F5984" s="60" t="s">
        <v>13</v>
      </c>
      <c r="G5984" s="34" t="str">
        <f>IF(ISNUMBER(F5984),E5984*F5984,"")</f>
        <v/>
      </c>
      <c r="H5984" s="35"/>
      <c r="I5984" s="36"/>
      <c r="J5984" s="37">
        <v>0</v>
      </c>
    </row>
    <row r="5985" spans="1:10" hidden="1" x14ac:dyDescent="0.25">
      <c r="A5985" s="179"/>
      <c r="B5985" s="177"/>
      <c r="C5985" s="39"/>
      <c r="D5985" s="39"/>
      <c r="E5985" s="40"/>
      <c r="F5985" s="70" t="s">
        <v>13</v>
      </c>
      <c r="G5985" s="70" t="str">
        <f>IF(ISNUMBER(F5985),E5985*F5985,"")</f>
        <v/>
      </c>
      <c r="H5985" s="71"/>
      <c r="I5985" s="72"/>
      <c r="J5985" s="37">
        <v>0</v>
      </c>
    </row>
    <row r="5986" spans="1:10" ht="25.5" hidden="1" x14ac:dyDescent="0.25">
      <c r="A5986" s="179"/>
      <c r="B5986" s="177"/>
      <c r="C5986" s="43" t="s">
        <v>11257</v>
      </c>
      <c r="D5986" s="43" t="s">
        <v>83</v>
      </c>
      <c r="E5986" s="44">
        <v>1</v>
      </c>
      <c r="F5986" s="38">
        <v>20.776499999999999</v>
      </c>
      <c r="G5986" s="70">
        <f>IF(ISNUMBER(F5986),E5986*F5986,"")</f>
        <v>20.776499999999999</v>
      </c>
      <c r="H5986" s="46">
        <f>SUM(G5986:G5986)</f>
        <v>20.776499999999999</v>
      </c>
      <c r="I5986" s="47"/>
      <c r="J5986" s="37">
        <v>0</v>
      </c>
    </row>
    <row r="5987" spans="1:10" ht="15.75" hidden="1" thickBot="1" x14ac:dyDescent="0.3">
      <c r="A5987" s="180"/>
      <c r="B5987" s="178"/>
      <c r="C5987" s="49"/>
      <c r="D5987" s="63"/>
      <c r="E5987" s="50"/>
      <c r="F5987" s="83" t="s">
        <v>13</v>
      </c>
      <c r="G5987" s="83" t="str">
        <f>IF(ISNUMBER(F5987),E5987*F5987,"")</f>
        <v/>
      </c>
      <c r="H5987" s="84"/>
      <c r="I5987" s="72"/>
      <c r="J5987" s="37">
        <v>0</v>
      </c>
    </row>
    <row r="5988" spans="1:10" ht="15.75" hidden="1" thickBot="1" x14ac:dyDescent="0.3">
      <c r="A5988" s="173" t="s">
        <v>1417</v>
      </c>
      <c r="B5988" s="176" t="s">
        <v>5792</v>
      </c>
      <c r="C5988" s="31"/>
      <c r="D5988" s="32" t="s">
        <v>18</v>
      </c>
      <c r="E5988" s="33"/>
      <c r="F5988" s="60" t="s">
        <v>13</v>
      </c>
      <c r="G5988" s="34" t="str">
        <f>IF(ISNUMBER(F5988),E5988*F5988,"")</f>
        <v/>
      </c>
      <c r="H5988" s="35"/>
      <c r="I5988" s="36"/>
      <c r="J5988" s="37">
        <v>0</v>
      </c>
    </row>
    <row r="5989" spans="1:10" hidden="1" x14ac:dyDescent="0.25">
      <c r="A5989" s="179"/>
      <c r="B5989" s="177"/>
      <c r="C5989" s="39"/>
      <c r="D5989" s="39"/>
      <c r="E5989" s="40"/>
      <c r="F5989" s="70" t="s">
        <v>13</v>
      </c>
      <c r="G5989" s="70" t="str">
        <f>IF(ISNUMBER(F5989),E5989*F5989,"")</f>
        <v/>
      </c>
      <c r="H5989" s="71"/>
      <c r="I5989" s="72"/>
      <c r="J5989" s="37">
        <v>0</v>
      </c>
    </row>
    <row r="5990" spans="1:10" ht="38.25" hidden="1" x14ac:dyDescent="0.25">
      <c r="A5990" s="179"/>
      <c r="B5990" s="177"/>
      <c r="C5990" s="43" t="s">
        <v>11258</v>
      </c>
      <c r="D5990" s="43" t="s">
        <v>83</v>
      </c>
      <c r="E5990" s="44">
        <v>1</v>
      </c>
      <c r="F5990" s="38">
        <v>101.29849999999999</v>
      </c>
      <c r="G5990" s="70">
        <f>IF(ISNUMBER(F5990),E5990*F5990,"")</f>
        <v>101.29849999999999</v>
      </c>
      <c r="H5990" s="46">
        <f>SUM(G5990:G5990)</f>
        <v>101.29849999999999</v>
      </c>
      <c r="I5990" s="47"/>
      <c r="J5990" s="37">
        <v>0</v>
      </c>
    </row>
    <row r="5991" spans="1:10" ht="15.75" hidden="1" thickBot="1" x14ac:dyDescent="0.3">
      <c r="A5991" s="180"/>
      <c r="B5991" s="178"/>
      <c r="C5991" s="49"/>
      <c r="D5991" s="63"/>
      <c r="E5991" s="50"/>
      <c r="F5991" s="83" t="s">
        <v>13</v>
      </c>
      <c r="G5991" s="83" t="str">
        <f>IF(ISNUMBER(F5991),E5991*F5991,"")</f>
        <v/>
      </c>
      <c r="H5991" s="84"/>
      <c r="I5991" s="72"/>
      <c r="J5991" s="37">
        <v>0</v>
      </c>
    </row>
    <row r="5992" spans="1:10" ht="15.75" hidden="1" thickBot="1" x14ac:dyDescent="0.3">
      <c r="A5992" s="173" t="s">
        <v>1418</v>
      </c>
      <c r="B5992" s="176" t="s">
        <v>5793</v>
      </c>
      <c r="C5992" s="31"/>
      <c r="D5992" s="32" t="s">
        <v>18</v>
      </c>
      <c r="E5992" s="33"/>
      <c r="F5992" s="60" t="s">
        <v>13</v>
      </c>
      <c r="G5992" s="34" t="str">
        <f>IF(ISNUMBER(F5992),E5992*F5992,"")</f>
        <v/>
      </c>
      <c r="H5992" s="35"/>
      <c r="I5992" s="36"/>
      <c r="J5992" s="37">
        <v>0</v>
      </c>
    </row>
    <row r="5993" spans="1:10" hidden="1" x14ac:dyDescent="0.25">
      <c r="A5993" s="179"/>
      <c r="B5993" s="177"/>
      <c r="C5993" s="39"/>
      <c r="D5993" s="39"/>
      <c r="E5993" s="40"/>
      <c r="F5993" s="70" t="s">
        <v>13</v>
      </c>
      <c r="G5993" s="70" t="str">
        <f>IF(ISNUMBER(F5993),E5993*F5993,"")</f>
        <v/>
      </c>
      <c r="H5993" s="71"/>
      <c r="I5993" s="72"/>
      <c r="J5993" s="37">
        <v>0</v>
      </c>
    </row>
    <row r="5994" spans="1:10" ht="25.5" hidden="1" x14ac:dyDescent="0.25">
      <c r="A5994" s="179"/>
      <c r="B5994" s="177"/>
      <c r="C5994" s="43" t="s">
        <v>11259</v>
      </c>
      <c r="D5994" s="43" t="s">
        <v>83</v>
      </c>
      <c r="E5994" s="44">
        <v>1</v>
      </c>
      <c r="F5994" s="38">
        <v>8.5879999999999992</v>
      </c>
      <c r="G5994" s="70">
        <f>IF(ISNUMBER(F5994),E5994*F5994,"")</f>
        <v>8.5879999999999992</v>
      </c>
      <c r="H5994" s="46">
        <f>SUM(G5994:G5994)</f>
        <v>8.5879999999999992</v>
      </c>
      <c r="I5994" s="47"/>
      <c r="J5994" s="37">
        <v>0</v>
      </c>
    </row>
    <row r="5995" spans="1:10" ht="15.75" hidden="1" thickBot="1" x14ac:dyDescent="0.3">
      <c r="A5995" s="180"/>
      <c r="B5995" s="178"/>
      <c r="C5995" s="49"/>
      <c r="D5995" s="63"/>
      <c r="E5995" s="50"/>
      <c r="F5995" s="83" t="s">
        <v>13</v>
      </c>
      <c r="G5995" s="83" t="str">
        <f>IF(ISNUMBER(F5995),E5995*F5995,"")</f>
        <v/>
      </c>
      <c r="H5995" s="84"/>
      <c r="I5995" s="72"/>
      <c r="J5995" s="37">
        <v>0</v>
      </c>
    </row>
    <row r="5996" spans="1:10" ht="15.75" hidden="1" thickBot="1" x14ac:dyDescent="0.3">
      <c r="A5996" s="173" t="s">
        <v>1419</v>
      </c>
      <c r="B5996" s="176" t="s">
        <v>5796</v>
      </c>
      <c r="C5996" s="31"/>
      <c r="D5996" s="32" t="s">
        <v>18</v>
      </c>
      <c r="E5996" s="33"/>
      <c r="F5996" s="60" t="s">
        <v>13</v>
      </c>
      <c r="G5996" s="34" t="str">
        <f>IF(ISNUMBER(F5996),E5996*F5996,"")</f>
        <v/>
      </c>
      <c r="H5996" s="35"/>
      <c r="I5996" s="36"/>
      <c r="J5996" s="37">
        <v>0</v>
      </c>
    </row>
    <row r="5997" spans="1:10" hidden="1" x14ac:dyDescent="0.25">
      <c r="A5997" s="179"/>
      <c r="B5997" s="177"/>
      <c r="C5997" s="39"/>
      <c r="D5997" s="39"/>
      <c r="E5997" s="40"/>
      <c r="F5997" s="70" t="s">
        <v>13</v>
      </c>
      <c r="G5997" s="70" t="str">
        <f>IF(ISNUMBER(F5997),E5997*F5997,"")</f>
        <v/>
      </c>
      <c r="H5997" s="71"/>
      <c r="I5997" s="72"/>
      <c r="J5997" s="37">
        <v>0</v>
      </c>
    </row>
    <row r="5998" spans="1:10" ht="25.5" hidden="1" x14ac:dyDescent="0.25">
      <c r="A5998" s="179"/>
      <c r="B5998" s="177"/>
      <c r="C5998" s="43" t="s">
        <v>11260</v>
      </c>
      <c r="D5998" s="43" t="s">
        <v>83</v>
      </c>
      <c r="E5998" s="44">
        <v>1</v>
      </c>
      <c r="F5998" s="38">
        <v>52.6205</v>
      </c>
      <c r="G5998" s="70">
        <f>IF(ISNUMBER(F5998),E5998*F5998,"")</f>
        <v>52.6205</v>
      </c>
      <c r="H5998" s="46">
        <f>SUM(G5998:G5998)</f>
        <v>52.6205</v>
      </c>
      <c r="I5998" s="47"/>
      <c r="J5998" s="37">
        <v>0</v>
      </c>
    </row>
    <row r="5999" spans="1:10" ht="15.75" hidden="1" thickBot="1" x14ac:dyDescent="0.3">
      <c r="A5999" s="180"/>
      <c r="B5999" s="178"/>
      <c r="C5999" s="49"/>
      <c r="D5999" s="63"/>
      <c r="E5999" s="50"/>
      <c r="F5999" s="83" t="s">
        <v>13</v>
      </c>
      <c r="G5999" s="83" t="str">
        <f>IF(ISNUMBER(F5999),E5999*F5999,"")</f>
        <v/>
      </c>
      <c r="H5999" s="84"/>
      <c r="I5999" s="72"/>
      <c r="J5999" s="37">
        <v>0</v>
      </c>
    </row>
    <row r="6000" spans="1:10" ht="15.75" hidden="1" thickBot="1" x14ac:dyDescent="0.3">
      <c r="A6000" s="173" t="s">
        <v>1420</v>
      </c>
      <c r="B6000" s="176" t="s">
        <v>5797</v>
      </c>
      <c r="C6000" s="31"/>
      <c r="D6000" s="32" t="s">
        <v>18</v>
      </c>
      <c r="E6000" s="33"/>
      <c r="F6000" s="60" t="s">
        <v>13</v>
      </c>
      <c r="G6000" s="34" t="str">
        <f>IF(ISNUMBER(F6000),E6000*F6000,"")</f>
        <v/>
      </c>
      <c r="H6000" s="35"/>
      <c r="I6000" s="36"/>
      <c r="J6000" s="37">
        <v>0</v>
      </c>
    </row>
    <row r="6001" spans="1:10" hidden="1" x14ac:dyDescent="0.25">
      <c r="A6001" s="179"/>
      <c r="B6001" s="177"/>
      <c r="C6001" s="39"/>
      <c r="D6001" s="39"/>
      <c r="E6001" s="40"/>
      <c r="F6001" s="70" t="s">
        <v>13</v>
      </c>
      <c r="G6001" s="70" t="str">
        <f>IF(ISNUMBER(F6001),E6001*F6001,"")</f>
        <v/>
      </c>
      <c r="H6001" s="71"/>
      <c r="I6001" s="72"/>
      <c r="J6001" s="37">
        <v>0</v>
      </c>
    </row>
    <row r="6002" spans="1:10" ht="38.25" hidden="1" x14ac:dyDescent="0.25">
      <c r="A6002" s="179"/>
      <c r="B6002" s="177"/>
      <c r="C6002" s="43" t="s">
        <v>11261</v>
      </c>
      <c r="D6002" s="43" t="s">
        <v>83</v>
      </c>
      <c r="E6002" s="44">
        <v>1</v>
      </c>
      <c r="F6002" s="38">
        <v>27.835000000000001</v>
      </c>
      <c r="G6002" s="70">
        <f>IF(ISNUMBER(F6002),E6002*F6002,"")</f>
        <v>27.835000000000001</v>
      </c>
      <c r="H6002" s="46">
        <f>SUM(G6002:G6002)</f>
        <v>27.835000000000001</v>
      </c>
      <c r="I6002" s="47"/>
      <c r="J6002" s="37">
        <v>0</v>
      </c>
    </row>
    <row r="6003" spans="1:10" ht="15.75" hidden="1" thickBot="1" x14ac:dyDescent="0.3">
      <c r="A6003" s="180"/>
      <c r="B6003" s="178"/>
      <c r="C6003" s="49"/>
      <c r="D6003" s="63"/>
      <c r="E6003" s="50"/>
      <c r="F6003" s="83" t="s">
        <v>13</v>
      </c>
      <c r="G6003" s="83" t="str">
        <f>IF(ISNUMBER(F6003),E6003*F6003,"")</f>
        <v/>
      </c>
      <c r="H6003" s="84"/>
      <c r="I6003" s="72"/>
      <c r="J6003" s="37">
        <v>0</v>
      </c>
    </row>
    <row r="6004" spans="1:10" ht="15.75" hidden="1" thickBot="1" x14ac:dyDescent="0.3">
      <c r="A6004" s="173" t="s">
        <v>1421</v>
      </c>
      <c r="B6004" s="176" t="s">
        <v>5798</v>
      </c>
      <c r="C6004" s="31"/>
      <c r="D6004" s="32" t="s">
        <v>18</v>
      </c>
      <c r="E6004" s="33"/>
      <c r="F6004" s="60" t="s">
        <v>13</v>
      </c>
      <c r="G6004" s="34" t="str">
        <f>IF(ISNUMBER(F6004),E6004*F6004,"")</f>
        <v/>
      </c>
      <c r="H6004" s="35"/>
      <c r="I6004" s="36"/>
      <c r="J6004" s="37">
        <v>0</v>
      </c>
    </row>
    <row r="6005" spans="1:10" hidden="1" x14ac:dyDescent="0.25">
      <c r="A6005" s="179"/>
      <c r="B6005" s="177"/>
      <c r="C6005" s="39"/>
      <c r="D6005" s="39"/>
      <c r="E6005" s="40"/>
      <c r="F6005" s="70" t="s">
        <v>13</v>
      </c>
      <c r="G6005" s="70" t="str">
        <f>IF(ISNUMBER(F6005),E6005*F6005,"")</f>
        <v/>
      </c>
      <c r="H6005" s="71"/>
      <c r="I6005" s="72"/>
      <c r="J6005" s="37">
        <v>0</v>
      </c>
    </row>
    <row r="6006" spans="1:10" ht="38.25" hidden="1" x14ac:dyDescent="0.25">
      <c r="A6006" s="179"/>
      <c r="B6006" s="177"/>
      <c r="C6006" s="43" t="s">
        <v>11262</v>
      </c>
      <c r="D6006" s="43" t="s">
        <v>83</v>
      </c>
      <c r="E6006" s="44">
        <v>1</v>
      </c>
      <c r="F6006" s="38">
        <v>122.14149999999999</v>
      </c>
      <c r="G6006" s="70">
        <f>IF(ISNUMBER(F6006),E6006*F6006,"")</f>
        <v>122.14149999999999</v>
      </c>
      <c r="H6006" s="46">
        <f>SUM(G6006:G6006)</f>
        <v>122.14149999999999</v>
      </c>
      <c r="I6006" s="47"/>
      <c r="J6006" s="37">
        <v>0</v>
      </c>
    </row>
    <row r="6007" spans="1:10" ht="15.75" hidden="1" thickBot="1" x14ac:dyDescent="0.3">
      <c r="A6007" s="180"/>
      <c r="B6007" s="178"/>
      <c r="C6007" s="49"/>
      <c r="D6007" s="63"/>
      <c r="E6007" s="50"/>
      <c r="F6007" s="83" t="s">
        <v>13</v>
      </c>
      <c r="G6007" s="83" t="str">
        <f>IF(ISNUMBER(F6007),E6007*F6007,"")</f>
        <v/>
      </c>
      <c r="H6007" s="84"/>
      <c r="I6007" s="72"/>
      <c r="J6007" s="37">
        <v>0</v>
      </c>
    </row>
    <row r="6008" spans="1:10" ht="15.75" hidden="1" thickBot="1" x14ac:dyDescent="0.3">
      <c r="A6008" s="173" t="s">
        <v>1422</v>
      </c>
      <c r="B6008" s="176" t="s">
        <v>5799</v>
      </c>
      <c r="C6008" s="31"/>
      <c r="D6008" s="32" t="s">
        <v>18</v>
      </c>
      <c r="E6008" s="33"/>
      <c r="F6008" s="60" t="s">
        <v>13</v>
      </c>
      <c r="G6008" s="34" t="str">
        <f>IF(ISNUMBER(F6008),E6008*F6008,"")</f>
        <v/>
      </c>
      <c r="H6008" s="35"/>
      <c r="I6008" s="36"/>
      <c r="J6008" s="37">
        <v>0</v>
      </c>
    </row>
    <row r="6009" spans="1:10" hidden="1" x14ac:dyDescent="0.25">
      <c r="A6009" s="179"/>
      <c r="B6009" s="177"/>
      <c r="C6009" s="39"/>
      <c r="D6009" s="39"/>
      <c r="E6009" s="40"/>
      <c r="F6009" s="70" t="s">
        <v>13</v>
      </c>
      <c r="G6009" s="70" t="str">
        <f>IF(ISNUMBER(F6009),E6009*F6009,"")</f>
        <v/>
      </c>
      <c r="H6009" s="71"/>
      <c r="I6009" s="72"/>
      <c r="J6009" s="37">
        <v>0</v>
      </c>
    </row>
    <row r="6010" spans="1:10" ht="25.5" hidden="1" x14ac:dyDescent="0.25">
      <c r="A6010" s="179"/>
      <c r="B6010" s="177"/>
      <c r="C6010" s="43" t="s">
        <v>11263</v>
      </c>
      <c r="D6010" s="43" t="s">
        <v>83</v>
      </c>
      <c r="E6010" s="44">
        <v>1</v>
      </c>
      <c r="F6010" s="38">
        <v>13.071999999999999</v>
      </c>
      <c r="G6010" s="70">
        <f>IF(ISNUMBER(F6010),E6010*F6010,"")</f>
        <v>13.071999999999999</v>
      </c>
      <c r="H6010" s="46">
        <f>SUM(G6010:G6010)</f>
        <v>13.071999999999999</v>
      </c>
      <c r="I6010" s="47"/>
      <c r="J6010" s="37">
        <v>0</v>
      </c>
    </row>
    <row r="6011" spans="1:10" ht="15.75" hidden="1" thickBot="1" x14ac:dyDescent="0.3">
      <c r="A6011" s="180"/>
      <c r="B6011" s="178"/>
      <c r="C6011" s="49"/>
      <c r="D6011" s="63"/>
      <c r="E6011" s="50"/>
      <c r="F6011" s="83" t="s">
        <v>13</v>
      </c>
      <c r="G6011" s="83" t="str">
        <f>IF(ISNUMBER(F6011),E6011*F6011,"")</f>
        <v/>
      </c>
      <c r="H6011" s="84"/>
      <c r="I6011" s="72"/>
      <c r="J6011" s="37">
        <v>0</v>
      </c>
    </row>
    <row r="6012" spans="1:10" ht="15.75" hidden="1" thickBot="1" x14ac:dyDescent="0.3">
      <c r="A6012" s="173" t="s">
        <v>1423</v>
      </c>
      <c r="B6012" s="176" t="s">
        <v>5802</v>
      </c>
      <c r="C6012" s="31"/>
      <c r="D6012" s="32" t="s">
        <v>18</v>
      </c>
      <c r="E6012" s="33"/>
      <c r="F6012" s="60" t="s">
        <v>13</v>
      </c>
      <c r="G6012" s="34" t="str">
        <f>IF(ISNUMBER(F6012),E6012*F6012,"")</f>
        <v/>
      </c>
      <c r="H6012" s="35"/>
      <c r="I6012" s="36"/>
      <c r="J6012" s="37">
        <v>0</v>
      </c>
    </row>
    <row r="6013" spans="1:10" hidden="1" x14ac:dyDescent="0.25">
      <c r="A6013" s="179"/>
      <c r="B6013" s="177"/>
      <c r="C6013" s="39"/>
      <c r="D6013" s="39"/>
      <c r="E6013" s="40"/>
      <c r="F6013" s="70" t="s">
        <v>13</v>
      </c>
      <c r="G6013" s="70" t="str">
        <f>IF(ISNUMBER(F6013),E6013*F6013,"")</f>
        <v/>
      </c>
      <c r="H6013" s="71"/>
      <c r="I6013" s="72"/>
      <c r="J6013" s="37">
        <v>0</v>
      </c>
    </row>
    <row r="6014" spans="1:10" ht="25.5" hidden="1" x14ac:dyDescent="0.25">
      <c r="A6014" s="179"/>
      <c r="B6014" s="177"/>
      <c r="C6014" s="43" t="s">
        <v>11264</v>
      </c>
      <c r="D6014" s="43" t="s">
        <v>83</v>
      </c>
      <c r="E6014" s="44">
        <v>1</v>
      </c>
      <c r="F6014" s="38">
        <v>69.083999999999989</v>
      </c>
      <c r="G6014" s="70">
        <f>IF(ISNUMBER(F6014),E6014*F6014,"")</f>
        <v>69.083999999999989</v>
      </c>
      <c r="H6014" s="46">
        <f>SUM(G6014:G6014)</f>
        <v>69.083999999999989</v>
      </c>
      <c r="I6014" s="47"/>
      <c r="J6014" s="37">
        <v>0</v>
      </c>
    </row>
    <row r="6015" spans="1:10" ht="15.75" hidden="1" thickBot="1" x14ac:dyDescent="0.3">
      <c r="A6015" s="180"/>
      <c r="B6015" s="178"/>
      <c r="C6015" s="49"/>
      <c r="D6015" s="63"/>
      <c r="E6015" s="50"/>
      <c r="F6015" s="83" t="s">
        <v>13</v>
      </c>
      <c r="G6015" s="83" t="str">
        <f>IF(ISNUMBER(F6015),E6015*F6015,"")</f>
        <v/>
      </c>
      <c r="H6015" s="84"/>
      <c r="I6015" s="72"/>
      <c r="J6015" s="37">
        <v>0</v>
      </c>
    </row>
    <row r="6016" spans="1:10" ht="15.75" hidden="1" thickBot="1" x14ac:dyDescent="0.3">
      <c r="A6016" s="173" t="s">
        <v>1424</v>
      </c>
      <c r="B6016" s="176" t="s">
        <v>5803</v>
      </c>
      <c r="C6016" s="31"/>
      <c r="D6016" s="32" t="s">
        <v>18</v>
      </c>
      <c r="E6016" s="33"/>
      <c r="F6016" s="60" t="s">
        <v>13</v>
      </c>
      <c r="G6016" s="34" t="str">
        <f>IF(ISNUMBER(F6016),E6016*F6016,"")</f>
        <v/>
      </c>
      <c r="H6016" s="35"/>
      <c r="I6016" s="36"/>
      <c r="J6016" s="37">
        <v>0</v>
      </c>
    </row>
    <row r="6017" spans="1:10" hidden="1" x14ac:dyDescent="0.25">
      <c r="A6017" s="179"/>
      <c r="B6017" s="177"/>
      <c r="C6017" s="39"/>
      <c r="D6017" s="39"/>
      <c r="E6017" s="40"/>
      <c r="F6017" s="70" t="s">
        <v>13</v>
      </c>
      <c r="G6017" s="70" t="str">
        <f>IF(ISNUMBER(F6017),E6017*F6017,"")</f>
        <v/>
      </c>
      <c r="H6017" s="71"/>
      <c r="I6017" s="72"/>
      <c r="J6017" s="37">
        <v>0</v>
      </c>
    </row>
    <row r="6018" spans="1:10" ht="38.25" hidden="1" x14ac:dyDescent="0.25">
      <c r="A6018" s="179"/>
      <c r="B6018" s="177"/>
      <c r="C6018" s="43" t="s">
        <v>11265</v>
      </c>
      <c r="D6018" s="43" t="s">
        <v>83</v>
      </c>
      <c r="E6018" s="44">
        <v>1</v>
      </c>
      <c r="F6018" s="38">
        <v>43.633499999999998</v>
      </c>
      <c r="G6018" s="70">
        <f>IF(ISNUMBER(F6018),E6018*F6018,"")</f>
        <v>43.633499999999998</v>
      </c>
      <c r="H6018" s="46">
        <f>SUM(G6018:G6018)</f>
        <v>43.633499999999998</v>
      </c>
      <c r="I6018" s="47"/>
      <c r="J6018" s="37">
        <v>0</v>
      </c>
    </row>
    <row r="6019" spans="1:10" ht="15.75" hidden="1" thickBot="1" x14ac:dyDescent="0.3">
      <c r="A6019" s="180"/>
      <c r="B6019" s="178"/>
      <c r="C6019" s="49"/>
      <c r="D6019" s="63"/>
      <c r="E6019" s="50"/>
      <c r="F6019" s="83" t="s">
        <v>13</v>
      </c>
      <c r="G6019" s="83" t="str">
        <f>IF(ISNUMBER(F6019),E6019*F6019,"")</f>
        <v/>
      </c>
      <c r="H6019" s="84"/>
      <c r="I6019" s="72"/>
      <c r="J6019" s="37">
        <v>0</v>
      </c>
    </row>
    <row r="6020" spans="1:10" ht="15.75" hidden="1" thickBot="1" x14ac:dyDescent="0.3">
      <c r="A6020" s="173" t="s">
        <v>1425</v>
      </c>
      <c r="B6020" s="176" t="s">
        <v>5804</v>
      </c>
      <c r="C6020" s="31"/>
      <c r="D6020" s="32" t="s">
        <v>18</v>
      </c>
      <c r="E6020" s="33"/>
      <c r="F6020" s="60" t="s">
        <v>13</v>
      </c>
      <c r="G6020" s="34" t="str">
        <f>IF(ISNUMBER(F6020),E6020*F6020,"")</f>
        <v/>
      </c>
      <c r="H6020" s="35"/>
      <c r="I6020" s="36"/>
      <c r="J6020" s="37">
        <v>0</v>
      </c>
    </row>
    <row r="6021" spans="1:10" hidden="1" x14ac:dyDescent="0.25">
      <c r="A6021" s="179"/>
      <c r="B6021" s="177"/>
      <c r="C6021" s="39"/>
      <c r="D6021" s="39"/>
      <c r="E6021" s="40"/>
      <c r="F6021" s="70" t="s">
        <v>13</v>
      </c>
      <c r="G6021" s="70" t="str">
        <f>IF(ISNUMBER(F6021),E6021*F6021,"")</f>
        <v/>
      </c>
      <c r="H6021" s="71"/>
      <c r="I6021" s="72"/>
      <c r="J6021" s="37">
        <v>0</v>
      </c>
    </row>
    <row r="6022" spans="1:10" ht="38.25" hidden="1" x14ac:dyDescent="0.25">
      <c r="A6022" s="179"/>
      <c r="B6022" s="177"/>
      <c r="C6022" s="43" t="s">
        <v>11266</v>
      </c>
      <c r="D6022" s="43" t="s">
        <v>83</v>
      </c>
      <c r="E6022" s="44">
        <v>1</v>
      </c>
      <c r="F6022" s="38">
        <v>224.80799999999996</v>
      </c>
      <c r="G6022" s="70">
        <f>IF(ISNUMBER(F6022),E6022*F6022,"")</f>
        <v>224.80799999999996</v>
      </c>
      <c r="H6022" s="46">
        <f>SUM(G6022:G6022)</f>
        <v>224.80799999999996</v>
      </c>
      <c r="I6022" s="47"/>
      <c r="J6022" s="37">
        <v>0</v>
      </c>
    </row>
    <row r="6023" spans="1:10" ht="15.75" hidden="1" thickBot="1" x14ac:dyDescent="0.3">
      <c r="A6023" s="180"/>
      <c r="B6023" s="178"/>
      <c r="C6023" s="49"/>
      <c r="D6023" s="63"/>
      <c r="E6023" s="50"/>
      <c r="F6023" s="83" t="s">
        <v>13</v>
      </c>
      <c r="G6023" s="83" t="str">
        <f>IF(ISNUMBER(F6023),E6023*F6023,"")</f>
        <v/>
      </c>
      <c r="H6023" s="84"/>
      <c r="I6023" s="72"/>
      <c r="J6023" s="37">
        <v>0</v>
      </c>
    </row>
    <row r="6024" spans="1:10" ht="15.75" hidden="1" thickBot="1" x14ac:dyDescent="0.3">
      <c r="A6024" s="173" t="s">
        <v>1426</v>
      </c>
      <c r="B6024" s="176" t="s">
        <v>5805</v>
      </c>
      <c r="C6024" s="31"/>
      <c r="D6024" s="32" t="s">
        <v>18</v>
      </c>
      <c r="E6024" s="33"/>
      <c r="F6024" s="60" t="s">
        <v>13</v>
      </c>
      <c r="G6024" s="34" t="str">
        <f>IF(ISNUMBER(F6024),E6024*F6024,"")</f>
        <v/>
      </c>
      <c r="H6024" s="35"/>
      <c r="I6024" s="36"/>
      <c r="J6024" s="37">
        <v>0</v>
      </c>
    </row>
    <row r="6025" spans="1:10" hidden="1" x14ac:dyDescent="0.25">
      <c r="A6025" s="179"/>
      <c r="B6025" s="177"/>
      <c r="C6025" s="39"/>
      <c r="D6025" s="39"/>
      <c r="E6025" s="40"/>
      <c r="F6025" s="70" t="s">
        <v>13</v>
      </c>
      <c r="G6025" s="70" t="str">
        <f>IF(ISNUMBER(F6025),E6025*F6025,"")</f>
        <v/>
      </c>
      <c r="H6025" s="71"/>
      <c r="I6025" s="72"/>
      <c r="J6025" s="37">
        <v>0</v>
      </c>
    </row>
    <row r="6026" spans="1:10" ht="25.5" hidden="1" x14ac:dyDescent="0.25">
      <c r="A6026" s="179"/>
      <c r="B6026" s="177"/>
      <c r="C6026" s="43" t="s">
        <v>11267</v>
      </c>
      <c r="D6026" s="43" t="s">
        <v>83</v>
      </c>
      <c r="E6026" s="44">
        <v>1</v>
      </c>
      <c r="F6026" s="38">
        <v>20.624500000000001</v>
      </c>
      <c r="G6026" s="70">
        <f>IF(ISNUMBER(F6026),E6026*F6026,"")</f>
        <v>20.624500000000001</v>
      </c>
      <c r="H6026" s="46">
        <f>SUM(G6026:G6026)</f>
        <v>20.624500000000001</v>
      </c>
      <c r="I6026" s="47"/>
      <c r="J6026" s="37">
        <v>0</v>
      </c>
    </row>
    <row r="6027" spans="1:10" ht="15.75" hidden="1" thickBot="1" x14ac:dyDescent="0.3">
      <c r="A6027" s="180"/>
      <c r="B6027" s="178"/>
      <c r="C6027" s="49"/>
      <c r="D6027" s="63"/>
      <c r="E6027" s="50"/>
      <c r="F6027" s="83" t="s">
        <v>13</v>
      </c>
      <c r="G6027" s="83" t="str">
        <f>IF(ISNUMBER(F6027),E6027*F6027,"")</f>
        <v/>
      </c>
      <c r="H6027" s="84"/>
      <c r="I6027" s="72"/>
      <c r="J6027" s="37">
        <v>0</v>
      </c>
    </row>
    <row r="6028" spans="1:10" ht="15.75" hidden="1" thickBot="1" x14ac:dyDescent="0.3">
      <c r="A6028" s="173" t="s">
        <v>1427</v>
      </c>
      <c r="B6028" s="176" t="s">
        <v>5808</v>
      </c>
      <c r="C6028" s="31"/>
      <c r="D6028" s="32" t="s">
        <v>18</v>
      </c>
      <c r="E6028" s="33"/>
      <c r="F6028" s="60" t="s">
        <v>13</v>
      </c>
      <c r="G6028" s="34" t="str">
        <f>IF(ISNUMBER(F6028),E6028*F6028,"")</f>
        <v/>
      </c>
      <c r="H6028" s="35"/>
      <c r="I6028" s="36"/>
      <c r="J6028" s="37">
        <v>0</v>
      </c>
    </row>
    <row r="6029" spans="1:10" hidden="1" x14ac:dyDescent="0.25">
      <c r="A6029" s="179"/>
      <c r="B6029" s="177"/>
      <c r="C6029" s="39"/>
      <c r="D6029" s="39"/>
      <c r="E6029" s="40"/>
      <c r="F6029" s="70" t="s">
        <v>13</v>
      </c>
      <c r="G6029" s="70" t="str">
        <f>IF(ISNUMBER(F6029),E6029*F6029,"")</f>
        <v/>
      </c>
      <c r="H6029" s="71"/>
      <c r="I6029" s="72"/>
      <c r="J6029" s="37">
        <v>0</v>
      </c>
    </row>
    <row r="6030" spans="1:10" ht="25.5" hidden="1" x14ac:dyDescent="0.25">
      <c r="A6030" s="179"/>
      <c r="B6030" s="177"/>
      <c r="C6030" s="43" t="s">
        <v>11268</v>
      </c>
      <c r="D6030" s="43" t="s">
        <v>83</v>
      </c>
      <c r="E6030" s="44">
        <v>1</v>
      </c>
      <c r="F6030" s="38">
        <v>117.1635</v>
      </c>
      <c r="G6030" s="70">
        <f>IF(ISNUMBER(F6030),E6030*F6030,"")</f>
        <v>117.1635</v>
      </c>
      <c r="H6030" s="46">
        <f>SUM(G6030:G6030)</f>
        <v>117.1635</v>
      </c>
      <c r="I6030" s="47"/>
      <c r="J6030" s="37">
        <v>0</v>
      </c>
    </row>
    <row r="6031" spans="1:10" ht="15.75" hidden="1" thickBot="1" x14ac:dyDescent="0.3">
      <c r="A6031" s="180"/>
      <c r="B6031" s="178"/>
      <c r="C6031" s="49"/>
      <c r="D6031" s="63"/>
      <c r="E6031" s="50"/>
      <c r="F6031" s="83" t="s">
        <v>13</v>
      </c>
      <c r="G6031" s="83" t="str">
        <f>IF(ISNUMBER(F6031),E6031*F6031,"")</f>
        <v/>
      </c>
      <c r="H6031" s="84"/>
      <c r="I6031" s="72"/>
      <c r="J6031" s="37">
        <v>0</v>
      </c>
    </row>
    <row r="6032" spans="1:10" ht="15.75" hidden="1" thickBot="1" x14ac:dyDescent="0.3">
      <c r="A6032" s="173" t="s">
        <v>1428</v>
      </c>
      <c r="B6032" s="176" t="s">
        <v>5809</v>
      </c>
      <c r="C6032" s="31"/>
      <c r="D6032" s="32" t="s">
        <v>106</v>
      </c>
      <c r="E6032" s="33"/>
      <c r="F6032" s="60" t="s">
        <v>13</v>
      </c>
      <c r="G6032" s="34" t="str">
        <f>IF(ISNUMBER(F6032),E6032*F6032,"")</f>
        <v/>
      </c>
      <c r="H6032" s="35"/>
      <c r="I6032" s="36"/>
      <c r="J6032" s="37">
        <v>0</v>
      </c>
    </row>
    <row r="6033" spans="1:10" hidden="1" x14ac:dyDescent="0.25">
      <c r="A6033" s="179"/>
      <c r="B6033" s="177"/>
      <c r="C6033" s="39"/>
      <c r="D6033" s="39"/>
      <c r="E6033" s="40"/>
      <c r="F6033" s="70" t="s">
        <v>13</v>
      </c>
      <c r="G6033" s="70" t="str">
        <f>IF(ISNUMBER(F6033),E6033*F6033,"")</f>
        <v/>
      </c>
      <c r="H6033" s="71"/>
      <c r="I6033" s="72"/>
      <c r="J6033" s="37">
        <v>0</v>
      </c>
    </row>
    <row r="6034" spans="1:10" ht="25.5" hidden="1" x14ac:dyDescent="0.25">
      <c r="A6034" s="179"/>
      <c r="B6034" s="177"/>
      <c r="C6034" s="43" t="s">
        <v>10935</v>
      </c>
      <c r="D6034" s="43" t="s">
        <v>1302</v>
      </c>
      <c r="E6034" s="44">
        <v>1</v>
      </c>
      <c r="F6034" s="38">
        <v>5.0729999999999995</v>
      </c>
      <c r="G6034" s="70">
        <f>IF(ISNUMBER(F6034),E6034*F6034,"")</f>
        <v>5.0729999999999995</v>
      </c>
      <c r="H6034" s="46">
        <f>SUM(G6034:G6034)</f>
        <v>5.0729999999999995</v>
      </c>
      <c r="I6034" s="47"/>
      <c r="J6034" s="37">
        <v>0</v>
      </c>
    </row>
    <row r="6035" spans="1:10" ht="15.75" hidden="1" thickBot="1" x14ac:dyDescent="0.3">
      <c r="A6035" s="180"/>
      <c r="B6035" s="178"/>
      <c r="C6035" s="49"/>
      <c r="D6035" s="63"/>
      <c r="E6035" s="50"/>
      <c r="F6035" s="83" t="s">
        <v>13</v>
      </c>
      <c r="G6035" s="83" t="str">
        <f>IF(ISNUMBER(F6035),E6035*F6035,"")</f>
        <v/>
      </c>
      <c r="H6035" s="84"/>
      <c r="I6035" s="72"/>
      <c r="J6035" s="37">
        <v>0</v>
      </c>
    </row>
    <row r="6036" spans="1:10" ht="15.75" hidden="1" thickBot="1" x14ac:dyDescent="0.3">
      <c r="A6036" s="173" t="s">
        <v>1429</v>
      </c>
      <c r="B6036" s="176" t="s">
        <v>5810</v>
      </c>
      <c r="C6036" s="31"/>
      <c r="D6036" s="32" t="s">
        <v>106</v>
      </c>
      <c r="E6036" s="33"/>
      <c r="F6036" s="60" t="s">
        <v>13</v>
      </c>
      <c r="G6036" s="34" t="str">
        <f>IF(ISNUMBER(F6036),E6036*F6036,"")</f>
        <v/>
      </c>
      <c r="H6036" s="35"/>
      <c r="I6036" s="36"/>
      <c r="J6036" s="37">
        <v>0</v>
      </c>
    </row>
    <row r="6037" spans="1:10" hidden="1" x14ac:dyDescent="0.25">
      <c r="A6037" s="179"/>
      <c r="B6037" s="177"/>
      <c r="C6037" s="39"/>
      <c r="D6037" s="39"/>
      <c r="E6037" s="40"/>
      <c r="F6037" s="70" t="s">
        <v>13</v>
      </c>
      <c r="G6037" s="70" t="str">
        <f>IF(ISNUMBER(F6037),E6037*F6037,"")</f>
        <v/>
      </c>
      <c r="H6037" s="71"/>
      <c r="I6037" s="72"/>
      <c r="J6037" s="37">
        <v>0</v>
      </c>
    </row>
    <row r="6038" spans="1:10" ht="25.5" hidden="1" x14ac:dyDescent="0.25">
      <c r="A6038" s="179"/>
      <c r="B6038" s="177"/>
      <c r="C6038" s="43" t="s">
        <v>10934</v>
      </c>
      <c r="D6038" s="43" t="s">
        <v>1302</v>
      </c>
      <c r="E6038" s="44">
        <v>1</v>
      </c>
      <c r="F6038" s="38">
        <v>9.7564999999999991</v>
      </c>
      <c r="G6038" s="70">
        <f>IF(ISNUMBER(F6038),E6038*F6038,"")</f>
        <v>9.7564999999999991</v>
      </c>
      <c r="H6038" s="46">
        <f>SUM(G6038:G6038)</f>
        <v>9.7564999999999991</v>
      </c>
      <c r="I6038" s="47"/>
      <c r="J6038" s="37">
        <v>0</v>
      </c>
    </row>
    <row r="6039" spans="1:10" ht="15.75" hidden="1" thickBot="1" x14ac:dyDescent="0.3">
      <c r="A6039" s="180"/>
      <c r="B6039" s="178"/>
      <c r="C6039" s="49"/>
      <c r="D6039" s="63"/>
      <c r="E6039" s="50"/>
      <c r="F6039" s="83" t="s">
        <v>13</v>
      </c>
      <c r="G6039" s="83" t="str">
        <f>IF(ISNUMBER(F6039),E6039*F6039,"")</f>
        <v/>
      </c>
      <c r="H6039" s="84"/>
      <c r="I6039" s="72"/>
      <c r="J6039" s="37">
        <v>0</v>
      </c>
    </row>
    <row r="6040" spans="1:10" ht="15.75" hidden="1" thickBot="1" x14ac:dyDescent="0.3">
      <c r="A6040" s="173" t="s">
        <v>1430</v>
      </c>
      <c r="B6040" s="176" t="s">
        <v>5811</v>
      </c>
      <c r="C6040" s="31"/>
      <c r="D6040" s="32" t="s">
        <v>106</v>
      </c>
      <c r="E6040" s="33"/>
      <c r="F6040" s="60" t="s">
        <v>13</v>
      </c>
      <c r="G6040" s="34" t="str">
        <f>IF(ISNUMBER(F6040),E6040*F6040,"")</f>
        <v/>
      </c>
      <c r="H6040" s="35"/>
      <c r="I6040" s="36"/>
      <c r="J6040" s="37">
        <v>0</v>
      </c>
    </row>
    <row r="6041" spans="1:10" hidden="1" x14ac:dyDescent="0.25">
      <c r="A6041" s="179"/>
      <c r="B6041" s="177"/>
      <c r="C6041" s="39"/>
      <c r="D6041" s="39"/>
      <c r="E6041" s="40"/>
      <c r="F6041" s="70" t="s">
        <v>13</v>
      </c>
      <c r="G6041" s="70" t="str">
        <f>IF(ISNUMBER(F6041),E6041*F6041,"")</f>
        <v/>
      </c>
      <c r="H6041" s="71"/>
      <c r="I6041" s="72"/>
      <c r="J6041" s="37">
        <v>0</v>
      </c>
    </row>
    <row r="6042" spans="1:10" ht="38.25" hidden="1" x14ac:dyDescent="0.25">
      <c r="A6042" s="179"/>
      <c r="B6042" s="177"/>
      <c r="C6042" s="43" t="s">
        <v>10937</v>
      </c>
      <c r="D6042" s="43" t="s">
        <v>1302</v>
      </c>
      <c r="E6042" s="44">
        <v>1</v>
      </c>
      <c r="F6042" s="38">
        <v>8.5120000000000005</v>
      </c>
      <c r="G6042" s="70">
        <f>IF(ISNUMBER(F6042),E6042*F6042,"")</f>
        <v>8.5120000000000005</v>
      </c>
      <c r="H6042" s="46">
        <f>SUM(G6042:G6042)</f>
        <v>8.5120000000000005</v>
      </c>
      <c r="I6042" s="47"/>
      <c r="J6042" s="37">
        <v>0</v>
      </c>
    </row>
    <row r="6043" spans="1:10" ht="15.75" hidden="1" thickBot="1" x14ac:dyDescent="0.3">
      <c r="A6043" s="180"/>
      <c r="B6043" s="178"/>
      <c r="C6043" s="49"/>
      <c r="D6043" s="63"/>
      <c r="E6043" s="50"/>
      <c r="F6043" s="83" t="s">
        <v>13</v>
      </c>
      <c r="G6043" s="83" t="str">
        <f>IF(ISNUMBER(F6043),E6043*F6043,"")</f>
        <v/>
      </c>
      <c r="H6043" s="84"/>
      <c r="I6043" s="72"/>
      <c r="J6043" s="37">
        <v>0</v>
      </c>
    </row>
    <row r="6044" spans="1:10" ht="15.75" hidden="1" thickBot="1" x14ac:dyDescent="0.3">
      <c r="A6044" s="173" t="s">
        <v>1431</v>
      </c>
      <c r="B6044" s="176" t="s">
        <v>5814</v>
      </c>
      <c r="C6044" s="31"/>
      <c r="D6044" s="32" t="s">
        <v>106</v>
      </c>
      <c r="E6044" s="33"/>
      <c r="F6044" s="60" t="s">
        <v>13</v>
      </c>
      <c r="G6044" s="34" t="str">
        <f>IF(ISNUMBER(F6044),E6044*F6044,"")</f>
        <v/>
      </c>
      <c r="H6044" s="35"/>
      <c r="I6044" s="36"/>
      <c r="J6044" s="37">
        <v>0</v>
      </c>
    </row>
    <row r="6045" spans="1:10" hidden="1" x14ac:dyDescent="0.25">
      <c r="A6045" s="179"/>
      <c r="B6045" s="177"/>
      <c r="C6045" s="39"/>
      <c r="D6045" s="39"/>
      <c r="E6045" s="40"/>
      <c r="F6045" s="70" t="s">
        <v>13</v>
      </c>
      <c r="G6045" s="70" t="str">
        <f>IF(ISNUMBER(F6045),E6045*F6045,"")</f>
        <v/>
      </c>
      <c r="H6045" s="71"/>
      <c r="I6045" s="72"/>
      <c r="J6045" s="37">
        <v>0</v>
      </c>
    </row>
    <row r="6046" spans="1:10" ht="38.25" hidden="1" x14ac:dyDescent="0.25">
      <c r="A6046" s="179"/>
      <c r="B6046" s="177"/>
      <c r="C6046" s="43" t="s">
        <v>10936</v>
      </c>
      <c r="D6046" s="43" t="s">
        <v>1302</v>
      </c>
      <c r="E6046" s="44">
        <v>1</v>
      </c>
      <c r="F6046" s="38">
        <v>11.1625</v>
      </c>
      <c r="G6046" s="70">
        <f>IF(ISNUMBER(F6046),E6046*F6046,"")</f>
        <v>11.1625</v>
      </c>
      <c r="H6046" s="46">
        <f>SUM(G6046:G6046)</f>
        <v>11.1625</v>
      </c>
      <c r="I6046" s="47"/>
      <c r="J6046" s="37">
        <v>0</v>
      </c>
    </row>
    <row r="6047" spans="1:10" ht="15.75" hidden="1" thickBot="1" x14ac:dyDescent="0.3">
      <c r="A6047" s="180"/>
      <c r="B6047" s="178"/>
      <c r="C6047" s="49"/>
      <c r="D6047" s="63"/>
      <c r="E6047" s="50"/>
      <c r="F6047" s="83" t="s">
        <v>13</v>
      </c>
      <c r="G6047" s="83" t="str">
        <f>IF(ISNUMBER(F6047),E6047*F6047,"")</f>
        <v/>
      </c>
      <c r="H6047" s="84"/>
      <c r="I6047" s="72"/>
      <c r="J6047" s="37">
        <v>0</v>
      </c>
    </row>
    <row r="6048" spans="1:10" ht="15.75" hidden="1" thickBot="1" x14ac:dyDescent="0.3">
      <c r="A6048" s="173" t="s">
        <v>1432</v>
      </c>
      <c r="B6048" s="176" t="s">
        <v>5817</v>
      </c>
      <c r="C6048" s="31"/>
      <c r="D6048" s="32" t="s">
        <v>106</v>
      </c>
      <c r="E6048" s="33"/>
      <c r="F6048" s="60" t="s">
        <v>13</v>
      </c>
      <c r="G6048" s="34" t="str">
        <f>IF(ISNUMBER(F6048),E6048*F6048,"")</f>
        <v/>
      </c>
      <c r="H6048" s="35"/>
      <c r="I6048" s="36"/>
      <c r="J6048" s="37">
        <v>0</v>
      </c>
    </row>
    <row r="6049" spans="1:10" hidden="1" x14ac:dyDescent="0.25">
      <c r="A6049" s="179"/>
      <c r="B6049" s="177"/>
      <c r="C6049" s="39"/>
      <c r="D6049" s="39"/>
      <c r="E6049" s="40"/>
      <c r="F6049" s="70" t="s">
        <v>13</v>
      </c>
      <c r="G6049" s="70" t="str">
        <f>IF(ISNUMBER(F6049),E6049*F6049,"")</f>
        <v/>
      </c>
      <c r="H6049" s="71"/>
      <c r="I6049" s="72"/>
      <c r="J6049" s="37">
        <v>0</v>
      </c>
    </row>
    <row r="6050" spans="1:10" ht="38.25" hidden="1" x14ac:dyDescent="0.25">
      <c r="A6050" s="179"/>
      <c r="B6050" s="177"/>
      <c r="C6050" s="43" t="s">
        <v>11269</v>
      </c>
      <c r="D6050" s="43" t="s">
        <v>1302</v>
      </c>
      <c r="E6050" s="44">
        <v>1</v>
      </c>
      <c r="F6050" s="38">
        <v>16.852999999999998</v>
      </c>
      <c r="G6050" s="70">
        <f>IF(ISNUMBER(F6050),E6050*F6050,"")</f>
        <v>16.852999999999998</v>
      </c>
      <c r="H6050" s="46">
        <f>SUM(G6050:G6050)</f>
        <v>16.852999999999998</v>
      </c>
      <c r="I6050" s="47"/>
      <c r="J6050" s="37">
        <v>0</v>
      </c>
    </row>
    <row r="6051" spans="1:10" ht="15.75" hidden="1" thickBot="1" x14ac:dyDescent="0.3">
      <c r="A6051" s="180"/>
      <c r="B6051" s="178"/>
      <c r="C6051" s="49"/>
      <c r="D6051" s="63"/>
      <c r="E6051" s="50"/>
      <c r="F6051" s="83" t="s">
        <v>13</v>
      </c>
      <c r="G6051" s="83" t="str">
        <f>IF(ISNUMBER(F6051),E6051*F6051,"")</f>
        <v/>
      </c>
      <c r="H6051" s="84"/>
      <c r="I6051" s="72"/>
      <c r="J6051" s="37">
        <v>0</v>
      </c>
    </row>
    <row r="6052" spans="1:10" ht="15.75" hidden="1" thickBot="1" x14ac:dyDescent="0.3">
      <c r="A6052" s="173" t="s">
        <v>1433</v>
      </c>
      <c r="B6052" s="176" t="s">
        <v>5820</v>
      </c>
      <c r="C6052" s="31"/>
      <c r="D6052" s="32" t="s">
        <v>106</v>
      </c>
      <c r="E6052" s="33"/>
      <c r="F6052" s="60" t="s">
        <v>13</v>
      </c>
      <c r="G6052" s="34" t="str">
        <f>IF(ISNUMBER(F6052),E6052*F6052,"")</f>
        <v/>
      </c>
      <c r="H6052" s="35"/>
      <c r="I6052" s="36"/>
      <c r="J6052" s="37">
        <v>0</v>
      </c>
    </row>
    <row r="6053" spans="1:10" hidden="1" x14ac:dyDescent="0.25">
      <c r="A6053" s="179"/>
      <c r="B6053" s="177"/>
      <c r="C6053" s="39"/>
      <c r="D6053" s="39"/>
      <c r="E6053" s="40"/>
      <c r="F6053" s="70" t="s">
        <v>13</v>
      </c>
      <c r="G6053" s="70" t="str">
        <f>IF(ISNUMBER(F6053),E6053*F6053,"")</f>
        <v/>
      </c>
      <c r="H6053" s="71"/>
      <c r="I6053" s="72"/>
      <c r="J6053" s="37">
        <v>0</v>
      </c>
    </row>
    <row r="6054" spans="1:10" ht="38.25" hidden="1" x14ac:dyDescent="0.25">
      <c r="A6054" s="179"/>
      <c r="B6054" s="177"/>
      <c r="C6054" s="43" t="s">
        <v>11113</v>
      </c>
      <c r="D6054" s="43" t="s">
        <v>1302</v>
      </c>
      <c r="E6054" s="44">
        <v>1</v>
      </c>
      <c r="F6054" s="38">
        <v>21.688499999999998</v>
      </c>
      <c r="G6054" s="70">
        <f>IF(ISNUMBER(F6054),E6054*F6054,"")</f>
        <v>21.688499999999998</v>
      </c>
      <c r="H6054" s="46">
        <f>SUM(G6054:G6054)</f>
        <v>21.688499999999998</v>
      </c>
      <c r="I6054" s="47"/>
      <c r="J6054" s="37">
        <v>0</v>
      </c>
    </row>
    <row r="6055" spans="1:10" ht="15.75" hidden="1" thickBot="1" x14ac:dyDescent="0.3">
      <c r="A6055" s="180"/>
      <c r="B6055" s="178"/>
      <c r="C6055" s="49"/>
      <c r="D6055" s="63"/>
      <c r="E6055" s="50"/>
      <c r="F6055" s="83" t="s">
        <v>13</v>
      </c>
      <c r="G6055" s="83" t="str">
        <f>IF(ISNUMBER(F6055),E6055*F6055,"")</f>
        <v/>
      </c>
      <c r="H6055" s="84"/>
      <c r="I6055" s="72"/>
      <c r="J6055" s="37">
        <v>0</v>
      </c>
    </row>
    <row r="6056" spans="1:10" ht="15.75" hidden="1" thickBot="1" x14ac:dyDescent="0.3">
      <c r="A6056" s="173" t="s">
        <v>1434</v>
      </c>
      <c r="B6056" s="176" t="s">
        <v>5823</v>
      </c>
      <c r="C6056" s="31"/>
      <c r="D6056" s="32" t="s">
        <v>106</v>
      </c>
      <c r="E6056" s="33"/>
      <c r="F6056" s="60" t="s">
        <v>13</v>
      </c>
      <c r="G6056" s="34" t="str">
        <f>IF(ISNUMBER(F6056),E6056*F6056,"")</f>
        <v/>
      </c>
      <c r="H6056" s="35"/>
      <c r="I6056" s="36"/>
      <c r="J6056" s="37">
        <v>0</v>
      </c>
    </row>
    <row r="6057" spans="1:10" hidden="1" x14ac:dyDescent="0.25">
      <c r="A6057" s="179"/>
      <c r="B6057" s="177"/>
      <c r="C6057" s="39"/>
      <c r="D6057" s="39"/>
      <c r="E6057" s="40"/>
      <c r="F6057" s="70" t="s">
        <v>13</v>
      </c>
      <c r="G6057" s="70" t="str">
        <f>IF(ISNUMBER(F6057),E6057*F6057,"")</f>
        <v/>
      </c>
      <c r="H6057" s="71"/>
      <c r="I6057" s="72"/>
      <c r="J6057" s="37">
        <v>0</v>
      </c>
    </row>
    <row r="6058" spans="1:10" ht="38.25" hidden="1" x14ac:dyDescent="0.25">
      <c r="A6058" s="179"/>
      <c r="B6058" s="177"/>
      <c r="C6058" s="43" t="s">
        <v>11270</v>
      </c>
      <c r="D6058" s="43" t="s">
        <v>1302</v>
      </c>
      <c r="E6058" s="44">
        <v>1</v>
      </c>
      <c r="F6058" s="38">
        <v>28.889499999999998</v>
      </c>
      <c r="G6058" s="70">
        <f>IF(ISNUMBER(F6058),E6058*F6058,"")</f>
        <v>28.889499999999998</v>
      </c>
      <c r="H6058" s="46">
        <f>SUM(G6058:G6058)</f>
        <v>28.889499999999998</v>
      </c>
      <c r="I6058" s="47"/>
      <c r="J6058" s="37">
        <v>0</v>
      </c>
    </row>
    <row r="6059" spans="1:10" ht="15.75" hidden="1" thickBot="1" x14ac:dyDescent="0.3">
      <c r="A6059" s="180"/>
      <c r="B6059" s="178"/>
      <c r="C6059" s="49"/>
      <c r="D6059" s="63"/>
      <c r="E6059" s="50"/>
      <c r="F6059" s="83" t="s">
        <v>13</v>
      </c>
      <c r="G6059" s="83" t="str">
        <f>IF(ISNUMBER(F6059),E6059*F6059,"")</f>
        <v/>
      </c>
      <c r="H6059" s="84"/>
      <c r="I6059" s="72"/>
      <c r="J6059" s="37">
        <v>0</v>
      </c>
    </row>
    <row r="6060" spans="1:10" ht="15.75" hidden="1" thickBot="1" x14ac:dyDescent="0.3">
      <c r="A6060" s="173" t="s">
        <v>1435</v>
      </c>
      <c r="B6060" s="176" t="s">
        <v>5826</v>
      </c>
      <c r="C6060" s="31"/>
      <c r="D6060" s="32" t="s">
        <v>106</v>
      </c>
      <c r="E6060" s="33"/>
      <c r="F6060" s="60" t="s">
        <v>13</v>
      </c>
      <c r="G6060" s="34" t="str">
        <f>IF(ISNUMBER(F6060),E6060*F6060,"")</f>
        <v/>
      </c>
      <c r="H6060" s="35"/>
      <c r="I6060" s="36"/>
      <c r="J6060" s="37">
        <v>0</v>
      </c>
    </row>
    <row r="6061" spans="1:10" hidden="1" x14ac:dyDescent="0.25">
      <c r="A6061" s="179"/>
      <c r="B6061" s="177"/>
      <c r="C6061" s="39"/>
      <c r="D6061" s="39"/>
      <c r="E6061" s="40"/>
      <c r="F6061" s="70" t="s">
        <v>13</v>
      </c>
      <c r="G6061" s="70" t="str">
        <f>IF(ISNUMBER(F6061),E6061*F6061,"")</f>
        <v/>
      </c>
      <c r="H6061" s="71"/>
      <c r="I6061" s="72"/>
      <c r="J6061" s="37">
        <v>0</v>
      </c>
    </row>
    <row r="6062" spans="1:10" ht="38.25" hidden="1" x14ac:dyDescent="0.25">
      <c r="A6062" s="179"/>
      <c r="B6062" s="177"/>
      <c r="C6062" s="43" t="s">
        <v>11201</v>
      </c>
      <c r="D6062" s="43" t="s">
        <v>1302</v>
      </c>
      <c r="E6062" s="44">
        <v>1</v>
      </c>
      <c r="F6062" s="38">
        <v>3.6004999999999998</v>
      </c>
      <c r="G6062" s="70">
        <f>IF(ISNUMBER(F6062),E6062*F6062,"")</f>
        <v>3.6004999999999998</v>
      </c>
      <c r="H6062" s="46">
        <f>SUM(G6062:G6062)</f>
        <v>3.6004999999999998</v>
      </c>
      <c r="I6062" s="47"/>
      <c r="J6062" s="37">
        <v>0</v>
      </c>
    </row>
    <row r="6063" spans="1:10" ht="15.75" hidden="1" thickBot="1" x14ac:dyDescent="0.3">
      <c r="A6063" s="180"/>
      <c r="B6063" s="178"/>
      <c r="C6063" s="49"/>
      <c r="D6063" s="63"/>
      <c r="E6063" s="50"/>
      <c r="F6063" s="83" t="s">
        <v>13</v>
      </c>
      <c r="G6063" s="83" t="str">
        <f>IF(ISNUMBER(F6063),E6063*F6063,"")</f>
        <v/>
      </c>
      <c r="H6063" s="84"/>
      <c r="I6063" s="72"/>
      <c r="J6063" s="37">
        <v>0</v>
      </c>
    </row>
    <row r="6064" spans="1:10" ht="15.75" hidden="1" thickBot="1" x14ac:dyDescent="0.3">
      <c r="A6064" s="173" t="s">
        <v>1436</v>
      </c>
      <c r="B6064" s="176" t="s">
        <v>5827</v>
      </c>
      <c r="C6064" s="31"/>
      <c r="D6064" s="32" t="s">
        <v>18</v>
      </c>
      <c r="E6064" s="33"/>
      <c r="F6064" s="60" t="s">
        <v>13</v>
      </c>
      <c r="G6064" s="34" t="str">
        <f>IF(ISNUMBER(F6064),E6064*F6064,"")</f>
        <v/>
      </c>
      <c r="H6064" s="35"/>
      <c r="I6064" s="36"/>
      <c r="J6064" s="37">
        <v>0</v>
      </c>
    </row>
    <row r="6065" spans="1:10" hidden="1" x14ac:dyDescent="0.25">
      <c r="A6065" s="179"/>
      <c r="B6065" s="177"/>
      <c r="C6065" s="39"/>
      <c r="D6065" s="39"/>
      <c r="E6065" s="40"/>
      <c r="F6065" s="70" t="s">
        <v>13</v>
      </c>
      <c r="G6065" s="70" t="str">
        <f>IF(ISNUMBER(F6065),E6065*F6065,"")</f>
        <v/>
      </c>
      <c r="H6065" s="71"/>
      <c r="I6065" s="72"/>
      <c r="J6065" s="37">
        <v>0</v>
      </c>
    </row>
    <row r="6066" spans="1:10" ht="25.5" hidden="1" x14ac:dyDescent="0.25">
      <c r="A6066" s="179"/>
      <c r="B6066" s="177"/>
      <c r="C6066" s="43" t="s">
        <v>11271</v>
      </c>
      <c r="D6066" s="43" t="s">
        <v>83</v>
      </c>
      <c r="E6066" s="44">
        <v>1</v>
      </c>
      <c r="F6066" s="38">
        <v>5.9944999999999995</v>
      </c>
      <c r="G6066" s="70">
        <f>IF(ISNUMBER(F6066),E6066*F6066,"")</f>
        <v>5.9944999999999995</v>
      </c>
      <c r="H6066" s="46">
        <f>SUM(G6066:G6066)</f>
        <v>5.9944999999999995</v>
      </c>
      <c r="I6066" s="47"/>
      <c r="J6066" s="37">
        <v>0</v>
      </c>
    </row>
    <row r="6067" spans="1:10" ht="15.75" hidden="1" thickBot="1" x14ac:dyDescent="0.3">
      <c r="A6067" s="180"/>
      <c r="B6067" s="178"/>
      <c r="C6067" s="49"/>
      <c r="D6067" s="63"/>
      <c r="E6067" s="50"/>
      <c r="F6067" s="83" t="s">
        <v>13</v>
      </c>
      <c r="G6067" s="83" t="str">
        <f>IF(ISNUMBER(F6067),E6067*F6067,"")</f>
        <v/>
      </c>
      <c r="H6067" s="84"/>
      <c r="I6067" s="72"/>
      <c r="J6067" s="37">
        <v>0</v>
      </c>
    </row>
    <row r="6068" spans="1:10" ht="15.75" hidden="1" thickBot="1" x14ac:dyDescent="0.3">
      <c r="A6068" s="173" t="s">
        <v>1437</v>
      </c>
      <c r="B6068" s="176" t="s">
        <v>5828</v>
      </c>
      <c r="C6068" s="31"/>
      <c r="D6068" s="32" t="s">
        <v>106</v>
      </c>
      <c r="E6068" s="33"/>
      <c r="F6068" s="60" t="s">
        <v>13</v>
      </c>
      <c r="G6068" s="34" t="str">
        <f>IF(ISNUMBER(F6068),E6068*F6068,"")</f>
        <v/>
      </c>
      <c r="H6068" s="35"/>
      <c r="I6068" s="36"/>
      <c r="J6068" s="37">
        <v>0</v>
      </c>
    </row>
    <row r="6069" spans="1:10" hidden="1" x14ac:dyDescent="0.25">
      <c r="A6069" s="179"/>
      <c r="B6069" s="177"/>
      <c r="C6069" s="39"/>
      <c r="D6069" s="39"/>
      <c r="E6069" s="40"/>
      <c r="F6069" s="70" t="s">
        <v>13</v>
      </c>
      <c r="G6069" s="70" t="str">
        <f>IF(ISNUMBER(F6069),E6069*F6069,"")</f>
        <v/>
      </c>
      <c r="H6069" s="71"/>
      <c r="I6069" s="72"/>
      <c r="J6069" s="37">
        <v>0</v>
      </c>
    </row>
    <row r="6070" spans="1:10" ht="38.25" hidden="1" x14ac:dyDescent="0.25">
      <c r="A6070" s="179"/>
      <c r="B6070" s="177"/>
      <c r="C6070" s="43" t="s">
        <v>11205</v>
      </c>
      <c r="D6070" s="43" t="s">
        <v>1302</v>
      </c>
      <c r="E6070" s="44">
        <v>1</v>
      </c>
      <c r="F6070" s="38">
        <v>5.9375</v>
      </c>
      <c r="G6070" s="70">
        <f>IF(ISNUMBER(F6070),E6070*F6070,"")</f>
        <v>5.9375</v>
      </c>
      <c r="H6070" s="46">
        <f>SUM(G6070:G6070)</f>
        <v>5.9375</v>
      </c>
      <c r="I6070" s="47"/>
      <c r="J6070" s="37">
        <v>0</v>
      </c>
    </row>
    <row r="6071" spans="1:10" ht="15.75" hidden="1" thickBot="1" x14ac:dyDescent="0.3">
      <c r="A6071" s="180"/>
      <c r="B6071" s="178"/>
      <c r="C6071" s="49"/>
      <c r="D6071" s="63"/>
      <c r="E6071" s="50"/>
      <c r="F6071" s="83" t="s">
        <v>13</v>
      </c>
      <c r="G6071" s="83" t="str">
        <f>IF(ISNUMBER(F6071),E6071*F6071,"")</f>
        <v/>
      </c>
      <c r="H6071" s="84"/>
      <c r="I6071" s="72"/>
      <c r="J6071" s="37">
        <v>0</v>
      </c>
    </row>
    <row r="6072" spans="1:10" ht="15.75" hidden="1" thickBot="1" x14ac:dyDescent="0.3">
      <c r="A6072" s="173" t="s">
        <v>1438</v>
      </c>
      <c r="B6072" s="176" t="s">
        <v>5829</v>
      </c>
      <c r="C6072" s="31"/>
      <c r="D6072" s="32" t="s">
        <v>18</v>
      </c>
      <c r="E6072" s="33"/>
      <c r="F6072" s="60" t="s">
        <v>13</v>
      </c>
      <c r="G6072" s="34" t="str">
        <f>IF(ISNUMBER(F6072),E6072*F6072,"")</f>
        <v/>
      </c>
      <c r="H6072" s="35"/>
      <c r="I6072" s="36"/>
      <c r="J6072" s="37">
        <v>0</v>
      </c>
    </row>
    <row r="6073" spans="1:10" hidden="1" x14ac:dyDescent="0.25">
      <c r="A6073" s="179"/>
      <c r="B6073" s="177"/>
      <c r="C6073" s="39"/>
      <c r="D6073" s="39"/>
      <c r="E6073" s="40"/>
      <c r="F6073" s="70" t="s">
        <v>13</v>
      </c>
      <c r="G6073" s="70" t="str">
        <f>IF(ISNUMBER(F6073),E6073*F6073,"")</f>
        <v/>
      </c>
      <c r="H6073" s="71"/>
      <c r="I6073" s="72"/>
      <c r="J6073" s="37">
        <v>0</v>
      </c>
    </row>
    <row r="6074" spans="1:10" ht="25.5" hidden="1" x14ac:dyDescent="0.25">
      <c r="A6074" s="179"/>
      <c r="B6074" s="177"/>
      <c r="C6074" s="43" t="s">
        <v>11272</v>
      </c>
      <c r="D6074" s="43" t="s">
        <v>83</v>
      </c>
      <c r="E6074" s="44">
        <v>1</v>
      </c>
      <c r="F6074" s="38">
        <v>6.84</v>
      </c>
      <c r="G6074" s="70">
        <f>IF(ISNUMBER(F6074),E6074*F6074,"")</f>
        <v>6.84</v>
      </c>
      <c r="H6074" s="46">
        <f>SUM(G6074:G6074)</f>
        <v>6.84</v>
      </c>
      <c r="I6074" s="47"/>
      <c r="J6074" s="37">
        <v>0</v>
      </c>
    </row>
    <row r="6075" spans="1:10" ht="15.75" hidden="1" thickBot="1" x14ac:dyDescent="0.3">
      <c r="A6075" s="180"/>
      <c r="B6075" s="178"/>
      <c r="C6075" s="49"/>
      <c r="D6075" s="63"/>
      <c r="E6075" s="50"/>
      <c r="F6075" s="83" t="s">
        <v>13</v>
      </c>
      <c r="G6075" s="83" t="str">
        <f>IF(ISNUMBER(F6075),E6075*F6075,"")</f>
        <v/>
      </c>
      <c r="H6075" s="84"/>
      <c r="I6075" s="72"/>
      <c r="J6075" s="37">
        <v>0</v>
      </c>
    </row>
    <row r="6076" spans="1:10" ht="15.75" hidden="1" thickBot="1" x14ac:dyDescent="0.3">
      <c r="A6076" s="173" t="s">
        <v>1439</v>
      </c>
      <c r="B6076" s="176" t="s">
        <v>5830</v>
      </c>
      <c r="C6076" s="31"/>
      <c r="D6076" s="32" t="s">
        <v>106</v>
      </c>
      <c r="E6076" s="33"/>
      <c r="F6076" s="60" t="s">
        <v>13</v>
      </c>
      <c r="G6076" s="34" t="str">
        <f>IF(ISNUMBER(F6076),E6076*F6076,"")</f>
        <v/>
      </c>
      <c r="H6076" s="35"/>
      <c r="I6076" s="36"/>
      <c r="J6076" s="37">
        <v>0</v>
      </c>
    </row>
    <row r="6077" spans="1:10" hidden="1" x14ac:dyDescent="0.25">
      <c r="A6077" s="179"/>
      <c r="B6077" s="177"/>
      <c r="C6077" s="39"/>
      <c r="D6077" s="39"/>
      <c r="E6077" s="40"/>
      <c r="F6077" s="70" t="s">
        <v>13</v>
      </c>
      <c r="G6077" s="70" t="str">
        <f>IF(ISNUMBER(F6077),E6077*F6077,"")</f>
        <v/>
      </c>
      <c r="H6077" s="71"/>
      <c r="I6077" s="72"/>
      <c r="J6077" s="37">
        <v>0</v>
      </c>
    </row>
    <row r="6078" spans="1:10" ht="38.25" hidden="1" x14ac:dyDescent="0.25">
      <c r="A6078" s="179"/>
      <c r="B6078" s="177"/>
      <c r="C6078" s="43" t="s">
        <v>11095</v>
      </c>
      <c r="D6078" s="43" t="s">
        <v>1302</v>
      </c>
      <c r="E6078" s="44">
        <v>1</v>
      </c>
      <c r="F6078" s="38">
        <v>8.3125</v>
      </c>
      <c r="G6078" s="70">
        <f>IF(ISNUMBER(F6078),E6078*F6078,"")</f>
        <v>8.3125</v>
      </c>
      <c r="H6078" s="46">
        <f>SUM(G6078:G6078)</f>
        <v>8.3125</v>
      </c>
      <c r="I6078" s="47"/>
      <c r="J6078" s="37">
        <v>0</v>
      </c>
    </row>
    <row r="6079" spans="1:10" ht="15.75" hidden="1" thickBot="1" x14ac:dyDescent="0.3">
      <c r="A6079" s="180"/>
      <c r="B6079" s="178"/>
      <c r="C6079" s="49"/>
      <c r="D6079" s="63"/>
      <c r="E6079" s="50"/>
      <c r="F6079" s="83" t="s">
        <v>13</v>
      </c>
      <c r="G6079" s="83" t="str">
        <f>IF(ISNUMBER(F6079),E6079*F6079,"")</f>
        <v/>
      </c>
      <c r="H6079" s="84"/>
      <c r="I6079" s="72"/>
      <c r="J6079" s="37">
        <v>0</v>
      </c>
    </row>
    <row r="6080" spans="1:10" ht="15.75" hidden="1" thickBot="1" x14ac:dyDescent="0.3">
      <c r="A6080" s="173" t="s">
        <v>1440</v>
      </c>
      <c r="B6080" s="176" t="s">
        <v>5831</v>
      </c>
      <c r="C6080" s="31"/>
      <c r="D6080" s="32" t="s">
        <v>18</v>
      </c>
      <c r="E6080" s="33"/>
      <c r="F6080" s="60" t="s">
        <v>13</v>
      </c>
      <c r="G6080" s="34" t="str">
        <f>IF(ISNUMBER(F6080),E6080*F6080,"")</f>
        <v/>
      </c>
      <c r="H6080" s="35"/>
      <c r="I6080" s="36"/>
      <c r="J6080" s="37">
        <v>0</v>
      </c>
    </row>
    <row r="6081" spans="1:10" hidden="1" x14ac:dyDescent="0.25">
      <c r="A6081" s="179"/>
      <c r="B6081" s="177"/>
      <c r="C6081" s="39"/>
      <c r="D6081" s="39"/>
      <c r="E6081" s="40"/>
      <c r="F6081" s="70" t="s">
        <v>13</v>
      </c>
      <c r="G6081" s="70" t="str">
        <f>IF(ISNUMBER(F6081),E6081*F6081,"")</f>
        <v/>
      </c>
      <c r="H6081" s="71"/>
      <c r="I6081" s="72"/>
      <c r="J6081" s="37">
        <v>0</v>
      </c>
    </row>
    <row r="6082" spans="1:10" ht="25.5" hidden="1" x14ac:dyDescent="0.25">
      <c r="A6082" s="179"/>
      <c r="B6082" s="177"/>
      <c r="C6082" s="43" t="s">
        <v>11273</v>
      </c>
      <c r="D6082" s="43" t="s">
        <v>83</v>
      </c>
      <c r="E6082" s="44">
        <v>1</v>
      </c>
      <c r="F6082" s="38">
        <v>10.088999999999999</v>
      </c>
      <c r="G6082" s="70">
        <f>IF(ISNUMBER(F6082),E6082*F6082,"")</f>
        <v>10.088999999999999</v>
      </c>
      <c r="H6082" s="46">
        <f>SUM(G6082:G6082)</f>
        <v>10.088999999999999</v>
      </c>
      <c r="I6082" s="47"/>
      <c r="J6082" s="37">
        <v>0</v>
      </c>
    </row>
    <row r="6083" spans="1:10" ht="15.75" hidden="1" thickBot="1" x14ac:dyDescent="0.3">
      <c r="A6083" s="180"/>
      <c r="B6083" s="178"/>
      <c r="C6083" s="49"/>
      <c r="D6083" s="63"/>
      <c r="E6083" s="50"/>
      <c r="F6083" s="83" t="s">
        <v>13</v>
      </c>
      <c r="G6083" s="83" t="str">
        <f>IF(ISNUMBER(F6083),E6083*F6083,"")</f>
        <v/>
      </c>
      <c r="H6083" s="84"/>
      <c r="I6083" s="72"/>
      <c r="J6083" s="37">
        <v>0</v>
      </c>
    </row>
    <row r="6084" spans="1:10" ht="15.75" hidden="1" thickBot="1" x14ac:dyDescent="0.3">
      <c r="A6084" s="173" t="s">
        <v>1441</v>
      </c>
      <c r="B6084" s="176" t="s">
        <v>5832</v>
      </c>
      <c r="C6084" s="31"/>
      <c r="D6084" s="32" t="s">
        <v>106</v>
      </c>
      <c r="E6084" s="33"/>
      <c r="F6084" s="60" t="s">
        <v>13</v>
      </c>
      <c r="G6084" s="34" t="str">
        <f>IF(ISNUMBER(F6084),E6084*F6084,"")</f>
        <v/>
      </c>
      <c r="H6084" s="35"/>
      <c r="I6084" s="36"/>
      <c r="J6084" s="37">
        <v>0</v>
      </c>
    </row>
    <row r="6085" spans="1:10" hidden="1" x14ac:dyDescent="0.25">
      <c r="A6085" s="179"/>
      <c r="B6085" s="177"/>
      <c r="C6085" s="39"/>
      <c r="D6085" s="39"/>
      <c r="E6085" s="40"/>
      <c r="F6085" s="70" t="s">
        <v>13</v>
      </c>
      <c r="G6085" s="70" t="str">
        <f>IF(ISNUMBER(F6085),E6085*F6085,"")</f>
        <v/>
      </c>
      <c r="H6085" s="71"/>
      <c r="I6085" s="72"/>
      <c r="J6085" s="37">
        <v>0</v>
      </c>
    </row>
    <row r="6086" spans="1:10" hidden="1" x14ac:dyDescent="0.25">
      <c r="A6086" s="179"/>
      <c r="B6086" s="177"/>
      <c r="C6086" s="43" t="s">
        <v>11274</v>
      </c>
      <c r="D6086" s="43" t="s">
        <v>1302</v>
      </c>
      <c r="E6086" s="44">
        <v>1</v>
      </c>
      <c r="F6086" s="38">
        <v>6.327</v>
      </c>
      <c r="G6086" s="70">
        <f>IF(ISNUMBER(F6086),E6086*F6086,"")</f>
        <v>6.327</v>
      </c>
      <c r="H6086" s="46">
        <f>SUM(G6086:G6086)</f>
        <v>6.327</v>
      </c>
      <c r="I6086" s="47"/>
      <c r="J6086" s="37">
        <v>0</v>
      </c>
    </row>
    <row r="6087" spans="1:10" ht="15.75" hidden="1" thickBot="1" x14ac:dyDescent="0.3">
      <c r="A6087" s="180"/>
      <c r="B6087" s="178"/>
      <c r="C6087" s="49"/>
      <c r="D6087" s="63"/>
      <c r="E6087" s="50"/>
      <c r="F6087" s="83" t="s">
        <v>13</v>
      </c>
      <c r="G6087" s="83" t="str">
        <f>IF(ISNUMBER(F6087),E6087*F6087,"")</f>
        <v/>
      </c>
      <c r="H6087" s="84"/>
      <c r="I6087" s="72"/>
      <c r="J6087" s="37">
        <v>0</v>
      </c>
    </row>
    <row r="6088" spans="1:10" ht="15.75" hidden="1" thickBot="1" x14ac:dyDescent="0.3">
      <c r="A6088" s="173" t="s">
        <v>1442</v>
      </c>
      <c r="B6088" s="176" t="s">
        <v>5833</v>
      </c>
      <c r="C6088" s="31"/>
      <c r="D6088" s="32" t="s">
        <v>18</v>
      </c>
      <c r="E6088" s="33"/>
      <c r="F6088" s="60" t="s">
        <v>13</v>
      </c>
      <c r="G6088" s="34" t="str">
        <f>IF(ISNUMBER(F6088),E6088*F6088,"")</f>
        <v/>
      </c>
      <c r="H6088" s="35"/>
      <c r="I6088" s="36"/>
      <c r="J6088" s="37">
        <v>0</v>
      </c>
    </row>
    <row r="6089" spans="1:10" hidden="1" x14ac:dyDescent="0.25">
      <c r="A6089" s="179"/>
      <c r="B6089" s="177"/>
      <c r="C6089" s="39"/>
      <c r="D6089" s="39"/>
      <c r="E6089" s="40"/>
      <c r="F6089" s="70" t="s">
        <v>13</v>
      </c>
      <c r="G6089" s="70" t="str">
        <f>IF(ISNUMBER(F6089),E6089*F6089,"")</f>
        <v/>
      </c>
      <c r="H6089" s="71"/>
      <c r="I6089" s="72"/>
      <c r="J6089" s="37">
        <v>0</v>
      </c>
    </row>
    <row r="6090" spans="1:10" hidden="1" x14ac:dyDescent="0.25">
      <c r="A6090" s="179"/>
      <c r="B6090" s="177"/>
      <c r="C6090" s="43" t="s">
        <v>11275</v>
      </c>
      <c r="D6090" s="43" t="s">
        <v>83</v>
      </c>
      <c r="E6090" s="44">
        <v>1</v>
      </c>
      <c r="F6090" s="38">
        <v>1.3015000000000001</v>
      </c>
      <c r="G6090" s="70">
        <f>IF(ISNUMBER(F6090),E6090*F6090,"")</f>
        <v>1.3015000000000001</v>
      </c>
      <c r="H6090" s="46">
        <f>SUM(G6090:G6090)</f>
        <v>1.3015000000000001</v>
      </c>
      <c r="I6090" s="47"/>
      <c r="J6090" s="37">
        <v>0</v>
      </c>
    </row>
    <row r="6091" spans="1:10" ht="15.75" hidden="1" thickBot="1" x14ac:dyDescent="0.3">
      <c r="A6091" s="180"/>
      <c r="B6091" s="178"/>
      <c r="C6091" s="49"/>
      <c r="D6091" s="63"/>
      <c r="E6091" s="50"/>
      <c r="F6091" s="83" t="s">
        <v>13</v>
      </c>
      <c r="G6091" s="83" t="str">
        <f>IF(ISNUMBER(F6091),E6091*F6091,"")</f>
        <v/>
      </c>
      <c r="H6091" s="84"/>
      <c r="I6091" s="72"/>
      <c r="J6091" s="37">
        <v>0</v>
      </c>
    </row>
    <row r="6092" spans="1:10" ht="15.75" hidden="1" thickBot="1" x14ac:dyDescent="0.3">
      <c r="A6092" s="173" t="s">
        <v>1443</v>
      </c>
      <c r="B6092" s="176" t="s">
        <v>5834</v>
      </c>
      <c r="C6092" s="31"/>
      <c r="D6092" s="32" t="s">
        <v>18</v>
      </c>
      <c r="E6092" s="33"/>
      <c r="F6092" s="60" t="s">
        <v>13</v>
      </c>
      <c r="G6092" s="34" t="str">
        <f>IF(ISNUMBER(F6092),E6092*F6092,"")</f>
        <v/>
      </c>
      <c r="H6092" s="35"/>
      <c r="I6092" s="36"/>
      <c r="J6092" s="37">
        <v>0</v>
      </c>
    </row>
    <row r="6093" spans="1:10" hidden="1" x14ac:dyDescent="0.25">
      <c r="A6093" s="179"/>
      <c r="B6093" s="177"/>
      <c r="C6093" s="39"/>
      <c r="D6093" s="39"/>
      <c r="E6093" s="40"/>
      <c r="F6093" s="70" t="s">
        <v>13</v>
      </c>
      <c r="G6093" s="70" t="str">
        <f>IF(ISNUMBER(F6093),E6093*F6093,"")</f>
        <v/>
      </c>
      <c r="H6093" s="71"/>
      <c r="I6093" s="72"/>
      <c r="J6093" s="37">
        <v>0</v>
      </c>
    </row>
    <row r="6094" spans="1:10" ht="25.5" hidden="1" x14ac:dyDescent="0.25">
      <c r="A6094" s="179"/>
      <c r="B6094" s="177"/>
      <c r="C6094" s="43" t="s">
        <v>11276</v>
      </c>
      <c r="D6094" s="43" t="s">
        <v>83</v>
      </c>
      <c r="E6094" s="44">
        <v>1</v>
      </c>
      <c r="F6094" s="38">
        <v>2.8119999999999998</v>
      </c>
      <c r="G6094" s="70">
        <f>IF(ISNUMBER(F6094),E6094*F6094,"")</f>
        <v>2.8119999999999998</v>
      </c>
      <c r="H6094" s="46">
        <f>SUM(G6094:G6094)</f>
        <v>2.8119999999999998</v>
      </c>
      <c r="I6094" s="47"/>
      <c r="J6094" s="37">
        <v>0</v>
      </c>
    </row>
    <row r="6095" spans="1:10" ht="15.75" hidden="1" thickBot="1" x14ac:dyDescent="0.3">
      <c r="A6095" s="180"/>
      <c r="B6095" s="178"/>
      <c r="C6095" s="49"/>
      <c r="D6095" s="63"/>
      <c r="E6095" s="50"/>
      <c r="F6095" s="83" t="s">
        <v>13</v>
      </c>
      <c r="G6095" s="83" t="str">
        <f>IF(ISNUMBER(F6095),E6095*F6095,"")</f>
        <v/>
      </c>
      <c r="H6095" s="84"/>
      <c r="I6095" s="72"/>
      <c r="J6095" s="37">
        <v>0</v>
      </c>
    </row>
    <row r="6096" spans="1:10" ht="15.75" hidden="1" thickBot="1" x14ac:dyDescent="0.3">
      <c r="A6096" s="173" t="s">
        <v>1444</v>
      </c>
      <c r="B6096" s="176" t="s">
        <v>5835</v>
      </c>
      <c r="C6096" s="31"/>
      <c r="D6096" s="32" t="s">
        <v>106</v>
      </c>
      <c r="E6096" s="33"/>
      <c r="F6096" s="60" t="s">
        <v>13</v>
      </c>
      <c r="G6096" s="34" t="str">
        <f>IF(ISNUMBER(F6096),E6096*F6096,"")</f>
        <v/>
      </c>
      <c r="H6096" s="35"/>
      <c r="I6096" s="36"/>
      <c r="J6096" s="37">
        <v>0</v>
      </c>
    </row>
    <row r="6097" spans="1:10" hidden="1" x14ac:dyDescent="0.25">
      <c r="A6097" s="179"/>
      <c r="B6097" s="177"/>
      <c r="C6097" s="39"/>
      <c r="D6097" s="39"/>
      <c r="E6097" s="40"/>
      <c r="F6097" s="70" t="s">
        <v>13</v>
      </c>
      <c r="G6097" s="70" t="str">
        <f>IF(ISNUMBER(F6097),E6097*F6097,"")</f>
        <v/>
      </c>
      <c r="H6097" s="71"/>
      <c r="I6097" s="72"/>
      <c r="J6097" s="37">
        <v>0</v>
      </c>
    </row>
    <row r="6098" spans="1:10" hidden="1" x14ac:dyDescent="0.25">
      <c r="A6098" s="179"/>
      <c r="B6098" s="177"/>
      <c r="C6098" s="43" t="s">
        <v>11277</v>
      </c>
      <c r="D6098" s="43" t="s">
        <v>1302</v>
      </c>
      <c r="E6098" s="44">
        <v>1</v>
      </c>
      <c r="F6098" s="38">
        <v>9.8895</v>
      </c>
      <c r="G6098" s="70">
        <f>IF(ISNUMBER(F6098),E6098*F6098,"")</f>
        <v>9.8895</v>
      </c>
      <c r="H6098" s="46">
        <f>SUM(G6098:G6098)</f>
        <v>9.8895</v>
      </c>
      <c r="I6098" s="47"/>
      <c r="J6098" s="37">
        <v>0</v>
      </c>
    </row>
    <row r="6099" spans="1:10" ht="15.75" hidden="1" thickBot="1" x14ac:dyDescent="0.3">
      <c r="A6099" s="180"/>
      <c r="B6099" s="178"/>
      <c r="C6099" s="49"/>
      <c r="D6099" s="63"/>
      <c r="E6099" s="50"/>
      <c r="F6099" s="83" t="s">
        <v>13</v>
      </c>
      <c r="G6099" s="83" t="str">
        <f>IF(ISNUMBER(F6099),E6099*F6099,"")</f>
        <v/>
      </c>
      <c r="H6099" s="84"/>
      <c r="I6099" s="72"/>
      <c r="J6099" s="37">
        <v>0</v>
      </c>
    </row>
    <row r="6100" spans="1:10" ht="15.75" hidden="1" thickBot="1" x14ac:dyDescent="0.3">
      <c r="A6100" s="173" t="s">
        <v>1445</v>
      </c>
      <c r="B6100" s="176" t="s">
        <v>5836</v>
      </c>
      <c r="C6100" s="31"/>
      <c r="D6100" s="32" t="s">
        <v>18</v>
      </c>
      <c r="E6100" s="33"/>
      <c r="F6100" s="60" t="s">
        <v>13</v>
      </c>
      <c r="G6100" s="34" t="str">
        <f>IF(ISNUMBER(F6100),E6100*F6100,"")</f>
        <v/>
      </c>
      <c r="H6100" s="35"/>
      <c r="I6100" s="36"/>
      <c r="J6100" s="37">
        <v>0</v>
      </c>
    </row>
    <row r="6101" spans="1:10" hidden="1" x14ac:dyDescent="0.25">
      <c r="A6101" s="179"/>
      <c r="B6101" s="177"/>
      <c r="C6101" s="39"/>
      <c r="D6101" s="39"/>
      <c r="E6101" s="40"/>
      <c r="F6101" s="70" t="s">
        <v>13</v>
      </c>
      <c r="G6101" s="70" t="str">
        <f>IF(ISNUMBER(F6101),E6101*F6101,"")</f>
        <v/>
      </c>
      <c r="H6101" s="71"/>
      <c r="I6101" s="72"/>
      <c r="J6101" s="37">
        <v>0</v>
      </c>
    </row>
    <row r="6102" spans="1:10" hidden="1" x14ac:dyDescent="0.25">
      <c r="A6102" s="179"/>
      <c r="B6102" s="177"/>
      <c r="C6102" s="43" t="s">
        <v>11278</v>
      </c>
      <c r="D6102" s="43" t="s">
        <v>83</v>
      </c>
      <c r="E6102" s="44">
        <v>1</v>
      </c>
      <c r="F6102" s="38">
        <v>1.8144999999999998</v>
      </c>
      <c r="G6102" s="70">
        <f>IF(ISNUMBER(F6102),E6102*F6102,"")</f>
        <v>1.8144999999999998</v>
      </c>
      <c r="H6102" s="46">
        <f>SUM(G6102:G6102)</f>
        <v>1.8144999999999998</v>
      </c>
      <c r="I6102" s="47"/>
      <c r="J6102" s="37">
        <v>0</v>
      </c>
    </row>
    <row r="6103" spans="1:10" ht="15.75" hidden="1" thickBot="1" x14ac:dyDescent="0.3">
      <c r="A6103" s="180"/>
      <c r="B6103" s="178"/>
      <c r="C6103" s="49"/>
      <c r="D6103" s="63"/>
      <c r="E6103" s="50"/>
      <c r="F6103" s="83" t="s">
        <v>13</v>
      </c>
      <c r="G6103" s="83" t="str">
        <f>IF(ISNUMBER(F6103),E6103*F6103,"")</f>
        <v/>
      </c>
      <c r="H6103" s="84"/>
      <c r="I6103" s="72"/>
      <c r="J6103" s="37">
        <v>0</v>
      </c>
    </row>
    <row r="6104" spans="1:10" ht="15.75" hidden="1" thickBot="1" x14ac:dyDescent="0.3">
      <c r="A6104" s="173" t="s">
        <v>1446</v>
      </c>
      <c r="B6104" s="176" t="s">
        <v>5837</v>
      </c>
      <c r="C6104" s="31"/>
      <c r="D6104" s="32" t="s">
        <v>18</v>
      </c>
      <c r="E6104" s="33"/>
      <c r="F6104" s="60" t="s">
        <v>13</v>
      </c>
      <c r="G6104" s="34" t="str">
        <f>IF(ISNUMBER(F6104),E6104*F6104,"")</f>
        <v/>
      </c>
      <c r="H6104" s="35"/>
      <c r="I6104" s="36"/>
      <c r="J6104" s="37">
        <v>0</v>
      </c>
    </row>
    <row r="6105" spans="1:10" hidden="1" x14ac:dyDescent="0.25">
      <c r="A6105" s="179"/>
      <c r="B6105" s="177"/>
      <c r="C6105" s="39"/>
      <c r="D6105" s="39"/>
      <c r="E6105" s="40"/>
      <c r="F6105" s="70" t="s">
        <v>13</v>
      </c>
      <c r="G6105" s="70" t="str">
        <f>IF(ISNUMBER(F6105),E6105*F6105,"")</f>
        <v/>
      </c>
      <c r="H6105" s="71"/>
      <c r="I6105" s="72"/>
      <c r="J6105" s="37">
        <v>0</v>
      </c>
    </row>
    <row r="6106" spans="1:10" ht="25.5" hidden="1" x14ac:dyDescent="0.25">
      <c r="A6106" s="179"/>
      <c r="B6106" s="177"/>
      <c r="C6106" s="43" t="s">
        <v>11279</v>
      </c>
      <c r="D6106" s="43" t="s">
        <v>83</v>
      </c>
      <c r="E6106" s="44">
        <v>1</v>
      </c>
      <c r="F6106" s="38">
        <v>3.8854999999999995</v>
      </c>
      <c r="G6106" s="70">
        <f>IF(ISNUMBER(F6106),E6106*F6106,"")</f>
        <v>3.8854999999999995</v>
      </c>
      <c r="H6106" s="46">
        <f>SUM(G6106:G6106)</f>
        <v>3.8854999999999995</v>
      </c>
      <c r="I6106" s="47"/>
      <c r="J6106" s="37">
        <v>0</v>
      </c>
    </row>
    <row r="6107" spans="1:10" ht="15.75" hidden="1" thickBot="1" x14ac:dyDescent="0.3">
      <c r="A6107" s="180"/>
      <c r="B6107" s="178"/>
      <c r="C6107" s="49"/>
      <c r="D6107" s="63"/>
      <c r="E6107" s="50"/>
      <c r="F6107" s="83" t="s">
        <v>13</v>
      </c>
      <c r="G6107" s="83" t="str">
        <f>IF(ISNUMBER(F6107),E6107*F6107,"")</f>
        <v/>
      </c>
      <c r="H6107" s="84"/>
      <c r="I6107" s="72"/>
      <c r="J6107" s="37">
        <v>0</v>
      </c>
    </row>
    <row r="6108" spans="1:10" ht="15.75" hidden="1" thickBot="1" x14ac:dyDescent="0.3">
      <c r="A6108" s="173" t="s">
        <v>1447</v>
      </c>
      <c r="B6108" s="176" t="s">
        <v>5838</v>
      </c>
      <c r="C6108" s="31"/>
      <c r="D6108" s="32" t="s">
        <v>106</v>
      </c>
      <c r="E6108" s="33"/>
      <c r="F6108" s="60" t="s">
        <v>13</v>
      </c>
      <c r="G6108" s="34" t="str">
        <f>IF(ISNUMBER(F6108),E6108*F6108,"")</f>
        <v/>
      </c>
      <c r="H6108" s="35"/>
      <c r="I6108" s="36"/>
      <c r="J6108" s="37">
        <v>0</v>
      </c>
    </row>
    <row r="6109" spans="1:10" hidden="1" x14ac:dyDescent="0.25">
      <c r="A6109" s="179"/>
      <c r="B6109" s="177"/>
      <c r="C6109" s="39"/>
      <c r="D6109" s="39"/>
      <c r="E6109" s="40"/>
      <c r="F6109" s="70" t="s">
        <v>13</v>
      </c>
      <c r="G6109" s="70" t="str">
        <f>IF(ISNUMBER(F6109),E6109*F6109,"")</f>
        <v/>
      </c>
      <c r="H6109" s="71"/>
      <c r="I6109" s="72"/>
      <c r="J6109" s="37">
        <v>0</v>
      </c>
    </row>
    <row r="6110" spans="1:10" hidden="1" x14ac:dyDescent="0.25">
      <c r="A6110" s="179"/>
      <c r="B6110" s="177"/>
      <c r="C6110" s="43" t="s">
        <v>11280</v>
      </c>
      <c r="D6110" s="43" t="s">
        <v>1302</v>
      </c>
      <c r="E6110" s="44">
        <v>1</v>
      </c>
      <c r="F6110" s="38">
        <v>13.166999999999998</v>
      </c>
      <c r="G6110" s="70">
        <f>IF(ISNUMBER(F6110),E6110*F6110,"")</f>
        <v>13.166999999999998</v>
      </c>
      <c r="H6110" s="46">
        <f>SUM(G6110:G6110)</f>
        <v>13.166999999999998</v>
      </c>
      <c r="I6110" s="47"/>
      <c r="J6110" s="37">
        <v>0</v>
      </c>
    </row>
    <row r="6111" spans="1:10" ht="15.75" hidden="1" thickBot="1" x14ac:dyDescent="0.3">
      <c r="A6111" s="180"/>
      <c r="B6111" s="178"/>
      <c r="C6111" s="49"/>
      <c r="D6111" s="63"/>
      <c r="E6111" s="50"/>
      <c r="F6111" s="83" t="s">
        <v>13</v>
      </c>
      <c r="G6111" s="83" t="str">
        <f>IF(ISNUMBER(F6111),E6111*F6111,"")</f>
        <v/>
      </c>
      <c r="H6111" s="84"/>
      <c r="I6111" s="72"/>
      <c r="J6111" s="37">
        <v>0</v>
      </c>
    </row>
    <row r="6112" spans="1:10" ht="15.75" hidden="1" thickBot="1" x14ac:dyDescent="0.3">
      <c r="A6112" s="173" t="s">
        <v>1448</v>
      </c>
      <c r="B6112" s="176" t="s">
        <v>5839</v>
      </c>
      <c r="C6112" s="31"/>
      <c r="D6112" s="32" t="s">
        <v>18</v>
      </c>
      <c r="E6112" s="33"/>
      <c r="F6112" s="60" t="s">
        <v>13</v>
      </c>
      <c r="G6112" s="34" t="str">
        <f>IF(ISNUMBER(F6112),E6112*F6112,"")</f>
        <v/>
      </c>
      <c r="H6112" s="35"/>
      <c r="I6112" s="36"/>
      <c r="J6112" s="37">
        <v>0</v>
      </c>
    </row>
    <row r="6113" spans="1:10" hidden="1" x14ac:dyDescent="0.25">
      <c r="A6113" s="179"/>
      <c r="B6113" s="177"/>
      <c r="C6113" s="39"/>
      <c r="D6113" s="39"/>
      <c r="E6113" s="40"/>
      <c r="F6113" s="70" t="s">
        <v>13</v>
      </c>
      <c r="G6113" s="70" t="str">
        <f>IF(ISNUMBER(F6113),E6113*F6113,"")</f>
        <v/>
      </c>
      <c r="H6113" s="71"/>
      <c r="I6113" s="72"/>
      <c r="J6113" s="37">
        <v>0</v>
      </c>
    </row>
    <row r="6114" spans="1:10" hidden="1" x14ac:dyDescent="0.25">
      <c r="A6114" s="179"/>
      <c r="B6114" s="177"/>
      <c r="C6114" s="43" t="s">
        <v>11281</v>
      </c>
      <c r="D6114" s="43" t="s">
        <v>83</v>
      </c>
      <c r="E6114" s="44">
        <v>1</v>
      </c>
      <c r="F6114" s="38">
        <v>2.8214999999999999</v>
      </c>
      <c r="G6114" s="70">
        <f>IF(ISNUMBER(F6114),E6114*F6114,"")</f>
        <v>2.8214999999999999</v>
      </c>
      <c r="H6114" s="46">
        <f>SUM(G6114:G6114)</f>
        <v>2.8214999999999999</v>
      </c>
      <c r="I6114" s="47"/>
      <c r="J6114" s="37">
        <v>0</v>
      </c>
    </row>
    <row r="6115" spans="1:10" ht="15.75" hidden="1" thickBot="1" x14ac:dyDescent="0.3">
      <c r="A6115" s="180"/>
      <c r="B6115" s="178"/>
      <c r="C6115" s="49"/>
      <c r="D6115" s="63"/>
      <c r="E6115" s="50"/>
      <c r="F6115" s="83" t="s">
        <v>13</v>
      </c>
      <c r="G6115" s="83" t="str">
        <f>IF(ISNUMBER(F6115),E6115*F6115,"")</f>
        <v/>
      </c>
      <c r="H6115" s="84"/>
      <c r="I6115" s="72"/>
      <c r="J6115" s="37">
        <v>0</v>
      </c>
    </row>
    <row r="6116" spans="1:10" ht="15.75" hidden="1" thickBot="1" x14ac:dyDescent="0.3">
      <c r="A6116" s="173" t="s">
        <v>1449</v>
      </c>
      <c r="B6116" s="176" t="s">
        <v>5840</v>
      </c>
      <c r="C6116" s="31"/>
      <c r="D6116" s="32" t="s">
        <v>18</v>
      </c>
      <c r="E6116" s="33"/>
      <c r="F6116" s="60" t="s">
        <v>13</v>
      </c>
      <c r="G6116" s="34" t="str">
        <f>IF(ISNUMBER(F6116),E6116*F6116,"")</f>
        <v/>
      </c>
      <c r="H6116" s="35"/>
      <c r="I6116" s="36"/>
      <c r="J6116" s="37">
        <v>0</v>
      </c>
    </row>
    <row r="6117" spans="1:10" hidden="1" x14ac:dyDescent="0.25">
      <c r="A6117" s="179"/>
      <c r="B6117" s="177"/>
      <c r="C6117" s="39"/>
      <c r="D6117" s="39"/>
      <c r="E6117" s="40"/>
      <c r="F6117" s="70" t="s">
        <v>13</v>
      </c>
      <c r="G6117" s="70" t="str">
        <f>IF(ISNUMBER(F6117),E6117*F6117,"")</f>
        <v/>
      </c>
      <c r="H6117" s="71"/>
      <c r="I6117" s="72"/>
      <c r="J6117" s="37">
        <v>0</v>
      </c>
    </row>
    <row r="6118" spans="1:10" ht="25.5" hidden="1" x14ac:dyDescent="0.25">
      <c r="A6118" s="179"/>
      <c r="B6118" s="177"/>
      <c r="C6118" s="43" t="s">
        <v>11282</v>
      </c>
      <c r="D6118" s="43" t="s">
        <v>83</v>
      </c>
      <c r="E6118" s="44">
        <v>1</v>
      </c>
      <c r="F6118" s="38">
        <v>5.13</v>
      </c>
      <c r="G6118" s="70">
        <f>IF(ISNUMBER(F6118),E6118*F6118,"")</f>
        <v>5.13</v>
      </c>
      <c r="H6118" s="46">
        <f>SUM(G6118:G6118)</f>
        <v>5.13</v>
      </c>
      <c r="I6118" s="47"/>
      <c r="J6118" s="37">
        <v>0</v>
      </c>
    </row>
    <row r="6119" spans="1:10" ht="15.75" hidden="1" thickBot="1" x14ac:dyDescent="0.3">
      <c r="A6119" s="180"/>
      <c r="B6119" s="178"/>
      <c r="C6119" s="49"/>
      <c r="D6119" s="63"/>
      <c r="E6119" s="50"/>
      <c r="F6119" s="83" t="s">
        <v>13</v>
      </c>
      <c r="G6119" s="83" t="str">
        <f>IF(ISNUMBER(F6119),E6119*F6119,"")</f>
        <v/>
      </c>
      <c r="H6119" s="84"/>
      <c r="I6119" s="72"/>
      <c r="J6119" s="37">
        <v>0</v>
      </c>
    </row>
    <row r="6120" spans="1:10" ht="15.75" hidden="1" thickBot="1" x14ac:dyDescent="0.3">
      <c r="A6120" s="173" t="s">
        <v>1450</v>
      </c>
      <c r="B6120" s="176" t="s">
        <v>5841</v>
      </c>
      <c r="C6120" s="31"/>
      <c r="D6120" s="32" t="s">
        <v>106</v>
      </c>
      <c r="E6120" s="33"/>
      <c r="F6120" s="60" t="s">
        <v>13</v>
      </c>
      <c r="G6120" s="34" t="str">
        <f>IF(ISNUMBER(F6120),E6120*F6120,"")</f>
        <v/>
      </c>
      <c r="H6120" s="35"/>
      <c r="I6120" s="36"/>
      <c r="J6120" s="37">
        <v>0</v>
      </c>
    </row>
    <row r="6121" spans="1:10" hidden="1" x14ac:dyDescent="0.25">
      <c r="A6121" s="179"/>
      <c r="B6121" s="177"/>
      <c r="C6121" s="39"/>
      <c r="D6121" s="39"/>
      <c r="E6121" s="40"/>
      <c r="F6121" s="70" t="s">
        <v>13</v>
      </c>
      <c r="G6121" s="70" t="str">
        <f>IF(ISNUMBER(F6121),E6121*F6121,"")</f>
        <v/>
      </c>
      <c r="H6121" s="71"/>
      <c r="I6121" s="72"/>
      <c r="J6121" s="37">
        <v>0</v>
      </c>
    </row>
    <row r="6122" spans="1:10" hidden="1" x14ac:dyDescent="0.25">
      <c r="A6122" s="179"/>
      <c r="B6122" s="177"/>
      <c r="C6122" s="43" t="s">
        <v>11283</v>
      </c>
      <c r="D6122" s="43" t="s">
        <v>1302</v>
      </c>
      <c r="E6122" s="44">
        <v>1</v>
      </c>
      <c r="F6122" s="38">
        <v>14.468500000000001</v>
      </c>
      <c r="G6122" s="70">
        <f>IF(ISNUMBER(F6122),E6122*F6122,"")</f>
        <v>14.468500000000001</v>
      </c>
      <c r="H6122" s="46">
        <f>SUM(G6122:G6122)</f>
        <v>14.468500000000001</v>
      </c>
      <c r="I6122" s="47"/>
      <c r="J6122" s="37">
        <v>0</v>
      </c>
    </row>
    <row r="6123" spans="1:10" ht="15.75" hidden="1" thickBot="1" x14ac:dyDescent="0.3">
      <c r="A6123" s="180"/>
      <c r="B6123" s="178"/>
      <c r="C6123" s="49"/>
      <c r="D6123" s="63"/>
      <c r="E6123" s="50"/>
      <c r="F6123" s="83" t="s">
        <v>13</v>
      </c>
      <c r="G6123" s="83" t="str">
        <f>IF(ISNUMBER(F6123),E6123*F6123,"")</f>
        <v/>
      </c>
      <c r="H6123" s="84"/>
      <c r="I6123" s="72"/>
      <c r="J6123" s="37">
        <v>0</v>
      </c>
    </row>
    <row r="6124" spans="1:10" ht="15.75" hidden="1" thickBot="1" x14ac:dyDescent="0.3">
      <c r="A6124" s="173" t="s">
        <v>1451</v>
      </c>
      <c r="B6124" s="176" t="s">
        <v>5842</v>
      </c>
      <c r="C6124" s="31"/>
      <c r="D6124" s="32" t="s">
        <v>18</v>
      </c>
      <c r="E6124" s="33"/>
      <c r="F6124" s="60" t="s">
        <v>13</v>
      </c>
      <c r="G6124" s="34" t="str">
        <f>IF(ISNUMBER(F6124),E6124*F6124,"")</f>
        <v/>
      </c>
      <c r="H6124" s="35"/>
      <c r="I6124" s="36"/>
      <c r="J6124" s="37">
        <v>0</v>
      </c>
    </row>
    <row r="6125" spans="1:10" hidden="1" x14ac:dyDescent="0.25">
      <c r="A6125" s="179"/>
      <c r="B6125" s="177"/>
      <c r="C6125" s="39"/>
      <c r="D6125" s="39"/>
      <c r="E6125" s="40"/>
      <c r="F6125" s="70" t="s">
        <v>13</v>
      </c>
      <c r="G6125" s="70" t="str">
        <f>IF(ISNUMBER(F6125),E6125*F6125,"")</f>
        <v/>
      </c>
      <c r="H6125" s="71"/>
      <c r="I6125" s="72"/>
      <c r="J6125" s="37">
        <v>0</v>
      </c>
    </row>
    <row r="6126" spans="1:10" hidden="1" x14ac:dyDescent="0.25">
      <c r="A6126" s="179"/>
      <c r="B6126" s="177"/>
      <c r="C6126" s="43" t="s">
        <v>11284</v>
      </c>
      <c r="D6126" s="43" t="s">
        <v>83</v>
      </c>
      <c r="E6126" s="44">
        <v>1</v>
      </c>
      <c r="F6126" s="38">
        <v>3.8759999999999999</v>
      </c>
      <c r="G6126" s="70">
        <f>IF(ISNUMBER(F6126),E6126*F6126,"")</f>
        <v>3.8759999999999999</v>
      </c>
      <c r="H6126" s="46">
        <f>SUM(G6126:G6126)</f>
        <v>3.8759999999999999</v>
      </c>
      <c r="I6126" s="47"/>
      <c r="J6126" s="37">
        <v>0</v>
      </c>
    </row>
    <row r="6127" spans="1:10" ht="15.75" hidden="1" thickBot="1" x14ac:dyDescent="0.3">
      <c r="A6127" s="180"/>
      <c r="B6127" s="178"/>
      <c r="C6127" s="49"/>
      <c r="D6127" s="63"/>
      <c r="E6127" s="50"/>
      <c r="F6127" s="83" t="s">
        <v>13</v>
      </c>
      <c r="G6127" s="83" t="str">
        <f>IF(ISNUMBER(F6127),E6127*F6127,"")</f>
        <v/>
      </c>
      <c r="H6127" s="84"/>
      <c r="I6127" s="72"/>
      <c r="J6127" s="37">
        <v>0</v>
      </c>
    </row>
    <row r="6128" spans="1:10" ht="15.75" hidden="1" thickBot="1" x14ac:dyDescent="0.3">
      <c r="A6128" s="173" t="s">
        <v>1452</v>
      </c>
      <c r="B6128" s="176" t="s">
        <v>5843</v>
      </c>
      <c r="C6128" s="31"/>
      <c r="D6128" s="32" t="s">
        <v>18</v>
      </c>
      <c r="E6128" s="33"/>
      <c r="F6128" s="60" t="s">
        <v>13</v>
      </c>
      <c r="G6128" s="34" t="str">
        <f>IF(ISNUMBER(F6128),E6128*F6128,"")</f>
        <v/>
      </c>
      <c r="H6128" s="35"/>
      <c r="I6128" s="36"/>
      <c r="J6128" s="37">
        <v>0</v>
      </c>
    </row>
    <row r="6129" spans="1:10" hidden="1" x14ac:dyDescent="0.25">
      <c r="A6129" s="179"/>
      <c r="B6129" s="177"/>
      <c r="C6129" s="39"/>
      <c r="D6129" s="39"/>
      <c r="E6129" s="40"/>
      <c r="F6129" s="70" t="s">
        <v>13</v>
      </c>
      <c r="G6129" s="70" t="str">
        <f>IF(ISNUMBER(F6129),E6129*F6129,"")</f>
        <v/>
      </c>
      <c r="H6129" s="71"/>
      <c r="I6129" s="72"/>
      <c r="J6129" s="37">
        <v>0</v>
      </c>
    </row>
    <row r="6130" spans="1:10" ht="25.5" hidden="1" x14ac:dyDescent="0.25">
      <c r="A6130" s="179"/>
      <c r="B6130" s="177"/>
      <c r="C6130" s="43" t="s">
        <v>11285</v>
      </c>
      <c r="D6130" s="43" t="s">
        <v>83</v>
      </c>
      <c r="E6130" s="44">
        <v>1</v>
      </c>
      <c r="F6130" s="38">
        <v>6.2130000000000001</v>
      </c>
      <c r="G6130" s="70">
        <f>IF(ISNUMBER(F6130),E6130*F6130,"")</f>
        <v>6.2130000000000001</v>
      </c>
      <c r="H6130" s="46">
        <f>SUM(G6130:G6130)</f>
        <v>6.2130000000000001</v>
      </c>
      <c r="I6130" s="47"/>
      <c r="J6130" s="37">
        <v>0</v>
      </c>
    </row>
    <row r="6131" spans="1:10" ht="15.75" hidden="1" thickBot="1" x14ac:dyDescent="0.3">
      <c r="A6131" s="180"/>
      <c r="B6131" s="178"/>
      <c r="C6131" s="49"/>
      <c r="D6131" s="63"/>
      <c r="E6131" s="50"/>
      <c r="F6131" s="83" t="s">
        <v>13</v>
      </c>
      <c r="G6131" s="83" t="str">
        <f>IF(ISNUMBER(F6131),E6131*F6131,"")</f>
        <v/>
      </c>
      <c r="H6131" s="84"/>
      <c r="I6131" s="72"/>
      <c r="J6131" s="37">
        <v>0</v>
      </c>
    </row>
    <row r="6132" spans="1:10" ht="15.75" hidden="1" thickBot="1" x14ac:dyDescent="0.3">
      <c r="A6132" s="173" t="s">
        <v>1453</v>
      </c>
      <c r="B6132" s="176" t="s">
        <v>5844</v>
      </c>
      <c r="C6132" s="31"/>
      <c r="D6132" s="32" t="s">
        <v>106</v>
      </c>
      <c r="E6132" s="33"/>
      <c r="F6132" s="60" t="s">
        <v>13</v>
      </c>
      <c r="G6132" s="34" t="str">
        <f>IF(ISNUMBER(F6132),E6132*F6132,"")</f>
        <v/>
      </c>
      <c r="H6132" s="35"/>
      <c r="I6132" s="36"/>
      <c r="J6132" s="37">
        <v>0</v>
      </c>
    </row>
    <row r="6133" spans="1:10" hidden="1" x14ac:dyDescent="0.25">
      <c r="A6133" s="179"/>
      <c r="B6133" s="177"/>
      <c r="C6133" s="39"/>
      <c r="D6133" s="39"/>
      <c r="E6133" s="40"/>
      <c r="F6133" s="70" t="s">
        <v>13</v>
      </c>
      <c r="G6133" s="70" t="str">
        <f>IF(ISNUMBER(F6133),E6133*F6133,"")</f>
        <v/>
      </c>
      <c r="H6133" s="71"/>
      <c r="I6133" s="72"/>
      <c r="J6133" s="37">
        <v>0</v>
      </c>
    </row>
    <row r="6134" spans="1:10" hidden="1" x14ac:dyDescent="0.25">
      <c r="A6134" s="179"/>
      <c r="B6134" s="177"/>
      <c r="C6134" s="43" t="s">
        <v>11286</v>
      </c>
      <c r="D6134" s="43" t="s">
        <v>1302</v>
      </c>
      <c r="E6134" s="44">
        <v>1</v>
      </c>
      <c r="F6134" s="38">
        <v>23.654999999999998</v>
      </c>
      <c r="G6134" s="70">
        <f>IF(ISNUMBER(F6134),E6134*F6134,"")</f>
        <v>23.654999999999998</v>
      </c>
      <c r="H6134" s="46">
        <f>SUM(G6134:G6134)</f>
        <v>23.654999999999998</v>
      </c>
      <c r="I6134" s="47"/>
      <c r="J6134" s="37">
        <v>0</v>
      </c>
    </row>
    <row r="6135" spans="1:10" ht="15.75" hidden="1" thickBot="1" x14ac:dyDescent="0.3">
      <c r="A6135" s="180"/>
      <c r="B6135" s="178"/>
      <c r="C6135" s="49"/>
      <c r="D6135" s="63"/>
      <c r="E6135" s="50"/>
      <c r="F6135" s="83" t="s">
        <v>13</v>
      </c>
      <c r="G6135" s="83" t="str">
        <f>IF(ISNUMBER(F6135),E6135*F6135,"")</f>
        <v/>
      </c>
      <c r="H6135" s="84"/>
      <c r="I6135" s="72"/>
      <c r="J6135" s="37">
        <v>0</v>
      </c>
    </row>
    <row r="6136" spans="1:10" ht="15.75" hidden="1" thickBot="1" x14ac:dyDescent="0.3">
      <c r="A6136" s="173" t="s">
        <v>1454</v>
      </c>
      <c r="B6136" s="176" t="s">
        <v>5845</v>
      </c>
      <c r="C6136" s="31"/>
      <c r="D6136" s="32" t="s">
        <v>18</v>
      </c>
      <c r="E6136" s="33"/>
      <c r="F6136" s="60" t="s">
        <v>13</v>
      </c>
      <c r="G6136" s="34" t="str">
        <f>IF(ISNUMBER(F6136),E6136*F6136,"")</f>
        <v/>
      </c>
      <c r="H6136" s="35"/>
      <c r="I6136" s="36"/>
      <c r="J6136" s="37">
        <v>0</v>
      </c>
    </row>
    <row r="6137" spans="1:10" hidden="1" x14ac:dyDescent="0.25">
      <c r="A6137" s="179"/>
      <c r="B6137" s="177"/>
      <c r="C6137" s="39"/>
      <c r="D6137" s="39"/>
      <c r="E6137" s="40"/>
      <c r="F6137" s="70" t="s">
        <v>13</v>
      </c>
      <c r="G6137" s="70" t="str">
        <f>IF(ISNUMBER(F6137),E6137*F6137,"")</f>
        <v/>
      </c>
      <c r="H6137" s="71"/>
      <c r="I6137" s="72"/>
      <c r="J6137" s="37">
        <v>0</v>
      </c>
    </row>
    <row r="6138" spans="1:10" hidden="1" x14ac:dyDescent="0.25">
      <c r="A6138" s="179"/>
      <c r="B6138" s="177"/>
      <c r="C6138" s="43" t="s">
        <v>11287</v>
      </c>
      <c r="D6138" s="43" t="s">
        <v>83</v>
      </c>
      <c r="E6138" s="44">
        <v>1</v>
      </c>
      <c r="F6138" s="38">
        <v>5.6144999999999996</v>
      </c>
      <c r="G6138" s="70">
        <f>IF(ISNUMBER(F6138),E6138*F6138,"")</f>
        <v>5.6144999999999996</v>
      </c>
      <c r="H6138" s="46">
        <f>SUM(G6138:G6138)</f>
        <v>5.6144999999999996</v>
      </c>
      <c r="I6138" s="47"/>
      <c r="J6138" s="37">
        <v>0</v>
      </c>
    </row>
    <row r="6139" spans="1:10" ht="15.75" hidden="1" thickBot="1" x14ac:dyDescent="0.3">
      <c r="A6139" s="180"/>
      <c r="B6139" s="178"/>
      <c r="C6139" s="49"/>
      <c r="D6139" s="63"/>
      <c r="E6139" s="50"/>
      <c r="F6139" s="83" t="s">
        <v>13</v>
      </c>
      <c r="G6139" s="83" t="str">
        <f>IF(ISNUMBER(F6139),E6139*F6139,"")</f>
        <v/>
      </c>
      <c r="H6139" s="84"/>
      <c r="I6139" s="72"/>
      <c r="J6139" s="37">
        <v>0</v>
      </c>
    </row>
    <row r="6140" spans="1:10" ht="15.75" hidden="1" thickBot="1" x14ac:dyDescent="0.3">
      <c r="A6140" s="173" t="s">
        <v>1455</v>
      </c>
      <c r="B6140" s="176" t="s">
        <v>5846</v>
      </c>
      <c r="C6140" s="31"/>
      <c r="D6140" s="32" t="s">
        <v>18</v>
      </c>
      <c r="E6140" s="33"/>
      <c r="F6140" s="60" t="s">
        <v>13</v>
      </c>
      <c r="G6140" s="34" t="str">
        <f>IF(ISNUMBER(F6140),E6140*F6140,"")</f>
        <v/>
      </c>
      <c r="H6140" s="35"/>
      <c r="I6140" s="36"/>
      <c r="J6140" s="37">
        <v>0</v>
      </c>
    </row>
    <row r="6141" spans="1:10" hidden="1" x14ac:dyDescent="0.25">
      <c r="A6141" s="179"/>
      <c r="B6141" s="177"/>
      <c r="C6141" s="39"/>
      <c r="D6141" s="39"/>
      <c r="E6141" s="40"/>
      <c r="F6141" s="70" t="s">
        <v>13</v>
      </c>
      <c r="G6141" s="70" t="str">
        <f>IF(ISNUMBER(F6141),E6141*F6141,"")</f>
        <v/>
      </c>
      <c r="H6141" s="71"/>
      <c r="I6141" s="72"/>
      <c r="J6141" s="37">
        <v>0</v>
      </c>
    </row>
    <row r="6142" spans="1:10" ht="25.5" hidden="1" x14ac:dyDescent="0.25">
      <c r="A6142" s="179"/>
      <c r="B6142" s="177"/>
      <c r="C6142" s="43" t="s">
        <v>11288</v>
      </c>
      <c r="D6142" s="43" t="s">
        <v>83</v>
      </c>
      <c r="E6142" s="44">
        <v>1</v>
      </c>
      <c r="F6142" s="38">
        <v>10.0985</v>
      </c>
      <c r="G6142" s="70">
        <f>IF(ISNUMBER(F6142),E6142*F6142,"")</f>
        <v>10.0985</v>
      </c>
      <c r="H6142" s="46">
        <f>SUM(G6142:G6142)</f>
        <v>10.0985</v>
      </c>
      <c r="I6142" s="47"/>
      <c r="J6142" s="37">
        <v>0</v>
      </c>
    </row>
    <row r="6143" spans="1:10" ht="15.75" hidden="1" thickBot="1" x14ac:dyDescent="0.3">
      <c r="A6143" s="180"/>
      <c r="B6143" s="178"/>
      <c r="C6143" s="49"/>
      <c r="D6143" s="63"/>
      <c r="E6143" s="50"/>
      <c r="F6143" s="83" t="s">
        <v>13</v>
      </c>
      <c r="G6143" s="83" t="str">
        <f>IF(ISNUMBER(F6143),E6143*F6143,"")</f>
        <v/>
      </c>
      <c r="H6143" s="84"/>
      <c r="I6143" s="72"/>
      <c r="J6143" s="37">
        <v>0</v>
      </c>
    </row>
    <row r="6144" spans="1:10" ht="15.75" hidden="1" thickBot="1" x14ac:dyDescent="0.3">
      <c r="A6144" s="173" t="s">
        <v>1456</v>
      </c>
      <c r="B6144" s="176" t="s">
        <v>5847</v>
      </c>
      <c r="C6144" s="31"/>
      <c r="D6144" s="32" t="s">
        <v>106</v>
      </c>
      <c r="E6144" s="33"/>
      <c r="F6144" s="60" t="s">
        <v>13</v>
      </c>
      <c r="G6144" s="34" t="str">
        <f>IF(ISNUMBER(F6144),E6144*F6144,"")</f>
        <v/>
      </c>
      <c r="H6144" s="35"/>
      <c r="I6144" s="36"/>
      <c r="J6144" s="37">
        <v>0</v>
      </c>
    </row>
    <row r="6145" spans="1:10" hidden="1" x14ac:dyDescent="0.25">
      <c r="A6145" s="179"/>
      <c r="B6145" s="177"/>
      <c r="C6145" s="39"/>
      <c r="D6145" s="39"/>
      <c r="E6145" s="40"/>
      <c r="F6145" s="70" t="s">
        <v>13</v>
      </c>
      <c r="G6145" s="70" t="str">
        <f>IF(ISNUMBER(F6145),E6145*F6145,"")</f>
        <v/>
      </c>
      <c r="H6145" s="71"/>
      <c r="I6145" s="72"/>
      <c r="J6145" s="37">
        <v>0</v>
      </c>
    </row>
    <row r="6146" spans="1:10" hidden="1" x14ac:dyDescent="0.25">
      <c r="A6146" s="179"/>
      <c r="B6146" s="177"/>
      <c r="C6146" s="43" t="s">
        <v>11289</v>
      </c>
      <c r="D6146" s="43" t="s">
        <v>1302</v>
      </c>
      <c r="E6146" s="44">
        <v>1</v>
      </c>
      <c r="F6146" s="38">
        <v>43.272499999999994</v>
      </c>
      <c r="G6146" s="70">
        <f>IF(ISNUMBER(F6146),E6146*F6146,"")</f>
        <v>43.272499999999994</v>
      </c>
      <c r="H6146" s="46">
        <f>SUM(G6146:G6146)</f>
        <v>43.272499999999994</v>
      </c>
      <c r="I6146" s="47"/>
      <c r="J6146" s="37">
        <v>0</v>
      </c>
    </row>
    <row r="6147" spans="1:10" ht="15.75" hidden="1" thickBot="1" x14ac:dyDescent="0.3">
      <c r="A6147" s="180"/>
      <c r="B6147" s="178"/>
      <c r="C6147" s="49"/>
      <c r="D6147" s="63"/>
      <c r="E6147" s="50"/>
      <c r="F6147" s="83" t="s">
        <v>13</v>
      </c>
      <c r="G6147" s="83" t="str">
        <f>IF(ISNUMBER(F6147),E6147*F6147,"")</f>
        <v/>
      </c>
      <c r="H6147" s="84"/>
      <c r="I6147" s="72"/>
      <c r="J6147" s="37">
        <v>0</v>
      </c>
    </row>
    <row r="6148" spans="1:10" ht="15.75" hidden="1" thickBot="1" x14ac:dyDescent="0.3">
      <c r="A6148" s="173" t="s">
        <v>1457</v>
      </c>
      <c r="B6148" s="176" t="s">
        <v>5848</v>
      </c>
      <c r="C6148" s="31"/>
      <c r="D6148" s="32" t="s">
        <v>18</v>
      </c>
      <c r="E6148" s="33"/>
      <c r="F6148" s="60" t="s">
        <v>13</v>
      </c>
      <c r="G6148" s="34" t="str">
        <f>IF(ISNUMBER(F6148),E6148*F6148,"")</f>
        <v/>
      </c>
      <c r="H6148" s="35"/>
      <c r="I6148" s="36"/>
      <c r="J6148" s="37">
        <v>0</v>
      </c>
    </row>
    <row r="6149" spans="1:10" hidden="1" x14ac:dyDescent="0.25">
      <c r="A6149" s="179"/>
      <c r="B6149" s="177"/>
      <c r="C6149" s="39"/>
      <c r="D6149" s="39"/>
      <c r="E6149" s="40"/>
      <c r="F6149" s="70" t="s">
        <v>13</v>
      </c>
      <c r="G6149" s="70" t="str">
        <f>IF(ISNUMBER(F6149),E6149*F6149,"")</f>
        <v/>
      </c>
      <c r="H6149" s="71"/>
      <c r="I6149" s="72"/>
      <c r="J6149" s="37">
        <v>0</v>
      </c>
    </row>
    <row r="6150" spans="1:10" hidden="1" x14ac:dyDescent="0.25">
      <c r="A6150" s="179"/>
      <c r="B6150" s="177"/>
      <c r="C6150" s="43" t="s">
        <v>11290</v>
      </c>
      <c r="D6150" s="43" t="s">
        <v>83</v>
      </c>
      <c r="E6150" s="44">
        <v>1</v>
      </c>
      <c r="F6150" s="38">
        <v>16.767499999999998</v>
      </c>
      <c r="G6150" s="70">
        <f>IF(ISNUMBER(F6150),E6150*F6150,"")</f>
        <v>16.767499999999998</v>
      </c>
      <c r="H6150" s="46">
        <f>SUM(G6150:G6150)</f>
        <v>16.767499999999998</v>
      </c>
      <c r="I6150" s="47"/>
      <c r="J6150" s="37">
        <v>0</v>
      </c>
    </row>
    <row r="6151" spans="1:10" ht="15.75" hidden="1" thickBot="1" x14ac:dyDescent="0.3">
      <c r="A6151" s="180"/>
      <c r="B6151" s="178"/>
      <c r="C6151" s="49"/>
      <c r="D6151" s="63"/>
      <c r="E6151" s="50"/>
      <c r="F6151" s="83" t="s">
        <v>13</v>
      </c>
      <c r="G6151" s="83" t="str">
        <f>IF(ISNUMBER(F6151),E6151*F6151,"")</f>
        <v/>
      </c>
      <c r="H6151" s="84"/>
      <c r="I6151" s="72"/>
      <c r="J6151" s="37">
        <v>0</v>
      </c>
    </row>
    <row r="6152" spans="1:10" ht="15.75" hidden="1" thickBot="1" x14ac:dyDescent="0.3">
      <c r="A6152" s="173" t="s">
        <v>1458</v>
      </c>
      <c r="B6152" s="176" t="s">
        <v>5849</v>
      </c>
      <c r="C6152" s="31"/>
      <c r="D6152" s="32" t="s">
        <v>18</v>
      </c>
      <c r="E6152" s="33"/>
      <c r="F6152" s="60" t="s">
        <v>13</v>
      </c>
      <c r="G6152" s="34" t="str">
        <f>IF(ISNUMBER(F6152),E6152*F6152,"")</f>
        <v/>
      </c>
      <c r="H6152" s="35"/>
      <c r="I6152" s="36"/>
      <c r="J6152" s="37">
        <v>0</v>
      </c>
    </row>
    <row r="6153" spans="1:10" hidden="1" x14ac:dyDescent="0.25">
      <c r="A6153" s="179"/>
      <c r="B6153" s="177"/>
      <c r="C6153" s="39"/>
      <c r="D6153" s="39"/>
      <c r="E6153" s="40"/>
      <c r="F6153" s="70" t="s">
        <v>13</v>
      </c>
      <c r="G6153" s="70" t="str">
        <f>IF(ISNUMBER(F6153),E6153*F6153,"")</f>
        <v/>
      </c>
      <c r="H6153" s="71"/>
      <c r="I6153" s="72"/>
      <c r="J6153" s="37">
        <v>0</v>
      </c>
    </row>
    <row r="6154" spans="1:10" ht="25.5" hidden="1" x14ac:dyDescent="0.25">
      <c r="A6154" s="179"/>
      <c r="B6154" s="177"/>
      <c r="C6154" s="43" t="s">
        <v>11291</v>
      </c>
      <c r="D6154" s="43" t="s">
        <v>83</v>
      </c>
      <c r="E6154" s="44">
        <v>1</v>
      </c>
      <c r="F6154" s="38">
        <v>25.802</v>
      </c>
      <c r="G6154" s="70">
        <f>IF(ISNUMBER(F6154),E6154*F6154,"")</f>
        <v>25.802</v>
      </c>
      <c r="H6154" s="46">
        <f>SUM(G6154:G6154)</f>
        <v>25.802</v>
      </c>
      <c r="I6154" s="47"/>
      <c r="J6154" s="37">
        <v>0</v>
      </c>
    </row>
    <row r="6155" spans="1:10" ht="15.75" hidden="1" thickBot="1" x14ac:dyDescent="0.3">
      <c r="A6155" s="180"/>
      <c r="B6155" s="178"/>
      <c r="C6155" s="49"/>
      <c r="D6155" s="63"/>
      <c r="E6155" s="50"/>
      <c r="F6155" s="83" t="s">
        <v>13</v>
      </c>
      <c r="G6155" s="83" t="str">
        <f>IF(ISNUMBER(F6155),E6155*F6155,"")</f>
        <v/>
      </c>
      <c r="H6155" s="84"/>
      <c r="I6155" s="72"/>
      <c r="J6155" s="37">
        <v>0</v>
      </c>
    </row>
    <row r="6156" spans="1:10" ht="15.75" hidden="1" thickBot="1" x14ac:dyDescent="0.3">
      <c r="A6156" s="173" t="s">
        <v>1459</v>
      </c>
      <c r="B6156" s="176" t="s">
        <v>5874</v>
      </c>
      <c r="C6156" s="31"/>
      <c r="D6156" s="32" t="s">
        <v>18</v>
      </c>
      <c r="E6156" s="33"/>
      <c r="F6156" s="60" t="s">
        <v>13</v>
      </c>
      <c r="G6156" s="34" t="str">
        <f>IF(ISNUMBER(F6156),E6156*F6156,"")</f>
        <v/>
      </c>
      <c r="H6156" s="35"/>
      <c r="I6156" s="36"/>
      <c r="J6156" s="37">
        <v>0</v>
      </c>
    </row>
    <row r="6157" spans="1:10" hidden="1" x14ac:dyDescent="0.25">
      <c r="A6157" s="179"/>
      <c r="B6157" s="177"/>
      <c r="C6157" s="39"/>
      <c r="D6157" s="39"/>
      <c r="E6157" s="40"/>
      <c r="F6157" s="70" t="s">
        <v>13</v>
      </c>
      <c r="G6157" s="70" t="str">
        <f>IF(ISNUMBER(F6157),E6157*F6157,"")</f>
        <v/>
      </c>
      <c r="H6157" s="71"/>
      <c r="I6157" s="72"/>
      <c r="J6157" s="37">
        <v>0</v>
      </c>
    </row>
    <row r="6158" spans="1:10" ht="25.5" hidden="1" x14ac:dyDescent="0.25">
      <c r="A6158" s="179"/>
      <c r="B6158" s="177"/>
      <c r="C6158" s="43" t="s">
        <v>1460</v>
      </c>
      <c r="D6158" s="43" t="s">
        <v>18</v>
      </c>
      <c r="E6158" s="44">
        <v>1</v>
      </c>
      <c r="F6158" s="38" t="s">
        <v>13</v>
      </c>
      <c r="G6158" s="70" t="str">
        <f>IF(ISNUMBER(F6158),E6158*F6158,"")</f>
        <v/>
      </c>
      <c r="H6158" s="46">
        <f>SUM(G6158:G6158)</f>
        <v>0</v>
      </c>
      <c r="I6158" s="47"/>
      <c r="J6158" s="37">
        <v>0</v>
      </c>
    </row>
    <row r="6159" spans="1:10" ht="15.75" hidden="1" thickBot="1" x14ac:dyDescent="0.3">
      <c r="A6159" s="180"/>
      <c r="B6159" s="178"/>
      <c r="C6159" s="49"/>
      <c r="D6159" s="63"/>
      <c r="E6159" s="50"/>
      <c r="F6159" s="83" t="s">
        <v>13</v>
      </c>
      <c r="G6159" s="83" t="str">
        <f>IF(ISNUMBER(F6159),E6159*F6159,"")</f>
        <v/>
      </c>
      <c r="H6159" s="84"/>
      <c r="I6159" s="72"/>
      <c r="J6159" s="37">
        <v>0</v>
      </c>
    </row>
    <row r="6160" spans="1:10" ht="15.75" hidden="1" customHeight="1" thickBot="1" x14ac:dyDescent="0.3">
      <c r="A6160" s="173" t="s">
        <v>1461</v>
      </c>
      <c r="B6160" s="176" t="s">
        <v>5875</v>
      </c>
      <c r="C6160" s="31"/>
      <c r="D6160" s="32" t="s">
        <v>18</v>
      </c>
      <c r="E6160" s="33"/>
      <c r="F6160" s="60" t="s">
        <v>13</v>
      </c>
      <c r="G6160" s="34" t="str">
        <f>IF(ISNUMBER(F6160),E6160*F6160,"")</f>
        <v/>
      </c>
      <c r="H6160" s="35"/>
      <c r="I6160" s="36"/>
      <c r="J6160" s="37">
        <v>0</v>
      </c>
    </row>
    <row r="6161" spans="1:10" hidden="1" x14ac:dyDescent="0.25">
      <c r="A6161" s="179"/>
      <c r="B6161" s="177"/>
      <c r="C6161" s="39"/>
      <c r="D6161" s="39"/>
      <c r="E6161" s="40"/>
      <c r="F6161" s="70" t="s">
        <v>13</v>
      </c>
      <c r="G6161" s="70" t="str">
        <f>IF(ISNUMBER(F6161),E6161*F6161,"")</f>
        <v/>
      </c>
      <c r="H6161" s="71"/>
      <c r="I6161" s="72"/>
      <c r="J6161" s="37">
        <v>0</v>
      </c>
    </row>
    <row r="6162" spans="1:10" ht="25.5" hidden="1" x14ac:dyDescent="0.25">
      <c r="A6162" s="179"/>
      <c r="B6162" s="177"/>
      <c r="C6162" s="43" t="s">
        <v>1462</v>
      </c>
      <c r="D6162" s="43" t="s">
        <v>18</v>
      </c>
      <c r="E6162" s="44">
        <v>1</v>
      </c>
      <c r="F6162" s="38" t="s">
        <v>13</v>
      </c>
      <c r="G6162" s="70" t="str">
        <f>IF(ISNUMBER(F6162),E6162*F6162,"")</f>
        <v/>
      </c>
      <c r="H6162" s="46">
        <f>SUM(G6162:G6162)</f>
        <v>0</v>
      </c>
      <c r="I6162" s="47"/>
      <c r="J6162" s="37">
        <v>0</v>
      </c>
    </row>
    <row r="6163" spans="1:10" ht="15.75" hidden="1" thickBot="1" x14ac:dyDescent="0.3">
      <c r="A6163" s="180"/>
      <c r="B6163" s="178"/>
      <c r="C6163" s="49"/>
      <c r="D6163" s="63"/>
      <c r="E6163" s="50"/>
      <c r="F6163" s="83" t="s">
        <v>13</v>
      </c>
      <c r="G6163" s="83" t="str">
        <f>IF(ISNUMBER(F6163),E6163*F6163,"")</f>
        <v/>
      </c>
      <c r="H6163" s="84"/>
      <c r="I6163" s="72"/>
      <c r="J6163" s="37">
        <v>0</v>
      </c>
    </row>
    <row r="6164" spans="1:10" ht="15.75" hidden="1" customHeight="1" thickBot="1" x14ac:dyDescent="0.3">
      <c r="A6164" s="173" t="s">
        <v>1463</v>
      </c>
      <c r="B6164" s="176" t="s">
        <v>5876</v>
      </c>
      <c r="C6164" s="31"/>
      <c r="D6164" s="32" t="s">
        <v>18</v>
      </c>
      <c r="E6164" s="33"/>
      <c r="F6164" s="60" t="s">
        <v>13</v>
      </c>
      <c r="G6164" s="34" t="str">
        <f>IF(ISNUMBER(F6164),E6164*F6164,"")</f>
        <v/>
      </c>
      <c r="H6164" s="35"/>
      <c r="I6164" s="36"/>
      <c r="J6164" s="37">
        <v>0</v>
      </c>
    </row>
    <row r="6165" spans="1:10" hidden="1" x14ac:dyDescent="0.25">
      <c r="A6165" s="179"/>
      <c r="B6165" s="177"/>
      <c r="C6165" s="39"/>
      <c r="D6165" s="39"/>
      <c r="E6165" s="40"/>
      <c r="F6165" s="70" t="s">
        <v>13</v>
      </c>
      <c r="G6165" s="70" t="str">
        <f>IF(ISNUMBER(F6165),E6165*F6165,"")</f>
        <v/>
      </c>
      <c r="H6165" s="71"/>
      <c r="I6165" s="72"/>
      <c r="J6165" s="37">
        <v>0</v>
      </c>
    </row>
    <row r="6166" spans="1:10" ht="25.5" hidden="1" x14ac:dyDescent="0.25">
      <c r="A6166" s="179"/>
      <c r="B6166" s="177"/>
      <c r="C6166" s="43" t="s">
        <v>1464</v>
      </c>
      <c r="D6166" s="43" t="s">
        <v>18</v>
      </c>
      <c r="E6166" s="44">
        <v>1</v>
      </c>
      <c r="F6166" s="38" t="s">
        <v>13</v>
      </c>
      <c r="G6166" s="70" t="str">
        <f>IF(ISNUMBER(F6166),E6166*F6166,"")</f>
        <v/>
      </c>
      <c r="H6166" s="46">
        <f>SUM(G6166:G6166)</f>
        <v>0</v>
      </c>
      <c r="I6166" s="47"/>
      <c r="J6166" s="37">
        <v>0</v>
      </c>
    </row>
    <row r="6167" spans="1:10" ht="15.75" hidden="1" thickBot="1" x14ac:dyDescent="0.3">
      <c r="A6167" s="180"/>
      <c r="B6167" s="178"/>
      <c r="C6167" s="49"/>
      <c r="D6167" s="63"/>
      <c r="E6167" s="50"/>
      <c r="F6167" s="83" t="s">
        <v>13</v>
      </c>
      <c r="G6167" s="83" t="str">
        <f>IF(ISNUMBER(F6167),E6167*F6167,"")</f>
        <v/>
      </c>
      <c r="H6167" s="84"/>
      <c r="I6167" s="72"/>
      <c r="J6167" s="37">
        <v>0</v>
      </c>
    </row>
    <row r="6168" spans="1:10" ht="15.75" hidden="1" thickBot="1" x14ac:dyDescent="0.3">
      <c r="A6168" s="173" t="s">
        <v>1465</v>
      </c>
      <c r="B6168" s="176" t="s">
        <v>5877</v>
      </c>
      <c r="C6168" s="31"/>
      <c r="D6168" s="32" t="s">
        <v>18</v>
      </c>
      <c r="E6168" s="33"/>
      <c r="F6168" s="60" t="s">
        <v>13</v>
      </c>
      <c r="G6168" s="34" t="str">
        <f>IF(ISNUMBER(F6168),E6168*F6168,"")</f>
        <v/>
      </c>
      <c r="H6168" s="35"/>
      <c r="I6168" s="36"/>
      <c r="J6168" s="37">
        <v>0</v>
      </c>
    </row>
    <row r="6169" spans="1:10" hidden="1" x14ac:dyDescent="0.25">
      <c r="A6169" s="179"/>
      <c r="B6169" s="177"/>
      <c r="C6169" s="39"/>
      <c r="D6169" s="39"/>
      <c r="E6169" s="40"/>
      <c r="F6169" s="70" t="s">
        <v>13</v>
      </c>
      <c r="G6169" s="70" t="str">
        <f>IF(ISNUMBER(F6169),E6169*F6169,"")</f>
        <v/>
      </c>
      <c r="H6169" s="71"/>
      <c r="I6169" s="72"/>
      <c r="J6169" s="37">
        <v>0</v>
      </c>
    </row>
    <row r="6170" spans="1:10" ht="25.5" hidden="1" x14ac:dyDescent="0.25">
      <c r="A6170" s="179"/>
      <c r="B6170" s="177"/>
      <c r="C6170" s="43" t="s">
        <v>1466</v>
      </c>
      <c r="D6170" s="43" t="s">
        <v>18</v>
      </c>
      <c r="E6170" s="44">
        <v>1</v>
      </c>
      <c r="F6170" s="38" t="s">
        <v>13</v>
      </c>
      <c r="G6170" s="70" t="str">
        <f>IF(ISNUMBER(F6170),E6170*F6170,"")</f>
        <v/>
      </c>
      <c r="H6170" s="46">
        <f>SUM(G6170:G6170)</f>
        <v>0</v>
      </c>
      <c r="I6170" s="47"/>
      <c r="J6170" s="37">
        <v>0</v>
      </c>
    </row>
    <row r="6171" spans="1:10" ht="15.75" hidden="1" thickBot="1" x14ac:dyDescent="0.3">
      <c r="A6171" s="180"/>
      <c r="B6171" s="178"/>
      <c r="C6171" s="49"/>
      <c r="D6171" s="63"/>
      <c r="E6171" s="50"/>
      <c r="F6171" s="83" t="s">
        <v>13</v>
      </c>
      <c r="G6171" s="83" t="str">
        <f>IF(ISNUMBER(F6171),E6171*F6171,"")</f>
        <v/>
      </c>
      <c r="H6171" s="84"/>
      <c r="I6171" s="72"/>
      <c r="J6171" s="37">
        <v>0</v>
      </c>
    </row>
    <row r="6172" spans="1:10" ht="15.75" hidden="1" thickBot="1" x14ac:dyDescent="0.3">
      <c r="A6172" s="173" t="s">
        <v>1467</v>
      </c>
      <c r="B6172" s="176" t="s">
        <v>5878</v>
      </c>
      <c r="C6172" s="31"/>
      <c r="D6172" s="32" t="s">
        <v>18</v>
      </c>
      <c r="E6172" s="33"/>
      <c r="F6172" s="60" t="s">
        <v>13</v>
      </c>
      <c r="G6172" s="34" t="str">
        <f>IF(ISNUMBER(F6172),E6172*F6172,"")</f>
        <v/>
      </c>
      <c r="H6172" s="35"/>
      <c r="I6172" s="36"/>
      <c r="J6172" s="37">
        <v>0</v>
      </c>
    </row>
    <row r="6173" spans="1:10" hidden="1" x14ac:dyDescent="0.25">
      <c r="A6173" s="179"/>
      <c r="B6173" s="177"/>
      <c r="C6173" s="39"/>
      <c r="D6173" s="39"/>
      <c r="E6173" s="40"/>
      <c r="F6173" s="70" t="s">
        <v>13</v>
      </c>
      <c r="G6173" s="70" t="str">
        <f>IF(ISNUMBER(F6173),E6173*F6173,"")</f>
        <v/>
      </c>
      <c r="H6173" s="71"/>
      <c r="I6173" s="72"/>
      <c r="J6173" s="37">
        <v>0</v>
      </c>
    </row>
    <row r="6174" spans="1:10" hidden="1" x14ac:dyDescent="0.25">
      <c r="A6174" s="179"/>
      <c r="B6174" s="177"/>
      <c r="C6174" s="43" t="s">
        <v>1468</v>
      </c>
      <c r="D6174" s="43" t="s">
        <v>18</v>
      </c>
      <c r="E6174" s="44">
        <v>1</v>
      </c>
      <c r="F6174" s="38" t="s">
        <v>13</v>
      </c>
      <c r="G6174" s="70" t="str">
        <f>IF(ISNUMBER(F6174),E6174*F6174,"")</f>
        <v/>
      </c>
      <c r="H6174" s="46">
        <f>SUM(G6174:G6174)</f>
        <v>0</v>
      </c>
      <c r="I6174" s="47"/>
      <c r="J6174" s="37">
        <v>0</v>
      </c>
    </row>
    <row r="6175" spans="1:10" ht="15.75" hidden="1" thickBot="1" x14ac:dyDescent="0.3">
      <c r="A6175" s="180"/>
      <c r="B6175" s="178"/>
      <c r="C6175" s="49"/>
      <c r="D6175" s="63"/>
      <c r="E6175" s="50"/>
      <c r="F6175" s="83" t="s">
        <v>13</v>
      </c>
      <c r="G6175" s="83" t="str">
        <f>IF(ISNUMBER(F6175),E6175*F6175,"")</f>
        <v/>
      </c>
      <c r="H6175" s="84"/>
      <c r="I6175" s="72"/>
      <c r="J6175" s="37">
        <v>0</v>
      </c>
    </row>
    <row r="6176" spans="1:10" ht="15.75" hidden="1" thickBot="1" x14ac:dyDescent="0.3">
      <c r="A6176" s="173" t="s">
        <v>1469</v>
      </c>
      <c r="B6176" s="176" t="s">
        <v>5881</v>
      </c>
      <c r="C6176" s="31"/>
      <c r="D6176" s="32" t="s">
        <v>18</v>
      </c>
      <c r="E6176" s="33"/>
      <c r="F6176" s="60" t="s">
        <v>13</v>
      </c>
      <c r="G6176" s="34" t="str">
        <f>IF(ISNUMBER(F6176),E6176*F6176,"")</f>
        <v/>
      </c>
      <c r="H6176" s="35"/>
      <c r="I6176" s="36"/>
      <c r="J6176" s="37">
        <v>0</v>
      </c>
    </row>
    <row r="6177" spans="1:10" hidden="1" x14ac:dyDescent="0.25">
      <c r="A6177" s="179"/>
      <c r="B6177" s="177"/>
      <c r="C6177" s="39"/>
      <c r="D6177" s="39"/>
      <c r="E6177" s="40"/>
      <c r="F6177" s="70" t="s">
        <v>13</v>
      </c>
      <c r="G6177" s="70" t="str">
        <f>IF(ISNUMBER(F6177),E6177*F6177,"")</f>
        <v/>
      </c>
      <c r="H6177" s="71"/>
      <c r="I6177" s="72"/>
      <c r="J6177" s="37">
        <v>0</v>
      </c>
    </row>
    <row r="6178" spans="1:10" hidden="1" x14ac:dyDescent="0.25">
      <c r="A6178" s="179"/>
      <c r="B6178" s="177"/>
      <c r="C6178" s="43" t="s">
        <v>1470</v>
      </c>
      <c r="D6178" s="43" t="s">
        <v>18</v>
      </c>
      <c r="E6178" s="44">
        <v>1</v>
      </c>
      <c r="F6178" s="38" t="s">
        <v>13</v>
      </c>
      <c r="G6178" s="70" t="str">
        <f>IF(ISNUMBER(F6178),E6178*F6178,"")</f>
        <v/>
      </c>
      <c r="H6178" s="46">
        <f>SUM(G6178:G6178)</f>
        <v>0</v>
      </c>
      <c r="I6178" s="47"/>
      <c r="J6178" s="37">
        <v>0</v>
      </c>
    </row>
    <row r="6179" spans="1:10" ht="15.75" hidden="1" thickBot="1" x14ac:dyDescent="0.3">
      <c r="A6179" s="180"/>
      <c r="B6179" s="178"/>
      <c r="C6179" s="49"/>
      <c r="D6179" s="63"/>
      <c r="E6179" s="50"/>
      <c r="F6179" s="83" t="s">
        <v>13</v>
      </c>
      <c r="G6179" s="83" t="str">
        <f>IF(ISNUMBER(F6179),E6179*F6179,"")</f>
        <v/>
      </c>
      <c r="H6179" s="84"/>
      <c r="I6179" s="72"/>
      <c r="J6179" s="37">
        <v>0</v>
      </c>
    </row>
    <row r="6180" spans="1:10" ht="15.75" hidden="1" thickBot="1" x14ac:dyDescent="0.3">
      <c r="A6180" s="173" t="s">
        <v>1471</v>
      </c>
      <c r="B6180" s="176" t="s">
        <v>5884</v>
      </c>
      <c r="C6180" s="31"/>
      <c r="D6180" s="32" t="s">
        <v>18</v>
      </c>
      <c r="E6180" s="33"/>
      <c r="F6180" s="60" t="s">
        <v>13</v>
      </c>
      <c r="G6180" s="34" t="str">
        <f>IF(ISNUMBER(F6180),E6180*F6180,"")</f>
        <v/>
      </c>
      <c r="H6180" s="35"/>
      <c r="I6180" s="36"/>
      <c r="J6180" s="37">
        <v>0</v>
      </c>
    </row>
    <row r="6181" spans="1:10" hidden="1" x14ac:dyDescent="0.25">
      <c r="A6181" s="179"/>
      <c r="B6181" s="177"/>
      <c r="C6181" s="39"/>
      <c r="D6181" s="39"/>
      <c r="E6181" s="40"/>
      <c r="F6181" s="70" t="s">
        <v>13</v>
      </c>
      <c r="G6181" s="70" t="str">
        <f>IF(ISNUMBER(F6181),E6181*F6181,"")</f>
        <v/>
      </c>
      <c r="H6181" s="71"/>
      <c r="I6181" s="72"/>
      <c r="J6181" s="37">
        <v>0</v>
      </c>
    </row>
    <row r="6182" spans="1:10" hidden="1" x14ac:dyDescent="0.25">
      <c r="A6182" s="179"/>
      <c r="B6182" s="177"/>
      <c r="C6182" s="43" t="s">
        <v>1472</v>
      </c>
      <c r="D6182" s="43" t="s">
        <v>18</v>
      </c>
      <c r="E6182" s="44">
        <v>1</v>
      </c>
      <c r="F6182" s="38" t="s">
        <v>13</v>
      </c>
      <c r="G6182" s="70" t="str">
        <f>IF(ISNUMBER(F6182),E6182*F6182,"")</f>
        <v/>
      </c>
      <c r="H6182" s="46">
        <f>SUM(G6182:G6182)</f>
        <v>0</v>
      </c>
      <c r="I6182" s="47"/>
      <c r="J6182" s="37">
        <v>0</v>
      </c>
    </row>
    <row r="6183" spans="1:10" ht="15.75" hidden="1" thickBot="1" x14ac:dyDescent="0.3">
      <c r="A6183" s="180"/>
      <c r="B6183" s="178"/>
      <c r="C6183" s="49"/>
      <c r="D6183" s="63"/>
      <c r="E6183" s="50"/>
      <c r="F6183" s="83" t="s">
        <v>13</v>
      </c>
      <c r="G6183" s="83" t="str">
        <f>IF(ISNUMBER(F6183),E6183*F6183,"")</f>
        <v/>
      </c>
      <c r="H6183" s="84"/>
      <c r="I6183" s="72"/>
      <c r="J6183" s="37">
        <v>0</v>
      </c>
    </row>
    <row r="6184" spans="1:10" ht="15.75" hidden="1" thickBot="1" x14ac:dyDescent="0.3">
      <c r="A6184" s="173" t="s">
        <v>1473</v>
      </c>
      <c r="B6184" s="176" t="s">
        <v>5887</v>
      </c>
      <c r="C6184" s="31"/>
      <c r="D6184" s="32" t="s">
        <v>18</v>
      </c>
      <c r="E6184" s="33"/>
      <c r="F6184" s="60" t="s">
        <v>13</v>
      </c>
      <c r="G6184" s="34" t="str">
        <f>IF(ISNUMBER(F6184),E6184*F6184,"")</f>
        <v/>
      </c>
      <c r="H6184" s="35"/>
      <c r="I6184" s="36"/>
      <c r="J6184" s="37">
        <v>0</v>
      </c>
    </row>
    <row r="6185" spans="1:10" hidden="1" x14ac:dyDescent="0.25">
      <c r="A6185" s="179"/>
      <c r="B6185" s="177"/>
      <c r="C6185" s="39"/>
      <c r="D6185" s="39"/>
      <c r="E6185" s="40"/>
      <c r="F6185" s="70" t="s">
        <v>13</v>
      </c>
      <c r="G6185" s="70" t="str">
        <f>IF(ISNUMBER(F6185),E6185*F6185,"")</f>
        <v/>
      </c>
      <c r="H6185" s="71"/>
      <c r="I6185" s="72"/>
      <c r="J6185" s="37">
        <v>0</v>
      </c>
    </row>
    <row r="6186" spans="1:10" hidden="1" x14ac:dyDescent="0.25">
      <c r="A6186" s="179"/>
      <c r="B6186" s="177"/>
      <c r="C6186" s="43" t="s">
        <v>1474</v>
      </c>
      <c r="D6186" s="43" t="s">
        <v>18</v>
      </c>
      <c r="E6186" s="44">
        <v>1</v>
      </c>
      <c r="F6186" s="38" t="s">
        <v>13</v>
      </c>
      <c r="G6186" s="70" t="str">
        <f>IF(ISNUMBER(F6186),E6186*F6186,"")</f>
        <v/>
      </c>
      <c r="H6186" s="46">
        <f>SUM(G6186:G6186)</f>
        <v>0</v>
      </c>
      <c r="I6186" s="47"/>
      <c r="J6186" s="37">
        <v>0</v>
      </c>
    </row>
    <row r="6187" spans="1:10" ht="15.75" hidden="1" thickBot="1" x14ac:dyDescent="0.3">
      <c r="A6187" s="180"/>
      <c r="B6187" s="178"/>
      <c r="C6187" s="49"/>
      <c r="D6187" s="63"/>
      <c r="E6187" s="50"/>
      <c r="F6187" s="83" t="s">
        <v>13</v>
      </c>
      <c r="G6187" s="83" t="str">
        <f>IF(ISNUMBER(F6187),E6187*F6187,"")</f>
        <v/>
      </c>
      <c r="H6187" s="84"/>
      <c r="I6187" s="72"/>
      <c r="J6187" s="37">
        <v>0</v>
      </c>
    </row>
    <row r="6188" spans="1:10" ht="15.75" hidden="1" thickBot="1" x14ac:dyDescent="0.3">
      <c r="A6188" s="173" t="s">
        <v>1475</v>
      </c>
      <c r="B6188" s="176" t="s">
        <v>5892</v>
      </c>
      <c r="C6188" s="31"/>
      <c r="D6188" s="32" t="s">
        <v>18</v>
      </c>
      <c r="E6188" s="33"/>
      <c r="F6188" s="60" t="s">
        <v>13</v>
      </c>
      <c r="G6188" s="34" t="str">
        <f>IF(ISNUMBER(F6188),E6188*F6188,"")</f>
        <v/>
      </c>
      <c r="H6188" s="35"/>
      <c r="I6188" s="36"/>
      <c r="J6188" s="37">
        <v>0</v>
      </c>
    </row>
    <row r="6189" spans="1:10" hidden="1" x14ac:dyDescent="0.25">
      <c r="A6189" s="179"/>
      <c r="B6189" s="177"/>
      <c r="C6189" s="39"/>
      <c r="D6189" s="39"/>
      <c r="E6189" s="40"/>
      <c r="F6189" s="70" t="s">
        <v>13</v>
      </c>
      <c r="G6189" s="70" t="str">
        <f>IF(ISNUMBER(F6189),E6189*F6189,"")</f>
        <v/>
      </c>
      <c r="H6189" s="71"/>
      <c r="I6189" s="72"/>
      <c r="J6189" s="37">
        <v>0</v>
      </c>
    </row>
    <row r="6190" spans="1:10" ht="38.25" hidden="1" x14ac:dyDescent="0.25">
      <c r="A6190" s="179"/>
      <c r="B6190" s="177"/>
      <c r="C6190" s="43" t="s">
        <v>11292</v>
      </c>
      <c r="D6190" s="43" t="s">
        <v>83</v>
      </c>
      <c r="E6190" s="44">
        <v>1</v>
      </c>
      <c r="F6190" s="38">
        <v>8.8824999999999985</v>
      </c>
      <c r="G6190" s="70">
        <f>IF(ISNUMBER(F6190),E6190*F6190,"")</f>
        <v>8.8824999999999985</v>
      </c>
      <c r="H6190" s="46">
        <f>SUM(G6190:G6190)</f>
        <v>8.8824999999999985</v>
      </c>
      <c r="I6190" s="47"/>
      <c r="J6190" s="37">
        <v>0</v>
      </c>
    </row>
    <row r="6191" spans="1:10" ht="15.75" hidden="1" thickBot="1" x14ac:dyDescent="0.3">
      <c r="A6191" s="180"/>
      <c r="B6191" s="178"/>
      <c r="C6191" s="49"/>
      <c r="D6191" s="63"/>
      <c r="E6191" s="50"/>
      <c r="F6191" s="83" t="s">
        <v>13</v>
      </c>
      <c r="G6191" s="83" t="str">
        <f>IF(ISNUMBER(F6191),E6191*F6191,"")</f>
        <v/>
      </c>
      <c r="H6191" s="84"/>
      <c r="I6191" s="72"/>
      <c r="J6191" s="37">
        <v>0</v>
      </c>
    </row>
    <row r="6192" spans="1:10" ht="15.75" hidden="1" thickBot="1" x14ac:dyDescent="0.3">
      <c r="A6192" s="173" t="s">
        <v>1476</v>
      </c>
      <c r="B6192" s="176" t="s">
        <v>5923</v>
      </c>
      <c r="C6192" s="31"/>
      <c r="D6192" s="32" t="s">
        <v>18</v>
      </c>
      <c r="E6192" s="33"/>
      <c r="F6192" s="60" t="s">
        <v>13</v>
      </c>
      <c r="G6192" s="34" t="str">
        <f>IF(ISNUMBER(F6192),E6192*F6192,"")</f>
        <v/>
      </c>
      <c r="H6192" s="35"/>
      <c r="I6192" s="36"/>
      <c r="J6192" s="37">
        <v>0</v>
      </c>
    </row>
    <row r="6193" spans="1:10" hidden="1" x14ac:dyDescent="0.25">
      <c r="A6193" s="179"/>
      <c r="B6193" s="177"/>
      <c r="C6193" s="39"/>
      <c r="D6193" s="39"/>
      <c r="E6193" s="40"/>
      <c r="F6193" s="70" t="s">
        <v>13</v>
      </c>
      <c r="G6193" s="70" t="str">
        <f>IF(ISNUMBER(F6193),E6193*F6193,"")</f>
        <v/>
      </c>
      <c r="H6193" s="71"/>
      <c r="I6193" s="72"/>
      <c r="J6193" s="37">
        <v>0</v>
      </c>
    </row>
    <row r="6194" spans="1:10" ht="25.5" hidden="1" x14ac:dyDescent="0.25">
      <c r="A6194" s="179"/>
      <c r="B6194" s="177"/>
      <c r="C6194" s="43" t="s">
        <v>11293</v>
      </c>
      <c r="D6194" s="43" t="s">
        <v>83</v>
      </c>
      <c r="E6194" s="44">
        <v>1</v>
      </c>
      <c r="F6194" s="38">
        <v>389.13900000000001</v>
      </c>
      <c r="G6194" s="70">
        <f>IF(ISNUMBER(F6194),E6194*F6194,"")</f>
        <v>389.13900000000001</v>
      </c>
      <c r="H6194" s="46">
        <f>SUM(G6194:G6194)</f>
        <v>389.13900000000001</v>
      </c>
      <c r="I6194" s="47"/>
      <c r="J6194" s="37">
        <v>0</v>
      </c>
    </row>
    <row r="6195" spans="1:10" ht="15.75" hidden="1" thickBot="1" x14ac:dyDescent="0.3">
      <c r="A6195" s="180"/>
      <c r="B6195" s="178"/>
      <c r="C6195" s="49"/>
      <c r="D6195" s="63"/>
      <c r="E6195" s="50"/>
      <c r="F6195" s="83" t="s">
        <v>13</v>
      </c>
      <c r="G6195" s="83" t="str">
        <f>IF(ISNUMBER(F6195),E6195*F6195,"")</f>
        <v/>
      </c>
      <c r="H6195" s="84"/>
      <c r="I6195" s="72"/>
      <c r="J6195" s="37">
        <v>0</v>
      </c>
    </row>
    <row r="6196" spans="1:10" ht="15.75" hidden="1" thickBot="1" x14ac:dyDescent="0.3">
      <c r="A6196" s="173" t="s">
        <v>1477</v>
      </c>
      <c r="B6196" s="176" t="s">
        <v>5926</v>
      </c>
      <c r="C6196" s="31"/>
      <c r="D6196" s="32" t="s">
        <v>18</v>
      </c>
      <c r="E6196" s="33"/>
      <c r="F6196" s="60" t="s">
        <v>13</v>
      </c>
      <c r="G6196" s="34" t="str">
        <f>IF(ISNUMBER(F6196),E6196*F6196,"")</f>
        <v/>
      </c>
      <c r="H6196" s="35"/>
      <c r="I6196" s="36"/>
      <c r="J6196" s="37">
        <v>0</v>
      </c>
    </row>
    <row r="6197" spans="1:10" hidden="1" x14ac:dyDescent="0.25">
      <c r="A6197" s="179"/>
      <c r="B6197" s="177"/>
      <c r="C6197" s="39"/>
      <c r="D6197" s="39"/>
      <c r="E6197" s="40"/>
      <c r="F6197" s="70" t="s">
        <v>13</v>
      </c>
      <c r="G6197" s="70" t="str">
        <f>IF(ISNUMBER(F6197),E6197*F6197,"")</f>
        <v/>
      </c>
      <c r="H6197" s="71"/>
      <c r="I6197" s="72"/>
      <c r="J6197" s="37">
        <v>0</v>
      </c>
    </row>
    <row r="6198" spans="1:10" ht="25.5" hidden="1" x14ac:dyDescent="0.25">
      <c r="A6198" s="179"/>
      <c r="B6198" s="177"/>
      <c r="C6198" s="43" t="s">
        <v>11294</v>
      </c>
      <c r="D6198" s="43" t="s">
        <v>83</v>
      </c>
      <c r="E6198" s="44">
        <v>1</v>
      </c>
      <c r="F6198" s="38">
        <v>1510.3764999999999</v>
      </c>
      <c r="G6198" s="70">
        <f>IF(ISNUMBER(F6198),E6198*F6198,"")</f>
        <v>1510.3764999999999</v>
      </c>
      <c r="H6198" s="46">
        <f>SUM(G6198:G6198)</f>
        <v>1510.3764999999999</v>
      </c>
      <c r="I6198" s="47"/>
      <c r="J6198" s="37">
        <v>0</v>
      </c>
    </row>
    <row r="6199" spans="1:10" ht="15.75" hidden="1" thickBot="1" x14ac:dyDescent="0.3">
      <c r="A6199" s="180"/>
      <c r="B6199" s="178"/>
      <c r="C6199" s="49"/>
      <c r="D6199" s="63"/>
      <c r="E6199" s="50"/>
      <c r="F6199" s="83" t="s">
        <v>13</v>
      </c>
      <c r="G6199" s="83" t="str">
        <f>IF(ISNUMBER(F6199),E6199*F6199,"")</f>
        <v/>
      </c>
      <c r="H6199" s="84"/>
      <c r="I6199" s="72"/>
      <c r="J6199" s="37">
        <v>0</v>
      </c>
    </row>
    <row r="6200" spans="1:10" ht="15.75" hidden="1" thickBot="1" x14ac:dyDescent="0.3">
      <c r="A6200" s="173" t="s">
        <v>1478</v>
      </c>
      <c r="B6200" s="176" t="s">
        <v>5929</v>
      </c>
      <c r="C6200" s="31"/>
      <c r="D6200" s="32" t="s">
        <v>18</v>
      </c>
      <c r="E6200" s="33"/>
      <c r="F6200" s="60" t="s">
        <v>13</v>
      </c>
      <c r="G6200" s="34" t="str">
        <f>IF(ISNUMBER(F6200),E6200*F6200,"")</f>
        <v/>
      </c>
      <c r="H6200" s="35"/>
      <c r="I6200" s="36"/>
      <c r="J6200" s="37">
        <v>0</v>
      </c>
    </row>
    <row r="6201" spans="1:10" hidden="1" x14ac:dyDescent="0.25">
      <c r="A6201" s="179"/>
      <c r="B6201" s="177"/>
      <c r="C6201" s="39"/>
      <c r="D6201" s="39"/>
      <c r="E6201" s="40"/>
      <c r="F6201" s="70" t="s">
        <v>13</v>
      </c>
      <c r="G6201" s="70" t="str">
        <f>IF(ISNUMBER(F6201),E6201*F6201,"")</f>
        <v/>
      </c>
      <c r="H6201" s="71"/>
      <c r="I6201" s="72"/>
      <c r="J6201" s="37">
        <v>0</v>
      </c>
    </row>
    <row r="6202" spans="1:10" ht="25.5" hidden="1" x14ac:dyDescent="0.25">
      <c r="A6202" s="179"/>
      <c r="B6202" s="177"/>
      <c r="C6202" s="43" t="s">
        <v>11295</v>
      </c>
      <c r="D6202" s="43" t="s">
        <v>83</v>
      </c>
      <c r="E6202" s="44">
        <v>1</v>
      </c>
      <c r="F6202" s="38">
        <v>1778.4854999999998</v>
      </c>
      <c r="G6202" s="70">
        <f>IF(ISNUMBER(F6202),E6202*F6202,"")</f>
        <v>1778.4854999999998</v>
      </c>
      <c r="H6202" s="46">
        <f>SUM(G6202:G6202)</f>
        <v>1778.4854999999998</v>
      </c>
      <c r="I6202" s="47"/>
      <c r="J6202" s="37">
        <v>0</v>
      </c>
    </row>
    <row r="6203" spans="1:10" ht="15.75" hidden="1" thickBot="1" x14ac:dyDescent="0.3">
      <c r="A6203" s="180"/>
      <c r="B6203" s="178"/>
      <c r="C6203" s="49"/>
      <c r="D6203" s="63"/>
      <c r="E6203" s="50"/>
      <c r="F6203" s="83" t="s">
        <v>13</v>
      </c>
      <c r="G6203" s="83" t="str">
        <f>IF(ISNUMBER(F6203),E6203*F6203,"")</f>
        <v/>
      </c>
      <c r="H6203" s="84"/>
      <c r="I6203" s="72"/>
      <c r="J6203" s="37">
        <v>0</v>
      </c>
    </row>
    <row r="6204" spans="1:10" ht="15.75" hidden="1" thickBot="1" x14ac:dyDescent="0.3">
      <c r="A6204" s="173" t="s">
        <v>1479</v>
      </c>
      <c r="B6204" s="176" t="s">
        <v>5930</v>
      </c>
      <c r="C6204" s="31"/>
      <c r="D6204" s="32" t="s">
        <v>18</v>
      </c>
      <c r="E6204" s="33"/>
      <c r="F6204" s="60" t="s">
        <v>13</v>
      </c>
      <c r="G6204" s="34" t="str">
        <f>IF(ISNUMBER(F6204),E6204*F6204,"")</f>
        <v/>
      </c>
      <c r="H6204" s="35"/>
      <c r="I6204" s="36"/>
      <c r="J6204" s="37">
        <v>0</v>
      </c>
    </row>
    <row r="6205" spans="1:10" hidden="1" x14ac:dyDescent="0.25">
      <c r="A6205" s="179"/>
      <c r="B6205" s="177"/>
      <c r="C6205" s="39"/>
      <c r="D6205" s="39"/>
      <c r="E6205" s="40"/>
      <c r="F6205" s="70" t="s">
        <v>13</v>
      </c>
      <c r="G6205" s="70" t="str">
        <f>IF(ISNUMBER(F6205),E6205*F6205,"")</f>
        <v/>
      </c>
      <c r="H6205" s="71"/>
      <c r="I6205" s="72"/>
      <c r="J6205" s="37">
        <v>0</v>
      </c>
    </row>
    <row r="6206" spans="1:10" hidden="1" x14ac:dyDescent="0.25">
      <c r="A6206" s="179"/>
      <c r="B6206" s="177"/>
      <c r="C6206" s="43" t="s">
        <v>11296</v>
      </c>
      <c r="D6206" s="43" t="s">
        <v>83</v>
      </c>
      <c r="E6206" s="44">
        <v>1</v>
      </c>
      <c r="F6206" s="38">
        <v>33.924500000000002</v>
      </c>
      <c r="G6206" s="70">
        <f>IF(ISNUMBER(F6206),E6206*F6206,"")</f>
        <v>33.924500000000002</v>
      </c>
      <c r="H6206" s="46">
        <f>SUM(G6206:G6206)</f>
        <v>33.924500000000002</v>
      </c>
      <c r="I6206" s="47"/>
      <c r="J6206" s="37">
        <v>0</v>
      </c>
    </row>
    <row r="6207" spans="1:10" ht="15.75" hidden="1" thickBot="1" x14ac:dyDescent="0.3">
      <c r="A6207" s="180"/>
      <c r="B6207" s="178"/>
      <c r="C6207" s="49"/>
      <c r="D6207" s="63"/>
      <c r="E6207" s="50"/>
      <c r="F6207" s="83" t="s">
        <v>13</v>
      </c>
      <c r="G6207" s="83" t="str">
        <f>IF(ISNUMBER(F6207),E6207*F6207,"")</f>
        <v/>
      </c>
      <c r="H6207" s="84"/>
      <c r="I6207" s="72"/>
      <c r="J6207" s="37">
        <v>0</v>
      </c>
    </row>
    <row r="6208" spans="1:10" ht="15.75" hidden="1" thickBot="1" x14ac:dyDescent="0.3">
      <c r="A6208" s="173" t="s">
        <v>1480</v>
      </c>
      <c r="B6208" s="176" t="s">
        <v>6183</v>
      </c>
      <c r="C6208" s="31"/>
      <c r="D6208" s="32" t="s">
        <v>18</v>
      </c>
      <c r="E6208" s="33"/>
      <c r="F6208" s="60" t="s">
        <v>13</v>
      </c>
      <c r="G6208" s="34" t="str">
        <f>IF(ISNUMBER(F6208),E6208*F6208,"")</f>
        <v/>
      </c>
      <c r="H6208" s="35"/>
      <c r="I6208" s="36"/>
      <c r="J6208" s="37">
        <v>0</v>
      </c>
    </row>
    <row r="6209" spans="1:10" hidden="1" x14ac:dyDescent="0.25">
      <c r="A6209" s="179"/>
      <c r="B6209" s="177"/>
      <c r="C6209" s="39"/>
      <c r="D6209" s="39"/>
      <c r="E6209" s="40"/>
      <c r="F6209" s="70" t="s">
        <v>13</v>
      </c>
      <c r="G6209" s="70" t="str">
        <f>IF(ISNUMBER(F6209),E6209*F6209,"")</f>
        <v/>
      </c>
      <c r="H6209" s="71"/>
      <c r="I6209" s="72"/>
      <c r="J6209" s="37">
        <v>0</v>
      </c>
    </row>
    <row r="6210" spans="1:10" ht="25.5" hidden="1" x14ac:dyDescent="0.25">
      <c r="A6210" s="179"/>
      <c r="B6210" s="177"/>
      <c r="C6210" s="43" t="s">
        <v>10954</v>
      </c>
      <c r="D6210" s="43" t="s">
        <v>83</v>
      </c>
      <c r="E6210" s="44">
        <v>1</v>
      </c>
      <c r="F6210" s="38">
        <v>1.0545</v>
      </c>
      <c r="G6210" s="70">
        <f>IF(ISNUMBER(F6210),E6210*F6210,"")</f>
        <v>1.0545</v>
      </c>
      <c r="H6210" s="46">
        <f>SUM(G6210:G6210)</f>
        <v>1.0545</v>
      </c>
      <c r="I6210" s="47"/>
      <c r="J6210" s="37">
        <v>0</v>
      </c>
    </row>
    <row r="6211" spans="1:10" ht="15.75" hidden="1" thickBot="1" x14ac:dyDescent="0.3">
      <c r="A6211" s="180"/>
      <c r="B6211" s="178"/>
      <c r="C6211" s="49"/>
      <c r="D6211" s="63"/>
      <c r="E6211" s="50"/>
      <c r="F6211" s="83" t="s">
        <v>13</v>
      </c>
      <c r="G6211" s="83" t="str">
        <f>IF(ISNUMBER(F6211),E6211*F6211,"")</f>
        <v/>
      </c>
      <c r="H6211" s="84"/>
      <c r="I6211" s="72"/>
      <c r="J6211" s="37">
        <v>0</v>
      </c>
    </row>
    <row r="6212" spans="1:10" ht="15.75" hidden="1" thickBot="1" x14ac:dyDescent="0.3">
      <c r="A6212" s="173" t="s">
        <v>1481</v>
      </c>
      <c r="B6212" s="176" t="s">
        <v>6195</v>
      </c>
      <c r="C6212" s="31"/>
      <c r="D6212" s="32" t="s">
        <v>18</v>
      </c>
      <c r="E6212" s="33"/>
      <c r="F6212" s="60" t="s">
        <v>13</v>
      </c>
      <c r="G6212" s="34" t="str">
        <f>IF(ISNUMBER(F6212),E6212*F6212,"")</f>
        <v/>
      </c>
      <c r="H6212" s="35"/>
      <c r="I6212" s="36"/>
      <c r="J6212" s="37">
        <v>0</v>
      </c>
    </row>
    <row r="6213" spans="1:10" hidden="1" x14ac:dyDescent="0.25">
      <c r="A6213" s="179"/>
      <c r="B6213" s="177"/>
      <c r="C6213" s="39"/>
      <c r="D6213" s="39"/>
      <c r="E6213" s="40"/>
      <c r="F6213" s="70" t="s">
        <v>13</v>
      </c>
      <c r="G6213" s="70" t="str">
        <f>IF(ISNUMBER(F6213),E6213*F6213,"")</f>
        <v/>
      </c>
      <c r="H6213" s="71"/>
      <c r="I6213" s="72"/>
      <c r="J6213" s="37">
        <v>0</v>
      </c>
    </row>
    <row r="6214" spans="1:10" ht="25.5" hidden="1" x14ac:dyDescent="0.25">
      <c r="A6214" s="179"/>
      <c r="B6214" s="177"/>
      <c r="C6214" s="43" t="s">
        <v>10929</v>
      </c>
      <c r="D6214" s="43" t="s">
        <v>83</v>
      </c>
      <c r="E6214" s="44">
        <v>1</v>
      </c>
      <c r="F6214" s="38">
        <v>5.149</v>
      </c>
      <c r="G6214" s="70">
        <f>IF(ISNUMBER(F6214),E6214*F6214,"")</f>
        <v>5.149</v>
      </c>
      <c r="H6214" s="46">
        <f>SUM(G6214:G6214)</f>
        <v>5.149</v>
      </c>
      <c r="I6214" s="47"/>
      <c r="J6214" s="37">
        <v>0</v>
      </c>
    </row>
    <row r="6215" spans="1:10" ht="15.75" hidden="1" thickBot="1" x14ac:dyDescent="0.3">
      <c r="A6215" s="180"/>
      <c r="B6215" s="178"/>
      <c r="C6215" s="49"/>
      <c r="D6215" s="63"/>
      <c r="E6215" s="50"/>
      <c r="F6215" s="83" t="s">
        <v>13</v>
      </c>
      <c r="G6215" s="83" t="str">
        <f>IF(ISNUMBER(F6215),E6215*F6215,"")</f>
        <v/>
      </c>
      <c r="H6215" s="84"/>
      <c r="I6215" s="72"/>
      <c r="J6215" s="37">
        <v>0</v>
      </c>
    </row>
    <row r="6216" spans="1:10" ht="15.75" hidden="1" thickBot="1" x14ac:dyDescent="0.3">
      <c r="A6216" s="173" t="s">
        <v>1482</v>
      </c>
      <c r="B6216" s="176" t="s">
        <v>6194</v>
      </c>
      <c r="C6216" s="31"/>
      <c r="D6216" s="32" t="s">
        <v>18</v>
      </c>
      <c r="E6216" s="33"/>
      <c r="F6216" s="60" t="s">
        <v>13</v>
      </c>
      <c r="G6216" s="34" t="str">
        <f>IF(ISNUMBER(F6216),E6216*F6216,"")</f>
        <v/>
      </c>
      <c r="H6216" s="35"/>
      <c r="I6216" s="36"/>
      <c r="J6216" s="37">
        <v>0</v>
      </c>
    </row>
    <row r="6217" spans="1:10" hidden="1" x14ac:dyDescent="0.25">
      <c r="A6217" s="179"/>
      <c r="B6217" s="177"/>
      <c r="C6217" s="39"/>
      <c r="D6217" s="39"/>
      <c r="E6217" s="40"/>
      <c r="F6217" s="70" t="s">
        <v>13</v>
      </c>
      <c r="G6217" s="70" t="str">
        <f>IF(ISNUMBER(F6217),E6217*F6217,"")</f>
        <v/>
      </c>
      <c r="H6217" s="71"/>
      <c r="I6217" s="72"/>
      <c r="J6217" s="37">
        <v>0</v>
      </c>
    </row>
    <row r="6218" spans="1:10" ht="25.5" hidden="1" x14ac:dyDescent="0.25">
      <c r="A6218" s="179"/>
      <c r="B6218" s="177"/>
      <c r="C6218" s="43" t="s">
        <v>10928</v>
      </c>
      <c r="D6218" s="43" t="s">
        <v>83</v>
      </c>
      <c r="E6218" s="44">
        <v>1</v>
      </c>
      <c r="F6218" s="38">
        <v>2.5934999999999997</v>
      </c>
      <c r="G6218" s="70">
        <f>IF(ISNUMBER(F6218),E6218*F6218,"")</f>
        <v>2.5934999999999997</v>
      </c>
      <c r="H6218" s="46">
        <f>SUM(G6218:G6218)</f>
        <v>2.5934999999999997</v>
      </c>
      <c r="I6218" s="47"/>
      <c r="J6218" s="37">
        <v>0</v>
      </c>
    </row>
    <row r="6219" spans="1:10" ht="15.75" hidden="1" thickBot="1" x14ac:dyDescent="0.3">
      <c r="A6219" s="180"/>
      <c r="B6219" s="178"/>
      <c r="C6219" s="49"/>
      <c r="D6219" s="63"/>
      <c r="E6219" s="50"/>
      <c r="F6219" s="83" t="s">
        <v>13</v>
      </c>
      <c r="G6219" s="83" t="str">
        <f>IF(ISNUMBER(F6219),E6219*F6219,"")</f>
        <v/>
      </c>
      <c r="H6219" s="84"/>
      <c r="I6219" s="72"/>
      <c r="J6219" s="37">
        <v>0</v>
      </c>
    </row>
    <row r="6220" spans="1:10" ht="15.75" hidden="1" thickBot="1" x14ac:dyDescent="0.3">
      <c r="A6220" s="173" t="s">
        <v>1481</v>
      </c>
      <c r="B6220" s="176" t="s">
        <v>6195</v>
      </c>
      <c r="C6220" s="31"/>
      <c r="D6220" s="32" t="s">
        <v>18</v>
      </c>
      <c r="E6220" s="33"/>
      <c r="F6220" s="60" t="s">
        <v>13</v>
      </c>
      <c r="G6220" s="34" t="str">
        <f>IF(ISNUMBER(F6220),E6220*F6220,"")</f>
        <v/>
      </c>
      <c r="H6220" s="35"/>
      <c r="I6220" s="36"/>
      <c r="J6220" s="37">
        <v>0</v>
      </c>
    </row>
    <row r="6221" spans="1:10" hidden="1" x14ac:dyDescent="0.25">
      <c r="A6221" s="179"/>
      <c r="B6221" s="177"/>
      <c r="C6221" s="39"/>
      <c r="D6221" s="39"/>
      <c r="E6221" s="40"/>
      <c r="F6221" s="70" t="s">
        <v>13</v>
      </c>
      <c r="G6221" s="70" t="str">
        <f>IF(ISNUMBER(F6221),E6221*F6221,"")</f>
        <v/>
      </c>
      <c r="H6221" s="71"/>
      <c r="I6221" s="72"/>
      <c r="J6221" s="37">
        <v>0</v>
      </c>
    </row>
    <row r="6222" spans="1:10" ht="25.5" hidden="1" x14ac:dyDescent="0.25">
      <c r="A6222" s="179"/>
      <c r="B6222" s="177"/>
      <c r="C6222" s="43" t="s">
        <v>10929</v>
      </c>
      <c r="D6222" s="43" t="s">
        <v>83</v>
      </c>
      <c r="E6222" s="44">
        <v>1</v>
      </c>
      <c r="F6222" s="38">
        <v>5.149</v>
      </c>
      <c r="G6222" s="70">
        <f>IF(ISNUMBER(F6222),E6222*F6222,"")</f>
        <v>5.149</v>
      </c>
      <c r="H6222" s="46">
        <f>SUM(G6222:G6222)</f>
        <v>5.149</v>
      </c>
      <c r="I6222" s="47"/>
      <c r="J6222" s="37">
        <v>0</v>
      </c>
    </row>
    <row r="6223" spans="1:10" ht="15.75" hidden="1" thickBot="1" x14ac:dyDescent="0.3">
      <c r="A6223" s="180"/>
      <c r="B6223" s="178"/>
      <c r="C6223" s="49"/>
      <c r="D6223" s="63"/>
      <c r="E6223" s="50"/>
      <c r="F6223" s="83" t="s">
        <v>13</v>
      </c>
      <c r="G6223" s="83" t="str">
        <f>IF(ISNUMBER(F6223),E6223*F6223,"")</f>
        <v/>
      </c>
      <c r="H6223" s="84"/>
      <c r="I6223" s="72"/>
      <c r="J6223" s="37">
        <v>0</v>
      </c>
    </row>
    <row r="6224" spans="1:10" ht="15.75" hidden="1" thickBot="1" x14ac:dyDescent="0.3">
      <c r="A6224" s="173" t="s">
        <v>1483</v>
      </c>
      <c r="B6224" s="176" t="s">
        <v>6210</v>
      </c>
      <c r="C6224" s="31"/>
      <c r="D6224" s="32" t="s">
        <v>18</v>
      </c>
      <c r="E6224" s="33"/>
      <c r="F6224" s="60" t="s">
        <v>13</v>
      </c>
      <c r="G6224" s="34" t="str">
        <f>IF(ISNUMBER(F6224),E6224*F6224,"")</f>
        <v/>
      </c>
      <c r="H6224" s="35"/>
      <c r="I6224" s="36"/>
      <c r="J6224" s="37">
        <v>0</v>
      </c>
    </row>
    <row r="6225" spans="1:10" hidden="1" x14ac:dyDescent="0.25">
      <c r="A6225" s="179"/>
      <c r="B6225" s="177"/>
      <c r="C6225" s="39"/>
      <c r="D6225" s="39"/>
      <c r="E6225" s="40"/>
      <c r="F6225" s="70" t="s">
        <v>13</v>
      </c>
      <c r="G6225" s="70" t="str">
        <f>IF(ISNUMBER(F6225),E6225*F6225,"")</f>
        <v/>
      </c>
      <c r="H6225" s="71"/>
      <c r="I6225" s="72"/>
      <c r="J6225" s="37">
        <v>0</v>
      </c>
    </row>
    <row r="6226" spans="1:10" ht="25.5" hidden="1" x14ac:dyDescent="0.25">
      <c r="A6226" s="179"/>
      <c r="B6226" s="177"/>
      <c r="C6226" s="43" t="s">
        <v>1484</v>
      </c>
      <c r="D6226" s="43" t="s">
        <v>18</v>
      </c>
      <c r="E6226" s="44">
        <v>1</v>
      </c>
      <c r="F6226" s="38" t="s">
        <v>13</v>
      </c>
      <c r="G6226" s="70" t="str">
        <f>IF(ISNUMBER(F6226),E6226*F6226,"")</f>
        <v/>
      </c>
      <c r="H6226" s="46">
        <f>SUM(G6226:G6226)</f>
        <v>0</v>
      </c>
      <c r="I6226" s="47"/>
      <c r="J6226" s="37">
        <v>0</v>
      </c>
    </row>
    <row r="6227" spans="1:10" ht="15.75" hidden="1" thickBot="1" x14ac:dyDescent="0.3">
      <c r="A6227" s="180"/>
      <c r="B6227" s="178"/>
      <c r="C6227" s="49"/>
      <c r="D6227" s="63"/>
      <c r="E6227" s="50"/>
      <c r="F6227" s="83" t="s">
        <v>13</v>
      </c>
      <c r="G6227" s="83" t="str">
        <f>IF(ISNUMBER(F6227),E6227*F6227,"")</f>
        <v/>
      </c>
      <c r="H6227" s="84"/>
      <c r="I6227" s="72"/>
      <c r="J6227" s="37">
        <v>0</v>
      </c>
    </row>
    <row r="6228" spans="1:10" ht="15.75" hidden="1" thickBot="1" x14ac:dyDescent="0.3">
      <c r="A6228" s="173" t="s">
        <v>1485</v>
      </c>
      <c r="B6228" s="176" t="s">
        <v>6215</v>
      </c>
      <c r="C6228" s="31"/>
      <c r="D6228" s="32" t="s">
        <v>18</v>
      </c>
      <c r="E6228" s="33"/>
      <c r="F6228" s="60" t="s">
        <v>13</v>
      </c>
      <c r="G6228" s="34" t="str">
        <f>IF(ISNUMBER(F6228),E6228*F6228,"")</f>
        <v/>
      </c>
      <c r="H6228" s="35"/>
      <c r="I6228" s="36"/>
      <c r="J6228" s="37">
        <v>0</v>
      </c>
    </row>
    <row r="6229" spans="1:10" hidden="1" x14ac:dyDescent="0.25">
      <c r="A6229" s="179"/>
      <c r="B6229" s="177"/>
      <c r="C6229" s="39"/>
      <c r="D6229" s="39"/>
      <c r="E6229" s="40"/>
      <c r="F6229" s="70" t="s">
        <v>13</v>
      </c>
      <c r="G6229" s="70" t="str">
        <f>IF(ISNUMBER(F6229),E6229*F6229,"")</f>
        <v/>
      </c>
      <c r="H6229" s="71"/>
      <c r="I6229" s="72"/>
      <c r="J6229" s="37">
        <v>0</v>
      </c>
    </row>
    <row r="6230" spans="1:10" ht="25.5" hidden="1" x14ac:dyDescent="0.25">
      <c r="A6230" s="179"/>
      <c r="B6230" s="177"/>
      <c r="C6230" s="43" t="s">
        <v>11297</v>
      </c>
      <c r="D6230" s="43" t="s">
        <v>83</v>
      </c>
      <c r="E6230" s="44">
        <v>1</v>
      </c>
      <c r="F6230" s="38">
        <v>5.7854999999999999</v>
      </c>
      <c r="G6230" s="70">
        <f>IF(ISNUMBER(F6230),E6230*F6230,"")</f>
        <v>5.7854999999999999</v>
      </c>
      <c r="H6230" s="46">
        <f>SUM(G6230:G6230)</f>
        <v>5.7854999999999999</v>
      </c>
      <c r="I6230" s="47"/>
      <c r="J6230" s="37">
        <v>0</v>
      </c>
    </row>
    <row r="6231" spans="1:10" ht="15.75" hidden="1" thickBot="1" x14ac:dyDescent="0.3">
      <c r="A6231" s="180"/>
      <c r="B6231" s="178"/>
      <c r="C6231" s="49"/>
      <c r="D6231" s="63"/>
      <c r="E6231" s="50"/>
      <c r="F6231" s="83" t="s">
        <v>13</v>
      </c>
      <c r="G6231" s="83" t="str">
        <f>IF(ISNUMBER(F6231),E6231*F6231,"")</f>
        <v/>
      </c>
      <c r="H6231" s="84"/>
      <c r="I6231" s="72"/>
      <c r="J6231" s="37">
        <v>0</v>
      </c>
    </row>
    <row r="6232" spans="1:10" ht="15.75" hidden="1" thickBot="1" x14ac:dyDescent="0.3">
      <c r="A6232" s="173" t="s">
        <v>1486</v>
      </c>
      <c r="B6232" s="176" t="s">
        <v>6216</v>
      </c>
      <c r="C6232" s="31"/>
      <c r="D6232" s="32" t="s">
        <v>18</v>
      </c>
      <c r="E6232" s="33"/>
      <c r="F6232" s="60" t="s">
        <v>13</v>
      </c>
      <c r="G6232" s="34" t="str">
        <f>IF(ISNUMBER(F6232),E6232*F6232,"")</f>
        <v/>
      </c>
      <c r="H6232" s="35"/>
      <c r="I6232" s="36"/>
      <c r="J6232" s="37">
        <v>0</v>
      </c>
    </row>
    <row r="6233" spans="1:10" hidden="1" x14ac:dyDescent="0.25">
      <c r="A6233" s="179"/>
      <c r="B6233" s="177"/>
      <c r="C6233" s="39"/>
      <c r="D6233" s="39"/>
      <c r="E6233" s="40"/>
      <c r="F6233" s="70" t="s">
        <v>13</v>
      </c>
      <c r="G6233" s="70" t="str">
        <f>IF(ISNUMBER(F6233),E6233*F6233,"")</f>
        <v/>
      </c>
      <c r="H6233" s="71"/>
      <c r="I6233" s="72"/>
      <c r="J6233" s="37">
        <v>0</v>
      </c>
    </row>
    <row r="6234" spans="1:10" hidden="1" x14ac:dyDescent="0.25">
      <c r="A6234" s="179"/>
      <c r="B6234" s="177"/>
      <c r="C6234" s="43" t="s">
        <v>1487</v>
      </c>
      <c r="D6234" s="43" t="s">
        <v>18</v>
      </c>
      <c r="E6234" s="44">
        <v>1</v>
      </c>
      <c r="F6234" s="38" t="s">
        <v>13</v>
      </c>
      <c r="G6234" s="70" t="str">
        <f>IF(ISNUMBER(F6234),E6234*F6234,"")</f>
        <v/>
      </c>
      <c r="H6234" s="46">
        <f>SUM(G6234:G6234)</f>
        <v>0</v>
      </c>
      <c r="I6234" s="47"/>
      <c r="J6234" s="37">
        <v>0</v>
      </c>
    </row>
    <row r="6235" spans="1:10" ht="15.75" hidden="1" thickBot="1" x14ac:dyDescent="0.3">
      <c r="A6235" s="180"/>
      <c r="B6235" s="178"/>
      <c r="C6235" s="49"/>
      <c r="D6235" s="63"/>
      <c r="E6235" s="50"/>
      <c r="F6235" s="83" t="s">
        <v>13</v>
      </c>
      <c r="G6235" s="83" t="str">
        <f>IF(ISNUMBER(F6235),E6235*F6235,"")</f>
        <v/>
      </c>
      <c r="H6235" s="84"/>
      <c r="I6235" s="72"/>
      <c r="J6235" s="37">
        <v>0</v>
      </c>
    </row>
    <row r="6236" spans="1:10" ht="15.75" hidden="1" thickBot="1" x14ac:dyDescent="0.3">
      <c r="A6236" s="173" t="s">
        <v>1488</v>
      </c>
      <c r="B6236" s="176" t="s">
        <v>6223</v>
      </c>
      <c r="C6236" s="31"/>
      <c r="D6236" s="32" t="s">
        <v>18</v>
      </c>
      <c r="E6236" s="33"/>
      <c r="F6236" s="60" t="s">
        <v>13</v>
      </c>
      <c r="G6236" s="34" t="str">
        <f>IF(ISNUMBER(F6236),E6236*F6236,"")</f>
        <v/>
      </c>
      <c r="H6236" s="35"/>
      <c r="I6236" s="36"/>
      <c r="J6236" s="37">
        <v>0</v>
      </c>
    </row>
    <row r="6237" spans="1:10" hidden="1" x14ac:dyDescent="0.25">
      <c r="A6237" s="179"/>
      <c r="B6237" s="177"/>
      <c r="C6237" s="39"/>
      <c r="D6237" s="39"/>
      <c r="E6237" s="40"/>
      <c r="F6237" s="70" t="s">
        <v>13</v>
      </c>
      <c r="G6237" s="70" t="str">
        <f>IF(ISNUMBER(F6237),E6237*F6237,"")</f>
        <v/>
      </c>
      <c r="H6237" s="71"/>
      <c r="I6237" s="72"/>
      <c r="J6237" s="37">
        <v>0</v>
      </c>
    </row>
    <row r="6238" spans="1:10" ht="25.5" hidden="1" x14ac:dyDescent="0.25">
      <c r="A6238" s="179"/>
      <c r="B6238" s="177"/>
      <c r="C6238" s="43" t="s">
        <v>11298</v>
      </c>
      <c r="D6238" s="43" t="s">
        <v>83</v>
      </c>
      <c r="E6238" s="44">
        <v>1</v>
      </c>
      <c r="F6238" s="38">
        <v>19.189999999999998</v>
      </c>
      <c r="G6238" s="70">
        <f>IF(ISNUMBER(F6238),E6238*F6238,"")</f>
        <v>19.189999999999998</v>
      </c>
      <c r="H6238" s="46">
        <f>SUM(G6238:G6238)</f>
        <v>19.189999999999998</v>
      </c>
      <c r="I6238" s="47"/>
      <c r="J6238" s="37">
        <v>0</v>
      </c>
    </row>
    <row r="6239" spans="1:10" ht="15.75" hidden="1" thickBot="1" x14ac:dyDescent="0.3">
      <c r="A6239" s="180"/>
      <c r="B6239" s="178"/>
      <c r="C6239" s="49"/>
      <c r="D6239" s="63"/>
      <c r="E6239" s="50"/>
      <c r="F6239" s="83" t="s">
        <v>13</v>
      </c>
      <c r="G6239" s="83" t="str">
        <f>IF(ISNUMBER(F6239),E6239*F6239,"")</f>
        <v/>
      </c>
      <c r="H6239" s="84"/>
      <c r="I6239" s="72"/>
      <c r="J6239" s="37">
        <v>0</v>
      </c>
    </row>
    <row r="6240" spans="1:10" ht="15.75" hidden="1" thickBot="1" x14ac:dyDescent="0.3">
      <c r="A6240" s="173" t="s">
        <v>1489</v>
      </c>
      <c r="B6240" s="176" t="s">
        <v>6445</v>
      </c>
      <c r="C6240" s="31"/>
      <c r="D6240" s="32" t="s">
        <v>18</v>
      </c>
      <c r="E6240" s="33"/>
      <c r="F6240" s="60" t="s">
        <v>13</v>
      </c>
      <c r="G6240" s="34" t="str">
        <f>IF(ISNUMBER(F6240),E6240*F6240,"")</f>
        <v/>
      </c>
      <c r="H6240" s="35"/>
      <c r="I6240" s="36"/>
      <c r="J6240" s="37">
        <v>0</v>
      </c>
    </row>
    <row r="6241" spans="1:10" hidden="1" x14ac:dyDescent="0.25">
      <c r="A6241" s="179"/>
      <c r="B6241" s="177"/>
      <c r="C6241" s="39"/>
      <c r="D6241" s="39"/>
      <c r="E6241" s="40"/>
      <c r="F6241" s="70" t="s">
        <v>13</v>
      </c>
      <c r="G6241" s="70" t="str">
        <f>IF(ISNUMBER(F6241),E6241*F6241,"")</f>
        <v/>
      </c>
      <c r="H6241" s="71"/>
      <c r="I6241" s="72"/>
      <c r="J6241" s="37">
        <v>0</v>
      </c>
    </row>
    <row r="6242" spans="1:10" ht="38.25" hidden="1" x14ac:dyDescent="0.25">
      <c r="A6242" s="179"/>
      <c r="B6242" s="177"/>
      <c r="C6242" s="43" t="s">
        <v>11299</v>
      </c>
      <c r="D6242" s="43" t="s">
        <v>83</v>
      </c>
      <c r="E6242" s="44">
        <v>1</v>
      </c>
      <c r="F6242" s="38">
        <v>269.14449999999999</v>
      </c>
      <c r="G6242" s="70">
        <f>IF(ISNUMBER(F6242),E6242*F6242,"")</f>
        <v>269.14449999999999</v>
      </c>
      <c r="H6242" s="46">
        <f>SUM(G6242:G6242)</f>
        <v>269.14449999999999</v>
      </c>
      <c r="I6242" s="47"/>
      <c r="J6242" s="37">
        <v>0</v>
      </c>
    </row>
    <row r="6243" spans="1:10" ht="15.75" hidden="1" thickBot="1" x14ac:dyDescent="0.3">
      <c r="A6243" s="180"/>
      <c r="B6243" s="178"/>
      <c r="C6243" s="49"/>
      <c r="D6243" s="63"/>
      <c r="E6243" s="50"/>
      <c r="F6243" s="83" t="s">
        <v>13</v>
      </c>
      <c r="G6243" s="83" t="str">
        <f>IF(ISNUMBER(F6243),E6243*F6243,"")</f>
        <v/>
      </c>
      <c r="H6243" s="84"/>
      <c r="I6243" s="72"/>
      <c r="J6243" s="37">
        <v>0</v>
      </c>
    </row>
    <row r="6244" spans="1:10" ht="15.75" hidden="1" thickBot="1" x14ac:dyDescent="0.3">
      <c r="A6244" s="173" t="s">
        <v>1490</v>
      </c>
      <c r="B6244" s="176" t="s">
        <v>6446</v>
      </c>
      <c r="C6244" s="31"/>
      <c r="D6244" s="32" t="s">
        <v>18</v>
      </c>
      <c r="E6244" s="33"/>
      <c r="F6244" s="60" t="s">
        <v>13</v>
      </c>
      <c r="G6244" s="34" t="str">
        <f>IF(ISNUMBER(F6244),E6244*F6244,"")</f>
        <v/>
      </c>
      <c r="H6244" s="35"/>
      <c r="I6244" s="36"/>
      <c r="J6244" s="37">
        <v>0</v>
      </c>
    </row>
    <row r="6245" spans="1:10" hidden="1" x14ac:dyDescent="0.25">
      <c r="A6245" s="179"/>
      <c r="B6245" s="177"/>
      <c r="C6245" s="39"/>
      <c r="D6245" s="39"/>
      <c r="E6245" s="40"/>
      <c r="F6245" s="70" t="s">
        <v>13</v>
      </c>
      <c r="G6245" s="70" t="str">
        <f>IF(ISNUMBER(F6245),E6245*F6245,"")</f>
        <v/>
      </c>
      <c r="H6245" s="71"/>
      <c r="I6245" s="72"/>
      <c r="J6245" s="37">
        <v>0</v>
      </c>
    </row>
    <row r="6246" spans="1:10" ht="38.25" hidden="1" x14ac:dyDescent="0.25">
      <c r="A6246" s="179"/>
      <c r="B6246" s="177"/>
      <c r="C6246" s="43" t="s">
        <v>11300</v>
      </c>
      <c r="D6246" s="43" t="s">
        <v>83</v>
      </c>
      <c r="E6246" s="44">
        <v>1</v>
      </c>
      <c r="F6246" s="38">
        <v>498.64549999999997</v>
      </c>
      <c r="G6246" s="70">
        <f>IF(ISNUMBER(F6246),E6246*F6246,"")</f>
        <v>498.64549999999997</v>
      </c>
      <c r="H6246" s="46">
        <f>SUM(G6246:G6246)</f>
        <v>498.64549999999997</v>
      </c>
      <c r="I6246" s="47"/>
      <c r="J6246" s="37">
        <v>0</v>
      </c>
    </row>
    <row r="6247" spans="1:10" ht="15.75" hidden="1" thickBot="1" x14ac:dyDescent="0.3">
      <c r="A6247" s="180"/>
      <c r="B6247" s="178"/>
      <c r="C6247" s="49"/>
      <c r="D6247" s="63"/>
      <c r="E6247" s="50"/>
      <c r="F6247" s="83" t="s">
        <v>13</v>
      </c>
      <c r="G6247" s="83" t="str">
        <f>IF(ISNUMBER(F6247),E6247*F6247,"")</f>
        <v/>
      </c>
      <c r="H6247" s="84"/>
      <c r="I6247" s="72"/>
      <c r="J6247" s="37">
        <v>0</v>
      </c>
    </row>
    <row r="6248" spans="1:10" ht="15.75" hidden="1" thickBot="1" x14ac:dyDescent="0.3">
      <c r="A6248" s="173" t="s">
        <v>1491</v>
      </c>
      <c r="B6248" s="176" t="s">
        <v>6447</v>
      </c>
      <c r="C6248" s="31"/>
      <c r="D6248" s="32" t="s">
        <v>18</v>
      </c>
      <c r="E6248" s="33"/>
      <c r="F6248" s="60" t="s">
        <v>13</v>
      </c>
      <c r="G6248" s="34" t="str">
        <f>IF(ISNUMBER(F6248),E6248*F6248,"")</f>
        <v/>
      </c>
      <c r="H6248" s="35"/>
      <c r="I6248" s="36"/>
      <c r="J6248" s="37">
        <v>0</v>
      </c>
    </row>
    <row r="6249" spans="1:10" hidden="1" x14ac:dyDescent="0.25">
      <c r="A6249" s="179"/>
      <c r="B6249" s="177"/>
      <c r="C6249" s="39"/>
      <c r="D6249" s="39"/>
      <c r="E6249" s="40"/>
      <c r="F6249" s="70" t="s">
        <v>13</v>
      </c>
      <c r="G6249" s="70" t="str">
        <f>IF(ISNUMBER(F6249),E6249*F6249,"")</f>
        <v/>
      </c>
      <c r="H6249" s="71"/>
      <c r="I6249" s="72"/>
      <c r="J6249" s="37">
        <v>0</v>
      </c>
    </row>
    <row r="6250" spans="1:10" ht="38.25" hidden="1" x14ac:dyDescent="0.25">
      <c r="A6250" s="179"/>
      <c r="B6250" s="177"/>
      <c r="C6250" s="43" t="s">
        <v>11301</v>
      </c>
      <c r="D6250" s="43" t="s">
        <v>83</v>
      </c>
      <c r="E6250" s="44">
        <v>1</v>
      </c>
      <c r="F6250" s="38">
        <v>1080.6819999999998</v>
      </c>
      <c r="G6250" s="70">
        <f>IF(ISNUMBER(F6250),E6250*F6250,"")</f>
        <v>1080.6819999999998</v>
      </c>
      <c r="H6250" s="46">
        <f>SUM(G6250:G6250)</f>
        <v>1080.6819999999998</v>
      </c>
      <c r="I6250" s="47"/>
      <c r="J6250" s="37">
        <v>0</v>
      </c>
    </row>
    <row r="6251" spans="1:10" ht="15.75" hidden="1" thickBot="1" x14ac:dyDescent="0.3">
      <c r="A6251" s="180"/>
      <c r="B6251" s="178"/>
      <c r="C6251" s="49"/>
      <c r="D6251" s="63"/>
      <c r="E6251" s="50"/>
      <c r="F6251" s="83" t="s">
        <v>13</v>
      </c>
      <c r="G6251" s="83" t="str">
        <f>IF(ISNUMBER(F6251),E6251*F6251,"")</f>
        <v/>
      </c>
      <c r="H6251" s="84"/>
      <c r="I6251" s="72"/>
      <c r="J6251" s="37">
        <v>0</v>
      </c>
    </row>
    <row r="6252" spans="1:10" ht="15.75" hidden="1" thickBot="1" x14ac:dyDescent="0.3">
      <c r="A6252" s="173" t="s">
        <v>1492</v>
      </c>
      <c r="B6252" s="176" t="s">
        <v>6518</v>
      </c>
      <c r="C6252" s="31"/>
      <c r="D6252" s="32" t="s">
        <v>18</v>
      </c>
      <c r="E6252" s="33"/>
      <c r="F6252" s="60" t="s">
        <v>13</v>
      </c>
      <c r="G6252" s="34" t="str">
        <f>IF(ISNUMBER(F6252),E6252*F6252,"")</f>
        <v/>
      </c>
      <c r="H6252" s="35"/>
      <c r="I6252" s="36"/>
      <c r="J6252" s="37">
        <v>0</v>
      </c>
    </row>
    <row r="6253" spans="1:10" hidden="1" x14ac:dyDescent="0.25">
      <c r="A6253" s="179"/>
      <c r="B6253" s="177"/>
      <c r="C6253" s="39"/>
      <c r="D6253" s="39"/>
      <c r="E6253" s="40"/>
      <c r="F6253" s="70" t="s">
        <v>13</v>
      </c>
      <c r="G6253" s="70" t="str">
        <f>IF(ISNUMBER(F6253),E6253*F6253,"")</f>
        <v/>
      </c>
      <c r="H6253" s="71"/>
      <c r="I6253" s="72"/>
      <c r="J6253" s="37">
        <v>0</v>
      </c>
    </row>
    <row r="6254" spans="1:10" ht="38.25" hidden="1" x14ac:dyDescent="0.25">
      <c r="A6254" s="179"/>
      <c r="B6254" s="177"/>
      <c r="C6254" s="43" t="s">
        <v>11302</v>
      </c>
      <c r="D6254" s="43" t="s">
        <v>83</v>
      </c>
      <c r="E6254" s="44">
        <v>1</v>
      </c>
      <c r="F6254" s="38">
        <v>60.42</v>
      </c>
      <c r="G6254" s="70">
        <f>IF(ISNUMBER(F6254),E6254*F6254,"")</f>
        <v>60.42</v>
      </c>
      <c r="H6254" s="46">
        <f>SUM(G6254:G6254)</f>
        <v>60.42</v>
      </c>
      <c r="I6254" s="47"/>
      <c r="J6254" s="37">
        <v>0</v>
      </c>
    </row>
    <row r="6255" spans="1:10" ht="15.75" hidden="1" thickBot="1" x14ac:dyDescent="0.3">
      <c r="A6255" s="180"/>
      <c r="B6255" s="178"/>
      <c r="C6255" s="49"/>
      <c r="D6255" s="63"/>
      <c r="E6255" s="50"/>
      <c r="F6255" s="83" t="s">
        <v>13</v>
      </c>
      <c r="G6255" s="83" t="str">
        <f>IF(ISNUMBER(F6255),E6255*F6255,"")</f>
        <v/>
      </c>
      <c r="H6255" s="84"/>
      <c r="I6255" s="72"/>
      <c r="J6255" s="37">
        <v>0</v>
      </c>
    </row>
    <row r="6256" spans="1:10" ht="15.75" hidden="1" thickBot="1" x14ac:dyDescent="0.3">
      <c r="A6256" s="173" t="s">
        <v>1493</v>
      </c>
      <c r="B6256" s="176" t="s">
        <v>6587</v>
      </c>
      <c r="C6256" s="31"/>
      <c r="D6256" s="32" t="s">
        <v>18</v>
      </c>
      <c r="E6256" s="33"/>
      <c r="F6256" s="60" t="s">
        <v>13</v>
      </c>
      <c r="G6256" s="34" t="str">
        <f>IF(ISNUMBER(F6256),E6256*F6256,"")</f>
        <v/>
      </c>
      <c r="H6256" s="35"/>
      <c r="I6256" s="36"/>
      <c r="J6256" s="37">
        <v>0</v>
      </c>
    </row>
    <row r="6257" spans="1:10" hidden="1" x14ac:dyDescent="0.25">
      <c r="A6257" s="179"/>
      <c r="B6257" s="177"/>
      <c r="C6257" s="39"/>
      <c r="D6257" s="39"/>
      <c r="E6257" s="40"/>
      <c r="F6257" s="70" t="s">
        <v>13</v>
      </c>
      <c r="G6257" s="70" t="str">
        <f>IF(ISNUMBER(F6257),E6257*F6257,"")</f>
        <v/>
      </c>
      <c r="H6257" s="71"/>
      <c r="I6257" s="72"/>
      <c r="J6257" s="37">
        <v>0</v>
      </c>
    </row>
    <row r="6258" spans="1:10" ht="38.25" hidden="1" x14ac:dyDescent="0.25">
      <c r="A6258" s="179"/>
      <c r="B6258" s="177"/>
      <c r="C6258" s="43" t="s">
        <v>11303</v>
      </c>
      <c r="D6258" s="43" t="s">
        <v>83</v>
      </c>
      <c r="E6258" s="44">
        <v>1</v>
      </c>
      <c r="F6258" s="38">
        <v>57.683999999999997</v>
      </c>
      <c r="G6258" s="70">
        <f>IF(ISNUMBER(F6258),E6258*F6258,"")</f>
        <v>57.683999999999997</v>
      </c>
      <c r="H6258" s="46">
        <f>SUM(G6258:G6258)</f>
        <v>57.683999999999997</v>
      </c>
      <c r="I6258" s="47"/>
      <c r="J6258" s="37">
        <v>0</v>
      </c>
    </row>
    <row r="6259" spans="1:10" ht="15.75" hidden="1" thickBot="1" x14ac:dyDescent="0.3">
      <c r="A6259" s="180"/>
      <c r="B6259" s="178"/>
      <c r="C6259" s="49"/>
      <c r="D6259" s="63"/>
      <c r="E6259" s="50"/>
      <c r="F6259" s="83" t="s">
        <v>13</v>
      </c>
      <c r="G6259" s="83" t="str">
        <f>IF(ISNUMBER(F6259),E6259*F6259,"")</f>
        <v/>
      </c>
      <c r="H6259" s="84"/>
      <c r="I6259" s="72"/>
      <c r="J6259" s="37">
        <v>0</v>
      </c>
    </row>
    <row r="6260" spans="1:10" ht="15.75" hidden="1" thickBot="1" x14ac:dyDescent="0.3">
      <c r="A6260" s="173" t="s">
        <v>1494</v>
      </c>
      <c r="B6260" s="176" t="s">
        <v>6596</v>
      </c>
      <c r="C6260" s="31"/>
      <c r="D6260" s="32" t="s">
        <v>18</v>
      </c>
      <c r="E6260" s="33"/>
      <c r="F6260" s="60" t="s">
        <v>13</v>
      </c>
      <c r="G6260" s="34" t="str">
        <f>IF(ISNUMBER(F6260),E6260*F6260,"")</f>
        <v/>
      </c>
      <c r="H6260" s="35"/>
      <c r="I6260" s="36"/>
      <c r="J6260" s="37">
        <v>0</v>
      </c>
    </row>
    <row r="6261" spans="1:10" hidden="1" x14ac:dyDescent="0.25">
      <c r="A6261" s="179"/>
      <c r="B6261" s="177"/>
      <c r="C6261" s="39"/>
      <c r="D6261" s="39"/>
      <c r="E6261" s="40"/>
      <c r="F6261" s="70" t="s">
        <v>13</v>
      </c>
      <c r="G6261" s="70" t="str">
        <f>IF(ISNUMBER(F6261),E6261*F6261,"")</f>
        <v/>
      </c>
      <c r="H6261" s="71"/>
      <c r="I6261" s="72"/>
      <c r="J6261" s="37">
        <v>0</v>
      </c>
    </row>
    <row r="6262" spans="1:10" ht="38.25" hidden="1" x14ac:dyDescent="0.25">
      <c r="A6262" s="179"/>
      <c r="B6262" s="177"/>
      <c r="C6262" s="43" t="s">
        <v>11304</v>
      </c>
      <c r="D6262" s="43" t="s">
        <v>83</v>
      </c>
      <c r="E6262" s="44">
        <v>1</v>
      </c>
      <c r="F6262" s="38">
        <v>100.40549999999999</v>
      </c>
      <c r="G6262" s="70">
        <f>IF(ISNUMBER(F6262),E6262*F6262,"")</f>
        <v>100.40549999999999</v>
      </c>
      <c r="H6262" s="46">
        <f>SUM(G6262:G6262)</f>
        <v>100.40549999999999</v>
      </c>
      <c r="I6262" s="47"/>
      <c r="J6262" s="37">
        <v>0</v>
      </c>
    </row>
    <row r="6263" spans="1:10" ht="15.75" hidden="1" thickBot="1" x14ac:dyDescent="0.3">
      <c r="A6263" s="180"/>
      <c r="B6263" s="178"/>
      <c r="C6263" s="49"/>
      <c r="D6263" s="63"/>
      <c r="E6263" s="50"/>
      <c r="F6263" s="83" t="s">
        <v>13</v>
      </c>
      <c r="G6263" s="83" t="str">
        <f>IF(ISNUMBER(F6263),E6263*F6263,"")</f>
        <v/>
      </c>
      <c r="H6263" s="84"/>
      <c r="I6263" s="72"/>
      <c r="J6263" s="37">
        <v>0</v>
      </c>
    </row>
    <row r="6264" spans="1:10" ht="15.75" hidden="1" thickBot="1" x14ac:dyDescent="0.3">
      <c r="A6264" s="173" t="s">
        <v>1495</v>
      </c>
      <c r="B6264" s="176" t="s">
        <v>6597</v>
      </c>
      <c r="C6264" s="31"/>
      <c r="D6264" s="32" t="s">
        <v>18</v>
      </c>
      <c r="E6264" s="33"/>
      <c r="F6264" s="60" t="s">
        <v>13</v>
      </c>
      <c r="G6264" s="34" t="str">
        <f>IF(ISNUMBER(F6264),E6264*F6264,"")</f>
        <v/>
      </c>
      <c r="H6264" s="35"/>
      <c r="I6264" s="36"/>
      <c r="J6264" s="37">
        <v>0</v>
      </c>
    </row>
    <row r="6265" spans="1:10" hidden="1" x14ac:dyDescent="0.25">
      <c r="A6265" s="179"/>
      <c r="B6265" s="177"/>
      <c r="C6265" s="39"/>
      <c r="D6265" s="39"/>
      <c r="E6265" s="40"/>
      <c r="F6265" s="70" t="s">
        <v>13</v>
      </c>
      <c r="G6265" s="70" t="str">
        <f>IF(ISNUMBER(F6265),E6265*F6265,"")</f>
        <v/>
      </c>
      <c r="H6265" s="71"/>
      <c r="I6265" s="72"/>
      <c r="J6265" s="37">
        <v>0</v>
      </c>
    </row>
    <row r="6266" spans="1:10" ht="25.5" hidden="1" x14ac:dyDescent="0.25">
      <c r="A6266" s="179"/>
      <c r="B6266" s="177"/>
      <c r="C6266" s="43" t="s">
        <v>11305</v>
      </c>
      <c r="D6266" s="43" t="s">
        <v>83</v>
      </c>
      <c r="E6266" s="44">
        <v>1</v>
      </c>
      <c r="F6266" s="38">
        <v>5.6714999999999991</v>
      </c>
      <c r="G6266" s="70">
        <f>IF(ISNUMBER(F6266),E6266*F6266,"")</f>
        <v>5.6714999999999991</v>
      </c>
      <c r="H6266" s="46">
        <f>SUM(G6266:G6266)</f>
        <v>5.6714999999999991</v>
      </c>
      <c r="I6266" s="47"/>
      <c r="J6266" s="37">
        <v>0</v>
      </c>
    </row>
    <row r="6267" spans="1:10" ht="15.75" hidden="1" thickBot="1" x14ac:dyDescent="0.3">
      <c r="A6267" s="180"/>
      <c r="B6267" s="178"/>
      <c r="C6267" s="49"/>
      <c r="D6267" s="63"/>
      <c r="E6267" s="50"/>
      <c r="F6267" s="83" t="s">
        <v>13</v>
      </c>
      <c r="G6267" s="83" t="str">
        <f>IF(ISNUMBER(F6267),E6267*F6267,"")</f>
        <v/>
      </c>
      <c r="H6267" s="84"/>
      <c r="I6267" s="72"/>
      <c r="J6267" s="37">
        <v>0</v>
      </c>
    </row>
    <row r="6268" spans="1:10" ht="15.75" hidden="1" thickBot="1" x14ac:dyDescent="0.3">
      <c r="A6268" s="173" t="s">
        <v>1496</v>
      </c>
      <c r="B6268" s="176" t="s">
        <v>6598</v>
      </c>
      <c r="C6268" s="31"/>
      <c r="D6268" s="32" t="s">
        <v>18</v>
      </c>
      <c r="E6268" s="33"/>
      <c r="F6268" s="60" t="s">
        <v>13</v>
      </c>
      <c r="G6268" s="34" t="str">
        <f>IF(ISNUMBER(F6268),E6268*F6268,"")</f>
        <v/>
      </c>
      <c r="H6268" s="35"/>
      <c r="I6268" s="36"/>
      <c r="J6268" s="37">
        <v>0</v>
      </c>
    </row>
    <row r="6269" spans="1:10" hidden="1" x14ac:dyDescent="0.25">
      <c r="A6269" s="179"/>
      <c r="B6269" s="177"/>
      <c r="C6269" s="39"/>
      <c r="D6269" s="39"/>
      <c r="E6269" s="40"/>
      <c r="F6269" s="70" t="s">
        <v>13</v>
      </c>
      <c r="G6269" s="70" t="str">
        <f>IF(ISNUMBER(F6269),E6269*F6269,"")</f>
        <v/>
      </c>
      <c r="H6269" s="71"/>
      <c r="I6269" s="72"/>
      <c r="J6269" s="37">
        <v>0</v>
      </c>
    </row>
    <row r="6270" spans="1:10" ht="25.5" hidden="1" x14ac:dyDescent="0.25">
      <c r="A6270" s="179"/>
      <c r="B6270" s="177"/>
      <c r="C6270" s="43" t="s">
        <v>11306</v>
      </c>
      <c r="D6270" s="43" t="s">
        <v>83</v>
      </c>
      <c r="E6270" s="44">
        <v>1</v>
      </c>
      <c r="F6270" s="38">
        <v>10.231499999999999</v>
      </c>
      <c r="G6270" s="70">
        <f>IF(ISNUMBER(F6270),E6270*F6270,"")</f>
        <v>10.231499999999999</v>
      </c>
      <c r="H6270" s="46">
        <f>SUM(G6270:G6270)</f>
        <v>10.231499999999999</v>
      </c>
      <c r="I6270" s="47"/>
      <c r="J6270" s="37">
        <v>0</v>
      </c>
    </row>
    <row r="6271" spans="1:10" ht="15.75" hidden="1" thickBot="1" x14ac:dyDescent="0.3">
      <c r="A6271" s="180"/>
      <c r="B6271" s="178"/>
      <c r="C6271" s="49"/>
      <c r="D6271" s="63"/>
      <c r="E6271" s="50"/>
      <c r="F6271" s="83" t="s">
        <v>13</v>
      </c>
      <c r="G6271" s="83" t="str">
        <f>IF(ISNUMBER(F6271),E6271*F6271,"")</f>
        <v/>
      </c>
      <c r="H6271" s="84"/>
      <c r="I6271" s="72"/>
      <c r="J6271" s="37">
        <v>0</v>
      </c>
    </row>
    <row r="6272" spans="1:10" ht="15.75" hidden="1" thickBot="1" x14ac:dyDescent="0.3">
      <c r="A6272" s="173" t="s">
        <v>1497</v>
      </c>
      <c r="B6272" s="176" t="s">
        <v>6601</v>
      </c>
      <c r="C6272" s="31"/>
      <c r="D6272" s="32" t="s">
        <v>18</v>
      </c>
      <c r="E6272" s="33"/>
      <c r="F6272" s="60" t="s">
        <v>13</v>
      </c>
      <c r="G6272" s="34" t="str">
        <f>IF(ISNUMBER(F6272),E6272*F6272,"")</f>
        <v/>
      </c>
      <c r="H6272" s="35"/>
      <c r="I6272" s="36"/>
      <c r="J6272" s="37">
        <v>0</v>
      </c>
    </row>
    <row r="6273" spans="1:10" hidden="1" x14ac:dyDescent="0.25">
      <c r="A6273" s="179"/>
      <c r="B6273" s="177"/>
      <c r="C6273" s="39"/>
      <c r="D6273" s="39"/>
      <c r="E6273" s="40"/>
      <c r="F6273" s="70" t="s">
        <v>13</v>
      </c>
      <c r="G6273" s="70" t="str">
        <f>IF(ISNUMBER(F6273),E6273*F6273,"")</f>
        <v/>
      </c>
      <c r="H6273" s="71"/>
      <c r="I6273" s="72"/>
      <c r="J6273" s="37">
        <v>0</v>
      </c>
    </row>
    <row r="6274" spans="1:10" hidden="1" x14ac:dyDescent="0.25">
      <c r="A6274" s="179"/>
      <c r="B6274" s="177"/>
      <c r="C6274" s="43" t="s">
        <v>11307</v>
      </c>
      <c r="D6274" s="43" t="s">
        <v>1302</v>
      </c>
      <c r="E6274" s="44">
        <v>3</v>
      </c>
      <c r="F6274" s="38">
        <v>47.8705</v>
      </c>
      <c r="G6274" s="70">
        <f>IF(ISNUMBER(F6274),E6274*F6274,"")</f>
        <v>143.61150000000001</v>
      </c>
      <c r="H6274" s="46">
        <f>SUM(G6274:G6274)</f>
        <v>143.61150000000001</v>
      </c>
      <c r="I6274" s="47"/>
      <c r="J6274" s="37">
        <v>0</v>
      </c>
    </row>
    <row r="6275" spans="1:10" ht="15.75" hidden="1" thickBot="1" x14ac:dyDescent="0.3">
      <c r="A6275" s="180"/>
      <c r="B6275" s="178"/>
      <c r="C6275" s="49"/>
      <c r="D6275" s="63"/>
      <c r="E6275" s="50"/>
      <c r="F6275" s="83" t="s">
        <v>13</v>
      </c>
      <c r="G6275" s="83" t="str">
        <f>IF(ISNUMBER(F6275),E6275*F6275,"")</f>
        <v/>
      </c>
      <c r="H6275" s="84"/>
      <c r="I6275" s="72"/>
      <c r="J6275" s="37">
        <v>0</v>
      </c>
    </row>
    <row r="6276" spans="1:10" ht="15.75" hidden="1" thickBot="1" x14ac:dyDescent="0.3">
      <c r="A6276" s="173" t="s">
        <v>1498</v>
      </c>
      <c r="B6276" s="176" t="s">
        <v>6637</v>
      </c>
      <c r="C6276" s="31"/>
      <c r="D6276" s="32" t="s">
        <v>18</v>
      </c>
      <c r="E6276" s="33"/>
      <c r="F6276" s="60" t="s">
        <v>13</v>
      </c>
      <c r="G6276" s="34" t="str">
        <f>IF(ISNUMBER(F6276),E6276*F6276,"")</f>
        <v/>
      </c>
      <c r="H6276" s="35"/>
      <c r="I6276" s="36"/>
      <c r="J6276" s="37">
        <v>0</v>
      </c>
    </row>
    <row r="6277" spans="1:10" hidden="1" x14ac:dyDescent="0.25">
      <c r="A6277" s="179"/>
      <c r="B6277" s="177"/>
      <c r="C6277" s="39"/>
      <c r="D6277" s="39"/>
      <c r="E6277" s="40"/>
      <c r="F6277" s="70" t="s">
        <v>13</v>
      </c>
      <c r="G6277" s="70" t="str">
        <f>IF(ISNUMBER(F6277),E6277*F6277,"")</f>
        <v/>
      </c>
      <c r="H6277" s="71"/>
      <c r="I6277" s="72"/>
      <c r="J6277" s="37">
        <v>0</v>
      </c>
    </row>
    <row r="6278" spans="1:10" ht="25.5" hidden="1" x14ac:dyDescent="0.25">
      <c r="A6278" s="179"/>
      <c r="B6278" s="177"/>
      <c r="C6278" s="43" t="s">
        <v>11308</v>
      </c>
      <c r="D6278" s="43" t="s">
        <v>83</v>
      </c>
      <c r="E6278" s="44">
        <v>1</v>
      </c>
      <c r="F6278" s="38">
        <v>3.952</v>
      </c>
      <c r="G6278" s="70">
        <f>IF(ISNUMBER(F6278),E6278*F6278,"")</f>
        <v>3.952</v>
      </c>
      <c r="H6278" s="46">
        <f>SUM(G6278:G6278)</f>
        <v>3.952</v>
      </c>
      <c r="I6278" s="47"/>
      <c r="J6278" s="37">
        <v>0</v>
      </c>
    </row>
    <row r="6279" spans="1:10" ht="15.75" hidden="1" thickBot="1" x14ac:dyDescent="0.3">
      <c r="A6279" s="180"/>
      <c r="B6279" s="178"/>
      <c r="C6279" s="49"/>
      <c r="D6279" s="63"/>
      <c r="E6279" s="50"/>
      <c r="F6279" s="83" t="s">
        <v>13</v>
      </c>
      <c r="G6279" s="83" t="str">
        <f>IF(ISNUMBER(F6279),E6279*F6279,"")</f>
        <v/>
      </c>
      <c r="H6279" s="84"/>
      <c r="I6279" s="72"/>
      <c r="J6279" s="37">
        <v>0</v>
      </c>
    </row>
    <row r="6280" spans="1:10" ht="15.75" hidden="1" thickBot="1" x14ac:dyDescent="0.3">
      <c r="A6280" s="173" t="s">
        <v>1499</v>
      </c>
      <c r="B6280" s="176" t="s">
        <v>6630</v>
      </c>
      <c r="C6280" s="31"/>
      <c r="D6280" s="32" t="s">
        <v>5031</v>
      </c>
      <c r="E6280" s="33"/>
      <c r="F6280" s="60" t="s">
        <v>13</v>
      </c>
      <c r="G6280" s="34" t="str">
        <f>IF(ISNUMBER(F6280),E6280*F6280,"")</f>
        <v/>
      </c>
      <c r="H6280" s="35"/>
      <c r="I6280" s="36"/>
      <c r="J6280" s="37">
        <v>0</v>
      </c>
    </row>
    <row r="6281" spans="1:10" hidden="1" x14ac:dyDescent="0.25">
      <c r="A6281" s="179"/>
      <c r="B6281" s="177"/>
      <c r="C6281" s="39"/>
      <c r="D6281" s="39"/>
      <c r="E6281" s="40"/>
      <c r="F6281" s="70" t="s">
        <v>13</v>
      </c>
      <c r="G6281" s="70" t="str">
        <f>IF(ISNUMBER(F6281),E6281*F6281,"")</f>
        <v/>
      </c>
      <c r="H6281" s="71"/>
      <c r="I6281" s="72"/>
      <c r="J6281" s="37">
        <v>0</v>
      </c>
    </row>
    <row r="6282" spans="1:10" ht="25.5" hidden="1" x14ac:dyDescent="0.25">
      <c r="A6282" s="179"/>
      <c r="B6282" s="177"/>
      <c r="C6282" s="43" t="s">
        <v>10879</v>
      </c>
      <c r="D6282" s="43" t="s">
        <v>1044</v>
      </c>
      <c r="E6282" s="44">
        <v>1</v>
      </c>
      <c r="F6282" s="38">
        <v>56.296999999999997</v>
      </c>
      <c r="G6282" s="70">
        <f>IF(ISNUMBER(F6282),E6282*F6282,"")</f>
        <v>56.296999999999997</v>
      </c>
      <c r="H6282" s="46">
        <f>SUM(G6282:G6282)</f>
        <v>56.296999999999997</v>
      </c>
      <c r="I6282" s="47"/>
      <c r="J6282" s="37">
        <v>0</v>
      </c>
    </row>
    <row r="6283" spans="1:10" ht="15.75" hidden="1" thickBot="1" x14ac:dyDescent="0.3">
      <c r="A6283" s="180"/>
      <c r="B6283" s="178"/>
      <c r="C6283" s="49"/>
      <c r="D6283" s="63"/>
      <c r="E6283" s="50"/>
      <c r="F6283" s="83" t="s">
        <v>13</v>
      </c>
      <c r="G6283" s="83" t="str">
        <f>IF(ISNUMBER(F6283),E6283*F6283,"")</f>
        <v/>
      </c>
      <c r="H6283" s="84"/>
      <c r="I6283" s="72"/>
      <c r="J6283" s="37">
        <v>0</v>
      </c>
    </row>
    <row r="6284" spans="1:10" ht="15.75" hidden="1" thickBot="1" x14ac:dyDescent="0.3">
      <c r="A6284" s="173" t="s">
        <v>1500</v>
      </c>
      <c r="B6284" s="176" t="s">
        <v>6663</v>
      </c>
      <c r="C6284" s="31"/>
      <c r="D6284" s="32" t="s">
        <v>18</v>
      </c>
      <c r="E6284" s="33"/>
      <c r="F6284" s="60" t="s">
        <v>13</v>
      </c>
      <c r="G6284" s="34" t="str">
        <f>IF(ISNUMBER(F6284),E6284*F6284,"")</f>
        <v/>
      </c>
      <c r="H6284" s="35"/>
      <c r="I6284" s="36"/>
      <c r="J6284" s="37">
        <v>0</v>
      </c>
    </row>
    <row r="6285" spans="1:10" hidden="1" x14ac:dyDescent="0.25">
      <c r="A6285" s="179"/>
      <c r="B6285" s="177"/>
      <c r="C6285" s="39"/>
      <c r="D6285" s="39"/>
      <c r="E6285" s="40"/>
      <c r="F6285" s="70" t="s">
        <v>13</v>
      </c>
      <c r="G6285" s="70" t="str">
        <f>IF(ISNUMBER(F6285),E6285*F6285,"")</f>
        <v/>
      </c>
      <c r="H6285" s="71"/>
      <c r="I6285" s="72"/>
      <c r="J6285" s="37">
        <v>0</v>
      </c>
    </row>
    <row r="6286" spans="1:10" ht="38.25" hidden="1" x14ac:dyDescent="0.25">
      <c r="A6286" s="179"/>
      <c r="B6286" s="177"/>
      <c r="C6286" s="43" t="s">
        <v>11206</v>
      </c>
      <c r="D6286" s="43" t="s">
        <v>83</v>
      </c>
      <c r="E6286" s="44">
        <v>1</v>
      </c>
      <c r="F6286" s="38">
        <v>649.66700000000003</v>
      </c>
      <c r="G6286" s="70">
        <f>IF(ISNUMBER(F6286),E6286*F6286,"")</f>
        <v>649.66700000000003</v>
      </c>
      <c r="H6286" s="46">
        <f>SUM(G6286:G6286)</f>
        <v>649.66700000000003</v>
      </c>
      <c r="I6286" s="47"/>
      <c r="J6286" s="37">
        <v>0</v>
      </c>
    </row>
    <row r="6287" spans="1:10" ht="15.75" hidden="1" thickBot="1" x14ac:dyDescent="0.3">
      <c r="A6287" s="180"/>
      <c r="B6287" s="178"/>
      <c r="C6287" s="49"/>
      <c r="D6287" s="63"/>
      <c r="E6287" s="50"/>
      <c r="F6287" s="83" t="s">
        <v>13</v>
      </c>
      <c r="G6287" s="83" t="str">
        <f>IF(ISNUMBER(F6287),E6287*F6287,"")</f>
        <v/>
      </c>
      <c r="H6287" s="84"/>
      <c r="I6287" s="72"/>
      <c r="J6287" s="37">
        <v>0</v>
      </c>
    </row>
    <row r="6288" spans="1:10" ht="15.75" hidden="1" thickBot="1" x14ac:dyDescent="0.3">
      <c r="A6288" s="173" t="s">
        <v>1501</v>
      </c>
      <c r="B6288" s="176" t="s">
        <v>6664</v>
      </c>
      <c r="C6288" s="31"/>
      <c r="D6288" s="32" t="s">
        <v>18</v>
      </c>
      <c r="E6288" s="33"/>
      <c r="F6288" s="60" t="s">
        <v>13</v>
      </c>
      <c r="G6288" s="34" t="str">
        <f>IF(ISNUMBER(F6288),E6288*F6288,"")</f>
        <v/>
      </c>
      <c r="H6288" s="35"/>
      <c r="I6288" s="36"/>
      <c r="J6288" s="37">
        <v>0</v>
      </c>
    </row>
    <row r="6289" spans="1:10" hidden="1" x14ac:dyDescent="0.25">
      <c r="A6289" s="179"/>
      <c r="B6289" s="177"/>
      <c r="C6289" s="39"/>
      <c r="D6289" s="39"/>
      <c r="E6289" s="40"/>
      <c r="F6289" s="70" t="s">
        <v>13</v>
      </c>
      <c r="G6289" s="70" t="str">
        <f>IF(ISNUMBER(F6289),E6289*F6289,"")</f>
        <v/>
      </c>
      <c r="H6289" s="71"/>
      <c r="I6289" s="72"/>
      <c r="J6289" s="37">
        <v>0</v>
      </c>
    </row>
    <row r="6290" spans="1:10" ht="38.25" hidden="1" x14ac:dyDescent="0.25">
      <c r="A6290" s="179"/>
      <c r="B6290" s="177"/>
      <c r="C6290" s="43" t="s">
        <v>11309</v>
      </c>
      <c r="D6290" s="43" t="s">
        <v>83</v>
      </c>
      <c r="E6290" s="44">
        <v>1</v>
      </c>
      <c r="F6290" s="38">
        <v>530.18550000000005</v>
      </c>
      <c r="G6290" s="70">
        <f>IF(ISNUMBER(F6290),E6290*F6290,"")</f>
        <v>530.18550000000005</v>
      </c>
      <c r="H6290" s="46">
        <f>SUM(G6290:G6290)</f>
        <v>530.18550000000005</v>
      </c>
      <c r="I6290" s="47"/>
      <c r="J6290" s="37">
        <v>0</v>
      </c>
    </row>
    <row r="6291" spans="1:10" ht="15.75" hidden="1" thickBot="1" x14ac:dyDescent="0.3">
      <c r="A6291" s="180"/>
      <c r="B6291" s="178"/>
      <c r="C6291" s="49"/>
      <c r="D6291" s="63"/>
      <c r="E6291" s="50"/>
      <c r="F6291" s="83" t="s">
        <v>13</v>
      </c>
      <c r="G6291" s="83" t="str">
        <f>IF(ISNUMBER(F6291),E6291*F6291,"")</f>
        <v/>
      </c>
      <c r="H6291" s="84"/>
      <c r="I6291" s="72"/>
      <c r="J6291" s="37">
        <v>0</v>
      </c>
    </row>
    <row r="6292" spans="1:10" ht="15.75" hidden="1" thickBot="1" x14ac:dyDescent="0.3">
      <c r="A6292" s="173" t="s">
        <v>1502</v>
      </c>
      <c r="B6292" s="176" t="s">
        <v>6665</v>
      </c>
      <c r="C6292" s="31"/>
      <c r="D6292" s="32" t="s">
        <v>18</v>
      </c>
      <c r="E6292" s="33"/>
      <c r="F6292" s="60" t="s">
        <v>13</v>
      </c>
      <c r="G6292" s="34" t="str">
        <f>IF(ISNUMBER(F6292),E6292*F6292,"")</f>
        <v/>
      </c>
      <c r="H6292" s="35"/>
      <c r="I6292" s="36"/>
      <c r="J6292" s="37">
        <v>0</v>
      </c>
    </row>
    <row r="6293" spans="1:10" hidden="1" x14ac:dyDescent="0.25">
      <c r="A6293" s="179"/>
      <c r="B6293" s="177"/>
      <c r="C6293" s="39"/>
      <c r="D6293" s="39"/>
      <c r="E6293" s="40"/>
      <c r="F6293" s="70" t="s">
        <v>13</v>
      </c>
      <c r="G6293" s="70" t="str">
        <f>IF(ISNUMBER(F6293),E6293*F6293,"")</f>
        <v/>
      </c>
      <c r="H6293" s="71"/>
      <c r="I6293" s="72"/>
      <c r="J6293" s="37">
        <v>0</v>
      </c>
    </row>
    <row r="6294" spans="1:10" ht="38.25" hidden="1" x14ac:dyDescent="0.25">
      <c r="A6294" s="179"/>
      <c r="B6294" s="177"/>
      <c r="C6294" s="43" t="s">
        <v>11310</v>
      </c>
      <c r="D6294" s="43" t="s">
        <v>83</v>
      </c>
      <c r="E6294" s="44">
        <v>1</v>
      </c>
      <c r="F6294" s="38">
        <v>271.06349999999998</v>
      </c>
      <c r="G6294" s="70">
        <f>IF(ISNUMBER(F6294),E6294*F6294,"")</f>
        <v>271.06349999999998</v>
      </c>
      <c r="H6294" s="46">
        <f>SUM(G6294:G6294)</f>
        <v>271.06349999999998</v>
      </c>
      <c r="I6294" s="47"/>
      <c r="J6294" s="37">
        <v>0</v>
      </c>
    </row>
    <row r="6295" spans="1:10" ht="15.75" hidden="1" thickBot="1" x14ac:dyDescent="0.3">
      <c r="A6295" s="180"/>
      <c r="B6295" s="178"/>
      <c r="C6295" s="49"/>
      <c r="D6295" s="63"/>
      <c r="E6295" s="50"/>
      <c r="F6295" s="83" t="s">
        <v>13</v>
      </c>
      <c r="G6295" s="83" t="str">
        <f>IF(ISNUMBER(F6295),E6295*F6295,"")</f>
        <v/>
      </c>
      <c r="H6295" s="84"/>
      <c r="I6295" s="72"/>
      <c r="J6295" s="37">
        <v>0</v>
      </c>
    </row>
    <row r="6296" spans="1:10" ht="15.75" hidden="1" thickBot="1" x14ac:dyDescent="0.3">
      <c r="A6296" s="173" t="s">
        <v>1503</v>
      </c>
      <c r="B6296" s="176" t="s">
        <v>6730</v>
      </c>
      <c r="C6296" s="31"/>
      <c r="D6296" s="32" t="s">
        <v>68</v>
      </c>
      <c r="E6296" s="33"/>
      <c r="F6296" s="60" t="s">
        <v>13</v>
      </c>
      <c r="G6296" s="34" t="str">
        <f>IF(ISNUMBER(F6296),E6296*F6296,"")</f>
        <v/>
      </c>
      <c r="H6296" s="35"/>
      <c r="I6296" s="36"/>
      <c r="J6296" s="37">
        <v>0</v>
      </c>
    </row>
    <row r="6297" spans="1:10" hidden="1" x14ac:dyDescent="0.25">
      <c r="A6297" s="179"/>
      <c r="B6297" s="177"/>
      <c r="C6297" s="39"/>
      <c r="D6297" s="39"/>
      <c r="E6297" s="40"/>
      <c r="F6297" s="70" t="s">
        <v>13</v>
      </c>
      <c r="G6297" s="70" t="str">
        <f>IF(ISNUMBER(F6297),E6297*F6297,"")</f>
        <v/>
      </c>
      <c r="H6297" s="71"/>
      <c r="I6297" s="72"/>
      <c r="J6297" s="37">
        <v>0</v>
      </c>
    </row>
    <row r="6298" spans="1:10" ht="51" hidden="1" x14ac:dyDescent="0.25">
      <c r="A6298" s="179"/>
      <c r="B6298" s="177"/>
      <c r="C6298" s="43" t="s">
        <v>11311</v>
      </c>
      <c r="D6298" s="43" t="s">
        <v>83</v>
      </c>
      <c r="E6298" s="44">
        <f>1/0.13/0.26</f>
        <v>29.585798816568044</v>
      </c>
      <c r="F6298" s="38">
        <v>23.75</v>
      </c>
      <c r="G6298" s="70">
        <f>IF(ISNUMBER(F6298),E6298*F6298,"")</f>
        <v>702.66272189349104</v>
      </c>
      <c r="H6298" s="46">
        <f>SUM(G6298:G6298)</f>
        <v>702.66272189349104</v>
      </c>
      <c r="I6298" s="47"/>
      <c r="J6298" s="37">
        <v>0</v>
      </c>
    </row>
    <row r="6299" spans="1:10" ht="15.75" hidden="1" thickBot="1" x14ac:dyDescent="0.3">
      <c r="A6299" s="180"/>
      <c r="B6299" s="178"/>
      <c r="C6299" s="49"/>
      <c r="D6299" s="63"/>
      <c r="E6299" s="50"/>
      <c r="F6299" s="83" t="s">
        <v>13</v>
      </c>
      <c r="G6299" s="83" t="str">
        <f>IF(ISNUMBER(F6299),E6299*F6299,"")</f>
        <v/>
      </c>
      <c r="H6299" s="84"/>
      <c r="I6299" s="72"/>
      <c r="J6299" s="37">
        <v>0</v>
      </c>
    </row>
    <row r="6300" spans="1:10" ht="15.75" hidden="1" thickBot="1" x14ac:dyDescent="0.3">
      <c r="A6300" s="173" t="s">
        <v>1504</v>
      </c>
      <c r="B6300" s="176" t="s">
        <v>6761</v>
      </c>
      <c r="C6300" s="31"/>
      <c r="D6300" s="32" t="s">
        <v>18</v>
      </c>
      <c r="E6300" s="33"/>
      <c r="F6300" s="60" t="s">
        <v>13</v>
      </c>
      <c r="G6300" s="34" t="str">
        <f>IF(ISNUMBER(F6300),E6300*F6300,"")</f>
        <v/>
      </c>
      <c r="H6300" s="35"/>
      <c r="I6300" s="36"/>
      <c r="J6300" s="37">
        <v>0</v>
      </c>
    </row>
    <row r="6301" spans="1:10" hidden="1" x14ac:dyDescent="0.25">
      <c r="A6301" s="179"/>
      <c r="B6301" s="177"/>
      <c r="C6301" s="39"/>
      <c r="D6301" s="39"/>
      <c r="E6301" s="40"/>
      <c r="F6301" s="70" t="s">
        <v>13</v>
      </c>
      <c r="G6301" s="70" t="str">
        <f>IF(ISNUMBER(F6301),E6301*F6301,"")</f>
        <v/>
      </c>
      <c r="H6301" s="71"/>
      <c r="I6301" s="72"/>
      <c r="J6301" s="37">
        <v>0</v>
      </c>
    </row>
    <row r="6302" spans="1:10" hidden="1" x14ac:dyDescent="0.25">
      <c r="A6302" s="179"/>
      <c r="B6302" s="177"/>
      <c r="C6302" s="43" t="s">
        <v>10763</v>
      </c>
      <c r="D6302" s="43" t="s">
        <v>2800</v>
      </c>
      <c r="E6302" s="44">
        <v>0.55000000000000004</v>
      </c>
      <c r="F6302" s="38">
        <v>31.435500000000001</v>
      </c>
      <c r="G6302" s="70">
        <f>IF(ISNUMBER(F6302),E6302*F6302,"")</f>
        <v>17.289525000000001</v>
      </c>
      <c r="H6302" s="46">
        <f>SUM(G6302:G6306)</f>
        <v>31.010375000000003</v>
      </c>
      <c r="I6302" s="47"/>
      <c r="J6302" s="37">
        <v>0</v>
      </c>
    </row>
    <row r="6303" spans="1:10" hidden="1" x14ac:dyDescent="0.25">
      <c r="A6303" s="179"/>
      <c r="B6303" s="177"/>
      <c r="C6303" s="43" t="s">
        <v>10762</v>
      </c>
      <c r="D6303" s="43" t="s">
        <v>2800</v>
      </c>
      <c r="E6303" s="44">
        <v>0.55000000000000004</v>
      </c>
      <c r="F6303" s="38">
        <v>24.946999999999999</v>
      </c>
      <c r="G6303" s="70">
        <f>IF(ISNUMBER(F6303),E6303*F6303,"")</f>
        <v>13.72085</v>
      </c>
      <c r="H6303" s="57"/>
      <c r="I6303" s="47"/>
      <c r="J6303" s="37">
        <v>0</v>
      </c>
    </row>
    <row r="6304" spans="1:10" hidden="1" x14ac:dyDescent="0.25">
      <c r="A6304" s="179"/>
      <c r="B6304" s="177"/>
      <c r="C6304" s="43" t="s">
        <v>1505</v>
      </c>
      <c r="D6304" s="43" t="s">
        <v>18</v>
      </c>
      <c r="E6304" s="44">
        <v>0.04</v>
      </c>
      <c r="F6304" s="38" t="s">
        <v>13</v>
      </c>
      <c r="G6304" s="70" t="str">
        <f>IF(ISNUMBER(F6304),E6304*F6304,"")</f>
        <v/>
      </c>
      <c r="H6304" s="57"/>
      <c r="I6304" s="47"/>
      <c r="J6304" s="37">
        <v>0</v>
      </c>
    </row>
    <row r="6305" spans="1:10" hidden="1" x14ac:dyDescent="0.25">
      <c r="A6305" s="179"/>
      <c r="B6305" s="177"/>
      <c r="C6305" s="43" t="s">
        <v>1506</v>
      </c>
      <c r="D6305" s="43" t="s">
        <v>18</v>
      </c>
      <c r="E6305" s="44">
        <v>1</v>
      </c>
      <c r="F6305" s="38" t="s">
        <v>13</v>
      </c>
      <c r="G6305" s="70" t="str">
        <f>IF(ISNUMBER(F6305),E6305*F6305,"")</f>
        <v/>
      </c>
      <c r="H6305" s="57"/>
      <c r="I6305" s="47"/>
      <c r="J6305" s="37">
        <v>0</v>
      </c>
    </row>
    <row r="6306" spans="1:10" hidden="1" x14ac:dyDescent="0.25">
      <c r="A6306" s="179"/>
      <c r="B6306" s="177"/>
      <c r="C6306" s="43" t="s">
        <v>1507</v>
      </c>
      <c r="D6306" s="43" t="s">
        <v>18</v>
      </c>
      <c r="E6306" s="44">
        <v>1.0309999999999999</v>
      </c>
      <c r="F6306" s="38" t="s">
        <v>13</v>
      </c>
      <c r="G6306" s="70" t="str">
        <f>IF(ISNUMBER(F6306),E6306*F6306,"")</f>
        <v/>
      </c>
      <c r="H6306" s="57"/>
      <c r="I6306" s="47"/>
      <c r="J6306" s="37">
        <v>0</v>
      </c>
    </row>
    <row r="6307" spans="1:10" ht="15.75" hidden="1" thickBot="1" x14ac:dyDescent="0.3">
      <c r="A6307" s="180"/>
      <c r="B6307" s="178"/>
      <c r="C6307" s="49"/>
      <c r="D6307" s="49"/>
      <c r="E6307" s="50"/>
      <c r="F6307" s="51" t="s">
        <v>13</v>
      </c>
      <c r="G6307" s="83" t="str">
        <f>IF(ISNUMBER(F6307),E6307*F6307,"")</f>
        <v/>
      </c>
      <c r="H6307" s="99"/>
      <c r="I6307" s="47"/>
      <c r="J6307" s="37">
        <v>0</v>
      </c>
    </row>
    <row r="6308" spans="1:10" ht="15.75" hidden="1" thickBot="1" x14ac:dyDescent="0.3">
      <c r="A6308" s="173" t="s">
        <v>1508</v>
      </c>
      <c r="B6308" s="176" t="s">
        <v>6780</v>
      </c>
      <c r="C6308" s="31"/>
      <c r="D6308" s="32" t="s">
        <v>18</v>
      </c>
      <c r="E6308" s="33"/>
      <c r="F6308" s="60" t="s">
        <v>13</v>
      </c>
      <c r="G6308" s="34" t="str">
        <f>IF(ISNUMBER(F6308),E6308*F6308,"")</f>
        <v/>
      </c>
      <c r="H6308" s="35"/>
      <c r="I6308" s="36"/>
      <c r="J6308" s="37">
        <v>0</v>
      </c>
    </row>
    <row r="6309" spans="1:10" hidden="1" x14ac:dyDescent="0.25">
      <c r="A6309" s="179"/>
      <c r="B6309" s="177"/>
      <c r="C6309" s="39"/>
      <c r="D6309" s="39"/>
      <c r="E6309" s="40"/>
      <c r="F6309" s="70" t="s">
        <v>13</v>
      </c>
      <c r="G6309" s="70" t="str">
        <f>IF(ISNUMBER(F6309),E6309*F6309,"")</f>
        <v/>
      </c>
      <c r="H6309" s="71"/>
      <c r="I6309" s="72"/>
      <c r="J6309" s="37">
        <v>0</v>
      </c>
    </row>
    <row r="6310" spans="1:10" ht="25.5" hidden="1" x14ac:dyDescent="0.25">
      <c r="A6310" s="179"/>
      <c r="B6310" s="177"/>
      <c r="C6310" s="43" t="s">
        <v>11312</v>
      </c>
      <c r="D6310" s="43" t="s">
        <v>83</v>
      </c>
      <c r="E6310" s="44">
        <v>1</v>
      </c>
      <c r="F6310" s="38">
        <v>38.475000000000001</v>
      </c>
      <c r="G6310" s="70">
        <f>IF(ISNUMBER(F6310),E6310*F6310,"")</f>
        <v>38.475000000000001</v>
      </c>
      <c r="H6310" s="46">
        <f>SUM(G6310:G6310)</f>
        <v>38.475000000000001</v>
      </c>
      <c r="I6310" s="47"/>
      <c r="J6310" s="37">
        <v>0</v>
      </c>
    </row>
    <row r="6311" spans="1:10" ht="15.75" hidden="1" thickBot="1" x14ac:dyDescent="0.3">
      <c r="A6311" s="180"/>
      <c r="B6311" s="178"/>
      <c r="C6311" s="49"/>
      <c r="D6311" s="63"/>
      <c r="E6311" s="50"/>
      <c r="F6311" s="83" t="s">
        <v>13</v>
      </c>
      <c r="G6311" s="83" t="str">
        <f>IF(ISNUMBER(F6311),E6311*F6311,"")</f>
        <v/>
      </c>
      <c r="H6311" s="84"/>
      <c r="I6311" s="72"/>
      <c r="J6311" s="37">
        <v>0</v>
      </c>
    </row>
    <row r="6312" spans="1:10" ht="15.75" hidden="1" thickBot="1" x14ac:dyDescent="0.3">
      <c r="A6312" s="173" t="s">
        <v>1509</v>
      </c>
      <c r="B6312" s="176" t="s">
        <v>6999</v>
      </c>
      <c r="C6312" s="31"/>
      <c r="D6312" s="32" t="s">
        <v>18</v>
      </c>
      <c r="E6312" s="33"/>
      <c r="F6312" s="60" t="s">
        <v>13</v>
      </c>
      <c r="G6312" s="34" t="str">
        <f>IF(ISNUMBER(F6312),E6312*F6312,"")</f>
        <v/>
      </c>
      <c r="H6312" s="35"/>
      <c r="I6312" s="36"/>
      <c r="J6312" s="37">
        <v>0</v>
      </c>
    </row>
    <row r="6313" spans="1:10" hidden="1" x14ac:dyDescent="0.25">
      <c r="A6313" s="179"/>
      <c r="B6313" s="177"/>
      <c r="C6313" s="39"/>
      <c r="D6313" s="39"/>
      <c r="E6313" s="40"/>
      <c r="F6313" s="70" t="s">
        <v>13</v>
      </c>
      <c r="G6313" s="70" t="str">
        <f>IF(ISNUMBER(F6313),E6313*F6313,"")</f>
        <v/>
      </c>
      <c r="H6313" s="71"/>
      <c r="I6313" s="72"/>
      <c r="J6313" s="37">
        <v>0</v>
      </c>
    </row>
    <row r="6314" spans="1:10" hidden="1" x14ac:dyDescent="0.25">
      <c r="A6314" s="179"/>
      <c r="B6314" s="177"/>
      <c r="C6314" s="43" t="s">
        <v>11313</v>
      </c>
      <c r="D6314" s="43" t="s">
        <v>83</v>
      </c>
      <c r="E6314" s="44">
        <v>1</v>
      </c>
      <c r="F6314" s="38">
        <v>245.59399999999997</v>
      </c>
      <c r="G6314" s="70">
        <f>IF(ISNUMBER(F6314),E6314*F6314,"")</f>
        <v>245.59399999999997</v>
      </c>
      <c r="H6314" s="46">
        <f>SUM(G6314:G6314)</f>
        <v>245.59399999999997</v>
      </c>
      <c r="I6314" s="47"/>
      <c r="J6314" s="37">
        <v>0</v>
      </c>
    </row>
    <row r="6315" spans="1:10" ht="15.75" hidden="1" thickBot="1" x14ac:dyDescent="0.3">
      <c r="A6315" s="180"/>
      <c r="B6315" s="178"/>
      <c r="C6315" s="49"/>
      <c r="D6315" s="63"/>
      <c r="E6315" s="50"/>
      <c r="F6315" s="83" t="s">
        <v>13</v>
      </c>
      <c r="G6315" s="83" t="str">
        <f>IF(ISNUMBER(F6315),E6315*F6315,"")</f>
        <v/>
      </c>
      <c r="H6315" s="84"/>
      <c r="I6315" s="72"/>
      <c r="J6315" s="37">
        <v>0</v>
      </c>
    </row>
    <row r="6316" spans="1:10" ht="15.75" hidden="1" thickBot="1" x14ac:dyDescent="0.3">
      <c r="A6316" s="173" t="s">
        <v>1510</v>
      </c>
      <c r="B6316" s="176" t="s">
        <v>7177</v>
      </c>
      <c r="C6316" s="31"/>
      <c r="D6316" s="32" t="s">
        <v>70</v>
      </c>
      <c r="E6316" s="33"/>
      <c r="F6316" s="60" t="s">
        <v>13</v>
      </c>
      <c r="G6316" s="34" t="str">
        <f>IF(ISNUMBER(F6316),E6316*F6316,"")</f>
        <v/>
      </c>
      <c r="H6316" s="35"/>
      <c r="I6316" s="36"/>
      <c r="J6316" s="37">
        <v>0</v>
      </c>
    </row>
    <row r="6317" spans="1:10" hidden="1" x14ac:dyDescent="0.25">
      <c r="A6317" s="179"/>
      <c r="B6317" s="177"/>
      <c r="C6317" s="39"/>
      <c r="D6317" s="39"/>
      <c r="E6317" s="40"/>
      <c r="F6317" s="70" t="s">
        <v>13</v>
      </c>
      <c r="G6317" s="70" t="str">
        <f>IF(ISNUMBER(F6317),E6317*F6317,"")</f>
        <v/>
      </c>
      <c r="H6317" s="71"/>
      <c r="I6317" s="72"/>
      <c r="J6317" s="37">
        <v>0</v>
      </c>
    </row>
    <row r="6318" spans="1:10" hidden="1" x14ac:dyDescent="0.25">
      <c r="A6318" s="179"/>
      <c r="B6318" s="177"/>
      <c r="C6318" s="43" t="s">
        <v>11314</v>
      </c>
      <c r="D6318" s="43" t="s">
        <v>83</v>
      </c>
      <c r="E6318" s="44">
        <v>0.5</v>
      </c>
      <c r="F6318" s="38">
        <v>203.92699999999999</v>
      </c>
      <c r="G6318" s="70">
        <f>IF(ISNUMBER(F6318),E6318*F6318,"")</f>
        <v>101.9635</v>
      </c>
      <c r="H6318" s="46">
        <f>SUM(G6318:G6318)</f>
        <v>101.9635</v>
      </c>
      <c r="I6318" s="47"/>
      <c r="J6318" s="37">
        <v>0</v>
      </c>
    </row>
    <row r="6319" spans="1:10" ht="15.75" hidden="1" thickBot="1" x14ac:dyDescent="0.3">
      <c r="A6319" s="180"/>
      <c r="B6319" s="178"/>
      <c r="C6319" s="49"/>
      <c r="D6319" s="63"/>
      <c r="E6319" s="50"/>
      <c r="F6319" s="83" t="s">
        <v>13</v>
      </c>
      <c r="G6319" s="83" t="str">
        <f>IF(ISNUMBER(F6319),E6319*F6319,"")</f>
        <v/>
      </c>
      <c r="H6319" s="84"/>
      <c r="I6319" s="72"/>
      <c r="J6319" s="37">
        <v>0</v>
      </c>
    </row>
    <row r="6320" spans="1:10" ht="15.75" hidden="1" thickBot="1" x14ac:dyDescent="0.3">
      <c r="A6320" s="173" t="s">
        <v>1511</v>
      </c>
      <c r="B6320" s="176" t="s">
        <v>7180</v>
      </c>
      <c r="C6320" s="31"/>
      <c r="D6320" s="32" t="s">
        <v>68</v>
      </c>
      <c r="E6320" s="33"/>
      <c r="F6320" s="54" t="s">
        <v>13</v>
      </c>
      <c r="G6320" s="34" t="str">
        <f>IF(ISNUMBER(F6320),E6320*F6320,"")</f>
        <v/>
      </c>
      <c r="H6320" s="35"/>
      <c r="I6320" s="36"/>
      <c r="J6320" s="37">
        <v>0</v>
      </c>
    </row>
    <row r="6321" spans="1:10" hidden="1" x14ac:dyDescent="0.25">
      <c r="A6321" s="174"/>
      <c r="B6321" s="177"/>
      <c r="C6321" s="39"/>
      <c r="D6321" s="39"/>
      <c r="E6321" s="40"/>
      <c r="F6321" s="55" t="s">
        <v>13</v>
      </c>
      <c r="G6321" s="38" t="str">
        <f>IF(ISNUMBER(F6321),E6321*F6321,"")</f>
        <v/>
      </c>
      <c r="H6321" s="42"/>
      <c r="I6321" s="38"/>
      <c r="J6321" s="37">
        <v>0</v>
      </c>
    </row>
    <row r="6322" spans="1:10" hidden="1" x14ac:dyDescent="0.25">
      <c r="A6322" s="174"/>
      <c r="B6322" s="177"/>
      <c r="C6322" s="43" t="s">
        <v>10757</v>
      </c>
      <c r="D6322" s="43" t="s">
        <v>2800</v>
      </c>
      <c r="E6322" s="44">
        <f>0.1*1.3</f>
        <v>0.13</v>
      </c>
      <c r="F6322" s="38">
        <v>31.055499999999995</v>
      </c>
      <c r="G6322" s="41">
        <f>IF(ISNUMBER(F6322),E6322*F6322,"")</f>
        <v>4.0372149999999998</v>
      </c>
      <c r="H6322" s="46">
        <f>SUM(G6322:G6329)</f>
        <v>19.036005000000003</v>
      </c>
      <c r="I6322" s="47"/>
      <c r="J6322" s="37">
        <v>0</v>
      </c>
    </row>
    <row r="6323" spans="1:10" hidden="1" x14ac:dyDescent="0.25">
      <c r="A6323" s="174"/>
      <c r="B6323" s="177"/>
      <c r="C6323" s="43" t="s">
        <v>10614</v>
      </c>
      <c r="D6323" s="43" t="s">
        <v>2800</v>
      </c>
      <c r="E6323" s="44">
        <f>0.1*1.3</f>
        <v>0.13</v>
      </c>
      <c r="F6323" s="38">
        <v>23.693000000000001</v>
      </c>
      <c r="G6323" s="41">
        <f>IF(ISNUMBER(F6323),E6323*F6323,"")</f>
        <v>3.0800900000000002</v>
      </c>
      <c r="H6323" s="42"/>
      <c r="I6323" s="38"/>
      <c r="J6323" s="37">
        <v>0</v>
      </c>
    </row>
    <row r="6324" spans="1:10" hidden="1" x14ac:dyDescent="0.25">
      <c r="A6324" s="174"/>
      <c r="B6324" s="177"/>
      <c r="C6324" s="43" t="s">
        <v>1153</v>
      </c>
      <c r="D6324" s="43" t="s">
        <v>1044</v>
      </c>
      <c r="E6324" s="44">
        <v>0.1</v>
      </c>
      <c r="F6324" s="41" t="s">
        <v>13</v>
      </c>
      <c r="G6324" s="38" t="str">
        <f>IF(ISNUMBER(F6324),E6324*F6324,"")</f>
        <v/>
      </c>
      <c r="H6324" s="42"/>
      <c r="I6324" s="38"/>
      <c r="J6324" s="37">
        <v>0</v>
      </c>
    </row>
    <row r="6325" spans="1:10" ht="25.5" hidden="1" x14ac:dyDescent="0.25">
      <c r="A6325" s="174"/>
      <c r="B6325" s="177"/>
      <c r="C6325" s="43" t="s">
        <v>1512</v>
      </c>
      <c r="D6325" s="43" t="s">
        <v>68</v>
      </c>
      <c r="E6325" s="44">
        <v>1.1000000000000001</v>
      </c>
      <c r="F6325" s="38" t="s">
        <v>13</v>
      </c>
      <c r="G6325" s="41" t="str">
        <f>IF(ISNUMBER(F6325),E6325*F6325,"")</f>
        <v/>
      </c>
      <c r="H6325" s="42"/>
      <c r="I6325" s="47"/>
      <c r="J6325" s="37">
        <v>0</v>
      </c>
    </row>
    <row r="6326" spans="1:10" hidden="1" x14ac:dyDescent="0.25">
      <c r="A6326" s="174"/>
      <c r="B6326" s="177"/>
      <c r="C6326" s="43" t="s">
        <v>10757</v>
      </c>
      <c r="D6326" s="43" t="s">
        <v>2800</v>
      </c>
      <c r="E6326" s="44">
        <v>0.2</v>
      </c>
      <c r="F6326" s="38">
        <v>31.055499999999995</v>
      </c>
      <c r="G6326" s="41">
        <f>IF(ISNUMBER(F6326),E6326*F6326,"")</f>
        <v>6.2110999999999992</v>
      </c>
      <c r="H6326" s="42"/>
      <c r="I6326" s="38"/>
      <c r="J6326" s="37">
        <v>0</v>
      </c>
    </row>
    <row r="6327" spans="1:10" hidden="1" x14ac:dyDescent="0.25">
      <c r="A6327" s="174"/>
      <c r="B6327" s="177"/>
      <c r="C6327" s="43" t="s">
        <v>10614</v>
      </c>
      <c r="D6327" s="43" t="s">
        <v>2800</v>
      </c>
      <c r="E6327" s="44">
        <v>0.2</v>
      </c>
      <c r="F6327" s="41">
        <v>23.693000000000001</v>
      </c>
      <c r="G6327" s="38">
        <f>IF(ISNUMBER(F6327),E6327*F6327,"")</f>
        <v>4.7386000000000008</v>
      </c>
      <c r="H6327" s="42"/>
      <c r="I6327" s="38"/>
      <c r="J6327" s="37">
        <v>0</v>
      </c>
    </row>
    <row r="6328" spans="1:10" hidden="1" x14ac:dyDescent="0.25">
      <c r="A6328" s="174"/>
      <c r="B6328" s="177"/>
      <c r="C6328" s="43" t="s">
        <v>10648</v>
      </c>
      <c r="D6328" s="43" t="s">
        <v>1044</v>
      </c>
      <c r="E6328" s="44">
        <v>1.5</v>
      </c>
      <c r="F6328" s="38">
        <v>0.64600000000000002</v>
      </c>
      <c r="G6328" s="41">
        <f>IF(ISNUMBER(F6328),E6328*F6328,"")</f>
        <v>0.96900000000000008</v>
      </c>
      <c r="H6328" s="42"/>
      <c r="I6328" s="47"/>
      <c r="J6328" s="37">
        <v>0</v>
      </c>
    </row>
    <row r="6329" spans="1:10" hidden="1" x14ac:dyDescent="0.25">
      <c r="A6329" s="174"/>
      <c r="B6329" s="177"/>
      <c r="C6329" s="43" t="s">
        <v>1155</v>
      </c>
      <c r="D6329" s="43" t="s">
        <v>1044</v>
      </c>
      <c r="E6329" s="44">
        <f>ROUND(E6328*0.1,2)</f>
        <v>0.15</v>
      </c>
      <c r="F6329" s="38" t="s">
        <v>13</v>
      </c>
      <c r="G6329" s="41" t="str">
        <f>IF(ISNUMBER(F6329),E6329*F6329,"")</f>
        <v/>
      </c>
      <c r="H6329" s="42"/>
      <c r="I6329" s="38"/>
      <c r="J6329" s="37">
        <v>0</v>
      </c>
    </row>
    <row r="6330" spans="1:10" ht="15.75" hidden="1" thickBot="1" x14ac:dyDescent="0.3">
      <c r="A6330" s="175"/>
      <c r="B6330" s="178"/>
      <c r="C6330" s="49"/>
      <c r="D6330" s="49"/>
      <c r="E6330" s="50"/>
      <c r="F6330" s="51" t="s">
        <v>13</v>
      </c>
      <c r="G6330" s="51" t="str">
        <f>IF(ISNUMBER(F6330),E6330*F6330,"")</f>
        <v/>
      </c>
      <c r="H6330" s="53"/>
      <c r="I6330" s="38"/>
      <c r="J6330" s="37">
        <v>0</v>
      </c>
    </row>
    <row r="6331" spans="1:10" ht="15.75" hidden="1" thickBot="1" x14ac:dyDescent="0.3">
      <c r="A6331" s="173" t="s">
        <v>1513</v>
      </c>
      <c r="B6331" s="176" t="s">
        <v>7181</v>
      </c>
      <c r="C6331" s="31"/>
      <c r="D6331" s="32" t="s">
        <v>68</v>
      </c>
      <c r="E6331" s="33"/>
      <c r="F6331" s="54" t="s">
        <v>13</v>
      </c>
      <c r="G6331" s="34" t="str">
        <f>IF(ISNUMBER(F6331),E6331*F6331,"")</f>
        <v/>
      </c>
      <c r="H6331" s="35"/>
      <c r="I6331" s="36"/>
      <c r="J6331" s="37">
        <v>0</v>
      </c>
    </row>
    <row r="6332" spans="1:10" hidden="1" x14ac:dyDescent="0.25">
      <c r="A6332" s="174"/>
      <c r="B6332" s="177"/>
      <c r="C6332" s="39"/>
      <c r="D6332" s="39"/>
      <c r="E6332" s="40"/>
      <c r="F6332" s="55" t="s">
        <v>13</v>
      </c>
      <c r="G6332" s="38" t="str">
        <f>IF(ISNUMBER(F6332),E6332*F6332,"")</f>
        <v/>
      </c>
      <c r="H6332" s="42"/>
      <c r="I6332" s="38"/>
      <c r="J6332" s="37">
        <v>0</v>
      </c>
    </row>
    <row r="6333" spans="1:10" hidden="1" x14ac:dyDescent="0.25">
      <c r="A6333" s="174"/>
      <c r="B6333" s="177"/>
      <c r="C6333" s="43" t="s">
        <v>10757</v>
      </c>
      <c r="D6333" s="43" t="s">
        <v>2800</v>
      </c>
      <c r="E6333" s="44">
        <v>0.1</v>
      </c>
      <c r="F6333" s="38">
        <v>31.055499999999995</v>
      </c>
      <c r="G6333" s="41">
        <f>IF(ISNUMBER(F6333),E6333*F6333,"")</f>
        <v>3.1055499999999996</v>
      </c>
      <c r="H6333" s="46">
        <f>SUM(G6333:G6340)</f>
        <v>17.393550000000001</v>
      </c>
      <c r="I6333" s="47"/>
      <c r="J6333" s="37">
        <v>0</v>
      </c>
    </row>
    <row r="6334" spans="1:10" hidden="1" x14ac:dyDescent="0.25">
      <c r="A6334" s="174"/>
      <c r="B6334" s="177"/>
      <c r="C6334" s="43" t="s">
        <v>10614</v>
      </c>
      <c r="D6334" s="43" t="s">
        <v>2800</v>
      </c>
      <c r="E6334" s="44">
        <v>0.1</v>
      </c>
      <c r="F6334" s="38">
        <v>23.693000000000001</v>
      </c>
      <c r="G6334" s="41">
        <f>IF(ISNUMBER(F6334),E6334*F6334,"")</f>
        <v>2.3693000000000004</v>
      </c>
      <c r="H6334" s="42"/>
      <c r="I6334" s="38"/>
      <c r="J6334" s="37">
        <v>0</v>
      </c>
    </row>
    <row r="6335" spans="1:10" hidden="1" x14ac:dyDescent="0.25">
      <c r="A6335" s="174"/>
      <c r="B6335" s="177"/>
      <c r="C6335" s="43" t="s">
        <v>1153</v>
      </c>
      <c r="D6335" s="43" t="s">
        <v>1044</v>
      </c>
      <c r="E6335" s="44">
        <v>0.1</v>
      </c>
      <c r="F6335" s="41" t="s">
        <v>13</v>
      </c>
      <c r="G6335" s="38" t="str">
        <f>IF(ISNUMBER(F6335),E6335*F6335,"")</f>
        <v/>
      </c>
      <c r="H6335" s="42"/>
      <c r="I6335" s="38"/>
      <c r="J6335" s="37">
        <v>0</v>
      </c>
    </row>
    <row r="6336" spans="1:10" ht="25.5" hidden="1" x14ac:dyDescent="0.25">
      <c r="A6336" s="174"/>
      <c r="B6336" s="177"/>
      <c r="C6336" s="43" t="s">
        <v>1514</v>
      </c>
      <c r="D6336" s="43" t="s">
        <v>68</v>
      </c>
      <c r="E6336" s="44">
        <v>1.1000000000000001</v>
      </c>
      <c r="F6336" s="38" t="s">
        <v>13</v>
      </c>
      <c r="G6336" s="41" t="str">
        <f>IF(ISNUMBER(F6336),E6336*F6336,"")</f>
        <v/>
      </c>
      <c r="H6336" s="42"/>
      <c r="I6336" s="47"/>
      <c r="J6336" s="37">
        <v>0</v>
      </c>
    </row>
    <row r="6337" spans="1:10" hidden="1" x14ac:dyDescent="0.25">
      <c r="A6337" s="174"/>
      <c r="B6337" s="177"/>
      <c r="C6337" s="43" t="s">
        <v>10757</v>
      </c>
      <c r="D6337" s="43" t="s">
        <v>2800</v>
      </c>
      <c r="E6337" s="44">
        <v>0.2</v>
      </c>
      <c r="F6337" s="38">
        <v>31.055499999999995</v>
      </c>
      <c r="G6337" s="41">
        <f>IF(ISNUMBER(F6337),E6337*F6337,"")</f>
        <v>6.2110999999999992</v>
      </c>
      <c r="H6337" s="42"/>
      <c r="I6337" s="38"/>
      <c r="J6337" s="37">
        <v>0</v>
      </c>
    </row>
    <row r="6338" spans="1:10" hidden="1" x14ac:dyDescent="0.25">
      <c r="A6338" s="174"/>
      <c r="B6338" s="177"/>
      <c r="C6338" s="43" t="s">
        <v>10614</v>
      </c>
      <c r="D6338" s="43" t="s">
        <v>2800</v>
      </c>
      <c r="E6338" s="44">
        <v>0.2</v>
      </c>
      <c r="F6338" s="41">
        <v>23.693000000000001</v>
      </c>
      <c r="G6338" s="38">
        <f>IF(ISNUMBER(F6338),E6338*F6338,"")</f>
        <v>4.7386000000000008</v>
      </c>
      <c r="H6338" s="42"/>
      <c r="I6338" s="38"/>
      <c r="J6338" s="37">
        <v>0</v>
      </c>
    </row>
    <row r="6339" spans="1:10" hidden="1" x14ac:dyDescent="0.25">
      <c r="A6339" s="174"/>
      <c r="B6339" s="177"/>
      <c r="C6339" s="43" t="s">
        <v>10648</v>
      </c>
      <c r="D6339" s="43" t="s">
        <v>1044</v>
      </c>
      <c r="E6339" s="44">
        <v>1.5</v>
      </c>
      <c r="F6339" s="38">
        <v>0.64600000000000002</v>
      </c>
      <c r="G6339" s="41">
        <f>IF(ISNUMBER(F6339),E6339*F6339,"")</f>
        <v>0.96900000000000008</v>
      </c>
      <c r="H6339" s="42"/>
      <c r="I6339" s="47"/>
      <c r="J6339" s="37">
        <v>0</v>
      </c>
    </row>
    <row r="6340" spans="1:10" hidden="1" x14ac:dyDescent="0.25">
      <c r="A6340" s="174"/>
      <c r="B6340" s="177"/>
      <c r="C6340" s="43" t="s">
        <v>1155</v>
      </c>
      <c r="D6340" s="43" t="s">
        <v>1044</v>
      </c>
      <c r="E6340" s="44">
        <f>ROUND(E6339*0.1,2)</f>
        <v>0.15</v>
      </c>
      <c r="F6340" s="38" t="s">
        <v>13</v>
      </c>
      <c r="G6340" s="41" t="str">
        <f>IF(ISNUMBER(F6340),E6340*F6340,"")</f>
        <v/>
      </c>
      <c r="H6340" s="42"/>
      <c r="I6340" s="38"/>
      <c r="J6340" s="37">
        <v>0</v>
      </c>
    </row>
    <row r="6341" spans="1:10" ht="15.75" hidden="1" thickBot="1" x14ac:dyDescent="0.3">
      <c r="A6341" s="175"/>
      <c r="B6341" s="178"/>
      <c r="C6341" s="49"/>
      <c r="D6341" s="49"/>
      <c r="E6341" s="50"/>
      <c r="F6341" s="51" t="s">
        <v>13</v>
      </c>
      <c r="G6341" s="51" t="str">
        <f>IF(ISNUMBER(F6341),E6341*F6341,"")</f>
        <v/>
      </c>
      <c r="H6341" s="53"/>
      <c r="I6341" s="38"/>
      <c r="J6341" s="37">
        <v>0</v>
      </c>
    </row>
    <row r="6342" spans="1:10" ht="15.75" hidden="1" thickBot="1" x14ac:dyDescent="0.3">
      <c r="A6342" s="173" t="s">
        <v>1515</v>
      </c>
      <c r="B6342" s="176" t="s">
        <v>7182</v>
      </c>
      <c r="C6342" s="31"/>
      <c r="D6342" s="32" t="s">
        <v>106</v>
      </c>
      <c r="E6342" s="33"/>
      <c r="F6342" s="60" t="s">
        <v>13</v>
      </c>
      <c r="G6342" s="34" t="str">
        <f>IF(ISNUMBER(F6342),E6342*F6342,"")</f>
        <v/>
      </c>
      <c r="H6342" s="35"/>
      <c r="I6342" s="36"/>
      <c r="J6342" s="37">
        <v>0</v>
      </c>
    </row>
    <row r="6343" spans="1:10" hidden="1" x14ac:dyDescent="0.25">
      <c r="A6343" s="179"/>
      <c r="B6343" s="177"/>
      <c r="C6343" s="39"/>
      <c r="D6343" s="39"/>
      <c r="E6343" s="40"/>
      <c r="F6343" s="70" t="s">
        <v>13</v>
      </c>
      <c r="G6343" s="70" t="str">
        <f>IF(ISNUMBER(F6343),E6343*F6343,"")</f>
        <v/>
      </c>
      <c r="H6343" s="71"/>
      <c r="I6343" s="72"/>
      <c r="J6343" s="37">
        <v>0</v>
      </c>
    </row>
    <row r="6344" spans="1:10" ht="25.5" hidden="1" x14ac:dyDescent="0.25">
      <c r="A6344" s="179"/>
      <c r="B6344" s="177"/>
      <c r="C6344" s="43" t="s">
        <v>10841</v>
      </c>
      <c r="D6344" s="43" t="s">
        <v>2880</v>
      </c>
      <c r="E6344" s="44">
        <v>0.23</v>
      </c>
      <c r="F6344" s="38">
        <v>21.754999999999999</v>
      </c>
      <c r="G6344" s="70">
        <f>IF(ISNUMBER(F6344),E6344*F6344,"")</f>
        <v>5.0036500000000004</v>
      </c>
      <c r="H6344" s="46">
        <f>SUM(G6344:G6347)</f>
        <v>16.098604999999999</v>
      </c>
      <c r="I6344" s="47"/>
      <c r="J6344" s="37">
        <v>0</v>
      </c>
    </row>
    <row r="6345" spans="1:10" ht="25.5" hidden="1" x14ac:dyDescent="0.25">
      <c r="A6345" s="179"/>
      <c r="B6345" s="177"/>
      <c r="C6345" s="43" t="s">
        <v>10842</v>
      </c>
      <c r="D6345" s="43" t="s">
        <v>1044</v>
      </c>
      <c r="E6345" s="44">
        <v>3.2000000000000001E-2</v>
      </c>
      <c r="F6345" s="38">
        <v>99.274999999999991</v>
      </c>
      <c r="G6345" s="70">
        <f>IF(ISNUMBER(F6345),E6345*F6345,"")</f>
        <v>3.1767999999999996</v>
      </c>
      <c r="H6345" s="57"/>
      <c r="I6345" s="47"/>
      <c r="J6345" s="37">
        <v>0</v>
      </c>
    </row>
    <row r="6346" spans="1:10" hidden="1" x14ac:dyDescent="0.25">
      <c r="A6346" s="179"/>
      <c r="B6346" s="177"/>
      <c r="C6346" s="43" t="s">
        <v>11013</v>
      </c>
      <c r="D6346" s="43" t="s">
        <v>2800</v>
      </c>
      <c r="E6346" s="44">
        <v>0.09</v>
      </c>
      <c r="F6346" s="38">
        <v>24.519499999999997</v>
      </c>
      <c r="G6346" s="70">
        <f>IF(ISNUMBER(F6346),E6346*F6346,"")</f>
        <v>2.2067549999999998</v>
      </c>
      <c r="H6346" s="57"/>
      <c r="I6346" s="47"/>
      <c r="J6346" s="37">
        <v>0</v>
      </c>
    </row>
    <row r="6347" spans="1:10" hidden="1" x14ac:dyDescent="0.25">
      <c r="A6347" s="179"/>
      <c r="B6347" s="177"/>
      <c r="C6347" s="43" t="s">
        <v>10808</v>
      </c>
      <c r="D6347" s="43" t="s">
        <v>2800</v>
      </c>
      <c r="E6347" s="44">
        <v>0.18</v>
      </c>
      <c r="F6347" s="38">
        <v>31.729999999999997</v>
      </c>
      <c r="G6347" s="70">
        <f>IF(ISNUMBER(F6347),E6347*F6347,"")</f>
        <v>5.7113999999999994</v>
      </c>
      <c r="H6347" s="57"/>
      <c r="I6347" s="47"/>
      <c r="J6347" s="37">
        <v>0</v>
      </c>
    </row>
    <row r="6348" spans="1:10" ht="15.75" hidden="1" thickBot="1" x14ac:dyDescent="0.3">
      <c r="A6348" s="180"/>
      <c r="B6348" s="178"/>
      <c r="C6348" s="49"/>
      <c r="D6348" s="49"/>
      <c r="E6348" s="50"/>
      <c r="F6348" s="51" t="s">
        <v>13</v>
      </c>
      <c r="G6348" s="83" t="str">
        <f>IF(ISNUMBER(F6348),E6348*F6348,"")</f>
        <v/>
      </c>
      <c r="H6348" s="99"/>
      <c r="I6348" s="47"/>
      <c r="J6348" s="37">
        <v>0</v>
      </c>
    </row>
    <row r="6349" spans="1:10" ht="15.75" hidden="1" thickBot="1" x14ac:dyDescent="0.3">
      <c r="A6349" s="173" t="s">
        <v>1516</v>
      </c>
      <c r="B6349" s="176" t="s">
        <v>7183</v>
      </c>
      <c r="C6349" s="31"/>
      <c r="D6349" s="32" t="s">
        <v>68</v>
      </c>
      <c r="E6349" s="33"/>
      <c r="F6349" s="60" t="s">
        <v>13</v>
      </c>
      <c r="G6349" s="34" t="str">
        <f>IF(ISNUMBER(F6349),E6349*F6349,"")</f>
        <v/>
      </c>
      <c r="H6349" s="35"/>
      <c r="I6349" s="36"/>
      <c r="J6349" s="37">
        <v>0</v>
      </c>
    </row>
    <row r="6350" spans="1:10" hidden="1" x14ac:dyDescent="0.25">
      <c r="A6350" s="179"/>
      <c r="B6350" s="177"/>
      <c r="C6350" s="39"/>
      <c r="D6350" s="39"/>
      <c r="E6350" s="40"/>
      <c r="F6350" s="70" t="s">
        <v>13</v>
      </c>
      <c r="G6350" s="70" t="str">
        <f>IF(ISNUMBER(F6350),E6350*F6350,"")</f>
        <v/>
      </c>
      <c r="H6350" s="71"/>
      <c r="I6350" s="72"/>
      <c r="J6350" s="37">
        <v>0</v>
      </c>
    </row>
    <row r="6351" spans="1:10" hidden="1" x14ac:dyDescent="0.25">
      <c r="A6351" s="179"/>
      <c r="B6351" s="177"/>
      <c r="C6351" s="43" t="s">
        <v>10757</v>
      </c>
      <c r="D6351" s="43" t="s">
        <v>2800</v>
      </c>
      <c r="E6351" s="44">
        <v>0.5</v>
      </c>
      <c r="F6351" s="38">
        <v>31.055499999999995</v>
      </c>
      <c r="G6351" s="41">
        <f>IF(ISNUMBER(F6351),E6351*F6351,"")</f>
        <v>15.527749999999997</v>
      </c>
      <c r="H6351" s="46">
        <f>SUM(G6351:G6352)</f>
        <v>39.220749999999995</v>
      </c>
      <c r="I6351" s="47"/>
      <c r="J6351" s="37">
        <v>0</v>
      </c>
    </row>
    <row r="6352" spans="1:10" hidden="1" x14ac:dyDescent="0.25">
      <c r="A6352" s="179"/>
      <c r="B6352" s="177"/>
      <c r="C6352" s="43" t="s">
        <v>10614</v>
      </c>
      <c r="D6352" s="43" t="s">
        <v>2800</v>
      </c>
      <c r="E6352" s="44">
        <v>1</v>
      </c>
      <c r="F6352" s="41">
        <v>23.693000000000001</v>
      </c>
      <c r="G6352" s="38">
        <f>IF(ISNUMBER(F6352),E6352*F6352,"")</f>
        <v>23.693000000000001</v>
      </c>
      <c r="H6352" s="57"/>
      <c r="I6352" s="47"/>
      <c r="J6352" s="37">
        <v>0</v>
      </c>
    </row>
    <row r="6353" spans="1:10" ht="15.75" hidden="1" thickBot="1" x14ac:dyDescent="0.3">
      <c r="A6353" s="180"/>
      <c r="B6353" s="178"/>
      <c r="C6353" s="49"/>
      <c r="D6353" s="49"/>
      <c r="E6353" s="50"/>
      <c r="F6353" s="51" t="s">
        <v>13</v>
      </c>
      <c r="G6353" s="83" t="str">
        <f>IF(ISNUMBER(F6353),E6353*F6353,"")</f>
        <v/>
      </c>
      <c r="H6353" s="99"/>
      <c r="I6353" s="47"/>
      <c r="J6353" s="37">
        <v>0</v>
      </c>
    </row>
    <row r="6354" spans="1:10" ht="15.75" hidden="1" thickBot="1" x14ac:dyDescent="0.3">
      <c r="A6354" s="173" t="s">
        <v>1517</v>
      </c>
      <c r="B6354" s="176" t="s">
        <v>7184</v>
      </c>
      <c r="C6354" s="31"/>
      <c r="D6354" s="32" t="s">
        <v>68</v>
      </c>
      <c r="E6354" s="33"/>
      <c r="F6354" s="60" t="s">
        <v>13</v>
      </c>
      <c r="G6354" s="34" t="str">
        <f>IF(ISNUMBER(F6354),E6354*F6354,"")</f>
        <v/>
      </c>
      <c r="H6354" s="35"/>
      <c r="I6354" s="36"/>
      <c r="J6354" s="37">
        <v>0</v>
      </c>
    </row>
    <row r="6355" spans="1:10" hidden="1" x14ac:dyDescent="0.25">
      <c r="A6355" s="179"/>
      <c r="B6355" s="177"/>
      <c r="C6355" s="39"/>
      <c r="D6355" s="39"/>
      <c r="E6355" s="40"/>
      <c r="F6355" s="70" t="s">
        <v>13</v>
      </c>
      <c r="G6355" s="70" t="str">
        <f>IF(ISNUMBER(F6355),E6355*F6355,"")</f>
        <v/>
      </c>
      <c r="H6355" s="71"/>
      <c r="I6355" s="72"/>
      <c r="J6355" s="37">
        <v>0</v>
      </c>
    </row>
    <row r="6356" spans="1:10" hidden="1" x14ac:dyDescent="0.25">
      <c r="A6356" s="179"/>
      <c r="B6356" s="177"/>
      <c r="C6356" s="43" t="s">
        <v>10757</v>
      </c>
      <c r="D6356" s="43" t="s">
        <v>2800</v>
      </c>
      <c r="E6356" s="44">
        <v>1.5</v>
      </c>
      <c r="F6356" s="38">
        <v>31.055499999999995</v>
      </c>
      <c r="G6356" s="41">
        <f>IF(ISNUMBER(F6356),E6356*F6356,"")</f>
        <v>46.583249999999992</v>
      </c>
      <c r="H6356" s="46">
        <f>SUM(G6356:G6357)</f>
        <v>70.27624999999999</v>
      </c>
      <c r="I6356" s="47"/>
      <c r="J6356" s="37">
        <v>0</v>
      </c>
    </row>
    <row r="6357" spans="1:10" hidden="1" x14ac:dyDescent="0.25">
      <c r="A6357" s="179"/>
      <c r="B6357" s="177"/>
      <c r="C6357" s="43" t="s">
        <v>10614</v>
      </c>
      <c r="D6357" s="43" t="s">
        <v>2800</v>
      </c>
      <c r="E6357" s="44">
        <v>1</v>
      </c>
      <c r="F6357" s="41">
        <v>23.693000000000001</v>
      </c>
      <c r="G6357" s="38">
        <f>IF(ISNUMBER(F6357),E6357*F6357,"")</f>
        <v>23.693000000000001</v>
      </c>
      <c r="H6357" s="57"/>
      <c r="I6357" s="47"/>
      <c r="J6357" s="37">
        <v>0</v>
      </c>
    </row>
    <row r="6358" spans="1:10" ht="15.75" hidden="1" thickBot="1" x14ac:dyDescent="0.3">
      <c r="A6358" s="180"/>
      <c r="B6358" s="178"/>
      <c r="C6358" s="49"/>
      <c r="D6358" s="49"/>
      <c r="E6358" s="50"/>
      <c r="F6358" s="51" t="s">
        <v>13</v>
      </c>
      <c r="G6358" s="83" t="str">
        <f>IF(ISNUMBER(F6358),E6358*F6358,"")</f>
        <v/>
      </c>
      <c r="H6358" s="99"/>
      <c r="I6358" s="47"/>
      <c r="J6358" s="37">
        <v>0</v>
      </c>
    </row>
    <row r="6359" spans="1:10" ht="15.75" hidden="1" thickBot="1" x14ac:dyDescent="0.3">
      <c r="A6359" s="173" t="s">
        <v>1518</v>
      </c>
      <c r="B6359" s="176" t="s">
        <v>7185</v>
      </c>
      <c r="C6359" s="31"/>
      <c r="D6359" s="32" t="s">
        <v>1788</v>
      </c>
      <c r="E6359" s="33"/>
      <c r="F6359" s="60" t="s">
        <v>13</v>
      </c>
      <c r="G6359" s="34" t="str">
        <f>IF(ISNUMBER(F6359),E6359*F6359,"")</f>
        <v/>
      </c>
      <c r="H6359" s="35"/>
      <c r="I6359" s="36"/>
      <c r="J6359" s="37">
        <v>0</v>
      </c>
    </row>
    <row r="6360" spans="1:10" hidden="1" x14ac:dyDescent="0.25">
      <c r="A6360" s="179"/>
      <c r="B6360" s="177"/>
      <c r="C6360" s="39"/>
      <c r="D6360" s="39"/>
      <c r="E6360" s="40"/>
      <c r="F6360" s="70" t="s">
        <v>13</v>
      </c>
      <c r="G6360" s="70" t="str">
        <f>IF(ISNUMBER(F6360),E6360*F6360,"")</f>
        <v/>
      </c>
      <c r="H6360" s="71"/>
      <c r="I6360" s="72"/>
      <c r="J6360" s="37">
        <v>0</v>
      </c>
    </row>
    <row r="6361" spans="1:10" hidden="1" x14ac:dyDescent="0.25">
      <c r="A6361" s="179"/>
      <c r="B6361" s="177"/>
      <c r="C6361" s="43" t="s">
        <v>10757</v>
      </c>
      <c r="D6361" s="43" t="s">
        <v>2800</v>
      </c>
      <c r="E6361" s="44">
        <v>7.4147999999999996</v>
      </c>
      <c r="F6361" s="38">
        <v>31.055499999999995</v>
      </c>
      <c r="G6361" s="70">
        <f>IF(ISNUMBER(F6361),E6361*F6361,"")</f>
        <v>230.27032139999994</v>
      </c>
      <c r="H6361" s="46">
        <f>SUM(G6361:G6363)</f>
        <v>347.38955899999996</v>
      </c>
      <c r="I6361" s="47"/>
      <c r="J6361" s="37">
        <v>0</v>
      </c>
    </row>
    <row r="6362" spans="1:10" hidden="1" x14ac:dyDescent="0.25">
      <c r="A6362" s="179"/>
      <c r="B6362" s="177"/>
      <c r="C6362" s="43" t="s">
        <v>10614</v>
      </c>
      <c r="D6362" s="43" t="s">
        <v>2800</v>
      </c>
      <c r="E6362" s="44">
        <v>4.9432</v>
      </c>
      <c r="F6362" s="38">
        <v>23.693000000000001</v>
      </c>
      <c r="G6362" s="70">
        <f>IF(ISNUMBER(F6362),E6362*F6362,"")</f>
        <v>117.11923760000001</v>
      </c>
      <c r="H6362" s="57"/>
      <c r="I6362" s="47"/>
      <c r="J6362" s="37">
        <v>0</v>
      </c>
    </row>
    <row r="6363" spans="1:10" hidden="1" x14ac:dyDescent="0.25">
      <c r="A6363" s="179"/>
      <c r="B6363" s="177"/>
      <c r="C6363" s="43" t="s">
        <v>1519</v>
      </c>
      <c r="D6363" s="43" t="s">
        <v>72</v>
      </c>
      <c r="E6363" s="44">
        <f>1.203*2000</f>
        <v>2406</v>
      </c>
      <c r="F6363" s="38" t="s">
        <v>13</v>
      </c>
      <c r="G6363" s="70" t="str">
        <f>IF(ISNUMBER(F6363),E6363*F6363,"")</f>
        <v/>
      </c>
      <c r="H6363" s="57"/>
      <c r="I6363" s="47"/>
      <c r="J6363" s="37">
        <v>0</v>
      </c>
    </row>
    <row r="6364" spans="1:10" hidden="1" x14ac:dyDescent="0.25">
      <c r="A6364" s="179"/>
      <c r="B6364" s="177"/>
      <c r="C6364" s="43"/>
      <c r="D6364" s="43"/>
      <c r="E6364" s="44"/>
      <c r="F6364" s="38" t="s">
        <v>13</v>
      </c>
      <c r="G6364" s="70" t="str">
        <f>IF(ISNUMBER(F6364),E6364*F6364,"")</f>
        <v/>
      </c>
      <c r="H6364" s="57"/>
      <c r="I6364" s="47"/>
      <c r="J6364" s="37">
        <v>0</v>
      </c>
    </row>
    <row r="6365" spans="1:10" ht="38.25" hidden="1" x14ac:dyDescent="0.25">
      <c r="A6365" s="179"/>
      <c r="B6365" s="177"/>
      <c r="C6365" s="65" t="s">
        <v>1520</v>
      </c>
      <c r="D6365" s="43"/>
      <c r="E6365" s="44"/>
      <c r="F6365" s="38" t="s">
        <v>13</v>
      </c>
      <c r="G6365" s="70" t="str">
        <f>IF(ISNUMBER(F6365),E6365*F6365,"")</f>
        <v/>
      </c>
      <c r="H6365" s="57"/>
      <c r="I6365" s="47"/>
      <c r="J6365" s="37">
        <v>0</v>
      </c>
    </row>
    <row r="6366" spans="1:10" ht="15.75" hidden="1" thickBot="1" x14ac:dyDescent="0.3">
      <c r="A6366" s="180"/>
      <c r="B6366" s="178"/>
      <c r="C6366" s="49"/>
      <c r="D6366" s="49"/>
      <c r="E6366" s="50"/>
      <c r="F6366" s="51" t="s">
        <v>13</v>
      </c>
      <c r="G6366" s="83" t="str">
        <f>IF(ISNUMBER(F6366),E6366*F6366,"")</f>
        <v/>
      </c>
      <c r="H6366" s="99"/>
      <c r="I6366" s="47"/>
      <c r="J6366" s="37">
        <v>0</v>
      </c>
    </row>
    <row r="6367" spans="1:10" ht="15.75" hidden="1" thickBot="1" x14ac:dyDescent="0.3">
      <c r="A6367" s="173" t="s">
        <v>1521</v>
      </c>
      <c r="B6367" s="176" t="s">
        <v>7186</v>
      </c>
      <c r="C6367" s="31"/>
      <c r="D6367" s="32" t="s">
        <v>72</v>
      </c>
      <c r="E6367" s="33"/>
      <c r="F6367" s="60" t="s">
        <v>13</v>
      </c>
      <c r="G6367" s="34" t="str">
        <f>IF(ISNUMBER(F6367),E6367*F6367,"")</f>
        <v/>
      </c>
      <c r="H6367" s="35"/>
      <c r="I6367" s="36"/>
      <c r="J6367" s="37">
        <v>0</v>
      </c>
    </row>
    <row r="6368" spans="1:10" hidden="1" x14ac:dyDescent="0.25">
      <c r="A6368" s="179"/>
      <c r="B6368" s="177"/>
      <c r="C6368" s="39"/>
      <c r="D6368" s="39"/>
      <c r="E6368" s="40"/>
      <c r="F6368" s="70" t="s">
        <v>13</v>
      </c>
      <c r="G6368" s="70" t="str">
        <f>IF(ISNUMBER(F6368),E6368*F6368,"")</f>
        <v/>
      </c>
      <c r="H6368" s="71"/>
      <c r="I6368" s="72"/>
      <c r="J6368" s="37">
        <v>0</v>
      </c>
    </row>
    <row r="6369" spans="1:10" ht="38.25" hidden="1" x14ac:dyDescent="0.25">
      <c r="A6369" s="179"/>
      <c r="B6369" s="177"/>
      <c r="C6369" s="43" t="s">
        <v>10660</v>
      </c>
      <c r="D6369" s="43" t="s">
        <v>83</v>
      </c>
      <c r="E6369" s="44">
        <v>0.21199999999999999</v>
      </c>
      <c r="F6369" s="38">
        <v>0.20899999999999999</v>
      </c>
      <c r="G6369" s="70">
        <f>IF(ISNUMBER(F6369),E6369*F6369,"")</f>
        <v>4.4308E-2</v>
      </c>
      <c r="H6369" s="46">
        <f>SUM(G6369:G6373)</f>
        <v>10.327669450000002</v>
      </c>
      <c r="I6369" s="47"/>
      <c r="J6369" s="37">
        <v>0</v>
      </c>
    </row>
    <row r="6370" spans="1:10" ht="25.5" hidden="1" x14ac:dyDescent="0.25">
      <c r="A6370" s="179"/>
      <c r="B6370" s="177"/>
      <c r="C6370" s="43" t="s">
        <v>10661</v>
      </c>
      <c r="D6370" s="43" t="s">
        <v>1044</v>
      </c>
      <c r="E6370" s="44">
        <v>2.5000000000000001E-2</v>
      </c>
      <c r="F6370" s="38">
        <v>19</v>
      </c>
      <c r="G6370" s="70">
        <f>IF(ISNUMBER(F6370),E6370*F6370,"")</f>
        <v>0.47500000000000003</v>
      </c>
      <c r="H6370" s="57"/>
      <c r="I6370" s="47"/>
      <c r="J6370" s="37">
        <v>0</v>
      </c>
    </row>
    <row r="6371" spans="1:10" hidden="1" x14ac:dyDescent="0.25">
      <c r="A6371" s="179"/>
      <c r="B6371" s="177"/>
      <c r="C6371" s="43" t="s">
        <v>10643</v>
      </c>
      <c r="D6371" s="43" t="s">
        <v>2800</v>
      </c>
      <c r="E6371" s="44">
        <v>4.3E-3</v>
      </c>
      <c r="F6371" s="38">
        <v>24.519499999999997</v>
      </c>
      <c r="G6371" s="70">
        <f>IF(ISNUMBER(F6371),E6371*F6371,"")</f>
        <v>0.10543384999999998</v>
      </c>
      <c r="H6371" s="57"/>
      <c r="I6371" s="47"/>
      <c r="J6371" s="37">
        <v>0</v>
      </c>
    </row>
    <row r="6372" spans="1:10" hidden="1" x14ac:dyDescent="0.25">
      <c r="A6372" s="179"/>
      <c r="B6372" s="177"/>
      <c r="C6372" s="43" t="s">
        <v>10644</v>
      </c>
      <c r="D6372" s="43" t="s">
        <v>2800</v>
      </c>
      <c r="E6372" s="44">
        <v>2.6100000000000002E-2</v>
      </c>
      <c r="F6372" s="38">
        <v>30.837</v>
      </c>
      <c r="G6372" s="70">
        <f>IF(ISNUMBER(F6372),E6372*F6372,"")</f>
        <v>0.8048457</v>
      </c>
      <c r="H6372" s="57"/>
      <c r="I6372" s="47"/>
      <c r="J6372" s="37">
        <v>0</v>
      </c>
    </row>
    <row r="6373" spans="1:10" hidden="1" x14ac:dyDescent="0.25">
      <c r="A6373" s="179"/>
      <c r="B6373" s="177"/>
      <c r="C6373" s="43" t="s">
        <v>10633</v>
      </c>
      <c r="D6373" s="43" t="s">
        <v>1044</v>
      </c>
      <c r="E6373" s="44">
        <v>1</v>
      </c>
      <c r="F6373" s="38">
        <v>8.8980819000000011</v>
      </c>
      <c r="G6373" s="70">
        <f>IF(ISNUMBER(F6373),E6373*F6373,"")</f>
        <v>8.8980819000000011</v>
      </c>
      <c r="H6373" s="57"/>
      <c r="I6373" s="47"/>
      <c r="J6373" s="37">
        <v>0</v>
      </c>
    </row>
    <row r="6374" spans="1:10" ht="15.75" hidden="1" thickBot="1" x14ac:dyDescent="0.3">
      <c r="A6374" s="180"/>
      <c r="B6374" s="178"/>
      <c r="C6374" s="49"/>
      <c r="D6374" s="49"/>
      <c r="E6374" s="50"/>
      <c r="F6374" s="51" t="s">
        <v>13</v>
      </c>
      <c r="G6374" s="83" t="str">
        <f>IF(ISNUMBER(F6374),E6374*F6374,"")</f>
        <v/>
      </c>
      <c r="H6374" s="99"/>
      <c r="I6374" s="47"/>
      <c r="J6374" s="37">
        <v>0</v>
      </c>
    </row>
    <row r="6375" spans="1:10" ht="15.75" hidden="1" thickBot="1" x14ac:dyDescent="0.3">
      <c r="A6375" s="173" t="s">
        <v>1522</v>
      </c>
      <c r="B6375" s="176" t="s">
        <v>7187</v>
      </c>
      <c r="C6375" s="31"/>
      <c r="D6375" s="32" t="s">
        <v>1788</v>
      </c>
      <c r="E6375" s="33"/>
      <c r="F6375" s="60" t="s">
        <v>13</v>
      </c>
      <c r="G6375" s="34" t="str">
        <f>IF(ISNUMBER(F6375),E6375*F6375,"")</f>
        <v/>
      </c>
      <c r="H6375" s="35"/>
      <c r="I6375" s="36"/>
      <c r="J6375" s="37">
        <v>0</v>
      </c>
    </row>
    <row r="6376" spans="1:10" hidden="1" x14ac:dyDescent="0.25">
      <c r="A6376" s="179"/>
      <c r="B6376" s="177"/>
      <c r="C6376" s="39"/>
      <c r="D6376" s="39"/>
      <c r="E6376" s="40"/>
      <c r="F6376" s="70" t="s">
        <v>13</v>
      </c>
      <c r="G6376" s="70" t="str">
        <f>IF(ISNUMBER(F6376),E6376*F6376,"")</f>
        <v/>
      </c>
      <c r="H6376" s="71"/>
      <c r="I6376" s="72"/>
      <c r="J6376" s="37">
        <v>0</v>
      </c>
    </row>
    <row r="6377" spans="1:10" ht="38.25" hidden="1" x14ac:dyDescent="0.25">
      <c r="A6377" s="179"/>
      <c r="B6377" s="177"/>
      <c r="C6377" s="43" t="s">
        <v>10697</v>
      </c>
      <c r="D6377" s="43" t="s">
        <v>2880</v>
      </c>
      <c r="E6377" s="44">
        <v>1.103</v>
      </c>
      <c r="F6377" s="38">
        <v>652.89816514887502</v>
      </c>
      <c r="G6377" s="70">
        <f>IF(ISNUMBER(F6377),E6377*F6377,"")</f>
        <v>720.14667615920916</v>
      </c>
      <c r="H6377" s="46">
        <f>SUM(G6377:G6382)</f>
        <v>1067.9671266592093</v>
      </c>
      <c r="I6377" s="47"/>
      <c r="J6377" s="37">
        <v>0</v>
      </c>
    </row>
    <row r="6378" spans="1:10" hidden="1" x14ac:dyDescent="0.25">
      <c r="A6378" s="179"/>
      <c r="B6378" s="177"/>
      <c r="C6378" s="43" t="s">
        <v>10613</v>
      </c>
      <c r="D6378" s="43" t="s">
        <v>2800</v>
      </c>
      <c r="E6378" s="44">
        <v>1.19</v>
      </c>
      <c r="F6378" s="38">
        <v>30.628</v>
      </c>
      <c r="G6378" s="70">
        <f>IF(ISNUMBER(F6378),E6378*F6378,"")</f>
        <v>36.447319999999998</v>
      </c>
      <c r="H6378" s="57"/>
      <c r="I6378" s="47"/>
      <c r="J6378" s="37">
        <v>0</v>
      </c>
    </row>
    <row r="6379" spans="1:10" hidden="1" x14ac:dyDescent="0.25">
      <c r="A6379" s="179"/>
      <c r="B6379" s="177"/>
      <c r="C6379" s="43" t="s">
        <v>10757</v>
      </c>
      <c r="D6379" s="43" t="s">
        <v>2800</v>
      </c>
      <c r="E6379" s="44">
        <v>3.5710000000000002</v>
      </c>
      <c r="F6379" s="38">
        <v>31.055499999999995</v>
      </c>
      <c r="G6379" s="70">
        <f>IF(ISNUMBER(F6379),E6379*F6379,"")</f>
        <v>110.89919049999999</v>
      </c>
      <c r="H6379" s="57"/>
      <c r="I6379" s="47"/>
      <c r="J6379" s="37">
        <v>0</v>
      </c>
    </row>
    <row r="6380" spans="1:10" hidden="1" x14ac:dyDescent="0.25">
      <c r="A6380" s="179"/>
      <c r="B6380" s="177"/>
      <c r="C6380" s="43" t="s">
        <v>10614</v>
      </c>
      <c r="D6380" s="43" t="s">
        <v>2800</v>
      </c>
      <c r="E6380" s="44">
        <v>8.407</v>
      </c>
      <c r="F6380" s="38">
        <v>23.693000000000001</v>
      </c>
      <c r="G6380" s="70">
        <f>IF(ISNUMBER(F6380),E6380*F6380,"")</f>
        <v>199.18705100000003</v>
      </c>
      <c r="H6380" s="57"/>
      <c r="I6380" s="47"/>
      <c r="J6380" s="37">
        <v>0</v>
      </c>
    </row>
    <row r="6381" spans="1:10" ht="25.5" hidden="1" x14ac:dyDescent="0.25">
      <c r="A6381" s="179"/>
      <c r="B6381" s="177"/>
      <c r="C6381" s="43" t="s">
        <v>10769</v>
      </c>
      <c r="D6381" s="43" t="s">
        <v>1050</v>
      </c>
      <c r="E6381" s="44">
        <v>0.94199999999999995</v>
      </c>
      <c r="F6381" s="38">
        <v>1.2255</v>
      </c>
      <c r="G6381" s="70">
        <f>IF(ISNUMBER(F6381),E6381*F6381,"")</f>
        <v>1.1544209999999999</v>
      </c>
      <c r="H6381" s="57"/>
      <c r="I6381" s="47"/>
      <c r="J6381" s="37">
        <v>0</v>
      </c>
    </row>
    <row r="6382" spans="1:10" ht="25.5" hidden="1" x14ac:dyDescent="0.25">
      <c r="A6382" s="179"/>
      <c r="B6382" s="177"/>
      <c r="C6382" s="43" t="s">
        <v>10770</v>
      </c>
      <c r="D6382" s="43" t="s">
        <v>10677</v>
      </c>
      <c r="E6382" s="44">
        <v>0.249</v>
      </c>
      <c r="F6382" s="38">
        <v>0.53200000000000003</v>
      </c>
      <c r="G6382" s="70">
        <f>IF(ISNUMBER(F6382),E6382*F6382,"")</f>
        <v>0.132468</v>
      </c>
      <c r="H6382" s="57"/>
      <c r="I6382" s="47"/>
      <c r="J6382" s="37">
        <v>0</v>
      </c>
    </row>
    <row r="6383" spans="1:10" ht="15.75" hidden="1" thickBot="1" x14ac:dyDescent="0.3">
      <c r="A6383" s="180"/>
      <c r="B6383" s="178"/>
      <c r="C6383" s="49"/>
      <c r="D6383" s="49"/>
      <c r="E6383" s="50"/>
      <c r="F6383" s="51" t="s">
        <v>13</v>
      </c>
      <c r="G6383" s="83" t="str">
        <f>IF(ISNUMBER(F6383),E6383*F6383,"")</f>
        <v/>
      </c>
      <c r="H6383" s="99"/>
      <c r="I6383" s="47"/>
      <c r="J6383" s="37">
        <v>0</v>
      </c>
    </row>
    <row r="6384" spans="1:10" ht="15.75" hidden="1" thickBot="1" x14ac:dyDescent="0.3">
      <c r="A6384" s="173" t="s">
        <v>1523</v>
      </c>
      <c r="B6384" s="176" t="s">
        <v>7188</v>
      </c>
      <c r="C6384" s="31"/>
      <c r="D6384" s="32" t="s">
        <v>18</v>
      </c>
      <c r="E6384" s="33"/>
      <c r="F6384" s="60" t="s">
        <v>13</v>
      </c>
      <c r="G6384" s="34" t="str">
        <f>IF(ISNUMBER(F6384),E6384*F6384,"")</f>
        <v/>
      </c>
      <c r="H6384" s="35"/>
      <c r="I6384" s="36"/>
      <c r="J6384" s="37">
        <v>0</v>
      </c>
    </row>
    <row r="6385" spans="1:10" hidden="1" x14ac:dyDescent="0.25">
      <c r="A6385" s="179"/>
      <c r="B6385" s="177"/>
      <c r="C6385" s="39"/>
      <c r="D6385" s="39"/>
      <c r="E6385" s="40"/>
      <c r="F6385" s="70" t="s">
        <v>13</v>
      </c>
      <c r="G6385" s="70" t="str">
        <f>IF(ISNUMBER(F6385),E6385*F6385,"")</f>
        <v/>
      </c>
      <c r="H6385" s="71"/>
      <c r="I6385" s="72"/>
      <c r="J6385" s="37">
        <v>0</v>
      </c>
    </row>
    <row r="6386" spans="1:10" ht="25.5" hidden="1" x14ac:dyDescent="0.25">
      <c r="A6386" s="179"/>
      <c r="B6386" s="177"/>
      <c r="C6386" s="43" t="s">
        <v>10753</v>
      </c>
      <c r="D6386" s="43" t="s">
        <v>2800</v>
      </c>
      <c r="E6386" s="44">
        <v>8.2600000000000007E-2</v>
      </c>
      <c r="F6386" s="38">
        <v>23.997</v>
      </c>
      <c r="G6386" s="70">
        <f>IF(ISNUMBER(F6386),E6386*F6386,"")</f>
        <v>1.9821522000000003</v>
      </c>
      <c r="H6386" s="46">
        <f>SUM(G6386:G6388)</f>
        <v>9.9463840999999995</v>
      </c>
      <c r="I6386" s="47"/>
      <c r="J6386" s="37">
        <v>0</v>
      </c>
    </row>
    <row r="6387" spans="1:10" ht="25.5" hidden="1" x14ac:dyDescent="0.25">
      <c r="A6387" s="179"/>
      <c r="B6387" s="177"/>
      <c r="C6387" s="43" t="s">
        <v>10827</v>
      </c>
      <c r="D6387" s="43" t="s">
        <v>10677</v>
      </c>
      <c r="E6387" s="44">
        <v>0.2084</v>
      </c>
      <c r="F6387" s="38">
        <v>26.542999999999999</v>
      </c>
      <c r="G6387" s="70">
        <f>IF(ISNUMBER(F6387),E6387*F6387,"")</f>
        <v>5.5315611999999996</v>
      </c>
      <c r="H6387" s="57"/>
      <c r="I6387" s="47"/>
      <c r="J6387" s="37">
        <v>0</v>
      </c>
    </row>
    <row r="6388" spans="1:10" ht="25.5" hidden="1" x14ac:dyDescent="0.25">
      <c r="A6388" s="179"/>
      <c r="B6388" s="177"/>
      <c r="C6388" s="43" t="s">
        <v>10828</v>
      </c>
      <c r="D6388" s="43" t="s">
        <v>1050</v>
      </c>
      <c r="E6388" s="44">
        <v>8.5300000000000001E-2</v>
      </c>
      <c r="F6388" s="38">
        <v>28.518999999999998</v>
      </c>
      <c r="G6388" s="70">
        <f>IF(ISNUMBER(F6388),E6388*F6388,"")</f>
        <v>2.4326707000000001</v>
      </c>
      <c r="H6388" s="57"/>
      <c r="I6388" s="47"/>
      <c r="J6388" s="37">
        <v>0</v>
      </c>
    </row>
    <row r="6389" spans="1:10" ht="15.75" hidden="1" thickBot="1" x14ac:dyDescent="0.3">
      <c r="A6389" s="180"/>
      <c r="B6389" s="178"/>
      <c r="C6389" s="49"/>
      <c r="D6389" s="49"/>
      <c r="E6389" s="50"/>
      <c r="F6389" s="51" t="s">
        <v>13</v>
      </c>
      <c r="G6389" s="83" t="str">
        <f>IF(ISNUMBER(F6389),E6389*F6389,"")</f>
        <v/>
      </c>
      <c r="H6389" s="99"/>
      <c r="I6389" s="47"/>
      <c r="J6389" s="37">
        <v>0</v>
      </c>
    </row>
    <row r="6390" spans="1:10" ht="15.75" hidden="1" thickBot="1" x14ac:dyDescent="0.3">
      <c r="A6390" s="173" t="s">
        <v>1524</v>
      </c>
      <c r="B6390" s="176" t="s">
        <v>7189</v>
      </c>
      <c r="C6390" s="31"/>
      <c r="D6390" s="32" t="s">
        <v>72</v>
      </c>
      <c r="E6390" s="33"/>
      <c r="F6390" s="60" t="s">
        <v>13</v>
      </c>
      <c r="G6390" s="34" t="str">
        <f>IF(ISNUMBER(F6390),E6390*F6390,"")</f>
        <v/>
      </c>
      <c r="H6390" s="35"/>
      <c r="I6390" s="36"/>
      <c r="J6390" s="37">
        <v>0</v>
      </c>
    </row>
    <row r="6391" spans="1:10" hidden="1" x14ac:dyDescent="0.25">
      <c r="A6391" s="179"/>
      <c r="B6391" s="177"/>
      <c r="C6391" s="39"/>
      <c r="D6391" s="39"/>
      <c r="E6391" s="40"/>
      <c r="F6391" s="70" t="s">
        <v>13</v>
      </c>
      <c r="G6391" s="70" t="str">
        <f>IF(ISNUMBER(F6391),E6391*F6391,"")</f>
        <v/>
      </c>
      <c r="H6391" s="71"/>
      <c r="I6391" s="72"/>
      <c r="J6391" s="37">
        <v>0</v>
      </c>
    </row>
    <row r="6392" spans="1:10" hidden="1" x14ac:dyDescent="0.25">
      <c r="A6392" s="179"/>
      <c r="B6392" s="177"/>
      <c r="C6392" s="43" t="s">
        <v>10757</v>
      </c>
      <c r="D6392" s="43" t="s">
        <v>2800</v>
      </c>
      <c r="E6392" s="44">
        <f>1/5</f>
        <v>0.2</v>
      </c>
      <c r="F6392" s="38">
        <v>31.055499999999995</v>
      </c>
      <c r="G6392" s="70">
        <f>IF(ISNUMBER(F6392),E6392*F6392,"")</f>
        <v>6.2110999999999992</v>
      </c>
      <c r="H6392" s="46">
        <f>SUM(G6392:G6394)</f>
        <v>76.784699999999987</v>
      </c>
      <c r="I6392" s="47"/>
      <c r="J6392" s="37">
        <v>0</v>
      </c>
    </row>
    <row r="6393" spans="1:10" hidden="1" x14ac:dyDescent="0.25">
      <c r="A6393" s="179"/>
      <c r="B6393" s="177"/>
      <c r="C6393" s="43" t="s">
        <v>10614</v>
      </c>
      <c r="D6393" s="43" t="s">
        <v>2800</v>
      </c>
      <c r="E6393" s="44">
        <f>1/5</f>
        <v>0.2</v>
      </c>
      <c r="F6393" s="38">
        <v>23.693000000000001</v>
      </c>
      <c r="G6393" s="70">
        <f>IF(ISNUMBER(F6393),E6393*F6393,"")</f>
        <v>4.7386000000000008</v>
      </c>
      <c r="H6393" s="57"/>
      <c r="I6393" s="47"/>
      <c r="J6393" s="37">
        <v>0</v>
      </c>
    </row>
    <row r="6394" spans="1:10" ht="25.5" hidden="1" x14ac:dyDescent="0.25">
      <c r="A6394" s="179"/>
      <c r="B6394" s="177"/>
      <c r="C6394" s="43" t="s">
        <v>11009</v>
      </c>
      <c r="D6394" s="43" t="s">
        <v>1044</v>
      </c>
      <c r="E6394" s="44">
        <v>1</v>
      </c>
      <c r="F6394" s="38">
        <v>65.834999999999994</v>
      </c>
      <c r="G6394" s="70">
        <f>IF(ISNUMBER(F6394),E6394*F6394,"")</f>
        <v>65.834999999999994</v>
      </c>
      <c r="H6394" s="57"/>
      <c r="I6394" s="47"/>
      <c r="J6394" s="37">
        <v>0</v>
      </c>
    </row>
    <row r="6395" spans="1:10" ht="15.75" hidden="1" thickBot="1" x14ac:dyDescent="0.3">
      <c r="A6395" s="180"/>
      <c r="B6395" s="178"/>
      <c r="C6395" s="49"/>
      <c r="D6395" s="49"/>
      <c r="E6395" s="50"/>
      <c r="F6395" s="51" t="s">
        <v>13</v>
      </c>
      <c r="G6395" s="83" t="str">
        <f>IF(ISNUMBER(F6395),E6395*F6395,"")</f>
        <v/>
      </c>
      <c r="H6395" s="99"/>
      <c r="I6395" s="47"/>
      <c r="J6395" s="37">
        <v>0</v>
      </c>
    </row>
    <row r="6396" spans="1:10" ht="15.75" hidden="1" thickBot="1" x14ac:dyDescent="0.3">
      <c r="A6396" s="173" t="s">
        <v>1525</v>
      </c>
      <c r="B6396" s="176" t="s">
        <v>7190</v>
      </c>
      <c r="C6396" s="31"/>
      <c r="D6396" s="32" t="s">
        <v>106</v>
      </c>
      <c r="E6396" s="33"/>
      <c r="F6396" s="60" t="s">
        <v>13</v>
      </c>
      <c r="G6396" s="34" t="str">
        <f>IF(ISNUMBER(F6396),E6396*F6396,"")</f>
        <v/>
      </c>
      <c r="H6396" s="35"/>
      <c r="I6396" s="36"/>
      <c r="J6396" s="37">
        <v>0</v>
      </c>
    </row>
    <row r="6397" spans="1:10" hidden="1" x14ac:dyDescent="0.25">
      <c r="A6397" s="179"/>
      <c r="B6397" s="177"/>
      <c r="C6397" s="39"/>
      <c r="D6397" s="39"/>
      <c r="E6397" s="40"/>
      <c r="F6397" s="70" t="s">
        <v>13</v>
      </c>
      <c r="G6397" s="70" t="str">
        <f>IF(ISNUMBER(F6397),E6397*F6397,"")</f>
        <v/>
      </c>
      <c r="H6397" s="71"/>
      <c r="I6397" s="72"/>
      <c r="J6397" s="37">
        <v>0</v>
      </c>
    </row>
    <row r="6398" spans="1:10" hidden="1" x14ac:dyDescent="0.25">
      <c r="A6398" s="179"/>
      <c r="B6398" s="177"/>
      <c r="C6398" s="43" t="s">
        <v>10757</v>
      </c>
      <c r="D6398" s="43" t="s">
        <v>2800</v>
      </c>
      <c r="E6398" s="44">
        <v>1.103</v>
      </c>
      <c r="F6398" s="38">
        <v>31.055499999999995</v>
      </c>
      <c r="G6398" s="70">
        <f>IF(ISNUMBER(F6398),E6398*F6398,"")</f>
        <v>34.254216499999991</v>
      </c>
      <c r="H6398" s="46">
        <f>SUM(G6398:G6401)</f>
        <v>137.31512150640327</v>
      </c>
      <c r="I6398" s="47"/>
      <c r="J6398" s="37">
        <v>0</v>
      </c>
    </row>
    <row r="6399" spans="1:10" hidden="1" x14ac:dyDescent="0.25">
      <c r="A6399" s="179"/>
      <c r="B6399" s="177"/>
      <c r="C6399" s="43" t="s">
        <v>10614</v>
      </c>
      <c r="D6399" s="43" t="s">
        <v>2800</v>
      </c>
      <c r="E6399" s="44">
        <v>1.33</v>
      </c>
      <c r="F6399" s="38">
        <v>23.693000000000001</v>
      </c>
      <c r="G6399" s="70">
        <f>IF(ISNUMBER(F6399),E6399*F6399,"")</f>
        <v>31.511690000000005</v>
      </c>
      <c r="H6399" s="57"/>
      <c r="I6399" s="47"/>
      <c r="J6399" s="37">
        <v>0</v>
      </c>
    </row>
    <row r="6400" spans="1:10" hidden="1" x14ac:dyDescent="0.25">
      <c r="A6400" s="179"/>
      <c r="B6400" s="177"/>
      <c r="C6400" s="43" t="s">
        <v>10693</v>
      </c>
      <c r="D6400" s="43" t="s">
        <v>1044</v>
      </c>
      <c r="E6400" s="44">
        <v>2.1230000000000002</v>
      </c>
      <c r="F6400" s="38">
        <v>7.2538732000000001</v>
      </c>
      <c r="G6400" s="70">
        <f>IF(ISNUMBER(F6400),E6400*F6400,"")</f>
        <v>15.399972803600003</v>
      </c>
      <c r="H6400" s="57"/>
      <c r="I6400" s="47"/>
      <c r="J6400" s="37">
        <v>0</v>
      </c>
    </row>
    <row r="6401" spans="1:10" ht="38.25" hidden="1" x14ac:dyDescent="0.25">
      <c r="A6401" s="179"/>
      <c r="B6401" s="177"/>
      <c r="C6401" s="43" t="s">
        <v>10697</v>
      </c>
      <c r="D6401" s="43" t="s">
        <v>2880</v>
      </c>
      <c r="E6401" s="44">
        <v>8.5999999999999993E-2</v>
      </c>
      <c r="F6401" s="38">
        <v>652.89816514887502</v>
      </c>
      <c r="G6401" s="70">
        <f>IF(ISNUMBER(F6401),E6401*F6401,"")</f>
        <v>56.149242202803251</v>
      </c>
      <c r="H6401" s="57"/>
      <c r="I6401" s="47"/>
      <c r="J6401" s="37">
        <v>0</v>
      </c>
    </row>
    <row r="6402" spans="1:10" ht="15.75" hidden="1" thickBot="1" x14ac:dyDescent="0.3">
      <c r="A6402" s="180"/>
      <c r="B6402" s="178"/>
      <c r="C6402" s="49"/>
      <c r="D6402" s="49"/>
      <c r="E6402" s="50"/>
      <c r="F6402" s="51" t="s">
        <v>13</v>
      </c>
      <c r="G6402" s="83" t="str">
        <f>IF(ISNUMBER(F6402),E6402*F6402,"")</f>
        <v/>
      </c>
      <c r="H6402" s="99"/>
      <c r="I6402" s="47"/>
      <c r="J6402" s="37">
        <v>0</v>
      </c>
    </row>
    <row r="6403" spans="1:10" ht="15.75" hidden="1" thickBot="1" x14ac:dyDescent="0.3">
      <c r="A6403" s="173" t="s">
        <v>1526</v>
      </c>
      <c r="B6403" s="176" t="s">
        <v>7191</v>
      </c>
      <c r="C6403" s="31"/>
      <c r="D6403" s="32" t="s">
        <v>18</v>
      </c>
      <c r="E6403" s="33"/>
      <c r="F6403" s="60" t="s">
        <v>13</v>
      </c>
      <c r="G6403" s="34" t="str">
        <f>IF(ISNUMBER(F6403),E6403*F6403,"")</f>
        <v/>
      </c>
      <c r="H6403" s="35"/>
      <c r="I6403" s="36"/>
      <c r="J6403" s="37">
        <v>0</v>
      </c>
    </row>
    <row r="6404" spans="1:10" hidden="1" x14ac:dyDescent="0.25">
      <c r="A6404" s="179"/>
      <c r="B6404" s="177"/>
      <c r="C6404" s="39"/>
      <c r="D6404" s="39"/>
      <c r="E6404" s="40"/>
      <c r="F6404" s="70" t="s">
        <v>13</v>
      </c>
      <c r="G6404" s="70" t="str">
        <f>IF(ISNUMBER(F6404),E6404*F6404,"")</f>
        <v/>
      </c>
      <c r="H6404" s="71"/>
      <c r="I6404" s="72"/>
      <c r="J6404" s="37">
        <v>0</v>
      </c>
    </row>
    <row r="6405" spans="1:10" hidden="1" x14ac:dyDescent="0.25">
      <c r="A6405" s="179"/>
      <c r="B6405" s="177"/>
      <c r="C6405" s="43" t="s">
        <v>10614</v>
      </c>
      <c r="D6405" s="43" t="s">
        <v>2800</v>
      </c>
      <c r="E6405" s="44">
        <v>0.36299999999999999</v>
      </c>
      <c r="F6405" s="38">
        <v>23.693000000000001</v>
      </c>
      <c r="G6405" s="70">
        <f>IF(ISNUMBER(F6405),E6405*F6405,"")</f>
        <v>8.6005590000000005</v>
      </c>
      <c r="H6405" s="46">
        <f>SUM(G6405:G6407)</f>
        <v>18.557163200000002</v>
      </c>
      <c r="I6405" s="47"/>
      <c r="J6405" s="37">
        <v>0</v>
      </c>
    </row>
    <row r="6406" spans="1:10" ht="25.5" hidden="1" x14ac:dyDescent="0.25">
      <c r="A6406" s="179"/>
      <c r="B6406" s="177"/>
      <c r="C6406" s="43" t="s">
        <v>10827</v>
      </c>
      <c r="D6406" s="43" t="s">
        <v>10677</v>
      </c>
      <c r="E6406" s="44">
        <v>0.20030000000000001</v>
      </c>
      <c r="F6406" s="38">
        <v>26.542999999999999</v>
      </c>
      <c r="G6406" s="70">
        <f>IF(ISNUMBER(F6406),E6406*F6406,"")</f>
        <v>5.3165629000000001</v>
      </c>
      <c r="H6406" s="57"/>
      <c r="I6406" s="47"/>
      <c r="J6406" s="37">
        <v>0</v>
      </c>
    </row>
    <row r="6407" spans="1:10" ht="25.5" hidden="1" x14ac:dyDescent="0.25">
      <c r="A6407" s="179"/>
      <c r="B6407" s="177"/>
      <c r="C6407" s="43" t="s">
        <v>10828</v>
      </c>
      <c r="D6407" s="43" t="s">
        <v>1050</v>
      </c>
      <c r="E6407" s="44">
        <v>0.16270000000000001</v>
      </c>
      <c r="F6407" s="38">
        <v>28.518999999999998</v>
      </c>
      <c r="G6407" s="70">
        <f>IF(ISNUMBER(F6407),E6407*F6407,"")</f>
        <v>4.6400413</v>
      </c>
      <c r="H6407" s="57"/>
      <c r="I6407" s="47"/>
      <c r="J6407" s="37">
        <v>0</v>
      </c>
    </row>
    <row r="6408" spans="1:10" ht="15.75" hidden="1" thickBot="1" x14ac:dyDescent="0.3">
      <c r="A6408" s="180"/>
      <c r="B6408" s="178"/>
      <c r="C6408" s="49"/>
      <c r="D6408" s="49"/>
      <c r="E6408" s="50"/>
      <c r="F6408" s="51" t="s">
        <v>13</v>
      </c>
      <c r="G6408" s="83" t="str">
        <f>IF(ISNUMBER(F6408),E6408*F6408,"")</f>
        <v/>
      </c>
      <c r="H6408" s="99"/>
      <c r="I6408" s="47"/>
      <c r="J6408" s="37">
        <v>0</v>
      </c>
    </row>
    <row r="6409" spans="1:10" ht="15.75" hidden="1" thickBot="1" x14ac:dyDescent="0.3">
      <c r="A6409" s="173" t="s">
        <v>1527</v>
      </c>
      <c r="B6409" s="176" t="s">
        <v>7192</v>
      </c>
      <c r="C6409" s="31"/>
      <c r="D6409" s="32" t="s">
        <v>18</v>
      </c>
      <c r="E6409" s="33"/>
      <c r="F6409" s="60" t="s">
        <v>13</v>
      </c>
      <c r="G6409" s="34" t="str">
        <f>IF(ISNUMBER(F6409),E6409*F6409,"")</f>
        <v/>
      </c>
      <c r="H6409" s="35"/>
      <c r="I6409" s="36"/>
      <c r="J6409" s="37">
        <v>0</v>
      </c>
    </row>
    <row r="6410" spans="1:10" hidden="1" x14ac:dyDescent="0.25">
      <c r="A6410" s="179"/>
      <c r="B6410" s="177"/>
      <c r="C6410" s="39"/>
      <c r="D6410" s="39"/>
      <c r="E6410" s="40"/>
      <c r="F6410" s="70" t="s">
        <v>13</v>
      </c>
      <c r="G6410" s="70" t="str">
        <f>IF(ISNUMBER(F6410),E6410*F6410,"")</f>
        <v/>
      </c>
      <c r="H6410" s="71"/>
      <c r="I6410" s="72"/>
      <c r="J6410" s="37">
        <v>0</v>
      </c>
    </row>
    <row r="6411" spans="1:10" ht="38.25" hidden="1" x14ac:dyDescent="0.25">
      <c r="A6411" s="179"/>
      <c r="B6411" s="177"/>
      <c r="C6411" s="43" t="s">
        <v>1528</v>
      </c>
      <c r="D6411" s="43" t="s">
        <v>83</v>
      </c>
      <c r="E6411" s="44">
        <v>1</v>
      </c>
      <c r="F6411" s="38" t="s">
        <v>13</v>
      </c>
      <c r="G6411" s="70" t="str">
        <f>IF(ISNUMBER(F6411),E6411*F6411,"")</f>
        <v/>
      </c>
      <c r="H6411" s="46">
        <f>SUM(G6411:G6413)</f>
        <v>225.53</v>
      </c>
      <c r="I6411" s="47"/>
      <c r="J6411" s="37">
        <v>0</v>
      </c>
    </row>
    <row r="6412" spans="1:10" hidden="1" x14ac:dyDescent="0.25">
      <c r="A6412" s="179"/>
      <c r="B6412" s="177"/>
      <c r="C6412" s="43" t="s">
        <v>10762</v>
      </c>
      <c r="D6412" s="43" t="s">
        <v>2800</v>
      </c>
      <c r="E6412" s="44">
        <v>4</v>
      </c>
      <c r="F6412" s="38">
        <v>24.946999999999999</v>
      </c>
      <c r="G6412" s="70">
        <f>IF(ISNUMBER(F6412),E6412*F6412,"")</f>
        <v>99.787999999999997</v>
      </c>
      <c r="H6412" s="57"/>
      <c r="I6412" s="47"/>
      <c r="J6412" s="37">
        <v>0</v>
      </c>
    </row>
    <row r="6413" spans="1:10" hidden="1" x14ac:dyDescent="0.25">
      <c r="A6413" s="179"/>
      <c r="B6413" s="177"/>
      <c r="C6413" s="43" t="s">
        <v>10763</v>
      </c>
      <c r="D6413" s="43" t="s">
        <v>2800</v>
      </c>
      <c r="E6413" s="44">
        <v>4</v>
      </c>
      <c r="F6413" s="38">
        <v>31.435500000000001</v>
      </c>
      <c r="G6413" s="70">
        <f>IF(ISNUMBER(F6413),E6413*F6413,"")</f>
        <v>125.742</v>
      </c>
      <c r="H6413" s="57"/>
      <c r="I6413" s="47"/>
      <c r="J6413" s="37">
        <v>0</v>
      </c>
    </row>
    <row r="6414" spans="1:10" ht="15.75" hidden="1" thickBot="1" x14ac:dyDescent="0.3">
      <c r="A6414" s="180"/>
      <c r="B6414" s="178"/>
      <c r="C6414" s="49"/>
      <c r="D6414" s="49"/>
      <c r="E6414" s="50"/>
      <c r="F6414" s="51" t="s">
        <v>13</v>
      </c>
      <c r="G6414" s="83" t="str">
        <f>IF(ISNUMBER(F6414),E6414*F6414,"")</f>
        <v/>
      </c>
      <c r="H6414" s="99"/>
      <c r="I6414" s="47"/>
      <c r="J6414" s="37">
        <v>0</v>
      </c>
    </row>
    <row r="6415" spans="1:10" ht="15.75" hidden="1" thickBot="1" x14ac:dyDescent="0.3">
      <c r="A6415" s="173" t="s">
        <v>1529</v>
      </c>
      <c r="B6415" s="176" t="s">
        <v>7193</v>
      </c>
      <c r="C6415" s="31"/>
      <c r="D6415" s="32" t="s">
        <v>1788</v>
      </c>
      <c r="E6415" s="33"/>
      <c r="F6415" s="60" t="s">
        <v>13</v>
      </c>
      <c r="G6415" s="34" t="str">
        <f>IF(ISNUMBER(F6415),E6415*F6415,"")</f>
        <v/>
      </c>
      <c r="H6415" s="35"/>
      <c r="I6415" s="36"/>
      <c r="J6415" s="37">
        <v>0</v>
      </c>
    </row>
    <row r="6416" spans="1:10" hidden="1" x14ac:dyDescent="0.25">
      <c r="A6416" s="179"/>
      <c r="B6416" s="177"/>
      <c r="C6416" s="39"/>
      <c r="D6416" s="39"/>
      <c r="E6416" s="40"/>
      <c r="F6416" s="70" t="s">
        <v>13</v>
      </c>
      <c r="G6416" s="70" t="str">
        <f>IF(ISNUMBER(F6416),E6416*F6416,"")</f>
        <v/>
      </c>
      <c r="H6416" s="71"/>
      <c r="I6416" s="72"/>
      <c r="J6416" s="37">
        <v>0</v>
      </c>
    </row>
    <row r="6417" spans="1:10" ht="38.25" hidden="1" x14ac:dyDescent="0.25">
      <c r="A6417" s="179"/>
      <c r="B6417" s="177"/>
      <c r="C6417" s="43" t="s">
        <v>11315</v>
      </c>
      <c r="D6417" s="43" t="s">
        <v>2880</v>
      </c>
      <c r="E6417" s="44">
        <v>1.103</v>
      </c>
      <c r="F6417" s="38">
        <v>532.25649999999996</v>
      </c>
      <c r="G6417" s="70">
        <f>IF(ISNUMBER(F6417),E6417*F6417,"")</f>
        <v>587.07891949999998</v>
      </c>
      <c r="H6417" s="46">
        <f>SUM(G6417:G6422)</f>
        <v>634.07938100000001</v>
      </c>
      <c r="I6417" s="47"/>
      <c r="J6417" s="37">
        <v>0</v>
      </c>
    </row>
    <row r="6418" spans="1:10" hidden="1" x14ac:dyDescent="0.25">
      <c r="A6418" s="179"/>
      <c r="B6418" s="177"/>
      <c r="C6418" s="43" t="s">
        <v>10613</v>
      </c>
      <c r="D6418" s="43" t="s">
        <v>2800</v>
      </c>
      <c r="E6418" s="44">
        <v>0.125</v>
      </c>
      <c r="F6418" s="38">
        <v>30.628</v>
      </c>
      <c r="G6418" s="70">
        <f>IF(ISNUMBER(F6418),E6418*F6418,"")</f>
        <v>3.8285</v>
      </c>
      <c r="H6418" s="57"/>
      <c r="I6418" s="47"/>
      <c r="J6418" s="37">
        <v>0</v>
      </c>
    </row>
    <row r="6419" spans="1:10" hidden="1" x14ac:dyDescent="0.25">
      <c r="A6419" s="179"/>
      <c r="B6419" s="177"/>
      <c r="C6419" s="43" t="s">
        <v>10757</v>
      </c>
      <c r="D6419" s="43" t="s">
        <v>2800</v>
      </c>
      <c r="E6419" s="44">
        <v>0.753</v>
      </c>
      <c r="F6419" s="38">
        <v>31.055499999999995</v>
      </c>
      <c r="G6419" s="70">
        <f>IF(ISNUMBER(F6419),E6419*F6419,"")</f>
        <v>23.384791499999995</v>
      </c>
      <c r="H6419" s="57"/>
      <c r="I6419" s="47"/>
      <c r="J6419" s="37">
        <v>0</v>
      </c>
    </row>
    <row r="6420" spans="1:10" hidden="1" x14ac:dyDescent="0.25">
      <c r="A6420" s="179"/>
      <c r="B6420" s="177"/>
      <c r="C6420" s="43" t="s">
        <v>10614</v>
      </c>
      <c r="D6420" s="43" t="s">
        <v>2800</v>
      </c>
      <c r="E6420" s="44">
        <v>0.82599999999999996</v>
      </c>
      <c r="F6420" s="38">
        <v>23.693000000000001</v>
      </c>
      <c r="G6420" s="70">
        <f>IF(ISNUMBER(F6420),E6420*F6420,"")</f>
        <v>19.570418</v>
      </c>
      <c r="H6420" s="57"/>
      <c r="I6420" s="47"/>
      <c r="J6420" s="37">
        <v>0</v>
      </c>
    </row>
    <row r="6421" spans="1:10" ht="25.5" hidden="1" x14ac:dyDescent="0.25">
      <c r="A6421" s="179"/>
      <c r="B6421" s="177"/>
      <c r="C6421" s="43" t="s">
        <v>10769</v>
      </c>
      <c r="D6421" s="43" t="s">
        <v>1050</v>
      </c>
      <c r="E6421" s="44">
        <v>0.12</v>
      </c>
      <c r="F6421" s="38">
        <v>1.2255</v>
      </c>
      <c r="G6421" s="70">
        <f>IF(ISNUMBER(F6421),E6421*F6421,"")</f>
        <v>0.14706</v>
      </c>
      <c r="H6421" s="57"/>
      <c r="I6421" s="47"/>
      <c r="J6421" s="37">
        <v>0</v>
      </c>
    </row>
    <row r="6422" spans="1:10" ht="25.5" hidden="1" x14ac:dyDescent="0.25">
      <c r="A6422" s="179"/>
      <c r="B6422" s="177"/>
      <c r="C6422" s="43" t="s">
        <v>10770</v>
      </c>
      <c r="D6422" s="43" t="s">
        <v>10677</v>
      </c>
      <c r="E6422" s="44">
        <v>0.13100000000000001</v>
      </c>
      <c r="F6422" s="38">
        <v>0.53200000000000003</v>
      </c>
      <c r="G6422" s="70">
        <f>IF(ISNUMBER(F6422),E6422*F6422,"")</f>
        <v>6.9692000000000004E-2</v>
      </c>
      <c r="H6422" s="57"/>
      <c r="I6422" s="47"/>
      <c r="J6422" s="37">
        <v>0</v>
      </c>
    </row>
    <row r="6423" spans="1:10" ht="15.75" hidden="1" thickBot="1" x14ac:dyDescent="0.3">
      <c r="A6423" s="180"/>
      <c r="B6423" s="178"/>
      <c r="C6423" s="49"/>
      <c r="D6423" s="49"/>
      <c r="E6423" s="50"/>
      <c r="F6423" s="51" t="s">
        <v>13</v>
      </c>
      <c r="G6423" s="83" t="str">
        <f>IF(ISNUMBER(F6423),E6423*F6423,"")</f>
        <v/>
      </c>
      <c r="H6423" s="99"/>
      <c r="I6423" s="47"/>
      <c r="J6423" s="37">
        <v>0</v>
      </c>
    </row>
    <row r="6424" spans="1:10" ht="15.75" hidden="1" thickBot="1" x14ac:dyDescent="0.3">
      <c r="A6424" s="173" t="s">
        <v>1530</v>
      </c>
      <c r="B6424" s="176" t="s">
        <v>7194</v>
      </c>
      <c r="C6424" s="31"/>
      <c r="D6424" s="32" t="s">
        <v>106</v>
      </c>
      <c r="E6424" s="33"/>
      <c r="F6424" s="60" t="s">
        <v>13</v>
      </c>
      <c r="G6424" s="34" t="str">
        <f>IF(ISNUMBER(F6424),E6424*F6424,"")</f>
        <v/>
      </c>
      <c r="H6424" s="35"/>
      <c r="I6424" s="36"/>
      <c r="J6424" s="37">
        <v>0</v>
      </c>
    </row>
    <row r="6425" spans="1:10" hidden="1" x14ac:dyDescent="0.25">
      <c r="A6425" s="179"/>
      <c r="B6425" s="177"/>
      <c r="C6425" s="39"/>
      <c r="D6425" s="39"/>
      <c r="E6425" s="40"/>
      <c r="F6425" s="70" t="s">
        <v>13</v>
      </c>
      <c r="G6425" s="70" t="str">
        <f>IF(ISNUMBER(F6425),E6425*F6425,"")</f>
        <v/>
      </c>
      <c r="H6425" s="71"/>
      <c r="I6425" s="72"/>
      <c r="J6425" s="37">
        <v>0</v>
      </c>
    </row>
    <row r="6426" spans="1:10" ht="38.25" hidden="1" x14ac:dyDescent="0.25">
      <c r="A6426" s="179"/>
      <c r="B6426" s="177"/>
      <c r="C6426" s="43" t="s">
        <v>11316</v>
      </c>
      <c r="D6426" s="43" t="s">
        <v>2880</v>
      </c>
      <c r="E6426" s="44">
        <v>0.1426</v>
      </c>
      <c r="F6426" s="38">
        <v>510.226</v>
      </c>
      <c r="G6426" s="70">
        <f>IF(ISNUMBER(F6426),E6426*F6426,"")</f>
        <v>72.758227599999998</v>
      </c>
      <c r="H6426" s="46">
        <f>SUM(G6426:G6433)</f>
        <v>115.79527870642998</v>
      </c>
      <c r="I6426" s="47"/>
      <c r="J6426" s="37">
        <v>0</v>
      </c>
    </row>
    <row r="6427" spans="1:10" hidden="1" x14ac:dyDescent="0.25">
      <c r="A6427" s="179"/>
      <c r="B6427" s="177"/>
      <c r="C6427" s="43" t="s">
        <v>10614</v>
      </c>
      <c r="D6427" s="43" t="s">
        <v>2800</v>
      </c>
      <c r="E6427" s="44">
        <v>0.27950000000000003</v>
      </c>
      <c r="F6427" s="38">
        <v>23.693000000000001</v>
      </c>
      <c r="G6427" s="70">
        <f>IF(ISNUMBER(F6427),E6427*F6427,"")</f>
        <v>6.6221935000000007</v>
      </c>
      <c r="H6427" s="57"/>
      <c r="I6427" s="47"/>
      <c r="J6427" s="37">
        <v>0</v>
      </c>
    </row>
    <row r="6428" spans="1:10" ht="51" hidden="1" x14ac:dyDescent="0.25">
      <c r="A6428" s="179"/>
      <c r="B6428" s="177"/>
      <c r="C6428" s="43" t="s">
        <v>11317</v>
      </c>
      <c r="D6428" s="43" t="s">
        <v>1050</v>
      </c>
      <c r="E6428" s="44">
        <v>3.4200000000000001E-2</v>
      </c>
      <c r="F6428" s="38">
        <v>382.52699999999999</v>
      </c>
      <c r="G6428" s="70">
        <f>IF(ISNUMBER(F6428),E6428*F6428,"")</f>
        <v>13.0824234</v>
      </c>
      <c r="H6428" s="57"/>
      <c r="I6428" s="47"/>
      <c r="J6428" s="37">
        <v>0</v>
      </c>
    </row>
    <row r="6429" spans="1:10" ht="51" hidden="1" x14ac:dyDescent="0.25">
      <c r="A6429" s="179"/>
      <c r="B6429" s="177"/>
      <c r="C6429" s="43" t="s">
        <v>11318</v>
      </c>
      <c r="D6429" s="43" t="s">
        <v>10677</v>
      </c>
      <c r="E6429" s="44">
        <v>6.1199999999999997E-2</v>
      </c>
      <c r="F6429" s="38">
        <v>161.54750000000001</v>
      </c>
      <c r="G6429" s="70">
        <f>IF(ISNUMBER(F6429),E6429*F6429,"")</f>
        <v>9.8867070000000012</v>
      </c>
      <c r="H6429" s="57"/>
      <c r="I6429" s="47"/>
      <c r="J6429" s="37">
        <v>0</v>
      </c>
    </row>
    <row r="6430" spans="1:10" ht="25.5" hidden="1" x14ac:dyDescent="0.25">
      <c r="A6430" s="179"/>
      <c r="B6430" s="177"/>
      <c r="C6430" s="43" t="s">
        <v>10611</v>
      </c>
      <c r="D6430" s="43" t="s">
        <v>2800</v>
      </c>
      <c r="E6430" s="44">
        <v>6.4000000000000003E-3</v>
      </c>
      <c r="F6430" s="38">
        <v>142.75650000000002</v>
      </c>
      <c r="G6430" s="70">
        <f>IF(ISNUMBER(F6430),E6430*F6430,"")</f>
        <v>0.91364160000000016</v>
      </c>
      <c r="H6430" s="57"/>
      <c r="I6430" s="47"/>
      <c r="J6430" s="37">
        <v>0</v>
      </c>
    </row>
    <row r="6431" spans="1:10" ht="25.5" hidden="1" x14ac:dyDescent="0.25">
      <c r="A6431" s="179"/>
      <c r="B6431" s="177"/>
      <c r="C6431" s="43" t="s">
        <v>10726</v>
      </c>
      <c r="D6431" s="43" t="s">
        <v>1044</v>
      </c>
      <c r="E6431" s="44">
        <v>1.3913</v>
      </c>
      <c r="F6431" s="38">
        <v>7.9216956500000002</v>
      </c>
      <c r="G6431" s="70">
        <f>IF(ISNUMBER(F6431),E6431*F6431,"")</f>
        <v>11.021455157845001</v>
      </c>
      <c r="H6431" s="57"/>
      <c r="I6431" s="47"/>
      <c r="J6431" s="37">
        <v>0</v>
      </c>
    </row>
    <row r="6432" spans="1:10" ht="38.25" hidden="1" x14ac:dyDescent="0.25">
      <c r="A6432" s="179"/>
      <c r="B6432" s="177"/>
      <c r="C6432" s="43" t="s">
        <v>10727</v>
      </c>
      <c r="D6432" s="43" t="s">
        <v>10676</v>
      </c>
      <c r="E6432" s="44">
        <v>5.2400000000000002E-2</v>
      </c>
      <c r="F6432" s="38">
        <v>3.18846315</v>
      </c>
      <c r="G6432" s="70">
        <f>IF(ISNUMBER(F6432),E6432*F6432,"")</f>
        <v>0.16707546906000001</v>
      </c>
      <c r="H6432" s="57"/>
      <c r="I6432" s="47"/>
      <c r="J6432" s="37">
        <v>0</v>
      </c>
    </row>
    <row r="6433" spans="1:10" ht="51" hidden="1" x14ac:dyDescent="0.25">
      <c r="A6433" s="179"/>
      <c r="B6433" s="177"/>
      <c r="C6433" s="43" t="s">
        <v>10624</v>
      </c>
      <c r="D6433" s="43" t="s">
        <v>2880</v>
      </c>
      <c r="E6433" s="44">
        <v>0.15709999999999999</v>
      </c>
      <c r="F6433" s="38">
        <v>8.5522277500000001</v>
      </c>
      <c r="G6433" s="70">
        <f>IF(ISNUMBER(F6433),E6433*F6433,"")</f>
        <v>1.3435549795249999</v>
      </c>
      <c r="H6433" s="57"/>
      <c r="I6433" s="47"/>
      <c r="J6433" s="37">
        <v>0</v>
      </c>
    </row>
    <row r="6434" spans="1:10" ht="15.75" hidden="1" thickBot="1" x14ac:dyDescent="0.3">
      <c r="A6434" s="180"/>
      <c r="B6434" s="178"/>
      <c r="C6434" s="49"/>
      <c r="D6434" s="49"/>
      <c r="E6434" s="50"/>
      <c r="F6434" s="51" t="s">
        <v>13</v>
      </c>
      <c r="G6434" s="83" t="str">
        <f>IF(ISNUMBER(F6434),E6434*F6434,"")</f>
        <v/>
      </c>
      <c r="H6434" s="99"/>
      <c r="I6434" s="47"/>
      <c r="J6434" s="37">
        <v>0</v>
      </c>
    </row>
    <row r="6435" spans="1:10" ht="15.75" hidden="1" thickBot="1" x14ac:dyDescent="0.3">
      <c r="A6435" s="173" t="s">
        <v>1531</v>
      </c>
      <c r="B6435" s="176" t="s">
        <v>7197</v>
      </c>
      <c r="C6435" s="31"/>
      <c r="D6435" s="32" t="s">
        <v>72</v>
      </c>
      <c r="E6435" s="33"/>
      <c r="F6435" s="60" t="s">
        <v>13</v>
      </c>
      <c r="G6435" s="34" t="str">
        <f>IF(ISNUMBER(F6435),E6435*F6435,"")</f>
        <v/>
      </c>
      <c r="H6435" s="35"/>
      <c r="I6435" s="36"/>
      <c r="J6435" s="37">
        <v>0</v>
      </c>
    </row>
    <row r="6436" spans="1:10" hidden="1" x14ac:dyDescent="0.25">
      <c r="A6436" s="179"/>
      <c r="B6436" s="177"/>
      <c r="C6436" s="39"/>
      <c r="D6436" s="39"/>
      <c r="E6436" s="40"/>
      <c r="F6436" s="70" t="s">
        <v>13</v>
      </c>
      <c r="G6436" s="70" t="str">
        <f>IF(ISNUMBER(F6436),E6436*F6436,"")</f>
        <v/>
      </c>
      <c r="H6436" s="71"/>
      <c r="I6436" s="72"/>
      <c r="J6436" s="37">
        <v>0</v>
      </c>
    </row>
    <row r="6437" spans="1:10" ht="38.25" hidden="1" x14ac:dyDescent="0.25">
      <c r="A6437" s="179"/>
      <c r="B6437" s="177"/>
      <c r="C6437" s="43" t="s">
        <v>10660</v>
      </c>
      <c r="D6437" s="43" t="s">
        <v>83</v>
      </c>
      <c r="E6437" s="44">
        <v>1.19</v>
      </c>
      <c r="F6437" s="38">
        <v>0.20899999999999999</v>
      </c>
      <c r="G6437" s="70">
        <f>IF(ISNUMBER(F6437),E6437*F6437,"")</f>
        <v>0.24870999999999999</v>
      </c>
      <c r="H6437" s="46">
        <f>SUM(G6437:G6441)</f>
        <v>13.9349515</v>
      </c>
      <c r="I6437" s="47"/>
      <c r="J6437" s="37">
        <v>0</v>
      </c>
    </row>
    <row r="6438" spans="1:10" ht="25.5" hidden="1" x14ac:dyDescent="0.25">
      <c r="A6438" s="179"/>
      <c r="B6438" s="177"/>
      <c r="C6438" s="43" t="s">
        <v>10661</v>
      </c>
      <c r="D6438" s="43" t="s">
        <v>1044</v>
      </c>
      <c r="E6438" s="44">
        <v>2.5000000000000001E-2</v>
      </c>
      <c r="F6438" s="38">
        <v>19</v>
      </c>
      <c r="G6438" s="70">
        <f>IF(ISNUMBER(F6438),E6438*F6438,"")</f>
        <v>0.47500000000000003</v>
      </c>
      <c r="H6438" s="57"/>
      <c r="I6438" s="47"/>
      <c r="J6438" s="37">
        <v>0</v>
      </c>
    </row>
    <row r="6439" spans="1:10" hidden="1" x14ac:dyDescent="0.25">
      <c r="A6439" s="179"/>
      <c r="B6439" s="177"/>
      <c r="C6439" s="43" t="s">
        <v>10643</v>
      </c>
      <c r="D6439" s="43" t="s">
        <v>2800</v>
      </c>
      <c r="E6439" s="44">
        <v>1.7500000000000002E-2</v>
      </c>
      <c r="F6439" s="38">
        <v>24.519499999999997</v>
      </c>
      <c r="G6439" s="70">
        <f>IF(ISNUMBER(F6439),E6439*F6439,"")</f>
        <v>0.42909124999999998</v>
      </c>
      <c r="H6439" s="57"/>
      <c r="I6439" s="47"/>
      <c r="J6439" s="37">
        <v>0</v>
      </c>
    </row>
    <row r="6440" spans="1:10" hidden="1" x14ac:dyDescent="0.25">
      <c r="A6440" s="179"/>
      <c r="B6440" s="177"/>
      <c r="C6440" s="43" t="s">
        <v>10644</v>
      </c>
      <c r="D6440" s="43" t="s">
        <v>2800</v>
      </c>
      <c r="E6440" s="44">
        <v>0.1069</v>
      </c>
      <c r="F6440" s="38">
        <v>30.837</v>
      </c>
      <c r="G6440" s="70">
        <f>IF(ISNUMBER(F6440),E6440*F6440,"")</f>
        <v>3.2964753</v>
      </c>
      <c r="H6440" s="57"/>
      <c r="I6440" s="47"/>
      <c r="J6440" s="37">
        <v>0</v>
      </c>
    </row>
    <row r="6441" spans="1:10" hidden="1" x14ac:dyDescent="0.25">
      <c r="A6441" s="179"/>
      <c r="B6441" s="177"/>
      <c r="C6441" s="43" t="s">
        <v>10634</v>
      </c>
      <c r="D6441" s="43" t="s">
        <v>1044</v>
      </c>
      <c r="E6441" s="44">
        <v>1</v>
      </c>
      <c r="F6441" s="38">
        <v>9.4856749499999999</v>
      </c>
      <c r="G6441" s="70">
        <f>IF(ISNUMBER(F6441),E6441*F6441,"")</f>
        <v>9.4856749499999999</v>
      </c>
      <c r="H6441" s="57"/>
      <c r="I6441" s="47"/>
      <c r="J6441" s="37">
        <v>0</v>
      </c>
    </row>
    <row r="6442" spans="1:10" ht="15.75" hidden="1" thickBot="1" x14ac:dyDescent="0.3">
      <c r="A6442" s="180"/>
      <c r="B6442" s="178"/>
      <c r="C6442" s="49"/>
      <c r="D6442" s="49"/>
      <c r="E6442" s="50"/>
      <c r="F6442" s="51" t="s">
        <v>13</v>
      </c>
      <c r="G6442" s="83" t="str">
        <f>IF(ISNUMBER(F6442),E6442*F6442,"")</f>
        <v/>
      </c>
      <c r="H6442" s="99"/>
      <c r="I6442" s="47"/>
      <c r="J6442" s="37">
        <v>0</v>
      </c>
    </row>
    <row r="6443" spans="1:10" ht="15.75" hidden="1" thickBot="1" x14ac:dyDescent="0.3">
      <c r="A6443" s="173" t="s">
        <v>1532</v>
      </c>
      <c r="B6443" s="176" t="s">
        <v>7198</v>
      </c>
      <c r="C6443" s="31"/>
      <c r="D6443" s="32" t="s">
        <v>68</v>
      </c>
      <c r="E6443" s="33"/>
      <c r="F6443" s="60" t="s">
        <v>13</v>
      </c>
      <c r="G6443" s="34" t="str">
        <f>IF(ISNUMBER(F6443),E6443*F6443,"")</f>
        <v/>
      </c>
      <c r="H6443" s="35"/>
      <c r="I6443" s="36"/>
      <c r="J6443" s="37">
        <v>0</v>
      </c>
    </row>
    <row r="6444" spans="1:10" hidden="1" x14ac:dyDescent="0.25">
      <c r="A6444" s="179"/>
      <c r="B6444" s="177"/>
      <c r="C6444" s="39"/>
      <c r="D6444" s="39"/>
      <c r="E6444" s="40"/>
      <c r="F6444" s="70" t="s">
        <v>13</v>
      </c>
      <c r="G6444" s="70" t="str">
        <f>IF(ISNUMBER(F6444),E6444*F6444,"")</f>
        <v/>
      </c>
      <c r="H6444" s="71"/>
      <c r="I6444" s="72"/>
      <c r="J6444" s="37">
        <v>0</v>
      </c>
    </row>
    <row r="6445" spans="1:10" ht="38.25" hidden="1" x14ac:dyDescent="0.25">
      <c r="A6445" s="179"/>
      <c r="B6445" s="177"/>
      <c r="C6445" s="43" t="s">
        <v>11061</v>
      </c>
      <c r="D6445" s="43" t="s">
        <v>2880</v>
      </c>
      <c r="E6445" s="44">
        <v>8.14E-2</v>
      </c>
      <c r="F6445" s="38">
        <v>477.84999999999997</v>
      </c>
      <c r="G6445" s="70">
        <f>IF(ISNUMBER(F6445),E6445*F6445,"")</f>
        <v>38.896989999999995</v>
      </c>
      <c r="H6445" s="46">
        <f>SUM(G6445:G6449)</f>
        <v>87.286479749999998</v>
      </c>
      <c r="I6445" s="47"/>
      <c r="J6445" s="37">
        <v>0</v>
      </c>
    </row>
    <row r="6446" spans="1:10" ht="25.5" hidden="1" x14ac:dyDescent="0.25">
      <c r="A6446" s="179"/>
      <c r="B6446" s="177"/>
      <c r="C6446" s="43" t="s">
        <v>11062</v>
      </c>
      <c r="D6446" s="43" t="s">
        <v>1044</v>
      </c>
      <c r="E6446" s="44">
        <v>4</v>
      </c>
      <c r="F6446" s="38">
        <v>10.9345</v>
      </c>
      <c r="G6446" s="70">
        <f>IF(ISNUMBER(F6446),E6446*F6446,"")</f>
        <v>43.738</v>
      </c>
      <c r="H6446" s="57"/>
      <c r="I6446" s="47"/>
      <c r="J6446" s="37">
        <v>0</v>
      </c>
    </row>
    <row r="6447" spans="1:10" hidden="1" x14ac:dyDescent="0.25">
      <c r="A6447" s="179"/>
      <c r="B6447" s="177"/>
      <c r="C6447" s="43" t="s">
        <v>10757</v>
      </c>
      <c r="D6447" s="43" t="s">
        <v>2800</v>
      </c>
      <c r="E6447" s="44">
        <v>0.1119</v>
      </c>
      <c r="F6447" s="38">
        <v>31.055499999999995</v>
      </c>
      <c r="G6447" s="70">
        <f>IF(ISNUMBER(F6447),E6447*F6447,"")</f>
        <v>3.4751104499999994</v>
      </c>
      <c r="H6447" s="57"/>
      <c r="I6447" s="47"/>
      <c r="J6447" s="37">
        <v>0</v>
      </c>
    </row>
    <row r="6448" spans="1:10" hidden="1" x14ac:dyDescent="0.25">
      <c r="A6448" s="179"/>
      <c r="B6448" s="177"/>
      <c r="C6448" s="43" t="s">
        <v>10614</v>
      </c>
      <c r="D6448" s="43" t="s">
        <v>2800</v>
      </c>
      <c r="E6448" s="44">
        <v>4.6600000000000003E-2</v>
      </c>
      <c r="F6448" s="38">
        <v>23.693000000000001</v>
      </c>
      <c r="G6448" s="70">
        <f>IF(ISNUMBER(F6448),E6448*F6448,"")</f>
        <v>1.1040938</v>
      </c>
      <c r="H6448" s="57"/>
      <c r="I6448" s="47"/>
      <c r="J6448" s="37">
        <v>0</v>
      </c>
    </row>
    <row r="6449" spans="1:10" ht="25.5" hidden="1" x14ac:dyDescent="0.25">
      <c r="A6449" s="179"/>
      <c r="B6449" s="177"/>
      <c r="C6449" s="43" t="s">
        <v>11063</v>
      </c>
      <c r="D6449" s="43" t="s">
        <v>1050</v>
      </c>
      <c r="E6449" s="44">
        <v>7.0000000000000001E-3</v>
      </c>
      <c r="F6449" s="38">
        <v>10.326499999999999</v>
      </c>
      <c r="G6449" s="70">
        <f>IF(ISNUMBER(F6449),E6449*F6449,"")</f>
        <v>7.2285500000000003E-2</v>
      </c>
      <c r="H6449" s="57"/>
      <c r="I6449" s="47"/>
      <c r="J6449" s="37">
        <v>0</v>
      </c>
    </row>
    <row r="6450" spans="1:10" ht="15.75" hidden="1" thickBot="1" x14ac:dyDescent="0.3">
      <c r="A6450" s="180"/>
      <c r="B6450" s="178"/>
      <c r="C6450" s="49"/>
      <c r="D6450" s="49"/>
      <c r="E6450" s="50"/>
      <c r="F6450" s="51" t="s">
        <v>13</v>
      </c>
      <c r="G6450" s="83" t="str">
        <f>IF(ISNUMBER(F6450),E6450*F6450,"")</f>
        <v/>
      </c>
      <c r="H6450" s="99"/>
      <c r="I6450" s="47"/>
      <c r="J6450" s="37">
        <v>0</v>
      </c>
    </row>
    <row r="6451" spans="1:10" ht="15.75" hidden="1" thickBot="1" x14ac:dyDescent="0.3">
      <c r="A6451" s="173" t="s">
        <v>1533</v>
      </c>
      <c r="B6451" s="176" t="s">
        <v>7199</v>
      </c>
      <c r="C6451" s="31"/>
      <c r="D6451" s="32" t="s">
        <v>106</v>
      </c>
      <c r="E6451" s="33"/>
      <c r="F6451" s="60" t="s">
        <v>13</v>
      </c>
      <c r="G6451" s="34" t="str">
        <f>IF(ISNUMBER(F6451),E6451*F6451,"")</f>
        <v/>
      </c>
      <c r="H6451" s="35"/>
      <c r="I6451" s="36"/>
      <c r="J6451" s="37">
        <v>0</v>
      </c>
    </row>
    <row r="6452" spans="1:10" hidden="1" x14ac:dyDescent="0.25">
      <c r="A6452" s="179"/>
      <c r="B6452" s="177"/>
      <c r="C6452" s="39"/>
      <c r="D6452" s="39"/>
      <c r="E6452" s="40"/>
      <c r="F6452" s="70" t="s">
        <v>13</v>
      </c>
      <c r="G6452" s="70" t="str">
        <f>IF(ISNUMBER(F6452),E6452*F6452,"")</f>
        <v/>
      </c>
      <c r="H6452" s="71"/>
      <c r="I6452" s="72"/>
      <c r="J6452" s="37">
        <v>0</v>
      </c>
    </row>
    <row r="6453" spans="1:10" ht="25.5" hidden="1" x14ac:dyDescent="0.25">
      <c r="A6453" s="179"/>
      <c r="B6453" s="177"/>
      <c r="C6453" s="43" t="s">
        <v>11161</v>
      </c>
      <c r="D6453" s="43" t="s">
        <v>1302</v>
      </c>
      <c r="E6453" s="44">
        <v>1.0353000000000001</v>
      </c>
      <c r="F6453" s="38">
        <v>61.217999999999996</v>
      </c>
      <c r="G6453" s="70">
        <f>IF(ISNUMBER(F6453),E6453*F6453,"")</f>
        <v>63.378995400000001</v>
      </c>
      <c r="H6453" s="46">
        <f>SUM(G6453:G6456)</f>
        <v>70.655480499999996</v>
      </c>
      <c r="I6453" s="47"/>
      <c r="J6453" s="37">
        <v>0</v>
      </c>
    </row>
    <row r="6454" spans="1:10" hidden="1" x14ac:dyDescent="0.25">
      <c r="A6454" s="179"/>
      <c r="B6454" s="177"/>
      <c r="C6454" s="43" t="s">
        <v>10899</v>
      </c>
      <c r="D6454" s="43" t="s">
        <v>83</v>
      </c>
      <c r="E6454" s="44">
        <v>7.2999999999999995E-2</v>
      </c>
      <c r="F6454" s="38">
        <v>2.2039999999999997</v>
      </c>
      <c r="G6454" s="70">
        <f>IF(ISNUMBER(F6454),E6454*F6454,"")</f>
        <v>0.16089199999999998</v>
      </c>
      <c r="H6454" s="57"/>
      <c r="I6454" s="47"/>
      <c r="J6454" s="37">
        <v>0</v>
      </c>
    </row>
    <row r="6455" spans="1:10" ht="25.5" hidden="1" x14ac:dyDescent="0.25">
      <c r="A6455" s="179"/>
      <c r="B6455" s="177"/>
      <c r="C6455" s="43" t="s">
        <v>10753</v>
      </c>
      <c r="D6455" s="43" t="s">
        <v>2800</v>
      </c>
      <c r="E6455" s="44">
        <v>0.13089999999999999</v>
      </c>
      <c r="F6455" s="38">
        <v>23.997</v>
      </c>
      <c r="G6455" s="70">
        <f>IF(ISNUMBER(F6455),E6455*F6455,"")</f>
        <v>3.1412072999999996</v>
      </c>
      <c r="H6455" s="57"/>
      <c r="I6455" s="47"/>
      <c r="J6455" s="37">
        <v>0</v>
      </c>
    </row>
    <row r="6456" spans="1:10" ht="25.5" hidden="1" x14ac:dyDescent="0.25">
      <c r="A6456" s="179"/>
      <c r="B6456" s="177"/>
      <c r="C6456" s="43" t="s">
        <v>10754</v>
      </c>
      <c r="D6456" s="43" t="s">
        <v>2800</v>
      </c>
      <c r="E6456" s="44">
        <v>0.13089999999999999</v>
      </c>
      <c r="F6456" s="38">
        <v>30.361999999999998</v>
      </c>
      <c r="G6456" s="70">
        <f>IF(ISNUMBER(F6456),E6456*F6456,"")</f>
        <v>3.9743857999999994</v>
      </c>
      <c r="H6456" s="57"/>
      <c r="I6456" s="47"/>
      <c r="J6456" s="37">
        <v>0</v>
      </c>
    </row>
    <row r="6457" spans="1:10" ht="15.75" hidden="1" thickBot="1" x14ac:dyDescent="0.3">
      <c r="A6457" s="180"/>
      <c r="B6457" s="178"/>
      <c r="C6457" s="49"/>
      <c r="D6457" s="49"/>
      <c r="E6457" s="50"/>
      <c r="F6457" s="51" t="s">
        <v>13</v>
      </c>
      <c r="G6457" s="83" t="str">
        <f>IF(ISNUMBER(F6457),E6457*F6457,"")</f>
        <v/>
      </c>
      <c r="H6457" s="99"/>
      <c r="I6457" s="47"/>
      <c r="J6457" s="37">
        <v>0</v>
      </c>
    </row>
    <row r="6458" spans="1:10" ht="15.75" hidden="1" thickBot="1" x14ac:dyDescent="0.3">
      <c r="A6458" s="173" t="s">
        <v>1534</v>
      </c>
      <c r="B6458" s="176" t="s">
        <v>7200</v>
      </c>
      <c r="C6458" s="31"/>
      <c r="D6458" s="32" t="s">
        <v>68</v>
      </c>
      <c r="E6458" s="33"/>
      <c r="F6458" s="60" t="s">
        <v>13</v>
      </c>
      <c r="G6458" s="34" t="str">
        <f>IF(ISNUMBER(F6458),E6458*F6458,"")</f>
        <v/>
      </c>
      <c r="H6458" s="35"/>
      <c r="I6458" s="36"/>
      <c r="J6458" s="37">
        <v>0</v>
      </c>
    </row>
    <row r="6459" spans="1:10" hidden="1" x14ac:dyDescent="0.25">
      <c r="A6459" s="179"/>
      <c r="B6459" s="177"/>
      <c r="C6459" s="39"/>
      <c r="D6459" s="39"/>
      <c r="E6459" s="40"/>
      <c r="F6459" s="70" t="s">
        <v>13</v>
      </c>
      <c r="G6459" s="70" t="str">
        <f>IF(ISNUMBER(F6459),E6459*F6459,"")</f>
        <v/>
      </c>
      <c r="H6459" s="71"/>
      <c r="I6459" s="72"/>
      <c r="J6459" s="37">
        <v>0</v>
      </c>
    </row>
    <row r="6460" spans="1:10" ht="25.5" hidden="1" x14ac:dyDescent="0.25">
      <c r="A6460" s="179"/>
      <c r="B6460" s="177"/>
      <c r="C6460" s="43" t="s">
        <v>11319</v>
      </c>
      <c r="D6460" s="43" t="s">
        <v>83</v>
      </c>
      <c r="E6460" s="44">
        <v>10.204000000000001</v>
      </c>
      <c r="F6460" s="38">
        <v>4.8639999999999999</v>
      </c>
      <c r="G6460" s="70">
        <f>IF(ISNUMBER(F6460),E6460*F6460,"")</f>
        <v>49.632256000000005</v>
      </c>
      <c r="H6460" s="46">
        <f>SUM(G6460:G6466)</f>
        <v>98.950260505421255</v>
      </c>
      <c r="I6460" s="47"/>
      <c r="J6460" s="37">
        <v>0</v>
      </c>
    </row>
    <row r="6461" spans="1:10" ht="25.5" hidden="1" x14ac:dyDescent="0.25">
      <c r="A6461" s="179"/>
      <c r="B6461" s="177"/>
      <c r="C6461" s="43" t="s">
        <v>11320</v>
      </c>
      <c r="D6461" s="43" t="s">
        <v>83</v>
      </c>
      <c r="E6461" s="44">
        <v>1.46</v>
      </c>
      <c r="F6461" s="38">
        <v>2.7835000000000001</v>
      </c>
      <c r="G6461" s="70">
        <f>IF(ISNUMBER(F6461),E6461*F6461,"")</f>
        <v>4.0639099999999999</v>
      </c>
      <c r="H6461" s="57"/>
      <c r="I6461" s="47"/>
      <c r="J6461" s="37">
        <v>0</v>
      </c>
    </row>
    <row r="6462" spans="1:10" ht="25.5" hidden="1" x14ac:dyDescent="0.25">
      <c r="A6462" s="179"/>
      <c r="B6462" s="177"/>
      <c r="C6462" s="43" t="s">
        <v>11321</v>
      </c>
      <c r="D6462" s="43" t="s">
        <v>83</v>
      </c>
      <c r="E6462" s="44">
        <v>1.46</v>
      </c>
      <c r="F6462" s="38">
        <v>4.4459999999999997</v>
      </c>
      <c r="G6462" s="70">
        <f>IF(ISNUMBER(F6462),E6462*F6462,"")</f>
        <v>6.4911599999999998</v>
      </c>
      <c r="H6462" s="57"/>
      <c r="I6462" s="47"/>
      <c r="J6462" s="37">
        <v>0</v>
      </c>
    </row>
    <row r="6463" spans="1:10" ht="25.5" hidden="1" x14ac:dyDescent="0.25">
      <c r="A6463" s="179"/>
      <c r="B6463" s="177"/>
      <c r="C6463" s="43" t="s">
        <v>11322</v>
      </c>
      <c r="D6463" s="43" t="s">
        <v>83</v>
      </c>
      <c r="E6463" s="44">
        <v>0.97</v>
      </c>
      <c r="F6463" s="38">
        <v>5.4814999999999996</v>
      </c>
      <c r="G6463" s="70">
        <f>IF(ISNUMBER(F6463),E6463*F6463,"")</f>
        <v>5.3170549999999999</v>
      </c>
      <c r="H6463" s="57"/>
      <c r="I6463" s="47"/>
      <c r="J6463" s="37">
        <v>0</v>
      </c>
    </row>
    <row r="6464" spans="1:10" hidden="1" x14ac:dyDescent="0.25">
      <c r="A6464" s="179"/>
      <c r="B6464" s="177"/>
      <c r="C6464" s="43" t="s">
        <v>10757</v>
      </c>
      <c r="D6464" s="43" t="s">
        <v>2800</v>
      </c>
      <c r="E6464" s="44">
        <v>0.45</v>
      </c>
      <c r="F6464" s="38">
        <v>31.055499999999995</v>
      </c>
      <c r="G6464" s="70">
        <f>IF(ISNUMBER(F6464),E6464*F6464,"")</f>
        <v>13.974974999999999</v>
      </c>
      <c r="H6464" s="57"/>
      <c r="I6464" s="47"/>
      <c r="J6464" s="37">
        <v>0</v>
      </c>
    </row>
    <row r="6465" spans="1:10" hidden="1" x14ac:dyDescent="0.25">
      <c r="A6465" s="179"/>
      <c r="B6465" s="177"/>
      <c r="C6465" s="43" t="s">
        <v>10614</v>
      </c>
      <c r="D6465" s="43" t="s">
        <v>2800</v>
      </c>
      <c r="E6465" s="44">
        <v>0.45</v>
      </c>
      <c r="F6465" s="38">
        <v>23.693000000000001</v>
      </c>
      <c r="G6465" s="70">
        <f>IF(ISNUMBER(F6465),E6465*F6465,"")</f>
        <v>10.661850000000001</v>
      </c>
      <c r="H6465" s="57"/>
      <c r="I6465" s="47"/>
      <c r="J6465" s="37">
        <v>0</v>
      </c>
    </row>
    <row r="6466" spans="1:10" ht="51" hidden="1" x14ac:dyDescent="0.25">
      <c r="A6466" s="179"/>
      <c r="B6466" s="177"/>
      <c r="C6466" s="43" t="s">
        <v>10728</v>
      </c>
      <c r="D6466" s="43" t="s">
        <v>2880</v>
      </c>
      <c r="E6466" s="44">
        <v>1.1299999999999999E-2</v>
      </c>
      <c r="F6466" s="38">
        <v>779.56234561250017</v>
      </c>
      <c r="G6466" s="70">
        <f>IF(ISNUMBER(F6466),E6466*F6466,"")</f>
        <v>8.8090545054212512</v>
      </c>
      <c r="H6466" s="57"/>
      <c r="I6466" s="47"/>
      <c r="J6466" s="37">
        <v>0</v>
      </c>
    </row>
    <row r="6467" spans="1:10" ht="15.75" hidden="1" thickBot="1" x14ac:dyDescent="0.3">
      <c r="A6467" s="180"/>
      <c r="B6467" s="178"/>
      <c r="C6467" s="49"/>
      <c r="D6467" s="49"/>
      <c r="E6467" s="50"/>
      <c r="F6467" s="51" t="s">
        <v>13</v>
      </c>
      <c r="G6467" s="83" t="str">
        <f>IF(ISNUMBER(F6467),E6467*F6467,"")</f>
        <v/>
      </c>
      <c r="H6467" s="99"/>
      <c r="I6467" s="47"/>
      <c r="J6467" s="37">
        <v>0</v>
      </c>
    </row>
    <row r="6468" spans="1:10" ht="15.75" hidden="1" thickBot="1" x14ac:dyDescent="0.3">
      <c r="A6468" s="173" t="s">
        <v>1535</v>
      </c>
      <c r="B6468" s="176" t="s">
        <v>7201</v>
      </c>
      <c r="C6468" s="31"/>
      <c r="D6468" s="32" t="s">
        <v>18</v>
      </c>
      <c r="E6468" s="33"/>
      <c r="F6468" s="60" t="s">
        <v>13</v>
      </c>
      <c r="G6468" s="34" t="str">
        <f>IF(ISNUMBER(F6468),E6468*F6468,"")</f>
        <v/>
      </c>
      <c r="H6468" s="35"/>
      <c r="I6468" s="36"/>
      <c r="J6468" s="37">
        <v>0</v>
      </c>
    </row>
    <row r="6469" spans="1:10" hidden="1" x14ac:dyDescent="0.25">
      <c r="A6469" s="179"/>
      <c r="B6469" s="177"/>
      <c r="C6469" s="39"/>
      <c r="D6469" s="39"/>
      <c r="E6469" s="40"/>
      <c r="F6469" s="70" t="s">
        <v>13</v>
      </c>
      <c r="G6469" s="70" t="str">
        <f>IF(ISNUMBER(F6469),E6469*F6469,"")</f>
        <v/>
      </c>
      <c r="H6469" s="71"/>
      <c r="I6469" s="72"/>
      <c r="J6469" s="37">
        <v>0</v>
      </c>
    </row>
    <row r="6470" spans="1:10" hidden="1" x14ac:dyDescent="0.25">
      <c r="A6470" s="179"/>
      <c r="B6470" s="177"/>
      <c r="C6470" s="43" t="s">
        <v>11323</v>
      </c>
      <c r="D6470" s="43" t="s">
        <v>83</v>
      </c>
      <c r="E6470" s="44">
        <v>21</v>
      </c>
      <c r="F6470" s="38">
        <v>3.7809999999999997</v>
      </c>
      <c r="G6470" s="70">
        <f>IF(ISNUMBER(F6470),E6470*F6470,"")</f>
        <v>79.400999999999996</v>
      </c>
      <c r="H6470" s="46">
        <f>SUM(G6470:G6490)</f>
        <v>1690.1783672612639</v>
      </c>
      <c r="I6470" s="47"/>
      <c r="J6470" s="37">
        <v>0</v>
      </c>
    </row>
    <row r="6471" spans="1:10" ht="25.5" hidden="1" x14ac:dyDescent="0.25">
      <c r="A6471" s="179"/>
      <c r="B6471" s="177"/>
      <c r="C6471" s="43" t="s">
        <v>10775</v>
      </c>
      <c r="D6471" s="43" t="s">
        <v>70</v>
      </c>
      <c r="E6471" s="44">
        <v>8.2000000000000007E-3</v>
      </c>
      <c r="F6471" s="38">
        <v>8.5310000000000006</v>
      </c>
      <c r="G6471" s="70">
        <f>IF(ISNUMBER(F6471),E6471*F6471,"")</f>
        <v>6.9954200000000008E-2</v>
      </c>
      <c r="H6471" s="57"/>
      <c r="I6471" s="47"/>
      <c r="J6471" s="37">
        <v>0</v>
      </c>
    </row>
    <row r="6472" spans="1:10" ht="25.5" hidden="1" x14ac:dyDescent="0.25">
      <c r="A6472" s="179"/>
      <c r="B6472" s="177"/>
      <c r="C6472" s="43" t="s">
        <v>10612</v>
      </c>
      <c r="D6472" s="43" t="s">
        <v>1302</v>
      </c>
      <c r="E6472" s="44">
        <v>0.17760000000000001</v>
      </c>
      <c r="F6472" s="38">
        <v>7.3055000000000003</v>
      </c>
      <c r="G6472" s="70">
        <f>IF(ISNUMBER(F6472),E6472*F6472,"")</f>
        <v>1.2974568000000002</v>
      </c>
      <c r="H6472" s="57"/>
      <c r="I6472" s="47"/>
      <c r="J6472" s="37">
        <v>0</v>
      </c>
    </row>
    <row r="6473" spans="1:10" ht="25.5" hidden="1" x14ac:dyDescent="0.25">
      <c r="A6473" s="179"/>
      <c r="B6473" s="177"/>
      <c r="C6473" s="43" t="s">
        <v>10652</v>
      </c>
      <c r="D6473" s="43" t="s">
        <v>1302</v>
      </c>
      <c r="E6473" s="44">
        <v>0.2112</v>
      </c>
      <c r="F6473" s="38">
        <v>2.5554999999999999</v>
      </c>
      <c r="G6473" s="70">
        <f>IF(ISNUMBER(F6473),E6473*F6473,"")</f>
        <v>0.53972160000000002</v>
      </c>
      <c r="H6473" s="57"/>
      <c r="I6473" s="47"/>
      <c r="J6473" s="37">
        <v>0</v>
      </c>
    </row>
    <row r="6474" spans="1:10" hidden="1" x14ac:dyDescent="0.25">
      <c r="A6474" s="179"/>
      <c r="B6474" s="177"/>
      <c r="C6474" s="43" t="s">
        <v>11324</v>
      </c>
      <c r="D6474" s="43" t="s">
        <v>1044</v>
      </c>
      <c r="E6474" s="44">
        <v>1.8700000000000001E-2</v>
      </c>
      <c r="F6474" s="38">
        <v>18.752999999999997</v>
      </c>
      <c r="G6474" s="70">
        <f>IF(ISNUMBER(F6474),E6474*F6474,"")</f>
        <v>0.35068109999999997</v>
      </c>
      <c r="H6474" s="57"/>
      <c r="I6474" s="47"/>
      <c r="J6474" s="37">
        <v>0</v>
      </c>
    </row>
    <row r="6475" spans="1:10" ht="63.75" hidden="1" x14ac:dyDescent="0.25">
      <c r="A6475" s="179"/>
      <c r="B6475" s="177"/>
      <c r="C6475" s="43" t="s">
        <v>10781</v>
      </c>
      <c r="D6475" s="43" t="s">
        <v>1050</v>
      </c>
      <c r="E6475" s="44">
        <v>3.1300000000000001E-2</v>
      </c>
      <c r="F6475" s="38">
        <v>140.87549999999999</v>
      </c>
      <c r="G6475" s="70">
        <f>IF(ISNUMBER(F6475),E6475*F6475,"")</f>
        <v>4.4094031500000002</v>
      </c>
      <c r="H6475" s="57"/>
      <c r="I6475" s="47"/>
      <c r="J6475" s="37">
        <v>0</v>
      </c>
    </row>
    <row r="6476" spans="1:10" ht="63.75" hidden="1" x14ac:dyDescent="0.25">
      <c r="A6476" s="179"/>
      <c r="B6476" s="177"/>
      <c r="C6476" s="43" t="s">
        <v>10782</v>
      </c>
      <c r="D6476" s="43" t="s">
        <v>10677</v>
      </c>
      <c r="E6476" s="44">
        <v>6.3700000000000007E-2</v>
      </c>
      <c r="F6476" s="38">
        <v>61.037499999999994</v>
      </c>
      <c r="G6476" s="70">
        <f>IF(ISNUMBER(F6476),E6476*F6476,"")</f>
        <v>3.8880887500000001</v>
      </c>
      <c r="H6476" s="57"/>
      <c r="I6476" s="47"/>
      <c r="J6476" s="37">
        <v>0</v>
      </c>
    </row>
    <row r="6477" spans="1:10" ht="38.25" hidden="1" x14ac:dyDescent="0.25">
      <c r="A6477" s="179"/>
      <c r="B6477" s="177"/>
      <c r="C6477" s="43" t="s">
        <v>10848</v>
      </c>
      <c r="D6477" s="43" t="s">
        <v>1302</v>
      </c>
      <c r="E6477" s="44">
        <v>0.66239999999999999</v>
      </c>
      <c r="F6477" s="38">
        <v>17.783999999999999</v>
      </c>
      <c r="G6477" s="70">
        <f>IF(ISNUMBER(F6477),E6477*F6477,"")</f>
        <v>11.780121599999999</v>
      </c>
      <c r="H6477" s="57"/>
      <c r="I6477" s="47"/>
      <c r="J6477" s="37">
        <v>0</v>
      </c>
    </row>
    <row r="6478" spans="1:10" ht="25.5" hidden="1" x14ac:dyDescent="0.25">
      <c r="A6478" s="179"/>
      <c r="B6478" s="177"/>
      <c r="C6478" s="43" t="s">
        <v>11325</v>
      </c>
      <c r="D6478" s="43" t="s">
        <v>83</v>
      </c>
      <c r="E6478" s="44">
        <v>47.175699999999999</v>
      </c>
      <c r="F6478" s="38">
        <v>6.0895000000000001</v>
      </c>
      <c r="G6478" s="70">
        <f>IF(ISNUMBER(F6478),E6478*F6478,"")</f>
        <v>287.27642515000002</v>
      </c>
      <c r="H6478" s="57"/>
      <c r="I6478" s="47"/>
      <c r="J6478" s="37">
        <v>0</v>
      </c>
    </row>
    <row r="6479" spans="1:10" ht="25.5" hidden="1" x14ac:dyDescent="0.25">
      <c r="A6479" s="179"/>
      <c r="B6479" s="177"/>
      <c r="C6479" s="43" t="s">
        <v>11326</v>
      </c>
      <c r="D6479" s="43" t="s">
        <v>83</v>
      </c>
      <c r="E6479" s="44">
        <v>1</v>
      </c>
      <c r="F6479" s="38">
        <v>43.51</v>
      </c>
      <c r="G6479" s="70">
        <f>IF(ISNUMBER(F6479),E6479*F6479,"")</f>
        <v>43.51</v>
      </c>
      <c r="H6479" s="57"/>
      <c r="I6479" s="47"/>
      <c r="J6479" s="37">
        <v>0</v>
      </c>
    </row>
    <row r="6480" spans="1:10" ht="38.25" hidden="1" x14ac:dyDescent="0.25">
      <c r="A6480" s="179"/>
      <c r="B6480" s="177"/>
      <c r="C6480" s="43" t="s">
        <v>10705</v>
      </c>
      <c r="D6480" s="43" t="s">
        <v>2880</v>
      </c>
      <c r="E6480" s="44">
        <v>4.1799999999999997E-2</v>
      </c>
      <c r="F6480" s="38">
        <v>619.28009052499988</v>
      </c>
      <c r="G6480" s="70">
        <f>IF(ISNUMBER(F6480),E6480*F6480,"")</f>
        <v>25.885907783944994</v>
      </c>
      <c r="H6480" s="57"/>
      <c r="I6480" s="47"/>
      <c r="J6480" s="37">
        <v>0</v>
      </c>
    </row>
    <row r="6481" spans="1:10" hidden="1" x14ac:dyDescent="0.25">
      <c r="A6481" s="179"/>
      <c r="B6481" s="177"/>
      <c r="C6481" s="43" t="s">
        <v>10757</v>
      </c>
      <c r="D6481" s="43" t="s">
        <v>2800</v>
      </c>
      <c r="E6481" s="44">
        <v>9.5631000000000004</v>
      </c>
      <c r="F6481" s="38">
        <v>31.055499999999995</v>
      </c>
      <c r="G6481" s="70">
        <f>IF(ISNUMBER(F6481),E6481*F6481,"")</f>
        <v>296.98685204999998</v>
      </c>
      <c r="H6481" s="57"/>
      <c r="I6481" s="47"/>
      <c r="J6481" s="37">
        <v>0</v>
      </c>
    </row>
    <row r="6482" spans="1:10" hidden="1" x14ac:dyDescent="0.25">
      <c r="A6482" s="179"/>
      <c r="B6482" s="177"/>
      <c r="C6482" s="43" t="s">
        <v>10614</v>
      </c>
      <c r="D6482" s="43" t="s">
        <v>2800</v>
      </c>
      <c r="E6482" s="44">
        <v>7.5138999999999996</v>
      </c>
      <c r="F6482" s="38">
        <v>23.693000000000001</v>
      </c>
      <c r="G6482" s="70">
        <f>IF(ISNUMBER(F6482),E6482*F6482,"")</f>
        <v>178.0268327</v>
      </c>
      <c r="H6482" s="57"/>
      <c r="I6482" s="47"/>
      <c r="J6482" s="37">
        <v>0</v>
      </c>
    </row>
    <row r="6483" spans="1:10" ht="25.5" hidden="1" x14ac:dyDescent="0.25">
      <c r="A6483" s="179"/>
      <c r="B6483" s="177"/>
      <c r="C6483" s="43" t="s">
        <v>10713</v>
      </c>
      <c r="D6483" s="43" t="s">
        <v>2880</v>
      </c>
      <c r="E6483" s="44">
        <v>0.47460000000000002</v>
      </c>
      <c r="F6483" s="38">
        <v>688.25221496250003</v>
      </c>
      <c r="G6483" s="70">
        <f>IF(ISNUMBER(F6483),E6483*F6483,"")</f>
        <v>326.64450122120252</v>
      </c>
      <c r="H6483" s="57"/>
      <c r="I6483" s="47"/>
      <c r="J6483" s="37">
        <v>0</v>
      </c>
    </row>
    <row r="6484" spans="1:10" ht="25.5" hidden="1" x14ac:dyDescent="0.25">
      <c r="A6484" s="179"/>
      <c r="B6484" s="177"/>
      <c r="C6484" s="43" t="s">
        <v>10720</v>
      </c>
      <c r="D6484" s="43" t="s">
        <v>2880</v>
      </c>
      <c r="E6484" s="44">
        <v>2.9899999999999999E-2</v>
      </c>
      <c r="F6484" s="38">
        <v>1277.5927441263489</v>
      </c>
      <c r="G6484" s="70">
        <f>IF(ISNUMBER(F6484),E6484*F6484,"")</f>
        <v>38.200023049377833</v>
      </c>
      <c r="H6484" s="57"/>
      <c r="I6484" s="47"/>
      <c r="J6484" s="37">
        <v>0</v>
      </c>
    </row>
    <row r="6485" spans="1:10" ht="25.5" hidden="1" x14ac:dyDescent="0.25">
      <c r="A6485" s="179"/>
      <c r="B6485" s="177"/>
      <c r="C6485" s="43" t="s">
        <v>10721</v>
      </c>
      <c r="D6485" s="43" t="s">
        <v>2880</v>
      </c>
      <c r="E6485" s="44">
        <v>6.1499999999999999E-2</v>
      </c>
      <c r="F6485" s="38">
        <v>1236.2476734763491</v>
      </c>
      <c r="G6485" s="70">
        <f>IF(ISNUMBER(F6485),E6485*F6485,"")</f>
        <v>76.02923191879546</v>
      </c>
      <c r="H6485" s="57"/>
      <c r="I6485" s="47"/>
      <c r="J6485" s="37">
        <v>0</v>
      </c>
    </row>
    <row r="6486" spans="1:10" ht="25.5" hidden="1" x14ac:dyDescent="0.25">
      <c r="A6486" s="179"/>
      <c r="B6486" s="177"/>
      <c r="C6486" s="43" t="s">
        <v>10722</v>
      </c>
      <c r="D6486" s="43" t="s">
        <v>1044</v>
      </c>
      <c r="E6486" s="44">
        <v>0.98719999999999997</v>
      </c>
      <c r="F6486" s="38">
        <v>10.273775000000001</v>
      </c>
      <c r="G6486" s="70">
        <f>IF(ISNUMBER(F6486),E6486*F6486,"")</f>
        <v>10.142270679999999</v>
      </c>
      <c r="H6486" s="57"/>
      <c r="I6486" s="47"/>
      <c r="J6486" s="37">
        <v>0</v>
      </c>
    </row>
    <row r="6487" spans="1:10" ht="25.5" hidden="1" x14ac:dyDescent="0.25">
      <c r="A6487" s="179"/>
      <c r="B6487" s="177"/>
      <c r="C6487" s="43" t="s">
        <v>10723</v>
      </c>
      <c r="D6487" s="43" t="s">
        <v>1044</v>
      </c>
      <c r="E6487" s="44">
        <v>2.468</v>
      </c>
      <c r="F6487" s="38">
        <v>9.6737293500000003</v>
      </c>
      <c r="G6487" s="70">
        <f>IF(ISNUMBER(F6487),E6487*F6487,"")</f>
        <v>23.874764035800002</v>
      </c>
      <c r="H6487" s="57"/>
      <c r="I6487" s="47"/>
      <c r="J6487" s="37">
        <v>0</v>
      </c>
    </row>
    <row r="6488" spans="1:10" ht="38.25" hidden="1" x14ac:dyDescent="0.25">
      <c r="A6488" s="179"/>
      <c r="B6488" s="177"/>
      <c r="C6488" s="43" t="s">
        <v>10697</v>
      </c>
      <c r="D6488" s="43" t="s">
        <v>2880</v>
      </c>
      <c r="E6488" s="44">
        <v>0.1628</v>
      </c>
      <c r="F6488" s="38">
        <v>652.89816514887502</v>
      </c>
      <c r="G6488" s="70">
        <f>IF(ISNUMBER(F6488),E6488*F6488,"")</f>
        <v>106.29182128623685</v>
      </c>
      <c r="H6488" s="57"/>
      <c r="I6488" s="47"/>
      <c r="J6488" s="37">
        <v>0</v>
      </c>
    </row>
    <row r="6489" spans="1:10" ht="25.5" hidden="1" x14ac:dyDescent="0.25">
      <c r="A6489" s="179"/>
      <c r="B6489" s="177"/>
      <c r="C6489" s="43" t="s">
        <v>10714</v>
      </c>
      <c r="D6489" s="43" t="s">
        <v>2880</v>
      </c>
      <c r="E6489" s="44">
        <v>6.1600000000000002E-2</v>
      </c>
      <c r="F6489" s="38">
        <v>2716.9668922225051</v>
      </c>
      <c r="G6489" s="70">
        <f>IF(ISNUMBER(F6489),E6489*F6489,"")</f>
        <v>167.3651605609063</v>
      </c>
      <c r="H6489" s="57"/>
      <c r="I6489" s="47"/>
      <c r="J6489" s="37">
        <v>0</v>
      </c>
    </row>
    <row r="6490" spans="1:10" ht="25.5" hidden="1" x14ac:dyDescent="0.25">
      <c r="A6490" s="179"/>
      <c r="B6490" s="177"/>
      <c r="C6490" s="43" t="s">
        <v>10734</v>
      </c>
      <c r="D6490" s="43" t="s">
        <v>162</v>
      </c>
      <c r="E6490" s="44">
        <v>1.17</v>
      </c>
      <c r="F6490" s="38">
        <v>7.0155124999999998</v>
      </c>
      <c r="G6490" s="70">
        <f>IF(ISNUMBER(F6490),E6490*F6490,"")</f>
        <v>8.208149624999999</v>
      </c>
      <c r="H6490" s="57"/>
      <c r="I6490" s="47"/>
      <c r="J6490" s="37">
        <v>0</v>
      </c>
    </row>
    <row r="6491" spans="1:10" ht="15.75" hidden="1" thickBot="1" x14ac:dyDescent="0.3">
      <c r="A6491" s="180"/>
      <c r="B6491" s="178"/>
      <c r="C6491" s="49"/>
      <c r="D6491" s="49"/>
      <c r="E6491" s="50"/>
      <c r="F6491" s="51" t="s">
        <v>13</v>
      </c>
      <c r="G6491" s="83" t="str">
        <f>IF(ISNUMBER(F6491),E6491*F6491,"")</f>
        <v/>
      </c>
      <c r="H6491" s="99"/>
      <c r="I6491" s="47"/>
      <c r="J6491" s="37">
        <v>0</v>
      </c>
    </row>
    <row r="6492" spans="1:10" ht="15.75" hidden="1" thickBot="1" x14ac:dyDescent="0.3">
      <c r="A6492" s="173" t="s">
        <v>1536</v>
      </c>
      <c r="B6492" s="176" t="s">
        <v>7202</v>
      </c>
      <c r="C6492" s="31"/>
      <c r="D6492" s="32" t="s">
        <v>106</v>
      </c>
      <c r="E6492" s="33"/>
      <c r="F6492" s="60" t="s">
        <v>13</v>
      </c>
      <c r="G6492" s="34" t="str">
        <f>IF(ISNUMBER(F6492),E6492*F6492,"")</f>
        <v/>
      </c>
      <c r="H6492" s="35"/>
      <c r="I6492" s="36"/>
      <c r="J6492" s="37">
        <v>0</v>
      </c>
    </row>
    <row r="6493" spans="1:10" hidden="1" x14ac:dyDescent="0.25">
      <c r="A6493" s="179"/>
      <c r="B6493" s="177"/>
      <c r="C6493" s="39"/>
      <c r="D6493" s="39"/>
      <c r="E6493" s="40"/>
      <c r="F6493" s="70" t="s">
        <v>13</v>
      </c>
      <c r="G6493" s="70" t="str">
        <f>IF(ISNUMBER(F6493),E6493*F6493,"")</f>
        <v/>
      </c>
      <c r="H6493" s="71"/>
      <c r="I6493" s="72"/>
      <c r="J6493" s="37">
        <v>0</v>
      </c>
    </row>
    <row r="6494" spans="1:10" ht="25.5" hidden="1" x14ac:dyDescent="0.25">
      <c r="A6494" s="179"/>
      <c r="B6494" s="177"/>
      <c r="C6494" s="43" t="s">
        <v>10735</v>
      </c>
      <c r="D6494" s="43" t="s">
        <v>1044</v>
      </c>
      <c r="E6494" s="44">
        <f>3.12/0.824</f>
        <v>3.7864077669902918</v>
      </c>
      <c r="F6494" s="38">
        <v>14.0716565</v>
      </c>
      <c r="G6494" s="70">
        <f>IF(ISNUMBER(F6494),E6494*F6494,"")</f>
        <v>53.281029466019426</v>
      </c>
      <c r="H6494" s="46">
        <f>SUM(G6494:G6500)</f>
        <v>435.39801488056816</v>
      </c>
      <c r="I6494" s="47"/>
      <c r="J6494" s="37">
        <v>0</v>
      </c>
    </row>
    <row r="6495" spans="1:10" ht="38.25" hidden="1" x14ac:dyDescent="0.25">
      <c r="A6495" s="179"/>
      <c r="B6495" s="177"/>
      <c r="C6495" s="43" t="s">
        <v>10736</v>
      </c>
      <c r="D6495" s="43" t="s">
        <v>2880</v>
      </c>
      <c r="E6495" s="44">
        <v>0.17299999999999999</v>
      </c>
      <c r="F6495" s="38">
        <v>666.91287694125003</v>
      </c>
      <c r="G6495" s="70">
        <f>IF(ISNUMBER(F6495),E6495*F6495,"")</f>
        <v>115.37592771083625</v>
      </c>
      <c r="H6495" s="57"/>
      <c r="I6495" s="47"/>
      <c r="J6495" s="37">
        <v>0</v>
      </c>
    </row>
    <row r="6496" spans="1:10" ht="38.25" hidden="1" x14ac:dyDescent="0.25">
      <c r="A6496" s="179"/>
      <c r="B6496" s="177"/>
      <c r="C6496" s="43" t="s">
        <v>10737</v>
      </c>
      <c r="D6496" s="43" t="s">
        <v>162</v>
      </c>
      <c r="E6496" s="44">
        <v>2.56</v>
      </c>
      <c r="F6496" s="38">
        <v>91.681674699999988</v>
      </c>
      <c r="G6496" s="70">
        <f>IF(ISNUMBER(F6496),E6496*F6496,"")</f>
        <v>234.70508723199998</v>
      </c>
      <c r="H6496" s="57"/>
      <c r="I6496" s="47"/>
      <c r="J6496" s="37">
        <v>0</v>
      </c>
    </row>
    <row r="6497" spans="1:10" ht="38.25" hidden="1" x14ac:dyDescent="0.25">
      <c r="A6497" s="179"/>
      <c r="B6497" s="177"/>
      <c r="C6497" s="43" t="s">
        <v>10738</v>
      </c>
      <c r="D6497" s="43" t="s">
        <v>2880</v>
      </c>
      <c r="E6497" s="44">
        <v>3.3000000000000002E-2</v>
      </c>
      <c r="F6497" s="38">
        <v>376.53319611249992</v>
      </c>
      <c r="G6497" s="70">
        <f>IF(ISNUMBER(F6497),E6497*F6497,"")</f>
        <v>12.425595471712498</v>
      </c>
      <c r="H6497" s="57"/>
      <c r="I6497" s="47"/>
      <c r="J6497" s="37">
        <v>0</v>
      </c>
    </row>
    <row r="6498" spans="1:10" hidden="1" x14ac:dyDescent="0.25">
      <c r="A6498" s="179"/>
      <c r="B6498" s="177"/>
      <c r="C6498" s="43" t="s">
        <v>10757</v>
      </c>
      <c r="D6498" s="43" t="s">
        <v>2800</v>
      </c>
      <c r="E6498" s="44">
        <v>0.25</v>
      </c>
      <c r="F6498" s="38">
        <v>31.055499999999995</v>
      </c>
      <c r="G6498" s="70">
        <f>IF(ISNUMBER(F6498),E6498*F6498,"")</f>
        <v>7.7638749999999987</v>
      </c>
      <c r="H6498" s="57"/>
      <c r="I6498" s="47"/>
      <c r="J6498" s="37">
        <v>0</v>
      </c>
    </row>
    <row r="6499" spans="1:10" hidden="1" x14ac:dyDescent="0.25">
      <c r="A6499" s="179"/>
      <c r="B6499" s="177"/>
      <c r="C6499" s="43" t="s">
        <v>10614</v>
      </c>
      <c r="D6499" s="43" t="s">
        <v>2800</v>
      </c>
      <c r="E6499" s="44">
        <v>0.5</v>
      </c>
      <c r="F6499" s="38">
        <v>23.693000000000001</v>
      </c>
      <c r="G6499" s="70">
        <f>IF(ISNUMBER(F6499),E6499*F6499,"")</f>
        <v>11.846500000000001</v>
      </c>
      <c r="H6499" s="57"/>
      <c r="I6499" s="47"/>
      <c r="J6499" s="37">
        <v>0</v>
      </c>
    </row>
    <row r="6500" spans="1:10" hidden="1" x14ac:dyDescent="0.25">
      <c r="A6500" s="179"/>
      <c r="B6500" s="177"/>
      <c r="C6500" s="43" t="s">
        <v>1537</v>
      </c>
      <c r="D6500" s="43" t="s">
        <v>18</v>
      </c>
      <c r="E6500" s="44">
        <v>1.7</v>
      </c>
      <c r="F6500" s="38" t="s">
        <v>13</v>
      </c>
      <c r="G6500" s="70" t="str">
        <f>IF(ISNUMBER(F6500),E6500*F6500,"")</f>
        <v/>
      </c>
      <c r="H6500" s="57"/>
      <c r="I6500" s="47"/>
      <c r="J6500" s="37">
        <v>0</v>
      </c>
    </row>
    <row r="6501" spans="1:10" ht="15.75" hidden="1" thickBot="1" x14ac:dyDescent="0.3">
      <c r="A6501" s="180"/>
      <c r="B6501" s="178"/>
      <c r="C6501" s="49"/>
      <c r="D6501" s="49"/>
      <c r="E6501" s="50"/>
      <c r="F6501" s="51" t="s">
        <v>13</v>
      </c>
      <c r="G6501" s="83" t="str">
        <f>IF(ISNUMBER(F6501),E6501*F6501,"")</f>
        <v/>
      </c>
      <c r="H6501" s="99"/>
      <c r="I6501" s="47"/>
      <c r="J6501" s="37">
        <v>0</v>
      </c>
    </row>
    <row r="6502" spans="1:10" ht="15.75" hidden="1" thickBot="1" x14ac:dyDescent="0.3">
      <c r="A6502" s="173" t="s">
        <v>1538</v>
      </c>
      <c r="B6502" s="176" t="s">
        <v>7203</v>
      </c>
      <c r="C6502" s="31"/>
      <c r="D6502" s="32" t="s">
        <v>18</v>
      </c>
      <c r="E6502" s="33"/>
      <c r="F6502" s="60" t="s">
        <v>13</v>
      </c>
      <c r="G6502" s="34" t="str">
        <f>IF(ISNUMBER(F6502),E6502*F6502,"")</f>
        <v/>
      </c>
      <c r="H6502" s="35"/>
      <c r="I6502" s="36"/>
      <c r="J6502" s="37">
        <v>0</v>
      </c>
    </row>
    <row r="6503" spans="1:10" hidden="1" x14ac:dyDescent="0.25">
      <c r="A6503" s="179"/>
      <c r="B6503" s="177"/>
      <c r="C6503" s="39"/>
      <c r="D6503" s="39"/>
      <c r="E6503" s="40"/>
      <c r="F6503" s="70" t="s">
        <v>13</v>
      </c>
      <c r="G6503" s="70" t="str">
        <f>IF(ISNUMBER(F6503),E6503*F6503,"")</f>
        <v/>
      </c>
      <c r="H6503" s="71"/>
      <c r="I6503" s="72"/>
      <c r="J6503" s="37">
        <v>0</v>
      </c>
    </row>
    <row r="6504" spans="1:10" hidden="1" x14ac:dyDescent="0.25">
      <c r="A6504" s="179"/>
      <c r="B6504" s="177"/>
      <c r="C6504" s="43" t="s">
        <v>10614</v>
      </c>
      <c r="D6504" s="43" t="s">
        <v>2800</v>
      </c>
      <c r="E6504" s="44">
        <v>2.1684999999999999</v>
      </c>
      <c r="F6504" s="38">
        <v>23.693000000000001</v>
      </c>
      <c r="G6504" s="70">
        <f>IF(ISNUMBER(F6504),E6504*F6504,"")</f>
        <v>51.378270499999999</v>
      </c>
      <c r="H6504" s="46">
        <f>SUM(G6504:G6509)</f>
        <v>216.38989705</v>
      </c>
      <c r="I6504" s="47"/>
      <c r="J6504" s="37">
        <v>0</v>
      </c>
    </row>
    <row r="6505" spans="1:10" hidden="1" x14ac:dyDescent="0.25">
      <c r="A6505" s="179"/>
      <c r="B6505" s="177"/>
      <c r="C6505" s="43" t="s">
        <v>11067</v>
      </c>
      <c r="D6505" s="43" t="s">
        <v>2800</v>
      </c>
      <c r="E6505" s="44">
        <v>1.1535</v>
      </c>
      <c r="F6505" s="38">
        <v>28.024999999999999</v>
      </c>
      <c r="G6505" s="70">
        <f>IF(ISNUMBER(F6505),E6505*F6505,"")</f>
        <v>32.326837499999996</v>
      </c>
      <c r="H6505" s="57"/>
      <c r="I6505" s="47"/>
      <c r="J6505" s="37">
        <v>0</v>
      </c>
    </row>
    <row r="6506" spans="1:10" ht="63.75" hidden="1" x14ac:dyDescent="0.25">
      <c r="A6506" s="179"/>
      <c r="B6506" s="177"/>
      <c r="C6506" s="43" t="s">
        <v>10781</v>
      </c>
      <c r="D6506" s="43" t="s">
        <v>1050</v>
      </c>
      <c r="E6506" s="44">
        <v>0.16220000000000001</v>
      </c>
      <c r="F6506" s="38">
        <v>140.87549999999999</v>
      </c>
      <c r="G6506" s="70">
        <f>IF(ISNUMBER(F6506),E6506*F6506,"")</f>
        <v>22.850006099999998</v>
      </c>
      <c r="H6506" s="57"/>
      <c r="I6506" s="47"/>
      <c r="J6506" s="37">
        <v>0</v>
      </c>
    </row>
    <row r="6507" spans="1:10" ht="63.75" hidden="1" x14ac:dyDescent="0.25">
      <c r="A6507" s="179"/>
      <c r="B6507" s="177"/>
      <c r="C6507" s="43" t="s">
        <v>10782</v>
      </c>
      <c r="D6507" s="43" t="s">
        <v>10677</v>
      </c>
      <c r="E6507" s="44">
        <v>0.89970000000000006</v>
      </c>
      <c r="F6507" s="38">
        <v>61.037499999999994</v>
      </c>
      <c r="G6507" s="70">
        <f>IF(ISNUMBER(F6507),E6507*F6507,"")</f>
        <v>54.91543875</v>
      </c>
      <c r="H6507" s="57"/>
      <c r="I6507" s="47"/>
      <c r="J6507" s="37">
        <v>0</v>
      </c>
    </row>
    <row r="6508" spans="1:10" hidden="1" x14ac:dyDescent="0.25">
      <c r="A6508" s="179"/>
      <c r="B6508" s="177"/>
      <c r="C6508" s="43" t="s">
        <v>10614</v>
      </c>
      <c r="D6508" s="43" t="s">
        <v>2800</v>
      </c>
      <c r="E6508" s="44">
        <v>1.0619000000000001</v>
      </c>
      <c r="F6508" s="38">
        <v>23.693000000000001</v>
      </c>
      <c r="G6508" s="70">
        <f>IF(ISNUMBER(F6508),E6508*F6508,"")</f>
        <v>25.159596700000002</v>
      </c>
      <c r="H6508" s="57"/>
      <c r="I6508" s="47"/>
      <c r="J6508" s="37">
        <v>0</v>
      </c>
    </row>
    <row r="6509" spans="1:10" hidden="1" x14ac:dyDescent="0.25">
      <c r="A6509" s="179"/>
      <c r="B6509" s="177"/>
      <c r="C6509" s="43" t="s">
        <v>11067</v>
      </c>
      <c r="D6509" s="43" t="s">
        <v>2800</v>
      </c>
      <c r="E6509" s="44">
        <v>1.0619000000000001</v>
      </c>
      <c r="F6509" s="38">
        <v>28.024999999999999</v>
      </c>
      <c r="G6509" s="70">
        <f>IF(ISNUMBER(F6509),E6509*F6509,"")</f>
        <v>29.7597475</v>
      </c>
      <c r="H6509" s="57"/>
      <c r="I6509" s="47"/>
      <c r="J6509" s="37">
        <v>0</v>
      </c>
    </row>
    <row r="6510" spans="1:10" ht="15.75" hidden="1" thickBot="1" x14ac:dyDescent="0.3">
      <c r="A6510" s="180"/>
      <c r="B6510" s="178"/>
      <c r="C6510" s="49"/>
      <c r="D6510" s="49"/>
      <c r="E6510" s="50"/>
      <c r="F6510" s="51" t="s">
        <v>13</v>
      </c>
      <c r="G6510" s="83" t="str">
        <f>IF(ISNUMBER(F6510),E6510*F6510,"")</f>
        <v/>
      </c>
      <c r="H6510" s="99"/>
      <c r="I6510" s="47"/>
      <c r="J6510" s="37">
        <v>0</v>
      </c>
    </row>
    <row r="6511" spans="1:10" ht="15.75" hidden="1" thickBot="1" x14ac:dyDescent="0.3">
      <c r="A6511" s="173" t="s">
        <v>1539</v>
      </c>
      <c r="B6511" s="176" t="s">
        <v>7204</v>
      </c>
      <c r="C6511" s="31"/>
      <c r="D6511" s="32" t="s">
        <v>68</v>
      </c>
      <c r="E6511" s="33"/>
      <c r="F6511" s="60" t="s">
        <v>13</v>
      </c>
      <c r="G6511" s="34" t="str">
        <f>IF(ISNUMBER(F6511),E6511*F6511,"")</f>
        <v/>
      </c>
      <c r="H6511" s="35"/>
      <c r="I6511" s="36"/>
      <c r="J6511" s="37">
        <v>0</v>
      </c>
    </row>
    <row r="6512" spans="1:10" hidden="1" x14ac:dyDescent="0.25">
      <c r="A6512" s="179"/>
      <c r="B6512" s="177"/>
      <c r="C6512" s="39"/>
      <c r="D6512" s="39"/>
      <c r="E6512" s="40"/>
      <c r="F6512" s="70" t="s">
        <v>13</v>
      </c>
      <c r="G6512" s="70" t="str">
        <f>IF(ISNUMBER(F6512),E6512*F6512,"")</f>
        <v/>
      </c>
      <c r="H6512" s="71"/>
      <c r="I6512" s="72"/>
      <c r="J6512" s="37">
        <v>0</v>
      </c>
    </row>
    <row r="6513" spans="1:10" hidden="1" x14ac:dyDescent="0.25">
      <c r="A6513" s="179"/>
      <c r="B6513" s="177"/>
      <c r="C6513" s="43" t="s">
        <v>10614</v>
      </c>
      <c r="D6513" s="43" t="s">
        <v>2800</v>
      </c>
      <c r="E6513" s="44">
        <v>0.1153</v>
      </c>
      <c r="F6513" s="38">
        <v>23.693000000000001</v>
      </c>
      <c r="G6513" s="70">
        <f>IF(ISNUMBER(F6513),E6513*F6513,"")</f>
        <v>2.7318029000000004</v>
      </c>
      <c r="H6513" s="46">
        <f>SUM(G6513:G6514)</f>
        <v>3.9697973000000006</v>
      </c>
      <c r="I6513" s="47"/>
      <c r="J6513" s="37">
        <v>0</v>
      </c>
    </row>
    <row r="6514" spans="1:10" hidden="1" x14ac:dyDescent="0.25">
      <c r="A6514" s="179"/>
      <c r="B6514" s="177"/>
      <c r="C6514" s="43" t="s">
        <v>10800</v>
      </c>
      <c r="D6514" s="43" t="s">
        <v>2800</v>
      </c>
      <c r="E6514" s="44">
        <v>4.0800000000000003E-2</v>
      </c>
      <c r="F6514" s="38">
        <v>30.343</v>
      </c>
      <c r="G6514" s="70">
        <f>IF(ISNUMBER(F6514),E6514*F6514,"")</f>
        <v>1.2379944000000001</v>
      </c>
      <c r="H6514" s="57"/>
      <c r="I6514" s="47"/>
      <c r="J6514" s="37">
        <v>0</v>
      </c>
    </row>
    <row r="6515" spans="1:10" ht="15.75" hidden="1" thickBot="1" x14ac:dyDescent="0.3">
      <c r="A6515" s="180"/>
      <c r="B6515" s="178"/>
      <c r="C6515" s="49"/>
      <c r="D6515" s="49"/>
      <c r="E6515" s="50"/>
      <c r="F6515" s="51" t="s">
        <v>13</v>
      </c>
      <c r="G6515" s="83" t="str">
        <f>IF(ISNUMBER(F6515),E6515*F6515,"")</f>
        <v/>
      </c>
      <c r="H6515" s="99"/>
      <c r="I6515" s="47"/>
      <c r="J6515" s="37">
        <v>0</v>
      </c>
    </row>
    <row r="6516" spans="1:10" ht="15.75" hidden="1" thickBot="1" x14ac:dyDescent="0.3">
      <c r="A6516" s="173" t="s">
        <v>1540</v>
      </c>
      <c r="B6516" s="176" t="s">
        <v>7205</v>
      </c>
      <c r="C6516" s="31"/>
      <c r="D6516" s="32" t="s">
        <v>106</v>
      </c>
      <c r="E6516" s="33"/>
      <c r="F6516" s="60" t="s">
        <v>13</v>
      </c>
      <c r="G6516" s="34" t="str">
        <f>IF(ISNUMBER(F6516),E6516*F6516,"")</f>
        <v/>
      </c>
      <c r="H6516" s="35"/>
      <c r="I6516" s="36"/>
      <c r="J6516" s="37">
        <v>0</v>
      </c>
    </row>
    <row r="6517" spans="1:10" hidden="1" x14ac:dyDescent="0.25">
      <c r="A6517" s="179"/>
      <c r="B6517" s="177"/>
      <c r="C6517" s="39"/>
      <c r="D6517" s="39"/>
      <c r="E6517" s="40"/>
      <c r="F6517" s="70" t="s">
        <v>13</v>
      </c>
      <c r="G6517" s="70" t="str">
        <f>IF(ISNUMBER(F6517),E6517*F6517,"")</f>
        <v/>
      </c>
      <c r="H6517" s="71"/>
      <c r="I6517" s="72"/>
      <c r="J6517" s="37">
        <v>0</v>
      </c>
    </row>
    <row r="6518" spans="1:10" ht="38.25" hidden="1" x14ac:dyDescent="0.25">
      <c r="A6518" s="179"/>
      <c r="B6518" s="177"/>
      <c r="C6518" s="43" t="s">
        <v>11327</v>
      </c>
      <c r="D6518" s="43" t="s">
        <v>1302</v>
      </c>
      <c r="E6518" s="44">
        <v>0.74450000000000005</v>
      </c>
      <c r="F6518" s="38">
        <v>6.8494999999999999</v>
      </c>
      <c r="G6518" s="70">
        <f>IF(ISNUMBER(F6518),E6518*F6518,"")</f>
        <v>5.0994527500000002</v>
      </c>
      <c r="H6518" s="46">
        <f>SUM(G6518:G6527)</f>
        <v>66.122183984269512</v>
      </c>
      <c r="I6518" s="47"/>
      <c r="J6518" s="37">
        <v>0</v>
      </c>
    </row>
    <row r="6519" spans="1:10" ht="38.25" hidden="1" x14ac:dyDescent="0.25">
      <c r="A6519" s="179"/>
      <c r="B6519" s="177"/>
      <c r="C6519" s="43" t="s">
        <v>11328</v>
      </c>
      <c r="D6519" s="43" t="s">
        <v>1302</v>
      </c>
      <c r="E6519" s="44">
        <v>0.41249999999999998</v>
      </c>
      <c r="F6519" s="38">
        <v>24.6145</v>
      </c>
      <c r="G6519" s="70">
        <f>IF(ISNUMBER(F6519),E6519*F6519,"")</f>
        <v>10.153481249999999</v>
      </c>
      <c r="H6519" s="57"/>
      <c r="I6519" s="47"/>
      <c r="J6519" s="37">
        <v>0</v>
      </c>
    </row>
    <row r="6520" spans="1:10" hidden="1" x14ac:dyDescent="0.25">
      <c r="A6520" s="179"/>
      <c r="B6520" s="177"/>
      <c r="C6520" s="43" t="s">
        <v>10653</v>
      </c>
      <c r="D6520" s="43" t="s">
        <v>1044</v>
      </c>
      <c r="E6520" s="44">
        <v>0.111</v>
      </c>
      <c r="F6520" s="38">
        <v>18.401499999999999</v>
      </c>
      <c r="G6520" s="70">
        <f>IF(ISNUMBER(F6520),E6520*F6520,"")</f>
        <v>2.0425665</v>
      </c>
      <c r="H6520" s="57"/>
      <c r="I6520" s="47"/>
      <c r="J6520" s="37">
        <v>0</v>
      </c>
    </row>
    <row r="6521" spans="1:10" hidden="1" x14ac:dyDescent="0.25">
      <c r="A6521" s="179"/>
      <c r="B6521" s="177"/>
      <c r="C6521" s="43" t="s">
        <v>10868</v>
      </c>
      <c r="D6521" s="43" t="s">
        <v>70</v>
      </c>
      <c r="E6521" s="44">
        <v>2.5600000000000001E-2</v>
      </c>
      <c r="F6521" s="38">
        <v>32.299999999999997</v>
      </c>
      <c r="G6521" s="70">
        <f>IF(ISNUMBER(F6521),E6521*F6521,"")</f>
        <v>0.82687999999999995</v>
      </c>
      <c r="H6521" s="57"/>
      <c r="I6521" s="47"/>
      <c r="J6521" s="37">
        <v>0</v>
      </c>
    </row>
    <row r="6522" spans="1:10" ht="25.5" hidden="1" x14ac:dyDescent="0.25">
      <c r="A6522" s="179"/>
      <c r="B6522" s="177"/>
      <c r="C6522" s="43" t="s">
        <v>11329</v>
      </c>
      <c r="D6522" s="43" t="s">
        <v>1302</v>
      </c>
      <c r="E6522" s="44">
        <v>0.55000000000000004</v>
      </c>
      <c r="F6522" s="38">
        <v>8.2554999999999996</v>
      </c>
      <c r="G6522" s="70">
        <f>IF(ISNUMBER(F6522),E6522*F6522,"")</f>
        <v>4.5405250000000006</v>
      </c>
      <c r="H6522" s="57"/>
      <c r="I6522" s="47"/>
      <c r="J6522" s="37">
        <v>0</v>
      </c>
    </row>
    <row r="6523" spans="1:10" hidden="1" x14ac:dyDescent="0.25">
      <c r="A6523" s="179"/>
      <c r="B6523" s="177"/>
      <c r="C6523" s="43" t="s">
        <v>10655</v>
      </c>
      <c r="D6523" s="43" t="s">
        <v>2800</v>
      </c>
      <c r="E6523" s="44">
        <v>0.72470000000000001</v>
      </c>
      <c r="F6523" s="38">
        <v>24.358000000000001</v>
      </c>
      <c r="G6523" s="70">
        <f>IF(ISNUMBER(F6523),E6523*F6523,"")</f>
        <v>17.652242600000001</v>
      </c>
      <c r="H6523" s="57"/>
      <c r="I6523" s="47"/>
      <c r="J6523" s="37">
        <v>0</v>
      </c>
    </row>
    <row r="6524" spans="1:10" hidden="1" x14ac:dyDescent="0.25">
      <c r="A6524" s="179"/>
      <c r="B6524" s="177"/>
      <c r="C6524" s="43" t="s">
        <v>10613</v>
      </c>
      <c r="D6524" s="43" t="s">
        <v>2800</v>
      </c>
      <c r="E6524" s="44">
        <v>0.72470000000000001</v>
      </c>
      <c r="F6524" s="38">
        <v>30.628</v>
      </c>
      <c r="G6524" s="70">
        <f>IF(ISNUMBER(F6524),E6524*F6524,"")</f>
        <v>22.196111600000002</v>
      </c>
      <c r="H6524" s="57"/>
      <c r="I6524" s="47"/>
      <c r="J6524" s="37">
        <v>0</v>
      </c>
    </row>
    <row r="6525" spans="1:10" ht="25.5" hidden="1" x14ac:dyDescent="0.25">
      <c r="A6525" s="179"/>
      <c r="B6525" s="177"/>
      <c r="C6525" s="43" t="s">
        <v>10656</v>
      </c>
      <c r="D6525" s="43" t="s">
        <v>1050</v>
      </c>
      <c r="E6525" s="44">
        <v>7.0000000000000001E-3</v>
      </c>
      <c r="F6525" s="38">
        <v>26.884999999999998</v>
      </c>
      <c r="G6525" s="70">
        <f>IF(ISNUMBER(F6525),E6525*F6525,"")</f>
        <v>0.188195</v>
      </c>
      <c r="H6525" s="57"/>
      <c r="I6525" s="47"/>
      <c r="J6525" s="37">
        <v>0</v>
      </c>
    </row>
    <row r="6526" spans="1:10" ht="25.5" hidden="1" x14ac:dyDescent="0.25">
      <c r="A6526" s="179"/>
      <c r="B6526" s="177"/>
      <c r="C6526" s="43" t="s">
        <v>10657</v>
      </c>
      <c r="D6526" s="43" t="s">
        <v>10677</v>
      </c>
      <c r="E6526" s="44">
        <v>2.8000000000000001E-2</v>
      </c>
      <c r="F6526" s="38">
        <v>25.906499999999998</v>
      </c>
      <c r="G6526" s="70">
        <f>IF(ISNUMBER(F6526),E6526*F6526,"")</f>
        <v>0.72538199999999997</v>
      </c>
      <c r="H6526" s="57"/>
      <c r="I6526" s="47"/>
      <c r="J6526" s="37">
        <v>0</v>
      </c>
    </row>
    <row r="6527" spans="1:10" ht="38.25" hidden="1" x14ac:dyDescent="0.25">
      <c r="A6527" s="179"/>
      <c r="B6527" s="177"/>
      <c r="C6527" s="43" t="s">
        <v>10718</v>
      </c>
      <c r="D6527" s="43" t="s">
        <v>2880</v>
      </c>
      <c r="E6527" s="44">
        <v>4.0000000000000001E-3</v>
      </c>
      <c r="F6527" s="38">
        <v>674.33682106737501</v>
      </c>
      <c r="G6527" s="70">
        <f>IF(ISNUMBER(F6527),E6527*F6527,"")</f>
        <v>2.6973472842695001</v>
      </c>
      <c r="H6527" s="57"/>
      <c r="I6527" s="47"/>
      <c r="J6527" s="37">
        <v>0</v>
      </c>
    </row>
    <row r="6528" spans="1:10" ht="15.75" hidden="1" thickBot="1" x14ac:dyDescent="0.3">
      <c r="A6528" s="180"/>
      <c r="B6528" s="178"/>
      <c r="C6528" s="49"/>
      <c r="D6528" s="49"/>
      <c r="E6528" s="50"/>
      <c r="F6528" s="51" t="s">
        <v>13</v>
      </c>
      <c r="G6528" s="83" t="str">
        <f>IF(ISNUMBER(F6528),E6528*F6528,"")</f>
        <v/>
      </c>
      <c r="H6528" s="99"/>
      <c r="I6528" s="47"/>
      <c r="J6528" s="37">
        <v>0</v>
      </c>
    </row>
    <row r="6529" spans="1:10" ht="15.75" hidden="1" thickBot="1" x14ac:dyDescent="0.3">
      <c r="A6529" s="173" t="s">
        <v>1541</v>
      </c>
      <c r="B6529" s="176" t="s">
        <v>7206</v>
      </c>
      <c r="C6529" s="31"/>
      <c r="D6529" s="32" t="s">
        <v>18</v>
      </c>
      <c r="E6529" s="33"/>
      <c r="F6529" s="60" t="s">
        <v>13</v>
      </c>
      <c r="G6529" s="34" t="str">
        <f>IF(ISNUMBER(F6529),E6529*F6529,"")</f>
        <v/>
      </c>
      <c r="H6529" s="35"/>
      <c r="I6529" s="36"/>
      <c r="J6529" s="37">
        <v>0</v>
      </c>
    </row>
    <row r="6530" spans="1:10" hidden="1" x14ac:dyDescent="0.25">
      <c r="A6530" s="179"/>
      <c r="B6530" s="177"/>
      <c r="C6530" s="39"/>
      <c r="D6530" s="39"/>
      <c r="E6530" s="40"/>
      <c r="F6530" s="70" t="s">
        <v>13</v>
      </c>
      <c r="G6530" s="70" t="str">
        <f>IF(ISNUMBER(F6530),E6530*F6530,"")</f>
        <v/>
      </c>
      <c r="H6530" s="71"/>
      <c r="I6530" s="72"/>
      <c r="J6530" s="37">
        <v>0</v>
      </c>
    </row>
    <row r="6531" spans="1:10" ht="25.5" hidden="1" x14ac:dyDescent="0.25">
      <c r="A6531" s="179"/>
      <c r="B6531" s="177"/>
      <c r="C6531" s="43" t="s">
        <v>1542</v>
      </c>
      <c r="D6531" s="43" t="s">
        <v>83</v>
      </c>
      <c r="E6531" s="44">
        <v>4</v>
      </c>
      <c r="F6531" s="38" t="s">
        <v>13</v>
      </c>
      <c r="G6531" s="70" t="str">
        <f>IF(ISNUMBER(F6531),E6531*F6531,"")</f>
        <v/>
      </c>
      <c r="H6531" s="46">
        <f>SUM(G6531:G6540)</f>
        <v>436.15633919999993</v>
      </c>
      <c r="I6531" s="47"/>
      <c r="J6531" s="37">
        <v>0</v>
      </c>
    </row>
    <row r="6532" spans="1:10" hidden="1" x14ac:dyDescent="0.25">
      <c r="A6532" s="179"/>
      <c r="B6532" s="177"/>
      <c r="C6532" s="43" t="s">
        <v>10757</v>
      </c>
      <c r="D6532" s="43" t="s">
        <v>2800</v>
      </c>
      <c r="E6532" s="44">
        <v>0.4</v>
      </c>
      <c r="F6532" s="38">
        <v>31.055499999999995</v>
      </c>
      <c r="G6532" s="70">
        <f>IF(ISNUMBER(F6532),E6532*F6532,"")</f>
        <v>12.422199999999998</v>
      </c>
      <c r="H6532" s="57"/>
      <c r="I6532" s="47"/>
      <c r="J6532" s="37">
        <v>0</v>
      </c>
    </row>
    <row r="6533" spans="1:10" hidden="1" x14ac:dyDescent="0.25">
      <c r="A6533" s="179"/>
      <c r="B6533" s="177"/>
      <c r="C6533" s="43" t="s">
        <v>11014</v>
      </c>
      <c r="D6533" s="43" t="s">
        <v>2800</v>
      </c>
      <c r="E6533" s="44">
        <v>1.5</v>
      </c>
      <c r="F6533" s="38">
        <v>30.837</v>
      </c>
      <c r="G6533" s="70">
        <f>IF(ISNUMBER(F6533),E6533*F6533,"")</f>
        <v>46.255499999999998</v>
      </c>
      <c r="H6533" s="57"/>
      <c r="I6533" s="47"/>
      <c r="J6533" s="37">
        <v>0</v>
      </c>
    </row>
    <row r="6534" spans="1:10" hidden="1" x14ac:dyDescent="0.25">
      <c r="A6534" s="179"/>
      <c r="B6534" s="177"/>
      <c r="C6534" s="43" t="s">
        <v>10614</v>
      </c>
      <c r="D6534" s="43" t="s">
        <v>2800</v>
      </c>
      <c r="E6534" s="44">
        <v>0.4</v>
      </c>
      <c r="F6534" s="38">
        <v>23.693000000000001</v>
      </c>
      <c r="G6534" s="70">
        <f>IF(ISNUMBER(F6534),E6534*F6534,"")</f>
        <v>9.4772000000000016</v>
      </c>
      <c r="H6534" s="57"/>
      <c r="I6534" s="47"/>
      <c r="J6534" s="37">
        <v>0</v>
      </c>
    </row>
    <row r="6535" spans="1:10" hidden="1" x14ac:dyDescent="0.25">
      <c r="A6535" s="179"/>
      <c r="B6535" s="177"/>
      <c r="C6535" s="43" t="s">
        <v>11099</v>
      </c>
      <c r="D6535" s="43" t="s">
        <v>1044</v>
      </c>
      <c r="E6535" s="44">
        <f>0.023*74.69</f>
        <v>1.71787</v>
      </c>
      <c r="F6535" s="38">
        <v>8.4359999999999999</v>
      </c>
      <c r="G6535" s="70">
        <f>IF(ISNUMBER(F6535),E6535*F6535,"")</f>
        <v>14.49195132</v>
      </c>
      <c r="H6535" s="57"/>
      <c r="I6535" s="47"/>
      <c r="J6535" s="37">
        <v>0</v>
      </c>
    </row>
    <row r="6536" spans="1:10" ht="25.5" hidden="1" x14ac:dyDescent="0.25">
      <c r="A6536" s="179"/>
      <c r="B6536" s="177"/>
      <c r="C6536" s="43" t="s">
        <v>11330</v>
      </c>
      <c r="D6536" s="43" t="s">
        <v>1302</v>
      </c>
      <c r="E6536" s="44">
        <v>3.05</v>
      </c>
      <c r="F6536" s="38">
        <v>108.89849999999998</v>
      </c>
      <c r="G6536" s="70">
        <f>IF(ISNUMBER(F6536),E6536*F6536,"")</f>
        <v>332.14042499999994</v>
      </c>
      <c r="H6536" s="57"/>
      <c r="I6536" s="47"/>
      <c r="J6536" s="37">
        <v>0</v>
      </c>
    </row>
    <row r="6537" spans="1:10" ht="25.5" hidden="1" x14ac:dyDescent="0.25">
      <c r="A6537" s="179"/>
      <c r="B6537" s="177"/>
      <c r="C6537" s="43" t="s">
        <v>11057</v>
      </c>
      <c r="D6537" s="43" t="s">
        <v>83</v>
      </c>
      <c r="E6537" s="44">
        <v>4</v>
      </c>
      <c r="F6537" s="38">
        <v>2.09</v>
      </c>
      <c r="G6537" s="70">
        <f>IF(ISNUMBER(F6537),E6537*F6537,"")</f>
        <v>8.36</v>
      </c>
      <c r="H6537" s="57"/>
      <c r="I6537" s="47"/>
      <c r="J6537" s="37">
        <v>0</v>
      </c>
    </row>
    <row r="6538" spans="1:10" hidden="1" x14ac:dyDescent="0.25">
      <c r="A6538" s="179"/>
      <c r="B6538" s="177"/>
      <c r="C6538" s="43" t="s">
        <v>10805</v>
      </c>
      <c r="D6538" s="43" t="s">
        <v>1044</v>
      </c>
      <c r="E6538" s="44">
        <v>0.02</v>
      </c>
      <c r="F6538" s="38">
        <v>203.41399999999999</v>
      </c>
      <c r="G6538" s="70">
        <f>IF(ISNUMBER(F6538),E6538*F6538,"")</f>
        <v>4.0682799999999997</v>
      </c>
      <c r="H6538" s="57"/>
      <c r="I6538" s="47"/>
      <c r="J6538" s="37">
        <v>0</v>
      </c>
    </row>
    <row r="6539" spans="1:10" hidden="1" x14ac:dyDescent="0.25">
      <c r="A6539" s="179"/>
      <c r="B6539" s="177"/>
      <c r="C6539" s="43" t="s">
        <v>10674</v>
      </c>
      <c r="D6539" s="43" t="s">
        <v>2800</v>
      </c>
      <c r="E6539" s="44">
        <f>0.5708*0.48</f>
        <v>0.27398399999999995</v>
      </c>
      <c r="F6539" s="38">
        <v>32.6325</v>
      </c>
      <c r="G6539" s="70">
        <f>IF(ISNUMBER(F6539),E6539*F6539,"")</f>
        <v>8.9407828799999987</v>
      </c>
      <c r="H6539" s="57"/>
      <c r="I6539" s="47"/>
      <c r="J6539" s="37">
        <v>0</v>
      </c>
    </row>
    <row r="6540" spans="1:10" hidden="1" x14ac:dyDescent="0.25">
      <c r="A6540" s="179"/>
      <c r="B6540" s="177"/>
      <c r="C6540" s="43" t="s">
        <v>126</v>
      </c>
      <c r="D6540" s="6" t="s">
        <v>70</v>
      </c>
      <c r="E6540" s="44">
        <f>ROUND(0.48*3*3.6/75,4)</f>
        <v>6.9099999999999995E-2</v>
      </c>
      <c r="F6540" s="38" t="s">
        <v>13</v>
      </c>
      <c r="G6540" s="70" t="str">
        <f>IF(ISNUMBER(F6540),E6540*F6540,"")</f>
        <v/>
      </c>
      <c r="H6540" s="57"/>
      <c r="I6540" s="47"/>
      <c r="J6540" s="37">
        <v>0</v>
      </c>
    </row>
    <row r="6541" spans="1:10" hidden="1" x14ac:dyDescent="0.25">
      <c r="A6541" s="179"/>
      <c r="B6541" s="177"/>
      <c r="C6541" s="43"/>
      <c r="D6541" s="43"/>
      <c r="E6541" s="44"/>
      <c r="F6541" s="38" t="s">
        <v>13</v>
      </c>
      <c r="G6541" s="70" t="str">
        <f>IF(ISNUMBER(F6541),E6541*F6541,"")</f>
        <v/>
      </c>
      <c r="H6541" s="57"/>
      <c r="I6541" s="47"/>
      <c r="J6541" s="37">
        <v>0</v>
      </c>
    </row>
    <row r="6542" spans="1:10" ht="38.25" hidden="1" x14ac:dyDescent="0.25">
      <c r="A6542" s="179"/>
      <c r="B6542" s="177"/>
      <c r="C6542" s="65" t="s">
        <v>127</v>
      </c>
      <c r="D6542" s="43"/>
      <c r="E6542" s="44"/>
      <c r="F6542" s="38" t="s">
        <v>13</v>
      </c>
      <c r="G6542" s="70" t="str">
        <f>IF(ISNUMBER(F6542),E6542*F6542,"")</f>
        <v/>
      </c>
      <c r="H6542" s="57"/>
      <c r="I6542" s="47"/>
      <c r="J6542" s="37">
        <v>0</v>
      </c>
    </row>
    <row r="6543" spans="1:10" ht="15.75" hidden="1" thickBot="1" x14ac:dyDescent="0.3">
      <c r="A6543" s="180"/>
      <c r="B6543" s="178"/>
      <c r="C6543" s="49"/>
      <c r="D6543" s="49"/>
      <c r="E6543" s="50"/>
      <c r="F6543" s="51" t="s">
        <v>13</v>
      </c>
      <c r="G6543" s="83" t="str">
        <f>IF(ISNUMBER(F6543),E6543*F6543,"")</f>
        <v/>
      </c>
      <c r="H6543" s="99"/>
      <c r="I6543" s="47"/>
      <c r="J6543" s="37">
        <v>0</v>
      </c>
    </row>
    <row r="6544" spans="1:10" ht="15.75" hidden="1" thickBot="1" x14ac:dyDescent="0.3">
      <c r="A6544" s="173" t="s">
        <v>1543</v>
      </c>
      <c r="B6544" s="176" t="s">
        <v>7209</v>
      </c>
      <c r="C6544" s="31"/>
      <c r="D6544" s="32" t="s">
        <v>18</v>
      </c>
      <c r="E6544" s="33"/>
      <c r="F6544" s="54" t="s">
        <v>13</v>
      </c>
      <c r="G6544" s="34" t="str">
        <f>IF(ISNUMBER(F6544),E6544*F6544,"")</f>
        <v/>
      </c>
      <c r="H6544" s="35"/>
      <c r="I6544" s="36"/>
      <c r="J6544" s="37">
        <v>0</v>
      </c>
    </row>
    <row r="6545" spans="1:10" hidden="1" x14ac:dyDescent="0.25">
      <c r="A6545" s="174"/>
      <c r="B6545" s="177"/>
      <c r="C6545" s="39"/>
      <c r="D6545" s="39"/>
      <c r="E6545" s="40"/>
      <c r="F6545" s="55" t="s">
        <v>13</v>
      </c>
      <c r="G6545" s="38" t="str">
        <f>IF(ISNUMBER(F6545),E6545*F6545,"")</f>
        <v/>
      </c>
      <c r="H6545" s="42"/>
      <c r="I6545" s="38"/>
      <c r="J6545" s="37">
        <v>0</v>
      </c>
    </row>
    <row r="6546" spans="1:10" ht="25.5" hidden="1" x14ac:dyDescent="0.25">
      <c r="A6546" s="174"/>
      <c r="B6546" s="177"/>
      <c r="C6546" s="43" t="s">
        <v>1544</v>
      </c>
      <c r="D6546" s="43" t="s">
        <v>83</v>
      </c>
      <c r="E6546" s="44">
        <v>1</v>
      </c>
      <c r="F6546" s="41" t="s">
        <v>13</v>
      </c>
      <c r="G6546" s="38" t="str">
        <f>IF(ISNUMBER(F6546),E6546*F6546,"")</f>
        <v/>
      </c>
      <c r="H6546" s="46">
        <f>SUM(G6546:G6550)</f>
        <v>166.02190008612502</v>
      </c>
      <c r="I6546" s="47"/>
      <c r="J6546" s="37">
        <v>0</v>
      </c>
    </row>
    <row r="6547" spans="1:10" ht="51" hidden="1" x14ac:dyDescent="0.25">
      <c r="A6547" s="174"/>
      <c r="B6547" s="177"/>
      <c r="C6547" s="43" t="s">
        <v>10786</v>
      </c>
      <c r="D6547" s="43" t="s">
        <v>1050</v>
      </c>
      <c r="E6547" s="44">
        <v>0.18010000000000001</v>
      </c>
      <c r="F6547" s="41">
        <v>266.43699999999995</v>
      </c>
      <c r="G6547" s="38">
        <f>IF(ISNUMBER(F6547),E6547*F6547,"")</f>
        <v>47.985303699999996</v>
      </c>
      <c r="H6547" s="58"/>
      <c r="I6547" s="59"/>
      <c r="J6547" s="37">
        <v>0</v>
      </c>
    </row>
    <row r="6548" spans="1:10" ht="51" hidden="1" x14ac:dyDescent="0.25">
      <c r="A6548" s="174"/>
      <c r="B6548" s="177"/>
      <c r="C6548" s="43" t="s">
        <v>10787</v>
      </c>
      <c r="D6548" s="43" t="s">
        <v>10677</v>
      </c>
      <c r="E6548" s="44">
        <v>0.98652010000000001</v>
      </c>
      <c r="F6548" s="41">
        <v>70.727500000000006</v>
      </c>
      <c r="G6548" s="38">
        <f>IF(ISNUMBER(F6548),E6548*F6548,"")</f>
        <v>69.774100372750013</v>
      </c>
      <c r="H6548" s="58"/>
      <c r="I6548" s="59"/>
      <c r="J6548" s="37">
        <v>0</v>
      </c>
    </row>
    <row r="6549" spans="1:10" hidden="1" x14ac:dyDescent="0.25">
      <c r="A6549" s="174"/>
      <c r="B6549" s="177"/>
      <c r="C6549" s="43" t="s">
        <v>10762</v>
      </c>
      <c r="D6549" s="43" t="s">
        <v>2800</v>
      </c>
      <c r="E6549" s="44">
        <f>0.5800545/2</f>
        <v>0.29002725000000001</v>
      </c>
      <c r="F6549" s="41">
        <v>24.946999999999999</v>
      </c>
      <c r="G6549" s="38">
        <f>IF(ISNUMBER(F6549),E6549*F6549,"")</f>
        <v>7.23530980575</v>
      </c>
      <c r="H6549" s="58"/>
      <c r="I6549" s="59"/>
      <c r="J6549" s="37">
        <v>0</v>
      </c>
    </row>
    <row r="6550" spans="1:10" hidden="1" x14ac:dyDescent="0.25">
      <c r="A6550" s="174"/>
      <c r="B6550" s="177"/>
      <c r="C6550" s="43" t="s">
        <v>10763</v>
      </c>
      <c r="D6550" s="43" t="s">
        <v>2800</v>
      </c>
      <c r="E6550" s="44">
        <f>2.6102455/2</f>
        <v>1.30512275</v>
      </c>
      <c r="F6550" s="38">
        <v>31.435500000000001</v>
      </c>
      <c r="G6550" s="38">
        <f>IF(ISNUMBER(F6550),E6550*F6550,"")</f>
        <v>41.027186207625</v>
      </c>
      <c r="H6550" s="42"/>
      <c r="I6550" s="38"/>
      <c r="J6550" s="37">
        <v>0</v>
      </c>
    </row>
    <row r="6551" spans="1:10" ht="15.75" hidden="1" thickBot="1" x14ac:dyDescent="0.3">
      <c r="A6551" s="175"/>
      <c r="B6551" s="178"/>
      <c r="C6551" s="49"/>
      <c r="D6551" s="49"/>
      <c r="E6551" s="50"/>
      <c r="F6551" s="51" t="s">
        <v>13</v>
      </c>
      <c r="G6551" s="51" t="str">
        <f>IF(ISNUMBER(F6551),E6551*F6551,"")</f>
        <v/>
      </c>
      <c r="H6551" s="53"/>
      <c r="I6551" s="38"/>
      <c r="J6551" s="37">
        <v>0</v>
      </c>
    </row>
    <row r="6552" spans="1:10" ht="15.75" hidden="1" thickBot="1" x14ac:dyDescent="0.3">
      <c r="A6552" s="173" t="s">
        <v>1545</v>
      </c>
      <c r="B6552" s="176" t="s">
        <v>7210</v>
      </c>
      <c r="C6552" s="31"/>
      <c r="D6552" s="32" t="s">
        <v>18</v>
      </c>
      <c r="E6552" s="33"/>
      <c r="F6552" s="54" t="s">
        <v>13</v>
      </c>
      <c r="G6552" s="34" t="str">
        <f>IF(ISNUMBER(F6552),E6552*F6552,"")</f>
        <v/>
      </c>
      <c r="H6552" s="35"/>
      <c r="I6552" s="36"/>
      <c r="J6552" s="37">
        <v>0</v>
      </c>
    </row>
    <row r="6553" spans="1:10" hidden="1" x14ac:dyDescent="0.25">
      <c r="A6553" s="174"/>
      <c r="B6553" s="177"/>
      <c r="C6553" s="39"/>
      <c r="D6553" s="39"/>
      <c r="E6553" s="40"/>
      <c r="F6553" s="55" t="s">
        <v>13</v>
      </c>
      <c r="G6553" s="38" t="str">
        <f>IF(ISNUMBER(F6553),E6553*F6553,"")</f>
        <v/>
      </c>
      <c r="H6553" s="42"/>
      <c r="I6553" s="38"/>
      <c r="J6553" s="37">
        <v>0</v>
      </c>
    </row>
    <row r="6554" spans="1:10" ht="25.5" hidden="1" x14ac:dyDescent="0.25">
      <c r="A6554" s="174"/>
      <c r="B6554" s="177"/>
      <c r="C6554" s="43" t="s">
        <v>1546</v>
      </c>
      <c r="D6554" s="43" t="s">
        <v>83</v>
      </c>
      <c r="E6554" s="44">
        <v>1</v>
      </c>
      <c r="F6554" s="41" t="s">
        <v>13</v>
      </c>
      <c r="G6554" s="38" t="str">
        <f>IF(ISNUMBER(F6554),E6554*F6554,"")</f>
        <v/>
      </c>
      <c r="H6554" s="46">
        <f>SUM(G6554:G6556)</f>
        <v>14.095625</v>
      </c>
      <c r="I6554" s="47"/>
      <c r="J6554" s="37">
        <v>0</v>
      </c>
    </row>
    <row r="6555" spans="1:10" hidden="1" x14ac:dyDescent="0.25">
      <c r="A6555" s="174"/>
      <c r="B6555" s="177"/>
      <c r="C6555" s="43" t="s">
        <v>10762</v>
      </c>
      <c r="D6555" s="43" t="s">
        <v>2800</v>
      </c>
      <c r="E6555" s="44">
        <v>0.25</v>
      </c>
      <c r="F6555" s="41">
        <v>24.946999999999999</v>
      </c>
      <c r="G6555" s="38">
        <f>IF(ISNUMBER(F6555),E6555*F6555,"")</f>
        <v>6.2367499999999998</v>
      </c>
      <c r="H6555" s="58"/>
      <c r="I6555" s="59"/>
      <c r="J6555" s="37">
        <v>0</v>
      </c>
    </row>
    <row r="6556" spans="1:10" hidden="1" x14ac:dyDescent="0.25">
      <c r="A6556" s="174"/>
      <c r="B6556" s="177"/>
      <c r="C6556" s="43" t="s">
        <v>10763</v>
      </c>
      <c r="D6556" s="43" t="s">
        <v>2800</v>
      </c>
      <c r="E6556" s="44">
        <v>0.25</v>
      </c>
      <c r="F6556" s="38">
        <v>31.435500000000001</v>
      </c>
      <c r="G6556" s="38">
        <f>IF(ISNUMBER(F6556),E6556*F6556,"")</f>
        <v>7.8588750000000003</v>
      </c>
      <c r="H6556" s="42"/>
      <c r="I6556" s="38"/>
      <c r="J6556" s="37">
        <v>0</v>
      </c>
    </row>
    <row r="6557" spans="1:10" ht="15.75" hidden="1" thickBot="1" x14ac:dyDescent="0.3">
      <c r="A6557" s="175"/>
      <c r="B6557" s="178"/>
      <c r="C6557" s="49"/>
      <c r="D6557" s="49"/>
      <c r="E6557" s="50"/>
      <c r="F6557" s="51" t="s">
        <v>13</v>
      </c>
      <c r="G6557" s="51" t="str">
        <f>IF(ISNUMBER(F6557),E6557*F6557,"")</f>
        <v/>
      </c>
      <c r="H6557" s="53"/>
      <c r="I6557" s="38"/>
      <c r="J6557" s="37">
        <v>0</v>
      </c>
    </row>
    <row r="6558" spans="1:10" ht="15.75" hidden="1" thickBot="1" x14ac:dyDescent="0.3">
      <c r="A6558" s="173" t="s">
        <v>1547</v>
      </c>
      <c r="B6558" s="176" t="s">
        <v>7329</v>
      </c>
      <c r="C6558" s="31"/>
      <c r="D6558" s="32" t="s">
        <v>106</v>
      </c>
      <c r="E6558" s="33"/>
      <c r="F6558" s="54" t="s">
        <v>13</v>
      </c>
      <c r="G6558" s="34" t="str">
        <f>IF(ISNUMBER(F6558),E6558*F6558,"")</f>
        <v/>
      </c>
      <c r="H6558" s="35"/>
      <c r="I6558" s="36"/>
      <c r="J6558" s="37">
        <v>0</v>
      </c>
    </row>
    <row r="6559" spans="1:10" hidden="1" x14ac:dyDescent="0.25">
      <c r="A6559" s="174"/>
      <c r="B6559" s="177"/>
      <c r="C6559" s="39"/>
      <c r="D6559" s="39"/>
      <c r="E6559" s="40"/>
      <c r="F6559" s="55" t="s">
        <v>13</v>
      </c>
      <c r="G6559" s="38" t="str">
        <f>IF(ISNUMBER(F6559),E6559*F6559,"")</f>
        <v/>
      </c>
      <c r="H6559" s="42"/>
      <c r="I6559" s="38"/>
      <c r="J6559" s="37">
        <v>0</v>
      </c>
    </row>
    <row r="6560" spans="1:10" ht="25.5" hidden="1" x14ac:dyDescent="0.25">
      <c r="A6560" s="174"/>
      <c r="B6560" s="177"/>
      <c r="C6560" s="43" t="s">
        <v>10754</v>
      </c>
      <c r="D6560" s="43" t="s">
        <v>2800</v>
      </c>
      <c r="E6560" s="44">
        <v>0.13</v>
      </c>
      <c r="F6560" s="41">
        <v>30.361999999999998</v>
      </c>
      <c r="G6560" s="38">
        <f>IF(ISNUMBER(F6560),E6560*F6560,"")</f>
        <v>3.94706</v>
      </c>
      <c r="H6560" s="46">
        <f>SUM(G6560:G6563)</f>
        <v>194.50649599999997</v>
      </c>
      <c r="I6560" s="47"/>
      <c r="J6560" s="37">
        <v>0</v>
      </c>
    </row>
    <row r="6561" spans="1:10" ht="25.5" hidden="1" x14ac:dyDescent="0.25">
      <c r="A6561" s="174"/>
      <c r="B6561" s="177"/>
      <c r="C6561" s="43" t="s">
        <v>10753</v>
      </c>
      <c r="D6561" s="43" t="s">
        <v>2800</v>
      </c>
      <c r="E6561" s="44">
        <v>0.13</v>
      </c>
      <c r="F6561" s="41">
        <v>23.997</v>
      </c>
      <c r="G6561" s="38">
        <f>IF(ISNUMBER(F6561),E6561*F6561,"")</f>
        <v>3.1196100000000002</v>
      </c>
      <c r="H6561" s="58"/>
      <c r="I6561" s="59"/>
      <c r="J6561" s="37">
        <v>0</v>
      </c>
    </row>
    <row r="6562" spans="1:10" hidden="1" x14ac:dyDescent="0.25">
      <c r="A6562" s="174"/>
      <c r="B6562" s="177"/>
      <c r="C6562" s="43" t="s">
        <v>10808</v>
      </c>
      <c r="D6562" s="43" t="s">
        <v>2800</v>
      </c>
      <c r="E6562" s="44">
        <v>0.13</v>
      </c>
      <c r="F6562" s="41">
        <v>31.729999999999997</v>
      </c>
      <c r="G6562" s="38">
        <f>IF(ISNUMBER(F6562),E6562*F6562,"")</f>
        <v>4.1248999999999993</v>
      </c>
      <c r="H6562" s="58"/>
      <c r="I6562" s="59"/>
      <c r="J6562" s="37">
        <v>0</v>
      </c>
    </row>
    <row r="6563" spans="1:10" ht="25.5" hidden="1" x14ac:dyDescent="0.25">
      <c r="A6563" s="174"/>
      <c r="B6563" s="177"/>
      <c r="C6563" s="43" t="s">
        <v>11331</v>
      </c>
      <c r="D6563" s="43" t="s">
        <v>1302</v>
      </c>
      <c r="E6563" s="44">
        <v>1.0389999999999999</v>
      </c>
      <c r="F6563" s="38">
        <v>176.434</v>
      </c>
      <c r="G6563" s="38">
        <f>IF(ISNUMBER(F6563),E6563*F6563,"")</f>
        <v>183.31492599999999</v>
      </c>
      <c r="H6563" s="42"/>
      <c r="I6563" s="38"/>
      <c r="J6563" s="37">
        <v>0</v>
      </c>
    </row>
    <row r="6564" spans="1:10" ht="15.75" hidden="1" thickBot="1" x14ac:dyDescent="0.3">
      <c r="A6564" s="175"/>
      <c r="B6564" s="178"/>
      <c r="C6564" s="49"/>
      <c r="D6564" s="49"/>
      <c r="E6564" s="50"/>
      <c r="F6564" s="51" t="s">
        <v>13</v>
      </c>
      <c r="G6564" s="51" t="str">
        <f>IF(ISNUMBER(F6564),E6564*F6564,"")</f>
        <v/>
      </c>
      <c r="H6564" s="53"/>
      <c r="I6564" s="38"/>
      <c r="J6564" s="37">
        <v>0</v>
      </c>
    </row>
    <row r="6565" spans="1:10" ht="15.75" hidden="1" thickBot="1" x14ac:dyDescent="0.3">
      <c r="A6565" s="173" t="s">
        <v>1548</v>
      </c>
      <c r="B6565" s="176" t="s">
        <v>7330</v>
      </c>
      <c r="C6565" s="31"/>
      <c r="D6565" s="32" t="s">
        <v>461</v>
      </c>
      <c r="E6565" s="33"/>
      <c r="F6565" s="54" t="s">
        <v>13</v>
      </c>
      <c r="G6565" s="34" t="str">
        <f>IF(ISNUMBER(F6565),E6565*F6565,"")</f>
        <v/>
      </c>
      <c r="H6565" s="35"/>
      <c r="I6565" s="36"/>
      <c r="J6565" s="37">
        <v>0</v>
      </c>
    </row>
    <row r="6566" spans="1:10" hidden="1" x14ac:dyDescent="0.25">
      <c r="A6566" s="174"/>
      <c r="B6566" s="177"/>
      <c r="C6566" s="39"/>
      <c r="D6566" s="39"/>
      <c r="E6566" s="40"/>
      <c r="F6566" s="55" t="s">
        <v>13</v>
      </c>
      <c r="G6566" s="38" t="str">
        <f>IF(ISNUMBER(F6566),E6566*F6566,"")</f>
        <v/>
      </c>
      <c r="H6566" s="42"/>
      <c r="I6566" s="38"/>
      <c r="J6566" s="37">
        <v>0</v>
      </c>
    </row>
    <row r="6567" spans="1:10" ht="25.5" hidden="1" x14ac:dyDescent="0.25">
      <c r="A6567" s="174"/>
      <c r="B6567" s="177"/>
      <c r="C6567" s="43" t="s">
        <v>10754</v>
      </c>
      <c r="D6567" s="43" t="s">
        <v>2800</v>
      </c>
      <c r="E6567" s="44">
        <v>3</v>
      </c>
      <c r="F6567" s="38">
        <v>30.361999999999998</v>
      </c>
      <c r="G6567" s="38">
        <f>IF(ISNUMBER(F6567),E6567*F6567,"")</f>
        <v>91.085999999999999</v>
      </c>
      <c r="H6567" s="46">
        <f>SUM(G6567:G6567)</f>
        <v>91.085999999999999</v>
      </c>
      <c r="I6567" s="47"/>
      <c r="J6567" s="37">
        <v>0</v>
      </c>
    </row>
    <row r="6568" spans="1:10" ht="15.75" hidden="1" thickBot="1" x14ac:dyDescent="0.3">
      <c r="A6568" s="175"/>
      <c r="B6568" s="178"/>
      <c r="C6568" s="49"/>
      <c r="D6568" s="49"/>
      <c r="E6568" s="50"/>
      <c r="F6568" s="51" t="s">
        <v>13</v>
      </c>
      <c r="G6568" s="51" t="str">
        <f>IF(ISNUMBER(F6568),E6568*F6568,"")</f>
        <v/>
      </c>
      <c r="H6568" s="53"/>
      <c r="I6568" s="38"/>
      <c r="J6568" s="37">
        <v>0</v>
      </c>
    </row>
    <row r="6569" spans="1:10" ht="15.75" hidden="1" thickBot="1" x14ac:dyDescent="0.3">
      <c r="A6569" s="173" t="s">
        <v>1549</v>
      </c>
      <c r="B6569" s="176" t="s">
        <v>7331</v>
      </c>
      <c r="C6569" s="31"/>
      <c r="D6569" s="32" t="s">
        <v>461</v>
      </c>
      <c r="E6569" s="33"/>
      <c r="F6569" s="54" t="s">
        <v>13</v>
      </c>
      <c r="G6569" s="34" t="str">
        <f>IF(ISNUMBER(F6569),E6569*F6569,"")</f>
        <v/>
      </c>
      <c r="H6569" s="35"/>
      <c r="I6569" s="36"/>
      <c r="J6569" s="37">
        <v>0</v>
      </c>
    </row>
    <row r="6570" spans="1:10" hidden="1" x14ac:dyDescent="0.25">
      <c r="A6570" s="174"/>
      <c r="B6570" s="177"/>
      <c r="C6570" s="39"/>
      <c r="D6570" s="39"/>
      <c r="E6570" s="40"/>
      <c r="F6570" s="55" t="s">
        <v>13</v>
      </c>
      <c r="G6570" s="38" t="str">
        <f>IF(ISNUMBER(F6570),E6570*F6570,"")</f>
        <v/>
      </c>
      <c r="H6570" s="42"/>
      <c r="I6570" s="38"/>
      <c r="J6570" s="37">
        <v>0</v>
      </c>
    </row>
    <row r="6571" spans="1:10" ht="25.5" hidden="1" x14ac:dyDescent="0.25">
      <c r="A6571" s="174"/>
      <c r="B6571" s="177"/>
      <c r="C6571" s="43" t="s">
        <v>10754</v>
      </c>
      <c r="D6571" s="43" t="s">
        <v>2800</v>
      </c>
      <c r="E6571" s="44">
        <v>5.2</v>
      </c>
      <c r="F6571" s="41">
        <v>30.361999999999998</v>
      </c>
      <c r="G6571" s="38">
        <f>IF(ISNUMBER(F6571),E6571*F6571,"")</f>
        <v>157.88239999999999</v>
      </c>
      <c r="H6571" s="46">
        <f>SUM(G6571:G6572)</f>
        <v>282.66679999999997</v>
      </c>
      <c r="I6571" s="47"/>
      <c r="J6571" s="37">
        <v>0</v>
      </c>
    </row>
    <row r="6572" spans="1:10" ht="25.5" hidden="1" x14ac:dyDescent="0.25">
      <c r="A6572" s="174"/>
      <c r="B6572" s="177"/>
      <c r="C6572" s="43" t="s">
        <v>10753</v>
      </c>
      <c r="D6572" s="43" t="s">
        <v>2800</v>
      </c>
      <c r="E6572" s="44">
        <v>5.2</v>
      </c>
      <c r="F6572" s="38">
        <v>23.997</v>
      </c>
      <c r="G6572" s="38">
        <f>IF(ISNUMBER(F6572),E6572*F6572,"")</f>
        <v>124.78440000000001</v>
      </c>
      <c r="H6572" s="42"/>
      <c r="I6572" s="38"/>
      <c r="J6572" s="37">
        <v>0</v>
      </c>
    </row>
    <row r="6573" spans="1:10" ht="15.75" hidden="1" thickBot="1" x14ac:dyDescent="0.3">
      <c r="A6573" s="175"/>
      <c r="B6573" s="178"/>
      <c r="C6573" s="49"/>
      <c r="D6573" s="49"/>
      <c r="E6573" s="50"/>
      <c r="F6573" s="51" t="s">
        <v>13</v>
      </c>
      <c r="G6573" s="51" t="str">
        <f>IF(ISNUMBER(F6573),E6573*F6573,"")</f>
        <v/>
      </c>
      <c r="H6573" s="53"/>
      <c r="I6573" s="38"/>
      <c r="J6573" s="37">
        <v>0</v>
      </c>
    </row>
    <row r="6574" spans="1:10" ht="15.75" hidden="1" thickBot="1" x14ac:dyDescent="0.3">
      <c r="A6574" s="173" t="s">
        <v>1550</v>
      </c>
      <c r="B6574" s="176" t="s">
        <v>7332</v>
      </c>
      <c r="C6574" s="31"/>
      <c r="D6574" s="32" t="s">
        <v>18</v>
      </c>
      <c r="E6574" s="33"/>
      <c r="F6574" s="54" t="s">
        <v>13</v>
      </c>
      <c r="G6574" s="34" t="str">
        <f>IF(ISNUMBER(F6574),E6574*F6574,"")</f>
        <v/>
      </c>
      <c r="H6574" s="35"/>
      <c r="I6574" s="36"/>
      <c r="J6574" s="37">
        <v>0</v>
      </c>
    </row>
    <row r="6575" spans="1:10" hidden="1" x14ac:dyDescent="0.25">
      <c r="A6575" s="174"/>
      <c r="B6575" s="177"/>
      <c r="C6575" s="39"/>
      <c r="D6575" s="39"/>
      <c r="E6575" s="40"/>
      <c r="F6575" s="55" t="s">
        <v>13</v>
      </c>
      <c r="G6575" s="38" t="str">
        <f>IF(ISNUMBER(F6575),E6575*F6575,"")</f>
        <v/>
      </c>
      <c r="H6575" s="42"/>
      <c r="I6575" s="38"/>
      <c r="J6575" s="37">
        <v>0</v>
      </c>
    </row>
    <row r="6576" spans="1:10" hidden="1" x14ac:dyDescent="0.25">
      <c r="A6576" s="174"/>
      <c r="B6576" s="177"/>
      <c r="C6576" s="43" t="s">
        <v>10614</v>
      </c>
      <c r="D6576" s="43" t="s">
        <v>2800</v>
      </c>
      <c r="E6576" s="44">
        <v>0.9</v>
      </c>
      <c r="F6576" s="38">
        <v>23.693000000000001</v>
      </c>
      <c r="G6576" s="38">
        <f>IF(ISNUMBER(F6576),E6576*F6576,"")</f>
        <v>21.323700000000002</v>
      </c>
      <c r="H6576" s="46">
        <f>SUM(G6576:G6576)</f>
        <v>21.323700000000002</v>
      </c>
      <c r="I6576" s="47"/>
      <c r="J6576" s="37">
        <v>0</v>
      </c>
    </row>
    <row r="6577" spans="1:10" ht="15.75" hidden="1" thickBot="1" x14ac:dyDescent="0.3">
      <c r="A6577" s="175"/>
      <c r="B6577" s="178"/>
      <c r="C6577" s="49"/>
      <c r="D6577" s="49"/>
      <c r="E6577" s="50"/>
      <c r="F6577" s="51" t="s">
        <v>13</v>
      </c>
      <c r="G6577" s="51" t="str">
        <f>IF(ISNUMBER(F6577),E6577*F6577,"")</f>
        <v/>
      </c>
      <c r="H6577" s="53"/>
      <c r="I6577" s="38"/>
      <c r="J6577" s="37">
        <v>0</v>
      </c>
    </row>
    <row r="6578" spans="1:10" ht="15.75" hidden="1" thickBot="1" x14ac:dyDescent="0.3">
      <c r="A6578" s="173" t="s">
        <v>1551</v>
      </c>
      <c r="B6578" s="176" t="s">
        <v>7333</v>
      </c>
      <c r="C6578" s="31"/>
      <c r="D6578" s="32" t="s">
        <v>18</v>
      </c>
      <c r="E6578" s="33"/>
      <c r="F6578" s="54" t="s">
        <v>13</v>
      </c>
      <c r="G6578" s="34" t="str">
        <f>IF(ISNUMBER(F6578),E6578*F6578,"")</f>
        <v/>
      </c>
      <c r="H6578" s="35"/>
      <c r="I6578" s="36"/>
      <c r="J6578" s="37">
        <v>0</v>
      </c>
    </row>
    <row r="6579" spans="1:10" hidden="1" x14ac:dyDescent="0.25">
      <c r="A6579" s="174"/>
      <c r="B6579" s="177"/>
      <c r="C6579" s="39"/>
      <c r="D6579" s="39"/>
      <c r="E6579" s="40"/>
      <c r="F6579" s="55" t="s">
        <v>13</v>
      </c>
      <c r="G6579" s="38" t="str">
        <f>IF(ISNUMBER(F6579),E6579*F6579,"")</f>
        <v/>
      </c>
      <c r="H6579" s="42"/>
      <c r="I6579" s="38"/>
      <c r="J6579" s="37">
        <v>0</v>
      </c>
    </row>
    <row r="6580" spans="1:10" hidden="1" x14ac:dyDescent="0.25">
      <c r="A6580" s="174"/>
      <c r="B6580" s="177"/>
      <c r="C6580" s="43" t="s">
        <v>10614</v>
      </c>
      <c r="D6580" s="43" t="s">
        <v>2800</v>
      </c>
      <c r="E6580" s="44">
        <f>0.9*1.5</f>
        <v>1.35</v>
      </c>
      <c r="F6580" s="38">
        <v>23.693000000000001</v>
      </c>
      <c r="G6580" s="38">
        <f>IF(ISNUMBER(F6580),E6580*F6580,"")</f>
        <v>31.985550000000003</v>
      </c>
      <c r="H6580" s="46">
        <f>SUM(G6580:G6580)</f>
        <v>31.985550000000003</v>
      </c>
      <c r="I6580" s="47"/>
      <c r="J6580" s="37">
        <v>0</v>
      </c>
    </row>
    <row r="6581" spans="1:10" ht="15.75" hidden="1" thickBot="1" x14ac:dyDescent="0.3">
      <c r="A6581" s="175"/>
      <c r="B6581" s="178"/>
      <c r="C6581" s="49"/>
      <c r="D6581" s="49"/>
      <c r="E6581" s="50"/>
      <c r="F6581" s="51" t="s">
        <v>13</v>
      </c>
      <c r="G6581" s="51" t="str">
        <f>IF(ISNUMBER(F6581),E6581*F6581,"")</f>
        <v/>
      </c>
      <c r="H6581" s="53"/>
      <c r="I6581" s="38"/>
      <c r="J6581" s="37">
        <v>0</v>
      </c>
    </row>
    <row r="6582" spans="1:10" ht="15.75" hidden="1" thickBot="1" x14ac:dyDescent="0.3">
      <c r="A6582" s="173" t="s">
        <v>1552</v>
      </c>
      <c r="B6582" s="176" t="s">
        <v>7346</v>
      </c>
      <c r="C6582" s="31"/>
      <c r="D6582" s="32" t="s">
        <v>68</v>
      </c>
      <c r="E6582" s="33"/>
      <c r="F6582" s="54" t="s">
        <v>13</v>
      </c>
      <c r="G6582" s="34" t="str">
        <f>IF(ISNUMBER(F6582),E6582*F6582,"")</f>
        <v/>
      </c>
      <c r="H6582" s="35"/>
      <c r="I6582" s="36"/>
      <c r="J6582" s="37">
        <v>0</v>
      </c>
    </row>
    <row r="6583" spans="1:10" hidden="1" x14ac:dyDescent="0.25">
      <c r="A6583" s="174"/>
      <c r="B6583" s="177"/>
      <c r="C6583" s="39"/>
      <c r="D6583" s="39"/>
      <c r="E6583" s="40"/>
      <c r="F6583" s="55" t="s">
        <v>13</v>
      </c>
      <c r="G6583" s="38" t="str">
        <f>IF(ISNUMBER(F6583),E6583*F6583,"")</f>
        <v/>
      </c>
      <c r="H6583" s="42"/>
      <c r="I6583" s="38"/>
      <c r="J6583" s="37">
        <v>0</v>
      </c>
    </row>
    <row r="6584" spans="1:10" hidden="1" x14ac:dyDescent="0.25">
      <c r="A6584" s="174"/>
      <c r="B6584" s="177"/>
      <c r="C6584" s="43" t="s">
        <v>10757</v>
      </c>
      <c r="D6584" s="43" t="s">
        <v>2800</v>
      </c>
      <c r="E6584" s="44">
        <v>0.09</v>
      </c>
      <c r="F6584" s="41">
        <v>31.055499999999995</v>
      </c>
      <c r="G6584" s="38">
        <f>IF(ISNUMBER(F6584),E6584*F6584,"")</f>
        <v>2.7949949999999992</v>
      </c>
      <c r="H6584" s="46">
        <f>SUM(G6584:G6585)</f>
        <v>24.118695000000002</v>
      </c>
      <c r="I6584" s="47"/>
      <c r="J6584" s="37">
        <v>0</v>
      </c>
    </row>
    <row r="6585" spans="1:10" hidden="1" x14ac:dyDescent="0.25">
      <c r="A6585" s="174"/>
      <c r="B6585" s="177"/>
      <c r="C6585" s="43" t="s">
        <v>10614</v>
      </c>
      <c r="D6585" s="43" t="s">
        <v>2800</v>
      </c>
      <c r="E6585" s="44">
        <v>0.9</v>
      </c>
      <c r="F6585" s="38">
        <v>23.693000000000001</v>
      </c>
      <c r="G6585" s="38">
        <f>IF(ISNUMBER(F6585),E6585*F6585,"")</f>
        <v>21.323700000000002</v>
      </c>
      <c r="H6585" s="42"/>
      <c r="I6585" s="38"/>
      <c r="J6585" s="37">
        <v>0</v>
      </c>
    </row>
    <row r="6586" spans="1:10" ht="15.75" hidden="1" thickBot="1" x14ac:dyDescent="0.3">
      <c r="A6586" s="175"/>
      <c r="B6586" s="178"/>
      <c r="C6586" s="49"/>
      <c r="D6586" s="49"/>
      <c r="E6586" s="50"/>
      <c r="F6586" s="51" t="s">
        <v>13</v>
      </c>
      <c r="G6586" s="51" t="str">
        <f>IF(ISNUMBER(F6586),E6586*F6586,"")</f>
        <v/>
      </c>
      <c r="H6586" s="53"/>
      <c r="I6586" s="38"/>
      <c r="J6586" s="37">
        <v>0</v>
      </c>
    </row>
    <row r="6587" spans="1:10" ht="15.75" hidden="1" thickBot="1" x14ac:dyDescent="0.3">
      <c r="A6587" s="173" t="s">
        <v>1553</v>
      </c>
      <c r="B6587" s="176" t="s">
        <v>7347</v>
      </c>
      <c r="C6587" s="31"/>
      <c r="D6587" s="32" t="s">
        <v>68</v>
      </c>
      <c r="E6587" s="33"/>
      <c r="F6587" s="54" t="s">
        <v>13</v>
      </c>
      <c r="G6587" s="34" t="str">
        <f>IF(ISNUMBER(F6587),E6587*F6587,"")</f>
        <v/>
      </c>
      <c r="H6587" s="35"/>
      <c r="I6587" s="36"/>
      <c r="J6587" s="37">
        <v>0</v>
      </c>
    </row>
    <row r="6588" spans="1:10" hidden="1" x14ac:dyDescent="0.25">
      <c r="A6588" s="174"/>
      <c r="B6588" s="177"/>
      <c r="C6588" s="39"/>
      <c r="D6588" s="39"/>
      <c r="E6588" s="40"/>
      <c r="F6588" s="55" t="s">
        <v>13</v>
      </c>
      <c r="G6588" s="38" t="str">
        <f>IF(ISNUMBER(F6588),E6588*F6588,"")</f>
        <v/>
      </c>
      <c r="H6588" s="42"/>
      <c r="I6588" s="38"/>
      <c r="J6588" s="37">
        <v>0</v>
      </c>
    </row>
    <row r="6589" spans="1:10" hidden="1" x14ac:dyDescent="0.25">
      <c r="A6589" s="174"/>
      <c r="B6589" s="177"/>
      <c r="C6589" s="43" t="s">
        <v>10614</v>
      </c>
      <c r="D6589" s="43" t="s">
        <v>2800</v>
      </c>
      <c r="E6589" s="44">
        <v>0.1153</v>
      </c>
      <c r="F6589" s="41">
        <v>23.693000000000001</v>
      </c>
      <c r="G6589" s="38">
        <f>IF(ISNUMBER(F6589),E6589*F6589,"")</f>
        <v>2.7318029000000004</v>
      </c>
      <c r="H6589" s="46">
        <f>SUM(G6589:G6590)</f>
        <v>3.9697973000000006</v>
      </c>
      <c r="I6589" s="47"/>
      <c r="J6589" s="37">
        <v>0</v>
      </c>
    </row>
    <row r="6590" spans="1:10" hidden="1" x14ac:dyDescent="0.25">
      <c r="A6590" s="174"/>
      <c r="B6590" s="177"/>
      <c r="C6590" s="43" t="s">
        <v>10800</v>
      </c>
      <c r="D6590" s="43" t="s">
        <v>2800</v>
      </c>
      <c r="E6590" s="44">
        <v>4.0800000000000003E-2</v>
      </c>
      <c r="F6590" s="38">
        <v>30.343</v>
      </c>
      <c r="G6590" s="38">
        <f>IF(ISNUMBER(F6590),E6590*F6590,"")</f>
        <v>1.2379944000000001</v>
      </c>
      <c r="H6590" s="42"/>
      <c r="I6590" s="38"/>
      <c r="J6590" s="37">
        <v>0</v>
      </c>
    </row>
    <row r="6591" spans="1:10" ht="15.75" hidden="1" thickBot="1" x14ac:dyDescent="0.3">
      <c r="A6591" s="175"/>
      <c r="B6591" s="178"/>
      <c r="C6591" s="49"/>
      <c r="D6591" s="49"/>
      <c r="E6591" s="50"/>
      <c r="F6591" s="51" t="s">
        <v>13</v>
      </c>
      <c r="G6591" s="51" t="str">
        <f>IF(ISNUMBER(F6591),E6591*F6591,"")</f>
        <v/>
      </c>
      <c r="H6591" s="53"/>
      <c r="I6591" s="38"/>
      <c r="J6591" s="37">
        <v>0</v>
      </c>
    </row>
    <row r="6592" spans="1:10" ht="15.75" hidden="1" thickBot="1" x14ac:dyDescent="0.3">
      <c r="A6592" s="173" t="s">
        <v>1554</v>
      </c>
      <c r="B6592" s="176" t="s">
        <v>7348</v>
      </c>
      <c r="C6592" s="31"/>
      <c r="D6592" s="32" t="s">
        <v>68</v>
      </c>
      <c r="E6592" s="33"/>
      <c r="F6592" s="54" t="s">
        <v>13</v>
      </c>
      <c r="G6592" s="34" t="str">
        <f>IF(ISNUMBER(F6592),E6592*F6592,"")</f>
        <v/>
      </c>
      <c r="H6592" s="35"/>
      <c r="I6592" s="36"/>
      <c r="J6592" s="37">
        <v>0</v>
      </c>
    </row>
    <row r="6593" spans="1:10" hidden="1" x14ac:dyDescent="0.25">
      <c r="A6593" s="179"/>
      <c r="B6593" s="177"/>
      <c r="C6593" s="39"/>
      <c r="D6593" s="39"/>
      <c r="E6593" s="40"/>
      <c r="F6593" s="55" t="s">
        <v>13</v>
      </c>
      <c r="G6593" s="38" t="str">
        <f>IF(ISNUMBER(F6593),E6593*F6593,"")</f>
        <v/>
      </c>
      <c r="H6593" s="42"/>
      <c r="I6593" s="38"/>
      <c r="J6593" s="37">
        <v>0</v>
      </c>
    </row>
    <row r="6594" spans="1:10" ht="25.5" hidden="1" x14ac:dyDescent="0.25">
      <c r="A6594" s="179"/>
      <c r="B6594" s="177"/>
      <c r="C6594" s="43" t="s">
        <v>10829</v>
      </c>
      <c r="D6594" s="43" t="s">
        <v>2800</v>
      </c>
      <c r="E6594" s="44">
        <v>0.5</v>
      </c>
      <c r="F6594" s="41">
        <v>24.4435</v>
      </c>
      <c r="G6594" s="38">
        <f>IF(ISNUMBER(F6594),E6594*F6594,"")</f>
        <v>12.22175</v>
      </c>
      <c r="H6594" s="46">
        <f>SUM(G6594:G6594)</f>
        <v>12.22175</v>
      </c>
      <c r="I6594" s="47"/>
      <c r="J6594" s="37">
        <v>0</v>
      </c>
    </row>
    <row r="6595" spans="1:10" ht="15.75" hidden="1" thickBot="1" x14ac:dyDescent="0.3">
      <c r="A6595" s="180"/>
      <c r="B6595" s="178"/>
      <c r="C6595" s="49"/>
      <c r="D6595" s="49"/>
      <c r="E6595" s="50"/>
      <c r="F6595" s="51" t="s">
        <v>13</v>
      </c>
      <c r="G6595" s="51" t="str">
        <f>IF(ISNUMBER(F6595),E6595*F6595,"")</f>
        <v/>
      </c>
      <c r="H6595" s="53"/>
      <c r="I6595" s="38"/>
      <c r="J6595" s="37">
        <v>0</v>
      </c>
    </row>
    <row r="6596" spans="1:10" ht="15.75" hidden="1" thickBot="1" x14ac:dyDescent="0.3">
      <c r="A6596" s="173" t="s">
        <v>1555</v>
      </c>
      <c r="B6596" s="176" t="s">
        <v>7349</v>
      </c>
      <c r="C6596" s="31"/>
      <c r="D6596" s="32" t="s">
        <v>18</v>
      </c>
      <c r="E6596" s="33"/>
      <c r="F6596" s="54" t="s">
        <v>13</v>
      </c>
      <c r="G6596" s="34" t="str">
        <f>IF(ISNUMBER(F6596),E6596*F6596,"")</f>
        <v/>
      </c>
      <c r="H6596" s="35"/>
      <c r="I6596" s="36"/>
      <c r="J6596" s="37">
        <v>0</v>
      </c>
    </row>
    <row r="6597" spans="1:10" hidden="1" x14ac:dyDescent="0.25">
      <c r="A6597" s="179"/>
      <c r="B6597" s="177"/>
      <c r="C6597" s="39"/>
      <c r="D6597" s="39"/>
      <c r="E6597" s="40"/>
      <c r="F6597" s="55" t="s">
        <v>13</v>
      </c>
      <c r="G6597" s="38" t="str">
        <f>IF(ISNUMBER(F6597),E6597*F6597,"")</f>
        <v/>
      </c>
      <c r="H6597" s="42"/>
      <c r="I6597" s="38"/>
      <c r="J6597" s="37">
        <v>0</v>
      </c>
    </row>
    <row r="6598" spans="1:10" ht="25.5" hidden="1" x14ac:dyDescent="0.25">
      <c r="A6598" s="179"/>
      <c r="B6598" s="177"/>
      <c r="C6598" s="43" t="s">
        <v>11332</v>
      </c>
      <c r="D6598" s="43" t="s">
        <v>83</v>
      </c>
      <c r="E6598" s="44">
        <v>1</v>
      </c>
      <c r="F6598" s="41">
        <v>30.741999999999997</v>
      </c>
      <c r="G6598" s="38">
        <f>IF(ISNUMBER(F6598),E6598*F6598,"")</f>
        <v>30.741999999999997</v>
      </c>
      <c r="H6598" s="46">
        <f>SUM(G6598:G6601)</f>
        <v>59.419060999999999</v>
      </c>
      <c r="I6598" s="47"/>
      <c r="J6598" s="37">
        <v>0</v>
      </c>
    </row>
    <row r="6599" spans="1:10" ht="38.25" hidden="1" x14ac:dyDescent="0.25">
      <c r="A6599" s="179"/>
      <c r="B6599" s="177"/>
      <c r="C6599" s="43" t="s">
        <v>10931</v>
      </c>
      <c r="D6599" s="43" t="s">
        <v>83</v>
      </c>
      <c r="E6599" s="44">
        <v>2</v>
      </c>
      <c r="F6599" s="41">
        <v>0.38949999999999996</v>
      </c>
      <c r="G6599" s="38">
        <f>IF(ISNUMBER(F6599),E6599*F6599,"")</f>
        <v>0.77899999999999991</v>
      </c>
      <c r="H6599" s="42"/>
      <c r="I6599" s="38"/>
      <c r="J6599" s="37">
        <v>0</v>
      </c>
    </row>
    <row r="6600" spans="1:10" hidden="1" x14ac:dyDescent="0.25">
      <c r="A6600" s="179"/>
      <c r="B6600" s="177"/>
      <c r="C6600" s="43" t="s">
        <v>10762</v>
      </c>
      <c r="D6600" s="43" t="s">
        <v>2800</v>
      </c>
      <c r="E6600" s="44">
        <v>0.49480000000000002</v>
      </c>
      <c r="F6600" s="41">
        <v>24.946999999999999</v>
      </c>
      <c r="G6600" s="38">
        <f>IF(ISNUMBER(F6600),E6600*F6600,"")</f>
        <v>12.343775600000001</v>
      </c>
      <c r="H6600" s="42"/>
      <c r="I6600" s="38"/>
      <c r="J6600" s="37">
        <v>0</v>
      </c>
    </row>
    <row r="6601" spans="1:10" hidden="1" x14ac:dyDescent="0.25">
      <c r="A6601" s="179"/>
      <c r="B6601" s="177"/>
      <c r="C6601" s="43" t="s">
        <v>10763</v>
      </c>
      <c r="D6601" s="43" t="s">
        <v>2800</v>
      </c>
      <c r="E6601" s="44">
        <v>0.49480000000000002</v>
      </c>
      <c r="F6601" s="41">
        <v>31.435500000000001</v>
      </c>
      <c r="G6601" s="38">
        <f>IF(ISNUMBER(F6601),E6601*F6601,"")</f>
        <v>15.554285400000001</v>
      </c>
      <c r="H6601" s="42"/>
      <c r="I6601" s="38"/>
      <c r="J6601" s="37">
        <v>0</v>
      </c>
    </row>
    <row r="6602" spans="1:10" ht="15.75" hidden="1" thickBot="1" x14ac:dyDescent="0.3">
      <c r="A6602" s="180"/>
      <c r="B6602" s="178"/>
      <c r="C6602" s="49"/>
      <c r="D6602" s="49"/>
      <c r="E6602" s="50"/>
      <c r="F6602" s="51" t="s">
        <v>13</v>
      </c>
      <c r="G6602" s="51" t="str">
        <f>IF(ISNUMBER(F6602),E6602*F6602,"")</f>
        <v/>
      </c>
      <c r="H6602" s="53"/>
      <c r="I6602" s="38"/>
      <c r="J6602" s="37">
        <v>0</v>
      </c>
    </row>
    <row r="6603" spans="1:10" ht="15.75" hidden="1" thickBot="1" x14ac:dyDescent="0.3">
      <c r="A6603" s="173" t="s">
        <v>1556</v>
      </c>
      <c r="B6603" s="176" t="s">
        <v>7366</v>
      </c>
      <c r="C6603" s="31"/>
      <c r="D6603" s="32" t="s">
        <v>68</v>
      </c>
      <c r="E6603" s="33"/>
      <c r="F6603" s="54" t="s">
        <v>13</v>
      </c>
      <c r="G6603" s="34" t="str">
        <f>IF(ISNUMBER(F6603),E6603*F6603,"")</f>
        <v/>
      </c>
      <c r="H6603" s="35"/>
      <c r="I6603" s="36"/>
      <c r="J6603" s="37">
        <v>0</v>
      </c>
    </row>
    <row r="6604" spans="1:10" hidden="1" x14ac:dyDescent="0.25">
      <c r="A6604" s="174"/>
      <c r="B6604" s="177"/>
      <c r="C6604" s="39"/>
      <c r="D6604" s="39"/>
      <c r="E6604" s="40"/>
      <c r="F6604" s="55" t="s">
        <v>13</v>
      </c>
      <c r="G6604" s="38" t="str">
        <f>IF(ISNUMBER(F6604),E6604*F6604,"")</f>
        <v/>
      </c>
      <c r="H6604" s="42"/>
      <c r="I6604" s="38"/>
      <c r="J6604" s="37">
        <v>0</v>
      </c>
    </row>
    <row r="6605" spans="1:10" hidden="1" x14ac:dyDescent="0.25">
      <c r="A6605" s="174"/>
      <c r="B6605" s="177"/>
      <c r="C6605" s="43" t="s">
        <v>11132</v>
      </c>
      <c r="D6605" s="43" t="s">
        <v>2800</v>
      </c>
      <c r="E6605" s="44">
        <v>0.48149999999999998</v>
      </c>
      <c r="F6605" s="41">
        <v>28.737499999999997</v>
      </c>
      <c r="G6605" s="38">
        <f>IF(ISNUMBER(F6605),E6605*F6605,"")</f>
        <v>13.837106249999998</v>
      </c>
      <c r="H6605" s="46">
        <f>SUM(G6605:G6606)</f>
        <v>18.84343715</v>
      </c>
      <c r="I6605" s="47"/>
      <c r="J6605" s="37">
        <v>0</v>
      </c>
    </row>
    <row r="6606" spans="1:10" hidden="1" x14ac:dyDescent="0.25">
      <c r="A6606" s="174"/>
      <c r="B6606" s="177"/>
      <c r="C6606" s="43" t="s">
        <v>10614</v>
      </c>
      <c r="D6606" s="43" t="s">
        <v>2800</v>
      </c>
      <c r="E6606" s="44">
        <v>0.21129999999999999</v>
      </c>
      <c r="F6606" s="38">
        <v>23.693000000000001</v>
      </c>
      <c r="G6606" s="38">
        <f>IF(ISNUMBER(F6606),E6606*F6606,"")</f>
        <v>5.0063309</v>
      </c>
      <c r="H6606" s="42"/>
      <c r="I6606" s="38"/>
      <c r="J6606" s="37">
        <v>0</v>
      </c>
    </row>
    <row r="6607" spans="1:10" ht="15.75" hidden="1" thickBot="1" x14ac:dyDescent="0.3">
      <c r="A6607" s="175"/>
      <c r="B6607" s="178"/>
      <c r="C6607" s="49"/>
      <c r="D6607" s="49"/>
      <c r="E6607" s="50"/>
      <c r="F6607" s="51" t="s">
        <v>13</v>
      </c>
      <c r="G6607" s="51" t="str">
        <f>IF(ISNUMBER(F6607),E6607*F6607,"")</f>
        <v/>
      </c>
      <c r="H6607" s="53"/>
      <c r="I6607" s="38"/>
      <c r="J6607" s="37">
        <v>0</v>
      </c>
    </row>
    <row r="6608" spans="1:10" ht="15.75" hidden="1" thickBot="1" x14ac:dyDescent="0.3">
      <c r="A6608" s="173" t="s">
        <v>1557</v>
      </c>
      <c r="B6608" s="176" t="s">
        <v>7367</v>
      </c>
      <c r="C6608" s="31"/>
      <c r="D6608" s="32" t="s">
        <v>68</v>
      </c>
      <c r="E6608" s="33"/>
      <c r="F6608" s="54" t="s">
        <v>13</v>
      </c>
      <c r="G6608" s="34" t="str">
        <f>IF(ISNUMBER(F6608),E6608*F6608,"")</f>
        <v/>
      </c>
      <c r="H6608" s="35"/>
      <c r="I6608" s="36"/>
      <c r="J6608" s="37">
        <v>0</v>
      </c>
    </row>
    <row r="6609" spans="1:10" hidden="1" x14ac:dyDescent="0.25">
      <c r="A6609" s="174"/>
      <c r="B6609" s="177"/>
      <c r="C6609" s="39"/>
      <c r="D6609" s="39"/>
      <c r="E6609" s="40"/>
      <c r="F6609" s="55" t="s">
        <v>13</v>
      </c>
      <c r="G6609" s="38" t="str">
        <f>IF(ISNUMBER(F6609),E6609*F6609,"")</f>
        <v/>
      </c>
      <c r="H6609" s="42"/>
      <c r="I6609" s="38"/>
      <c r="J6609" s="37">
        <v>0</v>
      </c>
    </row>
    <row r="6610" spans="1:10" ht="25.5" hidden="1" x14ac:dyDescent="0.25">
      <c r="A6610" s="174"/>
      <c r="B6610" s="177"/>
      <c r="C6610" s="43" t="s">
        <v>10647</v>
      </c>
      <c r="D6610" s="43" t="s">
        <v>2880</v>
      </c>
      <c r="E6610" s="44">
        <v>5.6800000000000003E-2</v>
      </c>
      <c r="F6610" s="41">
        <v>199.71849999999998</v>
      </c>
      <c r="G6610" s="38">
        <f>IF(ISNUMBER(F6610),E6610*F6610,"")</f>
        <v>11.3440108</v>
      </c>
      <c r="H6610" s="46">
        <f>SUM(G6610:G6615)</f>
        <v>23.351278350000001</v>
      </c>
      <c r="I6610" s="47"/>
      <c r="J6610" s="37">
        <v>0</v>
      </c>
    </row>
    <row r="6611" spans="1:10" hidden="1" x14ac:dyDescent="0.25">
      <c r="A6611" s="174"/>
      <c r="B6611" s="177"/>
      <c r="C6611" s="43" t="s">
        <v>11130</v>
      </c>
      <c r="D6611" s="43" t="s">
        <v>2880</v>
      </c>
      <c r="E6611" s="44">
        <v>6.4000000000000003E-3</v>
      </c>
      <c r="F6611" s="38">
        <v>184.04349999999999</v>
      </c>
      <c r="G6611" s="38">
        <f>IF(ISNUMBER(F6611),E6611*F6611,"")</f>
        <v>1.1778784</v>
      </c>
      <c r="H6611" s="42"/>
      <c r="I6611" s="38"/>
      <c r="J6611" s="37">
        <v>0</v>
      </c>
    </row>
    <row r="6612" spans="1:10" hidden="1" x14ac:dyDescent="0.25">
      <c r="A6612" s="174"/>
      <c r="B6612" s="177"/>
      <c r="C6612" s="43" t="s">
        <v>11132</v>
      </c>
      <c r="D6612" s="43" t="s">
        <v>2800</v>
      </c>
      <c r="E6612" s="44">
        <v>0.2041</v>
      </c>
      <c r="F6612" s="38">
        <v>28.737499999999997</v>
      </c>
      <c r="G6612" s="38">
        <f>IF(ISNUMBER(F6612),E6612*F6612,"")</f>
        <v>5.8653237499999999</v>
      </c>
      <c r="H6612" s="42"/>
      <c r="I6612" s="38"/>
      <c r="J6612" s="37">
        <v>0</v>
      </c>
    </row>
    <row r="6613" spans="1:10" hidden="1" x14ac:dyDescent="0.25">
      <c r="A6613" s="174"/>
      <c r="B6613" s="177"/>
      <c r="C6613" s="43" t="s">
        <v>10614</v>
      </c>
      <c r="D6613" s="43" t="s">
        <v>2800</v>
      </c>
      <c r="E6613" s="44">
        <v>0.2041</v>
      </c>
      <c r="F6613" s="38">
        <v>23.693000000000001</v>
      </c>
      <c r="G6613" s="38">
        <f>IF(ISNUMBER(F6613),E6613*F6613,"")</f>
        <v>4.8357413000000005</v>
      </c>
      <c r="H6613" s="42"/>
      <c r="I6613" s="38"/>
      <c r="J6613" s="37">
        <v>0</v>
      </c>
    </row>
    <row r="6614" spans="1:10" ht="38.25" hidden="1" x14ac:dyDescent="0.25">
      <c r="A6614" s="174"/>
      <c r="B6614" s="177"/>
      <c r="C6614" s="43" t="s">
        <v>10793</v>
      </c>
      <c r="D6614" s="43" t="s">
        <v>1050</v>
      </c>
      <c r="E6614" s="44">
        <v>5.4999999999999997E-3</v>
      </c>
      <c r="F6614" s="38">
        <v>10.316999999999998</v>
      </c>
      <c r="G6614" s="38">
        <f>IF(ISNUMBER(F6614),E6614*F6614,"")</f>
        <v>5.6743499999999988E-2</v>
      </c>
      <c r="H6614" s="42"/>
      <c r="I6614" s="38"/>
      <c r="J6614" s="37">
        <v>0</v>
      </c>
    </row>
    <row r="6615" spans="1:10" ht="38.25" hidden="1" x14ac:dyDescent="0.25">
      <c r="A6615" s="174"/>
      <c r="B6615" s="177"/>
      <c r="C6615" s="43" t="s">
        <v>10794</v>
      </c>
      <c r="D6615" s="43" t="s">
        <v>10677</v>
      </c>
      <c r="E6615" s="44">
        <v>9.6600000000000005E-2</v>
      </c>
      <c r="F6615" s="38">
        <v>0.74099999999999999</v>
      </c>
      <c r="G6615" s="38">
        <f>IF(ISNUMBER(F6615),E6615*F6615,"")</f>
        <v>7.1580600000000008E-2</v>
      </c>
      <c r="H6615" s="42"/>
      <c r="I6615" s="38"/>
      <c r="J6615" s="37">
        <v>0</v>
      </c>
    </row>
    <row r="6616" spans="1:10" ht="15.75" hidden="1" thickBot="1" x14ac:dyDescent="0.3">
      <c r="A6616" s="175"/>
      <c r="B6616" s="178"/>
      <c r="C6616" s="49"/>
      <c r="D6616" s="49"/>
      <c r="E6616" s="50"/>
      <c r="F6616" s="51" t="s">
        <v>13</v>
      </c>
      <c r="G6616" s="51" t="str">
        <f>IF(ISNUMBER(F6616),E6616*F6616,"")</f>
        <v/>
      </c>
      <c r="H6616" s="53"/>
      <c r="I6616" s="38"/>
      <c r="J6616" s="37">
        <v>0</v>
      </c>
    </row>
    <row r="6617" spans="1:10" ht="15.75" hidden="1" thickBot="1" x14ac:dyDescent="0.3">
      <c r="A6617" s="173" t="s">
        <v>1558</v>
      </c>
      <c r="B6617" s="176" t="s">
        <v>7368</v>
      </c>
      <c r="C6617" s="31"/>
      <c r="D6617" s="32" t="s">
        <v>18</v>
      </c>
      <c r="E6617" s="33"/>
      <c r="F6617" s="54" t="s">
        <v>13</v>
      </c>
      <c r="G6617" s="34" t="str">
        <f>IF(ISNUMBER(F6617),E6617*F6617,"")</f>
        <v/>
      </c>
      <c r="H6617" s="35"/>
      <c r="I6617" s="36"/>
      <c r="J6617" s="37">
        <v>0</v>
      </c>
    </row>
    <row r="6618" spans="1:10" hidden="1" x14ac:dyDescent="0.25">
      <c r="A6618" s="174"/>
      <c r="B6618" s="177"/>
      <c r="C6618" s="39"/>
      <c r="D6618" s="39"/>
      <c r="E6618" s="40"/>
      <c r="F6618" s="55" t="s">
        <v>13</v>
      </c>
      <c r="G6618" s="38" t="str">
        <f>IF(ISNUMBER(F6618),E6618*F6618,"")</f>
        <v/>
      </c>
      <c r="H6618" s="42"/>
      <c r="I6618" s="38"/>
      <c r="J6618" s="37">
        <v>0</v>
      </c>
    </row>
    <row r="6619" spans="1:10" ht="25.5" hidden="1" x14ac:dyDescent="0.25">
      <c r="A6619" s="174"/>
      <c r="B6619" s="177"/>
      <c r="C6619" s="43" t="s">
        <v>11333</v>
      </c>
      <c r="D6619" s="43" t="s">
        <v>83</v>
      </c>
      <c r="E6619" s="44">
        <v>3</v>
      </c>
      <c r="F6619" s="41">
        <v>1.8049999999999999</v>
      </c>
      <c r="G6619" s="38">
        <f>IF(ISNUMBER(F6619),E6619*F6619,"")</f>
        <v>5.415</v>
      </c>
      <c r="H6619" s="46">
        <f>SUM(G6619:G6622)</f>
        <v>124.61938024999999</v>
      </c>
      <c r="I6619" s="47"/>
      <c r="J6619" s="37">
        <v>0</v>
      </c>
    </row>
    <row r="6620" spans="1:10" ht="25.5" hidden="1" x14ac:dyDescent="0.25">
      <c r="A6620" s="174"/>
      <c r="B6620" s="177"/>
      <c r="C6620" s="43" t="s">
        <v>11334</v>
      </c>
      <c r="D6620" s="43" t="s">
        <v>83</v>
      </c>
      <c r="E6620" s="44">
        <v>1</v>
      </c>
      <c r="F6620" s="41">
        <v>96.33</v>
      </c>
      <c r="G6620" s="38">
        <f>IF(ISNUMBER(F6620),E6620*F6620,"")</f>
        <v>96.33</v>
      </c>
      <c r="H6620" s="58"/>
      <c r="I6620" s="59"/>
      <c r="J6620" s="37">
        <v>0</v>
      </c>
    </row>
    <row r="6621" spans="1:10" hidden="1" x14ac:dyDescent="0.25">
      <c r="A6621" s="174"/>
      <c r="B6621" s="177"/>
      <c r="C6621" s="43" t="s">
        <v>10762</v>
      </c>
      <c r="D6621" s="43" t="s">
        <v>2800</v>
      </c>
      <c r="E6621" s="44">
        <v>0.40570000000000001</v>
      </c>
      <c r="F6621" s="41">
        <v>24.946999999999999</v>
      </c>
      <c r="G6621" s="38">
        <f>IF(ISNUMBER(F6621),E6621*F6621,"")</f>
        <v>10.120997899999999</v>
      </c>
      <c r="H6621" s="58"/>
      <c r="I6621" s="59"/>
      <c r="J6621" s="37">
        <v>0</v>
      </c>
    </row>
    <row r="6622" spans="1:10" hidden="1" x14ac:dyDescent="0.25">
      <c r="A6622" s="174"/>
      <c r="B6622" s="177"/>
      <c r="C6622" s="43" t="s">
        <v>10763</v>
      </c>
      <c r="D6622" s="43" t="s">
        <v>2800</v>
      </c>
      <c r="E6622" s="44">
        <v>0.40570000000000001</v>
      </c>
      <c r="F6622" s="38">
        <v>31.435500000000001</v>
      </c>
      <c r="G6622" s="38">
        <f>IF(ISNUMBER(F6622),E6622*F6622,"")</f>
        <v>12.753382350000001</v>
      </c>
      <c r="H6622" s="42"/>
      <c r="I6622" s="38"/>
      <c r="J6622" s="37">
        <v>0</v>
      </c>
    </row>
    <row r="6623" spans="1:10" ht="15.75" hidden="1" thickBot="1" x14ac:dyDescent="0.3">
      <c r="A6623" s="175"/>
      <c r="B6623" s="178"/>
      <c r="C6623" s="49"/>
      <c r="D6623" s="49"/>
      <c r="E6623" s="50"/>
      <c r="F6623" s="51" t="s">
        <v>13</v>
      </c>
      <c r="G6623" s="51" t="str">
        <f>IF(ISNUMBER(F6623),E6623*F6623,"")</f>
        <v/>
      </c>
      <c r="H6623" s="53"/>
      <c r="I6623" s="38"/>
      <c r="J6623" s="37">
        <v>0</v>
      </c>
    </row>
    <row r="6624" spans="1:10" ht="15.75" hidden="1" thickBot="1" x14ac:dyDescent="0.3">
      <c r="A6624" s="173" t="s">
        <v>1559</v>
      </c>
      <c r="B6624" s="176" t="s">
        <v>7369</v>
      </c>
      <c r="C6624" s="31"/>
      <c r="D6624" s="32" t="s">
        <v>18</v>
      </c>
      <c r="E6624" s="33"/>
      <c r="F6624" s="54" t="s">
        <v>13</v>
      </c>
      <c r="G6624" s="34" t="str">
        <f>IF(ISNUMBER(F6624),E6624*F6624,"")</f>
        <v/>
      </c>
      <c r="H6624" s="35"/>
      <c r="I6624" s="36"/>
      <c r="J6624" s="37">
        <v>0</v>
      </c>
    </row>
    <row r="6625" spans="1:10" hidden="1" x14ac:dyDescent="0.25">
      <c r="A6625" s="174"/>
      <c r="B6625" s="177"/>
      <c r="C6625" s="39"/>
      <c r="D6625" s="39"/>
      <c r="E6625" s="40"/>
      <c r="F6625" s="55" t="s">
        <v>13</v>
      </c>
      <c r="G6625" s="38" t="str">
        <f>IF(ISNUMBER(F6625),E6625*F6625,"")</f>
        <v/>
      </c>
      <c r="H6625" s="42"/>
      <c r="I6625" s="38"/>
      <c r="J6625" s="37">
        <v>0</v>
      </c>
    </row>
    <row r="6626" spans="1:10" ht="25.5" hidden="1" x14ac:dyDescent="0.25">
      <c r="A6626" s="174"/>
      <c r="B6626" s="177"/>
      <c r="C6626" s="43" t="s">
        <v>11335</v>
      </c>
      <c r="D6626" s="43" t="s">
        <v>83</v>
      </c>
      <c r="E6626" s="44">
        <v>4</v>
      </c>
      <c r="F6626" s="41">
        <v>20.633999999999997</v>
      </c>
      <c r="G6626" s="38">
        <f>IF(ISNUMBER(F6626),E6626*F6626,"")</f>
        <v>82.535999999999987</v>
      </c>
      <c r="H6626" s="46">
        <f>SUM(G6626:G6629)</f>
        <v>228.56548677325</v>
      </c>
      <c r="I6626" s="47"/>
      <c r="J6626" s="37">
        <v>0</v>
      </c>
    </row>
    <row r="6627" spans="1:10" hidden="1" x14ac:dyDescent="0.25">
      <c r="A6627" s="174"/>
      <c r="B6627" s="177"/>
      <c r="C6627" s="43" t="s">
        <v>1560</v>
      </c>
      <c r="D6627" s="43" t="s">
        <v>83</v>
      </c>
      <c r="E6627" s="44">
        <v>1</v>
      </c>
      <c r="F6627" s="41" t="s">
        <v>13</v>
      </c>
      <c r="G6627" s="38" t="str">
        <f>IF(ISNUMBER(F6627),E6627*F6627,"")</f>
        <v/>
      </c>
      <c r="H6627" s="58"/>
      <c r="I6627" s="59"/>
      <c r="J6627" s="37">
        <v>0</v>
      </c>
    </row>
    <row r="6628" spans="1:10" hidden="1" x14ac:dyDescent="0.25">
      <c r="A6628" s="174"/>
      <c r="B6628" s="177"/>
      <c r="C6628" s="43" t="s">
        <v>10762</v>
      </c>
      <c r="D6628" s="43" t="s">
        <v>2800</v>
      </c>
      <c r="E6628" s="44">
        <v>0.87754549999999998</v>
      </c>
      <c r="F6628" s="41">
        <v>24.946999999999999</v>
      </c>
      <c r="G6628" s="38">
        <f>IF(ISNUMBER(F6628),E6628*F6628,"")</f>
        <v>21.892127588499999</v>
      </c>
      <c r="H6628" s="58"/>
      <c r="I6628" s="59"/>
      <c r="J6628" s="37">
        <v>0</v>
      </c>
    </row>
    <row r="6629" spans="1:10" hidden="1" x14ac:dyDescent="0.25">
      <c r="A6629" s="174"/>
      <c r="B6629" s="177"/>
      <c r="C6629" s="43" t="s">
        <v>10763</v>
      </c>
      <c r="D6629" s="43" t="s">
        <v>2800</v>
      </c>
      <c r="E6629" s="44">
        <v>3.9489545000000001</v>
      </c>
      <c r="F6629" s="38">
        <v>31.435500000000001</v>
      </c>
      <c r="G6629" s="38">
        <f>IF(ISNUMBER(F6629),E6629*F6629,"")</f>
        <v>124.13735918475001</v>
      </c>
      <c r="H6629" s="42"/>
      <c r="I6629" s="38"/>
      <c r="J6629" s="37">
        <v>0</v>
      </c>
    </row>
    <row r="6630" spans="1:10" ht="15.75" hidden="1" thickBot="1" x14ac:dyDescent="0.3">
      <c r="A6630" s="175"/>
      <c r="B6630" s="178"/>
      <c r="C6630" s="49"/>
      <c r="D6630" s="49"/>
      <c r="E6630" s="50"/>
      <c r="F6630" s="51" t="s">
        <v>13</v>
      </c>
      <c r="G6630" s="51" t="str">
        <f>IF(ISNUMBER(F6630),E6630*F6630,"")</f>
        <v/>
      </c>
      <c r="H6630" s="53"/>
      <c r="I6630" s="38"/>
      <c r="J6630" s="37">
        <v>0</v>
      </c>
    </row>
    <row r="6631" spans="1:10" ht="15.75" hidden="1" thickBot="1" x14ac:dyDescent="0.3">
      <c r="A6631" s="173" t="s">
        <v>1561</v>
      </c>
      <c r="B6631" s="176" t="s">
        <v>1562</v>
      </c>
      <c r="C6631" s="31"/>
      <c r="D6631" s="32" t="s">
        <v>18</v>
      </c>
      <c r="E6631" s="33"/>
      <c r="F6631" s="54" t="s">
        <v>13</v>
      </c>
      <c r="G6631" s="34" t="str">
        <f>IF(ISNUMBER(F6631),E6631*F6631,"")</f>
        <v/>
      </c>
      <c r="H6631" s="35"/>
      <c r="I6631" s="36"/>
      <c r="J6631" s="37">
        <v>0</v>
      </c>
    </row>
    <row r="6632" spans="1:10" hidden="1" x14ac:dyDescent="0.25">
      <c r="A6632" s="174"/>
      <c r="B6632" s="177"/>
      <c r="C6632" s="39"/>
      <c r="D6632" s="39"/>
      <c r="E6632" s="40"/>
      <c r="F6632" s="55" t="s">
        <v>13</v>
      </c>
      <c r="G6632" s="38" t="str">
        <f>IF(ISNUMBER(F6632),E6632*F6632,"")</f>
        <v/>
      </c>
      <c r="H6632" s="42"/>
      <c r="I6632" s="38"/>
      <c r="J6632" s="37">
        <v>0</v>
      </c>
    </row>
    <row r="6633" spans="1:10" hidden="1" x14ac:dyDescent="0.25">
      <c r="A6633" s="174"/>
      <c r="B6633" s="177"/>
      <c r="C6633" s="43" t="s">
        <v>1562</v>
      </c>
      <c r="D6633" s="62" t="s">
        <v>18</v>
      </c>
      <c r="E6633" s="44">
        <v>1</v>
      </c>
      <c r="F6633" s="41" t="s">
        <v>13</v>
      </c>
      <c r="G6633" s="38" t="str">
        <f>IF(ISNUMBER(F6633),E6633*F6633,"")</f>
        <v/>
      </c>
      <c r="H6633" s="46">
        <f>SUM(G6633:G6636)</f>
        <v>53.316323938640004</v>
      </c>
      <c r="I6633" s="47"/>
      <c r="J6633" s="37">
        <v>0</v>
      </c>
    </row>
    <row r="6634" spans="1:10" ht="38.25" hidden="1" x14ac:dyDescent="0.25">
      <c r="A6634" s="174"/>
      <c r="B6634" s="177"/>
      <c r="C6634" s="43" t="s">
        <v>10712</v>
      </c>
      <c r="D6634" s="43" t="s">
        <v>2880</v>
      </c>
      <c r="E6634" s="44">
        <v>1.9199999999999998E-2</v>
      </c>
      <c r="F6634" s="41">
        <v>915.97571295</v>
      </c>
      <c r="G6634" s="38">
        <f>IF(ISNUMBER(F6634),E6634*F6634,"")</f>
        <v>17.586733688639999</v>
      </c>
      <c r="H6634" s="58"/>
      <c r="I6634" s="59"/>
      <c r="J6634" s="37">
        <v>0</v>
      </c>
    </row>
    <row r="6635" spans="1:10" hidden="1" x14ac:dyDescent="0.25">
      <c r="A6635" s="174"/>
      <c r="B6635" s="177"/>
      <c r="C6635" s="43" t="s">
        <v>10762</v>
      </c>
      <c r="D6635" s="43" t="s">
        <v>2800</v>
      </c>
      <c r="E6635" s="44">
        <v>0.63370000000000004</v>
      </c>
      <c r="F6635" s="41">
        <v>24.946999999999999</v>
      </c>
      <c r="G6635" s="38">
        <f>IF(ISNUMBER(F6635),E6635*F6635,"")</f>
        <v>15.8089139</v>
      </c>
      <c r="H6635" s="58"/>
      <c r="I6635" s="59"/>
      <c r="J6635" s="37">
        <v>0</v>
      </c>
    </row>
    <row r="6636" spans="1:10" hidden="1" x14ac:dyDescent="0.25">
      <c r="A6636" s="174"/>
      <c r="B6636" s="177"/>
      <c r="C6636" s="43" t="s">
        <v>10763</v>
      </c>
      <c r="D6636" s="43" t="s">
        <v>2800</v>
      </c>
      <c r="E6636" s="44">
        <v>0.63370000000000004</v>
      </c>
      <c r="F6636" s="38">
        <v>31.435500000000001</v>
      </c>
      <c r="G6636" s="38">
        <f>IF(ISNUMBER(F6636),E6636*F6636,"")</f>
        <v>19.920676350000001</v>
      </c>
      <c r="H6636" s="42"/>
      <c r="I6636" s="38"/>
      <c r="J6636" s="37">
        <v>0</v>
      </c>
    </row>
    <row r="6637" spans="1:10" ht="15.75" hidden="1" thickBot="1" x14ac:dyDescent="0.3">
      <c r="A6637" s="175"/>
      <c r="B6637" s="178"/>
      <c r="C6637" s="49"/>
      <c r="D6637" s="49"/>
      <c r="E6637" s="50"/>
      <c r="F6637" s="51" t="s">
        <v>13</v>
      </c>
      <c r="G6637" s="51" t="str">
        <f>IF(ISNUMBER(F6637),E6637*F6637,"")</f>
        <v/>
      </c>
      <c r="H6637" s="53"/>
      <c r="I6637" s="38"/>
      <c r="J6637" s="37">
        <v>0</v>
      </c>
    </row>
    <row r="6638" spans="1:10" ht="15.75" hidden="1" thickBot="1" x14ac:dyDescent="0.3">
      <c r="A6638" s="173" t="s">
        <v>1563</v>
      </c>
      <c r="B6638" s="176" t="s">
        <v>7376</v>
      </c>
      <c r="C6638" s="31"/>
      <c r="D6638" s="32" t="s">
        <v>18</v>
      </c>
      <c r="E6638" s="33"/>
      <c r="F6638" s="54" t="s">
        <v>13</v>
      </c>
      <c r="G6638" s="34" t="str">
        <f>IF(ISNUMBER(F6638),E6638*F6638,"")</f>
        <v/>
      </c>
      <c r="H6638" s="35"/>
      <c r="I6638" s="36"/>
      <c r="J6638" s="37">
        <v>0</v>
      </c>
    </row>
    <row r="6639" spans="1:10" hidden="1" x14ac:dyDescent="0.25">
      <c r="A6639" s="174"/>
      <c r="B6639" s="177"/>
      <c r="C6639" s="39"/>
      <c r="D6639" s="39"/>
      <c r="E6639" s="40"/>
      <c r="F6639" s="55" t="s">
        <v>13</v>
      </c>
      <c r="G6639" s="38" t="str">
        <f>IF(ISNUMBER(F6639),E6639*F6639,"")</f>
        <v/>
      </c>
      <c r="H6639" s="42"/>
      <c r="I6639" s="38"/>
      <c r="J6639" s="37">
        <v>0</v>
      </c>
    </row>
    <row r="6640" spans="1:10" ht="25.5" hidden="1" x14ac:dyDescent="0.25">
      <c r="A6640" s="174"/>
      <c r="B6640" s="177"/>
      <c r="C6640" s="43" t="s">
        <v>1564</v>
      </c>
      <c r="D6640" s="62" t="s">
        <v>18</v>
      </c>
      <c r="E6640" s="44">
        <v>1</v>
      </c>
      <c r="F6640" s="41" t="s">
        <v>13</v>
      </c>
      <c r="G6640" s="38" t="str">
        <f>IF(ISNUMBER(F6640),E6640*F6640,"")</f>
        <v/>
      </c>
      <c r="H6640" s="46">
        <f>SUM(G6640:G6643)</f>
        <v>243.11673368864001</v>
      </c>
      <c r="I6640" s="47"/>
      <c r="J6640" s="37">
        <v>0</v>
      </c>
    </row>
    <row r="6641" spans="1:10" ht="38.25" hidden="1" x14ac:dyDescent="0.25">
      <c r="A6641" s="174"/>
      <c r="B6641" s="177"/>
      <c r="C6641" s="43" t="s">
        <v>10712</v>
      </c>
      <c r="D6641" s="43" t="s">
        <v>2880</v>
      </c>
      <c r="E6641" s="44">
        <v>1.9199999999999998E-2</v>
      </c>
      <c r="F6641" s="38">
        <v>915.97571295</v>
      </c>
      <c r="G6641" s="38">
        <f>IF(ISNUMBER(F6641),E6641*F6641,"")</f>
        <v>17.586733688639999</v>
      </c>
      <c r="H6641" s="42"/>
      <c r="I6641" s="38"/>
      <c r="J6641" s="37">
        <v>0</v>
      </c>
    </row>
    <row r="6642" spans="1:10" hidden="1" x14ac:dyDescent="0.25">
      <c r="A6642" s="174"/>
      <c r="B6642" s="177"/>
      <c r="C6642" s="43" t="s">
        <v>10762</v>
      </c>
      <c r="D6642" s="43" t="s">
        <v>2800</v>
      </c>
      <c r="E6642" s="44">
        <v>4</v>
      </c>
      <c r="F6642" s="38">
        <v>24.946999999999999</v>
      </c>
      <c r="G6642" s="38">
        <f>IF(ISNUMBER(F6642),E6642*F6642,"")</f>
        <v>99.787999999999997</v>
      </c>
      <c r="H6642" s="42"/>
      <c r="I6642" s="38"/>
      <c r="J6642" s="37">
        <v>0</v>
      </c>
    </row>
    <row r="6643" spans="1:10" hidden="1" x14ac:dyDescent="0.25">
      <c r="A6643" s="174"/>
      <c r="B6643" s="177"/>
      <c r="C6643" s="43" t="s">
        <v>10763</v>
      </c>
      <c r="D6643" s="43" t="s">
        <v>2800</v>
      </c>
      <c r="E6643" s="44">
        <v>4</v>
      </c>
      <c r="F6643" s="38">
        <v>31.435500000000001</v>
      </c>
      <c r="G6643" s="41">
        <f>IF(ISNUMBER(F6643),E6643*F6643,"")</f>
        <v>125.742</v>
      </c>
      <c r="H6643" s="42"/>
      <c r="I6643" s="38"/>
      <c r="J6643" s="37">
        <v>0</v>
      </c>
    </row>
    <row r="6644" spans="1:10" ht="15.75" hidden="1" thickBot="1" x14ac:dyDescent="0.3">
      <c r="A6644" s="175"/>
      <c r="B6644" s="178"/>
      <c r="C6644" s="49"/>
      <c r="D6644" s="49"/>
      <c r="E6644" s="50"/>
      <c r="F6644" s="51" t="s">
        <v>13</v>
      </c>
      <c r="G6644" s="51" t="str">
        <f>IF(ISNUMBER(F6644),E6644*F6644,"")</f>
        <v/>
      </c>
      <c r="H6644" s="53"/>
      <c r="I6644" s="38"/>
      <c r="J6644" s="37">
        <v>0</v>
      </c>
    </row>
    <row r="6645" spans="1:10" ht="15.75" hidden="1" thickBot="1" x14ac:dyDescent="0.3">
      <c r="A6645" s="173" t="s">
        <v>1565</v>
      </c>
      <c r="B6645" s="176" t="s">
        <v>7377</v>
      </c>
      <c r="C6645" s="31"/>
      <c r="D6645" s="32" t="s">
        <v>18</v>
      </c>
      <c r="E6645" s="33"/>
      <c r="F6645" s="54" t="s">
        <v>13</v>
      </c>
      <c r="G6645" s="34" t="str">
        <f>IF(ISNUMBER(F6645),E6645*F6645,"")</f>
        <v/>
      </c>
      <c r="H6645" s="35"/>
      <c r="I6645" s="36"/>
      <c r="J6645" s="37">
        <v>0</v>
      </c>
    </row>
    <row r="6646" spans="1:10" hidden="1" x14ac:dyDescent="0.25">
      <c r="A6646" s="174"/>
      <c r="B6646" s="177"/>
      <c r="C6646" s="39"/>
      <c r="D6646" s="39"/>
      <c r="E6646" s="40"/>
      <c r="F6646" s="55" t="s">
        <v>13</v>
      </c>
      <c r="G6646" s="38" t="str">
        <f>IF(ISNUMBER(F6646),E6646*F6646,"")</f>
        <v/>
      </c>
      <c r="H6646" s="42"/>
      <c r="I6646" s="38"/>
      <c r="J6646" s="37">
        <v>0</v>
      </c>
    </row>
    <row r="6647" spans="1:10" ht="25.5" hidden="1" x14ac:dyDescent="0.25">
      <c r="A6647" s="174"/>
      <c r="B6647" s="177"/>
      <c r="C6647" s="43" t="s">
        <v>1566</v>
      </c>
      <c r="D6647" s="62" t="s">
        <v>18</v>
      </c>
      <c r="E6647" s="44">
        <v>1</v>
      </c>
      <c r="F6647" s="41" t="s">
        <v>13</v>
      </c>
      <c r="G6647" s="38" t="str">
        <f>IF(ISNUMBER(F6647),E6647*F6647,"")</f>
        <v/>
      </c>
      <c r="H6647" s="46">
        <f>SUM(G6647:G6650)</f>
        <v>243.11673368864001</v>
      </c>
      <c r="I6647" s="47"/>
      <c r="J6647" s="37">
        <v>0</v>
      </c>
    </row>
    <row r="6648" spans="1:10" ht="38.25" hidden="1" x14ac:dyDescent="0.25">
      <c r="A6648" s="174"/>
      <c r="B6648" s="177"/>
      <c r="C6648" s="43" t="s">
        <v>10712</v>
      </c>
      <c r="D6648" s="43" t="s">
        <v>2880</v>
      </c>
      <c r="E6648" s="44">
        <v>1.9199999999999998E-2</v>
      </c>
      <c r="F6648" s="38">
        <v>915.97571295</v>
      </c>
      <c r="G6648" s="38">
        <f>IF(ISNUMBER(F6648),E6648*F6648,"")</f>
        <v>17.586733688639999</v>
      </c>
      <c r="H6648" s="42"/>
      <c r="I6648" s="38"/>
      <c r="J6648" s="37">
        <v>0</v>
      </c>
    </row>
    <row r="6649" spans="1:10" hidden="1" x14ac:dyDescent="0.25">
      <c r="A6649" s="174"/>
      <c r="B6649" s="177"/>
      <c r="C6649" s="43" t="s">
        <v>10762</v>
      </c>
      <c r="D6649" s="43" t="s">
        <v>2800</v>
      </c>
      <c r="E6649" s="44">
        <v>4</v>
      </c>
      <c r="F6649" s="38">
        <v>24.946999999999999</v>
      </c>
      <c r="G6649" s="38">
        <f>IF(ISNUMBER(F6649),E6649*F6649,"")</f>
        <v>99.787999999999997</v>
      </c>
      <c r="H6649" s="42"/>
      <c r="I6649" s="38"/>
      <c r="J6649" s="37">
        <v>0</v>
      </c>
    </row>
    <row r="6650" spans="1:10" hidden="1" x14ac:dyDescent="0.25">
      <c r="A6650" s="174"/>
      <c r="B6650" s="177"/>
      <c r="C6650" s="43" t="s">
        <v>10763</v>
      </c>
      <c r="D6650" s="43" t="s">
        <v>2800</v>
      </c>
      <c r="E6650" s="44">
        <v>4</v>
      </c>
      <c r="F6650" s="38">
        <v>31.435500000000001</v>
      </c>
      <c r="G6650" s="41">
        <f>IF(ISNUMBER(F6650),E6650*F6650,"")</f>
        <v>125.742</v>
      </c>
      <c r="H6650" s="42"/>
      <c r="I6650" s="38"/>
      <c r="J6650" s="37">
        <v>0</v>
      </c>
    </row>
    <row r="6651" spans="1:10" ht="15.75" hidden="1" thickBot="1" x14ac:dyDescent="0.3">
      <c r="A6651" s="175"/>
      <c r="B6651" s="178"/>
      <c r="C6651" s="49"/>
      <c r="D6651" s="49"/>
      <c r="E6651" s="50"/>
      <c r="F6651" s="51" t="s">
        <v>13</v>
      </c>
      <c r="G6651" s="51" t="str">
        <f>IF(ISNUMBER(F6651),E6651*F6651,"")</f>
        <v/>
      </c>
      <c r="H6651" s="53"/>
      <c r="I6651" s="38"/>
      <c r="J6651" s="37">
        <v>0</v>
      </c>
    </row>
    <row r="6652" spans="1:10" ht="15.75" hidden="1" thickBot="1" x14ac:dyDescent="0.3">
      <c r="A6652" s="173" t="s">
        <v>1567</v>
      </c>
      <c r="B6652" s="176" t="s">
        <v>7390</v>
      </c>
      <c r="C6652" s="31"/>
      <c r="D6652" s="32" t="s">
        <v>18</v>
      </c>
      <c r="E6652" s="33"/>
      <c r="F6652" s="54" t="s">
        <v>13</v>
      </c>
      <c r="G6652" s="34" t="str">
        <f>IF(ISNUMBER(F6652),E6652*F6652,"")</f>
        <v/>
      </c>
      <c r="H6652" s="35"/>
      <c r="I6652" s="36"/>
      <c r="J6652" s="37">
        <v>0</v>
      </c>
    </row>
    <row r="6653" spans="1:10" hidden="1" x14ac:dyDescent="0.25">
      <c r="A6653" s="174"/>
      <c r="B6653" s="177"/>
      <c r="C6653" s="39"/>
      <c r="D6653" s="39"/>
      <c r="E6653" s="40"/>
      <c r="F6653" s="55" t="s">
        <v>13</v>
      </c>
      <c r="G6653" s="38" t="str">
        <f>IF(ISNUMBER(F6653),E6653*F6653,"")</f>
        <v/>
      </c>
      <c r="H6653" s="42"/>
      <c r="I6653" s="38"/>
      <c r="J6653" s="37">
        <v>0</v>
      </c>
    </row>
    <row r="6654" spans="1:10" ht="25.5" hidden="1" x14ac:dyDescent="0.25">
      <c r="A6654" s="174"/>
      <c r="B6654" s="177"/>
      <c r="C6654" s="43" t="s">
        <v>10897</v>
      </c>
      <c r="D6654" s="43" t="s">
        <v>83</v>
      </c>
      <c r="E6654" s="44">
        <v>1</v>
      </c>
      <c r="F6654" s="38">
        <v>15.266499999999999</v>
      </c>
      <c r="G6654" s="38">
        <f>IF(ISNUMBER(F6654),E6654*F6654,"")</f>
        <v>15.266499999999999</v>
      </c>
      <c r="H6654" s="46">
        <f>SUM(G6654:G6654)</f>
        <v>15.266499999999999</v>
      </c>
      <c r="I6654" s="47"/>
      <c r="J6654" s="37">
        <v>0</v>
      </c>
    </row>
    <row r="6655" spans="1:10" ht="15.75" hidden="1" thickBot="1" x14ac:dyDescent="0.3">
      <c r="A6655" s="175"/>
      <c r="B6655" s="178"/>
      <c r="C6655" s="49"/>
      <c r="D6655" s="49"/>
      <c r="E6655" s="50"/>
      <c r="F6655" s="51" t="s">
        <v>13</v>
      </c>
      <c r="G6655" s="51" t="str">
        <f>IF(ISNUMBER(F6655),E6655*F6655,"")</f>
        <v/>
      </c>
      <c r="H6655" s="53"/>
      <c r="I6655" s="38"/>
      <c r="J6655" s="37">
        <v>0</v>
      </c>
    </row>
    <row r="6656" spans="1:10" ht="15.75" hidden="1" thickBot="1" x14ac:dyDescent="0.3">
      <c r="A6656" s="173" t="s">
        <v>1568</v>
      </c>
      <c r="B6656" s="176" t="s">
        <v>7393</v>
      </c>
      <c r="C6656" s="31"/>
      <c r="D6656" s="32" t="s">
        <v>18</v>
      </c>
      <c r="E6656" s="33"/>
      <c r="F6656" s="54" t="s">
        <v>13</v>
      </c>
      <c r="G6656" s="34" t="str">
        <f>IF(ISNUMBER(F6656),E6656*F6656,"")</f>
        <v/>
      </c>
      <c r="H6656" s="35"/>
      <c r="I6656" s="36"/>
      <c r="J6656" s="37">
        <v>0</v>
      </c>
    </row>
    <row r="6657" spans="1:10" hidden="1" x14ac:dyDescent="0.25">
      <c r="A6657" s="174"/>
      <c r="B6657" s="177"/>
      <c r="C6657" s="39"/>
      <c r="D6657" s="39"/>
      <c r="E6657" s="40"/>
      <c r="F6657" s="55" t="s">
        <v>13</v>
      </c>
      <c r="G6657" s="38" t="str">
        <f>IF(ISNUMBER(F6657),E6657*F6657,"")</f>
        <v/>
      </c>
      <c r="H6657" s="42"/>
      <c r="I6657" s="38"/>
      <c r="J6657" s="37">
        <v>0</v>
      </c>
    </row>
    <row r="6658" spans="1:10" ht="25.5" hidden="1" x14ac:dyDescent="0.25">
      <c r="A6658" s="174"/>
      <c r="B6658" s="177"/>
      <c r="C6658" s="43" t="s">
        <v>11336</v>
      </c>
      <c r="D6658" s="43" t="s">
        <v>83</v>
      </c>
      <c r="E6658" s="44">
        <v>1</v>
      </c>
      <c r="F6658" s="38">
        <v>2.6505000000000001</v>
      </c>
      <c r="G6658" s="38">
        <f>IF(ISNUMBER(F6658),E6658*F6658,"")</f>
        <v>2.6505000000000001</v>
      </c>
      <c r="H6658" s="46">
        <f>SUM(G6658:G6658)</f>
        <v>2.6505000000000001</v>
      </c>
      <c r="I6658" s="47"/>
      <c r="J6658" s="37">
        <v>0</v>
      </c>
    </row>
    <row r="6659" spans="1:10" ht="15.75" hidden="1" thickBot="1" x14ac:dyDescent="0.3">
      <c r="A6659" s="175"/>
      <c r="B6659" s="178"/>
      <c r="C6659" s="49"/>
      <c r="D6659" s="49"/>
      <c r="E6659" s="50"/>
      <c r="F6659" s="51" t="s">
        <v>13</v>
      </c>
      <c r="G6659" s="51" t="str">
        <f>IF(ISNUMBER(F6659),E6659*F6659,"")</f>
        <v/>
      </c>
      <c r="H6659" s="53"/>
      <c r="I6659" s="38"/>
      <c r="J6659" s="37">
        <v>0</v>
      </c>
    </row>
    <row r="6660" spans="1:10" ht="15.75" hidden="1" thickBot="1" x14ac:dyDescent="0.3">
      <c r="A6660" s="173" t="s">
        <v>1569</v>
      </c>
      <c r="B6660" s="176" t="s">
        <v>7394</v>
      </c>
      <c r="C6660" s="31"/>
      <c r="D6660" s="32" t="s">
        <v>72</v>
      </c>
      <c r="E6660" s="33"/>
      <c r="F6660" s="54" t="s">
        <v>13</v>
      </c>
      <c r="G6660" s="34" t="str">
        <f>IF(ISNUMBER(F6660),E6660*F6660,"")</f>
        <v/>
      </c>
      <c r="H6660" s="35"/>
      <c r="I6660" s="36"/>
      <c r="J6660" s="37">
        <v>0</v>
      </c>
    </row>
    <row r="6661" spans="1:10" hidden="1" x14ac:dyDescent="0.25">
      <c r="A6661" s="174"/>
      <c r="B6661" s="177"/>
      <c r="C6661" s="39"/>
      <c r="D6661" s="39"/>
      <c r="E6661" s="40"/>
      <c r="F6661" s="55" t="s">
        <v>13</v>
      </c>
      <c r="G6661" s="38" t="str">
        <f>IF(ISNUMBER(F6661),E6661*F6661,"")</f>
        <v/>
      </c>
      <c r="H6661" s="42"/>
      <c r="I6661" s="38"/>
      <c r="J6661" s="37">
        <v>0</v>
      </c>
    </row>
    <row r="6662" spans="1:10" hidden="1" x14ac:dyDescent="0.25">
      <c r="A6662" s="174"/>
      <c r="B6662" s="177"/>
      <c r="C6662" s="43" t="s">
        <v>10871</v>
      </c>
      <c r="D6662" s="43" t="s">
        <v>1044</v>
      </c>
      <c r="E6662" s="44">
        <v>1</v>
      </c>
      <c r="F6662" s="38">
        <v>3.4009999999999998</v>
      </c>
      <c r="G6662" s="38">
        <f>IF(ISNUMBER(F6662),E6662*F6662,"")</f>
        <v>3.4009999999999998</v>
      </c>
      <c r="H6662" s="46">
        <f>SUM(G6662:G6662)</f>
        <v>3.4009999999999998</v>
      </c>
      <c r="I6662" s="47"/>
      <c r="J6662" s="37">
        <v>0</v>
      </c>
    </row>
    <row r="6663" spans="1:10" ht="15.75" hidden="1" thickBot="1" x14ac:dyDescent="0.3">
      <c r="A6663" s="175"/>
      <c r="B6663" s="178"/>
      <c r="C6663" s="49"/>
      <c r="D6663" s="49"/>
      <c r="E6663" s="50"/>
      <c r="F6663" s="51" t="s">
        <v>13</v>
      </c>
      <c r="G6663" s="51" t="str">
        <f>IF(ISNUMBER(F6663),E6663*F6663,"")</f>
        <v/>
      </c>
      <c r="H6663" s="53"/>
      <c r="I6663" s="38"/>
      <c r="J6663" s="37">
        <v>0</v>
      </c>
    </row>
    <row r="6664" spans="1:10" ht="15.75" hidden="1" thickBot="1" x14ac:dyDescent="0.3">
      <c r="A6664" s="173" t="s">
        <v>1570</v>
      </c>
      <c r="B6664" s="176" t="s">
        <v>7401</v>
      </c>
      <c r="C6664" s="31"/>
      <c r="D6664" s="32" t="s">
        <v>18</v>
      </c>
      <c r="E6664" s="33"/>
      <c r="F6664" s="54" t="s">
        <v>13</v>
      </c>
      <c r="G6664" s="34" t="str">
        <f>IF(ISNUMBER(F6664),E6664*F6664,"")</f>
        <v/>
      </c>
      <c r="H6664" s="35"/>
      <c r="I6664" s="36"/>
      <c r="J6664" s="37">
        <v>0</v>
      </c>
    </row>
    <row r="6665" spans="1:10" hidden="1" x14ac:dyDescent="0.25">
      <c r="A6665" s="174"/>
      <c r="B6665" s="177"/>
      <c r="C6665" s="39"/>
      <c r="D6665" s="39"/>
      <c r="E6665" s="40"/>
      <c r="F6665" s="55" t="s">
        <v>13</v>
      </c>
      <c r="G6665" s="38" t="str">
        <f>IF(ISNUMBER(F6665),E6665*F6665,"")</f>
        <v/>
      </c>
      <c r="H6665" s="42"/>
      <c r="I6665" s="38"/>
      <c r="J6665" s="37">
        <v>0</v>
      </c>
    </row>
    <row r="6666" spans="1:10" hidden="1" x14ac:dyDescent="0.25">
      <c r="A6666" s="174"/>
      <c r="B6666" s="177"/>
      <c r="C6666" s="43" t="s">
        <v>11337</v>
      </c>
      <c r="D6666" s="43" t="s">
        <v>83</v>
      </c>
      <c r="E6666" s="44">
        <v>1</v>
      </c>
      <c r="F6666" s="38">
        <v>42.654999999999994</v>
      </c>
      <c r="G6666" s="38">
        <f>IF(ISNUMBER(F6666),E6666*F6666,"")</f>
        <v>42.654999999999994</v>
      </c>
      <c r="H6666" s="46">
        <f>SUM(G6666:G6666)</f>
        <v>42.654999999999994</v>
      </c>
      <c r="I6666" s="47"/>
      <c r="J6666" s="37">
        <v>0</v>
      </c>
    </row>
    <row r="6667" spans="1:10" ht="15.75" hidden="1" thickBot="1" x14ac:dyDescent="0.3">
      <c r="A6667" s="175"/>
      <c r="B6667" s="178"/>
      <c r="C6667" s="49"/>
      <c r="D6667" s="49"/>
      <c r="E6667" s="50"/>
      <c r="F6667" s="51" t="s">
        <v>13</v>
      </c>
      <c r="G6667" s="51" t="str">
        <f>IF(ISNUMBER(F6667),E6667*F6667,"")</f>
        <v/>
      </c>
      <c r="H6667" s="53"/>
      <c r="I6667" s="38"/>
      <c r="J6667" s="37">
        <v>0</v>
      </c>
    </row>
    <row r="6668" spans="1:10" ht="15.75" hidden="1" thickBot="1" x14ac:dyDescent="0.3">
      <c r="A6668" s="173" t="s">
        <v>1571</v>
      </c>
      <c r="B6668" s="176" t="s">
        <v>7412</v>
      </c>
      <c r="C6668" s="31"/>
      <c r="D6668" s="32" t="s">
        <v>18</v>
      </c>
      <c r="E6668" s="33"/>
      <c r="F6668" s="54" t="s">
        <v>13</v>
      </c>
      <c r="G6668" s="34" t="str">
        <f>IF(ISNUMBER(F6668),E6668*F6668,"")</f>
        <v/>
      </c>
      <c r="H6668" s="35"/>
      <c r="I6668" s="36"/>
      <c r="J6668" s="37">
        <v>0</v>
      </c>
    </row>
    <row r="6669" spans="1:10" hidden="1" x14ac:dyDescent="0.25">
      <c r="A6669" s="174"/>
      <c r="B6669" s="177"/>
      <c r="C6669" s="39"/>
      <c r="D6669" s="39"/>
      <c r="E6669" s="40"/>
      <c r="F6669" s="55" t="s">
        <v>13</v>
      </c>
      <c r="G6669" s="38" t="str">
        <f>IF(ISNUMBER(F6669),E6669*F6669,"")</f>
        <v/>
      </c>
      <c r="H6669" s="42"/>
      <c r="I6669" s="38"/>
      <c r="J6669" s="37">
        <v>0</v>
      </c>
    </row>
    <row r="6670" spans="1:10" ht="25.5" hidden="1" x14ac:dyDescent="0.25">
      <c r="A6670" s="174"/>
      <c r="B6670" s="177"/>
      <c r="C6670" s="43" t="s">
        <v>11338</v>
      </c>
      <c r="D6670" s="43" t="s">
        <v>83</v>
      </c>
      <c r="E6670" s="44">
        <v>1</v>
      </c>
      <c r="F6670" s="38">
        <v>182.56149999999997</v>
      </c>
      <c r="G6670" s="38">
        <f>IF(ISNUMBER(F6670),E6670*F6670,"")</f>
        <v>182.56149999999997</v>
      </c>
      <c r="H6670" s="46">
        <f>SUM(G6670:G6670)</f>
        <v>182.56149999999997</v>
      </c>
      <c r="I6670" s="47"/>
      <c r="J6670" s="37">
        <v>0</v>
      </c>
    </row>
    <row r="6671" spans="1:10" ht="15.75" hidden="1" thickBot="1" x14ac:dyDescent="0.3">
      <c r="A6671" s="175"/>
      <c r="B6671" s="178"/>
      <c r="C6671" s="49"/>
      <c r="D6671" s="49"/>
      <c r="E6671" s="50"/>
      <c r="F6671" s="51" t="s">
        <v>13</v>
      </c>
      <c r="G6671" s="51" t="str">
        <f>IF(ISNUMBER(F6671),E6671*F6671,"")</f>
        <v/>
      </c>
      <c r="H6671" s="53"/>
      <c r="I6671" s="38"/>
      <c r="J6671" s="37">
        <v>0</v>
      </c>
    </row>
    <row r="6672" spans="1:10" ht="15.75" hidden="1" thickBot="1" x14ac:dyDescent="0.3">
      <c r="A6672" s="173" t="s">
        <v>1572</v>
      </c>
      <c r="B6672" s="176" t="s">
        <v>7413</v>
      </c>
      <c r="C6672" s="31"/>
      <c r="D6672" s="32" t="s">
        <v>18</v>
      </c>
      <c r="E6672" s="33"/>
      <c r="F6672" s="54" t="s">
        <v>13</v>
      </c>
      <c r="G6672" s="34" t="str">
        <f>IF(ISNUMBER(F6672),E6672*F6672,"")</f>
        <v/>
      </c>
      <c r="H6672" s="35"/>
      <c r="I6672" s="36"/>
      <c r="J6672" s="37">
        <v>0</v>
      </c>
    </row>
    <row r="6673" spans="1:10" hidden="1" x14ac:dyDescent="0.25">
      <c r="A6673" s="174"/>
      <c r="B6673" s="177"/>
      <c r="C6673" s="39"/>
      <c r="D6673" s="39"/>
      <c r="E6673" s="40"/>
      <c r="F6673" s="55" t="s">
        <v>13</v>
      </c>
      <c r="G6673" s="38" t="str">
        <f>IF(ISNUMBER(F6673),E6673*F6673,"")</f>
        <v/>
      </c>
      <c r="H6673" s="42"/>
      <c r="I6673" s="38"/>
      <c r="J6673" s="37">
        <v>0</v>
      </c>
    </row>
    <row r="6674" spans="1:10" ht="25.5" hidden="1" x14ac:dyDescent="0.25">
      <c r="A6674" s="174"/>
      <c r="B6674" s="177"/>
      <c r="C6674" s="43" t="s">
        <v>11339</v>
      </c>
      <c r="D6674" s="43" t="s">
        <v>83</v>
      </c>
      <c r="E6674" s="44">
        <v>1</v>
      </c>
      <c r="F6674" s="38">
        <v>194.655</v>
      </c>
      <c r="G6674" s="38">
        <f>IF(ISNUMBER(F6674),E6674*F6674,"")</f>
        <v>194.655</v>
      </c>
      <c r="H6674" s="46">
        <f>SUM(G6674:G6674)</f>
        <v>194.655</v>
      </c>
      <c r="I6674" s="47"/>
      <c r="J6674" s="37">
        <v>0</v>
      </c>
    </row>
    <row r="6675" spans="1:10" ht="15.75" hidden="1" thickBot="1" x14ac:dyDescent="0.3">
      <c r="A6675" s="175"/>
      <c r="B6675" s="178"/>
      <c r="C6675" s="49"/>
      <c r="D6675" s="49"/>
      <c r="E6675" s="50"/>
      <c r="F6675" s="51" t="s">
        <v>13</v>
      </c>
      <c r="G6675" s="51" t="str">
        <f>IF(ISNUMBER(F6675),E6675*F6675,"")</f>
        <v/>
      </c>
      <c r="H6675" s="53"/>
      <c r="I6675" s="38"/>
      <c r="J6675" s="37">
        <v>0</v>
      </c>
    </row>
    <row r="6676" spans="1:10" ht="15.75" hidden="1" thickBot="1" x14ac:dyDescent="0.3">
      <c r="A6676" s="173" t="s">
        <v>1573</v>
      </c>
      <c r="B6676" s="176" t="s">
        <v>7420</v>
      </c>
      <c r="C6676" s="31"/>
      <c r="D6676" s="32" t="s">
        <v>18</v>
      </c>
      <c r="E6676" s="33"/>
      <c r="F6676" s="54" t="s">
        <v>13</v>
      </c>
      <c r="G6676" s="34" t="str">
        <f>IF(ISNUMBER(F6676),E6676*F6676,"")</f>
        <v/>
      </c>
      <c r="H6676" s="35"/>
      <c r="I6676" s="36"/>
      <c r="J6676" s="37">
        <v>0</v>
      </c>
    </row>
    <row r="6677" spans="1:10" hidden="1" x14ac:dyDescent="0.25">
      <c r="A6677" s="174"/>
      <c r="B6677" s="177"/>
      <c r="C6677" s="39"/>
      <c r="D6677" s="39"/>
      <c r="E6677" s="40"/>
      <c r="F6677" s="55" t="s">
        <v>13</v>
      </c>
      <c r="G6677" s="38" t="str">
        <f>IF(ISNUMBER(F6677),E6677*F6677,"")</f>
        <v/>
      </c>
      <c r="H6677" s="42"/>
      <c r="I6677" s="38"/>
      <c r="J6677" s="37">
        <v>0</v>
      </c>
    </row>
    <row r="6678" spans="1:10" ht="25.5" hidden="1" x14ac:dyDescent="0.25">
      <c r="A6678" s="174"/>
      <c r="B6678" s="177"/>
      <c r="C6678" s="43" t="s">
        <v>11340</v>
      </c>
      <c r="D6678" s="43" t="s">
        <v>83</v>
      </c>
      <c r="E6678" s="44">
        <v>1</v>
      </c>
      <c r="F6678" s="38">
        <v>3.5529999999999999</v>
      </c>
      <c r="G6678" s="38">
        <f>IF(ISNUMBER(F6678),E6678*F6678,"")</f>
        <v>3.5529999999999999</v>
      </c>
      <c r="H6678" s="46">
        <f>SUM(G6678:G6678)</f>
        <v>3.5529999999999999</v>
      </c>
      <c r="I6678" s="47"/>
      <c r="J6678" s="37">
        <v>0</v>
      </c>
    </row>
    <row r="6679" spans="1:10" ht="15.75" hidden="1" thickBot="1" x14ac:dyDescent="0.3">
      <c r="A6679" s="175"/>
      <c r="B6679" s="178"/>
      <c r="C6679" s="49"/>
      <c r="D6679" s="49"/>
      <c r="E6679" s="50"/>
      <c r="F6679" s="51" t="s">
        <v>13</v>
      </c>
      <c r="G6679" s="51" t="str">
        <f>IF(ISNUMBER(F6679),E6679*F6679,"")</f>
        <v/>
      </c>
      <c r="H6679" s="53"/>
      <c r="I6679" s="38"/>
      <c r="J6679" s="37">
        <v>0</v>
      </c>
    </row>
    <row r="6680" spans="1:10" ht="15.75" hidden="1" thickBot="1" x14ac:dyDescent="0.3">
      <c r="A6680" s="173" t="s">
        <v>1574</v>
      </c>
      <c r="B6680" s="176" t="s">
        <v>7423</v>
      </c>
      <c r="C6680" s="31"/>
      <c r="D6680" s="32" t="s">
        <v>18</v>
      </c>
      <c r="E6680" s="33"/>
      <c r="F6680" s="54" t="s">
        <v>13</v>
      </c>
      <c r="G6680" s="34" t="str">
        <f>IF(ISNUMBER(F6680),E6680*F6680,"")</f>
        <v/>
      </c>
      <c r="H6680" s="35"/>
      <c r="I6680" s="36"/>
      <c r="J6680" s="37">
        <v>0</v>
      </c>
    </row>
    <row r="6681" spans="1:10" hidden="1" x14ac:dyDescent="0.25">
      <c r="A6681" s="174"/>
      <c r="B6681" s="177"/>
      <c r="C6681" s="39"/>
      <c r="D6681" s="39"/>
      <c r="E6681" s="40"/>
      <c r="F6681" s="55" t="s">
        <v>13</v>
      </c>
      <c r="G6681" s="38" t="str">
        <f>IF(ISNUMBER(F6681),E6681*F6681,"")</f>
        <v/>
      </c>
      <c r="H6681" s="42"/>
      <c r="I6681" s="38"/>
      <c r="J6681" s="37">
        <v>0</v>
      </c>
    </row>
    <row r="6682" spans="1:10" ht="25.5" hidden="1" x14ac:dyDescent="0.25">
      <c r="A6682" s="174"/>
      <c r="B6682" s="177"/>
      <c r="C6682" s="43" t="s">
        <v>10926</v>
      </c>
      <c r="D6682" s="43" t="s">
        <v>83</v>
      </c>
      <c r="E6682" s="44">
        <v>1</v>
      </c>
      <c r="F6682" s="38">
        <v>301.76749999999998</v>
      </c>
      <c r="G6682" s="38">
        <f>IF(ISNUMBER(F6682),E6682*F6682,"")</f>
        <v>301.76749999999998</v>
      </c>
      <c r="H6682" s="46">
        <f>SUM(G6682:G6682)</f>
        <v>301.76749999999998</v>
      </c>
      <c r="I6682" s="47"/>
      <c r="J6682" s="37">
        <v>0</v>
      </c>
    </row>
    <row r="6683" spans="1:10" ht="15.75" hidden="1" thickBot="1" x14ac:dyDescent="0.3">
      <c r="A6683" s="175"/>
      <c r="B6683" s="178"/>
      <c r="C6683" s="49"/>
      <c r="D6683" s="49"/>
      <c r="E6683" s="50"/>
      <c r="F6683" s="51" t="s">
        <v>13</v>
      </c>
      <c r="G6683" s="51" t="str">
        <f>IF(ISNUMBER(F6683),E6683*F6683,"")</f>
        <v/>
      </c>
      <c r="H6683" s="53"/>
      <c r="I6683" s="38"/>
      <c r="J6683" s="37">
        <v>0</v>
      </c>
    </row>
    <row r="6684" spans="1:10" ht="15.75" hidden="1" thickBot="1" x14ac:dyDescent="0.3">
      <c r="A6684" s="173" t="s">
        <v>1575</v>
      </c>
      <c r="B6684" s="176" t="s">
        <v>7426</v>
      </c>
      <c r="C6684" s="31"/>
      <c r="D6684" s="32" t="s">
        <v>18</v>
      </c>
      <c r="E6684" s="33"/>
      <c r="F6684" s="54" t="s">
        <v>13</v>
      </c>
      <c r="G6684" s="34" t="str">
        <f>IF(ISNUMBER(F6684),E6684*F6684,"")</f>
        <v/>
      </c>
      <c r="H6684" s="35"/>
      <c r="I6684" s="36"/>
      <c r="J6684" s="37">
        <v>0</v>
      </c>
    </row>
    <row r="6685" spans="1:10" hidden="1" x14ac:dyDescent="0.25">
      <c r="A6685" s="174"/>
      <c r="B6685" s="177"/>
      <c r="C6685" s="39"/>
      <c r="D6685" s="39"/>
      <c r="E6685" s="40"/>
      <c r="F6685" s="55" t="s">
        <v>13</v>
      </c>
      <c r="G6685" s="38" t="str">
        <f>IF(ISNUMBER(F6685),E6685*F6685,"")</f>
        <v/>
      </c>
      <c r="H6685" s="42"/>
      <c r="I6685" s="38"/>
      <c r="J6685" s="37">
        <v>0</v>
      </c>
    </row>
    <row r="6686" spans="1:10" ht="25.5" hidden="1" x14ac:dyDescent="0.25">
      <c r="A6686" s="174"/>
      <c r="B6686" s="177"/>
      <c r="C6686" s="43" t="s">
        <v>11341</v>
      </c>
      <c r="D6686" s="43" t="s">
        <v>83</v>
      </c>
      <c r="E6686" s="44">
        <v>1</v>
      </c>
      <c r="F6686" s="38">
        <v>21.945</v>
      </c>
      <c r="G6686" s="38">
        <f>IF(ISNUMBER(F6686),E6686*F6686,"")</f>
        <v>21.945</v>
      </c>
      <c r="H6686" s="46">
        <f>SUM(G6686:G6686)</f>
        <v>21.945</v>
      </c>
      <c r="I6686" s="47"/>
      <c r="J6686" s="37">
        <v>0</v>
      </c>
    </row>
    <row r="6687" spans="1:10" ht="15.75" hidden="1" thickBot="1" x14ac:dyDescent="0.3">
      <c r="A6687" s="175"/>
      <c r="B6687" s="178"/>
      <c r="C6687" s="49"/>
      <c r="D6687" s="49"/>
      <c r="E6687" s="50"/>
      <c r="F6687" s="51" t="s">
        <v>13</v>
      </c>
      <c r="G6687" s="51" t="str">
        <f>IF(ISNUMBER(F6687),E6687*F6687,"")</f>
        <v/>
      </c>
      <c r="H6687" s="53"/>
      <c r="I6687" s="38"/>
      <c r="J6687" s="37">
        <v>0</v>
      </c>
    </row>
    <row r="6688" spans="1:10" ht="15.75" hidden="1" thickBot="1" x14ac:dyDescent="0.3">
      <c r="A6688" s="173" t="s">
        <v>1576</v>
      </c>
      <c r="B6688" s="176" t="s">
        <v>7431</v>
      </c>
      <c r="C6688" s="31"/>
      <c r="D6688" s="32" t="s">
        <v>18</v>
      </c>
      <c r="E6688" s="33"/>
      <c r="F6688" s="54" t="s">
        <v>13</v>
      </c>
      <c r="G6688" s="34" t="str">
        <f>IF(ISNUMBER(F6688),E6688*F6688,"")</f>
        <v/>
      </c>
      <c r="H6688" s="35"/>
      <c r="I6688" s="36"/>
      <c r="J6688" s="37">
        <v>0</v>
      </c>
    </row>
    <row r="6689" spans="1:10" hidden="1" x14ac:dyDescent="0.25">
      <c r="A6689" s="174"/>
      <c r="B6689" s="177"/>
      <c r="C6689" s="39"/>
      <c r="D6689" s="39"/>
      <c r="E6689" s="40"/>
      <c r="F6689" s="55" t="s">
        <v>13</v>
      </c>
      <c r="G6689" s="38" t="str">
        <f>IF(ISNUMBER(F6689),E6689*F6689,"")</f>
        <v/>
      </c>
      <c r="H6689" s="42"/>
      <c r="I6689" s="38"/>
      <c r="J6689" s="37">
        <v>0</v>
      </c>
    </row>
    <row r="6690" spans="1:10" ht="38.25" hidden="1" x14ac:dyDescent="0.25">
      <c r="A6690" s="174"/>
      <c r="B6690" s="177"/>
      <c r="C6690" s="43" t="s">
        <v>11342</v>
      </c>
      <c r="D6690" s="43" t="s">
        <v>83</v>
      </c>
      <c r="E6690" s="44">
        <v>1</v>
      </c>
      <c r="F6690" s="38">
        <v>40.85</v>
      </c>
      <c r="G6690" s="38">
        <f>IF(ISNUMBER(F6690),E6690*F6690,"")</f>
        <v>40.85</v>
      </c>
      <c r="H6690" s="46">
        <f>SUM(G6690:G6690)</f>
        <v>40.85</v>
      </c>
      <c r="I6690" s="47"/>
      <c r="J6690" s="37">
        <v>0</v>
      </c>
    </row>
    <row r="6691" spans="1:10" ht="15.75" hidden="1" thickBot="1" x14ac:dyDescent="0.3">
      <c r="A6691" s="175"/>
      <c r="B6691" s="178"/>
      <c r="C6691" s="49"/>
      <c r="D6691" s="49"/>
      <c r="E6691" s="50"/>
      <c r="F6691" s="51" t="s">
        <v>13</v>
      </c>
      <c r="G6691" s="51" t="str">
        <f>IF(ISNUMBER(F6691),E6691*F6691,"")</f>
        <v/>
      </c>
      <c r="H6691" s="53"/>
      <c r="I6691" s="38"/>
      <c r="J6691" s="37">
        <v>0</v>
      </c>
    </row>
    <row r="6692" spans="1:10" ht="15.75" hidden="1" thickBot="1" x14ac:dyDescent="0.3">
      <c r="A6692" s="173" t="s">
        <v>1577</v>
      </c>
      <c r="B6692" s="176" t="s">
        <v>7432</v>
      </c>
      <c r="C6692" s="31"/>
      <c r="D6692" s="32" t="s">
        <v>18</v>
      </c>
      <c r="E6692" s="33"/>
      <c r="F6692" s="54" t="s">
        <v>13</v>
      </c>
      <c r="G6692" s="34" t="str">
        <f>IF(ISNUMBER(F6692),E6692*F6692,"")</f>
        <v/>
      </c>
      <c r="H6692" s="35"/>
      <c r="I6692" s="36"/>
      <c r="J6692" s="37">
        <v>0</v>
      </c>
    </row>
    <row r="6693" spans="1:10" hidden="1" x14ac:dyDescent="0.25">
      <c r="A6693" s="174"/>
      <c r="B6693" s="177"/>
      <c r="C6693" s="39"/>
      <c r="D6693" s="39"/>
      <c r="E6693" s="40"/>
      <c r="F6693" s="55" t="s">
        <v>13</v>
      </c>
      <c r="G6693" s="38" t="str">
        <f>IF(ISNUMBER(F6693),E6693*F6693,"")</f>
        <v/>
      </c>
      <c r="H6693" s="42"/>
      <c r="I6693" s="38"/>
      <c r="J6693" s="37">
        <v>0</v>
      </c>
    </row>
    <row r="6694" spans="1:10" ht="38.25" hidden="1" x14ac:dyDescent="0.25">
      <c r="A6694" s="174"/>
      <c r="B6694" s="177"/>
      <c r="C6694" s="43" t="s">
        <v>11343</v>
      </c>
      <c r="D6694" s="43" t="s">
        <v>83</v>
      </c>
      <c r="E6694" s="44">
        <v>1</v>
      </c>
      <c r="F6694" s="38">
        <v>500.85899999999998</v>
      </c>
      <c r="G6694" s="38">
        <f>IF(ISNUMBER(F6694),E6694*F6694,"")</f>
        <v>500.85899999999998</v>
      </c>
      <c r="H6694" s="46">
        <f>SUM(G6694:G6694)</f>
        <v>500.85899999999998</v>
      </c>
      <c r="I6694" s="47"/>
      <c r="J6694" s="37">
        <v>0</v>
      </c>
    </row>
    <row r="6695" spans="1:10" ht="15.75" hidden="1" thickBot="1" x14ac:dyDescent="0.3">
      <c r="A6695" s="175"/>
      <c r="B6695" s="178"/>
      <c r="C6695" s="49"/>
      <c r="D6695" s="49"/>
      <c r="E6695" s="50"/>
      <c r="F6695" s="51" t="s">
        <v>13</v>
      </c>
      <c r="G6695" s="51" t="str">
        <f>IF(ISNUMBER(F6695),E6695*F6695,"")</f>
        <v/>
      </c>
      <c r="H6695" s="53"/>
      <c r="I6695" s="38"/>
      <c r="J6695" s="37">
        <v>0</v>
      </c>
    </row>
    <row r="6696" spans="1:10" ht="15.75" hidden="1" thickBot="1" x14ac:dyDescent="0.3">
      <c r="A6696" s="173" t="s">
        <v>1578</v>
      </c>
      <c r="B6696" s="176" t="s">
        <v>7435</v>
      </c>
      <c r="C6696" s="31"/>
      <c r="D6696" s="32" t="s">
        <v>18</v>
      </c>
      <c r="E6696" s="33"/>
      <c r="F6696" s="54" t="s">
        <v>13</v>
      </c>
      <c r="G6696" s="34" t="str">
        <f>IF(ISNUMBER(F6696),E6696*F6696,"")</f>
        <v/>
      </c>
      <c r="H6696" s="35"/>
      <c r="I6696" s="36"/>
      <c r="J6696" s="37">
        <v>0</v>
      </c>
    </row>
    <row r="6697" spans="1:10" hidden="1" x14ac:dyDescent="0.25">
      <c r="A6697" s="174"/>
      <c r="B6697" s="177"/>
      <c r="C6697" s="39"/>
      <c r="D6697" s="39"/>
      <c r="E6697" s="40"/>
      <c r="F6697" s="55" t="s">
        <v>13</v>
      </c>
      <c r="G6697" s="38" t="str">
        <f>IF(ISNUMBER(F6697),E6697*F6697,"")</f>
        <v/>
      </c>
      <c r="H6697" s="42"/>
      <c r="I6697" s="38"/>
      <c r="J6697" s="37">
        <v>0</v>
      </c>
    </row>
    <row r="6698" spans="1:10" ht="63.75" hidden="1" x14ac:dyDescent="0.25">
      <c r="A6698" s="174"/>
      <c r="B6698" s="177"/>
      <c r="C6698" s="43" t="s">
        <v>11344</v>
      </c>
      <c r="D6698" s="43" t="s">
        <v>83</v>
      </c>
      <c r="E6698" s="44">
        <v>1</v>
      </c>
      <c r="F6698" s="38">
        <v>344.09949999999998</v>
      </c>
      <c r="G6698" s="38">
        <f>IF(ISNUMBER(F6698),E6698*F6698,"")</f>
        <v>344.09949999999998</v>
      </c>
      <c r="H6698" s="46">
        <f>SUM(G6698:G6698)</f>
        <v>344.09949999999998</v>
      </c>
      <c r="I6698" s="47"/>
      <c r="J6698" s="37">
        <v>0</v>
      </c>
    </row>
    <row r="6699" spans="1:10" ht="15.75" hidden="1" thickBot="1" x14ac:dyDescent="0.3">
      <c r="A6699" s="175"/>
      <c r="B6699" s="178"/>
      <c r="C6699" s="49"/>
      <c r="D6699" s="49"/>
      <c r="E6699" s="50"/>
      <c r="F6699" s="51" t="s">
        <v>13</v>
      </c>
      <c r="G6699" s="51" t="str">
        <f>IF(ISNUMBER(F6699),E6699*F6699,"")</f>
        <v/>
      </c>
      <c r="H6699" s="53"/>
      <c r="I6699" s="38"/>
      <c r="J6699" s="37">
        <v>0</v>
      </c>
    </row>
    <row r="6700" spans="1:10" ht="15.75" hidden="1" thickBot="1" x14ac:dyDescent="0.3">
      <c r="A6700" s="173" t="s">
        <v>1579</v>
      </c>
      <c r="B6700" s="176" t="s">
        <v>7438</v>
      </c>
      <c r="C6700" s="31"/>
      <c r="D6700" s="32" t="s">
        <v>18</v>
      </c>
      <c r="E6700" s="33"/>
      <c r="F6700" s="54" t="s">
        <v>13</v>
      </c>
      <c r="G6700" s="34" t="str">
        <f>IF(ISNUMBER(F6700),E6700*F6700,"")</f>
        <v/>
      </c>
      <c r="H6700" s="35"/>
      <c r="I6700" s="36"/>
      <c r="J6700" s="37">
        <v>0</v>
      </c>
    </row>
    <row r="6701" spans="1:10" hidden="1" x14ac:dyDescent="0.25">
      <c r="A6701" s="174"/>
      <c r="B6701" s="177"/>
      <c r="C6701" s="39"/>
      <c r="D6701" s="39"/>
      <c r="E6701" s="40"/>
      <c r="F6701" s="55" t="s">
        <v>13</v>
      </c>
      <c r="G6701" s="38" t="str">
        <f>IF(ISNUMBER(F6701),E6701*F6701,"")</f>
        <v/>
      </c>
      <c r="H6701" s="42"/>
      <c r="I6701" s="38"/>
      <c r="J6701" s="37">
        <v>0</v>
      </c>
    </row>
    <row r="6702" spans="1:10" ht="25.5" hidden="1" x14ac:dyDescent="0.25">
      <c r="A6702" s="174"/>
      <c r="B6702" s="177"/>
      <c r="C6702" s="43" t="s">
        <v>11345</v>
      </c>
      <c r="D6702" s="43" t="s">
        <v>83</v>
      </c>
      <c r="E6702" s="44">
        <v>1</v>
      </c>
      <c r="F6702" s="38">
        <v>71.515999999999991</v>
      </c>
      <c r="G6702" s="38">
        <f>IF(ISNUMBER(F6702),E6702*F6702,"")</f>
        <v>71.515999999999991</v>
      </c>
      <c r="H6702" s="46">
        <f>SUM(G6702:G6702)</f>
        <v>71.515999999999991</v>
      </c>
      <c r="I6702" s="47"/>
      <c r="J6702" s="37">
        <v>0</v>
      </c>
    </row>
    <row r="6703" spans="1:10" ht="15.75" hidden="1" thickBot="1" x14ac:dyDescent="0.3">
      <c r="A6703" s="175"/>
      <c r="B6703" s="178"/>
      <c r="C6703" s="49"/>
      <c r="D6703" s="49"/>
      <c r="E6703" s="50"/>
      <c r="F6703" s="51" t="s">
        <v>13</v>
      </c>
      <c r="G6703" s="51" t="str">
        <f>IF(ISNUMBER(F6703),E6703*F6703,"")</f>
        <v/>
      </c>
      <c r="H6703" s="53"/>
      <c r="I6703" s="38"/>
      <c r="J6703" s="37">
        <v>0</v>
      </c>
    </row>
    <row r="6704" spans="1:10" ht="15.75" hidden="1" thickBot="1" x14ac:dyDescent="0.3">
      <c r="A6704" s="173" t="s">
        <v>1580</v>
      </c>
      <c r="B6704" s="176" t="s">
        <v>7439</v>
      </c>
      <c r="C6704" s="31"/>
      <c r="D6704" s="32" t="s">
        <v>18</v>
      </c>
      <c r="E6704" s="33"/>
      <c r="F6704" s="54" t="s">
        <v>13</v>
      </c>
      <c r="G6704" s="34" t="str">
        <f>IF(ISNUMBER(F6704),E6704*F6704,"")</f>
        <v/>
      </c>
      <c r="H6704" s="35"/>
      <c r="I6704" s="36"/>
      <c r="J6704" s="37">
        <v>0</v>
      </c>
    </row>
    <row r="6705" spans="1:10" hidden="1" x14ac:dyDescent="0.25">
      <c r="A6705" s="174"/>
      <c r="B6705" s="177"/>
      <c r="C6705" s="39"/>
      <c r="D6705" s="39"/>
      <c r="E6705" s="40"/>
      <c r="F6705" s="55" t="s">
        <v>13</v>
      </c>
      <c r="G6705" s="38" t="str">
        <f>IF(ISNUMBER(F6705),E6705*F6705,"")</f>
        <v/>
      </c>
      <c r="H6705" s="42"/>
      <c r="I6705" s="38"/>
      <c r="J6705" s="37">
        <v>0</v>
      </c>
    </row>
    <row r="6706" spans="1:10" ht="25.5" hidden="1" x14ac:dyDescent="0.25">
      <c r="A6706" s="174"/>
      <c r="B6706" s="177"/>
      <c r="C6706" s="43" t="s">
        <v>10911</v>
      </c>
      <c r="D6706" s="43" t="s">
        <v>83</v>
      </c>
      <c r="E6706" s="44">
        <v>1</v>
      </c>
      <c r="F6706" s="38">
        <v>133.36099999999999</v>
      </c>
      <c r="G6706" s="38">
        <f>IF(ISNUMBER(F6706),E6706*F6706,"")</f>
        <v>133.36099999999999</v>
      </c>
      <c r="H6706" s="46">
        <f>SUM(G6706:G6706)</f>
        <v>133.36099999999999</v>
      </c>
      <c r="I6706" s="47"/>
      <c r="J6706" s="37">
        <v>0</v>
      </c>
    </row>
    <row r="6707" spans="1:10" ht="15.75" hidden="1" thickBot="1" x14ac:dyDescent="0.3">
      <c r="A6707" s="175"/>
      <c r="B6707" s="178"/>
      <c r="C6707" s="49"/>
      <c r="D6707" s="49"/>
      <c r="E6707" s="50"/>
      <c r="F6707" s="51" t="s">
        <v>13</v>
      </c>
      <c r="G6707" s="51" t="str">
        <f>IF(ISNUMBER(F6707),E6707*F6707,"")</f>
        <v/>
      </c>
      <c r="H6707" s="53"/>
      <c r="I6707" s="38"/>
      <c r="J6707" s="37">
        <v>0</v>
      </c>
    </row>
    <row r="6708" spans="1:10" ht="15.75" hidden="1" thickBot="1" x14ac:dyDescent="0.3">
      <c r="A6708" s="173" t="s">
        <v>1581</v>
      </c>
      <c r="B6708" s="176" t="s">
        <v>7446</v>
      </c>
      <c r="C6708" s="31"/>
      <c r="D6708" s="32" t="s">
        <v>18</v>
      </c>
      <c r="E6708" s="33"/>
      <c r="F6708" s="54" t="s">
        <v>13</v>
      </c>
      <c r="G6708" s="34" t="str">
        <f>IF(ISNUMBER(F6708),E6708*F6708,"")</f>
        <v/>
      </c>
      <c r="H6708" s="35"/>
      <c r="I6708" s="36"/>
      <c r="J6708" s="37">
        <v>0</v>
      </c>
    </row>
    <row r="6709" spans="1:10" hidden="1" x14ac:dyDescent="0.25">
      <c r="A6709" s="174"/>
      <c r="B6709" s="177"/>
      <c r="C6709" s="39"/>
      <c r="D6709" s="39"/>
      <c r="E6709" s="40"/>
      <c r="F6709" s="55" t="s">
        <v>13</v>
      </c>
      <c r="G6709" s="38" t="str">
        <f>IF(ISNUMBER(F6709),E6709*F6709,"")</f>
        <v/>
      </c>
      <c r="H6709" s="42"/>
      <c r="I6709" s="38"/>
      <c r="J6709" s="37">
        <v>0</v>
      </c>
    </row>
    <row r="6710" spans="1:10" ht="25.5" hidden="1" x14ac:dyDescent="0.25">
      <c r="A6710" s="174"/>
      <c r="B6710" s="177"/>
      <c r="C6710" s="43" t="s">
        <v>11060</v>
      </c>
      <c r="D6710" s="43" t="s">
        <v>83</v>
      </c>
      <c r="E6710" s="44">
        <v>1</v>
      </c>
      <c r="F6710" s="38">
        <v>91.105000000000004</v>
      </c>
      <c r="G6710" s="38">
        <f>IF(ISNUMBER(F6710),E6710*F6710,"")</f>
        <v>91.105000000000004</v>
      </c>
      <c r="H6710" s="46">
        <f>SUM(G6710:G6710)</f>
        <v>91.105000000000004</v>
      </c>
      <c r="I6710" s="47"/>
      <c r="J6710" s="37">
        <v>0</v>
      </c>
    </row>
    <row r="6711" spans="1:10" ht="15.75" hidden="1" thickBot="1" x14ac:dyDescent="0.3">
      <c r="A6711" s="175"/>
      <c r="B6711" s="178"/>
      <c r="C6711" s="49"/>
      <c r="D6711" s="49"/>
      <c r="E6711" s="50"/>
      <c r="F6711" s="51" t="s">
        <v>13</v>
      </c>
      <c r="G6711" s="51" t="str">
        <f>IF(ISNUMBER(F6711),E6711*F6711,"")</f>
        <v/>
      </c>
      <c r="H6711" s="53"/>
      <c r="I6711" s="38"/>
      <c r="J6711" s="37">
        <v>0</v>
      </c>
    </row>
    <row r="6712" spans="1:10" ht="15.75" hidden="1" thickBot="1" x14ac:dyDescent="0.3">
      <c r="A6712" s="173" t="s">
        <v>1582</v>
      </c>
      <c r="B6712" s="176" t="s">
        <v>7461</v>
      </c>
      <c r="C6712" s="31"/>
      <c r="D6712" s="32" t="s">
        <v>18</v>
      </c>
      <c r="E6712" s="33"/>
      <c r="F6712" s="54" t="s">
        <v>13</v>
      </c>
      <c r="G6712" s="34" t="str">
        <f>IF(ISNUMBER(F6712),E6712*F6712,"")</f>
        <v/>
      </c>
      <c r="H6712" s="35"/>
      <c r="I6712" s="36"/>
      <c r="J6712" s="37">
        <v>0</v>
      </c>
    </row>
    <row r="6713" spans="1:10" hidden="1" x14ac:dyDescent="0.25">
      <c r="A6713" s="174"/>
      <c r="B6713" s="177"/>
      <c r="C6713" s="39"/>
      <c r="D6713" s="39"/>
      <c r="E6713" s="40"/>
      <c r="F6713" s="55" t="s">
        <v>13</v>
      </c>
      <c r="G6713" s="38" t="str">
        <f>IF(ISNUMBER(F6713),E6713*F6713,"")</f>
        <v/>
      </c>
      <c r="H6713" s="42"/>
      <c r="I6713" s="38"/>
      <c r="J6713" s="37">
        <v>0</v>
      </c>
    </row>
    <row r="6714" spans="1:10" ht="25.5" hidden="1" x14ac:dyDescent="0.25">
      <c r="A6714" s="174"/>
      <c r="B6714" s="177"/>
      <c r="C6714" s="43" t="s">
        <v>11346</v>
      </c>
      <c r="D6714" s="43" t="s">
        <v>83</v>
      </c>
      <c r="E6714" s="44">
        <v>1</v>
      </c>
      <c r="F6714" s="38">
        <v>128.81049999999999</v>
      </c>
      <c r="G6714" s="38">
        <f>IF(ISNUMBER(F6714),E6714*F6714,"")</f>
        <v>128.81049999999999</v>
      </c>
      <c r="H6714" s="46">
        <f>SUM(G6714:G6714)</f>
        <v>128.81049999999999</v>
      </c>
      <c r="I6714" s="47"/>
      <c r="J6714" s="37">
        <v>0</v>
      </c>
    </row>
    <row r="6715" spans="1:10" ht="15.75" hidden="1" thickBot="1" x14ac:dyDescent="0.3">
      <c r="A6715" s="175"/>
      <c r="B6715" s="178"/>
      <c r="C6715" s="49"/>
      <c r="D6715" s="49"/>
      <c r="E6715" s="50"/>
      <c r="F6715" s="51" t="s">
        <v>13</v>
      </c>
      <c r="G6715" s="51" t="str">
        <f>IF(ISNUMBER(F6715),E6715*F6715,"")</f>
        <v/>
      </c>
      <c r="H6715" s="53"/>
      <c r="I6715" s="38"/>
      <c r="J6715" s="37">
        <v>0</v>
      </c>
    </row>
    <row r="6716" spans="1:10" ht="15.75" hidden="1" thickBot="1" x14ac:dyDescent="0.3">
      <c r="A6716" s="173" t="s">
        <v>1583</v>
      </c>
      <c r="B6716" s="176" t="s">
        <v>7496</v>
      </c>
      <c r="C6716" s="31"/>
      <c r="D6716" s="32" t="s">
        <v>18</v>
      </c>
      <c r="E6716" s="33"/>
      <c r="F6716" s="54" t="s">
        <v>13</v>
      </c>
      <c r="G6716" s="34" t="str">
        <f>IF(ISNUMBER(F6716),E6716*F6716,"")</f>
        <v/>
      </c>
      <c r="H6716" s="35"/>
      <c r="I6716" s="36"/>
      <c r="J6716" s="37">
        <v>0</v>
      </c>
    </row>
    <row r="6717" spans="1:10" hidden="1" x14ac:dyDescent="0.25">
      <c r="A6717" s="174"/>
      <c r="B6717" s="177"/>
      <c r="C6717" s="39"/>
      <c r="D6717" s="39"/>
      <c r="E6717" s="40"/>
      <c r="F6717" s="55" t="s">
        <v>13</v>
      </c>
      <c r="G6717" s="38" t="str">
        <f>IF(ISNUMBER(F6717),E6717*F6717,"")</f>
        <v/>
      </c>
      <c r="H6717" s="42"/>
      <c r="I6717" s="38"/>
      <c r="J6717" s="37">
        <v>0</v>
      </c>
    </row>
    <row r="6718" spans="1:10" ht="25.5" hidden="1" x14ac:dyDescent="0.25">
      <c r="A6718" s="174"/>
      <c r="B6718" s="177"/>
      <c r="C6718" s="43" t="s">
        <v>11347</v>
      </c>
      <c r="D6718" s="43" t="s">
        <v>83</v>
      </c>
      <c r="E6718" s="44">
        <v>1</v>
      </c>
      <c r="F6718" s="38">
        <v>139.6215</v>
      </c>
      <c r="G6718" s="38">
        <f>IF(ISNUMBER(F6718),E6718*F6718,"")</f>
        <v>139.6215</v>
      </c>
      <c r="H6718" s="46">
        <f>SUM(G6718:G6718)</f>
        <v>139.6215</v>
      </c>
      <c r="I6718" s="47"/>
      <c r="J6718" s="37">
        <v>0</v>
      </c>
    </row>
    <row r="6719" spans="1:10" ht="15.75" hidden="1" thickBot="1" x14ac:dyDescent="0.3">
      <c r="A6719" s="175"/>
      <c r="B6719" s="178"/>
      <c r="C6719" s="49"/>
      <c r="D6719" s="49"/>
      <c r="E6719" s="50"/>
      <c r="F6719" s="51" t="s">
        <v>13</v>
      </c>
      <c r="G6719" s="51" t="str">
        <f>IF(ISNUMBER(F6719),E6719*F6719,"")</f>
        <v/>
      </c>
      <c r="H6719" s="53"/>
      <c r="I6719" s="38"/>
      <c r="J6719" s="37">
        <v>0</v>
      </c>
    </row>
    <row r="6720" spans="1:10" ht="15.75" hidden="1" thickBot="1" x14ac:dyDescent="0.3">
      <c r="A6720" s="173" t="s">
        <v>1584</v>
      </c>
      <c r="B6720" s="176" t="s">
        <v>7507</v>
      </c>
      <c r="C6720" s="31"/>
      <c r="D6720" s="32" t="s">
        <v>18</v>
      </c>
      <c r="E6720" s="33"/>
      <c r="F6720" s="54" t="s">
        <v>13</v>
      </c>
      <c r="G6720" s="34" t="str">
        <f>IF(ISNUMBER(F6720),E6720*F6720,"")</f>
        <v/>
      </c>
      <c r="H6720" s="35"/>
      <c r="I6720" s="36"/>
      <c r="J6720" s="37">
        <v>0</v>
      </c>
    </row>
    <row r="6721" spans="1:10" hidden="1" x14ac:dyDescent="0.25">
      <c r="A6721" s="174"/>
      <c r="B6721" s="177"/>
      <c r="C6721" s="39"/>
      <c r="D6721" s="39"/>
      <c r="E6721" s="40"/>
      <c r="F6721" s="55" t="s">
        <v>13</v>
      </c>
      <c r="G6721" s="38" t="str">
        <f>IF(ISNUMBER(F6721),E6721*F6721,"")</f>
        <v/>
      </c>
      <c r="H6721" s="42"/>
      <c r="I6721" s="38"/>
      <c r="J6721" s="37">
        <v>0</v>
      </c>
    </row>
    <row r="6722" spans="1:10" ht="25.5" hidden="1" x14ac:dyDescent="0.25">
      <c r="A6722" s="174"/>
      <c r="B6722" s="177"/>
      <c r="C6722" s="43" t="s">
        <v>11348</v>
      </c>
      <c r="D6722" s="43" t="s">
        <v>83</v>
      </c>
      <c r="E6722" s="44">
        <v>1</v>
      </c>
      <c r="F6722" s="38">
        <v>245.0335</v>
      </c>
      <c r="G6722" s="38">
        <f>IF(ISNUMBER(F6722),E6722*F6722,"")</f>
        <v>245.0335</v>
      </c>
      <c r="H6722" s="46">
        <f>SUM(G6722:G6722)</f>
        <v>245.0335</v>
      </c>
      <c r="I6722" s="47"/>
      <c r="J6722" s="37">
        <v>0</v>
      </c>
    </row>
    <row r="6723" spans="1:10" ht="15.75" hidden="1" thickBot="1" x14ac:dyDescent="0.3">
      <c r="A6723" s="175"/>
      <c r="B6723" s="178"/>
      <c r="C6723" s="49"/>
      <c r="D6723" s="49"/>
      <c r="E6723" s="50"/>
      <c r="F6723" s="51" t="s">
        <v>13</v>
      </c>
      <c r="G6723" s="51" t="str">
        <f>IF(ISNUMBER(F6723),E6723*F6723,"")</f>
        <v/>
      </c>
      <c r="H6723" s="53"/>
      <c r="I6723" s="38"/>
      <c r="J6723" s="37">
        <v>0</v>
      </c>
    </row>
    <row r="6724" spans="1:10" ht="15.75" hidden="1" thickBot="1" x14ac:dyDescent="0.3">
      <c r="A6724" s="173" t="s">
        <v>1585</v>
      </c>
      <c r="B6724" s="176" t="s">
        <v>7540</v>
      </c>
      <c r="C6724" s="31"/>
      <c r="D6724" s="32" t="s">
        <v>18</v>
      </c>
      <c r="E6724" s="33"/>
      <c r="F6724" s="54" t="s">
        <v>13</v>
      </c>
      <c r="G6724" s="34" t="str">
        <f>IF(ISNUMBER(F6724),E6724*F6724,"")</f>
        <v/>
      </c>
      <c r="H6724" s="35"/>
      <c r="I6724" s="36"/>
      <c r="J6724" s="37">
        <v>0</v>
      </c>
    </row>
    <row r="6725" spans="1:10" hidden="1" x14ac:dyDescent="0.25">
      <c r="A6725" s="174"/>
      <c r="B6725" s="177"/>
      <c r="C6725" s="39"/>
      <c r="D6725" s="39"/>
      <c r="E6725" s="40"/>
      <c r="F6725" s="55" t="s">
        <v>13</v>
      </c>
      <c r="G6725" s="38" t="str">
        <f>IF(ISNUMBER(F6725),E6725*F6725,"")</f>
        <v/>
      </c>
      <c r="H6725" s="42"/>
      <c r="I6725" s="38"/>
      <c r="J6725" s="37">
        <v>0</v>
      </c>
    </row>
    <row r="6726" spans="1:10" hidden="1" x14ac:dyDescent="0.25">
      <c r="A6726" s="174"/>
      <c r="B6726" s="177"/>
      <c r="C6726" s="43" t="s">
        <v>11349</v>
      </c>
      <c r="D6726" s="43" t="s">
        <v>83</v>
      </c>
      <c r="E6726" s="44">
        <v>1</v>
      </c>
      <c r="F6726" s="38">
        <v>20.529499999999999</v>
      </c>
      <c r="G6726" s="38">
        <f>IF(ISNUMBER(F6726),E6726*F6726,"")</f>
        <v>20.529499999999999</v>
      </c>
      <c r="H6726" s="46">
        <f>SUM(G6726:G6726)</f>
        <v>20.529499999999999</v>
      </c>
      <c r="I6726" s="47"/>
      <c r="J6726" s="37">
        <v>0</v>
      </c>
    </row>
    <row r="6727" spans="1:10" ht="15.75" hidden="1" thickBot="1" x14ac:dyDescent="0.3">
      <c r="A6727" s="175"/>
      <c r="B6727" s="178"/>
      <c r="C6727" s="49"/>
      <c r="D6727" s="49"/>
      <c r="E6727" s="50"/>
      <c r="F6727" s="51" t="s">
        <v>13</v>
      </c>
      <c r="G6727" s="51" t="str">
        <f>IF(ISNUMBER(F6727),E6727*F6727,"")</f>
        <v/>
      </c>
      <c r="H6727" s="53"/>
      <c r="I6727" s="38"/>
      <c r="J6727" s="37">
        <v>0</v>
      </c>
    </row>
    <row r="6728" spans="1:10" ht="15.75" hidden="1" thickBot="1" x14ac:dyDescent="0.3">
      <c r="A6728" s="173" t="s">
        <v>1586</v>
      </c>
      <c r="B6728" s="176" t="s">
        <v>7551</v>
      </c>
      <c r="C6728" s="31"/>
      <c r="D6728" s="32" t="s">
        <v>18</v>
      </c>
      <c r="E6728" s="33"/>
      <c r="F6728" s="54" t="s">
        <v>13</v>
      </c>
      <c r="G6728" s="34" t="str">
        <f>IF(ISNUMBER(F6728),E6728*F6728,"")</f>
        <v/>
      </c>
      <c r="H6728" s="35"/>
      <c r="I6728" s="36"/>
      <c r="J6728" s="37">
        <v>0</v>
      </c>
    </row>
    <row r="6729" spans="1:10" hidden="1" x14ac:dyDescent="0.25">
      <c r="A6729" s="174"/>
      <c r="B6729" s="177"/>
      <c r="C6729" s="39"/>
      <c r="D6729" s="39"/>
      <c r="E6729" s="40"/>
      <c r="F6729" s="55" t="s">
        <v>13</v>
      </c>
      <c r="G6729" s="38" t="str">
        <f>IF(ISNUMBER(F6729),E6729*F6729,"")</f>
        <v/>
      </c>
      <c r="H6729" s="42"/>
      <c r="I6729" s="38"/>
      <c r="J6729" s="37">
        <v>0</v>
      </c>
    </row>
    <row r="6730" spans="1:10" hidden="1" x14ac:dyDescent="0.25">
      <c r="A6730" s="174"/>
      <c r="B6730" s="177"/>
      <c r="C6730" s="43" t="s">
        <v>11093</v>
      </c>
      <c r="D6730" s="43" t="s">
        <v>83</v>
      </c>
      <c r="E6730" s="44">
        <v>1</v>
      </c>
      <c r="F6730" s="38">
        <v>46.987000000000002</v>
      </c>
      <c r="G6730" s="38">
        <f>IF(ISNUMBER(F6730),E6730*F6730,"")</f>
        <v>46.987000000000002</v>
      </c>
      <c r="H6730" s="46">
        <f>SUM(G6730:G6730)</f>
        <v>46.987000000000002</v>
      </c>
      <c r="I6730" s="47"/>
      <c r="J6730" s="37">
        <v>0</v>
      </c>
    </row>
    <row r="6731" spans="1:10" ht="15.75" hidden="1" thickBot="1" x14ac:dyDescent="0.3">
      <c r="A6731" s="175"/>
      <c r="B6731" s="178"/>
      <c r="C6731" s="49"/>
      <c r="D6731" s="49"/>
      <c r="E6731" s="50"/>
      <c r="F6731" s="51" t="s">
        <v>13</v>
      </c>
      <c r="G6731" s="51" t="str">
        <f>IF(ISNUMBER(F6731),E6731*F6731,"")</f>
        <v/>
      </c>
      <c r="H6731" s="53"/>
      <c r="I6731" s="38"/>
      <c r="J6731" s="37">
        <v>0</v>
      </c>
    </row>
    <row r="6732" spans="1:10" ht="15.75" hidden="1" thickBot="1" x14ac:dyDescent="0.3">
      <c r="A6732" s="173" t="s">
        <v>1587</v>
      </c>
      <c r="B6732" s="176" t="s">
        <v>7552</v>
      </c>
      <c r="C6732" s="31"/>
      <c r="D6732" s="32" t="s">
        <v>18</v>
      </c>
      <c r="E6732" s="33"/>
      <c r="F6732" s="54" t="s">
        <v>13</v>
      </c>
      <c r="G6732" s="34" t="str">
        <f>IF(ISNUMBER(F6732),E6732*F6732,"")</f>
        <v/>
      </c>
      <c r="H6732" s="35"/>
      <c r="I6732" s="36"/>
      <c r="J6732" s="37">
        <v>0</v>
      </c>
    </row>
    <row r="6733" spans="1:10" hidden="1" x14ac:dyDescent="0.25">
      <c r="A6733" s="174"/>
      <c r="B6733" s="177"/>
      <c r="C6733" s="39"/>
      <c r="D6733" s="39"/>
      <c r="E6733" s="40"/>
      <c r="F6733" s="55" t="s">
        <v>13</v>
      </c>
      <c r="G6733" s="38" t="str">
        <f>IF(ISNUMBER(F6733),E6733*F6733,"")</f>
        <v/>
      </c>
      <c r="H6733" s="42"/>
      <c r="I6733" s="38"/>
      <c r="J6733" s="37">
        <v>0</v>
      </c>
    </row>
    <row r="6734" spans="1:10" hidden="1" x14ac:dyDescent="0.25">
      <c r="A6734" s="174"/>
      <c r="B6734" s="177"/>
      <c r="C6734" s="43" t="s">
        <v>10960</v>
      </c>
      <c r="D6734" s="43" t="s">
        <v>83</v>
      </c>
      <c r="E6734" s="44">
        <v>1</v>
      </c>
      <c r="F6734" s="38">
        <v>54.225999999999999</v>
      </c>
      <c r="G6734" s="38">
        <f>IF(ISNUMBER(F6734),E6734*F6734,"")</f>
        <v>54.225999999999999</v>
      </c>
      <c r="H6734" s="46">
        <f>SUM(G6734:G6734)</f>
        <v>54.225999999999999</v>
      </c>
      <c r="I6734" s="47"/>
      <c r="J6734" s="37">
        <v>0</v>
      </c>
    </row>
    <row r="6735" spans="1:10" ht="15.75" hidden="1" thickBot="1" x14ac:dyDescent="0.3">
      <c r="A6735" s="175"/>
      <c r="B6735" s="178"/>
      <c r="C6735" s="49"/>
      <c r="D6735" s="49"/>
      <c r="E6735" s="50"/>
      <c r="F6735" s="51" t="s">
        <v>13</v>
      </c>
      <c r="G6735" s="51" t="str">
        <f>IF(ISNUMBER(F6735),E6735*F6735,"")</f>
        <v/>
      </c>
      <c r="H6735" s="53"/>
      <c r="I6735" s="38"/>
      <c r="J6735" s="37">
        <v>0</v>
      </c>
    </row>
    <row r="6736" spans="1:10" ht="15.75" hidden="1" thickBot="1" x14ac:dyDescent="0.3">
      <c r="A6736" s="173" t="s">
        <v>1588</v>
      </c>
      <c r="B6736" s="176" t="s">
        <v>7553</v>
      </c>
      <c r="C6736" s="31"/>
      <c r="D6736" s="32" t="s">
        <v>18</v>
      </c>
      <c r="E6736" s="33"/>
      <c r="F6736" s="54" t="s">
        <v>13</v>
      </c>
      <c r="G6736" s="34" t="str">
        <f>IF(ISNUMBER(F6736),E6736*F6736,"")</f>
        <v/>
      </c>
      <c r="H6736" s="35"/>
      <c r="I6736" s="36"/>
      <c r="J6736" s="37">
        <v>0</v>
      </c>
    </row>
    <row r="6737" spans="1:10" hidden="1" x14ac:dyDescent="0.25">
      <c r="A6737" s="174"/>
      <c r="B6737" s="177"/>
      <c r="C6737" s="39"/>
      <c r="D6737" s="39"/>
      <c r="E6737" s="40"/>
      <c r="F6737" s="55" t="s">
        <v>13</v>
      </c>
      <c r="G6737" s="38" t="str">
        <f>IF(ISNUMBER(F6737),E6737*F6737,"")</f>
        <v/>
      </c>
      <c r="H6737" s="42"/>
      <c r="I6737" s="38"/>
      <c r="J6737" s="37">
        <v>0</v>
      </c>
    </row>
    <row r="6738" spans="1:10" hidden="1" x14ac:dyDescent="0.25">
      <c r="A6738" s="174"/>
      <c r="B6738" s="177"/>
      <c r="C6738" s="43" t="s">
        <v>10957</v>
      </c>
      <c r="D6738" s="43" t="s">
        <v>83</v>
      </c>
      <c r="E6738" s="44">
        <v>1</v>
      </c>
      <c r="F6738" s="38">
        <v>131.499</v>
      </c>
      <c r="G6738" s="38">
        <f>IF(ISNUMBER(F6738),E6738*F6738,"")</f>
        <v>131.499</v>
      </c>
      <c r="H6738" s="46">
        <f>SUM(G6738:G6738)</f>
        <v>131.499</v>
      </c>
      <c r="I6738" s="47"/>
      <c r="J6738" s="37">
        <v>0</v>
      </c>
    </row>
    <row r="6739" spans="1:10" ht="15.75" hidden="1" thickBot="1" x14ac:dyDescent="0.3">
      <c r="A6739" s="175"/>
      <c r="B6739" s="178"/>
      <c r="C6739" s="49"/>
      <c r="D6739" s="49"/>
      <c r="E6739" s="50"/>
      <c r="F6739" s="51" t="s">
        <v>13</v>
      </c>
      <c r="G6739" s="51" t="str">
        <f>IF(ISNUMBER(F6739),E6739*F6739,"")</f>
        <v/>
      </c>
      <c r="H6739" s="53"/>
      <c r="I6739" s="38"/>
      <c r="J6739" s="37">
        <v>0</v>
      </c>
    </row>
    <row r="6740" spans="1:10" ht="15.75" hidden="1" thickBot="1" x14ac:dyDescent="0.3">
      <c r="A6740" s="173" t="s">
        <v>1589</v>
      </c>
      <c r="B6740" s="176" t="s">
        <v>7554</v>
      </c>
      <c r="C6740" s="31"/>
      <c r="D6740" s="32" t="s">
        <v>18</v>
      </c>
      <c r="E6740" s="33"/>
      <c r="F6740" s="54" t="s">
        <v>13</v>
      </c>
      <c r="G6740" s="34" t="str">
        <f>IF(ISNUMBER(F6740),E6740*F6740,"")</f>
        <v/>
      </c>
      <c r="H6740" s="35"/>
      <c r="I6740" s="36"/>
      <c r="J6740" s="37">
        <v>0</v>
      </c>
    </row>
    <row r="6741" spans="1:10" hidden="1" x14ac:dyDescent="0.25">
      <c r="A6741" s="174"/>
      <c r="B6741" s="177"/>
      <c r="C6741" s="39"/>
      <c r="D6741" s="39"/>
      <c r="E6741" s="40"/>
      <c r="F6741" s="55" t="s">
        <v>13</v>
      </c>
      <c r="G6741" s="38" t="str">
        <f>IF(ISNUMBER(F6741),E6741*F6741,"")</f>
        <v/>
      </c>
      <c r="H6741" s="42"/>
      <c r="I6741" s="38"/>
      <c r="J6741" s="37">
        <v>0</v>
      </c>
    </row>
    <row r="6742" spans="1:10" hidden="1" x14ac:dyDescent="0.25">
      <c r="A6742" s="174"/>
      <c r="B6742" s="177"/>
      <c r="C6742" s="43" t="s">
        <v>11350</v>
      </c>
      <c r="D6742" s="43" t="s">
        <v>83</v>
      </c>
      <c r="E6742" s="44">
        <v>1</v>
      </c>
      <c r="F6742" s="38">
        <v>202.768</v>
      </c>
      <c r="G6742" s="38">
        <f>IF(ISNUMBER(F6742),E6742*F6742,"")</f>
        <v>202.768</v>
      </c>
      <c r="H6742" s="46">
        <f>SUM(G6742:G6742)</f>
        <v>202.768</v>
      </c>
      <c r="I6742" s="47"/>
      <c r="J6742" s="37">
        <v>0</v>
      </c>
    </row>
    <row r="6743" spans="1:10" ht="15.75" hidden="1" thickBot="1" x14ac:dyDescent="0.3">
      <c r="A6743" s="175"/>
      <c r="B6743" s="178"/>
      <c r="C6743" s="49"/>
      <c r="D6743" s="49"/>
      <c r="E6743" s="50"/>
      <c r="F6743" s="51" t="s">
        <v>13</v>
      </c>
      <c r="G6743" s="51" t="str">
        <f>IF(ISNUMBER(F6743),E6743*F6743,"")</f>
        <v/>
      </c>
      <c r="H6743" s="53"/>
      <c r="I6743" s="38"/>
      <c r="J6743" s="37">
        <v>0</v>
      </c>
    </row>
    <row r="6744" spans="1:10" ht="15.75" hidden="1" thickBot="1" x14ac:dyDescent="0.3">
      <c r="A6744" s="173" t="s">
        <v>1590</v>
      </c>
      <c r="B6744" s="176" t="s">
        <v>7555</v>
      </c>
      <c r="C6744" s="31"/>
      <c r="D6744" s="32" t="s">
        <v>18</v>
      </c>
      <c r="E6744" s="33"/>
      <c r="F6744" s="54" t="s">
        <v>13</v>
      </c>
      <c r="G6744" s="34" t="str">
        <f>IF(ISNUMBER(F6744),E6744*F6744,"")</f>
        <v/>
      </c>
      <c r="H6744" s="35"/>
      <c r="I6744" s="36"/>
      <c r="J6744" s="37">
        <v>0</v>
      </c>
    </row>
    <row r="6745" spans="1:10" hidden="1" x14ac:dyDescent="0.25">
      <c r="A6745" s="174"/>
      <c r="B6745" s="177"/>
      <c r="C6745" s="39"/>
      <c r="D6745" s="39"/>
      <c r="E6745" s="40"/>
      <c r="F6745" s="55" t="s">
        <v>13</v>
      </c>
      <c r="G6745" s="38" t="str">
        <f>IF(ISNUMBER(F6745),E6745*F6745,"")</f>
        <v/>
      </c>
      <c r="H6745" s="42"/>
      <c r="I6745" s="38"/>
      <c r="J6745" s="37">
        <v>0</v>
      </c>
    </row>
    <row r="6746" spans="1:10" hidden="1" x14ac:dyDescent="0.25">
      <c r="A6746" s="174"/>
      <c r="B6746" s="177"/>
      <c r="C6746" s="43" t="s">
        <v>11093</v>
      </c>
      <c r="D6746" s="43" t="s">
        <v>83</v>
      </c>
      <c r="E6746" s="44">
        <v>1</v>
      </c>
      <c r="F6746" s="38">
        <v>46.987000000000002</v>
      </c>
      <c r="G6746" s="38">
        <f>IF(ISNUMBER(F6746),E6746*F6746,"")</f>
        <v>46.987000000000002</v>
      </c>
      <c r="H6746" s="46">
        <f>SUM(G6746:G6746)</f>
        <v>46.987000000000002</v>
      </c>
      <c r="I6746" s="47"/>
      <c r="J6746" s="37">
        <v>0</v>
      </c>
    </row>
    <row r="6747" spans="1:10" ht="15.75" hidden="1" thickBot="1" x14ac:dyDescent="0.3">
      <c r="A6747" s="175"/>
      <c r="B6747" s="178"/>
      <c r="C6747" s="49"/>
      <c r="D6747" s="49"/>
      <c r="E6747" s="50"/>
      <c r="F6747" s="51" t="s">
        <v>13</v>
      </c>
      <c r="G6747" s="51" t="str">
        <f>IF(ISNUMBER(F6747),E6747*F6747,"")</f>
        <v/>
      </c>
      <c r="H6747" s="53"/>
      <c r="I6747" s="38"/>
      <c r="J6747" s="37">
        <v>0</v>
      </c>
    </row>
    <row r="6748" spans="1:10" ht="15.75" hidden="1" thickBot="1" x14ac:dyDescent="0.3">
      <c r="A6748" s="173" t="s">
        <v>1591</v>
      </c>
      <c r="B6748" s="176" t="s">
        <v>7556</v>
      </c>
      <c r="C6748" s="31"/>
      <c r="D6748" s="32" t="s">
        <v>18</v>
      </c>
      <c r="E6748" s="33"/>
      <c r="F6748" s="54" t="s">
        <v>13</v>
      </c>
      <c r="G6748" s="34" t="str">
        <f>IF(ISNUMBER(F6748),E6748*F6748,"")</f>
        <v/>
      </c>
      <c r="H6748" s="35"/>
      <c r="I6748" s="36"/>
      <c r="J6748" s="37">
        <v>0</v>
      </c>
    </row>
    <row r="6749" spans="1:10" hidden="1" x14ac:dyDescent="0.25">
      <c r="A6749" s="174"/>
      <c r="B6749" s="177"/>
      <c r="C6749" s="39"/>
      <c r="D6749" s="39"/>
      <c r="E6749" s="40"/>
      <c r="F6749" s="55" t="s">
        <v>13</v>
      </c>
      <c r="G6749" s="38" t="str">
        <f>IF(ISNUMBER(F6749),E6749*F6749,"")</f>
        <v/>
      </c>
      <c r="H6749" s="42"/>
      <c r="I6749" s="38"/>
      <c r="J6749" s="37">
        <v>0</v>
      </c>
    </row>
    <row r="6750" spans="1:10" hidden="1" x14ac:dyDescent="0.25">
      <c r="A6750" s="174"/>
      <c r="B6750" s="177"/>
      <c r="C6750" s="43" t="s">
        <v>11351</v>
      </c>
      <c r="D6750" s="43" t="s">
        <v>83</v>
      </c>
      <c r="E6750" s="44">
        <v>1</v>
      </c>
      <c r="F6750" s="38">
        <v>89.784499999999994</v>
      </c>
      <c r="G6750" s="38">
        <f>IF(ISNUMBER(F6750),E6750*F6750,"")</f>
        <v>89.784499999999994</v>
      </c>
      <c r="H6750" s="46">
        <f>SUM(G6750:G6750)</f>
        <v>89.784499999999994</v>
      </c>
      <c r="I6750" s="47"/>
      <c r="J6750" s="37">
        <v>0</v>
      </c>
    </row>
    <row r="6751" spans="1:10" ht="15.75" hidden="1" thickBot="1" x14ac:dyDescent="0.3">
      <c r="A6751" s="175"/>
      <c r="B6751" s="178"/>
      <c r="C6751" s="49"/>
      <c r="D6751" s="49"/>
      <c r="E6751" s="50"/>
      <c r="F6751" s="51" t="s">
        <v>13</v>
      </c>
      <c r="G6751" s="51" t="str">
        <f>IF(ISNUMBER(F6751),E6751*F6751,"")</f>
        <v/>
      </c>
      <c r="H6751" s="53"/>
      <c r="I6751" s="38"/>
      <c r="J6751" s="37">
        <v>0</v>
      </c>
    </row>
    <row r="6752" spans="1:10" ht="15.75" hidden="1" thickBot="1" x14ac:dyDescent="0.3">
      <c r="A6752" s="173" t="s">
        <v>1592</v>
      </c>
      <c r="B6752" s="176" t="s">
        <v>7557</v>
      </c>
      <c r="C6752" s="31"/>
      <c r="D6752" s="32" t="s">
        <v>18</v>
      </c>
      <c r="E6752" s="33"/>
      <c r="F6752" s="54" t="s">
        <v>13</v>
      </c>
      <c r="G6752" s="34" t="str">
        <f>IF(ISNUMBER(F6752),E6752*F6752,"")</f>
        <v/>
      </c>
      <c r="H6752" s="35"/>
      <c r="I6752" s="36"/>
      <c r="J6752" s="37">
        <v>0</v>
      </c>
    </row>
    <row r="6753" spans="1:10" hidden="1" x14ac:dyDescent="0.25">
      <c r="A6753" s="174"/>
      <c r="B6753" s="177"/>
      <c r="C6753" s="39"/>
      <c r="D6753" s="39"/>
      <c r="E6753" s="40"/>
      <c r="F6753" s="55" t="s">
        <v>13</v>
      </c>
      <c r="G6753" s="38" t="str">
        <f>IF(ISNUMBER(F6753),E6753*F6753,"")</f>
        <v/>
      </c>
      <c r="H6753" s="42"/>
      <c r="I6753" s="38"/>
      <c r="J6753" s="37">
        <v>0</v>
      </c>
    </row>
    <row r="6754" spans="1:10" hidden="1" x14ac:dyDescent="0.25">
      <c r="A6754" s="174"/>
      <c r="B6754" s="177"/>
      <c r="C6754" s="43" t="s">
        <v>11352</v>
      </c>
      <c r="D6754" s="43" t="s">
        <v>83</v>
      </c>
      <c r="E6754" s="44">
        <v>1</v>
      </c>
      <c r="F6754" s="38">
        <v>71.11699999999999</v>
      </c>
      <c r="G6754" s="38">
        <f>IF(ISNUMBER(F6754),E6754*F6754,"")</f>
        <v>71.11699999999999</v>
      </c>
      <c r="H6754" s="46">
        <f>SUM(G6754:G6754)</f>
        <v>71.11699999999999</v>
      </c>
      <c r="I6754" s="47"/>
      <c r="J6754" s="37">
        <v>0</v>
      </c>
    </row>
    <row r="6755" spans="1:10" ht="15.75" hidden="1" thickBot="1" x14ac:dyDescent="0.3">
      <c r="A6755" s="175"/>
      <c r="B6755" s="178"/>
      <c r="C6755" s="49"/>
      <c r="D6755" s="49"/>
      <c r="E6755" s="50"/>
      <c r="F6755" s="51" t="s">
        <v>13</v>
      </c>
      <c r="G6755" s="51" t="str">
        <f>IF(ISNUMBER(F6755),E6755*F6755,"")</f>
        <v/>
      </c>
      <c r="H6755" s="53"/>
      <c r="I6755" s="38"/>
      <c r="J6755" s="37">
        <v>0</v>
      </c>
    </row>
    <row r="6756" spans="1:10" ht="15.75" hidden="1" thickBot="1" x14ac:dyDescent="0.3">
      <c r="A6756" s="173" t="s">
        <v>1593</v>
      </c>
      <c r="B6756" s="176" t="s">
        <v>7558</v>
      </c>
      <c r="C6756" s="31"/>
      <c r="D6756" s="32" t="s">
        <v>18</v>
      </c>
      <c r="E6756" s="33"/>
      <c r="F6756" s="54" t="s">
        <v>13</v>
      </c>
      <c r="G6756" s="34" t="str">
        <f>IF(ISNUMBER(F6756),E6756*F6756,"")</f>
        <v/>
      </c>
      <c r="H6756" s="35"/>
      <c r="I6756" s="36"/>
      <c r="J6756" s="37">
        <v>0</v>
      </c>
    </row>
    <row r="6757" spans="1:10" hidden="1" x14ac:dyDescent="0.25">
      <c r="A6757" s="174"/>
      <c r="B6757" s="177"/>
      <c r="C6757" s="39"/>
      <c r="D6757" s="39"/>
      <c r="E6757" s="40"/>
      <c r="F6757" s="55" t="s">
        <v>13</v>
      </c>
      <c r="G6757" s="38" t="str">
        <f>IF(ISNUMBER(F6757),E6757*F6757,"")</f>
        <v/>
      </c>
      <c r="H6757" s="42"/>
      <c r="I6757" s="38"/>
      <c r="J6757" s="37">
        <v>0</v>
      </c>
    </row>
    <row r="6758" spans="1:10" hidden="1" x14ac:dyDescent="0.25">
      <c r="A6758" s="174"/>
      <c r="B6758" s="177"/>
      <c r="C6758" s="43" t="s">
        <v>11353</v>
      </c>
      <c r="D6758" s="43" t="s">
        <v>83</v>
      </c>
      <c r="E6758" s="44">
        <v>1</v>
      </c>
      <c r="F6758" s="38">
        <v>52.183499999999995</v>
      </c>
      <c r="G6758" s="38">
        <f>IF(ISNUMBER(F6758),E6758*F6758,"")</f>
        <v>52.183499999999995</v>
      </c>
      <c r="H6758" s="46">
        <f>SUM(G6758:G6758)</f>
        <v>52.183499999999995</v>
      </c>
      <c r="I6758" s="47"/>
      <c r="J6758" s="37">
        <v>0</v>
      </c>
    </row>
    <row r="6759" spans="1:10" ht="15.75" hidden="1" thickBot="1" x14ac:dyDescent="0.3">
      <c r="A6759" s="175"/>
      <c r="B6759" s="178"/>
      <c r="C6759" s="49"/>
      <c r="D6759" s="49"/>
      <c r="E6759" s="50"/>
      <c r="F6759" s="51" t="s">
        <v>13</v>
      </c>
      <c r="G6759" s="51" t="str">
        <f>IF(ISNUMBER(F6759),E6759*F6759,"")</f>
        <v/>
      </c>
      <c r="H6759" s="53"/>
      <c r="I6759" s="38"/>
      <c r="J6759" s="37">
        <v>0</v>
      </c>
    </row>
    <row r="6760" spans="1:10" ht="15.75" hidden="1" thickBot="1" x14ac:dyDescent="0.3">
      <c r="A6760" s="173" t="s">
        <v>1594</v>
      </c>
      <c r="B6760" s="176" t="s">
        <v>7559</v>
      </c>
      <c r="C6760" s="31"/>
      <c r="D6760" s="32" t="s">
        <v>18</v>
      </c>
      <c r="E6760" s="33"/>
      <c r="F6760" s="54" t="s">
        <v>13</v>
      </c>
      <c r="G6760" s="34" t="str">
        <f>IF(ISNUMBER(F6760),E6760*F6760,"")</f>
        <v/>
      </c>
      <c r="H6760" s="35"/>
      <c r="I6760" s="36"/>
      <c r="J6760" s="37">
        <v>0</v>
      </c>
    </row>
    <row r="6761" spans="1:10" hidden="1" x14ac:dyDescent="0.25">
      <c r="A6761" s="174"/>
      <c r="B6761" s="177"/>
      <c r="C6761" s="39"/>
      <c r="D6761" s="39"/>
      <c r="E6761" s="40"/>
      <c r="F6761" s="55" t="s">
        <v>13</v>
      </c>
      <c r="G6761" s="38" t="str">
        <f>IF(ISNUMBER(F6761),E6761*F6761,"")</f>
        <v/>
      </c>
      <c r="H6761" s="42"/>
      <c r="I6761" s="38"/>
      <c r="J6761" s="37">
        <v>0</v>
      </c>
    </row>
    <row r="6762" spans="1:10" hidden="1" x14ac:dyDescent="0.25">
      <c r="A6762" s="174"/>
      <c r="B6762" s="177"/>
      <c r="C6762" s="43" t="s">
        <v>11354</v>
      </c>
      <c r="D6762" s="43" t="s">
        <v>83</v>
      </c>
      <c r="E6762" s="44">
        <v>1</v>
      </c>
      <c r="F6762" s="38">
        <v>31.340499999999999</v>
      </c>
      <c r="G6762" s="38">
        <f>IF(ISNUMBER(F6762),E6762*F6762,"")</f>
        <v>31.340499999999999</v>
      </c>
      <c r="H6762" s="46">
        <f>SUM(G6762:G6762)</f>
        <v>31.340499999999999</v>
      </c>
      <c r="I6762" s="47"/>
      <c r="J6762" s="37">
        <v>0</v>
      </c>
    </row>
    <row r="6763" spans="1:10" ht="15.75" hidden="1" thickBot="1" x14ac:dyDescent="0.3">
      <c r="A6763" s="175"/>
      <c r="B6763" s="178"/>
      <c r="C6763" s="49"/>
      <c r="D6763" s="49"/>
      <c r="E6763" s="50"/>
      <c r="F6763" s="51" t="s">
        <v>13</v>
      </c>
      <c r="G6763" s="51" t="str">
        <f>IF(ISNUMBER(F6763),E6763*F6763,"")</f>
        <v/>
      </c>
      <c r="H6763" s="53"/>
      <c r="I6763" s="38"/>
      <c r="J6763" s="37">
        <v>0</v>
      </c>
    </row>
    <row r="6764" spans="1:10" ht="15.75" hidden="1" thickBot="1" x14ac:dyDescent="0.3">
      <c r="A6764" s="173" t="s">
        <v>1595</v>
      </c>
      <c r="B6764" s="176" t="s">
        <v>7560</v>
      </c>
      <c r="C6764" s="31"/>
      <c r="D6764" s="32" t="s">
        <v>18</v>
      </c>
      <c r="E6764" s="33"/>
      <c r="F6764" s="54" t="s">
        <v>13</v>
      </c>
      <c r="G6764" s="34" t="str">
        <f>IF(ISNUMBER(F6764),E6764*F6764,"")</f>
        <v/>
      </c>
      <c r="H6764" s="35"/>
      <c r="I6764" s="36"/>
      <c r="J6764" s="37">
        <v>0</v>
      </c>
    </row>
    <row r="6765" spans="1:10" hidden="1" x14ac:dyDescent="0.25">
      <c r="A6765" s="174"/>
      <c r="B6765" s="177"/>
      <c r="C6765" s="39"/>
      <c r="D6765" s="39"/>
      <c r="E6765" s="40"/>
      <c r="F6765" s="55" t="s">
        <v>13</v>
      </c>
      <c r="G6765" s="38" t="str">
        <f>IF(ISNUMBER(F6765),E6765*F6765,"")</f>
        <v/>
      </c>
      <c r="H6765" s="42"/>
      <c r="I6765" s="38"/>
      <c r="J6765" s="37">
        <v>0</v>
      </c>
    </row>
    <row r="6766" spans="1:10" hidden="1" x14ac:dyDescent="0.25">
      <c r="A6766" s="174"/>
      <c r="B6766" s="177"/>
      <c r="C6766" s="43" t="s">
        <v>11355</v>
      </c>
      <c r="D6766" s="43" t="s">
        <v>83</v>
      </c>
      <c r="E6766" s="44">
        <v>1</v>
      </c>
      <c r="F6766" s="38">
        <v>259.37849999999997</v>
      </c>
      <c r="G6766" s="38">
        <f>IF(ISNUMBER(F6766),E6766*F6766,"")</f>
        <v>259.37849999999997</v>
      </c>
      <c r="H6766" s="46">
        <f>SUM(G6766:G6766)</f>
        <v>259.37849999999997</v>
      </c>
      <c r="I6766" s="47"/>
      <c r="J6766" s="37">
        <v>0</v>
      </c>
    </row>
    <row r="6767" spans="1:10" ht="15.75" hidden="1" thickBot="1" x14ac:dyDescent="0.3">
      <c r="A6767" s="175"/>
      <c r="B6767" s="178"/>
      <c r="C6767" s="49"/>
      <c r="D6767" s="49"/>
      <c r="E6767" s="50"/>
      <c r="F6767" s="51" t="s">
        <v>13</v>
      </c>
      <c r="G6767" s="51" t="str">
        <f>IF(ISNUMBER(F6767),E6767*F6767,"")</f>
        <v/>
      </c>
      <c r="H6767" s="53"/>
      <c r="I6767" s="38"/>
      <c r="J6767" s="37">
        <v>0</v>
      </c>
    </row>
    <row r="6768" spans="1:10" ht="15.75" hidden="1" thickBot="1" x14ac:dyDescent="0.3">
      <c r="A6768" s="173" t="s">
        <v>1596</v>
      </c>
      <c r="B6768" s="176" t="s">
        <v>7561</v>
      </c>
      <c r="C6768" s="31"/>
      <c r="D6768" s="32" t="s">
        <v>18</v>
      </c>
      <c r="E6768" s="33"/>
      <c r="F6768" s="54" t="s">
        <v>13</v>
      </c>
      <c r="G6768" s="34" t="str">
        <f>IF(ISNUMBER(F6768),E6768*F6768,"")</f>
        <v/>
      </c>
      <c r="H6768" s="35"/>
      <c r="I6768" s="36"/>
      <c r="J6768" s="37">
        <v>0</v>
      </c>
    </row>
    <row r="6769" spans="1:10" hidden="1" x14ac:dyDescent="0.25">
      <c r="A6769" s="174"/>
      <c r="B6769" s="177"/>
      <c r="C6769" s="39"/>
      <c r="D6769" s="39"/>
      <c r="E6769" s="40"/>
      <c r="F6769" s="55" t="s">
        <v>13</v>
      </c>
      <c r="G6769" s="38" t="str">
        <f>IF(ISNUMBER(F6769),E6769*F6769,"")</f>
        <v/>
      </c>
      <c r="H6769" s="42"/>
      <c r="I6769" s="38"/>
      <c r="J6769" s="37">
        <v>0</v>
      </c>
    </row>
    <row r="6770" spans="1:10" hidden="1" x14ac:dyDescent="0.25">
      <c r="A6770" s="174"/>
      <c r="B6770" s="177"/>
      <c r="C6770" s="43" t="s">
        <v>11356</v>
      </c>
      <c r="D6770" s="43" t="s">
        <v>83</v>
      </c>
      <c r="E6770" s="44">
        <v>1</v>
      </c>
      <c r="F6770" s="38">
        <v>125.0675</v>
      </c>
      <c r="G6770" s="38">
        <f>IF(ISNUMBER(F6770),E6770*F6770,"")</f>
        <v>125.0675</v>
      </c>
      <c r="H6770" s="46">
        <f>SUM(G6770:G6770)</f>
        <v>125.0675</v>
      </c>
      <c r="I6770" s="47"/>
      <c r="J6770" s="37">
        <v>0</v>
      </c>
    </row>
    <row r="6771" spans="1:10" ht="15.75" hidden="1" thickBot="1" x14ac:dyDescent="0.3">
      <c r="A6771" s="175"/>
      <c r="B6771" s="178"/>
      <c r="C6771" s="49"/>
      <c r="D6771" s="49"/>
      <c r="E6771" s="50"/>
      <c r="F6771" s="51" t="s">
        <v>13</v>
      </c>
      <c r="G6771" s="51" t="str">
        <f>IF(ISNUMBER(F6771),E6771*F6771,"")</f>
        <v/>
      </c>
      <c r="H6771" s="53"/>
      <c r="I6771" s="38"/>
      <c r="J6771" s="37">
        <v>0</v>
      </c>
    </row>
    <row r="6772" spans="1:10" ht="15.75" hidden="1" thickBot="1" x14ac:dyDescent="0.3">
      <c r="A6772" s="173" t="s">
        <v>1597</v>
      </c>
      <c r="B6772" s="176" t="s">
        <v>7562</v>
      </c>
      <c r="C6772" s="31"/>
      <c r="D6772" s="32" t="s">
        <v>18</v>
      </c>
      <c r="E6772" s="33"/>
      <c r="F6772" s="54" t="s">
        <v>13</v>
      </c>
      <c r="G6772" s="34" t="str">
        <f>IF(ISNUMBER(F6772),E6772*F6772,"")</f>
        <v/>
      </c>
      <c r="H6772" s="35"/>
      <c r="I6772" s="36"/>
      <c r="J6772" s="37">
        <v>0</v>
      </c>
    </row>
    <row r="6773" spans="1:10" hidden="1" x14ac:dyDescent="0.25">
      <c r="A6773" s="174"/>
      <c r="B6773" s="177"/>
      <c r="C6773" s="39"/>
      <c r="D6773" s="39"/>
      <c r="E6773" s="40"/>
      <c r="F6773" s="55" t="s">
        <v>13</v>
      </c>
      <c r="G6773" s="38" t="str">
        <f>IF(ISNUMBER(F6773),E6773*F6773,"")</f>
        <v/>
      </c>
      <c r="H6773" s="42"/>
      <c r="I6773" s="38"/>
      <c r="J6773" s="37">
        <v>0</v>
      </c>
    </row>
    <row r="6774" spans="1:10" hidden="1" x14ac:dyDescent="0.25">
      <c r="A6774" s="174"/>
      <c r="B6774" s="177"/>
      <c r="C6774" s="43" t="s">
        <v>11357</v>
      </c>
      <c r="D6774" s="43" t="s">
        <v>83</v>
      </c>
      <c r="E6774" s="44">
        <v>1</v>
      </c>
      <c r="F6774" s="38">
        <v>314.02249999999998</v>
      </c>
      <c r="G6774" s="38">
        <f>IF(ISNUMBER(F6774),E6774*F6774,"")</f>
        <v>314.02249999999998</v>
      </c>
      <c r="H6774" s="46">
        <f>SUM(G6774:G6774)</f>
        <v>314.02249999999998</v>
      </c>
      <c r="I6774" s="47"/>
      <c r="J6774" s="37">
        <v>0</v>
      </c>
    </row>
    <row r="6775" spans="1:10" ht="15.75" hidden="1" thickBot="1" x14ac:dyDescent="0.3">
      <c r="A6775" s="175"/>
      <c r="B6775" s="178"/>
      <c r="C6775" s="49"/>
      <c r="D6775" s="49"/>
      <c r="E6775" s="50"/>
      <c r="F6775" s="51" t="s">
        <v>13</v>
      </c>
      <c r="G6775" s="51" t="str">
        <f>IF(ISNUMBER(F6775),E6775*F6775,"")</f>
        <v/>
      </c>
      <c r="H6775" s="53"/>
      <c r="I6775" s="38"/>
      <c r="J6775" s="37">
        <v>0</v>
      </c>
    </row>
    <row r="6776" spans="1:10" ht="15.75" hidden="1" thickBot="1" x14ac:dyDescent="0.3">
      <c r="A6776" s="173" t="s">
        <v>1598</v>
      </c>
      <c r="B6776" s="176" t="s">
        <v>7563</v>
      </c>
      <c r="C6776" s="31"/>
      <c r="D6776" s="32" t="s">
        <v>18</v>
      </c>
      <c r="E6776" s="33"/>
      <c r="F6776" s="54" t="s">
        <v>13</v>
      </c>
      <c r="G6776" s="34" t="str">
        <f>IF(ISNUMBER(F6776),E6776*F6776,"")</f>
        <v/>
      </c>
      <c r="H6776" s="35"/>
      <c r="I6776" s="36"/>
      <c r="J6776" s="37">
        <v>0</v>
      </c>
    </row>
    <row r="6777" spans="1:10" hidden="1" x14ac:dyDescent="0.25">
      <c r="A6777" s="174"/>
      <c r="B6777" s="177"/>
      <c r="C6777" s="39"/>
      <c r="D6777" s="39"/>
      <c r="E6777" s="40"/>
      <c r="F6777" s="55" t="s">
        <v>13</v>
      </c>
      <c r="G6777" s="38" t="str">
        <f>IF(ISNUMBER(F6777),E6777*F6777,"")</f>
        <v/>
      </c>
      <c r="H6777" s="42"/>
      <c r="I6777" s="38"/>
      <c r="J6777" s="37">
        <v>0</v>
      </c>
    </row>
    <row r="6778" spans="1:10" hidden="1" x14ac:dyDescent="0.25">
      <c r="A6778" s="174"/>
      <c r="B6778" s="177"/>
      <c r="C6778" s="43" t="s">
        <v>11358</v>
      </c>
      <c r="D6778" s="43" t="s">
        <v>83</v>
      </c>
      <c r="E6778" s="44">
        <v>1</v>
      </c>
      <c r="F6778" s="38">
        <v>33.059999999999995</v>
      </c>
      <c r="G6778" s="38">
        <f>IF(ISNUMBER(F6778),E6778*F6778,"")</f>
        <v>33.059999999999995</v>
      </c>
      <c r="H6778" s="46">
        <f>SUM(G6778:G6778)</f>
        <v>33.059999999999995</v>
      </c>
      <c r="I6778" s="47"/>
      <c r="J6778" s="37">
        <v>0</v>
      </c>
    </row>
    <row r="6779" spans="1:10" ht="15.75" hidden="1" thickBot="1" x14ac:dyDescent="0.3">
      <c r="A6779" s="175"/>
      <c r="B6779" s="178"/>
      <c r="C6779" s="49"/>
      <c r="D6779" s="49"/>
      <c r="E6779" s="50"/>
      <c r="F6779" s="51" t="s">
        <v>13</v>
      </c>
      <c r="G6779" s="51" t="str">
        <f>IF(ISNUMBER(F6779),E6779*F6779,"")</f>
        <v/>
      </c>
      <c r="H6779" s="53"/>
      <c r="I6779" s="38"/>
      <c r="J6779" s="37">
        <v>0</v>
      </c>
    </row>
    <row r="6780" spans="1:10" ht="15.75" hidden="1" thickBot="1" x14ac:dyDescent="0.3">
      <c r="A6780" s="173" t="s">
        <v>1599</v>
      </c>
      <c r="B6780" s="176" t="s">
        <v>7564</v>
      </c>
      <c r="C6780" s="31"/>
      <c r="D6780" s="32" t="s">
        <v>18</v>
      </c>
      <c r="E6780" s="33"/>
      <c r="F6780" s="54" t="s">
        <v>13</v>
      </c>
      <c r="G6780" s="34" t="str">
        <f>IF(ISNUMBER(F6780),E6780*F6780,"")</f>
        <v/>
      </c>
      <c r="H6780" s="35"/>
      <c r="I6780" s="36"/>
      <c r="J6780" s="37">
        <v>0</v>
      </c>
    </row>
    <row r="6781" spans="1:10" hidden="1" x14ac:dyDescent="0.25">
      <c r="A6781" s="174"/>
      <c r="B6781" s="177"/>
      <c r="C6781" s="39"/>
      <c r="D6781" s="39"/>
      <c r="E6781" s="40"/>
      <c r="F6781" s="55" t="s">
        <v>13</v>
      </c>
      <c r="G6781" s="38" t="str">
        <f>IF(ISNUMBER(F6781),E6781*F6781,"")</f>
        <v/>
      </c>
      <c r="H6781" s="42"/>
      <c r="I6781" s="38"/>
      <c r="J6781" s="37">
        <v>0</v>
      </c>
    </row>
    <row r="6782" spans="1:10" hidden="1" x14ac:dyDescent="0.25">
      <c r="A6782" s="174"/>
      <c r="B6782" s="177"/>
      <c r="C6782" s="43" t="s">
        <v>11359</v>
      </c>
      <c r="D6782" s="43" t="s">
        <v>83</v>
      </c>
      <c r="E6782" s="44">
        <v>1</v>
      </c>
      <c r="F6782" s="38">
        <v>654.303</v>
      </c>
      <c r="G6782" s="38">
        <f>IF(ISNUMBER(F6782),E6782*F6782,"")</f>
        <v>654.303</v>
      </c>
      <c r="H6782" s="46">
        <f>SUM(G6782:G6782)</f>
        <v>654.303</v>
      </c>
      <c r="I6782" s="47"/>
      <c r="J6782" s="37">
        <v>0</v>
      </c>
    </row>
    <row r="6783" spans="1:10" ht="15.75" hidden="1" thickBot="1" x14ac:dyDescent="0.3">
      <c r="A6783" s="175"/>
      <c r="B6783" s="178"/>
      <c r="C6783" s="49"/>
      <c r="D6783" s="49"/>
      <c r="E6783" s="50"/>
      <c r="F6783" s="51" t="s">
        <v>13</v>
      </c>
      <c r="G6783" s="51" t="str">
        <f>IF(ISNUMBER(F6783),E6783*F6783,"")</f>
        <v/>
      </c>
      <c r="H6783" s="53"/>
      <c r="I6783" s="38"/>
      <c r="J6783" s="37">
        <v>0</v>
      </c>
    </row>
    <row r="6784" spans="1:10" ht="15.75" hidden="1" thickBot="1" x14ac:dyDescent="0.3">
      <c r="A6784" s="173" t="s">
        <v>1600</v>
      </c>
      <c r="B6784" s="176" t="s">
        <v>7569</v>
      </c>
      <c r="C6784" s="31"/>
      <c r="D6784" s="32" t="s">
        <v>18</v>
      </c>
      <c r="E6784" s="33"/>
      <c r="F6784" s="54" t="s">
        <v>13</v>
      </c>
      <c r="G6784" s="34" t="str">
        <f>IF(ISNUMBER(F6784),E6784*F6784,"")</f>
        <v/>
      </c>
      <c r="H6784" s="35"/>
      <c r="I6784" s="36"/>
      <c r="J6784" s="37">
        <v>0</v>
      </c>
    </row>
    <row r="6785" spans="1:10" hidden="1" x14ac:dyDescent="0.25">
      <c r="A6785" s="174"/>
      <c r="B6785" s="177"/>
      <c r="C6785" s="39"/>
      <c r="D6785" s="39"/>
      <c r="E6785" s="40"/>
      <c r="F6785" s="55" t="s">
        <v>13</v>
      </c>
      <c r="G6785" s="38" t="str">
        <f>IF(ISNUMBER(F6785),E6785*F6785,"")</f>
        <v/>
      </c>
      <c r="H6785" s="42"/>
      <c r="I6785" s="38"/>
      <c r="J6785" s="37">
        <v>0</v>
      </c>
    </row>
    <row r="6786" spans="1:10" hidden="1" x14ac:dyDescent="0.25">
      <c r="A6786" s="174"/>
      <c r="B6786" s="177"/>
      <c r="C6786" s="43" t="s">
        <v>11360</v>
      </c>
      <c r="D6786" s="43" t="s">
        <v>83</v>
      </c>
      <c r="E6786" s="44">
        <v>1</v>
      </c>
      <c r="F6786" s="38">
        <v>22.210999999999999</v>
      </c>
      <c r="G6786" s="38">
        <f>IF(ISNUMBER(F6786),E6786*F6786,"")</f>
        <v>22.210999999999999</v>
      </c>
      <c r="H6786" s="46">
        <f>SUM(G6786:G6786)</f>
        <v>22.210999999999999</v>
      </c>
      <c r="I6786" s="47"/>
      <c r="J6786" s="37">
        <v>0</v>
      </c>
    </row>
    <row r="6787" spans="1:10" ht="15.75" hidden="1" thickBot="1" x14ac:dyDescent="0.3">
      <c r="A6787" s="175"/>
      <c r="B6787" s="178"/>
      <c r="C6787" s="49"/>
      <c r="D6787" s="49"/>
      <c r="E6787" s="50"/>
      <c r="F6787" s="51" t="s">
        <v>13</v>
      </c>
      <c r="G6787" s="51" t="str">
        <f>IF(ISNUMBER(F6787),E6787*F6787,"")</f>
        <v/>
      </c>
      <c r="H6787" s="53"/>
      <c r="I6787" s="38"/>
      <c r="J6787" s="37">
        <v>0</v>
      </c>
    </row>
    <row r="6788" spans="1:10" ht="15.75" hidden="1" thickBot="1" x14ac:dyDescent="0.3">
      <c r="A6788" s="173" t="s">
        <v>1601</v>
      </c>
      <c r="B6788" s="176" t="s">
        <v>7570</v>
      </c>
      <c r="C6788" s="31"/>
      <c r="D6788" s="32" t="s">
        <v>18</v>
      </c>
      <c r="E6788" s="33"/>
      <c r="F6788" s="54" t="s">
        <v>13</v>
      </c>
      <c r="G6788" s="34" t="str">
        <f>IF(ISNUMBER(F6788),E6788*F6788,"")</f>
        <v/>
      </c>
      <c r="H6788" s="35"/>
      <c r="I6788" s="36"/>
      <c r="J6788" s="37">
        <v>0</v>
      </c>
    </row>
    <row r="6789" spans="1:10" hidden="1" x14ac:dyDescent="0.25">
      <c r="A6789" s="174"/>
      <c r="B6789" s="177"/>
      <c r="C6789" s="39"/>
      <c r="D6789" s="39"/>
      <c r="E6789" s="40"/>
      <c r="F6789" s="55" t="s">
        <v>13</v>
      </c>
      <c r="G6789" s="38" t="str">
        <f>IF(ISNUMBER(F6789),E6789*F6789,"")</f>
        <v/>
      </c>
      <c r="H6789" s="42"/>
      <c r="I6789" s="38"/>
      <c r="J6789" s="37">
        <v>0</v>
      </c>
    </row>
    <row r="6790" spans="1:10" hidden="1" x14ac:dyDescent="0.25">
      <c r="A6790" s="174"/>
      <c r="B6790" s="177"/>
      <c r="C6790" s="43" t="s">
        <v>11361</v>
      </c>
      <c r="D6790" s="43" t="s">
        <v>83</v>
      </c>
      <c r="E6790" s="44">
        <v>1</v>
      </c>
      <c r="F6790" s="38">
        <v>26.514499999999998</v>
      </c>
      <c r="G6790" s="38">
        <f>IF(ISNUMBER(F6790),E6790*F6790,"")</f>
        <v>26.514499999999998</v>
      </c>
      <c r="H6790" s="46">
        <f>SUM(G6790:G6790)</f>
        <v>26.514499999999998</v>
      </c>
      <c r="I6790" s="47"/>
      <c r="J6790" s="37">
        <v>0</v>
      </c>
    </row>
    <row r="6791" spans="1:10" ht="15.75" hidden="1" thickBot="1" x14ac:dyDescent="0.3">
      <c r="A6791" s="175"/>
      <c r="B6791" s="178"/>
      <c r="C6791" s="49"/>
      <c r="D6791" s="49"/>
      <c r="E6791" s="50"/>
      <c r="F6791" s="51" t="s">
        <v>13</v>
      </c>
      <c r="G6791" s="51" t="str">
        <f>IF(ISNUMBER(F6791),E6791*F6791,"")</f>
        <v/>
      </c>
      <c r="H6791" s="53"/>
      <c r="I6791" s="38"/>
      <c r="J6791" s="37">
        <v>0</v>
      </c>
    </row>
    <row r="6792" spans="1:10" ht="15.75" hidden="1" thickBot="1" x14ac:dyDescent="0.3">
      <c r="A6792" s="173" t="s">
        <v>1602</v>
      </c>
      <c r="B6792" s="176" t="s">
        <v>7571</v>
      </c>
      <c r="C6792" s="31"/>
      <c r="D6792" s="32" t="s">
        <v>18</v>
      </c>
      <c r="E6792" s="33"/>
      <c r="F6792" s="54" t="s">
        <v>13</v>
      </c>
      <c r="G6792" s="34" t="str">
        <f>IF(ISNUMBER(F6792),E6792*F6792,"")</f>
        <v/>
      </c>
      <c r="H6792" s="35"/>
      <c r="I6792" s="36"/>
      <c r="J6792" s="37">
        <v>0</v>
      </c>
    </row>
    <row r="6793" spans="1:10" hidden="1" x14ac:dyDescent="0.25">
      <c r="A6793" s="174"/>
      <c r="B6793" s="177"/>
      <c r="C6793" s="39"/>
      <c r="D6793" s="39"/>
      <c r="E6793" s="40"/>
      <c r="F6793" s="55" t="s">
        <v>13</v>
      </c>
      <c r="G6793" s="38" t="str">
        <f>IF(ISNUMBER(F6793),E6793*F6793,"")</f>
        <v/>
      </c>
      <c r="H6793" s="42"/>
      <c r="I6793" s="38"/>
      <c r="J6793" s="37">
        <v>0</v>
      </c>
    </row>
    <row r="6794" spans="1:10" ht="25.5" hidden="1" x14ac:dyDescent="0.25">
      <c r="A6794" s="174"/>
      <c r="B6794" s="177"/>
      <c r="C6794" s="43" t="s">
        <v>11362</v>
      </c>
      <c r="D6794" s="43" t="s">
        <v>83</v>
      </c>
      <c r="E6794" s="44">
        <v>1</v>
      </c>
      <c r="F6794" s="38">
        <v>20.833499999999997</v>
      </c>
      <c r="G6794" s="38">
        <f>IF(ISNUMBER(F6794),E6794*F6794,"")</f>
        <v>20.833499999999997</v>
      </c>
      <c r="H6794" s="46">
        <f>SUM(G6794:G6794)</f>
        <v>20.833499999999997</v>
      </c>
      <c r="I6794" s="47"/>
      <c r="J6794" s="37">
        <v>0</v>
      </c>
    </row>
    <row r="6795" spans="1:10" ht="15.75" hidden="1" thickBot="1" x14ac:dyDescent="0.3">
      <c r="A6795" s="175"/>
      <c r="B6795" s="178"/>
      <c r="C6795" s="49"/>
      <c r="D6795" s="49"/>
      <c r="E6795" s="50"/>
      <c r="F6795" s="51" t="s">
        <v>13</v>
      </c>
      <c r="G6795" s="51" t="str">
        <f>IF(ISNUMBER(F6795),E6795*F6795,"")</f>
        <v/>
      </c>
      <c r="H6795" s="53"/>
      <c r="I6795" s="38"/>
      <c r="J6795" s="37">
        <v>0</v>
      </c>
    </row>
    <row r="6796" spans="1:10" ht="15.75" hidden="1" thickBot="1" x14ac:dyDescent="0.3">
      <c r="A6796" s="173" t="s">
        <v>1603</v>
      </c>
      <c r="B6796" s="176" t="s">
        <v>7572</v>
      </c>
      <c r="C6796" s="31"/>
      <c r="D6796" s="32" t="s">
        <v>18</v>
      </c>
      <c r="E6796" s="33"/>
      <c r="F6796" s="54" t="s">
        <v>13</v>
      </c>
      <c r="G6796" s="34" t="str">
        <f>IF(ISNUMBER(F6796),E6796*F6796,"")</f>
        <v/>
      </c>
      <c r="H6796" s="35"/>
      <c r="I6796" s="36"/>
      <c r="J6796" s="37">
        <v>0</v>
      </c>
    </row>
    <row r="6797" spans="1:10" hidden="1" x14ac:dyDescent="0.25">
      <c r="A6797" s="174"/>
      <c r="B6797" s="177"/>
      <c r="C6797" s="39"/>
      <c r="D6797" s="39"/>
      <c r="E6797" s="40"/>
      <c r="F6797" s="55" t="s">
        <v>13</v>
      </c>
      <c r="G6797" s="38" t="str">
        <f>IF(ISNUMBER(F6797),E6797*F6797,"")</f>
        <v/>
      </c>
      <c r="H6797" s="42"/>
      <c r="I6797" s="38"/>
      <c r="J6797" s="37">
        <v>0</v>
      </c>
    </row>
    <row r="6798" spans="1:10" ht="25.5" hidden="1" x14ac:dyDescent="0.25">
      <c r="A6798" s="174"/>
      <c r="B6798" s="177"/>
      <c r="C6798" s="43" t="s">
        <v>11363</v>
      </c>
      <c r="D6798" s="43" t="s">
        <v>83</v>
      </c>
      <c r="E6798" s="44">
        <v>1</v>
      </c>
      <c r="F6798" s="38">
        <v>57.113999999999997</v>
      </c>
      <c r="G6798" s="38">
        <f>IF(ISNUMBER(F6798),E6798*F6798,"")</f>
        <v>57.113999999999997</v>
      </c>
      <c r="H6798" s="46">
        <f>SUM(G6798:G6798)</f>
        <v>57.113999999999997</v>
      </c>
      <c r="I6798" s="47"/>
      <c r="J6798" s="37">
        <v>0</v>
      </c>
    </row>
    <row r="6799" spans="1:10" ht="15.75" hidden="1" thickBot="1" x14ac:dyDescent="0.3">
      <c r="A6799" s="175"/>
      <c r="B6799" s="178"/>
      <c r="C6799" s="49"/>
      <c r="D6799" s="49"/>
      <c r="E6799" s="50"/>
      <c r="F6799" s="51" t="s">
        <v>13</v>
      </c>
      <c r="G6799" s="51" t="str">
        <f>IF(ISNUMBER(F6799),E6799*F6799,"")</f>
        <v/>
      </c>
      <c r="H6799" s="53"/>
      <c r="I6799" s="38"/>
      <c r="J6799" s="37">
        <v>0</v>
      </c>
    </row>
    <row r="6800" spans="1:10" ht="15.75" hidden="1" thickBot="1" x14ac:dyDescent="0.3">
      <c r="A6800" s="173" t="s">
        <v>1604</v>
      </c>
      <c r="B6800" s="176" t="s">
        <v>7573</v>
      </c>
      <c r="C6800" s="31"/>
      <c r="D6800" s="32" t="s">
        <v>18</v>
      </c>
      <c r="E6800" s="33"/>
      <c r="F6800" s="54" t="s">
        <v>13</v>
      </c>
      <c r="G6800" s="34" t="str">
        <f>IF(ISNUMBER(F6800),E6800*F6800,"")</f>
        <v/>
      </c>
      <c r="H6800" s="35"/>
      <c r="I6800" s="36"/>
      <c r="J6800" s="37">
        <v>0</v>
      </c>
    </row>
    <row r="6801" spans="1:10" hidden="1" x14ac:dyDescent="0.25">
      <c r="A6801" s="174"/>
      <c r="B6801" s="177"/>
      <c r="C6801" s="39"/>
      <c r="D6801" s="39"/>
      <c r="E6801" s="40"/>
      <c r="F6801" s="55" t="s">
        <v>13</v>
      </c>
      <c r="G6801" s="38" t="str">
        <f>IF(ISNUMBER(F6801),E6801*F6801,"")</f>
        <v/>
      </c>
      <c r="H6801" s="42"/>
      <c r="I6801" s="38"/>
      <c r="J6801" s="37">
        <v>0</v>
      </c>
    </row>
    <row r="6802" spans="1:10" ht="25.5" hidden="1" x14ac:dyDescent="0.25">
      <c r="A6802" s="174"/>
      <c r="B6802" s="177"/>
      <c r="C6802" s="43" t="s">
        <v>11364</v>
      </c>
      <c r="D6802" s="43" t="s">
        <v>83</v>
      </c>
      <c r="E6802" s="44">
        <v>1</v>
      </c>
      <c r="F6802" s="38">
        <v>101.6785</v>
      </c>
      <c r="G6802" s="38">
        <f>IF(ISNUMBER(F6802),E6802*F6802,"")</f>
        <v>101.6785</v>
      </c>
      <c r="H6802" s="46">
        <f>SUM(G6802:G6802)</f>
        <v>101.6785</v>
      </c>
      <c r="I6802" s="47"/>
      <c r="J6802" s="37">
        <v>0</v>
      </c>
    </row>
    <row r="6803" spans="1:10" ht="15.75" hidden="1" thickBot="1" x14ac:dyDescent="0.3">
      <c r="A6803" s="175"/>
      <c r="B6803" s="178"/>
      <c r="C6803" s="49"/>
      <c r="D6803" s="49"/>
      <c r="E6803" s="50"/>
      <c r="F6803" s="51" t="s">
        <v>13</v>
      </c>
      <c r="G6803" s="51" t="str">
        <f>IF(ISNUMBER(F6803),E6803*F6803,"")</f>
        <v/>
      </c>
      <c r="H6803" s="53"/>
      <c r="I6803" s="38"/>
      <c r="J6803" s="37">
        <v>0</v>
      </c>
    </row>
    <row r="6804" spans="1:10" ht="15.75" hidden="1" thickBot="1" x14ac:dyDescent="0.3">
      <c r="A6804" s="173" t="s">
        <v>1605</v>
      </c>
      <c r="B6804" s="176" t="s">
        <v>7574</v>
      </c>
      <c r="C6804" s="31"/>
      <c r="D6804" s="32" t="s">
        <v>18</v>
      </c>
      <c r="E6804" s="33"/>
      <c r="F6804" s="54" t="s">
        <v>13</v>
      </c>
      <c r="G6804" s="34" t="str">
        <f>IF(ISNUMBER(F6804),E6804*F6804,"")</f>
        <v/>
      </c>
      <c r="H6804" s="35"/>
      <c r="I6804" s="36"/>
      <c r="J6804" s="37">
        <v>0</v>
      </c>
    </row>
    <row r="6805" spans="1:10" hidden="1" x14ac:dyDescent="0.25">
      <c r="A6805" s="174"/>
      <c r="B6805" s="177"/>
      <c r="C6805" s="39"/>
      <c r="D6805" s="39"/>
      <c r="E6805" s="40"/>
      <c r="F6805" s="55" t="s">
        <v>13</v>
      </c>
      <c r="G6805" s="38" t="str">
        <f>IF(ISNUMBER(F6805),E6805*F6805,"")</f>
        <v/>
      </c>
      <c r="H6805" s="42"/>
      <c r="I6805" s="38"/>
      <c r="J6805" s="37">
        <v>0</v>
      </c>
    </row>
    <row r="6806" spans="1:10" ht="51" hidden="1" x14ac:dyDescent="0.25">
      <c r="A6806" s="174"/>
      <c r="B6806" s="177"/>
      <c r="C6806" s="43" t="s">
        <v>11365</v>
      </c>
      <c r="D6806" s="43" t="s">
        <v>83</v>
      </c>
      <c r="E6806" s="44">
        <v>1</v>
      </c>
      <c r="F6806" s="38">
        <v>180.5</v>
      </c>
      <c r="G6806" s="38">
        <f>IF(ISNUMBER(F6806),E6806*F6806,"")</f>
        <v>180.5</v>
      </c>
      <c r="H6806" s="46">
        <f>SUM(G6806:G6806)</f>
        <v>180.5</v>
      </c>
      <c r="I6806" s="47"/>
      <c r="J6806" s="37">
        <v>0</v>
      </c>
    </row>
    <row r="6807" spans="1:10" ht="15.75" hidden="1" thickBot="1" x14ac:dyDescent="0.3">
      <c r="A6807" s="175"/>
      <c r="B6807" s="178"/>
      <c r="C6807" s="49"/>
      <c r="D6807" s="49"/>
      <c r="E6807" s="50"/>
      <c r="F6807" s="51" t="s">
        <v>13</v>
      </c>
      <c r="G6807" s="51" t="str">
        <f>IF(ISNUMBER(F6807),E6807*F6807,"")</f>
        <v/>
      </c>
      <c r="H6807" s="53"/>
      <c r="I6807" s="38"/>
      <c r="J6807" s="37">
        <v>0</v>
      </c>
    </row>
    <row r="6808" spans="1:10" ht="15.75" hidden="1" thickBot="1" x14ac:dyDescent="0.3">
      <c r="A6808" s="173" t="s">
        <v>1606</v>
      </c>
      <c r="B6808" s="176" t="s">
        <v>7613</v>
      </c>
      <c r="C6808" s="31"/>
      <c r="D6808" s="32" t="s">
        <v>18</v>
      </c>
      <c r="E6808" s="33"/>
      <c r="F6808" s="54" t="s">
        <v>13</v>
      </c>
      <c r="G6808" s="34" t="str">
        <f>IF(ISNUMBER(F6808),E6808*F6808,"")</f>
        <v/>
      </c>
      <c r="H6808" s="35"/>
      <c r="I6808" s="36"/>
      <c r="J6808" s="37">
        <v>0</v>
      </c>
    </row>
    <row r="6809" spans="1:10" hidden="1" x14ac:dyDescent="0.25">
      <c r="A6809" s="174"/>
      <c r="B6809" s="177"/>
      <c r="C6809" s="39"/>
      <c r="D6809" s="39"/>
      <c r="E6809" s="40"/>
      <c r="F6809" s="55" t="s">
        <v>13</v>
      </c>
      <c r="G6809" s="38" t="str">
        <f>IF(ISNUMBER(F6809),E6809*F6809,"")</f>
        <v/>
      </c>
      <c r="H6809" s="42"/>
      <c r="I6809" s="38"/>
      <c r="J6809" s="37">
        <v>0</v>
      </c>
    </row>
    <row r="6810" spans="1:10" ht="25.5" hidden="1" x14ac:dyDescent="0.25">
      <c r="A6810" s="174"/>
      <c r="B6810" s="177"/>
      <c r="C6810" s="43" t="s">
        <v>11366</v>
      </c>
      <c r="D6810" s="43" t="s">
        <v>83</v>
      </c>
      <c r="E6810" s="44">
        <v>1</v>
      </c>
      <c r="F6810" s="38">
        <v>22.648</v>
      </c>
      <c r="G6810" s="38">
        <f>IF(ISNUMBER(F6810),E6810*F6810,"")</f>
        <v>22.648</v>
      </c>
      <c r="H6810" s="46">
        <f>SUM(G6810:G6810)</f>
        <v>22.648</v>
      </c>
      <c r="I6810" s="47"/>
      <c r="J6810" s="37">
        <v>0</v>
      </c>
    </row>
    <row r="6811" spans="1:10" ht="15.75" hidden="1" thickBot="1" x14ac:dyDescent="0.3">
      <c r="A6811" s="175"/>
      <c r="B6811" s="178"/>
      <c r="C6811" s="49"/>
      <c r="D6811" s="49"/>
      <c r="E6811" s="50"/>
      <c r="F6811" s="51" t="s">
        <v>13</v>
      </c>
      <c r="G6811" s="51" t="str">
        <f>IF(ISNUMBER(F6811),E6811*F6811,"")</f>
        <v/>
      </c>
      <c r="H6811" s="53"/>
      <c r="I6811" s="38"/>
      <c r="J6811" s="37">
        <v>0</v>
      </c>
    </row>
    <row r="6812" spans="1:10" ht="15.75" hidden="1" thickBot="1" x14ac:dyDescent="0.3">
      <c r="A6812" s="173" t="s">
        <v>1607</v>
      </c>
      <c r="B6812" s="176" t="s">
        <v>7614</v>
      </c>
      <c r="C6812" s="31"/>
      <c r="D6812" s="32" t="s">
        <v>18</v>
      </c>
      <c r="E6812" s="33"/>
      <c r="F6812" s="54" t="s">
        <v>13</v>
      </c>
      <c r="G6812" s="34" t="str">
        <f>IF(ISNUMBER(F6812),E6812*F6812,"")</f>
        <v/>
      </c>
      <c r="H6812" s="35"/>
      <c r="I6812" s="36"/>
      <c r="J6812" s="37">
        <v>0</v>
      </c>
    </row>
    <row r="6813" spans="1:10" hidden="1" x14ac:dyDescent="0.25">
      <c r="A6813" s="174"/>
      <c r="B6813" s="177"/>
      <c r="C6813" s="39"/>
      <c r="D6813" s="39"/>
      <c r="E6813" s="40"/>
      <c r="F6813" s="55" t="s">
        <v>13</v>
      </c>
      <c r="G6813" s="38" t="str">
        <f>IF(ISNUMBER(F6813),E6813*F6813,"")</f>
        <v/>
      </c>
      <c r="H6813" s="42"/>
      <c r="I6813" s="38"/>
      <c r="J6813" s="37">
        <v>0</v>
      </c>
    </row>
    <row r="6814" spans="1:10" ht="25.5" hidden="1" x14ac:dyDescent="0.25">
      <c r="A6814" s="174"/>
      <c r="B6814" s="177"/>
      <c r="C6814" s="43" t="s">
        <v>11367</v>
      </c>
      <c r="D6814" s="43" t="s">
        <v>83</v>
      </c>
      <c r="E6814" s="44">
        <v>1</v>
      </c>
      <c r="F6814" s="38">
        <v>9.4239999999999995</v>
      </c>
      <c r="G6814" s="38">
        <f>IF(ISNUMBER(F6814),E6814*F6814,"")</f>
        <v>9.4239999999999995</v>
      </c>
      <c r="H6814" s="46">
        <f>SUM(G6814:G6814)</f>
        <v>9.4239999999999995</v>
      </c>
      <c r="I6814" s="47"/>
      <c r="J6814" s="37">
        <v>0</v>
      </c>
    </row>
    <row r="6815" spans="1:10" ht="15.75" hidden="1" thickBot="1" x14ac:dyDescent="0.3">
      <c r="A6815" s="175"/>
      <c r="B6815" s="178"/>
      <c r="C6815" s="49"/>
      <c r="D6815" s="49"/>
      <c r="E6815" s="50"/>
      <c r="F6815" s="51" t="s">
        <v>13</v>
      </c>
      <c r="G6815" s="51" t="str">
        <f>IF(ISNUMBER(F6815),E6815*F6815,"")</f>
        <v/>
      </c>
      <c r="H6815" s="53"/>
      <c r="I6815" s="38"/>
      <c r="J6815" s="37">
        <v>0</v>
      </c>
    </row>
    <row r="6816" spans="1:10" ht="15.75" hidden="1" thickBot="1" x14ac:dyDescent="0.3">
      <c r="A6816" s="173" t="s">
        <v>1608</v>
      </c>
      <c r="B6816" s="176" t="s">
        <v>7615</v>
      </c>
      <c r="C6816" s="31"/>
      <c r="D6816" s="32" t="s">
        <v>18</v>
      </c>
      <c r="E6816" s="33"/>
      <c r="F6816" s="54" t="s">
        <v>13</v>
      </c>
      <c r="G6816" s="34" t="str">
        <f>IF(ISNUMBER(F6816),E6816*F6816,"")</f>
        <v/>
      </c>
      <c r="H6816" s="35"/>
      <c r="I6816" s="36"/>
      <c r="J6816" s="37">
        <v>0</v>
      </c>
    </row>
    <row r="6817" spans="1:10" hidden="1" x14ac:dyDescent="0.25">
      <c r="A6817" s="174"/>
      <c r="B6817" s="177"/>
      <c r="C6817" s="39"/>
      <c r="D6817" s="39"/>
      <c r="E6817" s="40"/>
      <c r="F6817" s="55" t="s">
        <v>13</v>
      </c>
      <c r="G6817" s="38" t="str">
        <f>IF(ISNUMBER(F6817),E6817*F6817,"")</f>
        <v/>
      </c>
      <c r="H6817" s="42"/>
      <c r="I6817" s="38"/>
      <c r="J6817" s="37">
        <v>0</v>
      </c>
    </row>
    <row r="6818" spans="1:10" ht="25.5" hidden="1" x14ac:dyDescent="0.25">
      <c r="A6818" s="174"/>
      <c r="B6818" s="177"/>
      <c r="C6818" s="43" t="s">
        <v>11368</v>
      </c>
      <c r="D6818" s="43" t="s">
        <v>83</v>
      </c>
      <c r="E6818" s="44">
        <v>1</v>
      </c>
      <c r="F6818" s="38">
        <v>18.116499999999998</v>
      </c>
      <c r="G6818" s="38">
        <f>IF(ISNUMBER(F6818),E6818*F6818,"")</f>
        <v>18.116499999999998</v>
      </c>
      <c r="H6818" s="46">
        <f>SUM(G6818:G6818)</f>
        <v>18.116499999999998</v>
      </c>
      <c r="I6818" s="47"/>
      <c r="J6818" s="37">
        <v>0</v>
      </c>
    </row>
    <row r="6819" spans="1:10" ht="15.75" hidden="1" thickBot="1" x14ac:dyDescent="0.3">
      <c r="A6819" s="175"/>
      <c r="B6819" s="178"/>
      <c r="C6819" s="49"/>
      <c r="D6819" s="49"/>
      <c r="E6819" s="50"/>
      <c r="F6819" s="51" t="s">
        <v>13</v>
      </c>
      <c r="G6819" s="51" t="str">
        <f>IF(ISNUMBER(F6819),E6819*F6819,"")</f>
        <v/>
      </c>
      <c r="H6819" s="53"/>
      <c r="I6819" s="38"/>
      <c r="J6819" s="37">
        <v>0</v>
      </c>
    </row>
    <row r="6820" spans="1:10" ht="15.75" hidden="1" thickBot="1" x14ac:dyDescent="0.3">
      <c r="A6820" s="173" t="s">
        <v>1609</v>
      </c>
      <c r="B6820" s="176" t="s">
        <v>7618</v>
      </c>
      <c r="C6820" s="31"/>
      <c r="D6820" s="32" t="s">
        <v>18</v>
      </c>
      <c r="E6820" s="33"/>
      <c r="F6820" s="54" t="s">
        <v>13</v>
      </c>
      <c r="G6820" s="34" t="str">
        <f>IF(ISNUMBER(F6820),E6820*F6820,"")</f>
        <v/>
      </c>
      <c r="H6820" s="35"/>
      <c r="I6820" s="36"/>
      <c r="J6820" s="37">
        <v>0</v>
      </c>
    </row>
    <row r="6821" spans="1:10" hidden="1" x14ac:dyDescent="0.25">
      <c r="A6821" s="174"/>
      <c r="B6821" s="177"/>
      <c r="C6821" s="39"/>
      <c r="D6821" s="39"/>
      <c r="E6821" s="40"/>
      <c r="F6821" s="55" t="s">
        <v>13</v>
      </c>
      <c r="G6821" s="38" t="str">
        <f>IF(ISNUMBER(F6821),E6821*F6821,"")</f>
        <v/>
      </c>
      <c r="H6821" s="42"/>
      <c r="I6821" s="38"/>
      <c r="J6821" s="37">
        <v>0</v>
      </c>
    </row>
    <row r="6822" spans="1:10" ht="38.25" hidden="1" x14ac:dyDescent="0.25">
      <c r="A6822" s="174"/>
      <c r="B6822" s="177"/>
      <c r="C6822" s="43" t="s">
        <v>11369</v>
      </c>
      <c r="D6822" s="43" t="s">
        <v>83</v>
      </c>
      <c r="E6822" s="44">
        <v>1</v>
      </c>
      <c r="F6822" s="38">
        <v>276.678</v>
      </c>
      <c r="G6822" s="38">
        <f>IF(ISNUMBER(F6822),E6822*F6822,"")</f>
        <v>276.678</v>
      </c>
      <c r="H6822" s="46">
        <f>SUM(G6822:G6822)</f>
        <v>276.678</v>
      </c>
      <c r="I6822" s="47"/>
      <c r="J6822" s="37">
        <v>0</v>
      </c>
    </row>
    <row r="6823" spans="1:10" ht="15.75" hidden="1" thickBot="1" x14ac:dyDescent="0.3">
      <c r="A6823" s="175"/>
      <c r="B6823" s="178"/>
      <c r="C6823" s="49"/>
      <c r="D6823" s="49"/>
      <c r="E6823" s="50"/>
      <c r="F6823" s="51" t="s">
        <v>13</v>
      </c>
      <c r="G6823" s="51" t="str">
        <f>IF(ISNUMBER(F6823),E6823*F6823,"")</f>
        <v/>
      </c>
      <c r="H6823" s="53"/>
      <c r="I6823" s="38"/>
      <c r="J6823" s="37">
        <v>0</v>
      </c>
    </row>
    <row r="6824" spans="1:10" ht="15.75" hidden="1" thickBot="1" x14ac:dyDescent="0.3">
      <c r="A6824" s="173" t="s">
        <v>1610</v>
      </c>
      <c r="B6824" s="176" t="s">
        <v>7619</v>
      </c>
      <c r="C6824" s="31"/>
      <c r="D6824" s="32" t="s">
        <v>18</v>
      </c>
      <c r="E6824" s="33"/>
      <c r="F6824" s="54" t="s">
        <v>13</v>
      </c>
      <c r="G6824" s="34" t="str">
        <f>IF(ISNUMBER(F6824),E6824*F6824,"")</f>
        <v/>
      </c>
      <c r="H6824" s="35"/>
      <c r="I6824" s="36"/>
      <c r="J6824" s="37">
        <v>0</v>
      </c>
    </row>
    <row r="6825" spans="1:10" hidden="1" x14ac:dyDescent="0.25">
      <c r="A6825" s="174"/>
      <c r="B6825" s="177"/>
      <c r="C6825" s="39"/>
      <c r="D6825" s="39"/>
      <c r="E6825" s="40"/>
      <c r="F6825" s="55" t="s">
        <v>13</v>
      </c>
      <c r="G6825" s="38" t="str">
        <f>IF(ISNUMBER(F6825),E6825*F6825,"")</f>
        <v/>
      </c>
      <c r="H6825" s="42"/>
      <c r="I6825" s="38"/>
      <c r="J6825" s="37">
        <v>0</v>
      </c>
    </row>
    <row r="6826" spans="1:10" ht="38.25" hidden="1" x14ac:dyDescent="0.25">
      <c r="A6826" s="174"/>
      <c r="B6826" s="177"/>
      <c r="C6826" s="43" t="s">
        <v>11370</v>
      </c>
      <c r="D6826" s="43" t="s">
        <v>83</v>
      </c>
      <c r="E6826" s="44">
        <v>1</v>
      </c>
      <c r="F6826" s="38">
        <v>227.00249999999997</v>
      </c>
      <c r="G6826" s="38">
        <f>IF(ISNUMBER(F6826),E6826*F6826,"")</f>
        <v>227.00249999999997</v>
      </c>
      <c r="H6826" s="46">
        <f>SUM(G6826:G6826)</f>
        <v>227.00249999999997</v>
      </c>
      <c r="I6826" s="47"/>
      <c r="J6826" s="37">
        <v>0</v>
      </c>
    </row>
    <row r="6827" spans="1:10" ht="15.75" hidden="1" thickBot="1" x14ac:dyDescent="0.3">
      <c r="A6827" s="175"/>
      <c r="B6827" s="178"/>
      <c r="C6827" s="49"/>
      <c r="D6827" s="49"/>
      <c r="E6827" s="50"/>
      <c r="F6827" s="51" t="s">
        <v>13</v>
      </c>
      <c r="G6827" s="51" t="str">
        <f>IF(ISNUMBER(F6827),E6827*F6827,"")</f>
        <v/>
      </c>
      <c r="H6827" s="53"/>
      <c r="I6827" s="38"/>
      <c r="J6827" s="37">
        <v>0</v>
      </c>
    </row>
    <row r="6828" spans="1:10" ht="15.75" hidden="1" thickBot="1" x14ac:dyDescent="0.3">
      <c r="A6828" s="173" t="s">
        <v>1611</v>
      </c>
      <c r="B6828" s="176" t="s">
        <v>7620</v>
      </c>
      <c r="C6828" s="31"/>
      <c r="D6828" s="32" t="s">
        <v>18</v>
      </c>
      <c r="E6828" s="33"/>
      <c r="F6828" s="54" t="s">
        <v>13</v>
      </c>
      <c r="G6828" s="34" t="str">
        <f>IF(ISNUMBER(F6828),E6828*F6828,"")</f>
        <v/>
      </c>
      <c r="H6828" s="35"/>
      <c r="I6828" s="36"/>
      <c r="J6828" s="37">
        <v>0</v>
      </c>
    </row>
    <row r="6829" spans="1:10" hidden="1" x14ac:dyDescent="0.25">
      <c r="A6829" s="174"/>
      <c r="B6829" s="177"/>
      <c r="C6829" s="39"/>
      <c r="D6829" s="39"/>
      <c r="E6829" s="40"/>
      <c r="F6829" s="55" t="s">
        <v>13</v>
      </c>
      <c r="G6829" s="38" t="str">
        <f>IF(ISNUMBER(F6829),E6829*F6829,"")</f>
        <v/>
      </c>
      <c r="H6829" s="42"/>
      <c r="I6829" s="38"/>
      <c r="J6829" s="37">
        <v>0</v>
      </c>
    </row>
    <row r="6830" spans="1:10" ht="25.5" hidden="1" x14ac:dyDescent="0.25">
      <c r="A6830" s="174"/>
      <c r="B6830" s="177"/>
      <c r="C6830" s="43" t="s">
        <v>11371</v>
      </c>
      <c r="D6830" s="43" t="s">
        <v>83</v>
      </c>
      <c r="E6830" s="44">
        <v>1</v>
      </c>
      <c r="F6830" s="38">
        <v>133.285</v>
      </c>
      <c r="G6830" s="38">
        <f>IF(ISNUMBER(F6830),E6830*F6830,"")</f>
        <v>133.285</v>
      </c>
      <c r="H6830" s="46">
        <f>SUM(G6830:G6830)</f>
        <v>133.285</v>
      </c>
      <c r="I6830" s="47"/>
      <c r="J6830" s="37">
        <v>0</v>
      </c>
    </row>
    <row r="6831" spans="1:10" ht="15.75" hidden="1" thickBot="1" x14ac:dyDescent="0.3">
      <c r="A6831" s="175"/>
      <c r="B6831" s="178"/>
      <c r="C6831" s="49"/>
      <c r="D6831" s="49"/>
      <c r="E6831" s="50"/>
      <c r="F6831" s="51" t="s">
        <v>13</v>
      </c>
      <c r="G6831" s="51" t="str">
        <f>IF(ISNUMBER(F6831),E6831*F6831,"")</f>
        <v/>
      </c>
      <c r="H6831" s="53"/>
      <c r="I6831" s="38"/>
      <c r="J6831" s="37">
        <v>0</v>
      </c>
    </row>
    <row r="6832" spans="1:10" ht="15.75" hidden="1" thickBot="1" x14ac:dyDescent="0.3">
      <c r="A6832" s="173" t="s">
        <v>1612</v>
      </c>
      <c r="B6832" s="176" t="s">
        <v>7621</v>
      </c>
      <c r="C6832" s="31"/>
      <c r="D6832" s="32" t="s">
        <v>18</v>
      </c>
      <c r="E6832" s="33"/>
      <c r="F6832" s="54" t="s">
        <v>13</v>
      </c>
      <c r="G6832" s="34" t="str">
        <f>IF(ISNUMBER(F6832),E6832*F6832,"")</f>
        <v/>
      </c>
      <c r="H6832" s="35"/>
      <c r="I6832" s="36"/>
      <c r="J6832" s="37">
        <v>0</v>
      </c>
    </row>
    <row r="6833" spans="1:10" hidden="1" x14ac:dyDescent="0.25">
      <c r="A6833" s="174"/>
      <c r="B6833" s="177"/>
      <c r="C6833" s="39"/>
      <c r="D6833" s="39"/>
      <c r="E6833" s="40"/>
      <c r="F6833" s="55" t="s">
        <v>13</v>
      </c>
      <c r="G6833" s="38" t="str">
        <f>IF(ISNUMBER(F6833),E6833*F6833,"")</f>
        <v/>
      </c>
      <c r="H6833" s="42"/>
      <c r="I6833" s="38"/>
      <c r="J6833" s="37">
        <v>0</v>
      </c>
    </row>
    <row r="6834" spans="1:10" ht="25.5" hidden="1" x14ac:dyDescent="0.25">
      <c r="A6834" s="174"/>
      <c r="B6834" s="177"/>
      <c r="C6834" s="43" t="s">
        <v>11372</v>
      </c>
      <c r="D6834" s="43" t="s">
        <v>83</v>
      </c>
      <c r="E6834" s="44">
        <v>1</v>
      </c>
      <c r="F6834" s="38">
        <v>354.99599999999998</v>
      </c>
      <c r="G6834" s="38">
        <f>IF(ISNUMBER(F6834),E6834*F6834,"")</f>
        <v>354.99599999999998</v>
      </c>
      <c r="H6834" s="46">
        <f>SUM(G6834:G6834)</f>
        <v>354.99599999999998</v>
      </c>
      <c r="I6834" s="47"/>
      <c r="J6834" s="37">
        <v>0</v>
      </c>
    </row>
    <row r="6835" spans="1:10" ht="15.75" hidden="1" thickBot="1" x14ac:dyDescent="0.3">
      <c r="A6835" s="175"/>
      <c r="B6835" s="178"/>
      <c r="C6835" s="49"/>
      <c r="D6835" s="49"/>
      <c r="E6835" s="50"/>
      <c r="F6835" s="51" t="s">
        <v>13</v>
      </c>
      <c r="G6835" s="51" t="str">
        <f>IF(ISNUMBER(F6835),E6835*F6835,"")</f>
        <v/>
      </c>
      <c r="H6835" s="53"/>
      <c r="I6835" s="38"/>
      <c r="J6835" s="37">
        <v>0</v>
      </c>
    </row>
    <row r="6836" spans="1:10" ht="15.75" hidden="1" thickBot="1" x14ac:dyDescent="0.3">
      <c r="A6836" s="173" t="s">
        <v>1613</v>
      </c>
      <c r="B6836" s="176" t="s">
        <v>7622</v>
      </c>
      <c r="C6836" s="31"/>
      <c r="D6836" s="32" t="s">
        <v>18</v>
      </c>
      <c r="E6836" s="33"/>
      <c r="F6836" s="54" t="s">
        <v>13</v>
      </c>
      <c r="G6836" s="34" t="str">
        <f>IF(ISNUMBER(F6836),E6836*F6836,"")</f>
        <v/>
      </c>
      <c r="H6836" s="35"/>
      <c r="I6836" s="36"/>
      <c r="J6836" s="37">
        <v>0</v>
      </c>
    </row>
    <row r="6837" spans="1:10" hidden="1" x14ac:dyDescent="0.25">
      <c r="A6837" s="174"/>
      <c r="B6837" s="177"/>
      <c r="C6837" s="39"/>
      <c r="D6837" s="39"/>
      <c r="E6837" s="40"/>
      <c r="F6837" s="55" t="s">
        <v>13</v>
      </c>
      <c r="G6837" s="38" t="str">
        <f>IF(ISNUMBER(F6837),E6837*F6837,"")</f>
        <v/>
      </c>
      <c r="H6837" s="42"/>
      <c r="I6837" s="38"/>
      <c r="J6837" s="37">
        <v>0</v>
      </c>
    </row>
    <row r="6838" spans="1:10" ht="25.5" hidden="1" x14ac:dyDescent="0.25">
      <c r="A6838" s="174"/>
      <c r="B6838" s="177"/>
      <c r="C6838" s="43" t="s">
        <v>11373</v>
      </c>
      <c r="D6838" s="43" t="s">
        <v>83</v>
      </c>
      <c r="E6838" s="44">
        <v>1</v>
      </c>
      <c r="F6838" s="38">
        <v>59.241999999999997</v>
      </c>
      <c r="G6838" s="38">
        <f>IF(ISNUMBER(F6838),E6838*F6838,"")</f>
        <v>59.241999999999997</v>
      </c>
      <c r="H6838" s="46">
        <f>SUM(G6838:G6838)</f>
        <v>59.241999999999997</v>
      </c>
      <c r="I6838" s="47"/>
      <c r="J6838" s="37">
        <v>0</v>
      </c>
    </row>
    <row r="6839" spans="1:10" ht="15.75" hidden="1" thickBot="1" x14ac:dyDescent="0.3">
      <c r="A6839" s="175"/>
      <c r="B6839" s="178"/>
      <c r="C6839" s="49"/>
      <c r="D6839" s="49"/>
      <c r="E6839" s="50"/>
      <c r="F6839" s="51" t="s">
        <v>13</v>
      </c>
      <c r="G6839" s="51" t="str">
        <f>IF(ISNUMBER(F6839),E6839*F6839,"")</f>
        <v/>
      </c>
      <c r="H6839" s="53"/>
      <c r="I6839" s="38"/>
      <c r="J6839" s="37">
        <v>0</v>
      </c>
    </row>
    <row r="6840" spans="1:10" ht="15.75" hidden="1" thickBot="1" x14ac:dyDescent="0.3">
      <c r="A6840" s="173" t="s">
        <v>1614</v>
      </c>
      <c r="B6840" s="176" t="s">
        <v>7635</v>
      </c>
      <c r="C6840" s="31"/>
      <c r="D6840" s="32" t="s">
        <v>106</v>
      </c>
      <c r="E6840" s="33"/>
      <c r="F6840" s="54" t="s">
        <v>13</v>
      </c>
      <c r="G6840" s="34" t="str">
        <f>IF(ISNUMBER(F6840),E6840*F6840,"")</f>
        <v/>
      </c>
      <c r="H6840" s="35"/>
      <c r="I6840" s="36"/>
      <c r="J6840" s="37">
        <v>0</v>
      </c>
    </row>
    <row r="6841" spans="1:10" hidden="1" x14ac:dyDescent="0.25">
      <c r="A6841" s="174"/>
      <c r="B6841" s="177"/>
      <c r="C6841" s="39"/>
      <c r="D6841" s="39"/>
      <c r="E6841" s="40"/>
      <c r="F6841" s="55" t="s">
        <v>13</v>
      </c>
      <c r="G6841" s="38" t="str">
        <f>IF(ISNUMBER(F6841),E6841*F6841,"")</f>
        <v/>
      </c>
      <c r="H6841" s="42"/>
      <c r="I6841" s="38"/>
      <c r="J6841" s="37">
        <v>0</v>
      </c>
    </row>
    <row r="6842" spans="1:10" ht="25.5" hidden="1" x14ac:dyDescent="0.25">
      <c r="A6842" s="174"/>
      <c r="B6842" s="177"/>
      <c r="C6842" s="43" t="s">
        <v>11042</v>
      </c>
      <c r="D6842" s="43" t="s">
        <v>1302</v>
      </c>
      <c r="E6842" s="44">
        <v>1</v>
      </c>
      <c r="F6842" s="38">
        <v>85.176999999999992</v>
      </c>
      <c r="G6842" s="38">
        <f>IF(ISNUMBER(F6842),E6842*F6842,"")</f>
        <v>85.176999999999992</v>
      </c>
      <c r="H6842" s="46">
        <f>SUM(G6842:G6842)</f>
        <v>85.176999999999992</v>
      </c>
      <c r="I6842" s="47"/>
      <c r="J6842" s="37">
        <v>0</v>
      </c>
    </row>
    <row r="6843" spans="1:10" ht="15.75" hidden="1" thickBot="1" x14ac:dyDescent="0.3">
      <c r="A6843" s="175"/>
      <c r="B6843" s="178"/>
      <c r="C6843" s="49"/>
      <c r="D6843" s="49"/>
      <c r="E6843" s="50"/>
      <c r="F6843" s="51" t="s">
        <v>13</v>
      </c>
      <c r="G6843" s="51" t="str">
        <f>IF(ISNUMBER(F6843),E6843*F6843,"")</f>
        <v/>
      </c>
      <c r="H6843" s="53"/>
      <c r="I6843" s="38"/>
      <c r="J6843" s="37">
        <v>0</v>
      </c>
    </row>
    <row r="6844" spans="1:10" ht="15.75" hidden="1" thickBot="1" x14ac:dyDescent="0.3">
      <c r="A6844" s="173" t="s">
        <v>1615</v>
      </c>
      <c r="B6844" s="176" t="s">
        <v>7636</v>
      </c>
      <c r="C6844" s="31"/>
      <c r="D6844" s="32" t="s">
        <v>106</v>
      </c>
      <c r="E6844" s="33"/>
      <c r="F6844" s="54" t="s">
        <v>13</v>
      </c>
      <c r="G6844" s="34" t="str">
        <f>IF(ISNUMBER(F6844),E6844*F6844,"")</f>
        <v/>
      </c>
      <c r="H6844" s="35"/>
      <c r="I6844" s="36"/>
      <c r="J6844" s="37">
        <v>0</v>
      </c>
    </row>
    <row r="6845" spans="1:10" hidden="1" x14ac:dyDescent="0.25">
      <c r="A6845" s="174"/>
      <c r="B6845" s="177"/>
      <c r="C6845" s="39"/>
      <c r="D6845" s="39"/>
      <c r="E6845" s="40"/>
      <c r="F6845" s="55" t="s">
        <v>13</v>
      </c>
      <c r="G6845" s="38" t="str">
        <f>IF(ISNUMBER(F6845),E6845*F6845,"")</f>
        <v/>
      </c>
      <c r="H6845" s="42"/>
      <c r="I6845" s="38"/>
      <c r="J6845" s="37">
        <v>0</v>
      </c>
    </row>
    <row r="6846" spans="1:10" ht="25.5" hidden="1" x14ac:dyDescent="0.25">
      <c r="A6846" s="174"/>
      <c r="B6846" s="177"/>
      <c r="C6846" s="43" t="s">
        <v>11043</v>
      </c>
      <c r="D6846" s="43" t="s">
        <v>1302</v>
      </c>
      <c r="E6846" s="44">
        <v>1</v>
      </c>
      <c r="F6846" s="38">
        <v>108.1005</v>
      </c>
      <c r="G6846" s="38">
        <f>IF(ISNUMBER(F6846),E6846*F6846,"")</f>
        <v>108.1005</v>
      </c>
      <c r="H6846" s="46">
        <f>SUM(G6846:G6846)</f>
        <v>108.1005</v>
      </c>
      <c r="I6846" s="47"/>
      <c r="J6846" s="37">
        <v>0</v>
      </c>
    </row>
    <row r="6847" spans="1:10" ht="15.75" hidden="1" thickBot="1" x14ac:dyDescent="0.3">
      <c r="A6847" s="175"/>
      <c r="B6847" s="178"/>
      <c r="C6847" s="49"/>
      <c r="D6847" s="49"/>
      <c r="E6847" s="50"/>
      <c r="F6847" s="51" t="s">
        <v>13</v>
      </c>
      <c r="G6847" s="51" t="str">
        <f>IF(ISNUMBER(F6847),E6847*F6847,"")</f>
        <v/>
      </c>
      <c r="H6847" s="53"/>
      <c r="I6847" s="38"/>
      <c r="J6847" s="37">
        <v>0</v>
      </c>
    </row>
    <row r="6848" spans="1:10" ht="15.75" hidden="1" thickBot="1" x14ac:dyDescent="0.3">
      <c r="A6848" s="173" t="s">
        <v>1616</v>
      </c>
      <c r="B6848" s="176" t="s">
        <v>7637</v>
      </c>
      <c r="C6848" s="31"/>
      <c r="D6848" s="32" t="s">
        <v>106</v>
      </c>
      <c r="E6848" s="33"/>
      <c r="F6848" s="54" t="s">
        <v>13</v>
      </c>
      <c r="G6848" s="34" t="str">
        <f>IF(ISNUMBER(F6848),E6848*F6848,"")</f>
        <v/>
      </c>
      <c r="H6848" s="35"/>
      <c r="I6848" s="36"/>
      <c r="J6848" s="37">
        <v>0</v>
      </c>
    </row>
    <row r="6849" spans="1:10" hidden="1" x14ac:dyDescent="0.25">
      <c r="A6849" s="174"/>
      <c r="B6849" s="177"/>
      <c r="C6849" s="39"/>
      <c r="D6849" s="39"/>
      <c r="E6849" s="40"/>
      <c r="F6849" s="55" t="s">
        <v>13</v>
      </c>
      <c r="G6849" s="38" t="str">
        <f>IF(ISNUMBER(F6849),E6849*F6849,"")</f>
        <v/>
      </c>
      <c r="H6849" s="42"/>
      <c r="I6849" s="38"/>
      <c r="J6849" s="37">
        <v>0</v>
      </c>
    </row>
    <row r="6850" spans="1:10" ht="25.5" hidden="1" x14ac:dyDescent="0.25">
      <c r="A6850" s="174"/>
      <c r="B6850" s="177"/>
      <c r="C6850" s="43" t="s">
        <v>11044</v>
      </c>
      <c r="D6850" s="43" t="s">
        <v>1302</v>
      </c>
      <c r="E6850" s="44">
        <v>1</v>
      </c>
      <c r="F6850" s="38">
        <v>211.98299999999998</v>
      </c>
      <c r="G6850" s="38">
        <f>IF(ISNUMBER(F6850),E6850*F6850,"")</f>
        <v>211.98299999999998</v>
      </c>
      <c r="H6850" s="46">
        <f>SUM(G6850:G6850)</f>
        <v>211.98299999999998</v>
      </c>
      <c r="I6850" s="47"/>
      <c r="J6850" s="37">
        <v>0</v>
      </c>
    </row>
    <row r="6851" spans="1:10" ht="15.75" hidden="1" thickBot="1" x14ac:dyDescent="0.3">
      <c r="A6851" s="175"/>
      <c r="B6851" s="178"/>
      <c r="C6851" s="49"/>
      <c r="D6851" s="49"/>
      <c r="E6851" s="50"/>
      <c r="F6851" s="51" t="s">
        <v>13</v>
      </c>
      <c r="G6851" s="51" t="str">
        <f>IF(ISNUMBER(F6851),E6851*F6851,"")</f>
        <v/>
      </c>
      <c r="H6851" s="53"/>
      <c r="I6851" s="38"/>
      <c r="J6851" s="37">
        <v>0</v>
      </c>
    </row>
    <row r="6852" spans="1:10" ht="15.75" hidden="1" thickBot="1" x14ac:dyDescent="0.3">
      <c r="A6852" s="173" t="s">
        <v>1617</v>
      </c>
      <c r="B6852" s="176" t="s">
        <v>7638</v>
      </c>
      <c r="C6852" s="31"/>
      <c r="D6852" s="32" t="s">
        <v>106</v>
      </c>
      <c r="E6852" s="33"/>
      <c r="F6852" s="54" t="s">
        <v>13</v>
      </c>
      <c r="G6852" s="34" t="str">
        <f>IF(ISNUMBER(F6852),E6852*F6852,"")</f>
        <v/>
      </c>
      <c r="H6852" s="35"/>
      <c r="I6852" s="36"/>
      <c r="J6852" s="37">
        <v>0</v>
      </c>
    </row>
    <row r="6853" spans="1:10" hidden="1" x14ac:dyDescent="0.25">
      <c r="A6853" s="174"/>
      <c r="B6853" s="177"/>
      <c r="C6853" s="39"/>
      <c r="D6853" s="39"/>
      <c r="E6853" s="40"/>
      <c r="F6853" s="55" t="s">
        <v>13</v>
      </c>
      <c r="G6853" s="38" t="str">
        <f>IF(ISNUMBER(F6853),E6853*F6853,"")</f>
        <v/>
      </c>
      <c r="H6853" s="42"/>
      <c r="I6853" s="38"/>
      <c r="J6853" s="37">
        <v>0</v>
      </c>
    </row>
    <row r="6854" spans="1:10" ht="25.5" hidden="1" x14ac:dyDescent="0.25">
      <c r="A6854" s="174"/>
      <c r="B6854" s="177"/>
      <c r="C6854" s="43" t="s">
        <v>11374</v>
      </c>
      <c r="D6854" s="43" t="s">
        <v>1302</v>
      </c>
      <c r="E6854" s="44">
        <v>1</v>
      </c>
      <c r="F6854" s="38">
        <v>156.98749999999998</v>
      </c>
      <c r="G6854" s="38">
        <f>IF(ISNUMBER(F6854),E6854*F6854,"")</f>
        <v>156.98749999999998</v>
      </c>
      <c r="H6854" s="46">
        <f>SUM(G6854:G6854)</f>
        <v>156.98749999999998</v>
      </c>
      <c r="I6854" s="47"/>
      <c r="J6854" s="37">
        <v>0</v>
      </c>
    </row>
    <row r="6855" spans="1:10" ht="15.75" hidden="1" thickBot="1" x14ac:dyDescent="0.3">
      <c r="A6855" s="175"/>
      <c r="B6855" s="178"/>
      <c r="C6855" s="49"/>
      <c r="D6855" s="49"/>
      <c r="E6855" s="50"/>
      <c r="F6855" s="51" t="s">
        <v>13</v>
      </c>
      <c r="G6855" s="51" t="str">
        <f>IF(ISNUMBER(F6855),E6855*F6855,"")</f>
        <v/>
      </c>
      <c r="H6855" s="53"/>
      <c r="I6855" s="38"/>
      <c r="J6855" s="37">
        <v>0</v>
      </c>
    </row>
    <row r="6856" spans="1:10" ht="15.75" hidden="1" thickBot="1" x14ac:dyDescent="0.3">
      <c r="A6856" s="173" t="s">
        <v>1618</v>
      </c>
      <c r="B6856" s="176" t="s">
        <v>7639</v>
      </c>
      <c r="C6856" s="31"/>
      <c r="D6856" s="32" t="s">
        <v>106</v>
      </c>
      <c r="E6856" s="33"/>
      <c r="F6856" s="54" t="s">
        <v>13</v>
      </c>
      <c r="G6856" s="34" t="str">
        <f>IF(ISNUMBER(F6856),E6856*F6856,"")</f>
        <v/>
      </c>
      <c r="H6856" s="35"/>
      <c r="I6856" s="36"/>
      <c r="J6856" s="37">
        <v>0</v>
      </c>
    </row>
    <row r="6857" spans="1:10" hidden="1" x14ac:dyDescent="0.25">
      <c r="A6857" s="174"/>
      <c r="B6857" s="177"/>
      <c r="C6857" s="39"/>
      <c r="D6857" s="39"/>
      <c r="E6857" s="40"/>
      <c r="F6857" s="55" t="s">
        <v>13</v>
      </c>
      <c r="G6857" s="38" t="str">
        <f>IF(ISNUMBER(F6857),E6857*F6857,"")</f>
        <v/>
      </c>
      <c r="H6857" s="42"/>
      <c r="I6857" s="38"/>
      <c r="J6857" s="37">
        <v>0</v>
      </c>
    </row>
    <row r="6858" spans="1:10" ht="25.5" hidden="1" x14ac:dyDescent="0.25">
      <c r="A6858" s="174"/>
      <c r="B6858" s="177"/>
      <c r="C6858" s="43" t="s">
        <v>11375</v>
      </c>
      <c r="D6858" s="43" t="s">
        <v>1302</v>
      </c>
      <c r="E6858" s="44">
        <v>1</v>
      </c>
      <c r="F6858" s="38">
        <v>307.42950000000002</v>
      </c>
      <c r="G6858" s="38">
        <f>IF(ISNUMBER(F6858),E6858*F6858,"")</f>
        <v>307.42950000000002</v>
      </c>
      <c r="H6858" s="46">
        <f>SUM(G6858:G6858)</f>
        <v>307.42950000000002</v>
      </c>
      <c r="I6858" s="47"/>
      <c r="J6858" s="37">
        <v>0</v>
      </c>
    </row>
    <row r="6859" spans="1:10" ht="15.75" hidden="1" thickBot="1" x14ac:dyDescent="0.3">
      <c r="A6859" s="175"/>
      <c r="B6859" s="178"/>
      <c r="C6859" s="49"/>
      <c r="D6859" s="49"/>
      <c r="E6859" s="50"/>
      <c r="F6859" s="51" t="s">
        <v>13</v>
      </c>
      <c r="G6859" s="51" t="str">
        <f>IF(ISNUMBER(F6859),E6859*F6859,"")</f>
        <v/>
      </c>
      <c r="H6859" s="53"/>
      <c r="I6859" s="38"/>
      <c r="J6859" s="37">
        <v>0</v>
      </c>
    </row>
    <row r="6860" spans="1:10" ht="15.75" hidden="1" thickBot="1" x14ac:dyDescent="0.3">
      <c r="A6860" s="173" t="s">
        <v>1619</v>
      </c>
      <c r="B6860" s="176" t="s">
        <v>7640</v>
      </c>
      <c r="C6860" s="31"/>
      <c r="D6860" s="32" t="s">
        <v>106</v>
      </c>
      <c r="E6860" s="33"/>
      <c r="F6860" s="54" t="s">
        <v>13</v>
      </c>
      <c r="G6860" s="34" t="str">
        <f>IF(ISNUMBER(F6860),E6860*F6860,"")</f>
        <v/>
      </c>
      <c r="H6860" s="35"/>
      <c r="I6860" s="36"/>
      <c r="J6860" s="37">
        <v>0</v>
      </c>
    </row>
    <row r="6861" spans="1:10" hidden="1" x14ac:dyDescent="0.25">
      <c r="A6861" s="174"/>
      <c r="B6861" s="177"/>
      <c r="C6861" s="39"/>
      <c r="D6861" s="39"/>
      <c r="E6861" s="40"/>
      <c r="F6861" s="55" t="s">
        <v>13</v>
      </c>
      <c r="G6861" s="38" t="str">
        <f>IF(ISNUMBER(F6861),E6861*F6861,"")</f>
        <v/>
      </c>
      <c r="H6861" s="42"/>
      <c r="I6861" s="38"/>
      <c r="J6861" s="37">
        <v>0</v>
      </c>
    </row>
    <row r="6862" spans="1:10" ht="25.5" hidden="1" x14ac:dyDescent="0.25">
      <c r="A6862" s="174"/>
      <c r="B6862" s="177"/>
      <c r="C6862" s="43" t="s">
        <v>11376</v>
      </c>
      <c r="D6862" s="43" t="s">
        <v>1302</v>
      </c>
      <c r="E6862" s="44">
        <v>1</v>
      </c>
      <c r="F6862" s="38">
        <v>433.10499999999996</v>
      </c>
      <c r="G6862" s="38">
        <f>IF(ISNUMBER(F6862),E6862*F6862,"")</f>
        <v>433.10499999999996</v>
      </c>
      <c r="H6862" s="46">
        <f>SUM(G6862:G6862)</f>
        <v>433.10499999999996</v>
      </c>
      <c r="I6862" s="47"/>
      <c r="J6862" s="37">
        <v>0</v>
      </c>
    </row>
    <row r="6863" spans="1:10" ht="15.75" hidden="1" thickBot="1" x14ac:dyDescent="0.3">
      <c r="A6863" s="175"/>
      <c r="B6863" s="178"/>
      <c r="C6863" s="49"/>
      <c r="D6863" s="49"/>
      <c r="E6863" s="50"/>
      <c r="F6863" s="51" t="s">
        <v>13</v>
      </c>
      <c r="G6863" s="51" t="str">
        <f>IF(ISNUMBER(F6863),E6863*F6863,"")</f>
        <v/>
      </c>
      <c r="H6863" s="53"/>
      <c r="I6863" s="38"/>
      <c r="J6863" s="37">
        <v>0</v>
      </c>
    </row>
    <row r="6864" spans="1:10" ht="15.75" hidden="1" thickBot="1" x14ac:dyDescent="0.3">
      <c r="A6864" s="173" t="s">
        <v>1620</v>
      </c>
      <c r="B6864" s="176" t="s">
        <v>7641</v>
      </c>
      <c r="C6864" s="31"/>
      <c r="D6864" s="32" t="s">
        <v>106</v>
      </c>
      <c r="E6864" s="33"/>
      <c r="F6864" s="54" t="s">
        <v>13</v>
      </c>
      <c r="G6864" s="34" t="str">
        <f>IF(ISNUMBER(F6864),E6864*F6864,"")</f>
        <v/>
      </c>
      <c r="H6864" s="35"/>
      <c r="I6864" s="36"/>
      <c r="J6864" s="37">
        <v>0</v>
      </c>
    </row>
    <row r="6865" spans="1:10" hidden="1" x14ac:dyDescent="0.25">
      <c r="A6865" s="174"/>
      <c r="B6865" s="177"/>
      <c r="C6865" s="39"/>
      <c r="D6865" s="39"/>
      <c r="E6865" s="40"/>
      <c r="F6865" s="55" t="s">
        <v>13</v>
      </c>
      <c r="G6865" s="38" t="str">
        <f>IF(ISNUMBER(F6865),E6865*F6865,"")</f>
        <v/>
      </c>
      <c r="H6865" s="42"/>
      <c r="I6865" s="38"/>
      <c r="J6865" s="37">
        <v>0</v>
      </c>
    </row>
    <row r="6866" spans="1:10" ht="25.5" hidden="1" x14ac:dyDescent="0.25">
      <c r="A6866" s="174"/>
      <c r="B6866" s="177"/>
      <c r="C6866" s="43" t="s">
        <v>11377</v>
      </c>
      <c r="D6866" s="43" t="s">
        <v>1302</v>
      </c>
      <c r="E6866" s="44">
        <v>1</v>
      </c>
      <c r="F6866" s="38">
        <v>633.13700000000006</v>
      </c>
      <c r="G6866" s="38">
        <f>IF(ISNUMBER(F6866),E6866*F6866,"")</f>
        <v>633.13700000000006</v>
      </c>
      <c r="H6866" s="46">
        <f>SUM(G6866:G6866)</f>
        <v>633.13700000000006</v>
      </c>
      <c r="I6866" s="47"/>
      <c r="J6866" s="37">
        <v>0</v>
      </c>
    </row>
    <row r="6867" spans="1:10" ht="15.75" hidden="1" thickBot="1" x14ac:dyDescent="0.3">
      <c r="A6867" s="175"/>
      <c r="B6867" s="178"/>
      <c r="C6867" s="49"/>
      <c r="D6867" s="49"/>
      <c r="E6867" s="50"/>
      <c r="F6867" s="51" t="s">
        <v>13</v>
      </c>
      <c r="G6867" s="51" t="str">
        <f>IF(ISNUMBER(F6867),E6867*F6867,"")</f>
        <v/>
      </c>
      <c r="H6867" s="53"/>
      <c r="I6867" s="38"/>
      <c r="J6867" s="37">
        <v>0</v>
      </c>
    </row>
    <row r="6868" spans="1:10" ht="15.75" hidden="1" thickBot="1" x14ac:dyDescent="0.3">
      <c r="A6868" s="173" t="s">
        <v>1621</v>
      </c>
      <c r="B6868" s="176" t="s">
        <v>7642</v>
      </c>
      <c r="C6868" s="31"/>
      <c r="D6868" s="32" t="s">
        <v>106</v>
      </c>
      <c r="E6868" s="33"/>
      <c r="F6868" s="54" t="s">
        <v>13</v>
      </c>
      <c r="G6868" s="34" t="str">
        <f>IF(ISNUMBER(F6868),E6868*F6868,"")</f>
        <v/>
      </c>
      <c r="H6868" s="35"/>
      <c r="I6868" s="36"/>
      <c r="J6868" s="37">
        <v>0</v>
      </c>
    </row>
    <row r="6869" spans="1:10" hidden="1" x14ac:dyDescent="0.25">
      <c r="A6869" s="174"/>
      <c r="B6869" s="177"/>
      <c r="C6869" s="39"/>
      <c r="D6869" s="39"/>
      <c r="E6869" s="40"/>
      <c r="F6869" s="55" t="s">
        <v>13</v>
      </c>
      <c r="G6869" s="38" t="str">
        <f>IF(ISNUMBER(F6869),E6869*F6869,"")</f>
        <v/>
      </c>
      <c r="H6869" s="42"/>
      <c r="I6869" s="38"/>
      <c r="J6869" s="37">
        <v>0</v>
      </c>
    </row>
    <row r="6870" spans="1:10" ht="25.5" hidden="1" x14ac:dyDescent="0.25">
      <c r="A6870" s="174"/>
      <c r="B6870" s="177"/>
      <c r="C6870" s="43" t="s">
        <v>11378</v>
      </c>
      <c r="D6870" s="43" t="s">
        <v>1302</v>
      </c>
      <c r="E6870" s="44">
        <v>1</v>
      </c>
      <c r="F6870" s="38">
        <v>933.58399999999995</v>
      </c>
      <c r="G6870" s="38">
        <f>IF(ISNUMBER(F6870),E6870*F6870,"")</f>
        <v>933.58399999999995</v>
      </c>
      <c r="H6870" s="46">
        <f>SUM(G6870:G6870)</f>
        <v>933.58399999999995</v>
      </c>
      <c r="I6870" s="47"/>
      <c r="J6870" s="37">
        <v>0</v>
      </c>
    </row>
    <row r="6871" spans="1:10" ht="15.75" hidden="1" thickBot="1" x14ac:dyDescent="0.3">
      <c r="A6871" s="175"/>
      <c r="B6871" s="178"/>
      <c r="C6871" s="49"/>
      <c r="D6871" s="49"/>
      <c r="E6871" s="50"/>
      <c r="F6871" s="51" t="s">
        <v>13</v>
      </c>
      <c r="G6871" s="51" t="str">
        <f>IF(ISNUMBER(F6871),E6871*F6871,"")</f>
        <v/>
      </c>
      <c r="H6871" s="53"/>
      <c r="I6871" s="38"/>
      <c r="J6871" s="37">
        <v>0</v>
      </c>
    </row>
    <row r="6872" spans="1:10" ht="15.75" hidden="1" thickBot="1" x14ac:dyDescent="0.3">
      <c r="A6872" s="173" t="s">
        <v>1622</v>
      </c>
      <c r="B6872" s="176" t="s">
        <v>7643</v>
      </c>
      <c r="C6872" s="31"/>
      <c r="D6872" s="32" t="s">
        <v>106</v>
      </c>
      <c r="E6872" s="33"/>
      <c r="F6872" s="54" t="s">
        <v>13</v>
      </c>
      <c r="G6872" s="34" t="str">
        <f>IF(ISNUMBER(F6872),E6872*F6872,"")</f>
        <v/>
      </c>
      <c r="H6872" s="35"/>
      <c r="I6872" s="36"/>
      <c r="J6872" s="37">
        <v>0</v>
      </c>
    </row>
    <row r="6873" spans="1:10" hidden="1" x14ac:dyDescent="0.25">
      <c r="A6873" s="174"/>
      <c r="B6873" s="177"/>
      <c r="C6873" s="39"/>
      <c r="D6873" s="39"/>
      <c r="E6873" s="40"/>
      <c r="F6873" s="55" t="s">
        <v>13</v>
      </c>
      <c r="G6873" s="38" t="str">
        <f>IF(ISNUMBER(F6873),E6873*F6873,"")</f>
        <v/>
      </c>
      <c r="H6873" s="42"/>
      <c r="I6873" s="38"/>
      <c r="J6873" s="37">
        <v>0</v>
      </c>
    </row>
    <row r="6874" spans="1:10" ht="25.5" hidden="1" x14ac:dyDescent="0.25">
      <c r="A6874" s="174"/>
      <c r="B6874" s="177"/>
      <c r="C6874" s="43" t="s">
        <v>11189</v>
      </c>
      <c r="D6874" s="43" t="s">
        <v>1302</v>
      </c>
      <c r="E6874" s="44">
        <v>1</v>
      </c>
      <c r="F6874" s="38">
        <v>18.040499999999998</v>
      </c>
      <c r="G6874" s="38">
        <f>IF(ISNUMBER(F6874),E6874*F6874,"")</f>
        <v>18.040499999999998</v>
      </c>
      <c r="H6874" s="46">
        <f>SUM(G6874:G6874)</f>
        <v>18.040499999999998</v>
      </c>
      <c r="I6874" s="47"/>
      <c r="J6874" s="37">
        <v>0</v>
      </c>
    </row>
    <row r="6875" spans="1:10" ht="15.75" hidden="1" thickBot="1" x14ac:dyDescent="0.3">
      <c r="A6875" s="175"/>
      <c r="B6875" s="178"/>
      <c r="C6875" s="49"/>
      <c r="D6875" s="49"/>
      <c r="E6875" s="50"/>
      <c r="F6875" s="51" t="s">
        <v>13</v>
      </c>
      <c r="G6875" s="51" t="str">
        <f>IF(ISNUMBER(F6875),E6875*F6875,"")</f>
        <v/>
      </c>
      <c r="H6875" s="53"/>
      <c r="I6875" s="38"/>
      <c r="J6875" s="37">
        <v>0</v>
      </c>
    </row>
    <row r="6876" spans="1:10" ht="15.75" hidden="1" thickBot="1" x14ac:dyDescent="0.3">
      <c r="A6876" s="173" t="s">
        <v>1623</v>
      </c>
      <c r="B6876" s="176" t="s">
        <v>7644</v>
      </c>
      <c r="C6876" s="31"/>
      <c r="D6876" s="32" t="s">
        <v>106</v>
      </c>
      <c r="E6876" s="33"/>
      <c r="F6876" s="54" t="s">
        <v>13</v>
      </c>
      <c r="G6876" s="34" t="str">
        <f>IF(ISNUMBER(F6876),E6876*F6876,"")</f>
        <v/>
      </c>
      <c r="H6876" s="35"/>
      <c r="I6876" s="36"/>
      <c r="J6876" s="37">
        <v>0</v>
      </c>
    </row>
    <row r="6877" spans="1:10" hidden="1" x14ac:dyDescent="0.25">
      <c r="A6877" s="174"/>
      <c r="B6877" s="177"/>
      <c r="C6877" s="39"/>
      <c r="D6877" s="39"/>
      <c r="E6877" s="40"/>
      <c r="F6877" s="55" t="s">
        <v>13</v>
      </c>
      <c r="G6877" s="38" t="str">
        <f>IF(ISNUMBER(F6877),E6877*F6877,"")</f>
        <v/>
      </c>
      <c r="H6877" s="42"/>
      <c r="I6877" s="38"/>
      <c r="J6877" s="37">
        <v>0</v>
      </c>
    </row>
    <row r="6878" spans="1:10" ht="25.5" hidden="1" x14ac:dyDescent="0.25">
      <c r="A6878" s="174"/>
      <c r="B6878" s="177"/>
      <c r="C6878" s="43" t="s">
        <v>11190</v>
      </c>
      <c r="D6878" s="43" t="s">
        <v>1302</v>
      </c>
      <c r="E6878" s="44">
        <v>1</v>
      </c>
      <c r="F6878" s="38">
        <v>31.0745</v>
      </c>
      <c r="G6878" s="38">
        <f>IF(ISNUMBER(F6878),E6878*F6878,"")</f>
        <v>31.0745</v>
      </c>
      <c r="H6878" s="46">
        <f>SUM(G6878:G6878)</f>
        <v>31.0745</v>
      </c>
      <c r="I6878" s="47"/>
      <c r="J6878" s="37">
        <v>0</v>
      </c>
    </row>
    <row r="6879" spans="1:10" ht="15.75" hidden="1" thickBot="1" x14ac:dyDescent="0.3">
      <c r="A6879" s="175"/>
      <c r="B6879" s="178"/>
      <c r="C6879" s="49"/>
      <c r="D6879" s="49"/>
      <c r="E6879" s="50"/>
      <c r="F6879" s="51" t="s">
        <v>13</v>
      </c>
      <c r="G6879" s="51" t="str">
        <f>IF(ISNUMBER(F6879),E6879*F6879,"")</f>
        <v/>
      </c>
      <c r="H6879" s="53"/>
      <c r="I6879" s="38"/>
      <c r="J6879" s="37">
        <v>0</v>
      </c>
    </row>
    <row r="6880" spans="1:10" ht="15.75" hidden="1" thickBot="1" x14ac:dyDescent="0.3">
      <c r="A6880" s="173" t="s">
        <v>1624</v>
      </c>
      <c r="B6880" s="176" t="s">
        <v>7645</v>
      </c>
      <c r="C6880" s="31"/>
      <c r="D6880" s="32" t="s">
        <v>106</v>
      </c>
      <c r="E6880" s="33"/>
      <c r="F6880" s="54" t="s">
        <v>13</v>
      </c>
      <c r="G6880" s="34" t="str">
        <f>IF(ISNUMBER(F6880),E6880*F6880,"")</f>
        <v/>
      </c>
      <c r="H6880" s="35"/>
      <c r="I6880" s="36"/>
      <c r="J6880" s="37">
        <v>0</v>
      </c>
    </row>
    <row r="6881" spans="1:10" hidden="1" x14ac:dyDescent="0.25">
      <c r="A6881" s="174"/>
      <c r="B6881" s="177"/>
      <c r="C6881" s="39"/>
      <c r="D6881" s="39"/>
      <c r="E6881" s="40"/>
      <c r="F6881" s="55" t="s">
        <v>13</v>
      </c>
      <c r="G6881" s="38" t="str">
        <f>IF(ISNUMBER(F6881),E6881*F6881,"")</f>
        <v/>
      </c>
      <c r="H6881" s="42"/>
      <c r="I6881" s="38"/>
      <c r="J6881" s="37">
        <v>0</v>
      </c>
    </row>
    <row r="6882" spans="1:10" ht="25.5" hidden="1" x14ac:dyDescent="0.25">
      <c r="A6882" s="174"/>
      <c r="B6882" s="177"/>
      <c r="C6882" s="43" t="s">
        <v>11379</v>
      </c>
      <c r="D6882" s="43" t="s">
        <v>1302</v>
      </c>
      <c r="E6882" s="44">
        <v>1</v>
      </c>
      <c r="F6882" s="38">
        <v>44.2605</v>
      </c>
      <c r="G6882" s="38">
        <f>IF(ISNUMBER(F6882),E6882*F6882,"")</f>
        <v>44.2605</v>
      </c>
      <c r="H6882" s="46">
        <f>SUM(G6882:G6882)</f>
        <v>44.2605</v>
      </c>
      <c r="I6882" s="47"/>
      <c r="J6882" s="37">
        <v>0</v>
      </c>
    </row>
    <row r="6883" spans="1:10" ht="15.75" hidden="1" thickBot="1" x14ac:dyDescent="0.3">
      <c r="A6883" s="175"/>
      <c r="B6883" s="178"/>
      <c r="C6883" s="49"/>
      <c r="D6883" s="49"/>
      <c r="E6883" s="50"/>
      <c r="F6883" s="51" t="s">
        <v>13</v>
      </c>
      <c r="G6883" s="51" t="str">
        <f>IF(ISNUMBER(F6883),E6883*F6883,"")</f>
        <v/>
      </c>
      <c r="H6883" s="53"/>
      <c r="I6883" s="38"/>
      <c r="J6883" s="37">
        <v>0</v>
      </c>
    </row>
    <row r="6884" spans="1:10" ht="15.75" hidden="1" thickBot="1" x14ac:dyDescent="0.3">
      <c r="A6884" s="173" t="s">
        <v>1625</v>
      </c>
      <c r="B6884" s="176" t="s">
        <v>7646</v>
      </c>
      <c r="C6884" s="31"/>
      <c r="D6884" s="32" t="s">
        <v>106</v>
      </c>
      <c r="E6884" s="33"/>
      <c r="F6884" s="54" t="s">
        <v>13</v>
      </c>
      <c r="G6884" s="34" t="str">
        <f>IF(ISNUMBER(F6884),E6884*F6884,"")</f>
        <v/>
      </c>
      <c r="H6884" s="35"/>
      <c r="I6884" s="36"/>
      <c r="J6884" s="37">
        <v>0</v>
      </c>
    </row>
    <row r="6885" spans="1:10" hidden="1" x14ac:dyDescent="0.25">
      <c r="A6885" s="174"/>
      <c r="B6885" s="177"/>
      <c r="C6885" s="39"/>
      <c r="D6885" s="39"/>
      <c r="E6885" s="40"/>
      <c r="F6885" s="55" t="s">
        <v>13</v>
      </c>
      <c r="G6885" s="38" t="str">
        <f>IF(ISNUMBER(F6885),E6885*F6885,"")</f>
        <v/>
      </c>
      <c r="H6885" s="42"/>
      <c r="I6885" s="38"/>
      <c r="J6885" s="37">
        <v>0</v>
      </c>
    </row>
    <row r="6886" spans="1:10" ht="25.5" hidden="1" x14ac:dyDescent="0.25">
      <c r="A6886" s="174"/>
      <c r="B6886" s="177"/>
      <c r="C6886" s="43" t="s">
        <v>11380</v>
      </c>
      <c r="D6886" s="43" t="s">
        <v>1302</v>
      </c>
      <c r="E6886" s="44">
        <v>1</v>
      </c>
      <c r="F6886" s="38">
        <v>17.375499999999999</v>
      </c>
      <c r="G6886" s="38">
        <f>IF(ISNUMBER(F6886),E6886*F6886,"")</f>
        <v>17.375499999999999</v>
      </c>
      <c r="H6886" s="46">
        <f>SUM(G6886:G6886)</f>
        <v>17.375499999999999</v>
      </c>
      <c r="I6886" s="47"/>
      <c r="J6886" s="37">
        <v>0</v>
      </c>
    </row>
    <row r="6887" spans="1:10" ht="15.75" hidden="1" thickBot="1" x14ac:dyDescent="0.3">
      <c r="A6887" s="175"/>
      <c r="B6887" s="178"/>
      <c r="C6887" s="49"/>
      <c r="D6887" s="49"/>
      <c r="E6887" s="50"/>
      <c r="F6887" s="51" t="s">
        <v>13</v>
      </c>
      <c r="G6887" s="51" t="str">
        <f>IF(ISNUMBER(F6887),E6887*F6887,"")</f>
        <v/>
      </c>
      <c r="H6887" s="53"/>
      <c r="I6887" s="38"/>
      <c r="J6887" s="37">
        <v>0</v>
      </c>
    </row>
    <row r="6888" spans="1:10" ht="15.75" hidden="1" thickBot="1" x14ac:dyDescent="0.3">
      <c r="A6888" s="173" t="s">
        <v>1626</v>
      </c>
      <c r="B6888" s="176" t="s">
        <v>7647</v>
      </c>
      <c r="C6888" s="31"/>
      <c r="D6888" s="32" t="s">
        <v>106</v>
      </c>
      <c r="E6888" s="33"/>
      <c r="F6888" s="54" t="s">
        <v>13</v>
      </c>
      <c r="G6888" s="34" t="str">
        <f>IF(ISNUMBER(F6888),E6888*F6888,"")</f>
        <v/>
      </c>
      <c r="H6888" s="35"/>
      <c r="I6888" s="36"/>
      <c r="J6888" s="37">
        <v>0</v>
      </c>
    </row>
    <row r="6889" spans="1:10" hidden="1" x14ac:dyDescent="0.25">
      <c r="A6889" s="174"/>
      <c r="B6889" s="177"/>
      <c r="C6889" s="39"/>
      <c r="D6889" s="39"/>
      <c r="E6889" s="40"/>
      <c r="F6889" s="55" t="s">
        <v>13</v>
      </c>
      <c r="G6889" s="38" t="str">
        <f>IF(ISNUMBER(F6889),E6889*F6889,"")</f>
        <v/>
      </c>
      <c r="H6889" s="42"/>
      <c r="I6889" s="38"/>
      <c r="J6889" s="37">
        <v>0</v>
      </c>
    </row>
    <row r="6890" spans="1:10" ht="25.5" hidden="1" x14ac:dyDescent="0.25">
      <c r="A6890" s="174"/>
      <c r="B6890" s="177"/>
      <c r="C6890" s="43" t="s">
        <v>11381</v>
      </c>
      <c r="D6890" s="43" t="s">
        <v>1302</v>
      </c>
      <c r="E6890" s="44">
        <v>1</v>
      </c>
      <c r="F6890" s="38">
        <v>22.619499999999999</v>
      </c>
      <c r="G6890" s="38">
        <f>IF(ISNUMBER(F6890),E6890*F6890,"")</f>
        <v>22.619499999999999</v>
      </c>
      <c r="H6890" s="46">
        <f>SUM(G6890:G6890)</f>
        <v>22.619499999999999</v>
      </c>
      <c r="I6890" s="47"/>
      <c r="J6890" s="37">
        <v>0</v>
      </c>
    </row>
    <row r="6891" spans="1:10" ht="15.75" hidden="1" thickBot="1" x14ac:dyDescent="0.3">
      <c r="A6891" s="175"/>
      <c r="B6891" s="178"/>
      <c r="C6891" s="49"/>
      <c r="D6891" s="49"/>
      <c r="E6891" s="50"/>
      <c r="F6891" s="51" t="s">
        <v>13</v>
      </c>
      <c r="G6891" s="51" t="str">
        <f>IF(ISNUMBER(F6891),E6891*F6891,"")</f>
        <v/>
      </c>
      <c r="H6891" s="53"/>
      <c r="I6891" s="38"/>
      <c r="J6891" s="37">
        <v>0</v>
      </c>
    </row>
    <row r="6892" spans="1:10" ht="15.75" hidden="1" thickBot="1" x14ac:dyDescent="0.3">
      <c r="A6892" s="173" t="s">
        <v>1627</v>
      </c>
      <c r="B6892" s="176" t="s">
        <v>7648</v>
      </c>
      <c r="C6892" s="31"/>
      <c r="D6892" s="32" t="s">
        <v>106</v>
      </c>
      <c r="E6892" s="33"/>
      <c r="F6892" s="54" t="s">
        <v>13</v>
      </c>
      <c r="G6892" s="34" t="str">
        <f>IF(ISNUMBER(F6892),E6892*F6892,"")</f>
        <v/>
      </c>
      <c r="H6892" s="35"/>
      <c r="I6892" s="36"/>
      <c r="J6892" s="37">
        <v>0</v>
      </c>
    </row>
    <row r="6893" spans="1:10" hidden="1" x14ac:dyDescent="0.25">
      <c r="A6893" s="174"/>
      <c r="B6893" s="177"/>
      <c r="C6893" s="39"/>
      <c r="D6893" s="39"/>
      <c r="E6893" s="40"/>
      <c r="F6893" s="55" t="s">
        <v>13</v>
      </c>
      <c r="G6893" s="38" t="str">
        <f>IF(ISNUMBER(F6893),E6893*F6893,"")</f>
        <v/>
      </c>
      <c r="H6893" s="42"/>
      <c r="I6893" s="38"/>
      <c r="J6893" s="37">
        <v>0</v>
      </c>
    </row>
    <row r="6894" spans="1:10" ht="25.5" hidden="1" x14ac:dyDescent="0.25">
      <c r="A6894" s="174"/>
      <c r="B6894" s="177"/>
      <c r="C6894" s="43" t="s">
        <v>11382</v>
      </c>
      <c r="D6894" s="43" t="s">
        <v>1302</v>
      </c>
      <c r="E6894" s="44">
        <v>1</v>
      </c>
      <c r="F6894" s="38">
        <v>30.371499999999997</v>
      </c>
      <c r="G6894" s="38">
        <f>IF(ISNUMBER(F6894),E6894*F6894,"")</f>
        <v>30.371499999999997</v>
      </c>
      <c r="H6894" s="46">
        <f>SUM(G6894:G6894)</f>
        <v>30.371499999999997</v>
      </c>
      <c r="I6894" s="47"/>
      <c r="J6894" s="37">
        <v>0</v>
      </c>
    </row>
    <row r="6895" spans="1:10" ht="15.75" hidden="1" thickBot="1" x14ac:dyDescent="0.3">
      <c r="A6895" s="175"/>
      <c r="B6895" s="178"/>
      <c r="C6895" s="49"/>
      <c r="D6895" s="49"/>
      <c r="E6895" s="50"/>
      <c r="F6895" s="51" t="s">
        <v>13</v>
      </c>
      <c r="G6895" s="51" t="str">
        <f>IF(ISNUMBER(F6895),E6895*F6895,"")</f>
        <v/>
      </c>
      <c r="H6895" s="53"/>
      <c r="I6895" s="38"/>
      <c r="J6895" s="37">
        <v>0</v>
      </c>
    </row>
    <row r="6896" spans="1:10" ht="15.75" hidden="1" thickBot="1" x14ac:dyDescent="0.3">
      <c r="A6896" s="173" t="s">
        <v>1628</v>
      </c>
      <c r="B6896" s="176" t="s">
        <v>7649</v>
      </c>
      <c r="C6896" s="31"/>
      <c r="D6896" s="32" t="s">
        <v>106</v>
      </c>
      <c r="E6896" s="33"/>
      <c r="F6896" s="54" t="s">
        <v>13</v>
      </c>
      <c r="G6896" s="34" t="str">
        <f>IF(ISNUMBER(F6896),E6896*F6896,"")</f>
        <v/>
      </c>
      <c r="H6896" s="35"/>
      <c r="I6896" s="36"/>
      <c r="J6896" s="37">
        <v>0</v>
      </c>
    </row>
    <row r="6897" spans="1:10" hidden="1" x14ac:dyDescent="0.25">
      <c r="A6897" s="174"/>
      <c r="B6897" s="177"/>
      <c r="C6897" s="39"/>
      <c r="D6897" s="39"/>
      <c r="E6897" s="40"/>
      <c r="F6897" s="55" t="s">
        <v>13</v>
      </c>
      <c r="G6897" s="38" t="str">
        <f>IF(ISNUMBER(F6897),E6897*F6897,"")</f>
        <v/>
      </c>
      <c r="H6897" s="42"/>
      <c r="I6897" s="38"/>
      <c r="J6897" s="37">
        <v>0</v>
      </c>
    </row>
    <row r="6898" spans="1:10" ht="25.5" hidden="1" x14ac:dyDescent="0.25">
      <c r="A6898" s="174"/>
      <c r="B6898" s="177"/>
      <c r="C6898" s="43" t="s">
        <v>11383</v>
      </c>
      <c r="D6898" s="43" t="s">
        <v>1302</v>
      </c>
      <c r="E6898" s="44">
        <v>1</v>
      </c>
      <c r="F6898" s="38">
        <v>63.830499999999994</v>
      </c>
      <c r="G6898" s="38">
        <f>IF(ISNUMBER(F6898),E6898*F6898,"")</f>
        <v>63.830499999999994</v>
      </c>
      <c r="H6898" s="46">
        <f>SUM(G6898:G6898)</f>
        <v>63.830499999999994</v>
      </c>
      <c r="I6898" s="47"/>
      <c r="J6898" s="37">
        <v>0</v>
      </c>
    </row>
    <row r="6899" spans="1:10" ht="15.75" hidden="1" thickBot="1" x14ac:dyDescent="0.3">
      <c r="A6899" s="175"/>
      <c r="B6899" s="178"/>
      <c r="C6899" s="49"/>
      <c r="D6899" s="49"/>
      <c r="E6899" s="50"/>
      <c r="F6899" s="51" t="s">
        <v>13</v>
      </c>
      <c r="G6899" s="51" t="str">
        <f>IF(ISNUMBER(F6899),E6899*F6899,"")</f>
        <v/>
      </c>
      <c r="H6899" s="53"/>
      <c r="I6899" s="38"/>
      <c r="J6899" s="37">
        <v>0</v>
      </c>
    </row>
    <row r="6900" spans="1:10" ht="15.75" hidden="1" thickBot="1" x14ac:dyDescent="0.3">
      <c r="A6900" s="173" t="s">
        <v>1629</v>
      </c>
      <c r="B6900" s="176" t="s">
        <v>7650</v>
      </c>
      <c r="C6900" s="31"/>
      <c r="D6900" s="32" t="s">
        <v>106</v>
      </c>
      <c r="E6900" s="33"/>
      <c r="F6900" s="54" t="s">
        <v>13</v>
      </c>
      <c r="G6900" s="34" t="str">
        <f>IF(ISNUMBER(F6900),E6900*F6900,"")</f>
        <v/>
      </c>
      <c r="H6900" s="35"/>
      <c r="I6900" s="36"/>
      <c r="J6900" s="37">
        <v>0</v>
      </c>
    </row>
    <row r="6901" spans="1:10" hidden="1" x14ac:dyDescent="0.25">
      <c r="A6901" s="174"/>
      <c r="B6901" s="177"/>
      <c r="C6901" s="39"/>
      <c r="D6901" s="39"/>
      <c r="E6901" s="40"/>
      <c r="F6901" s="55" t="s">
        <v>13</v>
      </c>
      <c r="G6901" s="38" t="str">
        <f>IF(ISNUMBER(F6901),E6901*F6901,"")</f>
        <v/>
      </c>
      <c r="H6901" s="42"/>
      <c r="I6901" s="38"/>
      <c r="J6901" s="37">
        <v>0</v>
      </c>
    </row>
    <row r="6902" spans="1:10" ht="25.5" hidden="1" x14ac:dyDescent="0.25">
      <c r="A6902" s="174"/>
      <c r="B6902" s="177"/>
      <c r="C6902" s="43" t="s">
        <v>11384</v>
      </c>
      <c r="D6902" s="43" t="s">
        <v>1302</v>
      </c>
      <c r="E6902" s="44">
        <v>1</v>
      </c>
      <c r="F6902" s="38">
        <v>89.318999999999988</v>
      </c>
      <c r="G6902" s="38">
        <f>IF(ISNUMBER(F6902),E6902*F6902,"")</f>
        <v>89.318999999999988</v>
      </c>
      <c r="H6902" s="46">
        <f>SUM(G6902:G6902)</f>
        <v>89.318999999999988</v>
      </c>
      <c r="I6902" s="47"/>
      <c r="J6902" s="37">
        <v>0</v>
      </c>
    </row>
    <row r="6903" spans="1:10" ht="15.75" hidden="1" thickBot="1" x14ac:dyDescent="0.3">
      <c r="A6903" s="175"/>
      <c r="B6903" s="178"/>
      <c r="C6903" s="49"/>
      <c r="D6903" s="49"/>
      <c r="E6903" s="50"/>
      <c r="F6903" s="51" t="s">
        <v>13</v>
      </c>
      <c r="G6903" s="51" t="str">
        <f>IF(ISNUMBER(F6903),E6903*F6903,"")</f>
        <v/>
      </c>
      <c r="H6903" s="53"/>
      <c r="I6903" s="38"/>
      <c r="J6903" s="37">
        <v>0</v>
      </c>
    </row>
    <row r="6904" spans="1:10" ht="15.75" hidden="1" thickBot="1" x14ac:dyDescent="0.3">
      <c r="A6904" s="173" t="s">
        <v>1630</v>
      </c>
      <c r="B6904" s="176" t="s">
        <v>7651</v>
      </c>
      <c r="C6904" s="31"/>
      <c r="D6904" s="32" t="s">
        <v>106</v>
      </c>
      <c r="E6904" s="33"/>
      <c r="F6904" s="54" t="s">
        <v>13</v>
      </c>
      <c r="G6904" s="34" t="str">
        <f>IF(ISNUMBER(F6904),E6904*F6904,"")</f>
        <v/>
      </c>
      <c r="H6904" s="35"/>
      <c r="I6904" s="36"/>
      <c r="J6904" s="37">
        <v>0</v>
      </c>
    </row>
    <row r="6905" spans="1:10" hidden="1" x14ac:dyDescent="0.25">
      <c r="A6905" s="174"/>
      <c r="B6905" s="177"/>
      <c r="C6905" s="39"/>
      <c r="D6905" s="39"/>
      <c r="E6905" s="40"/>
      <c r="F6905" s="55" t="s">
        <v>13</v>
      </c>
      <c r="G6905" s="38" t="str">
        <f>IF(ISNUMBER(F6905),E6905*F6905,"")</f>
        <v/>
      </c>
      <c r="H6905" s="42"/>
      <c r="I6905" s="38"/>
      <c r="J6905" s="37">
        <v>0</v>
      </c>
    </row>
    <row r="6906" spans="1:10" ht="25.5" hidden="1" x14ac:dyDescent="0.25">
      <c r="A6906" s="174"/>
      <c r="B6906" s="177"/>
      <c r="C6906" s="43" t="s">
        <v>11385</v>
      </c>
      <c r="D6906" s="43" t="s">
        <v>1302</v>
      </c>
      <c r="E6906" s="44">
        <v>1</v>
      </c>
      <c r="F6906" s="38">
        <v>102.6095</v>
      </c>
      <c r="G6906" s="38">
        <f>IF(ISNUMBER(F6906),E6906*F6906,"")</f>
        <v>102.6095</v>
      </c>
      <c r="H6906" s="46">
        <f>SUM(G6906:G6906)</f>
        <v>102.6095</v>
      </c>
      <c r="I6906" s="47"/>
      <c r="J6906" s="37">
        <v>0</v>
      </c>
    </row>
    <row r="6907" spans="1:10" ht="15.75" hidden="1" thickBot="1" x14ac:dyDescent="0.3">
      <c r="A6907" s="175"/>
      <c r="B6907" s="178"/>
      <c r="C6907" s="49"/>
      <c r="D6907" s="49"/>
      <c r="E6907" s="50"/>
      <c r="F6907" s="51" t="s">
        <v>13</v>
      </c>
      <c r="G6907" s="51" t="str">
        <f>IF(ISNUMBER(F6907),E6907*F6907,"")</f>
        <v/>
      </c>
      <c r="H6907" s="53"/>
      <c r="I6907" s="38"/>
      <c r="J6907" s="37">
        <v>0</v>
      </c>
    </row>
    <row r="6908" spans="1:10" ht="15.75" hidden="1" thickBot="1" x14ac:dyDescent="0.3">
      <c r="A6908" s="173" t="s">
        <v>1631</v>
      </c>
      <c r="B6908" s="176" t="s">
        <v>7652</v>
      </c>
      <c r="C6908" s="31"/>
      <c r="D6908" s="32" t="s">
        <v>18</v>
      </c>
      <c r="E6908" s="33"/>
      <c r="F6908" s="54" t="s">
        <v>13</v>
      </c>
      <c r="G6908" s="34" t="str">
        <f>IF(ISNUMBER(F6908),E6908*F6908,"")</f>
        <v/>
      </c>
      <c r="H6908" s="35"/>
      <c r="I6908" s="36"/>
      <c r="J6908" s="37">
        <v>0</v>
      </c>
    </row>
    <row r="6909" spans="1:10" hidden="1" x14ac:dyDescent="0.25">
      <c r="A6909" s="174"/>
      <c r="B6909" s="177"/>
      <c r="C6909" s="39"/>
      <c r="D6909" s="39"/>
      <c r="E6909" s="40"/>
      <c r="F6909" s="55" t="s">
        <v>13</v>
      </c>
      <c r="G6909" s="38" t="str">
        <f>IF(ISNUMBER(F6909),E6909*F6909,"")</f>
        <v/>
      </c>
      <c r="H6909" s="42"/>
      <c r="I6909" s="38"/>
      <c r="J6909" s="37">
        <v>0</v>
      </c>
    </row>
    <row r="6910" spans="1:10" hidden="1" x14ac:dyDescent="0.25">
      <c r="A6910" s="174"/>
      <c r="B6910" s="177"/>
      <c r="C6910" s="43" t="s">
        <v>11386</v>
      </c>
      <c r="D6910" s="43" t="s">
        <v>83</v>
      </c>
      <c r="E6910" s="44">
        <v>1</v>
      </c>
      <c r="F6910" s="38">
        <v>34.808</v>
      </c>
      <c r="G6910" s="38">
        <f>IF(ISNUMBER(F6910),E6910*F6910,"")</f>
        <v>34.808</v>
      </c>
      <c r="H6910" s="46">
        <f>SUM(G6910:G6910)</f>
        <v>34.808</v>
      </c>
      <c r="I6910" s="47"/>
      <c r="J6910" s="37">
        <v>0</v>
      </c>
    </row>
    <row r="6911" spans="1:10" ht="15.75" hidden="1" thickBot="1" x14ac:dyDescent="0.3">
      <c r="A6911" s="175"/>
      <c r="B6911" s="178"/>
      <c r="C6911" s="49"/>
      <c r="D6911" s="49"/>
      <c r="E6911" s="50"/>
      <c r="F6911" s="51" t="s">
        <v>13</v>
      </c>
      <c r="G6911" s="51" t="str">
        <f>IF(ISNUMBER(F6911),E6911*F6911,"")</f>
        <v/>
      </c>
      <c r="H6911" s="53"/>
      <c r="I6911" s="38"/>
      <c r="J6911" s="37">
        <v>0</v>
      </c>
    </row>
    <row r="6912" spans="1:10" ht="15.75" hidden="1" thickBot="1" x14ac:dyDescent="0.3">
      <c r="A6912" s="173" t="s">
        <v>1632</v>
      </c>
      <c r="B6912" s="176" t="s">
        <v>7653</v>
      </c>
      <c r="C6912" s="31"/>
      <c r="D6912" s="32" t="s">
        <v>18</v>
      </c>
      <c r="E6912" s="33"/>
      <c r="F6912" s="54" t="s">
        <v>13</v>
      </c>
      <c r="G6912" s="34" t="str">
        <f>IF(ISNUMBER(F6912),E6912*F6912,"")</f>
        <v/>
      </c>
      <c r="H6912" s="35"/>
      <c r="I6912" s="36"/>
      <c r="J6912" s="37">
        <v>0</v>
      </c>
    </row>
    <row r="6913" spans="1:10" hidden="1" x14ac:dyDescent="0.25">
      <c r="A6913" s="174"/>
      <c r="B6913" s="177"/>
      <c r="C6913" s="39"/>
      <c r="D6913" s="39"/>
      <c r="E6913" s="40"/>
      <c r="F6913" s="55" t="s">
        <v>13</v>
      </c>
      <c r="G6913" s="38" t="str">
        <f>IF(ISNUMBER(F6913),E6913*F6913,"")</f>
        <v/>
      </c>
      <c r="H6913" s="42"/>
      <c r="I6913" s="38"/>
      <c r="J6913" s="37">
        <v>0</v>
      </c>
    </row>
    <row r="6914" spans="1:10" hidden="1" x14ac:dyDescent="0.25">
      <c r="A6914" s="174"/>
      <c r="B6914" s="177"/>
      <c r="C6914" s="43" t="s">
        <v>11387</v>
      </c>
      <c r="D6914" s="43" t="s">
        <v>83</v>
      </c>
      <c r="E6914" s="44">
        <v>1</v>
      </c>
      <c r="F6914" s="38">
        <v>53.275999999999996</v>
      </c>
      <c r="G6914" s="38">
        <f>IF(ISNUMBER(F6914),E6914*F6914,"")</f>
        <v>53.275999999999996</v>
      </c>
      <c r="H6914" s="46">
        <f>SUM(G6914:G6914)</f>
        <v>53.275999999999996</v>
      </c>
      <c r="I6914" s="47"/>
      <c r="J6914" s="37">
        <v>0</v>
      </c>
    </row>
    <row r="6915" spans="1:10" ht="15.75" hidden="1" thickBot="1" x14ac:dyDescent="0.3">
      <c r="A6915" s="175"/>
      <c r="B6915" s="178"/>
      <c r="C6915" s="49"/>
      <c r="D6915" s="49"/>
      <c r="E6915" s="50"/>
      <c r="F6915" s="51" t="s">
        <v>13</v>
      </c>
      <c r="G6915" s="51" t="str">
        <f>IF(ISNUMBER(F6915),E6915*F6915,"")</f>
        <v/>
      </c>
      <c r="H6915" s="53"/>
      <c r="I6915" s="38"/>
      <c r="J6915" s="37">
        <v>0</v>
      </c>
    </row>
    <row r="6916" spans="1:10" ht="15.75" hidden="1" thickBot="1" x14ac:dyDescent="0.3">
      <c r="A6916" s="173" t="s">
        <v>1633</v>
      </c>
      <c r="B6916" s="176" t="s">
        <v>7654</v>
      </c>
      <c r="C6916" s="31"/>
      <c r="D6916" s="32" t="s">
        <v>18</v>
      </c>
      <c r="E6916" s="33"/>
      <c r="F6916" s="54" t="s">
        <v>13</v>
      </c>
      <c r="G6916" s="34" t="str">
        <f>IF(ISNUMBER(F6916),E6916*F6916,"")</f>
        <v/>
      </c>
      <c r="H6916" s="35"/>
      <c r="I6916" s="36"/>
      <c r="J6916" s="37">
        <v>0</v>
      </c>
    </row>
    <row r="6917" spans="1:10" hidden="1" x14ac:dyDescent="0.25">
      <c r="A6917" s="174"/>
      <c r="B6917" s="177"/>
      <c r="C6917" s="39"/>
      <c r="D6917" s="39"/>
      <c r="E6917" s="40"/>
      <c r="F6917" s="55" t="s">
        <v>13</v>
      </c>
      <c r="G6917" s="38" t="str">
        <f>IF(ISNUMBER(F6917),E6917*F6917,"")</f>
        <v/>
      </c>
      <c r="H6917" s="42"/>
      <c r="I6917" s="38"/>
      <c r="J6917" s="37">
        <v>0</v>
      </c>
    </row>
    <row r="6918" spans="1:10" hidden="1" x14ac:dyDescent="0.25">
      <c r="A6918" s="174"/>
      <c r="B6918" s="177"/>
      <c r="C6918" s="43" t="s">
        <v>11388</v>
      </c>
      <c r="D6918" s="43" t="s">
        <v>83</v>
      </c>
      <c r="E6918" s="44">
        <v>1</v>
      </c>
      <c r="F6918" s="38">
        <v>86.668499999999995</v>
      </c>
      <c r="G6918" s="38">
        <f>IF(ISNUMBER(F6918),E6918*F6918,"")</f>
        <v>86.668499999999995</v>
      </c>
      <c r="H6918" s="46">
        <f>SUM(G6918:G6918)</f>
        <v>86.668499999999995</v>
      </c>
      <c r="I6918" s="47"/>
      <c r="J6918" s="37">
        <v>0</v>
      </c>
    </row>
    <row r="6919" spans="1:10" ht="15.75" hidden="1" thickBot="1" x14ac:dyDescent="0.3">
      <c r="A6919" s="175"/>
      <c r="B6919" s="178"/>
      <c r="C6919" s="49"/>
      <c r="D6919" s="49"/>
      <c r="E6919" s="50"/>
      <c r="F6919" s="51" t="s">
        <v>13</v>
      </c>
      <c r="G6919" s="51" t="str">
        <f>IF(ISNUMBER(F6919),E6919*F6919,"")</f>
        <v/>
      </c>
      <c r="H6919" s="53"/>
      <c r="I6919" s="38"/>
      <c r="J6919" s="37">
        <v>0</v>
      </c>
    </row>
    <row r="6920" spans="1:10" ht="15.75" hidden="1" thickBot="1" x14ac:dyDescent="0.3">
      <c r="A6920" s="173" t="s">
        <v>1634</v>
      </c>
      <c r="B6920" s="176" t="s">
        <v>7659</v>
      </c>
      <c r="C6920" s="31"/>
      <c r="D6920" s="32" t="s">
        <v>106</v>
      </c>
      <c r="E6920" s="33"/>
      <c r="F6920" s="54" t="s">
        <v>13</v>
      </c>
      <c r="G6920" s="34" t="str">
        <f>IF(ISNUMBER(F6920),E6920*F6920,"")</f>
        <v/>
      </c>
      <c r="H6920" s="35"/>
      <c r="I6920" s="36"/>
      <c r="J6920" s="37">
        <v>0</v>
      </c>
    </row>
    <row r="6921" spans="1:10" hidden="1" x14ac:dyDescent="0.25">
      <c r="A6921" s="174"/>
      <c r="B6921" s="177"/>
      <c r="C6921" s="39"/>
      <c r="D6921" s="39"/>
      <c r="E6921" s="40"/>
      <c r="F6921" s="55" t="s">
        <v>13</v>
      </c>
      <c r="G6921" s="38" t="str">
        <f>IF(ISNUMBER(F6921),E6921*F6921,"")</f>
        <v/>
      </c>
      <c r="H6921" s="42"/>
      <c r="I6921" s="38"/>
      <c r="J6921" s="37">
        <v>0</v>
      </c>
    </row>
    <row r="6922" spans="1:10" hidden="1" x14ac:dyDescent="0.25">
      <c r="A6922" s="174"/>
      <c r="B6922" s="177"/>
      <c r="C6922" s="43" t="s">
        <v>11389</v>
      </c>
      <c r="D6922" s="43" t="s">
        <v>1302</v>
      </c>
      <c r="E6922" s="44">
        <v>1</v>
      </c>
      <c r="F6922" s="38">
        <v>332.80399999999997</v>
      </c>
      <c r="G6922" s="38">
        <f>IF(ISNUMBER(F6922),E6922*F6922,"")</f>
        <v>332.80399999999997</v>
      </c>
      <c r="H6922" s="46">
        <f>SUM(G6922:G6922)</f>
        <v>332.80399999999997</v>
      </c>
      <c r="I6922" s="47"/>
      <c r="J6922" s="37">
        <v>0</v>
      </c>
    </row>
    <row r="6923" spans="1:10" ht="15.75" hidden="1" thickBot="1" x14ac:dyDescent="0.3">
      <c r="A6923" s="175"/>
      <c r="B6923" s="178"/>
      <c r="C6923" s="49"/>
      <c r="D6923" s="49"/>
      <c r="E6923" s="50"/>
      <c r="F6923" s="51" t="s">
        <v>13</v>
      </c>
      <c r="G6923" s="51" t="str">
        <f>IF(ISNUMBER(F6923),E6923*F6923,"")</f>
        <v/>
      </c>
      <c r="H6923" s="53"/>
      <c r="I6923" s="38"/>
      <c r="J6923" s="37">
        <v>0</v>
      </c>
    </row>
    <row r="6924" spans="1:10" ht="15.75" hidden="1" thickBot="1" x14ac:dyDescent="0.3">
      <c r="A6924" s="173" t="s">
        <v>1635</v>
      </c>
      <c r="B6924" s="176" t="s">
        <v>7660</v>
      </c>
      <c r="C6924" s="31"/>
      <c r="D6924" s="32" t="s">
        <v>106</v>
      </c>
      <c r="E6924" s="33"/>
      <c r="F6924" s="54" t="s">
        <v>13</v>
      </c>
      <c r="G6924" s="34" t="str">
        <f>IF(ISNUMBER(F6924),E6924*F6924,"")</f>
        <v/>
      </c>
      <c r="H6924" s="35"/>
      <c r="I6924" s="36"/>
      <c r="J6924" s="37">
        <v>0</v>
      </c>
    </row>
    <row r="6925" spans="1:10" hidden="1" x14ac:dyDescent="0.25">
      <c r="A6925" s="174"/>
      <c r="B6925" s="177"/>
      <c r="C6925" s="39"/>
      <c r="D6925" s="39"/>
      <c r="E6925" s="40"/>
      <c r="F6925" s="55" t="s">
        <v>13</v>
      </c>
      <c r="G6925" s="38" t="str">
        <f>IF(ISNUMBER(F6925),E6925*F6925,"")</f>
        <v/>
      </c>
      <c r="H6925" s="42"/>
      <c r="I6925" s="38"/>
      <c r="J6925" s="37">
        <v>0</v>
      </c>
    </row>
    <row r="6926" spans="1:10" ht="25.5" hidden="1" x14ac:dyDescent="0.25">
      <c r="A6926" s="174"/>
      <c r="B6926" s="177"/>
      <c r="C6926" s="43" t="s">
        <v>11390</v>
      </c>
      <c r="D6926" s="43" t="s">
        <v>1302</v>
      </c>
      <c r="E6926" s="44">
        <v>1</v>
      </c>
      <c r="F6926" s="38">
        <v>15.389999999999999</v>
      </c>
      <c r="G6926" s="38">
        <f>IF(ISNUMBER(F6926),E6926*F6926,"")</f>
        <v>15.389999999999999</v>
      </c>
      <c r="H6926" s="46">
        <f>SUM(G6926:G6926)</f>
        <v>15.389999999999999</v>
      </c>
      <c r="I6926" s="47"/>
      <c r="J6926" s="37">
        <v>0</v>
      </c>
    </row>
    <row r="6927" spans="1:10" ht="15.75" hidden="1" thickBot="1" x14ac:dyDescent="0.3">
      <c r="A6927" s="175"/>
      <c r="B6927" s="178"/>
      <c r="C6927" s="49"/>
      <c r="D6927" s="49"/>
      <c r="E6927" s="50"/>
      <c r="F6927" s="51" t="s">
        <v>13</v>
      </c>
      <c r="G6927" s="51" t="str">
        <f>IF(ISNUMBER(F6927),E6927*F6927,"")</f>
        <v/>
      </c>
      <c r="H6927" s="53"/>
      <c r="I6927" s="38"/>
      <c r="J6927" s="37">
        <v>0</v>
      </c>
    </row>
    <row r="6928" spans="1:10" ht="15.75" hidden="1" thickBot="1" x14ac:dyDescent="0.3">
      <c r="A6928" s="173" t="s">
        <v>1636</v>
      </c>
      <c r="B6928" s="176" t="s">
        <v>7661</v>
      </c>
      <c r="C6928" s="31"/>
      <c r="D6928" s="32" t="s">
        <v>106</v>
      </c>
      <c r="E6928" s="33"/>
      <c r="F6928" s="54" t="s">
        <v>13</v>
      </c>
      <c r="G6928" s="34" t="str">
        <f>IF(ISNUMBER(F6928),E6928*F6928,"")</f>
        <v/>
      </c>
      <c r="H6928" s="35"/>
      <c r="I6928" s="36"/>
      <c r="J6928" s="37">
        <v>0</v>
      </c>
    </row>
    <row r="6929" spans="1:10" hidden="1" x14ac:dyDescent="0.25">
      <c r="A6929" s="174"/>
      <c r="B6929" s="177"/>
      <c r="C6929" s="39"/>
      <c r="D6929" s="39"/>
      <c r="E6929" s="40"/>
      <c r="F6929" s="55" t="s">
        <v>13</v>
      </c>
      <c r="G6929" s="38" t="str">
        <f>IF(ISNUMBER(F6929),E6929*F6929,"")</f>
        <v/>
      </c>
      <c r="H6929" s="42"/>
      <c r="I6929" s="38"/>
      <c r="J6929" s="37">
        <v>0</v>
      </c>
    </row>
    <row r="6930" spans="1:10" ht="25.5" hidden="1" x14ac:dyDescent="0.25">
      <c r="A6930" s="174"/>
      <c r="B6930" s="177"/>
      <c r="C6930" s="43" t="s">
        <v>11391</v>
      </c>
      <c r="D6930" s="43" t="s">
        <v>1302</v>
      </c>
      <c r="E6930" s="44">
        <v>1</v>
      </c>
      <c r="F6930" s="38">
        <v>40.222999999999999</v>
      </c>
      <c r="G6930" s="38">
        <f>IF(ISNUMBER(F6930),E6930*F6930,"")</f>
        <v>40.222999999999999</v>
      </c>
      <c r="H6930" s="46">
        <f>SUM(G6930:G6930)</f>
        <v>40.222999999999999</v>
      </c>
      <c r="I6930" s="47"/>
      <c r="J6930" s="37">
        <v>0</v>
      </c>
    </row>
    <row r="6931" spans="1:10" ht="15.75" hidden="1" thickBot="1" x14ac:dyDescent="0.3">
      <c r="A6931" s="175"/>
      <c r="B6931" s="178"/>
      <c r="C6931" s="49"/>
      <c r="D6931" s="49"/>
      <c r="E6931" s="50"/>
      <c r="F6931" s="51" t="s">
        <v>13</v>
      </c>
      <c r="G6931" s="51" t="str">
        <f>IF(ISNUMBER(F6931),E6931*F6931,"")</f>
        <v/>
      </c>
      <c r="H6931" s="53"/>
      <c r="I6931" s="38"/>
      <c r="J6931" s="37">
        <v>0</v>
      </c>
    </row>
    <row r="6932" spans="1:10" ht="15.75" hidden="1" thickBot="1" x14ac:dyDescent="0.3">
      <c r="A6932" s="173" t="s">
        <v>1637</v>
      </c>
      <c r="B6932" s="176" t="s">
        <v>7662</v>
      </c>
      <c r="C6932" s="31"/>
      <c r="D6932" s="32" t="s">
        <v>106</v>
      </c>
      <c r="E6932" s="33"/>
      <c r="F6932" s="54" t="s">
        <v>13</v>
      </c>
      <c r="G6932" s="34" t="str">
        <f>IF(ISNUMBER(F6932),E6932*F6932,"")</f>
        <v/>
      </c>
      <c r="H6932" s="35"/>
      <c r="I6932" s="36"/>
      <c r="J6932" s="37">
        <v>0</v>
      </c>
    </row>
    <row r="6933" spans="1:10" hidden="1" x14ac:dyDescent="0.25">
      <c r="A6933" s="174"/>
      <c r="B6933" s="177"/>
      <c r="C6933" s="39"/>
      <c r="D6933" s="39"/>
      <c r="E6933" s="40"/>
      <c r="F6933" s="55" t="s">
        <v>13</v>
      </c>
      <c r="G6933" s="38" t="str">
        <f>IF(ISNUMBER(F6933),E6933*F6933,"")</f>
        <v/>
      </c>
      <c r="H6933" s="42"/>
      <c r="I6933" s="38"/>
      <c r="J6933" s="37">
        <v>0</v>
      </c>
    </row>
    <row r="6934" spans="1:10" ht="25.5" hidden="1" x14ac:dyDescent="0.25">
      <c r="A6934" s="174"/>
      <c r="B6934" s="177"/>
      <c r="C6934" s="43" t="s">
        <v>11392</v>
      </c>
      <c r="D6934" s="43" t="s">
        <v>1302</v>
      </c>
      <c r="E6934" s="44">
        <v>1</v>
      </c>
      <c r="F6934" s="38">
        <v>6.726</v>
      </c>
      <c r="G6934" s="38">
        <f>IF(ISNUMBER(F6934),E6934*F6934,"")</f>
        <v>6.726</v>
      </c>
      <c r="H6934" s="46">
        <f>SUM(G6934:G6934)</f>
        <v>6.726</v>
      </c>
      <c r="I6934" s="47"/>
      <c r="J6934" s="37">
        <v>0</v>
      </c>
    </row>
    <row r="6935" spans="1:10" ht="15.75" hidden="1" thickBot="1" x14ac:dyDescent="0.3">
      <c r="A6935" s="175"/>
      <c r="B6935" s="178"/>
      <c r="C6935" s="49"/>
      <c r="D6935" s="49"/>
      <c r="E6935" s="50"/>
      <c r="F6935" s="51" t="s">
        <v>13</v>
      </c>
      <c r="G6935" s="51" t="str">
        <f>IF(ISNUMBER(F6935),E6935*F6935,"")</f>
        <v/>
      </c>
      <c r="H6935" s="53"/>
      <c r="I6935" s="38"/>
      <c r="J6935" s="37">
        <v>0</v>
      </c>
    </row>
    <row r="6936" spans="1:10" ht="15.75" hidden="1" thickBot="1" x14ac:dyDescent="0.3">
      <c r="A6936" s="173" t="s">
        <v>1638</v>
      </c>
      <c r="B6936" s="176" t="s">
        <v>7663</v>
      </c>
      <c r="C6936" s="31"/>
      <c r="D6936" s="32" t="s">
        <v>106</v>
      </c>
      <c r="E6936" s="33"/>
      <c r="F6936" s="54" t="s">
        <v>13</v>
      </c>
      <c r="G6936" s="34" t="str">
        <f>IF(ISNUMBER(F6936),E6936*F6936,"")</f>
        <v/>
      </c>
      <c r="H6936" s="35"/>
      <c r="I6936" s="36"/>
      <c r="J6936" s="37">
        <v>0</v>
      </c>
    </row>
    <row r="6937" spans="1:10" hidden="1" x14ac:dyDescent="0.25">
      <c r="A6937" s="174"/>
      <c r="B6937" s="177"/>
      <c r="C6937" s="39"/>
      <c r="D6937" s="39"/>
      <c r="E6937" s="40"/>
      <c r="F6937" s="55" t="s">
        <v>13</v>
      </c>
      <c r="G6937" s="38" t="str">
        <f>IF(ISNUMBER(F6937),E6937*F6937,"")</f>
        <v/>
      </c>
      <c r="H6937" s="42"/>
      <c r="I6937" s="38"/>
      <c r="J6937" s="37">
        <v>0</v>
      </c>
    </row>
    <row r="6938" spans="1:10" ht="25.5" hidden="1" x14ac:dyDescent="0.25">
      <c r="A6938" s="174"/>
      <c r="B6938" s="177"/>
      <c r="C6938" s="43" t="s">
        <v>11393</v>
      </c>
      <c r="D6938" s="43" t="s">
        <v>1302</v>
      </c>
      <c r="E6938" s="44">
        <v>1</v>
      </c>
      <c r="F6938" s="38">
        <v>11.105499999999999</v>
      </c>
      <c r="G6938" s="38">
        <f>IF(ISNUMBER(F6938),E6938*F6938,"")</f>
        <v>11.105499999999999</v>
      </c>
      <c r="H6938" s="46">
        <f>SUM(G6938:G6938)</f>
        <v>11.105499999999999</v>
      </c>
      <c r="I6938" s="47"/>
      <c r="J6938" s="37">
        <v>0</v>
      </c>
    </row>
    <row r="6939" spans="1:10" ht="15.75" hidden="1" thickBot="1" x14ac:dyDescent="0.3">
      <c r="A6939" s="175"/>
      <c r="B6939" s="178"/>
      <c r="C6939" s="49"/>
      <c r="D6939" s="49"/>
      <c r="E6939" s="50"/>
      <c r="F6939" s="51" t="s">
        <v>13</v>
      </c>
      <c r="G6939" s="51" t="str">
        <f>IF(ISNUMBER(F6939),E6939*F6939,"")</f>
        <v/>
      </c>
      <c r="H6939" s="53"/>
      <c r="I6939" s="38"/>
      <c r="J6939" s="37">
        <v>0</v>
      </c>
    </row>
    <row r="6940" spans="1:10" ht="15.75" hidden="1" thickBot="1" x14ac:dyDescent="0.3">
      <c r="A6940" s="173" t="s">
        <v>1639</v>
      </c>
      <c r="B6940" s="176" t="s">
        <v>7664</v>
      </c>
      <c r="C6940" s="31"/>
      <c r="D6940" s="32" t="s">
        <v>106</v>
      </c>
      <c r="E6940" s="33"/>
      <c r="F6940" s="54" t="s">
        <v>13</v>
      </c>
      <c r="G6940" s="34" t="str">
        <f>IF(ISNUMBER(F6940),E6940*F6940,"")</f>
        <v/>
      </c>
      <c r="H6940" s="35"/>
      <c r="I6940" s="36"/>
      <c r="J6940" s="37">
        <v>0</v>
      </c>
    </row>
    <row r="6941" spans="1:10" hidden="1" x14ac:dyDescent="0.25">
      <c r="A6941" s="174"/>
      <c r="B6941" s="177"/>
      <c r="C6941" s="39"/>
      <c r="D6941" s="39"/>
      <c r="E6941" s="40"/>
      <c r="F6941" s="55" t="s">
        <v>13</v>
      </c>
      <c r="G6941" s="38" t="str">
        <f>IF(ISNUMBER(F6941),E6941*F6941,"")</f>
        <v/>
      </c>
      <c r="H6941" s="42"/>
      <c r="I6941" s="38"/>
      <c r="J6941" s="37">
        <v>0</v>
      </c>
    </row>
    <row r="6942" spans="1:10" ht="25.5" hidden="1" x14ac:dyDescent="0.25">
      <c r="A6942" s="174"/>
      <c r="B6942" s="177"/>
      <c r="C6942" s="43" t="s">
        <v>11394</v>
      </c>
      <c r="D6942" s="43" t="s">
        <v>1302</v>
      </c>
      <c r="E6942" s="44">
        <v>1</v>
      </c>
      <c r="F6942" s="38">
        <v>14.572999999999999</v>
      </c>
      <c r="G6942" s="38">
        <f>IF(ISNUMBER(F6942),E6942*F6942,"")</f>
        <v>14.572999999999999</v>
      </c>
      <c r="H6942" s="46">
        <f>SUM(G6942:G6942)</f>
        <v>14.572999999999999</v>
      </c>
      <c r="I6942" s="47"/>
      <c r="J6942" s="37">
        <v>0</v>
      </c>
    </row>
    <row r="6943" spans="1:10" ht="15.75" hidden="1" thickBot="1" x14ac:dyDescent="0.3">
      <c r="A6943" s="175"/>
      <c r="B6943" s="178"/>
      <c r="C6943" s="49"/>
      <c r="D6943" s="49"/>
      <c r="E6943" s="50"/>
      <c r="F6943" s="51" t="s">
        <v>13</v>
      </c>
      <c r="G6943" s="51" t="str">
        <f>IF(ISNUMBER(F6943),E6943*F6943,"")</f>
        <v/>
      </c>
      <c r="H6943" s="53"/>
      <c r="I6943" s="38"/>
      <c r="J6943" s="37">
        <v>0</v>
      </c>
    </row>
    <row r="6944" spans="1:10" ht="15.75" hidden="1" thickBot="1" x14ac:dyDescent="0.3">
      <c r="A6944" s="173" t="s">
        <v>1640</v>
      </c>
      <c r="B6944" s="176" t="s">
        <v>7665</v>
      </c>
      <c r="C6944" s="31"/>
      <c r="D6944" s="32" t="s">
        <v>106</v>
      </c>
      <c r="E6944" s="33"/>
      <c r="F6944" s="54" t="s">
        <v>13</v>
      </c>
      <c r="G6944" s="34" t="str">
        <f>IF(ISNUMBER(F6944),E6944*F6944,"")</f>
        <v/>
      </c>
      <c r="H6944" s="35"/>
      <c r="I6944" s="36"/>
      <c r="J6944" s="37">
        <v>0</v>
      </c>
    </row>
    <row r="6945" spans="1:10" hidden="1" x14ac:dyDescent="0.25">
      <c r="A6945" s="174"/>
      <c r="B6945" s="177"/>
      <c r="C6945" s="39"/>
      <c r="D6945" s="39"/>
      <c r="E6945" s="40"/>
      <c r="F6945" s="55" t="s">
        <v>13</v>
      </c>
      <c r="G6945" s="38" t="str">
        <f>IF(ISNUMBER(F6945),E6945*F6945,"")</f>
        <v/>
      </c>
      <c r="H6945" s="42"/>
      <c r="I6945" s="38"/>
      <c r="J6945" s="37">
        <v>0</v>
      </c>
    </row>
    <row r="6946" spans="1:10" hidden="1" x14ac:dyDescent="0.25">
      <c r="A6946" s="174"/>
      <c r="B6946" s="177"/>
      <c r="C6946" s="43" t="s">
        <v>11395</v>
      </c>
      <c r="D6946" s="43" t="s">
        <v>1302</v>
      </c>
      <c r="E6946" s="44">
        <v>1</v>
      </c>
      <c r="F6946" s="38">
        <v>34.978999999999999</v>
      </c>
      <c r="G6946" s="38">
        <f>IF(ISNUMBER(F6946),E6946*F6946,"")</f>
        <v>34.978999999999999</v>
      </c>
      <c r="H6946" s="46">
        <f>SUM(G6946:G6946)</f>
        <v>34.978999999999999</v>
      </c>
      <c r="I6946" s="47"/>
      <c r="J6946" s="37">
        <v>0</v>
      </c>
    </row>
    <row r="6947" spans="1:10" ht="15.75" hidden="1" thickBot="1" x14ac:dyDescent="0.3">
      <c r="A6947" s="175"/>
      <c r="B6947" s="178"/>
      <c r="C6947" s="49"/>
      <c r="D6947" s="49"/>
      <c r="E6947" s="50"/>
      <c r="F6947" s="51" t="s">
        <v>13</v>
      </c>
      <c r="G6947" s="51" t="str">
        <f>IF(ISNUMBER(F6947),E6947*F6947,"")</f>
        <v/>
      </c>
      <c r="H6947" s="53"/>
      <c r="I6947" s="38"/>
      <c r="J6947" s="37">
        <v>0</v>
      </c>
    </row>
    <row r="6948" spans="1:10" ht="15.75" hidden="1" thickBot="1" x14ac:dyDescent="0.3">
      <c r="A6948" s="173" t="s">
        <v>1641</v>
      </c>
      <c r="B6948" s="176" t="s">
        <v>7666</v>
      </c>
      <c r="C6948" s="31"/>
      <c r="D6948" s="32" t="s">
        <v>106</v>
      </c>
      <c r="E6948" s="33"/>
      <c r="F6948" s="54" t="s">
        <v>13</v>
      </c>
      <c r="G6948" s="34" t="str">
        <f>IF(ISNUMBER(F6948),E6948*F6948,"")</f>
        <v/>
      </c>
      <c r="H6948" s="35"/>
      <c r="I6948" s="36"/>
      <c r="J6948" s="37">
        <v>0</v>
      </c>
    </row>
    <row r="6949" spans="1:10" hidden="1" x14ac:dyDescent="0.25">
      <c r="A6949" s="174"/>
      <c r="B6949" s="177"/>
      <c r="C6949" s="39"/>
      <c r="D6949" s="39"/>
      <c r="E6949" s="40"/>
      <c r="F6949" s="55" t="s">
        <v>13</v>
      </c>
      <c r="G6949" s="38" t="str">
        <f>IF(ISNUMBER(F6949),E6949*F6949,"")</f>
        <v/>
      </c>
      <c r="H6949" s="42"/>
      <c r="I6949" s="38"/>
      <c r="J6949" s="37">
        <v>0</v>
      </c>
    </row>
    <row r="6950" spans="1:10" hidden="1" x14ac:dyDescent="0.25">
      <c r="A6950" s="174"/>
      <c r="B6950" s="177"/>
      <c r="C6950" s="43" t="s">
        <v>11396</v>
      </c>
      <c r="D6950" s="43" t="s">
        <v>1302</v>
      </c>
      <c r="E6950" s="44">
        <v>1</v>
      </c>
      <c r="F6950" s="38">
        <v>23.702499999999997</v>
      </c>
      <c r="G6950" s="38">
        <f>IF(ISNUMBER(F6950),E6950*F6950,"")</f>
        <v>23.702499999999997</v>
      </c>
      <c r="H6950" s="46">
        <f>SUM(G6950:G6950)</f>
        <v>23.702499999999997</v>
      </c>
      <c r="I6950" s="47"/>
      <c r="J6950" s="37">
        <v>0</v>
      </c>
    </row>
    <row r="6951" spans="1:10" ht="15.75" hidden="1" thickBot="1" x14ac:dyDescent="0.3">
      <c r="A6951" s="175"/>
      <c r="B6951" s="178"/>
      <c r="C6951" s="49"/>
      <c r="D6951" s="49"/>
      <c r="E6951" s="50"/>
      <c r="F6951" s="51" t="s">
        <v>13</v>
      </c>
      <c r="G6951" s="51" t="str">
        <f>IF(ISNUMBER(F6951),E6951*F6951,"")</f>
        <v/>
      </c>
      <c r="H6951" s="53"/>
      <c r="I6951" s="38"/>
      <c r="J6951" s="37">
        <v>0</v>
      </c>
    </row>
    <row r="6952" spans="1:10" ht="15.75" hidden="1" thickBot="1" x14ac:dyDescent="0.3">
      <c r="A6952" s="173" t="s">
        <v>1642</v>
      </c>
      <c r="B6952" s="176" t="s">
        <v>7667</v>
      </c>
      <c r="C6952" s="31"/>
      <c r="D6952" s="32" t="s">
        <v>106</v>
      </c>
      <c r="E6952" s="33"/>
      <c r="F6952" s="54" t="s">
        <v>13</v>
      </c>
      <c r="G6952" s="34" t="str">
        <f>IF(ISNUMBER(F6952),E6952*F6952,"")</f>
        <v/>
      </c>
      <c r="H6952" s="35"/>
      <c r="I6952" s="36"/>
      <c r="J6952" s="37">
        <v>0</v>
      </c>
    </row>
    <row r="6953" spans="1:10" hidden="1" x14ac:dyDescent="0.25">
      <c r="A6953" s="174"/>
      <c r="B6953" s="177"/>
      <c r="C6953" s="39"/>
      <c r="D6953" s="39"/>
      <c r="E6953" s="40"/>
      <c r="F6953" s="55" t="s">
        <v>13</v>
      </c>
      <c r="G6953" s="38" t="str">
        <f>IF(ISNUMBER(F6953),E6953*F6953,"")</f>
        <v/>
      </c>
      <c r="H6953" s="42"/>
      <c r="I6953" s="38"/>
      <c r="J6953" s="37">
        <v>0</v>
      </c>
    </row>
    <row r="6954" spans="1:10" hidden="1" x14ac:dyDescent="0.25">
      <c r="A6954" s="174"/>
      <c r="B6954" s="177"/>
      <c r="C6954" s="43" t="s">
        <v>11397</v>
      </c>
      <c r="D6954" s="43" t="s">
        <v>1302</v>
      </c>
      <c r="E6954" s="44">
        <v>1</v>
      </c>
      <c r="F6954" s="38">
        <v>68.580500000000001</v>
      </c>
      <c r="G6954" s="38">
        <f>IF(ISNUMBER(F6954),E6954*F6954,"")</f>
        <v>68.580500000000001</v>
      </c>
      <c r="H6954" s="46">
        <f>SUM(G6954:G6954)</f>
        <v>68.580500000000001</v>
      </c>
      <c r="I6954" s="47"/>
      <c r="J6954" s="37">
        <v>0</v>
      </c>
    </row>
    <row r="6955" spans="1:10" ht="15.75" hidden="1" thickBot="1" x14ac:dyDescent="0.3">
      <c r="A6955" s="175"/>
      <c r="B6955" s="178"/>
      <c r="C6955" s="49"/>
      <c r="D6955" s="49"/>
      <c r="E6955" s="50"/>
      <c r="F6955" s="51" t="s">
        <v>13</v>
      </c>
      <c r="G6955" s="51" t="str">
        <f>IF(ISNUMBER(F6955),E6955*F6955,"")</f>
        <v/>
      </c>
      <c r="H6955" s="53"/>
      <c r="I6955" s="38"/>
      <c r="J6955" s="37">
        <v>0</v>
      </c>
    </row>
    <row r="6956" spans="1:10" ht="15.75" hidden="1" thickBot="1" x14ac:dyDescent="0.3">
      <c r="A6956" s="173" t="s">
        <v>1643</v>
      </c>
      <c r="B6956" s="176" t="s">
        <v>7668</v>
      </c>
      <c r="C6956" s="31"/>
      <c r="D6956" s="32" t="s">
        <v>106</v>
      </c>
      <c r="E6956" s="33"/>
      <c r="F6956" s="54" t="s">
        <v>13</v>
      </c>
      <c r="G6956" s="34" t="str">
        <f>IF(ISNUMBER(F6956),E6956*F6956,"")</f>
        <v/>
      </c>
      <c r="H6956" s="35"/>
      <c r="I6956" s="36"/>
      <c r="J6956" s="37">
        <v>0</v>
      </c>
    </row>
    <row r="6957" spans="1:10" hidden="1" x14ac:dyDescent="0.25">
      <c r="A6957" s="174"/>
      <c r="B6957" s="177"/>
      <c r="C6957" s="39"/>
      <c r="D6957" s="39"/>
      <c r="E6957" s="40"/>
      <c r="F6957" s="55" t="s">
        <v>13</v>
      </c>
      <c r="G6957" s="38" t="str">
        <f>IF(ISNUMBER(F6957),E6957*F6957,"")</f>
        <v/>
      </c>
      <c r="H6957" s="42"/>
      <c r="I6957" s="38"/>
      <c r="J6957" s="37">
        <v>0</v>
      </c>
    </row>
    <row r="6958" spans="1:10" hidden="1" x14ac:dyDescent="0.25">
      <c r="A6958" s="174"/>
      <c r="B6958" s="177"/>
      <c r="C6958" s="43" t="s">
        <v>11398</v>
      </c>
      <c r="D6958" s="43" t="s">
        <v>1302</v>
      </c>
      <c r="E6958" s="44">
        <v>1</v>
      </c>
      <c r="F6958" s="38">
        <v>50.055499999999995</v>
      </c>
      <c r="G6958" s="38">
        <f>IF(ISNUMBER(F6958),E6958*F6958,"")</f>
        <v>50.055499999999995</v>
      </c>
      <c r="H6958" s="46">
        <f>SUM(G6958:G6958)</f>
        <v>50.055499999999995</v>
      </c>
      <c r="I6958" s="47"/>
      <c r="J6958" s="37">
        <v>0</v>
      </c>
    </row>
    <row r="6959" spans="1:10" ht="15.75" hidden="1" thickBot="1" x14ac:dyDescent="0.3">
      <c r="A6959" s="175"/>
      <c r="B6959" s="178"/>
      <c r="C6959" s="49"/>
      <c r="D6959" s="49"/>
      <c r="E6959" s="50"/>
      <c r="F6959" s="51" t="s">
        <v>13</v>
      </c>
      <c r="G6959" s="51" t="str">
        <f>IF(ISNUMBER(F6959),E6959*F6959,"")</f>
        <v/>
      </c>
      <c r="H6959" s="53"/>
      <c r="I6959" s="38"/>
      <c r="J6959" s="37">
        <v>0</v>
      </c>
    </row>
    <row r="6960" spans="1:10" ht="15.75" hidden="1" thickBot="1" x14ac:dyDescent="0.3">
      <c r="A6960" s="173" t="s">
        <v>1644</v>
      </c>
      <c r="B6960" s="176" t="s">
        <v>7669</v>
      </c>
      <c r="C6960" s="31"/>
      <c r="D6960" s="32" t="s">
        <v>106</v>
      </c>
      <c r="E6960" s="33"/>
      <c r="F6960" s="54" t="s">
        <v>13</v>
      </c>
      <c r="G6960" s="34" t="str">
        <f>IF(ISNUMBER(F6960),E6960*F6960,"")</f>
        <v/>
      </c>
      <c r="H6960" s="35"/>
      <c r="I6960" s="36"/>
      <c r="J6960" s="37">
        <v>0</v>
      </c>
    </row>
    <row r="6961" spans="1:10" hidden="1" x14ac:dyDescent="0.25">
      <c r="A6961" s="174"/>
      <c r="B6961" s="177"/>
      <c r="C6961" s="39"/>
      <c r="D6961" s="39"/>
      <c r="E6961" s="40"/>
      <c r="F6961" s="55" t="s">
        <v>13</v>
      </c>
      <c r="G6961" s="38" t="str">
        <f>IF(ISNUMBER(F6961),E6961*F6961,"")</f>
        <v/>
      </c>
      <c r="H6961" s="42"/>
      <c r="I6961" s="38"/>
      <c r="J6961" s="37">
        <v>0</v>
      </c>
    </row>
    <row r="6962" spans="1:10" hidden="1" x14ac:dyDescent="0.25">
      <c r="A6962" s="174"/>
      <c r="B6962" s="177"/>
      <c r="C6962" s="43" t="s">
        <v>1645</v>
      </c>
      <c r="D6962" s="62" t="s">
        <v>106</v>
      </c>
      <c r="E6962" s="44">
        <v>1</v>
      </c>
      <c r="F6962" s="38" t="s">
        <v>13</v>
      </c>
      <c r="G6962" s="38" t="str">
        <f>IF(ISNUMBER(F6962),E6962*F6962,"")</f>
        <v/>
      </c>
      <c r="H6962" s="46">
        <f>SUM(G6962:G6962)</f>
        <v>0</v>
      </c>
      <c r="I6962" s="47"/>
      <c r="J6962" s="37">
        <v>0</v>
      </c>
    </row>
    <row r="6963" spans="1:10" ht="15.75" hidden="1" thickBot="1" x14ac:dyDescent="0.3">
      <c r="A6963" s="175"/>
      <c r="B6963" s="178"/>
      <c r="C6963" s="49"/>
      <c r="D6963" s="49"/>
      <c r="E6963" s="50"/>
      <c r="F6963" s="51" t="s">
        <v>13</v>
      </c>
      <c r="G6963" s="51" t="str">
        <f>IF(ISNUMBER(F6963),E6963*F6963,"")</f>
        <v/>
      </c>
      <c r="H6963" s="53"/>
      <c r="I6963" s="38"/>
      <c r="J6963" s="37">
        <v>0</v>
      </c>
    </row>
    <row r="6964" spans="1:10" ht="15.75" hidden="1" thickBot="1" x14ac:dyDescent="0.3">
      <c r="A6964" s="173" t="s">
        <v>1646</v>
      </c>
      <c r="B6964" s="176" t="s">
        <v>7670</v>
      </c>
      <c r="C6964" s="31"/>
      <c r="D6964" s="32" t="s">
        <v>106</v>
      </c>
      <c r="E6964" s="33"/>
      <c r="F6964" s="54" t="s">
        <v>13</v>
      </c>
      <c r="G6964" s="34" t="str">
        <f>IF(ISNUMBER(F6964),E6964*F6964,"")</f>
        <v/>
      </c>
      <c r="H6964" s="35"/>
      <c r="I6964" s="36"/>
      <c r="J6964" s="37">
        <v>0</v>
      </c>
    </row>
    <row r="6965" spans="1:10" hidden="1" x14ac:dyDescent="0.25">
      <c r="A6965" s="174"/>
      <c r="B6965" s="177"/>
      <c r="C6965" s="39"/>
      <c r="D6965" s="39"/>
      <c r="E6965" s="40"/>
      <c r="F6965" s="55" t="s">
        <v>13</v>
      </c>
      <c r="G6965" s="38" t="str">
        <f>IF(ISNUMBER(F6965),E6965*F6965,"")</f>
        <v/>
      </c>
      <c r="H6965" s="42"/>
      <c r="I6965" s="38"/>
      <c r="J6965" s="37">
        <v>0</v>
      </c>
    </row>
    <row r="6966" spans="1:10" hidden="1" x14ac:dyDescent="0.25">
      <c r="A6966" s="174"/>
      <c r="B6966" s="177"/>
      <c r="C6966" s="43" t="s">
        <v>11399</v>
      </c>
      <c r="D6966" s="43" t="s">
        <v>1302</v>
      </c>
      <c r="E6966" s="44">
        <v>1</v>
      </c>
      <c r="F6966" s="38">
        <v>11.342999999999998</v>
      </c>
      <c r="G6966" s="38">
        <f>IF(ISNUMBER(F6966),E6966*F6966,"")</f>
        <v>11.342999999999998</v>
      </c>
      <c r="H6966" s="46">
        <f>SUM(G6966:G6966)</f>
        <v>11.342999999999998</v>
      </c>
      <c r="I6966" s="47"/>
      <c r="J6966" s="37">
        <v>0</v>
      </c>
    </row>
    <row r="6967" spans="1:10" ht="15.75" hidden="1" thickBot="1" x14ac:dyDescent="0.3">
      <c r="A6967" s="175"/>
      <c r="B6967" s="178"/>
      <c r="C6967" s="49"/>
      <c r="D6967" s="49"/>
      <c r="E6967" s="50"/>
      <c r="F6967" s="51" t="s">
        <v>13</v>
      </c>
      <c r="G6967" s="51" t="str">
        <f>IF(ISNUMBER(F6967),E6967*F6967,"")</f>
        <v/>
      </c>
      <c r="H6967" s="53"/>
      <c r="I6967" s="38"/>
      <c r="J6967" s="37">
        <v>0</v>
      </c>
    </row>
    <row r="6968" spans="1:10" ht="15.75" hidden="1" thickBot="1" x14ac:dyDescent="0.3">
      <c r="A6968" s="173" t="s">
        <v>1647</v>
      </c>
      <c r="B6968" s="176" t="s">
        <v>7671</v>
      </c>
      <c r="C6968" s="31"/>
      <c r="D6968" s="32" t="s">
        <v>106</v>
      </c>
      <c r="E6968" s="33"/>
      <c r="F6968" s="54" t="s">
        <v>13</v>
      </c>
      <c r="G6968" s="34" t="str">
        <f>IF(ISNUMBER(F6968),E6968*F6968,"")</f>
        <v/>
      </c>
      <c r="H6968" s="35"/>
      <c r="I6968" s="36"/>
      <c r="J6968" s="37">
        <v>0</v>
      </c>
    </row>
    <row r="6969" spans="1:10" hidden="1" x14ac:dyDescent="0.25">
      <c r="A6969" s="174"/>
      <c r="B6969" s="177"/>
      <c r="C6969" s="39"/>
      <c r="D6969" s="39"/>
      <c r="E6969" s="40"/>
      <c r="F6969" s="55" t="s">
        <v>13</v>
      </c>
      <c r="G6969" s="38" t="str">
        <f>IF(ISNUMBER(F6969),E6969*F6969,"")</f>
        <v/>
      </c>
      <c r="H6969" s="42"/>
      <c r="I6969" s="38"/>
      <c r="J6969" s="37">
        <v>0</v>
      </c>
    </row>
    <row r="6970" spans="1:10" hidden="1" x14ac:dyDescent="0.25">
      <c r="A6970" s="174"/>
      <c r="B6970" s="177"/>
      <c r="C6970" s="43" t="s">
        <v>1648</v>
      </c>
      <c r="D6970" s="62" t="s">
        <v>106</v>
      </c>
      <c r="E6970" s="44">
        <v>1</v>
      </c>
      <c r="F6970" s="38" t="s">
        <v>13</v>
      </c>
      <c r="G6970" s="38" t="str">
        <f>IF(ISNUMBER(F6970),E6970*F6970,"")</f>
        <v/>
      </c>
      <c r="H6970" s="46">
        <f>SUM(G6970:G6970)</f>
        <v>0</v>
      </c>
      <c r="I6970" s="47"/>
      <c r="J6970" s="37">
        <v>0</v>
      </c>
    </row>
    <row r="6971" spans="1:10" ht="15.75" hidden="1" thickBot="1" x14ac:dyDescent="0.3">
      <c r="A6971" s="175"/>
      <c r="B6971" s="178"/>
      <c r="C6971" s="49"/>
      <c r="D6971" s="49"/>
      <c r="E6971" s="50"/>
      <c r="F6971" s="51" t="s">
        <v>13</v>
      </c>
      <c r="G6971" s="51" t="str">
        <f>IF(ISNUMBER(F6971),E6971*F6971,"")</f>
        <v/>
      </c>
      <c r="H6971" s="53"/>
      <c r="I6971" s="38"/>
      <c r="J6971" s="37">
        <v>0</v>
      </c>
    </row>
    <row r="6972" spans="1:10" ht="15.75" hidden="1" thickBot="1" x14ac:dyDescent="0.3">
      <c r="A6972" s="173" t="s">
        <v>1649</v>
      </c>
      <c r="B6972" s="176" t="s">
        <v>7674</v>
      </c>
      <c r="C6972" s="31"/>
      <c r="D6972" s="32" t="s">
        <v>106</v>
      </c>
      <c r="E6972" s="33"/>
      <c r="F6972" s="54" t="s">
        <v>13</v>
      </c>
      <c r="G6972" s="34" t="str">
        <f>IF(ISNUMBER(F6972),E6972*F6972,"")</f>
        <v/>
      </c>
      <c r="H6972" s="35"/>
      <c r="I6972" s="36"/>
      <c r="J6972" s="37">
        <v>0</v>
      </c>
    </row>
    <row r="6973" spans="1:10" hidden="1" x14ac:dyDescent="0.25">
      <c r="A6973" s="174"/>
      <c r="B6973" s="177"/>
      <c r="C6973" s="39"/>
      <c r="D6973" s="39"/>
      <c r="E6973" s="40"/>
      <c r="F6973" s="55" t="s">
        <v>13</v>
      </c>
      <c r="G6973" s="38" t="str">
        <f>IF(ISNUMBER(F6973),E6973*F6973,"")</f>
        <v/>
      </c>
      <c r="H6973" s="42"/>
      <c r="I6973" s="38"/>
      <c r="J6973" s="37">
        <v>0</v>
      </c>
    </row>
    <row r="6974" spans="1:10" hidden="1" x14ac:dyDescent="0.25">
      <c r="A6974" s="174"/>
      <c r="B6974" s="177"/>
      <c r="C6974" s="43" t="s">
        <v>11400</v>
      </c>
      <c r="D6974" s="43" t="s">
        <v>1302</v>
      </c>
      <c r="E6974" s="44">
        <v>1</v>
      </c>
      <c r="F6974" s="38">
        <v>4.1040000000000001</v>
      </c>
      <c r="G6974" s="38">
        <f>IF(ISNUMBER(F6974),E6974*F6974,"")</f>
        <v>4.1040000000000001</v>
      </c>
      <c r="H6974" s="46">
        <f>SUM(G6974:G6974)</f>
        <v>4.1040000000000001</v>
      </c>
      <c r="I6974" s="47"/>
      <c r="J6974" s="37">
        <v>0</v>
      </c>
    </row>
    <row r="6975" spans="1:10" ht="15.75" hidden="1" thickBot="1" x14ac:dyDescent="0.3">
      <c r="A6975" s="175"/>
      <c r="B6975" s="178"/>
      <c r="C6975" s="49"/>
      <c r="D6975" s="49"/>
      <c r="E6975" s="50"/>
      <c r="F6975" s="51" t="s">
        <v>13</v>
      </c>
      <c r="G6975" s="51" t="str">
        <f>IF(ISNUMBER(F6975),E6975*F6975,"")</f>
        <v/>
      </c>
      <c r="H6975" s="53"/>
      <c r="I6975" s="38"/>
      <c r="J6975" s="37">
        <v>0</v>
      </c>
    </row>
    <row r="6976" spans="1:10" ht="15.75" hidden="1" thickBot="1" x14ac:dyDescent="0.3">
      <c r="A6976" s="173" t="s">
        <v>1650</v>
      </c>
      <c r="B6976" s="176" t="s">
        <v>7675</v>
      </c>
      <c r="C6976" s="31"/>
      <c r="D6976" s="32" t="s">
        <v>106</v>
      </c>
      <c r="E6976" s="33"/>
      <c r="F6976" s="54" t="s">
        <v>13</v>
      </c>
      <c r="G6976" s="34" t="str">
        <f>IF(ISNUMBER(F6976),E6976*F6976,"")</f>
        <v/>
      </c>
      <c r="H6976" s="35"/>
      <c r="I6976" s="36"/>
      <c r="J6976" s="37">
        <v>0</v>
      </c>
    </row>
    <row r="6977" spans="1:10" hidden="1" x14ac:dyDescent="0.25">
      <c r="A6977" s="174"/>
      <c r="B6977" s="177"/>
      <c r="C6977" s="39"/>
      <c r="D6977" s="39"/>
      <c r="E6977" s="40"/>
      <c r="F6977" s="55" t="s">
        <v>13</v>
      </c>
      <c r="G6977" s="38" t="str">
        <f>IF(ISNUMBER(F6977),E6977*F6977,"")</f>
        <v/>
      </c>
      <c r="H6977" s="42"/>
      <c r="I6977" s="38"/>
      <c r="J6977" s="37">
        <v>0</v>
      </c>
    </row>
    <row r="6978" spans="1:10" hidden="1" x14ac:dyDescent="0.25">
      <c r="A6978" s="174"/>
      <c r="B6978" s="177"/>
      <c r="C6978" s="43" t="s">
        <v>10903</v>
      </c>
      <c r="D6978" s="43" t="s">
        <v>1302</v>
      </c>
      <c r="E6978" s="44">
        <v>1</v>
      </c>
      <c r="F6978" s="38">
        <v>4.6360000000000001</v>
      </c>
      <c r="G6978" s="38">
        <f>IF(ISNUMBER(F6978),E6978*F6978,"")</f>
        <v>4.6360000000000001</v>
      </c>
      <c r="H6978" s="46">
        <f>SUM(G6978:G6978)</f>
        <v>4.6360000000000001</v>
      </c>
      <c r="I6978" s="47"/>
      <c r="J6978" s="37">
        <v>0</v>
      </c>
    </row>
    <row r="6979" spans="1:10" ht="15.75" hidden="1" thickBot="1" x14ac:dyDescent="0.3">
      <c r="A6979" s="175"/>
      <c r="B6979" s="178"/>
      <c r="C6979" s="49"/>
      <c r="D6979" s="49"/>
      <c r="E6979" s="50"/>
      <c r="F6979" s="51" t="s">
        <v>13</v>
      </c>
      <c r="G6979" s="51" t="str">
        <f>IF(ISNUMBER(F6979),E6979*F6979,"")</f>
        <v/>
      </c>
      <c r="H6979" s="53"/>
      <c r="I6979" s="38"/>
      <c r="J6979" s="37">
        <v>0</v>
      </c>
    </row>
    <row r="6980" spans="1:10" ht="15.75" hidden="1" thickBot="1" x14ac:dyDescent="0.3">
      <c r="A6980" s="173" t="s">
        <v>1651</v>
      </c>
      <c r="B6980" s="176" t="s">
        <v>7676</v>
      </c>
      <c r="C6980" s="31"/>
      <c r="D6980" s="32" t="s">
        <v>106</v>
      </c>
      <c r="E6980" s="33"/>
      <c r="F6980" s="54" t="s">
        <v>13</v>
      </c>
      <c r="G6980" s="34" t="str">
        <f>IF(ISNUMBER(F6980),E6980*F6980,"")</f>
        <v/>
      </c>
      <c r="H6980" s="35"/>
      <c r="I6980" s="36"/>
      <c r="J6980" s="37">
        <v>0</v>
      </c>
    </row>
    <row r="6981" spans="1:10" hidden="1" x14ac:dyDescent="0.25">
      <c r="A6981" s="174"/>
      <c r="B6981" s="177"/>
      <c r="C6981" s="39"/>
      <c r="D6981" s="39"/>
      <c r="E6981" s="40"/>
      <c r="F6981" s="55" t="s">
        <v>13</v>
      </c>
      <c r="G6981" s="38" t="str">
        <f>IF(ISNUMBER(F6981),E6981*F6981,"")</f>
        <v/>
      </c>
      <c r="H6981" s="42"/>
      <c r="I6981" s="38"/>
      <c r="J6981" s="37">
        <v>0</v>
      </c>
    </row>
    <row r="6982" spans="1:10" hidden="1" x14ac:dyDescent="0.25">
      <c r="A6982" s="174"/>
      <c r="B6982" s="177"/>
      <c r="C6982" s="43" t="s">
        <v>10904</v>
      </c>
      <c r="D6982" s="43" t="s">
        <v>1302</v>
      </c>
      <c r="E6982" s="44">
        <v>1</v>
      </c>
      <c r="F6982" s="38">
        <v>10.003499999999999</v>
      </c>
      <c r="G6982" s="38">
        <f>IF(ISNUMBER(F6982),E6982*F6982,"")</f>
        <v>10.003499999999999</v>
      </c>
      <c r="H6982" s="46">
        <f>SUM(G6982:G6982)</f>
        <v>10.003499999999999</v>
      </c>
      <c r="I6982" s="47"/>
      <c r="J6982" s="37">
        <v>0</v>
      </c>
    </row>
    <row r="6983" spans="1:10" ht="15.75" hidden="1" thickBot="1" x14ac:dyDescent="0.3">
      <c r="A6983" s="175"/>
      <c r="B6983" s="178"/>
      <c r="C6983" s="49"/>
      <c r="D6983" s="49"/>
      <c r="E6983" s="50"/>
      <c r="F6983" s="51" t="s">
        <v>13</v>
      </c>
      <c r="G6983" s="51" t="str">
        <f>IF(ISNUMBER(F6983),E6983*F6983,"")</f>
        <v/>
      </c>
      <c r="H6983" s="53"/>
      <c r="I6983" s="38"/>
      <c r="J6983" s="37">
        <v>0</v>
      </c>
    </row>
    <row r="6984" spans="1:10" ht="15.75" hidden="1" thickBot="1" x14ac:dyDescent="0.3">
      <c r="A6984" s="173" t="s">
        <v>1652</v>
      </c>
      <c r="B6984" s="176" t="s">
        <v>7677</v>
      </c>
      <c r="C6984" s="31"/>
      <c r="D6984" s="32" t="s">
        <v>106</v>
      </c>
      <c r="E6984" s="33"/>
      <c r="F6984" s="54" t="s">
        <v>13</v>
      </c>
      <c r="G6984" s="34" t="str">
        <f>IF(ISNUMBER(F6984),E6984*F6984,"")</f>
        <v/>
      </c>
      <c r="H6984" s="35"/>
      <c r="I6984" s="36"/>
      <c r="J6984" s="37">
        <v>0</v>
      </c>
    </row>
    <row r="6985" spans="1:10" hidden="1" x14ac:dyDescent="0.25">
      <c r="A6985" s="174"/>
      <c r="B6985" s="177"/>
      <c r="C6985" s="39"/>
      <c r="D6985" s="39"/>
      <c r="E6985" s="40"/>
      <c r="F6985" s="55" t="s">
        <v>13</v>
      </c>
      <c r="G6985" s="38" t="str">
        <f>IF(ISNUMBER(F6985),E6985*F6985,"")</f>
        <v/>
      </c>
      <c r="H6985" s="42"/>
      <c r="I6985" s="38"/>
      <c r="J6985" s="37">
        <v>0</v>
      </c>
    </row>
    <row r="6986" spans="1:10" hidden="1" x14ac:dyDescent="0.25">
      <c r="A6986" s="174"/>
      <c r="B6986" s="177"/>
      <c r="C6986" s="43" t="s">
        <v>10905</v>
      </c>
      <c r="D6986" s="43" t="s">
        <v>1302</v>
      </c>
      <c r="E6986" s="44">
        <v>1</v>
      </c>
      <c r="F6986" s="38">
        <v>15.712999999999999</v>
      </c>
      <c r="G6986" s="38">
        <f>IF(ISNUMBER(F6986),E6986*F6986,"")</f>
        <v>15.712999999999999</v>
      </c>
      <c r="H6986" s="46">
        <f>SUM(G6986:G6986)</f>
        <v>15.712999999999999</v>
      </c>
      <c r="I6986" s="47"/>
      <c r="J6986" s="37">
        <v>0</v>
      </c>
    </row>
    <row r="6987" spans="1:10" ht="15.75" hidden="1" thickBot="1" x14ac:dyDescent="0.3">
      <c r="A6987" s="175"/>
      <c r="B6987" s="178"/>
      <c r="C6987" s="49"/>
      <c r="D6987" s="49"/>
      <c r="E6987" s="50"/>
      <c r="F6987" s="51" t="s">
        <v>13</v>
      </c>
      <c r="G6987" s="51" t="str">
        <f>IF(ISNUMBER(F6987),E6987*F6987,"")</f>
        <v/>
      </c>
      <c r="H6987" s="53"/>
      <c r="I6987" s="38"/>
      <c r="J6987" s="37">
        <v>0</v>
      </c>
    </row>
    <row r="6988" spans="1:10" ht="15.75" hidden="1" thickBot="1" x14ac:dyDescent="0.3">
      <c r="A6988" s="173" t="s">
        <v>1653</v>
      </c>
      <c r="B6988" s="176" t="s">
        <v>7678</v>
      </c>
      <c r="C6988" s="31"/>
      <c r="D6988" s="32" t="s">
        <v>106</v>
      </c>
      <c r="E6988" s="33"/>
      <c r="F6988" s="54" t="s">
        <v>13</v>
      </c>
      <c r="G6988" s="34" t="str">
        <f>IF(ISNUMBER(F6988),E6988*F6988,"")</f>
        <v/>
      </c>
      <c r="H6988" s="35"/>
      <c r="I6988" s="36"/>
      <c r="J6988" s="37">
        <v>0</v>
      </c>
    </row>
    <row r="6989" spans="1:10" hidden="1" x14ac:dyDescent="0.25">
      <c r="A6989" s="174"/>
      <c r="B6989" s="177"/>
      <c r="C6989" s="39"/>
      <c r="D6989" s="39"/>
      <c r="E6989" s="40"/>
      <c r="F6989" s="55" t="s">
        <v>13</v>
      </c>
      <c r="G6989" s="38" t="str">
        <f>IF(ISNUMBER(F6989),E6989*F6989,"")</f>
        <v/>
      </c>
      <c r="H6989" s="42"/>
      <c r="I6989" s="38"/>
      <c r="J6989" s="37">
        <v>0</v>
      </c>
    </row>
    <row r="6990" spans="1:10" hidden="1" x14ac:dyDescent="0.25">
      <c r="A6990" s="174"/>
      <c r="B6990" s="177"/>
      <c r="C6990" s="43" t="s">
        <v>10906</v>
      </c>
      <c r="D6990" s="43" t="s">
        <v>1302</v>
      </c>
      <c r="E6990" s="44">
        <v>1</v>
      </c>
      <c r="F6990" s="38">
        <v>17.233000000000001</v>
      </c>
      <c r="G6990" s="38">
        <f>IF(ISNUMBER(F6990),E6990*F6990,"")</f>
        <v>17.233000000000001</v>
      </c>
      <c r="H6990" s="46">
        <f>SUM(G6990:G6990)</f>
        <v>17.233000000000001</v>
      </c>
      <c r="I6990" s="47"/>
      <c r="J6990" s="37">
        <v>0</v>
      </c>
    </row>
    <row r="6991" spans="1:10" ht="15.75" hidden="1" thickBot="1" x14ac:dyDescent="0.3">
      <c r="A6991" s="175"/>
      <c r="B6991" s="178"/>
      <c r="C6991" s="49"/>
      <c r="D6991" s="49"/>
      <c r="E6991" s="50"/>
      <c r="F6991" s="51" t="s">
        <v>13</v>
      </c>
      <c r="G6991" s="51" t="str">
        <f>IF(ISNUMBER(F6991),E6991*F6991,"")</f>
        <v/>
      </c>
      <c r="H6991" s="53"/>
      <c r="I6991" s="38"/>
      <c r="J6991" s="37">
        <v>0</v>
      </c>
    </row>
    <row r="6992" spans="1:10" ht="15.75" hidden="1" thickBot="1" x14ac:dyDescent="0.3">
      <c r="A6992" s="173" t="s">
        <v>1654</v>
      </c>
      <c r="B6992" s="176" t="s">
        <v>7679</v>
      </c>
      <c r="C6992" s="31"/>
      <c r="D6992" s="32" t="s">
        <v>106</v>
      </c>
      <c r="E6992" s="33"/>
      <c r="F6992" s="54" t="s">
        <v>13</v>
      </c>
      <c r="G6992" s="34" t="str">
        <f>IF(ISNUMBER(F6992),E6992*F6992,"")</f>
        <v/>
      </c>
      <c r="H6992" s="35"/>
      <c r="I6992" s="36"/>
      <c r="J6992" s="37">
        <v>0</v>
      </c>
    </row>
    <row r="6993" spans="1:10" hidden="1" x14ac:dyDescent="0.25">
      <c r="A6993" s="174"/>
      <c r="B6993" s="177"/>
      <c r="C6993" s="39"/>
      <c r="D6993" s="39"/>
      <c r="E6993" s="40"/>
      <c r="F6993" s="55" t="s">
        <v>13</v>
      </c>
      <c r="G6993" s="38" t="str">
        <f>IF(ISNUMBER(F6993),E6993*F6993,"")</f>
        <v/>
      </c>
      <c r="H6993" s="42"/>
      <c r="I6993" s="38"/>
      <c r="J6993" s="37">
        <v>0</v>
      </c>
    </row>
    <row r="6994" spans="1:10" hidden="1" x14ac:dyDescent="0.25">
      <c r="A6994" s="174"/>
      <c r="B6994" s="177"/>
      <c r="C6994" s="43" t="s">
        <v>11401</v>
      </c>
      <c r="D6994" s="43" t="s">
        <v>1302</v>
      </c>
      <c r="E6994" s="44">
        <v>1</v>
      </c>
      <c r="F6994" s="38">
        <v>28.347999999999999</v>
      </c>
      <c r="G6994" s="38">
        <f>IF(ISNUMBER(F6994),E6994*F6994,"")</f>
        <v>28.347999999999999</v>
      </c>
      <c r="H6994" s="46">
        <f>SUM(G6994:G6994)</f>
        <v>28.347999999999999</v>
      </c>
      <c r="I6994" s="47"/>
      <c r="J6994" s="37">
        <v>0</v>
      </c>
    </row>
    <row r="6995" spans="1:10" ht="15.75" hidden="1" thickBot="1" x14ac:dyDescent="0.3">
      <c r="A6995" s="175"/>
      <c r="B6995" s="178"/>
      <c r="C6995" s="49"/>
      <c r="D6995" s="49"/>
      <c r="E6995" s="50"/>
      <c r="F6995" s="51" t="s">
        <v>13</v>
      </c>
      <c r="G6995" s="51" t="str">
        <f>IF(ISNUMBER(F6995),E6995*F6995,"")</f>
        <v/>
      </c>
      <c r="H6995" s="53"/>
      <c r="I6995" s="38"/>
      <c r="J6995" s="37">
        <v>0</v>
      </c>
    </row>
    <row r="6996" spans="1:10" ht="15.75" hidden="1" thickBot="1" x14ac:dyDescent="0.3">
      <c r="A6996" s="173" t="s">
        <v>1655</v>
      </c>
      <c r="B6996" s="176" t="s">
        <v>7680</v>
      </c>
      <c r="C6996" s="31"/>
      <c r="D6996" s="32" t="s">
        <v>106</v>
      </c>
      <c r="E6996" s="33"/>
      <c r="F6996" s="54" t="s">
        <v>13</v>
      </c>
      <c r="G6996" s="34" t="str">
        <f>IF(ISNUMBER(F6996),E6996*F6996,"")</f>
        <v/>
      </c>
      <c r="H6996" s="35"/>
      <c r="I6996" s="36"/>
      <c r="J6996" s="37">
        <v>0</v>
      </c>
    </row>
    <row r="6997" spans="1:10" hidden="1" x14ac:dyDescent="0.25">
      <c r="A6997" s="174"/>
      <c r="B6997" s="177"/>
      <c r="C6997" s="39"/>
      <c r="D6997" s="39"/>
      <c r="E6997" s="40"/>
      <c r="F6997" s="55" t="s">
        <v>13</v>
      </c>
      <c r="G6997" s="38" t="str">
        <f>IF(ISNUMBER(F6997),E6997*F6997,"")</f>
        <v/>
      </c>
      <c r="H6997" s="42"/>
      <c r="I6997" s="38"/>
      <c r="J6997" s="37">
        <v>0</v>
      </c>
    </row>
    <row r="6998" spans="1:10" hidden="1" x14ac:dyDescent="0.25">
      <c r="A6998" s="174"/>
      <c r="B6998" s="177"/>
      <c r="C6998" s="43" t="s">
        <v>11402</v>
      </c>
      <c r="D6998" s="43" t="s">
        <v>1302</v>
      </c>
      <c r="E6998" s="44">
        <v>1</v>
      </c>
      <c r="F6998" s="38">
        <v>46.977499999999999</v>
      </c>
      <c r="G6998" s="38">
        <f>IF(ISNUMBER(F6998),E6998*F6998,"")</f>
        <v>46.977499999999999</v>
      </c>
      <c r="H6998" s="46">
        <f>SUM(G6998:G6998)</f>
        <v>46.977499999999999</v>
      </c>
      <c r="I6998" s="47"/>
      <c r="J6998" s="37">
        <v>0</v>
      </c>
    </row>
    <row r="6999" spans="1:10" ht="15.75" hidden="1" thickBot="1" x14ac:dyDescent="0.3">
      <c r="A6999" s="175"/>
      <c r="B6999" s="178"/>
      <c r="C6999" s="49"/>
      <c r="D6999" s="49"/>
      <c r="E6999" s="50"/>
      <c r="F6999" s="51" t="s">
        <v>13</v>
      </c>
      <c r="G6999" s="51" t="str">
        <f>IF(ISNUMBER(F6999),E6999*F6999,"")</f>
        <v/>
      </c>
      <c r="H6999" s="53"/>
      <c r="I6999" s="38"/>
      <c r="J6999" s="37">
        <v>0</v>
      </c>
    </row>
    <row r="7000" spans="1:10" ht="15.75" hidden="1" thickBot="1" x14ac:dyDescent="0.3">
      <c r="A7000" s="173" t="s">
        <v>1656</v>
      </c>
      <c r="B7000" s="176" t="s">
        <v>7681</v>
      </c>
      <c r="C7000" s="31"/>
      <c r="D7000" s="32" t="s">
        <v>106</v>
      </c>
      <c r="E7000" s="33"/>
      <c r="F7000" s="54" t="s">
        <v>13</v>
      </c>
      <c r="G7000" s="34" t="str">
        <f>IF(ISNUMBER(F7000),E7000*F7000,"")</f>
        <v/>
      </c>
      <c r="H7000" s="35"/>
      <c r="I7000" s="36"/>
      <c r="J7000" s="37">
        <v>0</v>
      </c>
    </row>
    <row r="7001" spans="1:10" hidden="1" x14ac:dyDescent="0.25">
      <c r="A7001" s="174"/>
      <c r="B7001" s="177"/>
      <c r="C7001" s="39"/>
      <c r="D7001" s="39"/>
      <c r="E7001" s="40"/>
      <c r="F7001" s="55" t="s">
        <v>13</v>
      </c>
      <c r="G7001" s="38" t="str">
        <f>IF(ISNUMBER(F7001),E7001*F7001,"")</f>
        <v/>
      </c>
      <c r="H7001" s="42"/>
      <c r="I7001" s="38"/>
      <c r="J7001" s="37">
        <v>0</v>
      </c>
    </row>
    <row r="7002" spans="1:10" hidden="1" x14ac:dyDescent="0.25">
      <c r="A7002" s="174"/>
      <c r="B7002" s="177"/>
      <c r="C7002" s="43" t="s">
        <v>11403</v>
      </c>
      <c r="D7002" s="43" t="s">
        <v>1302</v>
      </c>
      <c r="E7002" s="44">
        <v>1</v>
      </c>
      <c r="F7002" s="38">
        <v>65.350499999999997</v>
      </c>
      <c r="G7002" s="38">
        <f>IF(ISNUMBER(F7002),E7002*F7002,"")</f>
        <v>65.350499999999997</v>
      </c>
      <c r="H7002" s="46">
        <f>SUM(G7002:G7002)</f>
        <v>65.350499999999997</v>
      </c>
      <c r="I7002" s="47"/>
      <c r="J7002" s="37">
        <v>0</v>
      </c>
    </row>
    <row r="7003" spans="1:10" ht="15.75" hidden="1" thickBot="1" x14ac:dyDescent="0.3">
      <c r="A7003" s="175"/>
      <c r="B7003" s="178"/>
      <c r="C7003" s="49"/>
      <c r="D7003" s="49"/>
      <c r="E7003" s="50"/>
      <c r="F7003" s="51" t="s">
        <v>13</v>
      </c>
      <c r="G7003" s="51" t="str">
        <f>IF(ISNUMBER(F7003),E7003*F7003,"")</f>
        <v/>
      </c>
      <c r="H7003" s="53"/>
      <c r="I7003" s="38"/>
      <c r="J7003" s="37">
        <v>0</v>
      </c>
    </row>
    <row r="7004" spans="1:10" ht="15.75" hidden="1" thickBot="1" x14ac:dyDescent="0.3">
      <c r="A7004" s="173" t="s">
        <v>1657</v>
      </c>
      <c r="B7004" s="176" t="s">
        <v>7682</v>
      </c>
      <c r="C7004" s="31"/>
      <c r="D7004" s="32" t="s">
        <v>106</v>
      </c>
      <c r="E7004" s="33"/>
      <c r="F7004" s="54" t="s">
        <v>13</v>
      </c>
      <c r="G7004" s="34" t="str">
        <f>IF(ISNUMBER(F7004),E7004*F7004,"")</f>
        <v/>
      </c>
      <c r="H7004" s="35"/>
      <c r="I7004" s="36"/>
      <c r="J7004" s="37">
        <v>0</v>
      </c>
    </row>
    <row r="7005" spans="1:10" hidden="1" x14ac:dyDescent="0.25">
      <c r="A7005" s="174"/>
      <c r="B7005" s="177"/>
      <c r="C7005" s="39"/>
      <c r="D7005" s="39"/>
      <c r="E7005" s="40"/>
      <c r="F7005" s="55" t="s">
        <v>13</v>
      </c>
      <c r="G7005" s="38" t="str">
        <f>IF(ISNUMBER(F7005),E7005*F7005,"")</f>
        <v/>
      </c>
      <c r="H7005" s="42"/>
      <c r="I7005" s="38"/>
      <c r="J7005" s="37">
        <v>0</v>
      </c>
    </row>
    <row r="7006" spans="1:10" hidden="1" x14ac:dyDescent="0.25">
      <c r="A7006" s="174"/>
      <c r="B7006" s="177"/>
      <c r="C7006" s="43" t="s">
        <v>11404</v>
      </c>
      <c r="D7006" s="43" t="s">
        <v>1302</v>
      </c>
      <c r="E7006" s="44">
        <v>1</v>
      </c>
      <c r="F7006" s="38">
        <v>102.27699999999999</v>
      </c>
      <c r="G7006" s="38">
        <f>IF(ISNUMBER(F7006),E7006*F7006,"")</f>
        <v>102.27699999999999</v>
      </c>
      <c r="H7006" s="46">
        <f>SUM(G7006:G7006)</f>
        <v>102.27699999999999</v>
      </c>
      <c r="I7006" s="47"/>
      <c r="J7006" s="37">
        <v>0</v>
      </c>
    </row>
    <row r="7007" spans="1:10" ht="15.75" hidden="1" thickBot="1" x14ac:dyDescent="0.3">
      <c r="A7007" s="175"/>
      <c r="B7007" s="178"/>
      <c r="C7007" s="49"/>
      <c r="D7007" s="49"/>
      <c r="E7007" s="50"/>
      <c r="F7007" s="51" t="s">
        <v>13</v>
      </c>
      <c r="G7007" s="51" t="str">
        <f>IF(ISNUMBER(F7007),E7007*F7007,"")</f>
        <v/>
      </c>
      <c r="H7007" s="53"/>
      <c r="I7007" s="38"/>
      <c r="J7007" s="37">
        <v>0</v>
      </c>
    </row>
    <row r="7008" spans="1:10" ht="15.75" hidden="1" thickBot="1" x14ac:dyDescent="0.3">
      <c r="A7008" s="173" t="s">
        <v>1658</v>
      </c>
      <c r="B7008" s="176" t="s">
        <v>7703</v>
      </c>
      <c r="C7008" s="31"/>
      <c r="D7008" s="32" t="s">
        <v>18</v>
      </c>
      <c r="E7008" s="33"/>
      <c r="F7008" s="54" t="s">
        <v>13</v>
      </c>
      <c r="G7008" s="34" t="str">
        <f>IF(ISNUMBER(F7008),E7008*F7008,"")</f>
        <v/>
      </c>
      <c r="H7008" s="35"/>
      <c r="I7008" s="36"/>
      <c r="J7008" s="37">
        <v>0</v>
      </c>
    </row>
    <row r="7009" spans="1:10" hidden="1" x14ac:dyDescent="0.25">
      <c r="A7009" s="174"/>
      <c r="B7009" s="177"/>
      <c r="C7009" s="39"/>
      <c r="D7009" s="39"/>
      <c r="E7009" s="40"/>
      <c r="F7009" s="55" t="s">
        <v>13</v>
      </c>
      <c r="G7009" s="38" t="str">
        <f>IF(ISNUMBER(F7009),E7009*F7009,"")</f>
        <v/>
      </c>
      <c r="H7009" s="42"/>
      <c r="I7009" s="38"/>
      <c r="J7009" s="37">
        <v>0</v>
      </c>
    </row>
    <row r="7010" spans="1:10" hidden="1" x14ac:dyDescent="0.25">
      <c r="A7010" s="174"/>
      <c r="B7010" s="177"/>
      <c r="C7010" s="43" t="s">
        <v>10924</v>
      </c>
      <c r="D7010" s="43" t="s">
        <v>83</v>
      </c>
      <c r="E7010" s="44">
        <v>1</v>
      </c>
      <c r="F7010" s="38">
        <v>33.933999999999997</v>
      </c>
      <c r="G7010" s="38">
        <f>IF(ISNUMBER(F7010),E7010*F7010,"")</f>
        <v>33.933999999999997</v>
      </c>
      <c r="H7010" s="46">
        <f>SUM(G7010:G7010)</f>
        <v>33.933999999999997</v>
      </c>
      <c r="I7010" s="47"/>
      <c r="J7010" s="37">
        <v>0</v>
      </c>
    </row>
    <row r="7011" spans="1:10" ht="15.75" hidden="1" thickBot="1" x14ac:dyDescent="0.3">
      <c r="A7011" s="175"/>
      <c r="B7011" s="178"/>
      <c r="C7011" s="49"/>
      <c r="D7011" s="49"/>
      <c r="E7011" s="50"/>
      <c r="F7011" s="51" t="s">
        <v>13</v>
      </c>
      <c r="G7011" s="51" t="str">
        <f>IF(ISNUMBER(F7011),E7011*F7011,"")</f>
        <v/>
      </c>
      <c r="H7011" s="53"/>
      <c r="I7011" s="38"/>
      <c r="J7011" s="37">
        <v>0</v>
      </c>
    </row>
    <row r="7012" spans="1:10" ht="15.75" hidden="1" thickBot="1" x14ac:dyDescent="0.3">
      <c r="A7012" s="173" t="s">
        <v>1659</v>
      </c>
      <c r="B7012" s="176" t="s">
        <v>7704</v>
      </c>
      <c r="C7012" s="31"/>
      <c r="D7012" s="32" t="s">
        <v>18</v>
      </c>
      <c r="E7012" s="33"/>
      <c r="F7012" s="54" t="s">
        <v>13</v>
      </c>
      <c r="G7012" s="34" t="str">
        <f>IF(ISNUMBER(F7012),E7012*F7012,"")</f>
        <v/>
      </c>
      <c r="H7012" s="35"/>
      <c r="I7012" s="36"/>
      <c r="J7012" s="37">
        <v>0</v>
      </c>
    </row>
    <row r="7013" spans="1:10" hidden="1" x14ac:dyDescent="0.25">
      <c r="A7013" s="174"/>
      <c r="B7013" s="177"/>
      <c r="C7013" s="39"/>
      <c r="D7013" s="39"/>
      <c r="E7013" s="40"/>
      <c r="F7013" s="55" t="s">
        <v>13</v>
      </c>
      <c r="G7013" s="38" t="str">
        <f>IF(ISNUMBER(F7013),E7013*F7013,"")</f>
        <v/>
      </c>
      <c r="H7013" s="42"/>
      <c r="I7013" s="38"/>
      <c r="J7013" s="37">
        <v>0</v>
      </c>
    </row>
    <row r="7014" spans="1:10" hidden="1" x14ac:dyDescent="0.25">
      <c r="A7014" s="174"/>
      <c r="B7014" s="177"/>
      <c r="C7014" s="43" t="s">
        <v>11405</v>
      </c>
      <c r="D7014" s="43" t="s">
        <v>83</v>
      </c>
      <c r="E7014" s="44">
        <v>1</v>
      </c>
      <c r="F7014" s="38">
        <v>46.359999999999992</v>
      </c>
      <c r="G7014" s="38">
        <f>IF(ISNUMBER(F7014),E7014*F7014,"")</f>
        <v>46.359999999999992</v>
      </c>
      <c r="H7014" s="46">
        <f>SUM(G7014:G7014)</f>
        <v>46.359999999999992</v>
      </c>
      <c r="I7014" s="47"/>
      <c r="J7014" s="37">
        <v>0</v>
      </c>
    </row>
    <row r="7015" spans="1:10" ht="15.75" hidden="1" thickBot="1" x14ac:dyDescent="0.3">
      <c r="A7015" s="175"/>
      <c r="B7015" s="178"/>
      <c r="C7015" s="49"/>
      <c r="D7015" s="49"/>
      <c r="E7015" s="50"/>
      <c r="F7015" s="51" t="s">
        <v>13</v>
      </c>
      <c r="G7015" s="51" t="str">
        <f>IF(ISNUMBER(F7015),E7015*F7015,"")</f>
        <v/>
      </c>
      <c r="H7015" s="53"/>
      <c r="I7015" s="38"/>
      <c r="J7015" s="37">
        <v>0</v>
      </c>
    </row>
    <row r="7016" spans="1:10" ht="15.75" hidden="1" thickBot="1" x14ac:dyDescent="0.3">
      <c r="A7016" s="173" t="s">
        <v>1660</v>
      </c>
      <c r="B7016" s="176" t="s">
        <v>7707</v>
      </c>
      <c r="C7016" s="31"/>
      <c r="D7016" s="32" t="s">
        <v>18</v>
      </c>
      <c r="E7016" s="33"/>
      <c r="F7016" s="54" t="s">
        <v>13</v>
      </c>
      <c r="G7016" s="34" t="str">
        <f>IF(ISNUMBER(F7016),E7016*F7016,"")</f>
        <v/>
      </c>
      <c r="H7016" s="35"/>
      <c r="I7016" s="36"/>
      <c r="J7016" s="37">
        <v>0</v>
      </c>
    </row>
    <row r="7017" spans="1:10" hidden="1" x14ac:dyDescent="0.25">
      <c r="A7017" s="174"/>
      <c r="B7017" s="177"/>
      <c r="C7017" s="39"/>
      <c r="D7017" s="39"/>
      <c r="E7017" s="40"/>
      <c r="F7017" s="55" t="s">
        <v>13</v>
      </c>
      <c r="G7017" s="38" t="str">
        <f>IF(ISNUMBER(F7017),E7017*F7017,"")</f>
        <v/>
      </c>
      <c r="H7017" s="42"/>
      <c r="I7017" s="38"/>
      <c r="J7017" s="37">
        <v>0</v>
      </c>
    </row>
    <row r="7018" spans="1:10" ht="25.5" hidden="1" x14ac:dyDescent="0.25">
      <c r="A7018" s="174"/>
      <c r="B7018" s="177"/>
      <c r="C7018" s="43" t="s">
        <v>11406</v>
      </c>
      <c r="D7018" s="43" t="s">
        <v>83</v>
      </c>
      <c r="E7018" s="44">
        <v>1</v>
      </c>
      <c r="F7018" s="38">
        <v>92.283000000000001</v>
      </c>
      <c r="G7018" s="38">
        <f>IF(ISNUMBER(F7018),E7018*F7018,"")</f>
        <v>92.283000000000001</v>
      </c>
      <c r="H7018" s="46">
        <f>SUM(G7018:G7018)</f>
        <v>92.283000000000001</v>
      </c>
      <c r="I7018" s="47"/>
      <c r="J7018" s="37">
        <v>0</v>
      </c>
    </row>
    <row r="7019" spans="1:10" ht="15.75" hidden="1" thickBot="1" x14ac:dyDescent="0.3">
      <c r="A7019" s="175"/>
      <c r="B7019" s="178"/>
      <c r="C7019" s="49"/>
      <c r="D7019" s="49"/>
      <c r="E7019" s="50"/>
      <c r="F7019" s="51" t="s">
        <v>13</v>
      </c>
      <c r="G7019" s="51" t="str">
        <f>IF(ISNUMBER(F7019),E7019*F7019,"")</f>
        <v/>
      </c>
      <c r="H7019" s="53"/>
      <c r="I7019" s="38"/>
      <c r="J7019" s="37">
        <v>0</v>
      </c>
    </row>
    <row r="7020" spans="1:10" ht="15.75" hidden="1" thickBot="1" x14ac:dyDescent="0.3">
      <c r="A7020" s="173" t="s">
        <v>1661</v>
      </c>
      <c r="B7020" s="176" t="s">
        <v>7708</v>
      </c>
      <c r="C7020" s="31"/>
      <c r="D7020" s="32" t="s">
        <v>18</v>
      </c>
      <c r="E7020" s="33"/>
      <c r="F7020" s="54" t="s">
        <v>13</v>
      </c>
      <c r="G7020" s="34" t="str">
        <f>IF(ISNUMBER(F7020),E7020*F7020,"")</f>
        <v/>
      </c>
      <c r="H7020" s="35"/>
      <c r="I7020" s="36"/>
      <c r="J7020" s="37">
        <v>0</v>
      </c>
    </row>
    <row r="7021" spans="1:10" hidden="1" x14ac:dyDescent="0.25">
      <c r="A7021" s="174"/>
      <c r="B7021" s="177"/>
      <c r="C7021" s="39"/>
      <c r="D7021" s="39"/>
      <c r="E7021" s="40"/>
      <c r="F7021" s="55" t="s">
        <v>13</v>
      </c>
      <c r="G7021" s="38" t="str">
        <f>IF(ISNUMBER(F7021),E7021*F7021,"")</f>
        <v/>
      </c>
      <c r="H7021" s="42"/>
      <c r="I7021" s="38"/>
      <c r="J7021" s="37">
        <v>0</v>
      </c>
    </row>
    <row r="7022" spans="1:10" ht="25.5" hidden="1" x14ac:dyDescent="0.25">
      <c r="A7022" s="174"/>
      <c r="B7022" s="177"/>
      <c r="C7022" s="43" t="s">
        <v>11407</v>
      </c>
      <c r="D7022" s="43" t="s">
        <v>83</v>
      </c>
      <c r="E7022" s="44">
        <v>1</v>
      </c>
      <c r="F7022" s="38">
        <v>236.79699999999997</v>
      </c>
      <c r="G7022" s="38">
        <f>IF(ISNUMBER(F7022),E7022*F7022,"")</f>
        <v>236.79699999999997</v>
      </c>
      <c r="H7022" s="46">
        <f>SUM(G7022:G7022)</f>
        <v>236.79699999999997</v>
      </c>
      <c r="I7022" s="47"/>
      <c r="J7022" s="37">
        <v>0</v>
      </c>
    </row>
    <row r="7023" spans="1:10" ht="15.75" hidden="1" thickBot="1" x14ac:dyDescent="0.3">
      <c r="A7023" s="175"/>
      <c r="B7023" s="178"/>
      <c r="C7023" s="49"/>
      <c r="D7023" s="49"/>
      <c r="E7023" s="50"/>
      <c r="F7023" s="51" t="s">
        <v>13</v>
      </c>
      <c r="G7023" s="51" t="str">
        <f>IF(ISNUMBER(F7023),E7023*F7023,"")</f>
        <v/>
      </c>
      <c r="H7023" s="53"/>
      <c r="I7023" s="38"/>
      <c r="J7023" s="37">
        <v>0</v>
      </c>
    </row>
    <row r="7024" spans="1:10" ht="15.75" hidden="1" thickBot="1" x14ac:dyDescent="0.3">
      <c r="A7024" s="173" t="s">
        <v>1662</v>
      </c>
      <c r="B7024" s="176" t="s">
        <v>7711</v>
      </c>
      <c r="C7024" s="31"/>
      <c r="D7024" s="32" t="s">
        <v>18</v>
      </c>
      <c r="E7024" s="33"/>
      <c r="F7024" s="54" t="s">
        <v>13</v>
      </c>
      <c r="G7024" s="34" t="str">
        <f>IF(ISNUMBER(F7024),E7024*F7024,"")</f>
        <v/>
      </c>
      <c r="H7024" s="35"/>
      <c r="I7024" s="36"/>
      <c r="J7024" s="37">
        <v>0</v>
      </c>
    </row>
    <row r="7025" spans="1:10" hidden="1" x14ac:dyDescent="0.25">
      <c r="A7025" s="174"/>
      <c r="B7025" s="177"/>
      <c r="C7025" s="39"/>
      <c r="D7025" s="39"/>
      <c r="E7025" s="40"/>
      <c r="F7025" s="55" t="s">
        <v>13</v>
      </c>
      <c r="G7025" s="38" t="str">
        <f>IF(ISNUMBER(F7025),E7025*F7025,"")</f>
        <v/>
      </c>
      <c r="H7025" s="42"/>
      <c r="I7025" s="38"/>
      <c r="J7025" s="37">
        <v>0</v>
      </c>
    </row>
    <row r="7026" spans="1:10" ht="25.5" hidden="1" x14ac:dyDescent="0.25">
      <c r="A7026" s="174"/>
      <c r="B7026" s="177"/>
      <c r="C7026" s="43" t="s">
        <v>11408</v>
      </c>
      <c r="D7026" s="43" t="s">
        <v>83</v>
      </c>
      <c r="E7026" s="44">
        <v>1</v>
      </c>
      <c r="F7026" s="38">
        <v>133.3895</v>
      </c>
      <c r="G7026" s="38">
        <f>IF(ISNUMBER(F7026),E7026*F7026,"")</f>
        <v>133.3895</v>
      </c>
      <c r="H7026" s="46">
        <f>SUM(G7026:G7026)</f>
        <v>133.3895</v>
      </c>
      <c r="I7026" s="47"/>
      <c r="J7026" s="37">
        <v>0</v>
      </c>
    </row>
    <row r="7027" spans="1:10" ht="15.75" hidden="1" thickBot="1" x14ac:dyDescent="0.3">
      <c r="A7027" s="175"/>
      <c r="B7027" s="178"/>
      <c r="C7027" s="49"/>
      <c r="D7027" s="49"/>
      <c r="E7027" s="50"/>
      <c r="F7027" s="51" t="s">
        <v>13</v>
      </c>
      <c r="G7027" s="51" t="str">
        <f>IF(ISNUMBER(F7027),E7027*F7027,"")</f>
        <v/>
      </c>
      <c r="H7027" s="53"/>
      <c r="I7027" s="38"/>
      <c r="J7027" s="37">
        <v>0</v>
      </c>
    </row>
    <row r="7028" spans="1:10" ht="15.75" hidden="1" thickBot="1" x14ac:dyDescent="0.3">
      <c r="A7028" s="173" t="s">
        <v>1663</v>
      </c>
      <c r="B7028" s="176" t="s">
        <v>7712</v>
      </c>
      <c r="C7028" s="31"/>
      <c r="D7028" s="32" t="s">
        <v>18</v>
      </c>
      <c r="E7028" s="33"/>
      <c r="F7028" s="54" t="s">
        <v>13</v>
      </c>
      <c r="G7028" s="34" t="str">
        <f>IF(ISNUMBER(F7028),E7028*F7028,"")</f>
        <v/>
      </c>
      <c r="H7028" s="35"/>
      <c r="I7028" s="36"/>
      <c r="J7028" s="37">
        <v>0</v>
      </c>
    </row>
    <row r="7029" spans="1:10" hidden="1" x14ac:dyDescent="0.25">
      <c r="A7029" s="174"/>
      <c r="B7029" s="177"/>
      <c r="C7029" s="39"/>
      <c r="D7029" s="39"/>
      <c r="E7029" s="40"/>
      <c r="F7029" s="55" t="s">
        <v>13</v>
      </c>
      <c r="G7029" s="38" t="str">
        <f>IF(ISNUMBER(F7029),E7029*F7029,"")</f>
        <v/>
      </c>
      <c r="H7029" s="42"/>
      <c r="I7029" s="38"/>
      <c r="J7029" s="37">
        <v>0</v>
      </c>
    </row>
    <row r="7030" spans="1:10" ht="25.5" hidden="1" x14ac:dyDescent="0.25">
      <c r="A7030" s="174"/>
      <c r="B7030" s="177"/>
      <c r="C7030" s="43" t="s">
        <v>11409</v>
      </c>
      <c r="D7030" s="43" t="s">
        <v>83</v>
      </c>
      <c r="E7030" s="44">
        <v>1</v>
      </c>
      <c r="F7030" s="38">
        <v>424.95399999999995</v>
      </c>
      <c r="G7030" s="38">
        <f>IF(ISNUMBER(F7030),E7030*F7030,"")</f>
        <v>424.95399999999995</v>
      </c>
      <c r="H7030" s="46">
        <f>SUM(G7030:G7030)</f>
        <v>424.95399999999995</v>
      </c>
      <c r="I7030" s="47"/>
      <c r="J7030" s="37">
        <v>0</v>
      </c>
    </row>
    <row r="7031" spans="1:10" ht="15.75" hidden="1" thickBot="1" x14ac:dyDescent="0.3">
      <c r="A7031" s="175"/>
      <c r="B7031" s="178"/>
      <c r="C7031" s="49"/>
      <c r="D7031" s="49"/>
      <c r="E7031" s="50"/>
      <c r="F7031" s="51" t="s">
        <v>13</v>
      </c>
      <c r="G7031" s="51" t="str">
        <f>IF(ISNUMBER(F7031),E7031*F7031,"")</f>
        <v/>
      </c>
      <c r="H7031" s="53"/>
      <c r="I7031" s="38"/>
      <c r="J7031" s="37">
        <v>0</v>
      </c>
    </row>
    <row r="7032" spans="1:10" ht="15.75" hidden="1" thickBot="1" x14ac:dyDescent="0.3">
      <c r="A7032" s="173" t="s">
        <v>1664</v>
      </c>
      <c r="B7032" s="176" t="s">
        <v>7713</v>
      </c>
      <c r="C7032" s="31"/>
      <c r="D7032" s="32" t="s">
        <v>18</v>
      </c>
      <c r="E7032" s="33"/>
      <c r="F7032" s="54" t="s">
        <v>13</v>
      </c>
      <c r="G7032" s="34" t="str">
        <f>IF(ISNUMBER(F7032),E7032*F7032,"")</f>
        <v/>
      </c>
      <c r="H7032" s="35"/>
      <c r="I7032" s="36"/>
      <c r="J7032" s="37">
        <v>0</v>
      </c>
    </row>
    <row r="7033" spans="1:10" hidden="1" x14ac:dyDescent="0.25">
      <c r="A7033" s="174"/>
      <c r="B7033" s="177"/>
      <c r="C7033" s="39"/>
      <c r="D7033" s="39"/>
      <c r="E7033" s="40"/>
      <c r="F7033" s="55" t="s">
        <v>13</v>
      </c>
      <c r="G7033" s="38" t="str">
        <f>IF(ISNUMBER(F7033),E7033*F7033,"")</f>
        <v/>
      </c>
      <c r="H7033" s="42"/>
      <c r="I7033" s="38"/>
      <c r="J7033" s="37">
        <v>0</v>
      </c>
    </row>
    <row r="7034" spans="1:10" ht="25.5" hidden="1" x14ac:dyDescent="0.25">
      <c r="A7034" s="174"/>
      <c r="B7034" s="177"/>
      <c r="C7034" s="43" t="s">
        <v>11410</v>
      </c>
      <c r="D7034" s="43" t="s">
        <v>83</v>
      </c>
      <c r="E7034" s="44">
        <v>1</v>
      </c>
      <c r="F7034" s="38">
        <v>514.84300000000007</v>
      </c>
      <c r="G7034" s="38">
        <f>IF(ISNUMBER(F7034),E7034*F7034,"")</f>
        <v>514.84300000000007</v>
      </c>
      <c r="H7034" s="46">
        <f>SUM(G7034:G7034)</f>
        <v>514.84300000000007</v>
      </c>
      <c r="I7034" s="47"/>
      <c r="J7034" s="37">
        <v>0</v>
      </c>
    </row>
    <row r="7035" spans="1:10" ht="15.75" hidden="1" thickBot="1" x14ac:dyDescent="0.3">
      <c r="A7035" s="175"/>
      <c r="B7035" s="178"/>
      <c r="C7035" s="49"/>
      <c r="D7035" s="49"/>
      <c r="E7035" s="50"/>
      <c r="F7035" s="51" t="s">
        <v>13</v>
      </c>
      <c r="G7035" s="51" t="str">
        <f>IF(ISNUMBER(F7035),E7035*F7035,"")</f>
        <v/>
      </c>
      <c r="H7035" s="53"/>
      <c r="I7035" s="38"/>
      <c r="J7035" s="37">
        <v>0</v>
      </c>
    </row>
    <row r="7036" spans="1:10" ht="15.75" hidden="1" thickBot="1" x14ac:dyDescent="0.3">
      <c r="A7036" s="173" t="s">
        <v>1665</v>
      </c>
      <c r="B7036" s="176" t="s">
        <v>7714</v>
      </c>
      <c r="C7036" s="31"/>
      <c r="D7036" s="32" t="s">
        <v>18</v>
      </c>
      <c r="E7036" s="33"/>
      <c r="F7036" s="54" t="s">
        <v>13</v>
      </c>
      <c r="G7036" s="34" t="str">
        <f>IF(ISNUMBER(F7036),E7036*F7036,"")</f>
        <v/>
      </c>
      <c r="H7036" s="35"/>
      <c r="I7036" s="36"/>
      <c r="J7036" s="37">
        <v>0</v>
      </c>
    </row>
    <row r="7037" spans="1:10" hidden="1" x14ac:dyDescent="0.25">
      <c r="A7037" s="174"/>
      <c r="B7037" s="177"/>
      <c r="C7037" s="39"/>
      <c r="D7037" s="39"/>
      <c r="E7037" s="40"/>
      <c r="F7037" s="55" t="s">
        <v>13</v>
      </c>
      <c r="G7037" s="38" t="str">
        <f>IF(ISNUMBER(F7037),E7037*F7037,"")</f>
        <v/>
      </c>
      <c r="H7037" s="42"/>
      <c r="I7037" s="38"/>
      <c r="J7037" s="37">
        <v>0</v>
      </c>
    </row>
    <row r="7038" spans="1:10" ht="25.5" hidden="1" x14ac:dyDescent="0.25">
      <c r="A7038" s="174"/>
      <c r="B7038" s="177"/>
      <c r="C7038" s="43" t="s">
        <v>11411</v>
      </c>
      <c r="D7038" s="43" t="s">
        <v>83</v>
      </c>
      <c r="E7038" s="44">
        <v>1</v>
      </c>
      <c r="F7038" s="38">
        <v>893.55100000000004</v>
      </c>
      <c r="G7038" s="38">
        <f>IF(ISNUMBER(F7038),E7038*F7038,"")</f>
        <v>893.55100000000004</v>
      </c>
      <c r="H7038" s="46">
        <f>SUM(G7038:G7038)</f>
        <v>893.55100000000004</v>
      </c>
      <c r="I7038" s="47"/>
      <c r="J7038" s="37">
        <v>0</v>
      </c>
    </row>
    <row r="7039" spans="1:10" ht="15.75" hidden="1" thickBot="1" x14ac:dyDescent="0.3">
      <c r="A7039" s="175"/>
      <c r="B7039" s="178"/>
      <c r="C7039" s="49"/>
      <c r="D7039" s="49"/>
      <c r="E7039" s="50"/>
      <c r="F7039" s="51" t="s">
        <v>13</v>
      </c>
      <c r="G7039" s="51" t="str">
        <f>IF(ISNUMBER(F7039),E7039*F7039,"")</f>
        <v/>
      </c>
      <c r="H7039" s="53"/>
      <c r="I7039" s="38"/>
      <c r="J7039" s="37">
        <v>0</v>
      </c>
    </row>
    <row r="7040" spans="1:10" ht="15.75" hidden="1" thickBot="1" x14ac:dyDescent="0.3">
      <c r="A7040" s="173" t="s">
        <v>1666</v>
      </c>
      <c r="B7040" s="176" t="s">
        <v>7715</v>
      </c>
      <c r="C7040" s="31"/>
      <c r="D7040" s="32" t="s">
        <v>18</v>
      </c>
      <c r="E7040" s="33"/>
      <c r="F7040" s="54" t="s">
        <v>13</v>
      </c>
      <c r="G7040" s="34" t="str">
        <f>IF(ISNUMBER(F7040),E7040*F7040,"")</f>
        <v/>
      </c>
      <c r="H7040" s="35"/>
      <c r="I7040" s="36"/>
      <c r="J7040" s="37">
        <v>0</v>
      </c>
    </row>
    <row r="7041" spans="1:10" hidden="1" x14ac:dyDescent="0.25">
      <c r="A7041" s="174"/>
      <c r="B7041" s="177"/>
      <c r="C7041" s="39"/>
      <c r="D7041" s="39"/>
      <c r="E7041" s="40"/>
      <c r="F7041" s="55" t="s">
        <v>13</v>
      </c>
      <c r="G7041" s="38" t="str">
        <f>IF(ISNUMBER(F7041),E7041*F7041,"")</f>
        <v/>
      </c>
      <c r="H7041" s="42"/>
      <c r="I7041" s="38"/>
      <c r="J7041" s="37">
        <v>0</v>
      </c>
    </row>
    <row r="7042" spans="1:10" ht="25.5" hidden="1" x14ac:dyDescent="0.25">
      <c r="A7042" s="174"/>
      <c r="B7042" s="177"/>
      <c r="C7042" s="43" t="s">
        <v>11412</v>
      </c>
      <c r="D7042" s="43" t="s">
        <v>83</v>
      </c>
      <c r="E7042" s="44">
        <v>1</v>
      </c>
      <c r="F7042" s="38">
        <v>235.28649999999999</v>
      </c>
      <c r="G7042" s="38">
        <f>IF(ISNUMBER(F7042),E7042*F7042,"")</f>
        <v>235.28649999999999</v>
      </c>
      <c r="H7042" s="46">
        <f>SUM(G7042:G7042)</f>
        <v>235.28649999999999</v>
      </c>
      <c r="I7042" s="47"/>
      <c r="J7042" s="37">
        <v>0</v>
      </c>
    </row>
    <row r="7043" spans="1:10" ht="15.75" hidden="1" thickBot="1" x14ac:dyDescent="0.3">
      <c r="A7043" s="175"/>
      <c r="B7043" s="178"/>
      <c r="C7043" s="49"/>
      <c r="D7043" s="49"/>
      <c r="E7043" s="50"/>
      <c r="F7043" s="51" t="s">
        <v>13</v>
      </c>
      <c r="G7043" s="51" t="str">
        <f>IF(ISNUMBER(F7043),E7043*F7043,"")</f>
        <v/>
      </c>
      <c r="H7043" s="53"/>
      <c r="I7043" s="38"/>
      <c r="J7043" s="37">
        <v>0</v>
      </c>
    </row>
    <row r="7044" spans="1:10" ht="15.75" hidden="1" thickBot="1" x14ac:dyDescent="0.3">
      <c r="A7044" s="173" t="s">
        <v>1667</v>
      </c>
      <c r="B7044" s="176" t="s">
        <v>7716</v>
      </c>
      <c r="C7044" s="31"/>
      <c r="D7044" s="32" t="s">
        <v>18</v>
      </c>
      <c r="E7044" s="33"/>
      <c r="F7044" s="54" t="s">
        <v>13</v>
      </c>
      <c r="G7044" s="34" t="str">
        <f>IF(ISNUMBER(F7044),E7044*F7044,"")</f>
        <v/>
      </c>
      <c r="H7044" s="35"/>
      <c r="I7044" s="36"/>
      <c r="J7044" s="37">
        <v>0</v>
      </c>
    </row>
    <row r="7045" spans="1:10" hidden="1" x14ac:dyDescent="0.25">
      <c r="A7045" s="174"/>
      <c r="B7045" s="177"/>
      <c r="C7045" s="39"/>
      <c r="D7045" s="39"/>
      <c r="E7045" s="40"/>
      <c r="F7045" s="55" t="s">
        <v>13</v>
      </c>
      <c r="G7045" s="38" t="str">
        <f>IF(ISNUMBER(F7045),E7045*F7045,"")</f>
        <v/>
      </c>
      <c r="H7045" s="42"/>
      <c r="I7045" s="38"/>
      <c r="J7045" s="37">
        <v>0</v>
      </c>
    </row>
    <row r="7046" spans="1:10" ht="25.5" hidden="1" x14ac:dyDescent="0.25">
      <c r="A7046" s="174"/>
      <c r="B7046" s="177"/>
      <c r="C7046" s="43" t="s">
        <v>11413</v>
      </c>
      <c r="D7046" s="43" t="s">
        <v>83</v>
      </c>
      <c r="E7046" s="44">
        <v>1</v>
      </c>
      <c r="F7046" s="38">
        <v>377.017</v>
      </c>
      <c r="G7046" s="38">
        <f>IF(ISNUMBER(F7046),E7046*F7046,"")</f>
        <v>377.017</v>
      </c>
      <c r="H7046" s="46">
        <f>SUM(G7046:G7046)</f>
        <v>377.017</v>
      </c>
      <c r="I7046" s="47"/>
      <c r="J7046" s="37">
        <v>0</v>
      </c>
    </row>
    <row r="7047" spans="1:10" ht="15.75" hidden="1" thickBot="1" x14ac:dyDescent="0.3">
      <c r="A7047" s="175"/>
      <c r="B7047" s="178"/>
      <c r="C7047" s="49"/>
      <c r="D7047" s="49"/>
      <c r="E7047" s="50"/>
      <c r="F7047" s="51" t="s">
        <v>13</v>
      </c>
      <c r="G7047" s="51" t="str">
        <f>IF(ISNUMBER(F7047),E7047*F7047,"")</f>
        <v/>
      </c>
      <c r="H7047" s="53"/>
      <c r="I7047" s="38"/>
      <c r="J7047" s="37">
        <v>0</v>
      </c>
    </row>
    <row r="7048" spans="1:10" ht="15.75" hidden="1" thickBot="1" x14ac:dyDescent="0.3">
      <c r="A7048" s="173" t="s">
        <v>1668</v>
      </c>
      <c r="B7048" s="176" t="s">
        <v>7719</v>
      </c>
      <c r="C7048" s="31"/>
      <c r="D7048" s="32" t="s">
        <v>18</v>
      </c>
      <c r="E7048" s="33"/>
      <c r="F7048" s="54" t="s">
        <v>13</v>
      </c>
      <c r="G7048" s="34" t="str">
        <f>IF(ISNUMBER(F7048),E7048*F7048,"")</f>
        <v/>
      </c>
      <c r="H7048" s="35"/>
      <c r="I7048" s="36"/>
      <c r="J7048" s="37">
        <v>0</v>
      </c>
    </row>
    <row r="7049" spans="1:10" hidden="1" x14ac:dyDescent="0.25">
      <c r="A7049" s="174"/>
      <c r="B7049" s="177"/>
      <c r="C7049" s="39"/>
      <c r="D7049" s="39"/>
      <c r="E7049" s="40"/>
      <c r="F7049" s="55" t="s">
        <v>13</v>
      </c>
      <c r="G7049" s="38" t="str">
        <f>IF(ISNUMBER(F7049),E7049*F7049,"")</f>
        <v/>
      </c>
      <c r="H7049" s="42"/>
      <c r="I7049" s="38"/>
      <c r="J7049" s="37">
        <v>0</v>
      </c>
    </row>
    <row r="7050" spans="1:10" ht="25.5" hidden="1" x14ac:dyDescent="0.25">
      <c r="A7050" s="174"/>
      <c r="B7050" s="177"/>
      <c r="C7050" s="43" t="s">
        <v>10925</v>
      </c>
      <c r="D7050" s="43" t="s">
        <v>83</v>
      </c>
      <c r="E7050" s="44">
        <v>1</v>
      </c>
      <c r="F7050" s="38">
        <v>42.702500000000001</v>
      </c>
      <c r="G7050" s="38">
        <f>IF(ISNUMBER(F7050),E7050*F7050,"")</f>
        <v>42.702500000000001</v>
      </c>
      <c r="H7050" s="46">
        <f>SUM(G7050:G7050)</f>
        <v>42.702500000000001</v>
      </c>
      <c r="I7050" s="47"/>
      <c r="J7050" s="37">
        <v>0</v>
      </c>
    </row>
    <row r="7051" spans="1:10" ht="15.75" hidden="1" thickBot="1" x14ac:dyDescent="0.3">
      <c r="A7051" s="175"/>
      <c r="B7051" s="178"/>
      <c r="C7051" s="49"/>
      <c r="D7051" s="49"/>
      <c r="E7051" s="50"/>
      <c r="F7051" s="51" t="s">
        <v>13</v>
      </c>
      <c r="G7051" s="51" t="str">
        <f>IF(ISNUMBER(F7051),E7051*F7051,"")</f>
        <v/>
      </c>
      <c r="H7051" s="53"/>
      <c r="I7051" s="38"/>
      <c r="J7051" s="37">
        <v>0</v>
      </c>
    </row>
    <row r="7052" spans="1:10" ht="15.75" hidden="1" thickBot="1" x14ac:dyDescent="0.3">
      <c r="A7052" s="173" t="s">
        <v>1669</v>
      </c>
      <c r="B7052" s="176" t="s">
        <v>7720</v>
      </c>
      <c r="C7052" s="31"/>
      <c r="D7052" s="32" t="s">
        <v>18</v>
      </c>
      <c r="E7052" s="33"/>
      <c r="F7052" s="54" t="s">
        <v>13</v>
      </c>
      <c r="G7052" s="34" t="str">
        <f>IF(ISNUMBER(F7052),E7052*F7052,"")</f>
        <v/>
      </c>
      <c r="H7052" s="35"/>
      <c r="I7052" s="36"/>
      <c r="J7052" s="37">
        <v>0</v>
      </c>
    </row>
    <row r="7053" spans="1:10" hidden="1" x14ac:dyDescent="0.25">
      <c r="A7053" s="174"/>
      <c r="B7053" s="177"/>
      <c r="C7053" s="39"/>
      <c r="D7053" s="39"/>
      <c r="E7053" s="40"/>
      <c r="F7053" s="55" t="s">
        <v>13</v>
      </c>
      <c r="G7053" s="38" t="str">
        <f>IF(ISNUMBER(F7053),E7053*F7053,"")</f>
        <v/>
      </c>
      <c r="H7053" s="42"/>
      <c r="I7053" s="38"/>
      <c r="J7053" s="37">
        <v>0</v>
      </c>
    </row>
    <row r="7054" spans="1:10" hidden="1" x14ac:dyDescent="0.25">
      <c r="A7054" s="174"/>
      <c r="B7054" s="177"/>
      <c r="C7054" s="43" t="s">
        <v>10921</v>
      </c>
      <c r="D7054" s="43" t="s">
        <v>83</v>
      </c>
      <c r="E7054" s="44">
        <v>1</v>
      </c>
      <c r="F7054" s="38">
        <v>143.773</v>
      </c>
      <c r="G7054" s="38">
        <f>IF(ISNUMBER(F7054),E7054*F7054,"")</f>
        <v>143.773</v>
      </c>
      <c r="H7054" s="46">
        <f>SUM(G7054:G7054)</f>
        <v>143.773</v>
      </c>
      <c r="I7054" s="47"/>
      <c r="J7054" s="37">
        <v>0</v>
      </c>
    </row>
    <row r="7055" spans="1:10" ht="15.75" hidden="1" thickBot="1" x14ac:dyDescent="0.3">
      <c r="A7055" s="175"/>
      <c r="B7055" s="178"/>
      <c r="C7055" s="49"/>
      <c r="D7055" s="49"/>
      <c r="E7055" s="50"/>
      <c r="F7055" s="51" t="s">
        <v>13</v>
      </c>
      <c r="G7055" s="51" t="str">
        <f>IF(ISNUMBER(F7055),E7055*F7055,"")</f>
        <v/>
      </c>
      <c r="H7055" s="53"/>
      <c r="I7055" s="38"/>
      <c r="J7055" s="37">
        <v>0</v>
      </c>
    </row>
    <row r="7056" spans="1:10" ht="15.75" hidden="1" thickBot="1" x14ac:dyDescent="0.3">
      <c r="A7056" s="173" t="s">
        <v>1670</v>
      </c>
      <c r="B7056" s="176" t="s">
        <v>7721</v>
      </c>
      <c r="C7056" s="31"/>
      <c r="D7056" s="32" t="s">
        <v>18</v>
      </c>
      <c r="E7056" s="33"/>
      <c r="F7056" s="54" t="s">
        <v>13</v>
      </c>
      <c r="G7056" s="34" t="str">
        <f>IF(ISNUMBER(F7056),E7056*F7056,"")</f>
        <v/>
      </c>
      <c r="H7056" s="35"/>
      <c r="I7056" s="36"/>
      <c r="J7056" s="37">
        <v>0</v>
      </c>
    </row>
    <row r="7057" spans="1:10" hidden="1" x14ac:dyDescent="0.25">
      <c r="A7057" s="174"/>
      <c r="B7057" s="177"/>
      <c r="C7057" s="39"/>
      <c r="D7057" s="39"/>
      <c r="E7057" s="40"/>
      <c r="F7057" s="55" t="s">
        <v>13</v>
      </c>
      <c r="G7057" s="38" t="str">
        <f>IF(ISNUMBER(F7057),E7057*F7057,"")</f>
        <v/>
      </c>
      <c r="H7057" s="42"/>
      <c r="I7057" s="38"/>
      <c r="J7057" s="37">
        <v>0</v>
      </c>
    </row>
    <row r="7058" spans="1:10" ht="38.25" hidden="1" x14ac:dyDescent="0.25">
      <c r="A7058" s="174"/>
      <c r="B7058" s="177"/>
      <c r="C7058" s="43" t="s">
        <v>11097</v>
      </c>
      <c r="D7058" s="43" t="s">
        <v>83</v>
      </c>
      <c r="E7058" s="44">
        <v>1</v>
      </c>
      <c r="F7058" s="38">
        <v>83.628500000000003</v>
      </c>
      <c r="G7058" s="38">
        <f>IF(ISNUMBER(F7058),E7058*F7058,"")</f>
        <v>83.628500000000003</v>
      </c>
      <c r="H7058" s="46">
        <f>SUM(G7058:G7058)</f>
        <v>83.628500000000003</v>
      </c>
      <c r="I7058" s="47"/>
      <c r="J7058" s="37">
        <v>0</v>
      </c>
    </row>
    <row r="7059" spans="1:10" ht="15.75" hidden="1" thickBot="1" x14ac:dyDescent="0.3">
      <c r="A7059" s="175"/>
      <c r="B7059" s="178"/>
      <c r="C7059" s="49"/>
      <c r="D7059" s="49"/>
      <c r="E7059" s="50"/>
      <c r="F7059" s="51" t="s">
        <v>13</v>
      </c>
      <c r="G7059" s="51" t="str">
        <f>IF(ISNUMBER(F7059),E7059*F7059,"")</f>
        <v/>
      </c>
      <c r="H7059" s="53"/>
      <c r="I7059" s="38"/>
      <c r="J7059" s="37">
        <v>0</v>
      </c>
    </row>
    <row r="7060" spans="1:10" ht="15.75" hidden="1" thickBot="1" x14ac:dyDescent="0.3">
      <c r="A7060" s="173" t="s">
        <v>1671</v>
      </c>
      <c r="B7060" s="176" t="s">
        <v>7724</v>
      </c>
      <c r="C7060" s="31"/>
      <c r="D7060" s="32" t="s">
        <v>18</v>
      </c>
      <c r="E7060" s="33"/>
      <c r="F7060" s="54" t="s">
        <v>13</v>
      </c>
      <c r="G7060" s="34" t="str">
        <f>IF(ISNUMBER(F7060),E7060*F7060,"")</f>
        <v/>
      </c>
      <c r="H7060" s="35"/>
      <c r="I7060" s="36"/>
      <c r="J7060" s="37">
        <v>0</v>
      </c>
    </row>
    <row r="7061" spans="1:10" hidden="1" x14ac:dyDescent="0.25">
      <c r="A7061" s="174"/>
      <c r="B7061" s="177"/>
      <c r="C7061" s="39"/>
      <c r="D7061" s="39"/>
      <c r="E7061" s="40"/>
      <c r="F7061" s="55" t="s">
        <v>13</v>
      </c>
      <c r="G7061" s="38" t="str">
        <f>IF(ISNUMBER(F7061),E7061*F7061,"")</f>
        <v/>
      </c>
      <c r="H7061" s="42"/>
      <c r="I7061" s="38"/>
      <c r="J7061" s="37">
        <v>0</v>
      </c>
    </row>
    <row r="7062" spans="1:10" ht="25.5" hidden="1" x14ac:dyDescent="0.25">
      <c r="A7062" s="174"/>
      <c r="B7062" s="177"/>
      <c r="C7062" s="43" t="s">
        <v>11414</v>
      </c>
      <c r="D7062" s="43" t="s">
        <v>83</v>
      </c>
      <c r="E7062" s="44">
        <v>1</v>
      </c>
      <c r="F7062" s="38">
        <v>340.84099999999995</v>
      </c>
      <c r="G7062" s="38">
        <f>IF(ISNUMBER(F7062),E7062*F7062,"")</f>
        <v>340.84099999999995</v>
      </c>
      <c r="H7062" s="46">
        <f>SUM(G7062:G7062)</f>
        <v>340.84099999999995</v>
      </c>
      <c r="I7062" s="47"/>
      <c r="J7062" s="37">
        <v>0</v>
      </c>
    </row>
    <row r="7063" spans="1:10" ht="15.75" hidden="1" thickBot="1" x14ac:dyDescent="0.3">
      <c r="A7063" s="175"/>
      <c r="B7063" s="178"/>
      <c r="C7063" s="49"/>
      <c r="D7063" s="49"/>
      <c r="E7063" s="50"/>
      <c r="F7063" s="51" t="s">
        <v>13</v>
      </c>
      <c r="G7063" s="51" t="str">
        <f>IF(ISNUMBER(F7063),E7063*F7063,"")</f>
        <v/>
      </c>
      <c r="H7063" s="53"/>
      <c r="I7063" s="38"/>
      <c r="J7063" s="37">
        <v>0</v>
      </c>
    </row>
    <row r="7064" spans="1:10" ht="15.75" hidden="1" thickBot="1" x14ac:dyDescent="0.3">
      <c r="A7064" s="173" t="s">
        <v>1672</v>
      </c>
      <c r="B7064" s="176" t="s">
        <v>7733</v>
      </c>
      <c r="C7064" s="31"/>
      <c r="D7064" s="32" t="s">
        <v>18</v>
      </c>
      <c r="E7064" s="33"/>
      <c r="F7064" s="54" t="s">
        <v>13</v>
      </c>
      <c r="G7064" s="34" t="str">
        <f>IF(ISNUMBER(F7064),E7064*F7064,"")</f>
        <v/>
      </c>
      <c r="H7064" s="35"/>
      <c r="I7064" s="36"/>
      <c r="J7064" s="37">
        <v>0</v>
      </c>
    </row>
    <row r="7065" spans="1:10" hidden="1" x14ac:dyDescent="0.25">
      <c r="A7065" s="174"/>
      <c r="B7065" s="177"/>
      <c r="C7065" s="39"/>
      <c r="D7065" s="39"/>
      <c r="E7065" s="40"/>
      <c r="F7065" s="55" t="s">
        <v>13</v>
      </c>
      <c r="G7065" s="38" t="str">
        <f>IF(ISNUMBER(F7065),E7065*F7065,"")</f>
        <v/>
      </c>
      <c r="H7065" s="42"/>
      <c r="I7065" s="38"/>
      <c r="J7065" s="37">
        <v>0</v>
      </c>
    </row>
    <row r="7066" spans="1:10" ht="25.5" hidden="1" x14ac:dyDescent="0.25">
      <c r="A7066" s="174"/>
      <c r="B7066" s="177"/>
      <c r="C7066" s="43" t="s">
        <v>11415</v>
      </c>
      <c r="D7066" s="43" t="s">
        <v>83</v>
      </c>
      <c r="E7066" s="44">
        <v>1</v>
      </c>
      <c r="F7066" s="38">
        <v>12.4735</v>
      </c>
      <c r="G7066" s="38">
        <f>IF(ISNUMBER(F7066),E7066*F7066,"")</f>
        <v>12.4735</v>
      </c>
      <c r="H7066" s="46">
        <f>SUM(G7066:G7066)</f>
        <v>12.4735</v>
      </c>
      <c r="I7066" s="47"/>
      <c r="J7066" s="37">
        <v>0</v>
      </c>
    </row>
    <row r="7067" spans="1:10" ht="15.75" hidden="1" thickBot="1" x14ac:dyDescent="0.3">
      <c r="A7067" s="175"/>
      <c r="B7067" s="178"/>
      <c r="C7067" s="49"/>
      <c r="D7067" s="49"/>
      <c r="E7067" s="50"/>
      <c r="F7067" s="51" t="s">
        <v>13</v>
      </c>
      <c r="G7067" s="51" t="str">
        <f>IF(ISNUMBER(F7067),E7067*F7067,"")</f>
        <v/>
      </c>
      <c r="H7067" s="53"/>
      <c r="I7067" s="38"/>
      <c r="J7067" s="37">
        <v>0</v>
      </c>
    </row>
    <row r="7068" spans="1:10" ht="15.75" hidden="1" thickBot="1" x14ac:dyDescent="0.3">
      <c r="A7068" s="173" t="s">
        <v>1673</v>
      </c>
      <c r="B7068" s="176" t="s">
        <v>7734</v>
      </c>
      <c r="C7068" s="31"/>
      <c r="D7068" s="32" t="s">
        <v>18</v>
      </c>
      <c r="E7068" s="33"/>
      <c r="F7068" s="54" t="s">
        <v>13</v>
      </c>
      <c r="G7068" s="34" t="str">
        <f>IF(ISNUMBER(F7068),E7068*F7068,"")</f>
        <v/>
      </c>
      <c r="H7068" s="35"/>
      <c r="I7068" s="36"/>
      <c r="J7068" s="37">
        <v>0</v>
      </c>
    </row>
    <row r="7069" spans="1:10" hidden="1" x14ac:dyDescent="0.25">
      <c r="A7069" s="174"/>
      <c r="B7069" s="177"/>
      <c r="C7069" s="39"/>
      <c r="D7069" s="39"/>
      <c r="E7069" s="40"/>
      <c r="F7069" s="55" t="s">
        <v>13</v>
      </c>
      <c r="G7069" s="38" t="str">
        <f>IF(ISNUMBER(F7069),E7069*F7069,"")</f>
        <v/>
      </c>
      <c r="H7069" s="42"/>
      <c r="I7069" s="38"/>
      <c r="J7069" s="37">
        <v>0</v>
      </c>
    </row>
    <row r="7070" spans="1:10" ht="38.25" hidden="1" x14ac:dyDescent="0.25">
      <c r="A7070" s="174"/>
      <c r="B7070" s="177"/>
      <c r="C7070" s="43" t="s">
        <v>11416</v>
      </c>
      <c r="D7070" s="43" t="s">
        <v>83</v>
      </c>
      <c r="E7070" s="44">
        <v>1</v>
      </c>
      <c r="F7070" s="38">
        <v>290.23449999999997</v>
      </c>
      <c r="G7070" s="38">
        <f>IF(ISNUMBER(F7070),E7070*F7070,"")</f>
        <v>290.23449999999997</v>
      </c>
      <c r="H7070" s="46">
        <f>SUM(G7070:G7070)</f>
        <v>290.23449999999997</v>
      </c>
      <c r="I7070" s="47"/>
      <c r="J7070" s="37">
        <v>0</v>
      </c>
    </row>
    <row r="7071" spans="1:10" ht="15.75" hidden="1" thickBot="1" x14ac:dyDescent="0.3">
      <c r="A7071" s="175"/>
      <c r="B7071" s="178"/>
      <c r="C7071" s="49"/>
      <c r="D7071" s="49"/>
      <c r="E7071" s="50"/>
      <c r="F7071" s="51" t="s">
        <v>13</v>
      </c>
      <c r="G7071" s="51" t="str">
        <f>IF(ISNUMBER(F7071),E7071*F7071,"")</f>
        <v/>
      </c>
      <c r="H7071" s="53"/>
      <c r="I7071" s="38"/>
      <c r="J7071" s="37">
        <v>0</v>
      </c>
    </row>
    <row r="7072" spans="1:10" ht="15.75" hidden="1" thickBot="1" x14ac:dyDescent="0.3">
      <c r="A7072" s="173" t="s">
        <v>1674</v>
      </c>
      <c r="B7072" s="176" t="s">
        <v>7737</v>
      </c>
      <c r="C7072" s="31"/>
      <c r="D7072" s="32" t="s">
        <v>18</v>
      </c>
      <c r="E7072" s="33"/>
      <c r="F7072" s="54" t="s">
        <v>13</v>
      </c>
      <c r="G7072" s="34" t="str">
        <f>IF(ISNUMBER(F7072),E7072*F7072,"")</f>
        <v/>
      </c>
      <c r="H7072" s="35"/>
      <c r="I7072" s="36"/>
      <c r="J7072" s="37">
        <v>0</v>
      </c>
    </row>
    <row r="7073" spans="1:10" hidden="1" x14ac:dyDescent="0.25">
      <c r="A7073" s="174"/>
      <c r="B7073" s="177"/>
      <c r="C7073" s="39"/>
      <c r="D7073" s="39"/>
      <c r="E7073" s="40"/>
      <c r="F7073" s="55" t="s">
        <v>13</v>
      </c>
      <c r="G7073" s="38" t="str">
        <f>IF(ISNUMBER(F7073),E7073*F7073,"")</f>
        <v/>
      </c>
      <c r="H7073" s="42"/>
      <c r="I7073" s="38"/>
      <c r="J7073" s="37">
        <v>0</v>
      </c>
    </row>
    <row r="7074" spans="1:10" ht="38.25" hidden="1" x14ac:dyDescent="0.25">
      <c r="A7074" s="174"/>
      <c r="B7074" s="177"/>
      <c r="C7074" s="43" t="s">
        <v>11417</v>
      </c>
      <c r="D7074" s="43" t="s">
        <v>83</v>
      </c>
      <c r="E7074" s="44">
        <v>1</v>
      </c>
      <c r="F7074" s="38">
        <v>5272.9559999999992</v>
      </c>
      <c r="G7074" s="38">
        <f>IF(ISNUMBER(F7074),E7074*F7074,"")</f>
        <v>5272.9559999999992</v>
      </c>
      <c r="H7074" s="46">
        <f>SUM(G7074:G7074)</f>
        <v>5272.9559999999992</v>
      </c>
      <c r="I7074" s="47"/>
      <c r="J7074" s="37">
        <v>0</v>
      </c>
    </row>
    <row r="7075" spans="1:10" ht="15.75" hidden="1" thickBot="1" x14ac:dyDescent="0.3">
      <c r="A7075" s="175"/>
      <c r="B7075" s="178"/>
      <c r="C7075" s="49"/>
      <c r="D7075" s="49"/>
      <c r="E7075" s="50"/>
      <c r="F7075" s="51" t="s">
        <v>13</v>
      </c>
      <c r="G7075" s="51" t="str">
        <f>IF(ISNUMBER(F7075),E7075*F7075,"")</f>
        <v/>
      </c>
      <c r="H7075" s="53"/>
      <c r="I7075" s="38"/>
      <c r="J7075" s="37">
        <v>0</v>
      </c>
    </row>
    <row r="7076" spans="1:10" ht="15.75" hidden="1" thickBot="1" x14ac:dyDescent="0.3">
      <c r="A7076" s="173" t="s">
        <v>1675</v>
      </c>
      <c r="B7076" s="176" t="s">
        <v>7790</v>
      </c>
      <c r="C7076" s="31"/>
      <c r="D7076" s="32" t="s">
        <v>18</v>
      </c>
      <c r="E7076" s="33"/>
      <c r="F7076" s="54" t="s">
        <v>13</v>
      </c>
      <c r="G7076" s="34" t="str">
        <f>IF(ISNUMBER(F7076),E7076*F7076,"")</f>
        <v/>
      </c>
      <c r="H7076" s="35"/>
      <c r="I7076" s="36"/>
      <c r="J7076" s="37">
        <v>0</v>
      </c>
    </row>
    <row r="7077" spans="1:10" hidden="1" x14ac:dyDescent="0.25">
      <c r="A7077" s="174"/>
      <c r="B7077" s="177"/>
      <c r="C7077" s="39"/>
      <c r="D7077" s="39"/>
      <c r="E7077" s="40"/>
      <c r="F7077" s="55" t="s">
        <v>13</v>
      </c>
      <c r="G7077" s="38" t="str">
        <f>IF(ISNUMBER(F7077),E7077*F7077,"")</f>
        <v/>
      </c>
      <c r="H7077" s="42"/>
      <c r="I7077" s="38"/>
      <c r="J7077" s="37">
        <v>0</v>
      </c>
    </row>
    <row r="7078" spans="1:10" ht="25.5" hidden="1" x14ac:dyDescent="0.25">
      <c r="A7078" s="174"/>
      <c r="B7078" s="177"/>
      <c r="C7078" s="43" t="s">
        <v>11418</v>
      </c>
      <c r="D7078" s="43" t="s">
        <v>83</v>
      </c>
      <c r="E7078" s="44">
        <v>1</v>
      </c>
      <c r="F7078" s="38">
        <v>3.8854999999999995</v>
      </c>
      <c r="G7078" s="38">
        <f>IF(ISNUMBER(F7078),E7078*F7078,"")</f>
        <v>3.8854999999999995</v>
      </c>
      <c r="H7078" s="46">
        <f>SUM(G7078:G7078)</f>
        <v>3.8854999999999995</v>
      </c>
      <c r="I7078" s="47"/>
      <c r="J7078" s="37">
        <v>0</v>
      </c>
    </row>
    <row r="7079" spans="1:10" ht="15.75" hidden="1" thickBot="1" x14ac:dyDescent="0.3">
      <c r="A7079" s="175"/>
      <c r="B7079" s="178"/>
      <c r="C7079" s="49"/>
      <c r="D7079" s="49"/>
      <c r="E7079" s="50"/>
      <c r="F7079" s="51" t="s">
        <v>13</v>
      </c>
      <c r="G7079" s="51" t="str">
        <f>IF(ISNUMBER(F7079),E7079*F7079,"")</f>
        <v/>
      </c>
      <c r="H7079" s="53"/>
      <c r="I7079" s="38"/>
      <c r="J7079" s="37">
        <v>0</v>
      </c>
    </row>
    <row r="7080" spans="1:10" ht="15.75" hidden="1" thickBot="1" x14ac:dyDescent="0.3">
      <c r="A7080" s="173" t="s">
        <v>1676</v>
      </c>
      <c r="B7080" s="176" t="s">
        <v>7795</v>
      </c>
      <c r="C7080" s="31"/>
      <c r="D7080" s="32" t="s">
        <v>18</v>
      </c>
      <c r="E7080" s="33"/>
      <c r="F7080" s="54" t="s">
        <v>13</v>
      </c>
      <c r="G7080" s="34" t="str">
        <f>IF(ISNUMBER(F7080),E7080*F7080,"")</f>
        <v/>
      </c>
      <c r="H7080" s="35"/>
      <c r="I7080" s="36"/>
      <c r="J7080" s="37">
        <v>0</v>
      </c>
    </row>
    <row r="7081" spans="1:10" hidden="1" x14ac:dyDescent="0.25">
      <c r="A7081" s="174"/>
      <c r="B7081" s="177"/>
      <c r="C7081" s="39"/>
      <c r="D7081" s="39"/>
      <c r="E7081" s="40"/>
      <c r="F7081" s="55" t="s">
        <v>13</v>
      </c>
      <c r="G7081" s="38" t="str">
        <f>IF(ISNUMBER(F7081),E7081*F7081,"")</f>
        <v/>
      </c>
      <c r="H7081" s="42"/>
      <c r="I7081" s="38"/>
      <c r="J7081" s="37">
        <v>0</v>
      </c>
    </row>
    <row r="7082" spans="1:10" hidden="1" x14ac:dyDescent="0.25">
      <c r="A7082" s="174"/>
      <c r="B7082" s="177"/>
      <c r="C7082" s="43" t="s">
        <v>11419</v>
      </c>
      <c r="D7082" s="43" t="s">
        <v>83</v>
      </c>
      <c r="E7082" s="44">
        <v>1</v>
      </c>
      <c r="F7082" s="38">
        <v>107.4355</v>
      </c>
      <c r="G7082" s="38">
        <f>IF(ISNUMBER(F7082),E7082*F7082,"")</f>
        <v>107.4355</v>
      </c>
      <c r="H7082" s="46">
        <f>SUM(G7082:G7082)</f>
        <v>107.4355</v>
      </c>
      <c r="I7082" s="47"/>
      <c r="J7082" s="37">
        <v>0</v>
      </c>
    </row>
    <row r="7083" spans="1:10" ht="15.75" hidden="1" thickBot="1" x14ac:dyDescent="0.3">
      <c r="A7083" s="175"/>
      <c r="B7083" s="178"/>
      <c r="C7083" s="49"/>
      <c r="D7083" s="49"/>
      <c r="E7083" s="50"/>
      <c r="F7083" s="51" t="s">
        <v>13</v>
      </c>
      <c r="G7083" s="51" t="str">
        <f>IF(ISNUMBER(F7083),E7083*F7083,"")</f>
        <v/>
      </c>
      <c r="H7083" s="53"/>
      <c r="I7083" s="38"/>
      <c r="J7083" s="37">
        <v>0</v>
      </c>
    </row>
    <row r="7084" spans="1:10" ht="15.75" hidden="1" thickBot="1" x14ac:dyDescent="0.3">
      <c r="A7084" s="173" t="s">
        <v>1677</v>
      </c>
      <c r="B7084" s="176" t="s">
        <v>7796</v>
      </c>
      <c r="C7084" s="31"/>
      <c r="D7084" s="32" t="s">
        <v>18</v>
      </c>
      <c r="E7084" s="33"/>
      <c r="F7084" s="54" t="s">
        <v>13</v>
      </c>
      <c r="G7084" s="34" t="str">
        <f>IF(ISNUMBER(F7084),E7084*F7084,"")</f>
        <v/>
      </c>
      <c r="H7084" s="35"/>
      <c r="I7084" s="36"/>
      <c r="J7084" s="37">
        <v>0</v>
      </c>
    </row>
    <row r="7085" spans="1:10" hidden="1" x14ac:dyDescent="0.25">
      <c r="A7085" s="174"/>
      <c r="B7085" s="177"/>
      <c r="C7085" s="39"/>
      <c r="D7085" s="39"/>
      <c r="E7085" s="40"/>
      <c r="F7085" s="55" t="s">
        <v>13</v>
      </c>
      <c r="G7085" s="38" t="str">
        <f>IF(ISNUMBER(F7085),E7085*F7085,"")</f>
        <v/>
      </c>
      <c r="H7085" s="42"/>
      <c r="I7085" s="38"/>
      <c r="J7085" s="37">
        <v>0</v>
      </c>
    </row>
    <row r="7086" spans="1:10" ht="25.5" hidden="1" x14ac:dyDescent="0.25">
      <c r="A7086" s="174"/>
      <c r="B7086" s="177"/>
      <c r="C7086" s="43" t="s">
        <v>11420</v>
      </c>
      <c r="D7086" s="43" t="s">
        <v>83</v>
      </c>
      <c r="E7086" s="44">
        <v>1</v>
      </c>
      <c r="F7086" s="38">
        <v>464.54999999999995</v>
      </c>
      <c r="G7086" s="38">
        <f>IF(ISNUMBER(F7086),E7086*F7086,"")</f>
        <v>464.54999999999995</v>
      </c>
      <c r="H7086" s="46">
        <f>SUM(G7086:G7086)</f>
        <v>464.54999999999995</v>
      </c>
      <c r="I7086" s="47"/>
      <c r="J7086" s="37">
        <v>0</v>
      </c>
    </row>
    <row r="7087" spans="1:10" ht="15.75" hidden="1" thickBot="1" x14ac:dyDescent="0.3">
      <c r="A7087" s="175"/>
      <c r="B7087" s="178"/>
      <c r="C7087" s="49"/>
      <c r="D7087" s="49"/>
      <c r="E7087" s="50"/>
      <c r="F7087" s="51" t="s">
        <v>13</v>
      </c>
      <c r="G7087" s="51" t="str">
        <f>IF(ISNUMBER(F7087),E7087*F7087,"")</f>
        <v/>
      </c>
      <c r="H7087" s="53"/>
      <c r="I7087" s="38"/>
      <c r="J7087" s="37">
        <v>0</v>
      </c>
    </row>
    <row r="7088" spans="1:10" ht="15.75" hidden="1" thickBot="1" x14ac:dyDescent="0.3">
      <c r="A7088" s="173" t="s">
        <v>1678</v>
      </c>
      <c r="B7088" s="176" t="s">
        <v>7797</v>
      </c>
      <c r="C7088" s="31"/>
      <c r="D7088" s="32" t="s">
        <v>18</v>
      </c>
      <c r="E7088" s="33"/>
      <c r="F7088" s="54" t="s">
        <v>13</v>
      </c>
      <c r="G7088" s="34" t="str">
        <f>IF(ISNUMBER(F7088),E7088*F7088,"")</f>
        <v/>
      </c>
      <c r="H7088" s="35"/>
      <c r="I7088" s="36"/>
      <c r="J7088" s="37">
        <v>0</v>
      </c>
    </row>
    <row r="7089" spans="1:10" hidden="1" x14ac:dyDescent="0.25">
      <c r="A7089" s="174"/>
      <c r="B7089" s="177"/>
      <c r="C7089" s="39"/>
      <c r="D7089" s="39"/>
      <c r="E7089" s="40"/>
      <c r="F7089" s="55" t="s">
        <v>13</v>
      </c>
      <c r="G7089" s="38" t="str">
        <f>IF(ISNUMBER(F7089),E7089*F7089,"")</f>
        <v/>
      </c>
      <c r="H7089" s="42"/>
      <c r="I7089" s="38"/>
      <c r="J7089" s="37">
        <v>0</v>
      </c>
    </row>
    <row r="7090" spans="1:10" ht="25.5" hidden="1" x14ac:dyDescent="0.25">
      <c r="A7090" s="174"/>
      <c r="B7090" s="177"/>
      <c r="C7090" s="43" t="s">
        <v>11421</v>
      </c>
      <c r="D7090" s="43" t="s">
        <v>83</v>
      </c>
      <c r="E7090" s="44">
        <v>1</v>
      </c>
      <c r="F7090" s="38">
        <v>5.4339999999999993</v>
      </c>
      <c r="G7090" s="38">
        <f>IF(ISNUMBER(F7090),E7090*F7090,"")</f>
        <v>5.4339999999999993</v>
      </c>
      <c r="H7090" s="46">
        <f>SUM(G7090:G7090)</f>
        <v>5.4339999999999993</v>
      </c>
      <c r="I7090" s="47"/>
      <c r="J7090" s="37">
        <v>0</v>
      </c>
    </row>
    <row r="7091" spans="1:10" ht="15.75" hidden="1" thickBot="1" x14ac:dyDescent="0.3">
      <c r="A7091" s="175"/>
      <c r="B7091" s="178"/>
      <c r="C7091" s="49"/>
      <c r="D7091" s="49"/>
      <c r="E7091" s="50"/>
      <c r="F7091" s="51" t="s">
        <v>13</v>
      </c>
      <c r="G7091" s="51" t="str">
        <f>IF(ISNUMBER(F7091),E7091*F7091,"")</f>
        <v/>
      </c>
      <c r="H7091" s="53"/>
      <c r="I7091" s="38"/>
      <c r="J7091" s="37">
        <v>0</v>
      </c>
    </row>
    <row r="7092" spans="1:10" ht="15.75" hidden="1" thickBot="1" x14ac:dyDescent="0.3">
      <c r="A7092" s="173" t="s">
        <v>1679</v>
      </c>
      <c r="B7092" s="176" t="s">
        <v>7798</v>
      </c>
      <c r="C7092" s="31"/>
      <c r="D7092" s="32" t="s">
        <v>18</v>
      </c>
      <c r="E7092" s="33"/>
      <c r="F7092" s="54" t="s">
        <v>13</v>
      </c>
      <c r="G7092" s="34" t="str">
        <f>IF(ISNUMBER(F7092),E7092*F7092,"")</f>
        <v/>
      </c>
      <c r="H7092" s="35"/>
      <c r="I7092" s="36"/>
      <c r="J7092" s="37">
        <v>0</v>
      </c>
    </row>
    <row r="7093" spans="1:10" hidden="1" x14ac:dyDescent="0.25">
      <c r="A7093" s="174"/>
      <c r="B7093" s="177"/>
      <c r="C7093" s="39"/>
      <c r="D7093" s="39"/>
      <c r="E7093" s="40"/>
      <c r="F7093" s="55" t="s">
        <v>13</v>
      </c>
      <c r="G7093" s="38" t="str">
        <f>IF(ISNUMBER(F7093),E7093*F7093,"")</f>
        <v/>
      </c>
      <c r="H7093" s="42"/>
      <c r="I7093" s="38"/>
      <c r="J7093" s="37">
        <v>0</v>
      </c>
    </row>
    <row r="7094" spans="1:10" ht="38.25" hidden="1" x14ac:dyDescent="0.25">
      <c r="A7094" s="174"/>
      <c r="B7094" s="177"/>
      <c r="C7094" s="43" t="s">
        <v>11422</v>
      </c>
      <c r="D7094" s="43" t="s">
        <v>83</v>
      </c>
      <c r="E7094" s="44">
        <v>1</v>
      </c>
      <c r="F7094" s="38">
        <v>33.981500000000004</v>
      </c>
      <c r="G7094" s="38">
        <f>IF(ISNUMBER(F7094),E7094*F7094,"")</f>
        <v>33.981500000000004</v>
      </c>
      <c r="H7094" s="46">
        <f>SUM(G7094:G7094)</f>
        <v>33.981500000000004</v>
      </c>
      <c r="I7094" s="47"/>
      <c r="J7094" s="37">
        <v>0</v>
      </c>
    </row>
    <row r="7095" spans="1:10" ht="15.75" hidden="1" thickBot="1" x14ac:dyDescent="0.3">
      <c r="A7095" s="175"/>
      <c r="B7095" s="178"/>
      <c r="C7095" s="49"/>
      <c r="D7095" s="49"/>
      <c r="E7095" s="50"/>
      <c r="F7095" s="51" t="s">
        <v>13</v>
      </c>
      <c r="G7095" s="51" t="str">
        <f>IF(ISNUMBER(F7095),E7095*F7095,"")</f>
        <v/>
      </c>
      <c r="H7095" s="53"/>
      <c r="I7095" s="38"/>
      <c r="J7095" s="37">
        <v>0</v>
      </c>
    </row>
    <row r="7096" spans="1:10" ht="15.75" hidden="1" thickBot="1" x14ac:dyDescent="0.3">
      <c r="A7096" s="173" t="s">
        <v>1680</v>
      </c>
      <c r="B7096" s="176" t="s">
        <v>7799</v>
      </c>
      <c r="C7096" s="31"/>
      <c r="D7096" s="32" t="s">
        <v>18</v>
      </c>
      <c r="E7096" s="33"/>
      <c r="F7096" s="54" t="s">
        <v>13</v>
      </c>
      <c r="G7096" s="34" t="str">
        <f>IF(ISNUMBER(F7096),E7096*F7096,"")</f>
        <v/>
      </c>
      <c r="H7096" s="35"/>
      <c r="I7096" s="36"/>
      <c r="J7096" s="37">
        <v>0</v>
      </c>
    </row>
    <row r="7097" spans="1:10" hidden="1" x14ac:dyDescent="0.25">
      <c r="A7097" s="174"/>
      <c r="B7097" s="177"/>
      <c r="C7097" s="39"/>
      <c r="D7097" s="39"/>
      <c r="E7097" s="40"/>
      <c r="F7097" s="55" t="s">
        <v>13</v>
      </c>
      <c r="G7097" s="38" t="str">
        <f>IF(ISNUMBER(F7097),E7097*F7097,"")</f>
        <v/>
      </c>
      <c r="H7097" s="42"/>
      <c r="I7097" s="38"/>
      <c r="J7097" s="37">
        <v>0</v>
      </c>
    </row>
    <row r="7098" spans="1:10" hidden="1" x14ac:dyDescent="0.25">
      <c r="A7098" s="174"/>
      <c r="B7098" s="177"/>
      <c r="C7098" s="43" t="s">
        <v>11423</v>
      </c>
      <c r="D7098" s="43" t="s">
        <v>83</v>
      </c>
      <c r="E7098" s="44">
        <v>1</v>
      </c>
      <c r="F7098" s="38">
        <v>13.328499999999998</v>
      </c>
      <c r="G7098" s="38">
        <f>IF(ISNUMBER(F7098),E7098*F7098,"")</f>
        <v>13.328499999999998</v>
      </c>
      <c r="H7098" s="46">
        <f>SUM(G7098:G7098)</f>
        <v>13.328499999999998</v>
      </c>
      <c r="I7098" s="47"/>
      <c r="J7098" s="37">
        <v>0</v>
      </c>
    </row>
    <row r="7099" spans="1:10" ht="15.75" hidden="1" thickBot="1" x14ac:dyDescent="0.3">
      <c r="A7099" s="175"/>
      <c r="B7099" s="178"/>
      <c r="C7099" s="49"/>
      <c r="D7099" s="49"/>
      <c r="E7099" s="50"/>
      <c r="F7099" s="51" t="s">
        <v>13</v>
      </c>
      <c r="G7099" s="51" t="str">
        <f>IF(ISNUMBER(F7099),E7099*F7099,"")</f>
        <v/>
      </c>
      <c r="H7099" s="53"/>
      <c r="I7099" s="38"/>
      <c r="J7099" s="37">
        <v>0</v>
      </c>
    </row>
    <row r="7100" spans="1:10" ht="15.75" hidden="1" thickBot="1" x14ac:dyDescent="0.3">
      <c r="A7100" s="173" t="s">
        <v>1681</v>
      </c>
      <c r="B7100" s="176" t="s">
        <v>7802</v>
      </c>
      <c r="C7100" s="31"/>
      <c r="D7100" s="32" t="s">
        <v>18</v>
      </c>
      <c r="E7100" s="33"/>
      <c r="F7100" s="54" t="s">
        <v>13</v>
      </c>
      <c r="G7100" s="34" t="str">
        <f>IF(ISNUMBER(F7100),E7100*F7100,"")</f>
        <v/>
      </c>
      <c r="H7100" s="35"/>
      <c r="I7100" s="36"/>
      <c r="J7100" s="37">
        <v>0</v>
      </c>
    </row>
    <row r="7101" spans="1:10" hidden="1" x14ac:dyDescent="0.25">
      <c r="A7101" s="174"/>
      <c r="B7101" s="177"/>
      <c r="C7101" s="39"/>
      <c r="D7101" s="39"/>
      <c r="E7101" s="40"/>
      <c r="F7101" s="55" t="s">
        <v>13</v>
      </c>
      <c r="G7101" s="38" t="str">
        <f>IF(ISNUMBER(F7101),E7101*F7101,"")</f>
        <v/>
      </c>
      <c r="H7101" s="42"/>
      <c r="I7101" s="38"/>
      <c r="J7101" s="37">
        <v>0</v>
      </c>
    </row>
    <row r="7102" spans="1:10" ht="25.5" hidden="1" x14ac:dyDescent="0.25">
      <c r="A7102" s="174"/>
      <c r="B7102" s="177"/>
      <c r="C7102" s="43" t="s">
        <v>11424</v>
      </c>
      <c r="D7102" s="43" t="s">
        <v>83</v>
      </c>
      <c r="E7102" s="44">
        <v>1</v>
      </c>
      <c r="F7102" s="38">
        <v>24.101500000000001</v>
      </c>
      <c r="G7102" s="38">
        <f>IF(ISNUMBER(F7102),E7102*F7102,"")</f>
        <v>24.101500000000001</v>
      </c>
      <c r="H7102" s="46">
        <f>SUM(G7102:G7102)</f>
        <v>24.101500000000001</v>
      </c>
      <c r="I7102" s="47"/>
      <c r="J7102" s="37">
        <v>0</v>
      </c>
    </row>
    <row r="7103" spans="1:10" ht="15.75" hidden="1" thickBot="1" x14ac:dyDescent="0.3">
      <c r="A7103" s="175"/>
      <c r="B7103" s="178"/>
      <c r="C7103" s="49"/>
      <c r="D7103" s="49"/>
      <c r="E7103" s="50"/>
      <c r="F7103" s="51" t="s">
        <v>13</v>
      </c>
      <c r="G7103" s="51" t="str">
        <f>IF(ISNUMBER(F7103),E7103*F7103,"")</f>
        <v/>
      </c>
      <c r="H7103" s="53"/>
      <c r="I7103" s="38"/>
      <c r="J7103" s="37">
        <v>0</v>
      </c>
    </row>
    <row r="7104" spans="1:10" ht="15.75" hidden="1" thickBot="1" x14ac:dyDescent="0.3">
      <c r="A7104" s="173" t="s">
        <v>1682</v>
      </c>
      <c r="B7104" s="176" t="s">
        <v>7803</v>
      </c>
      <c r="C7104" s="31"/>
      <c r="D7104" s="32" t="s">
        <v>18</v>
      </c>
      <c r="E7104" s="33"/>
      <c r="F7104" s="54" t="s">
        <v>13</v>
      </c>
      <c r="G7104" s="34" t="str">
        <f>IF(ISNUMBER(F7104),E7104*F7104,"")</f>
        <v/>
      </c>
      <c r="H7104" s="35"/>
      <c r="I7104" s="36"/>
      <c r="J7104" s="37">
        <v>0</v>
      </c>
    </row>
    <row r="7105" spans="1:10" hidden="1" x14ac:dyDescent="0.25">
      <c r="A7105" s="174"/>
      <c r="B7105" s="177"/>
      <c r="C7105" s="39"/>
      <c r="D7105" s="39"/>
      <c r="E7105" s="40"/>
      <c r="F7105" s="55" t="s">
        <v>13</v>
      </c>
      <c r="G7105" s="38" t="str">
        <f>IF(ISNUMBER(F7105),E7105*F7105,"")</f>
        <v/>
      </c>
      <c r="H7105" s="42"/>
      <c r="I7105" s="38"/>
      <c r="J7105" s="37">
        <v>0</v>
      </c>
    </row>
    <row r="7106" spans="1:10" ht="25.5" hidden="1" x14ac:dyDescent="0.25">
      <c r="A7106" s="174"/>
      <c r="B7106" s="177"/>
      <c r="C7106" s="43" t="s">
        <v>11425</v>
      </c>
      <c r="D7106" s="43" t="s">
        <v>83</v>
      </c>
      <c r="E7106" s="44">
        <v>1</v>
      </c>
      <c r="F7106" s="38">
        <v>28.138999999999999</v>
      </c>
      <c r="G7106" s="38">
        <f>IF(ISNUMBER(F7106),E7106*F7106,"")</f>
        <v>28.138999999999999</v>
      </c>
      <c r="H7106" s="46">
        <f>SUM(G7106:G7106)</f>
        <v>28.138999999999999</v>
      </c>
      <c r="I7106" s="47"/>
      <c r="J7106" s="37">
        <v>0</v>
      </c>
    </row>
    <row r="7107" spans="1:10" ht="15.75" hidden="1" thickBot="1" x14ac:dyDescent="0.3">
      <c r="A7107" s="175"/>
      <c r="B7107" s="178"/>
      <c r="C7107" s="49"/>
      <c r="D7107" s="49"/>
      <c r="E7107" s="50"/>
      <c r="F7107" s="51" t="s">
        <v>13</v>
      </c>
      <c r="G7107" s="51" t="str">
        <f>IF(ISNUMBER(F7107),E7107*F7107,"")</f>
        <v/>
      </c>
      <c r="H7107" s="53"/>
      <c r="I7107" s="38"/>
      <c r="J7107" s="37">
        <v>0</v>
      </c>
    </row>
    <row r="7108" spans="1:10" ht="15.75" hidden="1" thickBot="1" x14ac:dyDescent="0.3">
      <c r="A7108" s="173" t="s">
        <v>1683</v>
      </c>
      <c r="B7108" s="176" t="s">
        <v>7812</v>
      </c>
      <c r="C7108" s="31"/>
      <c r="D7108" s="32" t="s">
        <v>18</v>
      </c>
      <c r="E7108" s="33"/>
      <c r="F7108" s="54" t="s">
        <v>13</v>
      </c>
      <c r="G7108" s="34" t="str">
        <f>IF(ISNUMBER(F7108),E7108*F7108,"")</f>
        <v/>
      </c>
      <c r="H7108" s="35"/>
      <c r="I7108" s="36"/>
      <c r="J7108" s="37">
        <v>0</v>
      </c>
    </row>
    <row r="7109" spans="1:10" hidden="1" x14ac:dyDescent="0.25">
      <c r="A7109" s="174"/>
      <c r="B7109" s="177"/>
      <c r="C7109" s="39"/>
      <c r="D7109" s="39"/>
      <c r="E7109" s="40"/>
      <c r="F7109" s="55" t="s">
        <v>13</v>
      </c>
      <c r="G7109" s="38" t="str">
        <f>IF(ISNUMBER(F7109),E7109*F7109,"")</f>
        <v/>
      </c>
      <c r="H7109" s="42"/>
      <c r="I7109" s="38"/>
      <c r="J7109" s="37">
        <v>0</v>
      </c>
    </row>
    <row r="7110" spans="1:10" ht="25.5" hidden="1" x14ac:dyDescent="0.25">
      <c r="A7110" s="174"/>
      <c r="B7110" s="177"/>
      <c r="C7110" s="43" t="s">
        <v>11426</v>
      </c>
      <c r="D7110" s="43" t="s">
        <v>83</v>
      </c>
      <c r="E7110" s="44">
        <v>1</v>
      </c>
      <c r="F7110" s="38">
        <v>130.88150000000002</v>
      </c>
      <c r="G7110" s="38">
        <f>IF(ISNUMBER(F7110),E7110*F7110,"")</f>
        <v>130.88150000000002</v>
      </c>
      <c r="H7110" s="46">
        <f>SUM(G7110:G7110)</f>
        <v>130.88150000000002</v>
      </c>
      <c r="I7110" s="47"/>
      <c r="J7110" s="37">
        <v>0</v>
      </c>
    </row>
    <row r="7111" spans="1:10" ht="15.75" hidden="1" thickBot="1" x14ac:dyDescent="0.3">
      <c r="A7111" s="175"/>
      <c r="B7111" s="178"/>
      <c r="C7111" s="49"/>
      <c r="D7111" s="49"/>
      <c r="E7111" s="50"/>
      <c r="F7111" s="51" t="s">
        <v>13</v>
      </c>
      <c r="G7111" s="51" t="str">
        <f>IF(ISNUMBER(F7111),E7111*F7111,"")</f>
        <v/>
      </c>
      <c r="H7111" s="53"/>
      <c r="I7111" s="38"/>
      <c r="J7111" s="37">
        <v>0</v>
      </c>
    </row>
    <row r="7112" spans="1:10" ht="15.75" hidden="1" thickBot="1" x14ac:dyDescent="0.3">
      <c r="A7112" s="173" t="s">
        <v>1684</v>
      </c>
      <c r="B7112" s="176" t="s">
        <v>7813</v>
      </c>
      <c r="C7112" s="31"/>
      <c r="D7112" s="32" t="s">
        <v>18</v>
      </c>
      <c r="E7112" s="33"/>
      <c r="F7112" s="54" t="s">
        <v>13</v>
      </c>
      <c r="G7112" s="34" t="str">
        <f>IF(ISNUMBER(F7112),E7112*F7112,"")</f>
        <v/>
      </c>
      <c r="H7112" s="35"/>
      <c r="I7112" s="36"/>
      <c r="J7112" s="37">
        <v>0</v>
      </c>
    </row>
    <row r="7113" spans="1:10" hidden="1" x14ac:dyDescent="0.25">
      <c r="A7113" s="174"/>
      <c r="B7113" s="177"/>
      <c r="C7113" s="39"/>
      <c r="D7113" s="39"/>
      <c r="E7113" s="40"/>
      <c r="F7113" s="55" t="s">
        <v>13</v>
      </c>
      <c r="G7113" s="38" t="str">
        <f>IF(ISNUMBER(F7113),E7113*F7113,"")</f>
        <v/>
      </c>
      <c r="H7113" s="42"/>
      <c r="I7113" s="38"/>
      <c r="J7113" s="37">
        <v>0</v>
      </c>
    </row>
    <row r="7114" spans="1:10" hidden="1" x14ac:dyDescent="0.25">
      <c r="A7114" s="174"/>
      <c r="B7114" s="177"/>
      <c r="C7114" s="43" t="s">
        <v>1685</v>
      </c>
      <c r="D7114" s="62" t="s">
        <v>18</v>
      </c>
      <c r="E7114" s="44">
        <v>1</v>
      </c>
      <c r="F7114" s="38" t="s">
        <v>13</v>
      </c>
      <c r="G7114" s="38" t="str">
        <f>IF(ISNUMBER(F7114),E7114*F7114,"")</f>
        <v/>
      </c>
      <c r="H7114" s="46">
        <f>SUM(G7114:G7114)</f>
        <v>0</v>
      </c>
      <c r="I7114" s="47"/>
      <c r="J7114" s="37">
        <v>0</v>
      </c>
    </row>
    <row r="7115" spans="1:10" ht="15.75" hidden="1" thickBot="1" x14ac:dyDescent="0.3">
      <c r="A7115" s="175"/>
      <c r="B7115" s="178"/>
      <c r="C7115" s="49"/>
      <c r="D7115" s="49"/>
      <c r="E7115" s="50"/>
      <c r="F7115" s="51" t="s">
        <v>13</v>
      </c>
      <c r="G7115" s="51" t="str">
        <f>IF(ISNUMBER(F7115),E7115*F7115,"")</f>
        <v/>
      </c>
      <c r="H7115" s="53"/>
      <c r="I7115" s="38"/>
      <c r="J7115" s="37">
        <v>0</v>
      </c>
    </row>
    <row r="7116" spans="1:10" ht="15.75" hidden="1" thickBot="1" x14ac:dyDescent="0.3">
      <c r="A7116" s="173" t="s">
        <v>1686</v>
      </c>
      <c r="B7116" s="176" t="s">
        <v>7814</v>
      </c>
      <c r="C7116" s="31"/>
      <c r="D7116" s="32" t="s">
        <v>18</v>
      </c>
      <c r="E7116" s="33"/>
      <c r="F7116" s="54" t="s">
        <v>13</v>
      </c>
      <c r="G7116" s="34" t="str">
        <f>IF(ISNUMBER(F7116),E7116*F7116,"")</f>
        <v/>
      </c>
      <c r="H7116" s="35"/>
      <c r="I7116" s="36"/>
      <c r="J7116" s="37">
        <v>0</v>
      </c>
    </row>
    <row r="7117" spans="1:10" hidden="1" x14ac:dyDescent="0.25">
      <c r="A7117" s="174"/>
      <c r="B7117" s="177"/>
      <c r="C7117" s="39"/>
      <c r="D7117" s="39"/>
      <c r="E7117" s="40"/>
      <c r="F7117" s="55" t="s">
        <v>13</v>
      </c>
      <c r="G7117" s="38" t="str">
        <f>IF(ISNUMBER(F7117),E7117*F7117,"")</f>
        <v/>
      </c>
      <c r="H7117" s="42"/>
      <c r="I7117" s="38"/>
      <c r="J7117" s="37">
        <v>0</v>
      </c>
    </row>
    <row r="7118" spans="1:10" ht="25.5" hidden="1" x14ac:dyDescent="0.25">
      <c r="A7118" s="174"/>
      <c r="B7118" s="177"/>
      <c r="C7118" s="43" t="s">
        <v>11427</v>
      </c>
      <c r="D7118" s="43" t="s">
        <v>83</v>
      </c>
      <c r="E7118" s="44">
        <v>1</v>
      </c>
      <c r="F7118" s="38">
        <v>306.584</v>
      </c>
      <c r="G7118" s="38">
        <f>IF(ISNUMBER(F7118),E7118*F7118,"")</f>
        <v>306.584</v>
      </c>
      <c r="H7118" s="46">
        <f>SUM(G7118:G7118)</f>
        <v>306.584</v>
      </c>
      <c r="I7118" s="47"/>
      <c r="J7118" s="37">
        <v>0</v>
      </c>
    </row>
    <row r="7119" spans="1:10" ht="15.75" hidden="1" thickBot="1" x14ac:dyDescent="0.3">
      <c r="A7119" s="175"/>
      <c r="B7119" s="178"/>
      <c r="C7119" s="49"/>
      <c r="D7119" s="49"/>
      <c r="E7119" s="50"/>
      <c r="F7119" s="51" t="s">
        <v>13</v>
      </c>
      <c r="G7119" s="51" t="str">
        <f>IF(ISNUMBER(F7119),E7119*F7119,"")</f>
        <v/>
      </c>
      <c r="H7119" s="53"/>
      <c r="I7119" s="38"/>
      <c r="J7119" s="37">
        <v>0</v>
      </c>
    </row>
    <row r="7120" spans="1:10" ht="15.75" hidden="1" thickBot="1" x14ac:dyDescent="0.3">
      <c r="A7120" s="173" t="s">
        <v>1687</v>
      </c>
      <c r="B7120" s="176" t="s">
        <v>7815</v>
      </c>
      <c r="C7120" s="31"/>
      <c r="D7120" s="32" t="s">
        <v>18</v>
      </c>
      <c r="E7120" s="33"/>
      <c r="F7120" s="54" t="s">
        <v>13</v>
      </c>
      <c r="G7120" s="34" t="str">
        <f>IF(ISNUMBER(F7120),E7120*F7120,"")</f>
        <v/>
      </c>
      <c r="H7120" s="35"/>
      <c r="I7120" s="36"/>
      <c r="J7120" s="37">
        <v>0</v>
      </c>
    </row>
    <row r="7121" spans="1:10" hidden="1" x14ac:dyDescent="0.25">
      <c r="A7121" s="174"/>
      <c r="B7121" s="177"/>
      <c r="C7121" s="39"/>
      <c r="D7121" s="39"/>
      <c r="E7121" s="40"/>
      <c r="F7121" s="55" t="s">
        <v>13</v>
      </c>
      <c r="G7121" s="38" t="str">
        <f>IF(ISNUMBER(F7121),E7121*F7121,"")</f>
        <v/>
      </c>
      <c r="H7121" s="42"/>
      <c r="I7121" s="38"/>
      <c r="J7121" s="37">
        <v>0</v>
      </c>
    </row>
    <row r="7122" spans="1:10" ht="25.5" hidden="1" x14ac:dyDescent="0.25">
      <c r="A7122" s="174"/>
      <c r="B7122" s="177"/>
      <c r="C7122" s="43" t="s">
        <v>11428</v>
      </c>
      <c r="D7122" s="43" t="s">
        <v>83</v>
      </c>
      <c r="E7122" s="44">
        <v>1</v>
      </c>
      <c r="F7122" s="38">
        <v>36.622499999999995</v>
      </c>
      <c r="G7122" s="38">
        <f>IF(ISNUMBER(F7122),E7122*F7122,"")</f>
        <v>36.622499999999995</v>
      </c>
      <c r="H7122" s="46">
        <f>SUM(G7122:G7122)</f>
        <v>36.622499999999995</v>
      </c>
      <c r="I7122" s="47"/>
      <c r="J7122" s="37">
        <v>0</v>
      </c>
    </row>
    <row r="7123" spans="1:10" ht="15.75" hidden="1" thickBot="1" x14ac:dyDescent="0.3">
      <c r="A7123" s="175"/>
      <c r="B7123" s="178"/>
      <c r="C7123" s="49"/>
      <c r="D7123" s="49"/>
      <c r="E7123" s="50"/>
      <c r="F7123" s="51" t="s">
        <v>13</v>
      </c>
      <c r="G7123" s="51" t="str">
        <f>IF(ISNUMBER(F7123),E7123*F7123,"")</f>
        <v/>
      </c>
      <c r="H7123" s="53"/>
      <c r="I7123" s="38"/>
      <c r="J7123" s="37">
        <v>0</v>
      </c>
    </row>
    <row r="7124" spans="1:10" ht="15.75" hidden="1" thickBot="1" x14ac:dyDescent="0.3">
      <c r="A7124" s="173" t="s">
        <v>1688</v>
      </c>
      <c r="B7124" s="176" t="s">
        <v>7816</v>
      </c>
      <c r="C7124" s="31"/>
      <c r="D7124" s="32" t="s">
        <v>18</v>
      </c>
      <c r="E7124" s="33"/>
      <c r="F7124" s="54" t="s">
        <v>13</v>
      </c>
      <c r="G7124" s="34" t="str">
        <f>IF(ISNUMBER(F7124),E7124*F7124,"")</f>
        <v/>
      </c>
      <c r="H7124" s="35"/>
      <c r="I7124" s="36"/>
      <c r="J7124" s="37">
        <v>0</v>
      </c>
    </row>
    <row r="7125" spans="1:10" hidden="1" x14ac:dyDescent="0.25">
      <c r="A7125" s="174"/>
      <c r="B7125" s="177"/>
      <c r="C7125" s="39"/>
      <c r="D7125" s="39"/>
      <c r="E7125" s="40"/>
      <c r="F7125" s="55" t="s">
        <v>13</v>
      </c>
      <c r="G7125" s="38" t="str">
        <f>IF(ISNUMBER(F7125),E7125*F7125,"")</f>
        <v/>
      </c>
      <c r="H7125" s="42"/>
      <c r="I7125" s="38"/>
      <c r="J7125" s="37">
        <v>0</v>
      </c>
    </row>
    <row r="7126" spans="1:10" ht="25.5" hidden="1" x14ac:dyDescent="0.25">
      <c r="A7126" s="174"/>
      <c r="B7126" s="177"/>
      <c r="C7126" s="43" t="s">
        <v>11429</v>
      </c>
      <c r="D7126" s="43" t="s">
        <v>83</v>
      </c>
      <c r="E7126" s="44">
        <v>1</v>
      </c>
      <c r="F7126" s="38">
        <v>42.066000000000003</v>
      </c>
      <c r="G7126" s="38">
        <f>IF(ISNUMBER(F7126),E7126*F7126,"")</f>
        <v>42.066000000000003</v>
      </c>
      <c r="H7126" s="46">
        <f>SUM(G7126:G7126)</f>
        <v>42.066000000000003</v>
      </c>
      <c r="I7126" s="47"/>
      <c r="J7126" s="37">
        <v>0</v>
      </c>
    </row>
    <row r="7127" spans="1:10" ht="15.75" hidden="1" thickBot="1" x14ac:dyDescent="0.3">
      <c r="A7127" s="175"/>
      <c r="B7127" s="178"/>
      <c r="C7127" s="49"/>
      <c r="D7127" s="49"/>
      <c r="E7127" s="50"/>
      <c r="F7127" s="51" t="s">
        <v>13</v>
      </c>
      <c r="G7127" s="51" t="str">
        <f>IF(ISNUMBER(F7127),E7127*F7127,"")</f>
        <v/>
      </c>
      <c r="H7127" s="53"/>
      <c r="I7127" s="38"/>
      <c r="J7127" s="37">
        <v>0</v>
      </c>
    </row>
    <row r="7128" spans="1:10" ht="15.75" hidden="1" thickBot="1" x14ac:dyDescent="0.3">
      <c r="A7128" s="173" t="s">
        <v>1689</v>
      </c>
      <c r="B7128" s="176" t="s">
        <v>7817</v>
      </c>
      <c r="C7128" s="31"/>
      <c r="D7128" s="32" t="s">
        <v>18</v>
      </c>
      <c r="E7128" s="33"/>
      <c r="F7128" s="54" t="s">
        <v>13</v>
      </c>
      <c r="G7128" s="34" t="str">
        <f>IF(ISNUMBER(F7128),E7128*F7128,"")</f>
        <v/>
      </c>
      <c r="H7128" s="35"/>
      <c r="I7128" s="36"/>
      <c r="J7128" s="37">
        <v>0</v>
      </c>
    </row>
    <row r="7129" spans="1:10" hidden="1" x14ac:dyDescent="0.25">
      <c r="A7129" s="174"/>
      <c r="B7129" s="177"/>
      <c r="C7129" s="39"/>
      <c r="D7129" s="39"/>
      <c r="E7129" s="40"/>
      <c r="F7129" s="55" t="s">
        <v>13</v>
      </c>
      <c r="G7129" s="38" t="str">
        <f>IF(ISNUMBER(F7129),E7129*F7129,"")</f>
        <v/>
      </c>
      <c r="H7129" s="42"/>
      <c r="I7129" s="38"/>
      <c r="J7129" s="37">
        <v>0</v>
      </c>
    </row>
    <row r="7130" spans="1:10" ht="25.5" hidden="1" x14ac:dyDescent="0.25">
      <c r="A7130" s="174"/>
      <c r="B7130" s="177"/>
      <c r="C7130" s="43" t="s">
        <v>11430</v>
      </c>
      <c r="D7130" s="43" t="s">
        <v>83</v>
      </c>
      <c r="E7130" s="44">
        <v>1</v>
      </c>
      <c r="F7130" s="38">
        <v>51.148000000000003</v>
      </c>
      <c r="G7130" s="38">
        <f>IF(ISNUMBER(F7130),E7130*F7130,"")</f>
        <v>51.148000000000003</v>
      </c>
      <c r="H7130" s="46">
        <f>SUM(G7130:G7130)</f>
        <v>51.148000000000003</v>
      </c>
      <c r="I7130" s="47"/>
      <c r="J7130" s="37">
        <v>0</v>
      </c>
    </row>
    <row r="7131" spans="1:10" ht="15.75" hidden="1" thickBot="1" x14ac:dyDescent="0.3">
      <c r="A7131" s="175"/>
      <c r="B7131" s="178"/>
      <c r="C7131" s="49"/>
      <c r="D7131" s="49"/>
      <c r="E7131" s="50"/>
      <c r="F7131" s="51" t="s">
        <v>13</v>
      </c>
      <c r="G7131" s="51" t="str">
        <f>IF(ISNUMBER(F7131),E7131*F7131,"")</f>
        <v/>
      </c>
      <c r="H7131" s="53"/>
      <c r="I7131" s="38"/>
      <c r="J7131" s="37">
        <v>0</v>
      </c>
    </row>
    <row r="7132" spans="1:10" ht="15.75" hidden="1" thickBot="1" x14ac:dyDescent="0.3">
      <c r="A7132" s="173" t="s">
        <v>1690</v>
      </c>
      <c r="B7132" s="176" t="s">
        <v>7818</v>
      </c>
      <c r="C7132" s="31"/>
      <c r="D7132" s="32" t="s">
        <v>18</v>
      </c>
      <c r="E7132" s="33"/>
      <c r="F7132" s="54" t="s">
        <v>13</v>
      </c>
      <c r="G7132" s="34" t="str">
        <f>IF(ISNUMBER(F7132),E7132*F7132,"")</f>
        <v/>
      </c>
      <c r="H7132" s="35"/>
      <c r="I7132" s="36"/>
      <c r="J7132" s="37">
        <v>0</v>
      </c>
    </row>
    <row r="7133" spans="1:10" hidden="1" x14ac:dyDescent="0.25">
      <c r="A7133" s="174"/>
      <c r="B7133" s="177"/>
      <c r="C7133" s="39"/>
      <c r="D7133" s="39"/>
      <c r="E7133" s="40"/>
      <c r="F7133" s="55" t="s">
        <v>13</v>
      </c>
      <c r="G7133" s="38" t="str">
        <f>IF(ISNUMBER(F7133),E7133*F7133,"")</f>
        <v/>
      </c>
      <c r="H7133" s="42"/>
      <c r="I7133" s="38"/>
      <c r="J7133" s="37">
        <v>0</v>
      </c>
    </row>
    <row r="7134" spans="1:10" ht="25.5" hidden="1" x14ac:dyDescent="0.25">
      <c r="A7134" s="174"/>
      <c r="B7134" s="177"/>
      <c r="C7134" s="43" t="s">
        <v>11431</v>
      </c>
      <c r="D7134" s="43" t="s">
        <v>83</v>
      </c>
      <c r="E7134" s="44">
        <v>1</v>
      </c>
      <c r="F7134" s="38">
        <v>13.756</v>
      </c>
      <c r="G7134" s="38">
        <f>IF(ISNUMBER(F7134),E7134*F7134,"")</f>
        <v>13.756</v>
      </c>
      <c r="H7134" s="46">
        <f>SUM(G7134:G7134)</f>
        <v>13.756</v>
      </c>
      <c r="I7134" s="47"/>
      <c r="J7134" s="37">
        <v>0</v>
      </c>
    </row>
    <row r="7135" spans="1:10" ht="15.75" hidden="1" thickBot="1" x14ac:dyDescent="0.3">
      <c r="A7135" s="175"/>
      <c r="B7135" s="178"/>
      <c r="C7135" s="49"/>
      <c r="D7135" s="49"/>
      <c r="E7135" s="50"/>
      <c r="F7135" s="51" t="s">
        <v>13</v>
      </c>
      <c r="G7135" s="51" t="str">
        <f>IF(ISNUMBER(F7135),E7135*F7135,"")</f>
        <v/>
      </c>
      <c r="H7135" s="53"/>
      <c r="I7135" s="38"/>
      <c r="J7135" s="37">
        <v>0</v>
      </c>
    </row>
    <row r="7136" spans="1:10" ht="15.75" hidden="1" thickBot="1" x14ac:dyDescent="0.3">
      <c r="A7136" s="173" t="s">
        <v>1691</v>
      </c>
      <c r="B7136" s="176" t="s">
        <v>7827</v>
      </c>
      <c r="C7136" s="31"/>
      <c r="D7136" s="32" t="s">
        <v>18</v>
      </c>
      <c r="E7136" s="33"/>
      <c r="F7136" s="54" t="s">
        <v>13</v>
      </c>
      <c r="G7136" s="34" t="str">
        <f>IF(ISNUMBER(F7136),E7136*F7136,"")</f>
        <v/>
      </c>
      <c r="H7136" s="35"/>
      <c r="I7136" s="36"/>
      <c r="J7136" s="37">
        <v>0</v>
      </c>
    </row>
    <row r="7137" spans="1:10" hidden="1" x14ac:dyDescent="0.25">
      <c r="A7137" s="174"/>
      <c r="B7137" s="177"/>
      <c r="C7137" s="39"/>
      <c r="D7137" s="39"/>
      <c r="E7137" s="40"/>
      <c r="F7137" s="55" t="s">
        <v>13</v>
      </c>
      <c r="G7137" s="38" t="str">
        <f>IF(ISNUMBER(F7137),E7137*F7137,"")</f>
        <v/>
      </c>
      <c r="H7137" s="42"/>
      <c r="I7137" s="38"/>
      <c r="J7137" s="37">
        <v>0</v>
      </c>
    </row>
    <row r="7138" spans="1:10" hidden="1" x14ac:dyDescent="0.25">
      <c r="A7138" s="174"/>
      <c r="B7138" s="177"/>
      <c r="C7138" s="43" t="s">
        <v>11432</v>
      </c>
      <c r="D7138" s="43" t="s">
        <v>83</v>
      </c>
      <c r="E7138" s="44">
        <v>1</v>
      </c>
      <c r="F7138" s="38">
        <v>8.160499999999999</v>
      </c>
      <c r="G7138" s="38">
        <f>IF(ISNUMBER(F7138),E7138*F7138,"")</f>
        <v>8.160499999999999</v>
      </c>
      <c r="H7138" s="46">
        <f>SUM(G7138:G7138)</f>
        <v>8.160499999999999</v>
      </c>
      <c r="I7138" s="47"/>
      <c r="J7138" s="37">
        <v>0</v>
      </c>
    </row>
    <row r="7139" spans="1:10" ht="15.75" hidden="1" thickBot="1" x14ac:dyDescent="0.3">
      <c r="A7139" s="175"/>
      <c r="B7139" s="178"/>
      <c r="C7139" s="49"/>
      <c r="D7139" s="49"/>
      <c r="E7139" s="50"/>
      <c r="F7139" s="51" t="s">
        <v>13</v>
      </c>
      <c r="G7139" s="51" t="str">
        <f>IF(ISNUMBER(F7139),E7139*F7139,"")</f>
        <v/>
      </c>
      <c r="H7139" s="53"/>
      <c r="I7139" s="38"/>
      <c r="J7139" s="37">
        <v>0</v>
      </c>
    </row>
    <row r="7140" spans="1:10" ht="15.75" hidden="1" thickBot="1" x14ac:dyDescent="0.3">
      <c r="A7140" s="173" t="s">
        <v>1692</v>
      </c>
      <c r="B7140" s="176" t="s">
        <v>7828</v>
      </c>
      <c r="C7140" s="31"/>
      <c r="D7140" s="32" t="s">
        <v>18</v>
      </c>
      <c r="E7140" s="33"/>
      <c r="F7140" s="54" t="s">
        <v>13</v>
      </c>
      <c r="G7140" s="34" t="str">
        <f>IF(ISNUMBER(F7140),E7140*F7140,"")</f>
        <v/>
      </c>
      <c r="H7140" s="35"/>
      <c r="I7140" s="36"/>
      <c r="J7140" s="37">
        <v>0</v>
      </c>
    </row>
    <row r="7141" spans="1:10" hidden="1" x14ac:dyDescent="0.25">
      <c r="A7141" s="174"/>
      <c r="B7141" s="177"/>
      <c r="C7141" s="39"/>
      <c r="D7141" s="39"/>
      <c r="E7141" s="40"/>
      <c r="F7141" s="55" t="s">
        <v>13</v>
      </c>
      <c r="G7141" s="38" t="str">
        <f>IF(ISNUMBER(F7141),E7141*F7141,"")</f>
        <v/>
      </c>
      <c r="H7141" s="42"/>
      <c r="I7141" s="38"/>
      <c r="J7141" s="37">
        <v>0</v>
      </c>
    </row>
    <row r="7142" spans="1:10" ht="25.5" hidden="1" x14ac:dyDescent="0.25">
      <c r="A7142" s="174"/>
      <c r="B7142" s="177"/>
      <c r="C7142" s="43" t="s">
        <v>11433</v>
      </c>
      <c r="D7142" s="43" t="s">
        <v>83</v>
      </c>
      <c r="E7142" s="44">
        <v>1</v>
      </c>
      <c r="F7142" s="38">
        <v>30.361999999999998</v>
      </c>
      <c r="G7142" s="38">
        <f>IF(ISNUMBER(F7142),E7142*F7142,"")</f>
        <v>30.361999999999998</v>
      </c>
      <c r="H7142" s="46">
        <f>SUM(G7142:G7142)</f>
        <v>30.361999999999998</v>
      </c>
      <c r="I7142" s="47"/>
      <c r="J7142" s="37">
        <v>0</v>
      </c>
    </row>
    <row r="7143" spans="1:10" ht="15.75" hidden="1" thickBot="1" x14ac:dyDescent="0.3">
      <c r="A7143" s="175"/>
      <c r="B7143" s="178"/>
      <c r="C7143" s="49"/>
      <c r="D7143" s="49"/>
      <c r="E7143" s="50"/>
      <c r="F7143" s="51" t="s">
        <v>13</v>
      </c>
      <c r="G7143" s="51" t="str">
        <f>IF(ISNUMBER(F7143),E7143*F7143,"")</f>
        <v/>
      </c>
      <c r="H7143" s="53"/>
      <c r="I7143" s="38"/>
      <c r="J7143" s="37">
        <v>0</v>
      </c>
    </row>
    <row r="7144" spans="1:10" ht="15.75" hidden="1" thickBot="1" x14ac:dyDescent="0.3">
      <c r="A7144" s="173" t="s">
        <v>1693</v>
      </c>
      <c r="B7144" s="176" t="s">
        <v>7829</v>
      </c>
      <c r="C7144" s="31"/>
      <c r="D7144" s="32" t="s">
        <v>18</v>
      </c>
      <c r="E7144" s="33"/>
      <c r="F7144" s="54" t="s">
        <v>13</v>
      </c>
      <c r="G7144" s="34" t="str">
        <f>IF(ISNUMBER(F7144),E7144*F7144,"")</f>
        <v/>
      </c>
      <c r="H7144" s="35"/>
      <c r="I7144" s="36"/>
      <c r="J7144" s="37">
        <v>0</v>
      </c>
    </row>
    <row r="7145" spans="1:10" hidden="1" x14ac:dyDescent="0.25">
      <c r="A7145" s="174"/>
      <c r="B7145" s="177"/>
      <c r="C7145" s="39"/>
      <c r="D7145" s="39"/>
      <c r="E7145" s="40"/>
      <c r="F7145" s="55" t="s">
        <v>13</v>
      </c>
      <c r="G7145" s="38" t="str">
        <f>IF(ISNUMBER(F7145),E7145*F7145,"")</f>
        <v/>
      </c>
      <c r="H7145" s="42"/>
      <c r="I7145" s="38"/>
      <c r="J7145" s="37">
        <v>0</v>
      </c>
    </row>
    <row r="7146" spans="1:10" hidden="1" x14ac:dyDescent="0.25">
      <c r="A7146" s="174"/>
      <c r="B7146" s="177"/>
      <c r="C7146" s="43" t="s">
        <v>11434</v>
      </c>
      <c r="D7146" s="43" t="s">
        <v>83</v>
      </c>
      <c r="E7146" s="44">
        <v>1</v>
      </c>
      <c r="F7146" s="38">
        <v>5.6524999999999999</v>
      </c>
      <c r="G7146" s="38">
        <f>IF(ISNUMBER(F7146),E7146*F7146,"")</f>
        <v>5.6524999999999999</v>
      </c>
      <c r="H7146" s="46">
        <f>SUM(G7146:G7146)</f>
        <v>5.6524999999999999</v>
      </c>
      <c r="I7146" s="47"/>
      <c r="J7146" s="37">
        <v>0</v>
      </c>
    </row>
    <row r="7147" spans="1:10" ht="15.75" hidden="1" thickBot="1" x14ac:dyDescent="0.3">
      <c r="A7147" s="175"/>
      <c r="B7147" s="178"/>
      <c r="C7147" s="49"/>
      <c r="D7147" s="49"/>
      <c r="E7147" s="50"/>
      <c r="F7147" s="51" t="s">
        <v>13</v>
      </c>
      <c r="G7147" s="51" t="str">
        <f>IF(ISNUMBER(F7147),E7147*F7147,"")</f>
        <v/>
      </c>
      <c r="H7147" s="53"/>
      <c r="I7147" s="38"/>
      <c r="J7147" s="37">
        <v>0</v>
      </c>
    </row>
    <row r="7148" spans="1:10" ht="15.75" hidden="1" thickBot="1" x14ac:dyDescent="0.3">
      <c r="A7148" s="173" t="s">
        <v>1694</v>
      </c>
      <c r="B7148" s="176" t="s">
        <v>7830</v>
      </c>
      <c r="C7148" s="31"/>
      <c r="D7148" s="32" t="s">
        <v>18</v>
      </c>
      <c r="E7148" s="33"/>
      <c r="F7148" s="54" t="s">
        <v>13</v>
      </c>
      <c r="G7148" s="34" t="str">
        <f>IF(ISNUMBER(F7148),E7148*F7148,"")</f>
        <v/>
      </c>
      <c r="H7148" s="35"/>
      <c r="I7148" s="36"/>
      <c r="J7148" s="37">
        <v>0</v>
      </c>
    </row>
    <row r="7149" spans="1:10" hidden="1" x14ac:dyDescent="0.25">
      <c r="A7149" s="174"/>
      <c r="B7149" s="177"/>
      <c r="C7149" s="39"/>
      <c r="D7149" s="39"/>
      <c r="E7149" s="40"/>
      <c r="F7149" s="55" t="s">
        <v>13</v>
      </c>
      <c r="G7149" s="38" t="str">
        <f>IF(ISNUMBER(F7149),E7149*F7149,"")</f>
        <v/>
      </c>
      <c r="H7149" s="42"/>
      <c r="I7149" s="38"/>
      <c r="J7149" s="37">
        <v>0</v>
      </c>
    </row>
    <row r="7150" spans="1:10" ht="25.5" hidden="1" x14ac:dyDescent="0.25">
      <c r="A7150" s="174"/>
      <c r="B7150" s="177"/>
      <c r="C7150" s="43" t="s">
        <v>11435</v>
      </c>
      <c r="D7150" s="43" t="s">
        <v>83</v>
      </c>
      <c r="E7150" s="44">
        <v>1</v>
      </c>
      <c r="F7150" s="38">
        <v>3.9139999999999997</v>
      </c>
      <c r="G7150" s="38">
        <f>IF(ISNUMBER(F7150),E7150*F7150,"")</f>
        <v>3.9139999999999997</v>
      </c>
      <c r="H7150" s="46">
        <f>SUM(G7150:G7150)</f>
        <v>3.9139999999999997</v>
      </c>
      <c r="I7150" s="47"/>
      <c r="J7150" s="37">
        <v>0</v>
      </c>
    </row>
    <row r="7151" spans="1:10" ht="15.75" hidden="1" thickBot="1" x14ac:dyDescent="0.3">
      <c r="A7151" s="175"/>
      <c r="B7151" s="178"/>
      <c r="C7151" s="49"/>
      <c r="D7151" s="49"/>
      <c r="E7151" s="50"/>
      <c r="F7151" s="51" t="s">
        <v>13</v>
      </c>
      <c r="G7151" s="51" t="str">
        <f>IF(ISNUMBER(F7151),E7151*F7151,"")</f>
        <v/>
      </c>
      <c r="H7151" s="53"/>
      <c r="I7151" s="38"/>
      <c r="J7151" s="37">
        <v>0</v>
      </c>
    </row>
    <row r="7152" spans="1:10" ht="15.75" hidden="1" thickBot="1" x14ac:dyDescent="0.3">
      <c r="A7152" s="173" t="s">
        <v>1695</v>
      </c>
      <c r="B7152" s="176" t="s">
        <v>7843</v>
      </c>
      <c r="C7152" s="31"/>
      <c r="D7152" s="32" t="s">
        <v>18</v>
      </c>
      <c r="E7152" s="33"/>
      <c r="F7152" s="54" t="s">
        <v>13</v>
      </c>
      <c r="G7152" s="34" t="str">
        <f>IF(ISNUMBER(F7152),E7152*F7152,"")</f>
        <v/>
      </c>
      <c r="H7152" s="35"/>
      <c r="I7152" s="36"/>
      <c r="J7152" s="37">
        <v>0</v>
      </c>
    </row>
    <row r="7153" spans="1:10" hidden="1" x14ac:dyDescent="0.25">
      <c r="A7153" s="174"/>
      <c r="B7153" s="177"/>
      <c r="C7153" s="39"/>
      <c r="D7153" s="39"/>
      <c r="E7153" s="40"/>
      <c r="F7153" s="55" t="s">
        <v>13</v>
      </c>
      <c r="G7153" s="38" t="str">
        <f>IF(ISNUMBER(F7153),E7153*F7153,"")</f>
        <v/>
      </c>
      <c r="H7153" s="42"/>
      <c r="I7153" s="38"/>
      <c r="J7153" s="37">
        <v>0</v>
      </c>
    </row>
    <row r="7154" spans="1:10" hidden="1" x14ac:dyDescent="0.25">
      <c r="A7154" s="174"/>
      <c r="B7154" s="177"/>
      <c r="C7154" s="43" t="s">
        <v>11436</v>
      </c>
      <c r="D7154" s="43" t="s">
        <v>83</v>
      </c>
      <c r="E7154" s="44">
        <v>1</v>
      </c>
      <c r="F7154" s="38">
        <v>4.1324999999999994</v>
      </c>
      <c r="G7154" s="38">
        <f>IF(ISNUMBER(F7154),E7154*F7154,"")</f>
        <v>4.1324999999999994</v>
      </c>
      <c r="H7154" s="46">
        <f>SUM(G7154:G7154)</f>
        <v>4.1324999999999994</v>
      </c>
      <c r="I7154" s="47"/>
      <c r="J7154" s="37">
        <v>0</v>
      </c>
    </row>
    <row r="7155" spans="1:10" ht="15.75" hidden="1" thickBot="1" x14ac:dyDescent="0.3">
      <c r="A7155" s="175"/>
      <c r="B7155" s="178"/>
      <c r="C7155" s="49"/>
      <c r="D7155" s="49"/>
      <c r="E7155" s="50"/>
      <c r="F7155" s="51" t="s">
        <v>13</v>
      </c>
      <c r="G7155" s="51" t="str">
        <f>IF(ISNUMBER(F7155),E7155*F7155,"")</f>
        <v/>
      </c>
      <c r="H7155" s="53"/>
      <c r="I7155" s="38"/>
      <c r="J7155" s="37">
        <v>0</v>
      </c>
    </row>
    <row r="7156" spans="1:10" ht="15.75" hidden="1" thickBot="1" x14ac:dyDescent="0.3">
      <c r="A7156" s="173" t="s">
        <v>1696</v>
      </c>
      <c r="B7156" s="176" t="s">
        <v>7844</v>
      </c>
      <c r="C7156" s="31"/>
      <c r="D7156" s="32" t="s">
        <v>18</v>
      </c>
      <c r="E7156" s="33"/>
      <c r="F7156" s="54" t="s">
        <v>13</v>
      </c>
      <c r="G7156" s="34" t="str">
        <f>IF(ISNUMBER(F7156),E7156*F7156,"")</f>
        <v/>
      </c>
      <c r="H7156" s="35"/>
      <c r="I7156" s="36"/>
      <c r="J7156" s="37">
        <v>0</v>
      </c>
    </row>
    <row r="7157" spans="1:10" hidden="1" x14ac:dyDescent="0.25">
      <c r="A7157" s="174"/>
      <c r="B7157" s="177"/>
      <c r="C7157" s="39"/>
      <c r="D7157" s="39"/>
      <c r="E7157" s="40"/>
      <c r="F7157" s="55" t="s">
        <v>13</v>
      </c>
      <c r="G7157" s="38" t="str">
        <f>IF(ISNUMBER(F7157),E7157*F7157,"")</f>
        <v/>
      </c>
      <c r="H7157" s="42"/>
      <c r="I7157" s="38"/>
      <c r="J7157" s="37">
        <v>0</v>
      </c>
    </row>
    <row r="7158" spans="1:10" hidden="1" x14ac:dyDescent="0.25">
      <c r="A7158" s="174"/>
      <c r="B7158" s="177"/>
      <c r="C7158" s="43" t="s">
        <v>11437</v>
      </c>
      <c r="D7158" s="43" t="s">
        <v>83</v>
      </c>
      <c r="E7158" s="44">
        <v>1</v>
      </c>
      <c r="F7158" s="38">
        <v>8.7874999999999996</v>
      </c>
      <c r="G7158" s="38">
        <f>IF(ISNUMBER(F7158),E7158*F7158,"")</f>
        <v>8.7874999999999996</v>
      </c>
      <c r="H7158" s="46">
        <f>SUM(G7158:G7158)</f>
        <v>8.7874999999999996</v>
      </c>
      <c r="I7158" s="47"/>
      <c r="J7158" s="37">
        <v>0</v>
      </c>
    </row>
    <row r="7159" spans="1:10" ht="15.75" hidden="1" thickBot="1" x14ac:dyDescent="0.3">
      <c r="A7159" s="175"/>
      <c r="B7159" s="178"/>
      <c r="C7159" s="49"/>
      <c r="D7159" s="49"/>
      <c r="E7159" s="50"/>
      <c r="F7159" s="51" t="s">
        <v>13</v>
      </c>
      <c r="G7159" s="51" t="str">
        <f>IF(ISNUMBER(F7159),E7159*F7159,"")</f>
        <v/>
      </c>
      <c r="H7159" s="53"/>
      <c r="I7159" s="38"/>
      <c r="J7159" s="37">
        <v>0</v>
      </c>
    </row>
    <row r="7160" spans="1:10" ht="15.75" hidden="1" thickBot="1" x14ac:dyDescent="0.3">
      <c r="A7160" s="173" t="s">
        <v>1697</v>
      </c>
      <c r="B7160" s="176" t="s">
        <v>7845</v>
      </c>
      <c r="C7160" s="31"/>
      <c r="D7160" s="32" t="s">
        <v>18</v>
      </c>
      <c r="E7160" s="33"/>
      <c r="F7160" s="54" t="s">
        <v>13</v>
      </c>
      <c r="G7160" s="34" t="str">
        <f>IF(ISNUMBER(F7160),E7160*F7160,"")</f>
        <v/>
      </c>
      <c r="H7160" s="35"/>
      <c r="I7160" s="36"/>
      <c r="J7160" s="37">
        <v>0</v>
      </c>
    </row>
    <row r="7161" spans="1:10" hidden="1" x14ac:dyDescent="0.25">
      <c r="A7161" s="174"/>
      <c r="B7161" s="177"/>
      <c r="C7161" s="39"/>
      <c r="D7161" s="39"/>
      <c r="E7161" s="40"/>
      <c r="F7161" s="55" t="s">
        <v>13</v>
      </c>
      <c r="G7161" s="38" t="str">
        <f>IF(ISNUMBER(F7161),E7161*F7161,"")</f>
        <v/>
      </c>
      <c r="H7161" s="42"/>
      <c r="I7161" s="38"/>
      <c r="J7161" s="37">
        <v>0</v>
      </c>
    </row>
    <row r="7162" spans="1:10" ht="25.5" hidden="1" x14ac:dyDescent="0.25">
      <c r="A7162" s="174"/>
      <c r="B7162" s="177"/>
      <c r="C7162" s="43" t="s">
        <v>11438</v>
      </c>
      <c r="D7162" s="43" t="s">
        <v>83</v>
      </c>
      <c r="E7162" s="44">
        <v>1</v>
      </c>
      <c r="F7162" s="38">
        <v>32.3095</v>
      </c>
      <c r="G7162" s="38">
        <f>IF(ISNUMBER(F7162),E7162*F7162,"")</f>
        <v>32.3095</v>
      </c>
      <c r="H7162" s="46">
        <f>SUM(G7162:G7162)</f>
        <v>32.3095</v>
      </c>
      <c r="I7162" s="47"/>
      <c r="J7162" s="37">
        <v>0</v>
      </c>
    </row>
    <row r="7163" spans="1:10" ht="15.75" hidden="1" thickBot="1" x14ac:dyDescent="0.3">
      <c r="A7163" s="175"/>
      <c r="B7163" s="178"/>
      <c r="C7163" s="49"/>
      <c r="D7163" s="49"/>
      <c r="E7163" s="50"/>
      <c r="F7163" s="51" t="s">
        <v>13</v>
      </c>
      <c r="G7163" s="51" t="str">
        <f>IF(ISNUMBER(F7163),E7163*F7163,"")</f>
        <v/>
      </c>
      <c r="H7163" s="53"/>
      <c r="I7163" s="38"/>
      <c r="J7163" s="37">
        <v>0</v>
      </c>
    </row>
    <row r="7164" spans="1:10" ht="15.75" hidden="1" thickBot="1" x14ac:dyDescent="0.3">
      <c r="A7164" s="173" t="s">
        <v>1698</v>
      </c>
      <c r="B7164" s="176" t="s">
        <v>7846</v>
      </c>
      <c r="C7164" s="31"/>
      <c r="D7164" s="32" t="s">
        <v>18</v>
      </c>
      <c r="E7164" s="33"/>
      <c r="F7164" s="54" t="s">
        <v>13</v>
      </c>
      <c r="G7164" s="34" t="str">
        <f>IF(ISNUMBER(F7164),E7164*F7164,"")</f>
        <v/>
      </c>
      <c r="H7164" s="35"/>
      <c r="I7164" s="36"/>
      <c r="J7164" s="37">
        <v>0</v>
      </c>
    </row>
    <row r="7165" spans="1:10" hidden="1" x14ac:dyDescent="0.25">
      <c r="A7165" s="174"/>
      <c r="B7165" s="177"/>
      <c r="C7165" s="39"/>
      <c r="D7165" s="39"/>
      <c r="E7165" s="40"/>
      <c r="F7165" s="55" t="s">
        <v>13</v>
      </c>
      <c r="G7165" s="38" t="str">
        <f>IF(ISNUMBER(F7165),E7165*F7165,"")</f>
        <v/>
      </c>
      <c r="H7165" s="42"/>
      <c r="I7165" s="38"/>
      <c r="J7165" s="37">
        <v>0</v>
      </c>
    </row>
    <row r="7166" spans="1:10" ht="25.5" hidden="1" x14ac:dyDescent="0.25">
      <c r="A7166" s="174"/>
      <c r="B7166" s="177"/>
      <c r="C7166" s="43" t="s">
        <v>11439</v>
      </c>
      <c r="D7166" s="43" t="s">
        <v>83</v>
      </c>
      <c r="E7166" s="44">
        <v>1</v>
      </c>
      <c r="F7166" s="38">
        <v>34.551499999999997</v>
      </c>
      <c r="G7166" s="38">
        <f>IF(ISNUMBER(F7166),E7166*F7166,"")</f>
        <v>34.551499999999997</v>
      </c>
      <c r="H7166" s="46">
        <f>SUM(G7166:G7166)</f>
        <v>34.551499999999997</v>
      </c>
      <c r="I7166" s="47"/>
      <c r="J7166" s="37">
        <v>0</v>
      </c>
    </row>
    <row r="7167" spans="1:10" ht="15.75" hidden="1" thickBot="1" x14ac:dyDescent="0.3">
      <c r="A7167" s="175"/>
      <c r="B7167" s="178"/>
      <c r="C7167" s="49"/>
      <c r="D7167" s="49"/>
      <c r="E7167" s="50"/>
      <c r="F7167" s="51" t="s">
        <v>13</v>
      </c>
      <c r="G7167" s="51" t="str">
        <f>IF(ISNUMBER(F7167),E7167*F7167,"")</f>
        <v/>
      </c>
      <c r="H7167" s="53"/>
      <c r="I7167" s="38"/>
      <c r="J7167" s="37">
        <v>0</v>
      </c>
    </row>
    <row r="7168" spans="1:10" ht="15.75" hidden="1" thickBot="1" x14ac:dyDescent="0.3">
      <c r="A7168" s="173" t="s">
        <v>1699</v>
      </c>
      <c r="B7168" s="176" t="s">
        <v>7853</v>
      </c>
      <c r="C7168" s="31"/>
      <c r="D7168" s="32" t="s">
        <v>106</v>
      </c>
      <c r="E7168" s="33"/>
      <c r="F7168" s="54" t="s">
        <v>13</v>
      </c>
      <c r="G7168" s="34" t="str">
        <f>IF(ISNUMBER(F7168),E7168*F7168,"")</f>
        <v/>
      </c>
      <c r="H7168" s="35"/>
      <c r="I7168" s="36"/>
      <c r="J7168" s="37">
        <v>0</v>
      </c>
    </row>
    <row r="7169" spans="1:10" hidden="1" x14ac:dyDescent="0.25">
      <c r="A7169" s="174"/>
      <c r="B7169" s="177"/>
      <c r="C7169" s="39"/>
      <c r="D7169" s="39"/>
      <c r="E7169" s="40"/>
      <c r="F7169" s="55" t="s">
        <v>13</v>
      </c>
      <c r="G7169" s="38" t="str">
        <f>IF(ISNUMBER(F7169),E7169*F7169,"")</f>
        <v/>
      </c>
      <c r="H7169" s="42"/>
      <c r="I7169" s="38"/>
      <c r="J7169" s="37">
        <v>0</v>
      </c>
    </row>
    <row r="7170" spans="1:10" ht="38.25" hidden="1" x14ac:dyDescent="0.25">
      <c r="A7170" s="174"/>
      <c r="B7170" s="177"/>
      <c r="C7170" s="43" t="s">
        <v>11074</v>
      </c>
      <c r="D7170" s="43" t="s">
        <v>1302</v>
      </c>
      <c r="E7170" s="44">
        <v>1</v>
      </c>
      <c r="F7170" s="38">
        <v>10.164999999999999</v>
      </c>
      <c r="G7170" s="38">
        <f>IF(ISNUMBER(F7170),E7170*F7170,"")</f>
        <v>10.164999999999999</v>
      </c>
      <c r="H7170" s="46">
        <f>SUM(G7170:G7170)</f>
        <v>10.164999999999999</v>
      </c>
      <c r="I7170" s="47"/>
      <c r="J7170" s="37">
        <v>0</v>
      </c>
    </row>
    <row r="7171" spans="1:10" ht="15.75" hidden="1" thickBot="1" x14ac:dyDescent="0.3">
      <c r="A7171" s="175"/>
      <c r="B7171" s="178"/>
      <c r="C7171" s="49"/>
      <c r="D7171" s="49"/>
      <c r="E7171" s="50"/>
      <c r="F7171" s="51" t="s">
        <v>13</v>
      </c>
      <c r="G7171" s="51" t="str">
        <f>IF(ISNUMBER(F7171),E7171*F7171,"")</f>
        <v/>
      </c>
      <c r="H7171" s="53"/>
      <c r="I7171" s="38"/>
      <c r="J7171" s="37">
        <v>0</v>
      </c>
    </row>
    <row r="7172" spans="1:10" ht="15.75" hidden="1" thickBot="1" x14ac:dyDescent="0.3">
      <c r="A7172" s="173" t="s">
        <v>1700</v>
      </c>
      <c r="B7172" s="176" t="s">
        <v>7854</v>
      </c>
      <c r="C7172" s="31"/>
      <c r="D7172" s="32" t="s">
        <v>106</v>
      </c>
      <c r="E7172" s="33"/>
      <c r="F7172" s="54" t="s">
        <v>13</v>
      </c>
      <c r="G7172" s="34" t="str">
        <f>IF(ISNUMBER(F7172),E7172*F7172,"")</f>
        <v/>
      </c>
      <c r="H7172" s="35"/>
      <c r="I7172" s="36"/>
      <c r="J7172" s="37">
        <v>0</v>
      </c>
    </row>
    <row r="7173" spans="1:10" hidden="1" x14ac:dyDescent="0.25">
      <c r="A7173" s="174"/>
      <c r="B7173" s="177"/>
      <c r="C7173" s="39"/>
      <c r="D7173" s="39"/>
      <c r="E7173" s="40"/>
      <c r="F7173" s="55" t="s">
        <v>13</v>
      </c>
      <c r="G7173" s="38" t="str">
        <f>IF(ISNUMBER(F7173),E7173*F7173,"")</f>
        <v/>
      </c>
      <c r="H7173" s="42"/>
      <c r="I7173" s="38"/>
      <c r="J7173" s="37">
        <v>0</v>
      </c>
    </row>
    <row r="7174" spans="1:10" ht="25.5" hidden="1" x14ac:dyDescent="0.25">
      <c r="A7174" s="174"/>
      <c r="B7174" s="177"/>
      <c r="C7174" s="43" t="s">
        <v>11440</v>
      </c>
      <c r="D7174" s="43" t="s">
        <v>1302</v>
      </c>
      <c r="E7174" s="44">
        <v>1</v>
      </c>
      <c r="F7174" s="38">
        <v>45.457499999999996</v>
      </c>
      <c r="G7174" s="38">
        <f>IF(ISNUMBER(F7174),E7174*F7174,"")</f>
        <v>45.457499999999996</v>
      </c>
      <c r="H7174" s="46">
        <f>SUM(G7174:G7174)</f>
        <v>45.457499999999996</v>
      </c>
      <c r="I7174" s="47"/>
      <c r="J7174" s="37">
        <v>0</v>
      </c>
    </row>
    <row r="7175" spans="1:10" ht="15.75" hidden="1" thickBot="1" x14ac:dyDescent="0.3">
      <c r="A7175" s="175"/>
      <c r="B7175" s="178"/>
      <c r="C7175" s="49"/>
      <c r="D7175" s="49"/>
      <c r="E7175" s="50"/>
      <c r="F7175" s="51" t="s">
        <v>13</v>
      </c>
      <c r="G7175" s="51" t="str">
        <f>IF(ISNUMBER(F7175),E7175*F7175,"")</f>
        <v/>
      </c>
      <c r="H7175" s="53"/>
      <c r="I7175" s="38"/>
      <c r="J7175" s="37">
        <v>0</v>
      </c>
    </row>
    <row r="7176" spans="1:10" ht="15.75" hidden="1" thickBot="1" x14ac:dyDescent="0.3">
      <c r="A7176" s="173" t="s">
        <v>1701</v>
      </c>
      <c r="B7176" s="176" t="s">
        <v>7855</v>
      </c>
      <c r="C7176" s="31"/>
      <c r="D7176" s="32" t="s">
        <v>18</v>
      </c>
      <c r="E7176" s="33"/>
      <c r="F7176" s="54" t="s">
        <v>13</v>
      </c>
      <c r="G7176" s="34" t="str">
        <f>IF(ISNUMBER(F7176),E7176*F7176,"")</f>
        <v/>
      </c>
      <c r="H7176" s="35"/>
      <c r="I7176" s="36"/>
      <c r="J7176" s="37">
        <v>0</v>
      </c>
    </row>
    <row r="7177" spans="1:10" hidden="1" x14ac:dyDescent="0.25">
      <c r="A7177" s="174"/>
      <c r="B7177" s="177"/>
      <c r="C7177" s="39"/>
      <c r="D7177" s="39"/>
      <c r="E7177" s="40"/>
      <c r="F7177" s="55" t="s">
        <v>13</v>
      </c>
      <c r="G7177" s="38" t="str">
        <f>IF(ISNUMBER(F7177),E7177*F7177,"")</f>
        <v/>
      </c>
      <c r="H7177" s="42"/>
      <c r="I7177" s="38"/>
      <c r="J7177" s="37">
        <v>0</v>
      </c>
    </row>
    <row r="7178" spans="1:10" hidden="1" x14ac:dyDescent="0.25">
      <c r="A7178" s="174"/>
      <c r="B7178" s="177"/>
      <c r="C7178" s="43" t="s">
        <v>11441</v>
      </c>
      <c r="D7178" s="43" t="s">
        <v>83</v>
      </c>
      <c r="E7178" s="44">
        <v>1</v>
      </c>
      <c r="F7178" s="38">
        <v>25.298499999999997</v>
      </c>
      <c r="G7178" s="38">
        <f>IF(ISNUMBER(F7178),E7178*F7178,"")</f>
        <v>25.298499999999997</v>
      </c>
      <c r="H7178" s="46">
        <f>SUM(G7178:G7178)</f>
        <v>25.298499999999997</v>
      </c>
      <c r="I7178" s="47"/>
      <c r="J7178" s="37">
        <v>0</v>
      </c>
    </row>
    <row r="7179" spans="1:10" ht="15.75" hidden="1" thickBot="1" x14ac:dyDescent="0.3">
      <c r="A7179" s="175"/>
      <c r="B7179" s="178"/>
      <c r="C7179" s="49"/>
      <c r="D7179" s="49"/>
      <c r="E7179" s="50"/>
      <c r="F7179" s="51" t="s">
        <v>13</v>
      </c>
      <c r="G7179" s="51" t="str">
        <f>IF(ISNUMBER(F7179),E7179*F7179,"")</f>
        <v/>
      </c>
      <c r="H7179" s="53"/>
      <c r="I7179" s="38"/>
      <c r="J7179" s="37">
        <v>0</v>
      </c>
    </row>
    <row r="7180" spans="1:10" ht="15.75" hidden="1" thickBot="1" x14ac:dyDescent="0.3">
      <c r="A7180" s="173" t="s">
        <v>1702</v>
      </c>
      <c r="B7180" s="176" t="s">
        <v>7858</v>
      </c>
      <c r="C7180" s="31"/>
      <c r="D7180" s="32" t="s">
        <v>18</v>
      </c>
      <c r="E7180" s="33"/>
      <c r="F7180" s="54" t="s">
        <v>13</v>
      </c>
      <c r="G7180" s="34" t="str">
        <f>IF(ISNUMBER(F7180),E7180*F7180,"")</f>
        <v/>
      </c>
      <c r="H7180" s="35"/>
      <c r="I7180" s="36"/>
      <c r="J7180" s="37">
        <v>0</v>
      </c>
    </row>
    <row r="7181" spans="1:10" hidden="1" x14ac:dyDescent="0.25">
      <c r="A7181" s="174"/>
      <c r="B7181" s="177"/>
      <c r="C7181" s="39"/>
      <c r="D7181" s="39"/>
      <c r="E7181" s="40"/>
      <c r="F7181" s="55" t="s">
        <v>13</v>
      </c>
      <c r="G7181" s="38" t="str">
        <f>IF(ISNUMBER(F7181),E7181*F7181,"")</f>
        <v/>
      </c>
      <c r="H7181" s="42"/>
      <c r="I7181" s="38"/>
      <c r="J7181" s="37">
        <v>0</v>
      </c>
    </row>
    <row r="7182" spans="1:10" hidden="1" x14ac:dyDescent="0.25">
      <c r="A7182" s="174"/>
      <c r="B7182" s="177"/>
      <c r="C7182" s="43" t="s">
        <v>11442</v>
      </c>
      <c r="D7182" s="43" t="s">
        <v>83</v>
      </c>
      <c r="E7182" s="44">
        <v>1</v>
      </c>
      <c r="F7182" s="38">
        <v>10.715999999999999</v>
      </c>
      <c r="G7182" s="38">
        <f>IF(ISNUMBER(F7182),E7182*F7182,"")</f>
        <v>10.715999999999999</v>
      </c>
      <c r="H7182" s="46">
        <f>SUM(G7182:G7182)</f>
        <v>10.715999999999999</v>
      </c>
      <c r="I7182" s="47"/>
      <c r="J7182" s="37">
        <v>0</v>
      </c>
    </row>
    <row r="7183" spans="1:10" ht="15.75" hidden="1" thickBot="1" x14ac:dyDescent="0.3">
      <c r="A7183" s="175"/>
      <c r="B7183" s="178"/>
      <c r="C7183" s="49"/>
      <c r="D7183" s="49"/>
      <c r="E7183" s="50"/>
      <c r="F7183" s="51" t="s">
        <v>13</v>
      </c>
      <c r="G7183" s="51" t="str">
        <f>IF(ISNUMBER(F7183),E7183*F7183,"")</f>
        <v/>
      </c>
      <c r="H7183" s="53"/>
      <c r="I7183" s="38"/>
      <c r="J7183" s="37">
        <v>0</v>
      </c>
    </row>
    <row r="7184" spans="1:10" ht="15.75" hidden="1" thickBot="1" x14ac:dyDescent="0.3">
      <c r="A7184" s="173" t="s">
        <v>1703</v>
      </c>
      <c r="B7184" s="176" t="s">
        <v>7861</v>
      </c>
      <c r="C7184" s="31"/>
      <c r="D7184" s="32" t="s">
        <v>18</v>
      </c>
      <c r="E7184" s="33"/>
      <c r="F7184" s="54" t="s">
        <v>13</v>
      </c>
      <c r="G7184" s="34" t="str">
        <f>IF(ISNUMBER(F7184),E7184*F7184,"")</f>
        <v/>
      </c>
      <c r="H7184" s="35"/>
      <c r="I7184" s="36"/>
      <c r="J7184" s="37">
        <v>0</v>
      </c>
    </row>
    <row r="7185" spans="1:10" hidden="1" x14ac:dyDescent="0.25">
      <c r="A7185" s="174"/>
      <c r="B7185" s="177"/>
      <c r="C7185" s="39"/>
      <c r="D7185" s="39"/>
      <c r="E7185" s="40"/>
      <c r="F7185" s="55" t="s">
        <v>13</v>
      </c>
      <c r="G7185" s="38" t="str">
        <f>IF(ISNUMBER(F7185),E7185*F7185,"")</f>
        <v/>
      </c>
      <c r="H7185" s="42"/>
      <c r="I7185" s="38"/>
      <c r="J7185" s="37">
        <v>0</v>
      </c>
    </row>
    <row r="7186" spans="1:10" ht="25.5" hidden="1" x14ac:dyDescent="0.25">
      <c r="A7186" s="174"/>
      <c r="B7186" s="177"/>
      <c r="C7186" s="43" t="s">
        <v>11259</v>
      </c>
      <c r="D7186" s="43" t="s">
        <v>83</v>
      </c>
      <c r="E7186" s="44">
        <v>1</v>
      </c>
      <c r="F7186" s="38">
        <v>8.5879999999999992</v>
      </c>
      <c r="G7186" s="38">
        <f>IF(ISNUMBER(F7186),E7186*F7186,"")</f>
        <v>8.5879999999999992</v>
      </c>
      <c r="H7186" s="46">
        <f>SUM(G7186:G7186)</f>
        <v>8.5879999999999992</v>
      </c>
      <c r="I7186" s="47"/>
      <c r="J7186" s="37">
        <v>0</v>
      </c>
    </row>
    <row r="7187" spans="1:10" ht="15.75" hidden="1" thickBot="1" x14ac:dyDescent="0.3">
      <c r="A7187" s="175"/>
      <c r="B7187" s="178"/>
      <c r="C7187" s="49"/>
      <c r="D7187" s="49"/>
      <c r="E7187" s="50"/>
      <c r="F7187" s="51" t="s">
        <v>13</v>
      </c>
      <c r="G7187" s="51" t="str">
        <f>IF(ISNUMBER(F7187),E7187*F7187,"")</f>
        <v/>
      </c>
      <c r="H7187" s="53"/>
      <c r="I7187" s="38"/>
      <c r="J7187" s="37">
        <v>0</v>
      </c>
    </row>
    <row r="7188" spans="1:10" ht="15.75" hidden="1" thickBot="1" x14ac:dyDescent="0.3">
      <c r="A7188" s="173" t="s">
        <v>1704</v>
      </c>
      <c r="B7188" s="176" t="s">
        <v>7862</v>
      </c>
      <c r="C7188" s="31"/>
      <c r="D7188" s="32" t="s">
        <v>18</v>
      </c>
      <c r="E7188" s="33"/>
      <c r="F7188" s="54" t="s">
        <v>13</v>
      </c>
      <c r="G7188" s="34" t="str">
        <f>IF(ISNUMBER(F7188),E7188*F7188,"")</f>
        <v/>
      </c>
      <c r="H7188" s="35"/>
      <c r="I7188" s="36"/>
      <c r="J7188" s="37">
        <v>0</v>
      </c>
    </row>
    <row r="7189" spans="1:10" hidden="1" x14ac:dyDescent="0.25">
      <c r="A7189" s="174"/>
      <c r="B7189" s="177"/>
      <c r="C7189" s="39"/>
      <c r="D7189" s="39"/>
      <c r="E7189" s="40"/>
      <c r="F7189" s="55" t="s">
        <v>13</v>
      </c>
      <c r="G7189" s="38" t="str">
        <f>IF(ISNUMBER(F7189),E7189*F7189,"")</f>
        <v/>
      </c>
      <c r="H7189" s="42"/>
      <c r="I7189" s="38"/>
      <c r="J7189" s="37">
        <v>0</v>
      </c>
    </row>
    <row r="7190" spans="1:10" ht="25.5" hidden="1" x14ac:dyDescent="0.25">
      <c r="A7190" s="174"/>
      <c r="B7190" s="177"/>
      <c r="C7190" s="43" t="s">
        <v>11256</v>
      </c>
      <c r="D7190" s="43" t="s">
        <v>83</v>
      </c>
      <c r="E7190" s="44">
        <v>1</v>
      </c>
      <c r="F7190" s="38">
        <v>5.8805000000000005</v>
      </c>
      <c r="G7190" s="38">
        <f>IF(ISNUMBER(F7190),E7190*F7190,"")</f>
        <v>5.8805000000000005</v>
      </c>
      <c r="H7190" s="46">
        <f>SUM(G7190:G7190)</f>
        <v>5.8805000000000005</v>
      </c>
      <c r="I7190" s="47"/>
      <c r="J7190" s="37">
        <v>0</v>
      </c>
    </row>
    <row r="7191" spans="1:10" ht="15.75" hidden="1" thickBot="1" x14ac:dyDescent="0.3">
      <c r="A7191" s="175"/>
      <c r="B7191" s="178"/>
      <c r="C7191" s="49"/>
      <c r="D7191" s="49"/>
      <c r="E7191" s="50"/>
      <c r="F7191" s="51" t="s">
        <v>13</v>
      </c>
      <c r="G7191" s="51" t="str">
        <f>IF(ISNUMBER(F7191),E7191*F7191,"")</f>
        <v/>
      </c>
      <c r="H7191" s="53"/>
      <c r="I7191" s="38"/>
      <c r="J7191" s="37">
        <v>0</v>
      </c>
    </row>
    <row r="7192" spans="1:10" ht="15.75" hidden="1" thickBot="1" x14ac:dyDescent="0.3">
      <c r="A7192" s="173" t="s">
        <v>1705</v>
      </c>
      <c r="B7192" s="176" t="s">
        <v>7863</v>
      </c>
      <c r="C7192" s="31"/>
      <c r="D7192" s="32" t="s">
        <v>18</v>
      </c>
      <c r="E7192" s="33"/>
      <c r="F7192" s="54" t="s">
        <v>13</v>
      </c>
      <c r="G7192" s="34" t="str">
        <f>IF(ISNUMBER(F7192),E7192*F7192,"")</f>
        <v/>
      </c>
      <c r="H7192" s="35"/>
      <c r="I7192" s="36"/>
      <c r="J7192" s="37">
        <v>0</v>
      </c>
    </row>
    <row r="7193" spans="1:10" hidden="1" x14ac:dyDescent="0.25">
      <c r="A7193" s="174"/>
      <c r="B7193" s="177"/>
      <c r="C7193" s="39"/>
      <c r="D7193" s="39"/>
      <c r="E7193" s="40"/>
      <c r="F7193" s="55" t="s">
        <v>13</v>
      </c>
      <c r="G7193" s="38" t="str">
        <f>IF(ISNUMBER(F7193),E7193*F7193,"")</f>
        <v/>
      </c>
      <c r="H7193" s="42"/>
      <c r="I7193" s="38"/>
      <c r="J7193" s="37">
        <v>0</v>
      </c>
    </row>
    <row r="7194" spans="1:10" ht="25.5" hidden="1" x14ac:dyDescent="0.25">
      <c r="A7194" s="174"/>
      <c r="B7194" s="177"/>
      <c r="C7194" s="43" t="s">
        <v>11263</v>
      </c>
      <c r="D7194" s="43" t="s">
        <v>83</v>
      </c>
      <c r="E7194" s="44">
        <v>1</v>
      </c>
      <c r="F7194" s="38">
        <v>13.071999999999999</v>
      </c>
      <c r="G7194" s="38">
        <f>IF(ISNUMBER(F7194),E7194*F7194,"")</f>
        <v>13.071999999999999</v>
      </c>
      <c r="H7194" s="46">
        <f>SUM(G7194:G7194)</f>
        <v>13.071999999999999</v>
      </c>
      <c r="I7194" s="47"/>
      <c r="J7194" s="37">
        <v>0</v>
      </c>
    </row>
    <row r="7195" spans="1:10" ht="15.75" hidden="1" thickBot="1" x14ac:dyDescent="0.3">
      <c r="A7195" s="175"/>
      <c r="B7195" s="178"/>
      <c r="C7195" s="49"/>
      <c r="D7195" s="49"/>
      <c r="E7195" s="50"/>
      <c r="F7195" s="51" t="s">
        <v>13</v>
      </c>
      <c r="G7195" s="51" t="str">
        <f>IF(ISNUMBER(F7195),E7195*F7195,"")</f>
        <v/>
      </c>
      <c r="H7195" s="53"/>
      <c r="I7195" s="38"/>
      <c r="J7195" s="37">
        <v>0</v>
      </c>
    </row>
    <row r="7196" spans="1:10" ht="15.75" hidden="1" thickBot="1" x14ac:dyDescent="0.3">
      <c r="A7196" s="173" t="s">
        <v>1706</v>
      </c>
      <c r="B7196" s="176" t="s">
        <v>7864</v>
      </c>
      <c r="C7196" s="31"/>
      <c r="D7196" s="32" t="s">
        <v>18</v>
      </c>
      <c r="E7196" s="33"/>
      <c r="F7196" s="54" t="s">
        <v>13</v>
      </c>
      <c r="G7196" s="34" t="str">
        <f>IF(ISNUMBER(F7196),E7196*F7196,"")</f>
        <v/>
      </c>
      <c r="H7196" s="35"/>
      <c r="I7196" s="36"/>
      <c r="J7196" s="37">
        <v>0</v>
      </c>
    </row>
    <row r="7197" spans="1:10" hidden="1" x14ac:dyDescent="0.25">
      <c r="A7197" s="174"/>
      <c r="B7197" s="177"/>
      <c r="C7197" s="39"/>
      <c r="D7197" s="39"/>
      <c r="E7197" s="40"/>
      <c r="F7197" s="55" t="s">
        <v>13</v>
      </c>
      <c r="G7197" s="38" t="str">
        <f>IF(ISNUMBER(F7197),E7197*F7197,"")</f>
        <v/>
      </c>
      <c r="H7197" s="42"/>
      <c r="I7197" s="38"/>
      <c r="J7197" s="37">
        <v>0</v>
      </c>
    </row>
    <row r="7198" spans="1:10" hidden="1" x14ac:dyDescent="0.25">
      <c r="A7198" s="174"/>
      <c r="B7198" s="177"/>
      <c r="C7198" s="43" t="s">
        <v>11443</v>
      </c>
      <c r="D7198" s="43" t="s">
        <v>83</v>
      </c>
      <c r="E7198" s="44">
        <v>1</v>
      </c>
      <c r="F7198" s="38">
        <v>255.56899999999996</v>
      </c>
      <c r="G7198" s="38">
        <f>IF(ISNUMBER(F7198),E7198*F7198,"")</f>
        <v>255.56899999999996</v>
      </c>
      <c r="H7198" s="46">
        <f>SUM(G7198:G7198)</f>
        <v>255.56899999999996</v>
      </c>
      <c r="I7198" s="47"/>
      <c r="J7198" s="37">
        <v>0</v>
      </c>
    </row>
    <row r="7199" spans="1:10" ht="15.75" hidden="1" thickBot="1" x14ac:dyDescent="0.3">
      <c r="A7199" s="175"/>
      <c r="B7199" s="178"/>
      <c r="C7199" s="49"/>
      <c r="D7199" s="49"/>
      <c r="E7199" s="50"/>
      <c r="F7199" s="51" t="s">
        <v>13</v>
      </c>
      <c r="G7199" s="51" t="str">
        <f>IF(ISNUMBER(F7199),E7199*F7199,"")</f>
        <v/>
      </c>
      <c r="H7199" s="53"/>
      <c r="I7199" s="38"/>
      <c r="J7199" s="37">
        <v>0</v>
      </c>
    </row>
    <row r="7200" spans="1:10" ht="15.75" hidden="1" thickBot="1" x14ac:dyDescent="0.3">
      <c r="A7200" s="173" t="s">
        <v>1707</v>
      </c>
      <c r="B7200" s="176" t="s">
        <v>7865</v>
      </c>
      <c r="C7200" s="31"/>
      <c r="D7200" s="32" t="s">
        <v>18</v>
      </c>
      <c r="E7200" s="33"/>
      <c r="F7200" s="54" t="s">
        <v>13</v>
      </c>
      <c r="G7200" s="34" t="str">
        <f>IF(ISNUMBER(F7200),E7200*F7200,"")</f>
        <v/>
      </c>
      <c r="H7200" s="35"/>
      <c r="I7200" s="36"/>
      <c r="J7200" s="37">
        <v>0</v>
      </c>
    </row>
    <row r="7201" spans="1:10" hidden="1" x14ac:dyDescent="0.25">
      <c r="A7201" s="174"/>
      <c r="B7201" s="177"/>
      <c r="C7201" s="39"/>
      <c r="D7201" s="39"/>
      <c r="E7201" s="40"/>
      <c r="F7201" s="55" t="s">
        <v>13</v>
      </c>
      <c r="G7201" s="38" t="str">
        <f>IF(ISNUMBER(F7201),E7201*F7201,"")</f>
        <v/>
      </c>
      <c r="H7201" s="42"/>
      <c r="I7201" s="38"/>
      <c r="J7201" s="37">
        <v>0</v>
      </c>
    </row>
    <row r="7202" spans="1:10" hidden="1" x14ac:dyDescent="0.25">
      <c r="A7202" s="174"/>
      <c r="B7202" s="177"/>
      <c r="C7202" s="43" t="s">
        <v>11444</v>
      </c>
      <c r="D7202" s="43" t="s">
        <v>83</v>
      </c>
      <c r="E7202" s="44">
        <v>1</v>
      </c>
      <c r="F7202" s="38">
        <v>137.17049999999998</v>
      </c>
      <c r="G7202" s="38">
        <f>IF(ISNUMBER(F7202),E7202*F7202,"")</f>
        <v>137.17049999999998</v>
      </c>
      <c r="H7202" s="46">
        <f>SUM(G7202:G7202)</f>
        <v>137.17049999999998</v>
      </c>
      <c r="I7202" s="47"/>
      <c r="J7202" s="37">
        <v>0</v>
      </c>
    </row>
    <row r="7203" spans="1:10" ht="15.75" hidden="1" thickBot="1" x14ac:dyDescent="0.3">
      <c r="A7203" s="175"/>
      <c r="B7203" s="178"/>
      <c r="C7203" s="49"/>
      <c r="D7203" s="49"/>
      <c r="E7203" s="50"/>
      <c r="F7203" s="51" t="s">
        <v>13</v>
      </c>
      <c r="G7203" s="51" t="str">
        <f>IF(ISNUMBER(F7203),E7203*F7203,"")</f>
        <v/>
      </c>
      <c r="H7203" s="53"/>
      <c r="I7203" s="38"/>
      <c r="J7203" s="37">
        <v>0</v>
      </c>
    </row>
    <row r="7204" spans="1:10" ht="15.75" hidden="1" thickBot="1" x14ac:dyDescent="0.3">
      <c r="A7204" s="173" t="s">
        <v>1708</v>
      </c>
      <c r="B7204" s="176" t="s">
        <v>7866</v>
      </c>
      <c r="C7204" s="31"/>
      <c r="D7204" s="32" t="s">
        <v>18</v>
      </c>
      <c r="E7204" s="33"/>
      <c r="F7204" s="54" t="s">
        <v>13</v>
      </c>
      <c r="G7204" s="34" t="str">
        <f>IF(ISNUMBER(F7204),E7204*F7204,"")</f>
        <v/>
      </c>
      <c r="H7204" s="35"/>
      <c r="I7204" s="36"/>
      <c r="J7204" s="37">
        <v>0</v>
      </c>
    </row>
    <row r="7205" spans="1:10" hidden="1" x14ac:dyDescent="0.25">
      <c r="A7205" s="174"/>
      <c r="B7205" s="177"/>
      <c r="C7205" s="39"/>
      <c r="D7205" s="39"/>
      <c r="E7205" s="40"/>
      <c r="F7205" s="55" t="s">
        <v>13</v>
      </c>
      <c r="G7205" s="38" t="str">
        <f>IF(ISNUMBER(F7205),E7205*F7205,"")</f>
        <v/>
      </c>
      <c r="H7205" s="42"/>
      <c r="I7205" s="38"/>
      <c r="J7205" s="37">
        <v>0</v>
      </c>
    </row>
    <row r="7206" spans="1:10" hidden="1" x14ac:dyDescent="0.25">
      <c r="A7206" s="174"/>
      <c r="B7206" s="177"/>
      <c r="C7206" s="43" t="s">
        <v>11445</v>
      </c>
      <c r="D7206" s="43" t="s">
        <v>83</v>
      </c>
      <c r="E7206" s="44">
        <v>1</v>
      </c>
      <c r="F7206" s="38">
        <v>403.97800000000001</v>
      </c>
      <c r="G7206" s="38">
        <f>IF(ISNUMBER(F7206),E7206*F7206,"")</f>
        <v>403.97800000000001</v>
      </c>
      <c r="H7206" s="46">
        <f>SUM(G7206:G7206)</f>
        <v>403.97800000000001</v>
      </c>
      <c r="I7206" s="47"/>
      <c r="J7206" s="37">
        <v>0</v>
      </c>
    </row>
    <row r="7207" spans="1:10" ht="15.75" hidden="1" thickBot="1" x14ac:dyDescent="0.3">
      <c r="A7207" s="175"/>
      <c r="B7207" s="178"/>
      <c r="C7207" s="49"/>
      <c r="D7207" s="49"/>
      <c r="E7207" s="50"/>
      <c r="F7207" s="51" t="s">
        <v>13</v>
      </c>
      <c r="G7207" s="51" t="str">
        <f>IF(ISNUMBER(F7207),E7207*F7207,"")</f>
        <v/>
      </c>
      <c r="H7207" s="53"/>
      <c r="I7207" s="38"/>
      <c r="J7207" s="37">
        <v>0</v>
      </c>
    </row>
    <row r="7208" spans="1:10" ht="15.75" hidden="1" thickBot="1" x14ac:dyDescent="0.3">
      <c r="A7208" s="173" t="s">
        <v>1709</v>
      </c>
      <c r="B7208" s="176" t="s">
        <v>7867</v>
      </c>
      <c r="C7208" s="31"/>
      <c r="D7208" s="32" t="s">
        <v>18</v>
      </c>
      <c r="E7208" s="33"/>
      <c r="F7208" s="54" t="s">
        <v>13</v>
      </c>
      <c r="G7208" s="34" t="str">
        <f>IF(ISNUMBER(F7208),E7208*F7208,"")</f>
        <v/>
      </c>
      <c r="H7208" s="35"/>
      <c r="I7208" s="36"/>
      <c r="J7208" s="37">
        <v>0</v>
      </c>
    </row>
    <row r="7209" spans="1:10" hidden="1" x14ac:dyDescent="0.25">
      <c r="A7209" s="174"/>
      <c r="B7209" s="177"/>
      <c r="C7209" s="39"/>
      <c r="D7209" s="39"/>
      <c r="E7209" s="40"/>
      <c r="F7209" s="55" t="s">
        <v>13</v>
      </c>
      <c r="G7209" s="38" t="str">
        <f>IF(ISNUMBER(F7209),E7209*F7209,"")</f>
        <v/>
      </c>
      <c r="H7209" s="42"/>
      <c r="I7209" s="38"/>
      <c r="J7209" s="37">
        <v>0</v>
      </c>
    </row>
    <row r="7210" spans="1:10" ht="25.5" hidden="1" x14ac:dyDescent="0.25">
      <c r="A7210" s="174"/>
      <c r="B7210" s="177"/>
      <c r="C7210" s="43" t="s">
        <v>11446</v>
      </c>
      <c r="D7210" s="43" t="s">
        <v>83</v>
      </c>
      <c r="E7210" s="44">
        <v>1</v>
      </c>
      <c r="F7210" s="38">
        <v>38.142499999999998</v>
      </c>
      <c r="G7210" s="38">
        <f>IF(ISNUMBER(F7210),E7210*F7210,"")</f>
        <v>38.142499999999998</v>
      </c>
      <c r="H7210" s="46">
        <f>SUM(G7210:G7210)</f>
        <v>38.142499999999998</v>
      </c>
      <c r="I7210" s="47"/>
      <c r="J7210" s="37">
        <v>0</v>
      </c>
    </row>
    <row r="7211" spans="1:10" ht="15.75" hidden="1" thickBot="1" x14ac:dyDescent="0.3">
      <c r="A7211" s="175"/>
      <c r="B7211" s="178"/>
      <c r="C7211" s="49"/>
      <c r="D7211" s="49"/>
      <c r="E7211" s="50"/>
      <c r="F7211" s="51" t="s">
        <v>13</v>
      </c>
      <c r="G7211" s="51" t="str">
        <f>IF(ISNUMBER(F7211),E7211*F7211,"")</f>
        <v/>
      </c>
      <c r="H7211" s="53"/>
      <c r="I7211" s="38"/>
      <c r="J7211" s="37">
        <v>0</v>
      </c>
    </row>
    <row r="7212" spans="1:10" ht="15.75" hidden="1" thickBot="1" x14ac:dyDescent="0.3">
      <c r="A7212" s="173" t="s">
        <v>1710</v>
      </c>
      <c r="B7212" s="176" t="s">
        <v>7868</v>
      </c>
      <c r="C7212" s="31"/>
      <c r="D7212" s="32" t="s">
        <v>18</v>
      </c>
      <c r="E7212" s="33"/>
      <c r="F7212" s="54" t="s">
        <v>13</v>
      </c>
      <c r="G7212" s="34" t="str">
        <f>IF(ISNUMBER(F7212),E7212*F7212,"")</f>
        <v/>
      </c>
      <c r="H7212" s="35"/>
      <c r="I7212" s="36"/>
      <c r="J7212" s="37">
        <v>0</v>
      </c>
    </row>
    <row r="7213" spans="1:10" hidden="1" x14ac:dyDescent="0.25">
      <c r="A7213" s="174"/>
      <c r="B7213" s="177"/>
      <c r="C7213" s="39"/>
      <c r="D7213" s="39"/>
      <c r="E7213" s="40"/>
      <c r="F7213" s="55" t="s">
        <v>13</v>
      </c>
      <c r="G7213" s="38" t="str">
        <f>IF(ISNUMBER(F7213),E7213*F7213,"")</f>
        <v/>
      </c>
      <c r="H7213" s="42"/>
      <c r="I7213" s="38"/>
      <c r="J7213" s="37">
        <v>0</v>
      </c>
    </row>
    <row r="7214" spans="1:10" hidden="1" x14ac:dyDescent="0.25">
      <c r="A7214" s="174"/>
      <c r="B7214" s="177"/>
      <c r="C7214" s="43" t="s">
        <v>11447</v>
      </c>
      <c r="D7214" s="43" t="s">
        <v>83</v>
      </c>
      <c r="E7214" s="44">
        <v>1</v>
      </c>
      <c r="F7214" s="38">
        <v>15.599</v>
      </c>
      <c r="G7214" s="38">
        <f>IF(ISNUMBER(F7214),E7214*F7214,"")</f>
        <v>15.599</v>
      </c>
      <c r="H7214" s="46">
        <f>SUM(G7214:G7214)</f>
        <v>15.599</v>
      </c>
      <c r="I7214" s="47"/>
      <c r="J7214" s="37">
        <v>0</v>
      </c>
    </row>
    <row r="7215" spans="1:10" ht="15.75" hidden="1" thickBot="1" x14ac:dyDescent="0.3">
      <c r="A7215" s="175"/>
      <c r="B7215" s="178"/>
      <c r="C7215" s="49"/>
      <c r="D7215" s="49"/>
      <c r="E7215" s="50"/>
      <c r="F7215" s="51" t="s">
        <v>13</v>
      </c>
      <c r="G7215" s="51" t="str">
        <f>IF(ISNUMBER(F7215),E7215*F7215,"")</f>
        <v/>
      </c>
      <c r="H7215" s="53"/>
      <c r="I7215" s="38"/>
      <c r="J7215" s="37">
        <v>0</v>
      </c>
    </row>
    <row r="7216" spans="1:10" ht="15.75" hidden="1" thickBot="1" x14ac:dyDescent="0.3">
      <c r="A7216" s="173" t="s">
        <v>1711</v>
      </c>
      <c r="B7216" s="176" t="s">
        <v>7869</v>
      </c>
      <c r="C7216" s="31"/>
      <c r="D7216" s="32" t="s">
        <v>18</v>
      </c>
      <c r="E7216" s="33"/>
      <c r="F7216" s="54" t="s">
        <v>13</v>
      </c>
      <c r="G7216" s="34" t="str">
        <f>IF(ISNUMBER(F7216),E7216*F7216,"")</f>
        <v/>
      </c>
      <c r="H7216" s="35"/>
      <c r="I7216" s="36"/>
      <c r="J7216" s="37">
        <v>0</v>
      </c>
    </row>
    <row r="7217" spans="1:10" hidden="1" x14ac:dyDescent="0.25">
      <c r="A7217" s="174"/>
      <c r="B7217" s="177"/>
      <c r="C7217" s="39"/>
      <c r="D7217" s="39"/>
      <c r="E7217" s="40"/>
      <c r="F7217" s="55" t="s">
        <v>13</v>
      </c>
      <c r="G7217" s="38" t="str">
        <f>IF(ISNUMBER(F7217),E7217*F7217,"")</f>
        <v/>
      </c>
      <c r="H7217" s="42"/>
      <c r="I7217" s="38"/>
      <c r="J7217" s="37">
        <v>0</v>
      </c>
    </row>
    <row r="7218" spans="1:10" hidden="1" x14ac:dyDescent="0.25">
      <c r="A7218" s="174"/>
      <c r="B7218" s="177"/>
      <c r="C7218" s="43" t="s">
        <v>11448</v>
      </c>
      <c r="D7218" s="43" t="s">
        <v>83</v>
      </c>
      <c r="E7218" s="44">
        <v>1</v>
      </c>
      <c r="F7218" s="38">
        <v>20.766999999999999</v>
      </c>
      <c r="G7218" s="38">
        <f>IF(ISNUMBER(F7218),E7218*F7218,"")</f>
        <v>20.766999999999999</v>
      </c>
      <c r="H7218" s="46">
        <f>SUM(G7218:G7218)</f>
        <v>20.766999999999999</v>
      </c>
      <c r="I7218" s="47"/>
      <c r="J7218" s="37">
        <v>0</v>
      </c>
    </row>
    <row r="7219" spans="1:10" ht="15.75" hidden="1" thickBot="1" x14ac:dyDescent="0.3">
      <c r="A7219" s="175"/>
      <c r="B7219" s="178"/>
      <c r="C7219" s="49"/>
      <c r="D7219" s="49"/>
      <c r="E7219" s="50"/>
      <c r="F7219" s="51" t="s">
        <v>13</v>
      </c>
      <c r="G7219" s="51" t="str">
        <f>IF(ISNUMBER(F7219),E7219*F7219,"")</f>
        <v/>
      </c>
      <c r="H7219" s="53"/>
      <c r="I7219" s="38"/>
      <c r="J7219" s="37">
        <v>0</v>
      </c>
    </row>
    <row r="7220" spans="1:10" ht="15.75" hidden="1" thickBot="1" x14ac:dyDescent="0.3">
      <c r="A7220" s="173" t="s">
        <v>1712</v>
      </c>
      <c r="B7220" s="176" t="s">
        <v>7870</v>
      </c>
      <c r="C7220" s="31"/>
      <c r="D7220" s="32" t="s">
        <v>18</v>
      </c>
      <c r="E7220" s="33"/>
      <c r="F7220" s="54" t="s">
        <v>13</v>
      </c>
      <c r="G7220" s="34" t="str">
        <f>IF(ISNUMBER(F7220),E7220*F7220,"")</f>
        <v/>
      </c>
      <c r="H7220" s="35"/>
      <c r="I7220" s="36"/>
      <c r="J7220" s="37">
        <v>0</v>
      </c>
    </row>
    <row r="7221" spans="1:10" hidden="1" x14ac:dyDescent="0.25">
      <c r="A7221" s="174"/>
      <c r="B7221" s="177"/>
      <c r="C7221" s="39"/>
      <c r="D7221" s="39"/>
      <c r="E7221" s="40"/>
      <c r="F7221" s="55" t="s">
        <v>13</v>
      </c>
      <c r="G7221" s="38" t="str">
        <f>IF(ISNUMBER(F7221),E7221*F7221,"")</f>
        <v/>
      </c>
      <c r="H7221" s="42"/>
      <c r="I7221" s="38"/>
      <c r="J7221" s="37">
        <v>0</v>
      </c>
    </row>
    <row r="7222" spans="1:10" ht="25.5" hidden="1" x14ac:dyDescent="0.25">
      <c r="A7222" s="174"/>
      <c r="B7222" s="177"/>
      <c r="C7222" s="43" t="s">
        <v>11449</v>
      </c>
      <c r="D7222" s="43" t="s">
        <v>83</v>
      </c>
      <c r="E7222" s="44">
        <v>1</v>
      </c>
      <c r="F7222" s="38">
        <v>68.59</v>
      </c>
      <c r="G7222" s="38">
        <f>IF(ISNUMBER(F7222),E7222*F7222,"")</f>
        <v>68.59</v>
      </c>
      <c r="H7222" s="46">
        <f>SUM(G7222:G7222)</f>
        <v>68.59</v>
      </c>
      <c r="I7222" s="47"/>
      <c r="J7222" s="37">
        <v>0</v>
      </c>
    </row>
    <row r="7223" spans="1:10" ht="15.75" hidden="1" thickBot="1" x14ac:dyDescent="0.3">
      <c r="A7223" s="175"/>
      <c r="B7223" s="178"/>
      <c r="C7223" s="49"/>
      <c r="D7223" s="49"/>
      <c r="E7223" s="50"/>
      <c r="F7223" s="51" t="s">
        <v>13</v>
      </c>
      <c r="G7223" s="51" t="str">
        <f>IF(ISNUMBER(F7223),E7223*F7223,"")</f>
        <v/>
      </c>
      <c r="H7223" s="53"/>
      <c r="I7223" s="38"/>
      <c r="J7223" s="37">
        <v>0</v>
      </c>
    </row>
    <row r="7224" spans="1:10" ht="15.75" hidden="1" thickBot="1" x14ac:dyDescent="0.3">
      <c r="A7224" s="173" t="s">
        <v>1713</v>
      </c>
      <c r="B7224" s="176" t="s">
        <v>7871</v>
      </c>
      <c r="C7224" s="31"/>
      <c r="D7224" s="32" t="s">
        <v>18</v>
      </c>
      <c r="E7224" s="33"/>
      <c r="F7224" s="54" t="s">
        <v>13</v>
      </c>
      <c r="G7224" s="34" t="str">
        <f>IF(ISNUMBER(F7224),E7224*F7224,"")</f>
        <v/>
      </c>
      <c r="H7224" s="35"/>
      <c r="I7224" s="36"/>
      <c r="J7224" s="37">
        <v>0</v>
      </c>
    </row>
    <row r="7225" spans="1:10" hidden="1" x14ac:dyDescent="0.25">
      <c r="A7225" s="174"/>
      <c r="B7225" s="177"/>
      <c r="C7225" s="39"/>
      <c r="D7225" s="39"/>
      <c r="E7225" s="40"/>
      <c r="F7225" s="55" t="s">
        <v>13</v>
      </c>
      <c r="G7225" s="38" t="str">
        <f>IF(ISNUMBER(F7225),E7225*F7225,"")</f>
        <v/>
      </c>
      <c r="H7225" s="42"/>
      <c r="I7225" s="38"/>
      <c r="J7225" s="37">
        <v>0</v>
      </c>
    </row>
    <row r="7226" spans="1:10" ht="25.5" hidden="1" x14ac:dyDescent="0.25">
      <c r="A7226" s="174"/>
      <c r="B7226" s="177"/>
      <c r="C7226" s="43" t="s">
        <v>11450</v>
      </c>
      <c r="D7226" s="43" t="s">
        <v>83</v>
      </c>
      <c r="E7226" s="44">
        <v>1</v>
      </c>
      <c r="F7226" s="38">
        <v>91.96</v>
      </c>
      <c r="G7226" s="38">
        <f>IF(ISNUMBER(F7226),E7226*F7226,"")</f>
        <v>91.96</v>
      </c>
      <c r="H7226" s="46">
        <f>SUM(G7226:G7226)</f>
        <v>91.96</v>
      </c>
      <c r="I7226" s="47"/>
      <c r="J7226" s="37">
        <v>0</v>
      </c>
    </row>
    <row r="7227" spans="1:10" ht="15.75" hidden="1" thickBot="1" x14ac:dyDescent="0.3">
      <c r="A7227" s="175"/>
      <c r="B7227" s="178"/>
      <c r="C7227" s="49"/>
      <c r="D7227" s="49"/>
      <c r="E7227" s="50"/>
      <c r="F7227" s="51" t="s">
        <v>13</v>
      </c>
      <c r="G7227" s="51" t="str">
        <f>IF(ISNUMBER(F7227),E7227*F7227,"")</f>
        <v/>
      </c>
      <c r="H7227" s="53"/>
      <c r="I7227" s="38"/>
      <c r="J7227" s="37">
        <v>0</v>
      </c>
    </row>
    <row r="7228" spans="1:10" ht="15.75" hidden="1" thickBot="1" x14ac:dyDescent="0.3">
      <c r="A7228" s="173" t="s">
        <v>1714</v>
      </c>
      <c r="B7228" s="176" t="s">
        <v>7872</v>
      </c>
      <c r="C7228" s="31"/>
      <c r="D7228" s="32" t="s">
        <v>18</v>
      </c>
      <c r="E7228" s="33"/>
      <c r="F7228" s="54" t="s">
        <v>13</v>
      </c>
      <c r="G7228" s="34" t="str">
        <f>IF(ISNUMBER(F7228),E7228*F7228,"")</f>
        <v/>
      </c>
      <c r="H7228" s="35"/>
      <c r="I7228" s="36"/>
      <c r="J7228" s="37">
        <v>0</v>
      </c>
    </row>
    <row r="7229" spans="1:10" hidden="1" x14ac:dyDescent="0.25">
      <c r="A7229" s="174"/>
      <c r="B7229" s="177"/>
      <c r="C7229" s="39"/>
      <c r="D7229" s="39"/>
      <c r="E7229" s="40"/>
      <c r="F7229" s="55" t="s">
        <v>13</v>
      </c>
      <c r="G7229" s="38" t="str">
        <f>IF(ISNUMBER(F7229),E7229*F7229,"")</f>
        <v/>
      </c>
      <c r="H7229" s="42"/>
      <c r="I7229" s="38"/>
      <c r="J7229" s="37">
        <v>0</v>
      </c>
    </row>
    <row r="7230" spans="1:10" ht="25.5" hidden="1" x14ac:dyDescent="0.25">
      <c r="A7230" s="174"/>
      <c r="B7230" s="177"/>
      <c r="C7230" s="43" t="s">
        <v>11451</v>
      </c>
      <c r="D7230" s="43" t="s">
        <v>83</v>
      </c>
      <c r="E7230" s="44">
        <v>1</v>
      </c>
      <c r="F7230" s="38">
        <v>100.86149999999999</v>
      </c>
      <c r="G7230" s="38">
        <f>IF(ISNUMBER(F7230),E7230*F7230,"")</f>
        <v>100.86149999999999</v>
      </c>
      <c r="H7230" s="46">
        <f>SUM(G7230:G7230)</f>
        <v>100.86149999999999</v>
      </c>
      <c r="I7230" s="47"/>
      <c r="J7230" s="37">
        <v>0</v>
      </c>
    </row>
    <row r="7231" spans="1:10" ht="15.75" hidden="1" thickBot="1" x14ac:dyDescent="0.3">
      <c r="A7231" s="175"/>
      <c r="B7231" s="178"/>
      <c r="C7231" s="49"/>
      <c r="D7231" s="49"/>
      <c r="E7231" s="50"/>
      <c r="F7231" s="51" t="s">
        <v>13</v>
      </c>
      <c r="G7231" s="51" t="str">
        <f>IF(ISNUMBER(F7231),E7231*F7231,"")</f>
        <v/>
      </c>
      <c r="H7231" s="53"/>
      <c r="I7231" s="38"/>
      <c r="J7231" s="37">
        <v>0</v>
      </c>
    </row>
    <row r="7232" spans="1:10" ht="15.75" hidden="1" thickBot="1" x14ac:dyDescent="0.3">
      <c r="A7232" s="173" t="s">
        <v>1715</v>
      </c>
      <c r="B7232" s="176" t="s">
        <v>7873</v>
      </c>
      <c r="C7232" s="31"/>
      <c r="D7232" s="32" t="s">
        <v>18</v>
      </c>
      <c r="E7232" s="33"/>
      <c r="F7232" s="54" t="s">
        <v>13</v>
      </c>
      <c r="G7232" s="34" t="str">
        <f>IF(ISNUMBER(F7232),E7232*F7232,"")</f>
        <v/>
      </c>
      <c r="H7232" s="35"/>
      <c r="I7232" s="36"/>
      <c r="J7232" s="37">
        <v>0</v>
      </c>
    </row>
    <row r="7233" spans="1:10" hidden="1" x14ac:dyDescent="0.25">
      <c r="A7233" s="174"/>
      <c r="B7233" s="177"/>
      <c r="C7233" s="39"/>
      <c r="D7233" s="39"/>
      <c r="E7233" s="40"/>
      <c r="F7233" s="55" t="s">
        <v>13</v>
      </c>
      <c r="G7233" s="38" t="str">
        <f>IF(ISNUMBER(F7233),E7233*F7233,"")</f>
        <v/>
      </c>
      <c r="H7233" s="42"/>
      <c r="I7233" s="38"/>
      <c r="J7233" s="37">
        <v>0</v>
      </c>
    </row>
    <row r="7234" spans="1:10" ht="25.5" hidden="1" x14ac:dyDescent="0.25">
      <c r="A7234" s="174"/>
      <c r="B7234" s="177"/>
      <c r="C7234" s="43" t="s">
        <v>11452</v>
      </c>
      <c r="D7234" s="43" t="s">
        <v>83</v>
      </c>
      <c r="E7234" s="44">
        <v>1</v>
      </c>
      <c r="F7234" s="38">
        <v>258.53299999999996</v>
      </c>
      <c r="G7234" s="38">
        <f>IF(ISNUMBER(F7234),E7234*F7234,"")</f>
        <v>258.53299999999996</v>
      </c>
      <c r="H7234" s="46">
        <f>SUM(G7234:G7234)</f>
        <v>258.53299999999996</v>
      </c>
      <c r="I7234" s="47"/>
      <c r="J7234" s="37">
        <v>0</v>
      </c>
    </row>
    <row r="7235" spans="1:10" ht="15.75" hidden="1" thickBot="1" x14ac:dyDescent="0.3">
      <c r="A7235" s="175"/>
      <c r="B7235" s="178"/>
      <c r="C7235" s="49"/>
      <c r="D7235" s="49"/>
      <c r="E7235" s="50"/>
      <c r="F7235" s="51" t="s">
        <v>13</v>
      </c>
      <c r="G7235" s="51" t="str">
        <f>IF(ISNUMBER(F7235),E7235*F7235,"")</f>
        <v/>
      </c>
      <c r="H7235" s="53"/>
      <c r="I7235" s="38"/>
      <c r="J7235" s="37">
        <v>0</v>
      </c>
    </row>
    <row r="7236" spans="1:10" ht="15.75" hidden="1" thickBot="1" x14ac:dyDescent="0.3">
      <c r="A7236" s="173" t="s">
        <v>1716</v>
      </c>
      <c r="B7236" s="176" t="s">
        <v>7874</v>
      </c>
      <c r="C7236" s="31"/>
      <c r="D7236" s="32" t="s">
        <v>18</v>
      </c>
      <c r="E7236" s="33"/>
      <c r="F7236" s="54" t="s">
        <v>13</v>
      </c>
      <c r="G7236" s="34" t="str">
        <f>IF(ISNUMBER(F7236),E7236*F7236,"")</f>
        <v/>
      </c>
      <c r="H7236" s="35"/>
      <c r="I7236" s="36"/>
      <c r="J7236" s="37">
        <v>0</v>
      </c>
    </row>
    <row r="7237" spans="1:10" hidden="1" x14ac:dyDescent="0.25">
      <c r="A7237" s="174"/>
      <c r="B7237" s="177"/>
      <c r="C7237" s="39"/>
      <c r="D7237" s="39"/>
      <c r="E7237" s="40"/>
      <c r="F7237" s="55" t="s">
        <v>13</v>
      </c>
      <c r="G7237" s="38" t="str">
        <f>IF(ISNUMBER(F7237),E7237*F7237,"")</f>
        <v/>
      </c>
      <c r="H7237" s="42"/>
      <c r="I7237" s="38"/>
      <c r="J7237" s="37">
        <v>0</v>
      </c>
    </row>
    <row r="7238" spans="1:10" ht="25.5" hidden="1" x14ac:dyDescent="0.25">
      <c r="A7238" s="174"/>
      <c r="B7238" s="177"/>
      <c r="C7238" s="43" t="s">
        <v>11453</v>
      </c>
      <c r="D7238" s="43" t="s">
        <v>83</v>
      </c>
      <c r="E7238" s="44">
        <v>1</v>
      </c>
      <c r="F7238" s="38">
        <v>362.93799999999999</v>
      </c>
      <c r="G7238" s="38">
        <f>IF(ISNUMBER(F7238),E7238*F7238,"")</f>
        <v>362.93799999999999</v>
      </c>
      <c r="H7238" s="46">
        <f>SUM(G7238:G7238)</f>
        <v>362.93799999999999</v>
      </c>
      <c r="I7238" s="47"/>
      <c r="J7238" s="37">
        <v>0</v>
      </c>
    </row>
    <row r="7239" spans="1:10" ht="15.75" hidden="1" thickBot="1" x14ac:dyDescent="0.3">
      <c r="A7239" s="175"/>
      <c r="B7239" s="178"/>
      <c r="C7239" s="49"/>
      <c r="D7239" s="49"/>
      <c r="E7239" s="50"/>
      <c r="F7239" s="51" t="s">
        <v>13</v>
      </c>
      <c r="G7239" s="51" t="str">
        <f>IF(ISNUMBER(F7239),E7239*F7239,"")</f>
        <v/>
      </c>
      <c r="H7239" s="53"/>
      <c r="I7239" s="38"/>
      <c r="J7239" s="37">
        <v>0</v>
      </c>
    </row>
    <row r="7240" spans="1:10" ht="15.75" hidden="1" thickBot="1" x14ac:dyDescent="0.3">
      <c r="A7240" s="173" t="s">
        <v>1717</v>
      </c>
      <c r="B7240" s="176" t="s">
        <v>7875</v>
      </c>
      <c r="C7240" s="31"/>
      <c r="D7240" s="32" t="s">
        <v>18</v>
      </c>
      <c r="E7240" s="33"/>
      <c r="F7240" s="54" t="s">
        <v>13</v>
      </c>
      <c r="G7240" s="34" t="str">
        <f>IF(ISNUMBER(F7240),E7240*F7240,"")</f>
        <v/>
      </c>
      <c r="H7240" s="35"/>
      <c r="I7240" s="36"/>
      <c r="J7240" s="37">
        <v>0</v>
      </c>
    </row>
    <row r="7241" spans="1:10" hidden="1" x14ac:dyDescent="0.25">
      <c r="A7241" s="174"/>
      <c r="B7241" s="177"/>
      <c r="C7241" s="39"/>
      <c r="D7241" s="39"/>
      <c r="E7241" s="40"/>
      <c r="F7241" s="55" t="s">
        <v>13</v>
      </c>
      <c r="G7241" s="38" t="str">
        <f>IF(ISNUMBER(F7241),E7241*F7241,"")</f>
        <v/>
      </c>
      <c r="H7241" s="42"/>
      <c r="I7241" s="38"/>
      <c r="J7241" s="37">
        <v>0</v>
      </c>
    </row>
    <row r="7242" spans="1:10" ht="25.5" hidden="1" x14ac:dyDescent="0.25">
      <c r="A7242" s="174"/>
      <c r="B7242" s="177"/>
      <c r="C7242" s="43" t="s">
        <v>11092</v>
      </c>
      <c r="D7242" s="43" t="s">
        <v>83</v>
      </c>
      <c r="E7242" s="44">
        <v>1</v>
      </c>
      <c r="F7242" s="38">
        <v>32.936500000000002</v>
      </c>
      <c r="G7242" s="38">
        <f>IF(ISNUMBER(F7242),E7242*F7242,"")</f>
        <v>32.936500000000002</v>
      </c>
      <c r="H7242" s="46">
        <f>SUM(G7242:G7242)</f>
        <v>32.936500000000002</v>
      </c>
      <c r="I7242" s="47"/>
      <c r="J7242" s="37">
        <v>0</v>
      </c>
    </row>
    <row r="7243" spans="1:10" ht="15.75" hidden="1" thickBot="1" x14ac:dyDescent="0.3">
      <c r="A7243" s="175"/>
      <c r="B7243" s="178"/>
      <c r="C7243" s="49"/>
      <c r="D7243" s="49"/>
      <c r="E7243" s="50"/>
      <c r="F7243" s="51" t="s">
        <v>13</v>
      </c>
      <c r="G7243" s="51" t="str">
        <f>IF(ISNUMBER(F7243),E7243*F7243,"")</f>
        <v/>
      </c>
      <c r="H7243" s="53"/>
      <c r="I7243" s="38"/>
      <c r="J7243" s="37">
        <v>0</v>
      </c>
    </row>
    <row r="7244" spans="1:10" ht="15.75" hidden="1" thickBot="1" x14ac:dyDescent="0.3">
      <c r="A7244" s="173" t="s">
        <v>1718</v>
      </c>
      <c r="B7244" s="176" t="s">
        <v>7876</v>
      </c>
      <c r="C7244" s="31"/>
      <c r="D7244" s="32" t="s">
        <v>18</v>
      </c>
      <c r="E7244" s="33"/>
      <c r="F7244" s="54" t="s">
        <v>13</v>
      </c>
      <c r="G7244" s="34" t="str">
        <f>IF(ISNUMBER(F7244),E7244*F7244,"")</f>
        <v/>
      </c>
      <c r="H7244" s="35"/>
      <c r="I7244" s="36"/>
      <c r="J7244" s="37">
        <v>0</v>
      </c>
    </row>
    <row r="7245" spans="1:10" hidden="1" x14ac:dyDescent="0.25">
      <c r="A7245" s="174"/>
      <c r="B7245" s="177"/>
      <c r="C7245" s="39"/>
      <c r="D7245" s="39"/>
      <c r="E7245" s="40"/>
      <c r="F7245" s="55" t="s">
        <v>13</v>
      </c>
      <c r="G7245" s="38" t="str">
        <f>IF(ISNUMBER(F7245),E7245*F7245,"")</f>
        <v/>
      </c>
      <c r="H7245" s="42"/>
      <c r="I7245" s="38"/>
      <c r="J7245" s="37">
        <v>0</v>
      </c>
    </row>
    <row r="7246" spans="1:10" ht="25.5" hidden="1" x14ac:dyDescent="0.25">
      <c r="A7246" s="174"/>
      <c r="B7246" s="177"/>
      <c r="C7246" s="43" t="s">
        <v>11454</v>
      </c>
      <c r="D7246" s="43" t="s">
        <v>83</v>
      </c>
      <c r="E7246" s="44">
        <v>1</v>
      </c>
      <c r="F7246" s="38">
        <v>166.87699999999998</v>
      </c>
      <c r="G7246" s="38">
        <f>IF(ISNUMBER(F7246),E7246*F7246,"")</f>
        <v>166.87699999999998</v>
      </c>
      <c r="H7246" s="46">
        <f>SUM(G7246:G7246)</f>
        <v>166.87699999999998</v>
      </c>
      <c r="I7246" s="47"/>
      <c r="J7246" s="37">
        <v>0</v>
      </c>
    </row>
    <row r="7247" spans="1:10" ht="15.75" hidden="1" thickBot="1" x14ac:dyDescent="0.3">
      <c r="A7247" s="175"/>
      <c r="B7247" s="178"/>
      <c r="C7247" s="49"/>
      <c r="D7247" s="49"/>
      <c r="E7247" s="50"/>
      <c r="F7247" s="51" t="s">
        <v>13</v>
      </c>
      <c r="G7247" s="51" t="str">
        <f>IF(ISNUMBER(F7247),E7247*F7247,"")</f>
        <v/>
      </c>
      <c r="H7247" s="53"/>
      <c r="I7247" s="38"/>
      <c r="J7247" s="37">
        <v>0</v>
      </c>
    </row>
    <row r="7248" spans="1:10" ht="15.75" hidden="1" thickBot="1" x14ac:dyDescent="0.3">
      <c r="A7248" s="173" t="s">
        <v>1719</v>
      </c>
      <c r="B7248" s="176" t="s">
        <v>7877</v>
      </c>
      <c r="C7248" s="31"/>
      <c r="D7248" s="32" t="s">
        <v>18</v>
      </c>
      <c r="E7248" s="33"/>
      <c r="F7248" s="54" t="s">
        <v>13</v>
      </c>
      <c r="G7248" s="34" t="str">
        <f>IF(ISNUMBER(F7248),E7248*F7248,"")</f>
        <v/>
      </c>
      <c r="H7248" s="35"/>
      <c r="I7248" s="36"/>
      <c r="J7248" s="37">
        <v>0</v>
      </c>
    </row>
    <row r="7249" spans="1:10" hidden="1" x14ac:dyDescent="0.25">
      <c r="A7249" s="174"/>
      <c r="B7249" s="177"/>
      <c r="C7249" s="39"/>
      <c r="D7249" s="39"/>
      <c r="E7249" s="40"/>
      <c r="F7249" s="55" t="s">
        <v>13</v>
      </c>
      <c r="G7249" s="38" t="str">
        <f>IF(ISNUMBER(F7249),E7249*F7249,"")</f>
        <v/>
      </c>
      <c r="H7249" s="42"/>
      <c r="I7249" s="38"/>
      <c r="J7249" s="37">
        <v>0</v>
      </c>
    </row>
    <row r="7250" spans="1:10" hidden="1" x14ac:dyDescent="0.25">
      <c r="A7250" s="174"/>
      <c r="B7250" s="177"/>
      <c r="C7250" s="43" t="s">
        <v>11455</v>
      </c>
      <c r="D7250" s="43" t="s">
        <v>83</v>
      </c>
      <c r="E7250" s="44">
        <v>1</v>
      </c>
      <c r="F7250" s="38">
        <v>41.476999999999997</v>
      </c>
      <c r="G7250" s="38">
        <f>IF(ISNUMBER(F7250),E7250*F7250,"")</f>
        <v>41.476999999999997</v>
      </c>
      <c r="H7250" s="46">
        <f>SUM(G7250:G7250)</f>
        <v>41.476999999999997</v>
      </c>
      <c r="I7250" s="47"/>
      <c r="J7250" s="37">
        <v>0</v>
      </c>
    </row>
    <row r="7251" spans="1:10" ht="15.75" hidden="1" thickBot="1" x14ac:dyDescent="0.3">
      <c r="A7251" s="175"/>
      <c r="B7251" s="178"/>
      <c r="C7251" s="49"/>
      <c r="D7251" s="49"/>
      <c r="E7251" s="50"/>
      <c r="F7251" s="51" t="s">
        <v>13</v>
      </c>
      <c r="G7251" s="51" t="str">
        <f>IF(ISNUMBER(F7251),E7251*F7251,"")</f>
        <v/>
      </c>
      <c r="H7251" s="53"/>
      <c r="I7251" s="38"/>
      <c r="J7251" s="37">
        <v>0</v>
      </c>
    </row>
    <row r="7252" spans="1:10" ht="15.75" hidden="1" thickBot="1" x14ac:dyDescent="0.3">
      <c r="A7252" s="173" t="s">
        <v>1720</v>
      </c>
      <c r="B7252" s="176" t="s">
        <v>7878</v>
      </c>
      <c r="C7252" s="31"/>
      <c r="D7252" s="32" t="s">
        <v>18</v>
      </c>
      <c r="E7252" s="33"/>
      <c r="F7252" s="54" t="s">
        <v>13</v>
      </c>
      <c r="G7252" s="34" t="str">
        <f>IF(ISNUMBER(F7252),E7252*F7252,"")</f>
        <v/>
      </c>
      <c r="H7252" s="35"/>
      <c r="I7252" s="36"/>
      <c r="J7252" s="37">
        <v>0</v>
      </c>
    </row>
    <row r="7253" spans="1:10" hidden="1" x14ac:dyDescent="0.25">
      <c r="A7253" s="174"/>
      <c r="B7253" s="177"/>
      <c r="C7253" s="39"/>
      <c r="D7253" s="39"/>
      <c r="E7253" s="40"/>
      <c r="F7253" s="55" t="s">
        <v>13</v>
      </c>
      <c r="G7253" s="38" t="str">
        <f>IF(ISNUMBER(F7253),E7253*F7253,"")</f>
        <v/>
      </c>
      <c r="H7253" s="42"/>
      <c r="I7253" s="38"/>
      <c r="J7253" s="37">
        <v>0</v>
      </c>
    </row>
    <row r="7254" spans="1:10" hidden="1" x14ac:dyDescent="0.25">
      <c r="A7254" s="174"/>
      <c r="B7254" s="177"/>
      <c r="C7254" s="43" t="s">
        <v>11456</v>
      </c>
      <c r="D7254" s="43" t="s">
        <v>83</v>
      </c>
      <c r="E7254" s="44">
        <v>1</v>
      </c>
      <c r="F7254" s="38">
        <v>9.3290000000000006</v>
      </c>
      <c r="G7254" s="38">
        <f>IF(ISNUMBER(F7254),E7254*F7254,"")</f>
        <v>9.3290000000000006</v>
      </c>
      <c r="H7254" s="46">
        <f>SUM(G7254:G7254)</f>
        <v>9.3290000000000006</v>
      </c>
      <c r="I7254" s="47"/>
      <c r="J7254" s="37">
        <v>0</v>
      </c>
    </row>
    <row r="7255" spans="1:10" ht="15.75" hidden="1" thickBot="1" x14ac:dyDescent="0.3">
      <c r="A7255" s="175"/>
      <c r="B7255" s="178"/>
      <c r="C7255" s="49"/>
      <c r="D7255" s="49"/>
      <c r="E7255" s="50"/>
      <c r="F7255" s="51" t="s">
        <v>13</v>
      </c>
      <c r="G7255" s="51" t="str">
        <f>IF(ISNUMBER(F7255),E7255*F7255,"")</f>
        <v/>
      </c>
      <c r="H7255" s="53"/>
      <c r="I7255" s="38"/>
      <c r="J7255" s="37">
        <v>0</v>
      </c>
    </row>
    <row r="7256" spans="1:10" ht="15.75" hidden="1" thickBot="1" x14ac:dyDescent="0.3">
      <c r="A7256" s="173" t="s">
        <v>1721</v>
      </c>
      <c r="B7256" s="176" t="s">
        <v>7879</v>
      </c>
      <c r="C7256" s="31"/>
      <c r="D7256" s="32" t="s">
        <v>18</v>
      </c>
      <c r="E7256" s="33"/>
      <c r="F7256" s="54" t="s">
        <v>13</v>
      </c>
      <c r="G7256" s="34" t="str">
        <f>IF(ISNUMBER(F7256),E7256*F7256,"")</f>
        <v/>
      </c>
      <c r="H7256" s="35"/>
      <c r="I7256" s="36"/>
      <c r="J7256" s="37">
        <v>0</v>
      </c>
    </row>
    <row r="7257" spans="1:10" hidden="1" x14ac:dyDescent="0.25">
      <c r="A7257" s="174"/>
      <c r="B7257" s="177"/>
      <c r="C7257" s="39"/>
      <c r="D7257" s="39"/>
      <c r="E7257" s="40"/>
      <c r="F7257" s="55" t="s">
        <v>13</v>
      </c>
      <c r="G7257" s="38" t="str">
        <f>IF(ISNUMBER(F7257),E7257*F7257,"")</f>
        <v/>
      </c>
      <c r="H7257" s="42"/>
      <c r="I7257" s="38"/>
      <c r="J7257" s="37">
        <v>0</v>
      </c>
    </row>
    <row r="7258" spans="1:10" hidden="1" x14ac:dyDescent="0.25">
      <c r="A7258" s="174"/>
      <c r="B7258" s="177"/>
      <c r="C7258" s="43" t="s">
        <v>11457</v>
      </c>
      <c r="D7258" s="43" t="s">
        <v>83</v>
      </c>
      <c r="E7258" s="44">
        <v>1</v>
      </c>
      <c r="F7258" s="38">
        <v>124.735</v>
      </c>
      <c r="G7258" s="38">
        <f>IF(ISNUMBER(F7258),E7258*F7258,"")</f>
        <v>124.735</v>
      </c>
      <c r="H7258" s="46">
        <f>SUM(G7258:G7258)</f>
        <v>124.735</v>
      </c>
      <c r="I7258" s="47"/>
      <c r="J7258" s="37">
        <v>0</v>
      </c>
    </row>
    <row r="7259" spans="1:10" ht="15.75" hidden="1" thickBot="1" x14ac:dyDescent="0.3">
      <c r="A7259" s="175"/>
      <c r="B7259" s="178"/>
      <c r="C7259" s="49"/>
      <c r="D7259" s="49"/>
      <c r="E7259" s="50"/>
      <c r="F7259" s="51" t="s">
        <v>13</v>
      </c>
      <c r="G7259" s="51" t="str">
        <f>IF(ISNUMBER(F7259),E7259*F7259,"")</f>
        <v/>
      </c>
      <c r="H7259" s="53"/>
      <c r="I7259" s="38"/>
      <c r="J7259" s="37">
        <v>0</v>
      </c>
    </row>
    <row r="7260" spans="1:10" ht="15.75" hidden="1" thickBot="1" x14ac:dyDescent="0.3">
      <c r="A7260" s="173" t="s">
        <v>1722</v>
      </c>
      <c r="B7260" s="176" t="s">
        <v>7880</v>
      </c>
      <c r="C7260" s="31"/>
      <c r="D7260" s="32" t="s">
        <v>18</v>
      </c>
      <c r="E7260" s="33"/>
      <c r="F7260" s="54" t="s">
        <v>13</v>
      </c>
      <c r="G7260" s="34" t="str">
        <f>IF(ISNUMBER(F7260),E7260*F7260,"")</f>
        <v/>
      </c>
      <c r="H7260" s="35"/>
      <c r="I7260" s="36"/>
      <c r="J7260" s="37">
        <v>0</v>
      </c>
    </row>
    <row r="7261" spans="1:10" hidden="1" x14ac:dyDescent="0.25">
      <c r="A7261" s="174"/>
      <c r="B7261" s="177"/>
      <c r="C7261" s="39"/>
      <c r="D7261" s="39"/>
      <c r="E7261" s="40"/>
      <c r="F7261" s="55" t="s">
        <v>13</v>
      </c>
      <c r="G7261" s="38" t="str">
        <f>IF(ISNUMBER(F7261),E7261*F7261,"")</f>
        <v/>
      </c>
      <c r="H7261" s="42"/>
      <c r="I7261" s="38"/>
      <c r="J7261" s="37">
        <v>0</v>
      </c>
    </row>
    <row r="7262" spans="1:10" hidden="1" x14ac:dyDescent="0.25">
      <c r="A7262" s="174"/>
      <c r="B7262" s="177"/>
      <c r="C7262" s="43" t="s">
        <v>11458</v>
      </c>
      <c r="D7262" s="43" t="s">
        <v>83</v>
      </c>
      <c r="E7262" s="44">
        <v>1</v>
      </c>
      <c r="F7262" s="38">
        <v>65.692499999999995</v>
      </c>
      <c r="G7262" s="38">
        <f>IF(ISNUMBER(F7262),E7262*F7262,"")</f>
        <v>65.692499999999995</v>
      </c>
      <c r="H7262" s="46">
        <f>SUM(G7262:G7262)</f>
        <v>65.692499999999995</v>
      </c>
      <c r="I7262" s="47"/>
      <c r="J7262" s="37">
        <v>0</v>
      </c>
    </row>
    <row r="7263" spans="1:10" ht="15.75" hidden="1" thickBot="1" x14ac:dyDescent="0.3">
      <c r="A7263" s="175"/>
      <c r="B7263" s="178"/>
      <c r="C7263" s="49"/>
      <c r="D7263" s="49"/>
      <c r="E7263" s="50"/>
      <c r="F7263" s="51" t="s">
        <v>13</v>
      </c>
      <c r="G7263" s="51" t="str">
        <f>IF(ISNUMBER(F7263),E7263*F7263,"")</f>
        <v/>
      </c>
      <c r="H7263" s="53"/>
      <c r="I7263" s="38"/>
      <c r="J7263" s="37">
        <v>0</v>
      </c>
    </row>
    <row r="7264" spans="1:10" ht="15.75" hidden="1" thickBot="1" x14ac:dyDescent="0.3">
      <c r="A7264" s="173" t="s">
        <v>1723</v>
      </c>
      <c r="B7264" s="176" t="s">
        <v>7881</v>
      </c>
      <c r="C7264" s="31"/>
      <c r="D7264" s="32" t="s">
        <v>18</v>
      </c>
      <c r="E7264" s="33"/>
      <c r="F7264" s="54" t="s">
        <v>13</v>
      </c>
      <c r="G7264" s="34" t="str">
        <f>IF(ISNUMBER(F7264),E7264*F7264,"")</f>
        <v/>
      </c>
      <c r="H7264" s="35"/>
      <c r="I7264" s="36"/>
      <c r="J7264" s="37">
        <v>0</v>
      </c>
    </row>
    <row r="7265" spans="1:10" hidden="1" x14ac:dyDescent="0.25">
      <c r="A7265" s="174"/>
      <c r="B7265" s="177"/>
      <c r="C7265" s="39"/>
      <c r="D7265" s="39"/>
      <c r="E7265" s="40"/>
      <c r="F7265" s="55" t="s">
        <v>13</v>
      </c>
      <c r="G7265" s="38" t="str">
        <f>IF(ISNUMBER(F7265),E7265*F7265,"")</f>
        <v/>
      </c>
      <c r="H7265" s="42"/>
      <c r="I7265" s="38"/>
      <c r="J7265" s="37">
        <v>0</v>
      </c>
    </row>
    <row r="7266" spans="1:10" ht="25.5" hidden="1" x14ac:dyDescent="0.25">
      <c r="A7266" s="174"/>
      <c r="B7266" s="177"/>
      <c r="C7266" s="43" t="s">
        <v>11459</v>
      </c>
      <c r="D7266" s="43" t="s">
        <v>83</v>
      </c>
      <c r="E7266" s="44">
        <v>1</v>
      </c>
      <c r="F7266" s="38">
        <v>72.722499999999997</v>
      </c>
      <c r="G7266" s="38">
        <f>IF(ISNUMBER(F7266),E7266*F7266,"")</f>
        <v>72.722499999999997</v>
      </c>
      <c r="H7266" s="46">
        <f>SUM(G7266:G7266)</f>
        <v>72.722499999999997</v>
      </c>
      <c r="I7266" s="47"/>
      <c r="J7266" s="37">
        <v>0</v>
      </c>
    </row>
    <row r="7267" spans="1:10" ht="15.75" hidden="1" thickBot="1" x14ac:dyDescent="0.3">
      <c r="A7267" s="175"/>
      <c r="B7267" s="178"/>
      <c r="C7267" s="49"/>
      <c r="D7267" s="49"/>
      <c r="E7267" s="50"/>
      <c r="F7267" s="51" t="s">
        <v>13</v>
      </c>
      <c r="G7267" s="51" t="str">
        <f>IF(ISNUMBER(F7267),E7267*F7267,"")</f>
        <v/>
      </c>
      <c r="H7267" s="53"/>
      <c r="I7267" s="38"/>
      <c r="J7267" s="37">
        <v>0</v>
      </c>
    </row>
    <row r="7268" spans="1:10" ht="15.75" hidden="1" thickBot="1" x14ac:dyDescent="0.3">
      <c r="A7268" s="173" t="s">
        <v>1724</v>
      </c>
      <c r="B7268" s="176" t="s">
        <v>7882</v>
      </c>
      <c r="C7268" s="31"/>
      <c r="D7268" s="32" t="s">
        <v>18</v>
      </c>
      <c r="E7268" s="33"/>
      <c r="F7268" s="54" t="s">
        <v>13</v>
      </c>
      <c r="G7268" s="34" t="str">
        <f>IF(ISNUMBER(F7268),E7268*F7268,"")</f>
        <v/>
      </c>
      <c r="H7268" s="35"/>
      <c r="I7268" s="36"/>
      <c r="J7268" s="37">
        <v>0</v>
      </c>
    </row>
    <row r="7269" spans="1:10" hidden="1" x14ac:dyDescent="0.25">
      <c r="A7269" s="174"/>
      <c r="B7269" s="177"/>
      <c r="C7269" s="39"/>
      <c r="D7269" s="39"/>
      <c r="E7269" s="40"/>
      <c r="F7269" s="55" t="s">
        <v>13</v>
      </c>
      <c r="G7269" s="38" t="str">
        <f>IF(ISNUMBER(F7269),E7269*F7269,"")</f>
        <v/>
      </c>
      <c r="H7269" s="42"/>
      <c r="I7269" s="38"/>
      <c r="J7269" s="37">
        <v>0</v>
      </c>
    </row>
    <row r="7270" spans="1:10" ht="25.5" hidden="1" x14ac:dyDescent="0.25">
      <c r="A7270" s="174"/>
      <c r="B7270" s="177"/>
      <c r="C7270" s="43" t="s">
        <v>11460</v>
      </c>
      <c r="D7270" s="43" t="s">
        <v>83</v>
      </c>
      <c r="E7270" s="44">
        <v>1</v>
      </c>
      <c r="F7270" s="38">
        <v>4.6550000000000002</v>
      </c>
      <c r="G7270" s="38">
        <f>IF(ISNUMBER(F7270),E7270*F7270,"")</f>
        <v>4.6550000000000002</v>
      </c>
      <c r="H7270" s="46">
        <f>SUM(G7270:G7270)</f>
        <v>4.6550000000000002</v>
      </c>
      <c r="I7270" s="47"/>
      <c r="J7270" s="37">
        <v>0</v>
      </c>
    </row>
    <row r="7271" spans="1:10" ht="15.75" hidden="1" thickBot="1" x14ac:dyDescent="0.3">
      <c r="A7271" s="175"/>
      <c r="B7271" s="178"/>
      <c r="C7271" s="49"/>
      <c r="D7271" s="49"/>
      <c r="E7271" s="50"/>
      <c r="F7271" s="51" t="s">
        <v>13</v>
      </c>
      <c r="G7271" s="51" t="str">
        <f>IF(ISNUMBER(F7271),E7271*F7271,"")</f>
        <v/>
      </c>
      <c r="H7271" s="53"/>
      <c r="I7271" s="38"/>
      <c r="J7271" s="37">
        <v>0</v>
      </c>
    </row>
    <row r="7272" spans="1:10" ht="15.75" hidden="1" thickBot="1" x14ac:dyDescent="0.3">
      <c r="A7272" s="173" t="s">
        <v>1725</v>
      </c>
      <c r="B7272" s="176" t="s">
        <v>7883</v>
      </c>
      <c r="C7272" s="31"/>
      <c r="D7272" s="32" t="s">
        <v>18</v>
      </c>
      <c r="E7272" s="33"/>
      <c r="F7272" s="54" t="s">
        <v>13</v>
      </c>
      <c r="G7272" s="34" t="str">
        <f>IF(ISNUMBER(F7272),E7272*F7272,"")</f>
        <v/>
      </c>
      <c r="H7272" s="35"/>
      <c r="I7272" s="36"/>
      <c r="J7272" s="37">
        <v>0</v>
      </c>
    </row>
    <row r="7273" spans="1:10" hidden="1" x14ac:dyDescent="0.25">
      <c r="A7273" s="174"/>
      <c r="B7273" s="177"/>
      <c r="C7273" s="39"/>
      <c r="D7273" s="39"/>
      <c r="E7273" s="40"/>
      <c r="F7273" s="55" t="s">
        <v>13</v>
      </c>
      <c r="G7273" s="38" t="str">
        <f>IF(ISNUMBER(F7273),E7273*F7273,"")</f>
        <v/>
      </c>
      <c r="H7273" s="42"/>
      <c r="I7273" s="38"/>
      <c r="J7273" s="37">
        <v>0</v>
      </c>
    </row>
    <row r="7274" spans="1:10" ht="25.5" hidden="1" x14ac:dyDescent="0.25">
      <c r="A7274" s="174"/>
      <c r="B7274" s="177"/>
      <c r="C7274" s="43" t="s">
        <v>11461</v>
      </c>
      <c r="D7274" s="43" t="s">
        <v>83</v>
      </c>
      <c r="E7274" s="44">
        <v>1</v>
      </c>
      <c r="F7274" s="38">
        <v>9.3384999999999998</v>
      </c>
      <c r="G7274" s="38">
        <f>IF(ISNUMBER(F7274),E7274*F7274,"")</f>
        <v>9.3384999999999998</v>
      </c>
      <c r="H7274" s="46">
        <f>SUM(G7274:G7274)</f>
        <v>9.3384999999999998</v>
      </c>
      <c r="I7274" s="47"/>
      <c r="J7274" s="37">
        <v>0</v>
      </c>
    </row>
    <row r="7275" spans="1:10" ht="15.75" hidden="1" thickBot="1" x14ac:dyDescent="0.3">
      <c r="A7275" s="175"/>
      <c r="B7275" s="178"/>
      <c r="C7275" s="49"/>
      <c r="D7275" s="49"/>
      <c r="E7275" s="50"/>
      <c r="F7275" s="51" t="s">
        <v>13</v>
      </c>
      <c r="G7275" s="51" t="str">
        <f>IF(ISNUMBER(F7275),E7275*F7275,"")</f>
        <v/>
      </c>
      <c r="H7275" s="53"/>
      <c r="I7275" s="38"/>
      <c r="J7275" s="37">
        <v>0</v>
      </c>
    </row>
    <row r="7276" spans="1:10" ht="15.75" hidden="1" thickBot="1" x14ac:dyDescent="0.3">
      <c r="A7276" s="173" t="s">
        <v>1726</v>
      </c>
      <c r="B7276" s="176" t="s">
        <v>7884</v>
      </c>
      <c r="C7276" s="31"/>
      <c r="D7276" s="32" t="s">
        <v>18</v>
      </c>
      <c r="E7276" s="33"/>
      <c r="F7276" s="54" t="s">
        <v>13</v>
      </c>
      <c r="G7276" s="34" t="str">
        <f>IF(ISNUMBER(F7276),E7276*F7276,"")</f>
        <v/>
      </c>
      <c r="H7276" s="35"/>
      <c r="I7276" s="36"/>
      <c r="J7276" s="37">
        <v>0</v>
      </c>
    </row>
    <row r="7277" spans="1:10" hidden="1" x14ac:dyDescent="0.25">
      <c r="A7277" s="174"/>
      <c r="B7277" s="177"/>
      <c r="C7277" s="39"/>
      <c r="D7277" s="39"/>
      <c r="E7277" s="40"/>
      <c r="F7277" s="55" t="s">
        <v>13</v>
      </c>
      <c r="G7277" s="38" t="str">
        <f>IF(ISNUMBER(F7277),E7277*F7277,"")</f>
        <v/>
      </c>
      <c r="H7277" s="42"/>
      <c r="I7277" s="38"/>
      <c r="J7277" s="37">
        <v>0</v>
      </c>
    </row>
    <row r="7278" spans="1:10" hidden="1" x14ac:dyDescent="0.25">
      <c r="A7278" s="174"/>
      <c r="B7278" s="177"/>
      <c r="C7278" s="43" t="s">
        <v>11462</v>
      </c>
      <c r="D7278" s="43" t="s">
        <v>83</v>
      </c>
      <c r="E7278" s="44">
        <v>1</v>
      </c>
      <c r="F7278" s="38">
        <v>2.2894999999999999</v>
      </c>
      <c r="G7278" s="38">
        <f>IF(ISNUMBER(F7278),E7278*F7278,"")</f>
        <v>2.2894999999999999</v>
      </c>
      <c r="H7278" s="46">
        <f>SUM(G7278:G7278)</f>
        <v>2.2894999999999999</v>
      </c>
      <c r="I7278" s="47"/>
      <c r="J7278" s="37">
        <v>0</v>
      </c>
    </row>
    <row r="7279" spans="1:10" ht="15.75" hidden="1" thickBot="1" x14ac:dyDescent="0.3">
      <c r="A7279" s="175"/>
      <c r="B7279" s="178"/>
      <c r="C7279" s="49"/>
      <c r="D7279" s="49"/>
      <c r="E7279" s="50"/>
      <c r="F7279" s="51" t="s">
        <v>13</v>
      </c>
      <c r="G7279" s="51" t="str">
        <f>IF(ISNUMBER(F7279),E7279*F7279,"")</f>
        <v/>
      </c>
      <c r="H7279" s="53"/>
      <c r="I7279" s="38"/>
      <c r="J7279" s="37">
        <v>0</v>
      </c>
    </row>
    <row r="7280" spans="1:10" ht="15.75" hidden="1" thickBot="1" x14ac:dyDescent="0.3">
      <c r="A7280" s="173" t="s">
        <v>1727</v>
      </c>
      <c r="B7280" s="176" t="s">
        <v>7885</v>
      </c>
      <c r="C7280" s="31"/>
      <c r="D7280" s="32" t="s">
        <v>18</v>
      </c>
      <c r="E7280" s="33"/>
      <c r="F7280" s="54" t="s">
        <v>13</v>
      </c>
      <c r="G7280" s="34" t="str">
        <f>IF(ISNUMBER(F7280),E7280*F7280,"")</f>
        <v/>
      </c>
      <c r="H7280" s="35"/>
      <c r="I7280" s="36"/>
      <c r="J7280" s="37">
        <v>0</v>
      </c>
    </row>
    <row r="7281" spans="1:10" hidden="1" x14ac:dyDescent="0.25">
      <c r="A7281" s="174"/>
      <c r="B7281" s="177"/>
      <c r="C7281" s="39"/>
      <c r="D7281" s="39"/>
      <c r="E7281" s="40"/>
      <c r="F7281" s="55" t="s">
        <v>13</v>
      </c>
      <c r="G7281" s="38" t="str">
        <f>IF(ISNUMBER(F7281),E7281*F7281,"")</f>
        <v/>
      </c>
      <c r="H7281" s="42"/>
      <c r="I7281" s="38"/>
      <c r="J7281" s="37">
        <v>0</v>
      </c>
    </row>
    <row r="7282" spans="1:10" hidden="1" x14ac:dyDescent="0.25">
      <c r="A7282" s="174"/>
      <c r="B7282" s="177"/>
      <c r="C7282" s="43" t="s">
        <v>11463</v>
      </c>
      <c r="D7282" s="43" t="s">
        <v>83</v>
      </c>
      <c r="E7282" s="44">
        <v>1</v>
      </c>
      <c r="F7282" s="38">
        <v>5.1014999999999997</v>
      </c>
      <c r="G7282" s="38">
        <f>IF(ISNUMBER(F7282),E7282*F7282,"")</f>
        <v>5.1014999999999997</v>
      </c>
      <c r="H7282" s="46">
        <f>SUM(G7282:G7282)</f>
        <v>5.1014999999999997</v>
      </c>
      <c r="I7282" s="47"/>
      <c r="J7282" s="37">
        <v>0</v>
      </c>
    </row>
    <row r="7283" spans="1:10" ht="15.75" hidden="1" thickBot="1" x14ac:dyDescent="0.3">
      <c r="A7283" s="175"/>
      <c r="B7283" s="178"/>
      <c r="C7283" s="49"/>
      <c r="D7283" s="49"/>
      <c r="E7283" s="50"/>
      <c r="F7283" s="51" t="s">
        <v>13</v>
      </c>
      <c r="G7283" s="51" t="str">
        <f>IF(ISNUMBER(F7283),E7283*F7283,"")</f>
        <v/>
      </c>
      <c r="H7283" s="53"/>
      <c r="I7283" s="38"/>
      <c r="J7283" s="37">
        <v>0</v>
      </c>
    </row>
    <row r="7284" spans="1:10" ht="15.75" hidden="1" thickBot="1" x14ac:dyDescent="0.3">
      <c r="A7284" s="173" t="s">
        <v>1728</v>
      </c>
      <c r="B7284" s="176" t="s">
        <v>7886</v>
      </c>
      <c r="C7284" s="31"/>
      <c r="D7284" s="32" t="s">
        <v>18</v>
      </c>
      <c r="E7284" s="33"/>
      <c r="F7284" s="54" t="s">
        <v>13</v>
      </c>
      <c r="G7284" s="34" t="str">
        <f>IF(ISNUMBER(F7284),E7284*F7284,"")</f>
        <v/>
      </c>
      <c r="H7284" s="35"/>
      <c r="I7284" s="36"/>
      <c r="J7284" s="37">
        <v>0</v>
      </c>
    </row>
    <row r="7285" spans="1:10" hidden="1" x14ac:dyDescent="0.25">
      <c r="A7285" s="174"/>
      <c r="B7285" s="177"/>
      <c r="C7285" s="39"/>
      <c r="D7285" s="39"/>
      <c r="E7285" s="40"/>
      <c r="F7285" s="55" t="s">
        <v>13</v>
      </c>
      <c r="G7285" s="38" t="str">
        <f>IF(ISNUMBER(F7285),E7285*F7285,"")</f>
        <v/>
      </c>
      <c r="H7285" s="42"/>
      <c r="I7285" s="38"/>
      <c r="J7285" s="37">
        <v>0</v>
      </c>
    </row>
    <row r="7286" spans="1:10" hidden="1" x14ac:dyDescent="0.25">
      <c r="A7286" s="174"/>
      <c r="B7286" s="177"/>
      <c r="C7286" s="43" t="s">
        <v>11464</v>
      </c>
      <c r="D7286" s="43" t="s">
        <v>83</v>
      </c>
      <c r="E7286" s="44">
        <v>1</v>
      </c>
      <c r="F7286" s="38">
        <v>13.3475</v>
      </c>
      <c r="G7286" s="38">
        <f>IF(ISNUMBER(F7286),E7286*F7286,"")</f>
        <v>13.3475</v>
      </c>
      <c r="H7286" s="46">
        <f>SUM(G7286:G7286)</f>
        <v>13.3475</v>
      </c>
      <c r="I7286" s="47"/>
      <c r="J7286" s="37">
        <v>0</v>
      </c>
    </row>
    <row r="7287" spans="1:10" ht="15.75" hidden="1" thickBot="1" x14ac:dyDescent="0.3">
      <c r="A7287" s="175"/>
      <c r="B7287" s="178"/>
      <c r="C7287" s="49"/>
      <c r="D7287" s="49"/>
      <c r="E7287" s="50"/>
      <c r="F7287" s="51" t="s">
        <v>13</v>
      </c>
      <c r="G7287" s="51" t="str">
        <f>IF(ISNUMBER(F7287),E7287*F7287,"")</f>
        <v/>
      </c>
      <c r="H7287" s="53"/>
      <c r="I7287" s="38"/>
      <c r="J7287" s="37">
        <v>0</v>
      </c>
    </row>
    <row r="7288" spans="1:10" ht="15.75" hidden="1" thickBot="1" x14ac:dyDescent="0.3">
      <c r="A7288" s="173" t="s">
        <v>1729</v>
      </c>
      <c r="B7288" s="176" t="s">
        <v>7887</v>
      </c>
      <c r="C7288" s="31"/>
      <c r="D7288" s="32" t="s">
        <v>18</v>
      </c>
      <c r="E7288" s="33"/>
      <c r="F7288" s="54" t="s">
        <v>13</v>
      </c>
      <c r="G7288" s="34" t="str">
        <f>IF(ISNUMBER(F7288),E7288*F7288,"")</f>
        <v/>
      </c>
      <c r="H7288" s="35"/>
      <c r="I7288" s="36"/>
      <c r="J7288" s="37">
        <v>0</v>
      </c>
    </row>
    <row r="7289" spans="1:10" hidden="1" x14ac:dyDescent="0.25">
      <c r="A7289" s="174"/>
      <c r="B7289" s="177"/>
      <c r="C7289" s="39"/>
      <c r="D7289" s="39"/>
      <c r="E7289" s="40"/>
      <c r="F7289" s="55" t="s">
        <v>13</v>
      </c>
      <c r="G7289" s="38" t="str">
        <f>IF(ISNUMBER(F7289),E7289*F7289,"")</f>
        <v/>
      </c>
      <c r="H7289" s="42"/>
      <c r="I7289" s="38"/>
      <c r="J7289" s="37">
        <v>0</v>
      </c>
    </row>
    <row r="7290" spans="1:10" hidden="1" x14ac:dyDescent="0.25">
      <c r="A7290" s="174"/>
      <c r="B7290" s="177"/>
      <c r="C7290" s="43" t="s">
        <v>1730</v>
      </c>
      <c r="D7290" s="62" t="s">
        <v>18</v>
      </c>
      <c r="E7290" s="44">
        <v>1</v>
      </c>
      <c r="F7290" s="38" t="s">
        <v>13</v>
      </c>
      <c r="G7290" s="38" t="str">
        <f>IF(ISNUMBER(F7290),E7290*F7290,"")</f>
        <v/>
      </c>
      <c r="H7290" s="46">
        <f>SUM(G7290:G7290)</f>
        <v>0</v>
      </c>
      <c r="I7290" s="47"/>
      <c r="J7290" s="37">
        <v>0</v>
      </c>
    </row>
    <row r="7291" spans="1:10" ht="15.75" hidden="1" thickBot="1" x14ac:dyDescent="0.3">
      <c r="A7291" s="175"/>
      <c r="B7291" s="178"/>
      <c r="C7291" s="49"/>
      <c r="D7291" s="49"/>
      <c r="E7291" s="50"/>
      <c r="F7291" s="51" t="s">
        <v>13</v>
      </c>
      <c r="G7291" s="51" t="str">
        <f>IF(ISNUMBER(F7291),E7291*F7291,"")</f>
        <v/>
      </c>
      <c r="H7291" s="53"/>
      <c r="I7291" s="38"/>
      <c r="J7291" s="37">
        <v>0</v>
      </c>
    </row>
    <row r="7292" spans="1:10" ht="15.75" hidden="1" thickBot="1" x14ac:dyDescent="0.3">
      <c r="A7292" s="173" t="s">
        <v>1731</v>
      </c>
      <c r="B7292" s="176" t="s">
        <v>7888</v>
      </c>
      <c r="C7292" s="31"/>
      <c r="D7292" s="32" t="s">
        <v>18</v>
      </c>
      <c r="E7292" s="33"/>
      <c r="F7292" s="54" t="s">
        <v>13</v>
      </c>
      <c r="G7292" s="34" t="str">
        <f>IF(ISNUMBER(F7292),E7292*F7292,"")</f>
        <v/>
      </c>
      <c r="H7292" s="35"/>
      <c r="I7292" s="36"/>
      <c r="J7292" s="37">
        <v>0</v>
      </c>
    </row>
    <row r="7293" spans="1:10" hidden="1" x14ac:dyDescent="0.25">
      <c r="A7293" s="174"/>
      <c r="B7293" s="177"/>
      <c r="C7293" s="39"/>
      <c r="D7293" s="39"/>
      <c r="E7293" s="40"/>
      <c r="F7293" s="55" t="s">
        <v>13</v>
      </c>
      <c r="G7293" s="38" t="str">
        <f>IF(ISNUMBER(F7293),E7293*F7293,"")</f>
        <v/>
      </c>
      <c r="H7293" s="42"/>
      <c r="I7293" s="38"/>
      <c r="J7293" s="37">
        <v>0</v>
      </c>
    </row>
    <row r="7294" spans="1:10" hidden="1" x14ac:dyDescent="0.25">
      <c r="A7294" s="174"/>
      <c r="B7294" s="177"/>
      <c r="C7294" s="43" t="s">
        <v>11465</v>
      </c>
      <c r="D7294" s="43" t="s">
        <v>83</v>
      </c>
      <c r="E7294" s="44">
        <v>1</v>
      </c>
      <c r="F7294" s="38">
        <v>14.905499999999998</v>
      </c>
      <c r="G7294" s="38">
        <f>IF(ISNUMBER(F7294),E7294*F7294,"")</f>
        <v>14.905499999999998</v>
      </c>
      <c r="H7294" s="46">
        <f>SUM(G7294:G7294)</f>
        <v>14.905499999999998</v>
      </c>
      <c r="I7294" s="47"/>
      <c r="J7294" s="37">
        <v>0</v>
      </c>
    </row>
    <row r="7295" spans="1:10" ht="15.75" hidden="1" thickBot="1" x14ac:dyDescent="0.3">
      <c r="A7295" s="175"/>
      <c r="B7295" s="178"/>
      <c r="C7295" s="49"/>
      <c r="D7295" s="49"/>
      <c r="E7295" s="50"/>
      <c r="F7295" s="51" t="s">
        <v>13</v>
      </c>
      <c r="G7295" s="51" t="str">
        <f>IF(ISNUMBER(F7295),E7295*F7295,"")</f>
        <v/>
      </c>
      <c r="H7295" s="53"/>
      <c r="I7295" s="38"/>
      <c r="J7295" s="37">
        <v>0</v>
      </c>
    </row>
    <row r="7296" spans="1:10" ht="15.75" hidden="1" thickBot="1" x14ac:dyDescent="0.3">
      <c r="A7296" s="173" t="s">
        <v>1732</v>
      </c>
      <c r="B7296" s="176" t="s">
        <v>7889</v>
      </c>
      <c r="C7296" s="31"/>
      <c r="D7296" s="32" t="s">
        <v>18</v>
      </c>
      <c r="E7296" s="33"/>
      <c r="F7296" s="54" t="s">
        <v>13</v>
      </c>
      <c r="G7296" s="34" t="str">
        <f>IF(ISNUMBER(F7296),E7296*F7296,"")</f>
        <v/>
      </c>
      <c r="H7296" s="35"/>
      <c r="I7296" s="36"/>
      <c r="J7296" s="37">
        <v>0</v>
      </c>
    </row>
    <row r="7297" spans="1:10" hidden="1" x14ac:dyDescent="0.25">
      <c r="A7297" s="174"/>
      <c r="B7297" s="177"/>
      <c r="C7297" s="39"/>
      <c r="D7297" s="39"/>
      <c r="E7297" s="40"/>
      <c r="F7297" s="55" t="s">
        <v>13</v>
      </c>
      <c r="G7297" s="38" t="str">
        <f>IF(ISNUMBER(F7297),E7297*F7297,"")</f>
        <v/>
      </c>
      <c r="H7297" s="42"/>
      <c r="I7297" s="38"/>
      <c r="J7297" s="37">
        <v>0</v>
      </c>
    </row>
    <row r="7298" spans="1:10" hidden="1" x14ac:dyDescent="0.25">
      <c r="A7298" s="174"/>
      <c r="B7298" s="177"/>
      <c r="C7298" s="43" t="s">
        <v>11466</v>
      </c>
      <c r="D7298" s="43" t="s">
        <v>83</v>
      </c>
      <c r="E7298" s="44">
        <v>1</v>
      </c>
      <c r="F7298" s="38">
        <v>80.256</v>
      </c>
      <c r="G7298" s="38">
        <f>IF(ISNUMBER(F7298),E7298*F7298,"")</f>
        <v>80.256</v>
      </c>
      <c r="H7298" s="46">
        <f>SUM(G7298:G7298)</f>
        <v>80.256</v>
      </c>
      <c r="I7298" s="47"/>
      <c r="J7298" s="37">
        <v>0</v>
      </c>
    </row>
    <row r="7299" spans="1:10" ht="15.75" hidden="1" thickBot="1" x14ac:dyDescent="0.3">
      <c r="A7299" s="175"/>
      <c r="B7299" s="178"/>
      <c r="C7299" s="49"/>
      <c r="D7299" s="49"/>
      <c r="E7299" s="50"/>
      <c r="F7299" s="51" t="s">
        <v>13</v>
      </c>
      <c r="G7299" s="51" t="str">
        <f>IF(ISNUMBER(F7299),E7299*F7299,"")</f>
        <v/>
      </c>
      <c r="H7299" s="53"/>
      <c r="I7299" s="38"/>
      <c r="J7299" s="37">
        <v>0</v>
      </c>
    </row>
    <row r="7300" spans="1:10" ht="15.75" hidden="1" thickBot="1" x14ac:dyDescent="0.3">
      <c r="A7300" s="173" t="s">
        <v>1733</v>
      </c>
      <c r="B7300" s="176" t="s">
        <v>7890</v>
      </c>
      <c r="C7300" s="31"/>
      <c r="D7300" s="32" t="s">
        <v>18</v>
      </c>
      <c r="E7300" s="33"/>
      <c r="F7300" s="54" t="s">
        <v>13</v>
      </c>
      <c r="G7300" s="34" t="str">
        <f>IF(ISNUMBER(F7300),E7300*F7300,"")</f>
        <v/>
      </c>
      <c r="H7300" s="35"/>
      <c r="I7300" s="36"/>
      <c r="J7300" s="37">
        <v>0</v>
      </c>
    </row>
    <row r="7301" spans="1:10" hidden="1" x14ac:dyDescent="0.25">
      <c r="A7301" s="174"/>
      <c r="B7301" s="177"/>
      <c r="C7301" s="39"/>
      <c r="D7301" s="39"/>
      <c r="E7301" s="40"/>
      <c r="F7301" s="55" t="s">
        <v>13</v>
      </c>
      <c r="G7301" s="38" t="str">
        <f>IF(ISNUMBER(F7301),E7301*F7301,"")</f>
        <v/>
      </c>
      <c r="H7301" s="42"/>
      <c r="I7301" s="38"/>
      <c r="J7301" s="37">
        <v>0</v>
      </c>
    </row>
    <row r="7302" spans="1:10" hidden="1" x14ac:dyDescent="0.25">
      <c r="A7302" s="174"/>
      <c r="B7302" s="177"/>
      <c r="C7302" s="43" t="s">
        <v>11467</v>
      </c>
      <c r="D7302" s="43" t="s">
        <v>83</v>
      </c>
      <c r="E7302" s="44">
        <v>1</v>
      </c>
      <c r="F7302" s="38">
        <v>192.98299999999998</v>
      </c>
      <c r="G7302" s="38">
        <f>IF(ISNUMBER(F7302),E7302*F7302,"")</f>
        <v>192.98299999999998</v>
      </c>
      <c r="H7302" s="46">
        <f>SUM(G7302:G7302)</f>
        <v>192.98299999999998</v>
      </c>
      <c r="I7302" s="47"/>
      <c r="J7302" s="37">
        <v>0</v>
      </c>
    </row>
    <row r="7303" spans="1:10" ht="15.75" hidden="1" thickBot="1" x14ac:dyDescent="0.3">
      <c r="A7303" s="175"/>
      <c r="B7303" s="178"/>
      <c r="C7303" s="49"/>
      <c r="D7303" s="49"/>
      <c r="E7303" s="50"/>
      <c r="F7303" s="51" t="s">
        <v>13</v>
      </c>
      <c r="G7303" s="51" t="str">
        <f>IF(ISNUMBER(F7303),E7303*F7303,"")</f>
        <v/>
      </c>
      <c r="H7303" s="53"/>
      <c r="I7303" s="38"/>
      <c r="J7303" s="37">
        <v>0</v>
      </c>
    </row>
    <row r="7304" spans="1:10" ht="15.75" hidden="1" thickBot="1" x14ac:dyDescent="0.3">
      <c r="A7304" s="173" t="s">
        <v>1734</v>
      </c>
      <c r="B7304" s="176" t="s">
        <v>7961</v>
      </c>
      <c r="C7304" s="31"/>
      <c r="D7304" s="32" t="s">
        <v>3982</v>
      </c>
      <c r="E7304" s="33"/>
      <c r="F7304" s="54" t="s">
        <v>13</v>
      </c>
      <c r="G7304" s="34" t="str">
        <f>IF(ISNUMBER(F7304),E7304*F7304,"")</f>
        <v/>
      </c>
      <c r="H7304" s="35"/>
      <c r="I7304" s="36"/>
      <c r="J7304" s="37">
        <v>0</v>
      </c>
    </row>
    <row r="7305" spans="1:10" hidden="1" x14ac:dyDescent="0.25">
      <c r="A7305" s="174"/>
      <c r="B7305" s="177"/>
      <c r="C7305" s="39"/>
      <c r="D7305" s="39"/>
      <c r="E7305" s="40"/>
      <c r="F7305" s="55" t="s">
        <v>13</v>
      </c>
      <c r="G7305" s="41" t="str">
        <f>IF(ISNUMBER(F7305),E7305*F7305,"")</f>
        <v/>
      </c>
      <c r="H7305" s="42"/>
      <c r="I7305" s="38"/>
      <c r="J7305" s="37">
        <v>0</v>
      </c>
    </row>
    <row r="7306" spans="1:10" ht="25.5" hidden="1" x14ac:dyDescent="0.25">
      <c r="A7306" s="174"/>
      <c r="B7306" s="177"/>
      <c r="C7306" s="43" t="s">
        <v>10611</v>
      </c>
      <c r="D7306" s="43" t="s">
        <v>2800</v>
      </c>
      <c r="E7306" s="44" t="e">
        <f>IF(#REF!="Desonerado",ROUND(220/(1+'[1]Serviços SINAPI'!$E$6),4),ROUND(220/(1+'[1]Serviços SINAPI'!$F$6),4))</f>
        <v>#REF!</v>
      </c>
      <c r="F7306" s="38">
        <v>142.75650000000002</v>
      </c>
      <c r="G7306" s="41" t="e">
        <f>IF(ISNUMBER(F7306),E7306*F7306,"")</f>
        <v>#REF!</v>
      </c>
      <c r="H7306" s="46" t="e">
        <f>SUM(G7306:G7306)</f>
        <v>#REF!</v>
      </c>
      <c r="I7306" s="47"/>
      <c r="J7306" s="37">
        <v>0</v>
      </c>
    </row>
    <row r="7307" spans="1:10" hidden="1" x14ac:dyDescent="0.25">
      <c r="A7307" s="174"/>
      <c r="B7307" s="177"/>
      <c r="C7307" s="43"/>
      <c r="D7307" s="62"/>
      <c r="E7307" s="44"/>
      <c r="F7307" s="38" t="s">
        <v>13</v>
      </c>
      <c r="G7307" s="41" t="str">
        <f>IF(ISNUMBER(F7307),E7307*F7307,"")</f>
        <v/>
      </c>
      <c r="H7307" s="42"/>
      <c r="I7307" s="47"/>
      <c r="J7307" s="37">
        <v>0</v>
      </c>
    </row>
    <row r="7308" spans="1:10" ht="25.5" hidden="1" x14ac:dyDescent="0.25">
      <c r="A7308" s="174"/>
      <c r="B7308" s="177"/>
      <c r="C7308" s="4" t="s">
        <v>668</v>
      </c>
      <c r="D7308" s="62"/>
      <c r="E7308" s="44"/>
      <c r="F7308" s="38" t="s">
        <v>13</v>
      </c>
      <c r="G7308" s="41" t="str">
        <f>IF(ISNUMBER(F7308),E7308*F7308,"")</f>
        <v/>
      </c>
      <c r="H7308" s="42"/>
      <c r="I7308" s="47"/>
      <c r="J7308" s="37">
        <v>0</v>
      </c>
    </row>
    <row r="7309" spans="1:10" ht="15.75" hidden="1" thickBot="1" x14ac:dyDescent="0.3">
      <c r="A7309" s="175"/>
      <c r="B7309" s="178"/>
      <c r="C7309" s="49"/>
      <c r="D7309" s="49"/>
      <c r="E7309" s="50"/>
      <c r="F7309" s="51" t="s">
        <v>13</v>
      </c>
      <c r="G7309" s="52" t="str">
        <f>IF(ISNUMBER(F7309),E7309*F7309,"")</f>
        <v/>
      </c>
      <c r="H7309" s="53"/>
      <c r="I7309" s="38"/>
      <c r="J7309" s="37">
        <v>0</v>
      </c>
    </row>
    <row r="7310" spans="1:10" ht="15.75" hidden="1" thickBot="1" x14ac:dyDescent="0.3">
      <c r="A7310" s="173" t="s">
        <v>1735</v>
      </c>
      <c r="B7310" s="176" t="s">
        <v>7962</v>
      </c>
      <c r="C7310" s="31"/>
      <c r="D7310" s="32" t="s">
        <v>3982</v>
      </c>
      <c r="E7310" s="33"/>
      <c r="F7310" s="54" t="s">
        <v>13</v>
      </c>
      <c r="G7310" s="34" t="str">
        <f>IF(ISNUMBER(F7310),E7310*F7310,"")</f>
        <v/>
      </c>
      <c r="H7310" s="35"/>
      <c r="I7310" s="36"/>
      <c r="J7310" s="37">
        <v>0</v>
      </c>
    </row>
    <row r="7311" spans="1:10" hidden="1" x14ac:dyDescent="0.25">
      <c r="A7311" s="174"/>
      <c r="B7311" s="177"/>
      <c r="C7311" s="39"/>
      <c r="D7311" s="39"/>
      <c r="E7311" s="40"/>
      <c r="F7311" s="55" t="s">
        <v>13</v>
      </c>
      <c r="G7311" s="41" t="str">
        <f>IF(ISNUMBER(F7311),E7311*F7311,"")</f>
        <v/>
      </c>
      <c r="H7311" s="42"/>
      <c r="I7311" s="38"/>
      <c r="J7311" s="37">
        <v>0</v>
      </c>
    </row>
    <row r="7312" spans="1:10" ht="25.5" hidden="1" x14ac:dyDescent="0.25">
      <c r="A7312" s="174"/>
      <c r="B7312" s="177"/>
      <c r="C7312" s="43" t="s">
        <v>10611</v>
      </c>
      <c r="D7312" s="43" t="s">
        <v>2800</v>
      </c>
      <c r="E7312" s="44" t="e">
        <f>IF(#REF!="Desonerado",ROUND(220/(1+'[1]Serviços SINAPI'!$E$6),4),ROUND(220/(1+'[1]Serviços SINAPI'!$F$6),4))</f>
        <v>#REF!</v>
      </c>
      <c r="F7312" s="38">
        <v>142.75650000000002</v>
      </c>
      <c r="G7312" s="41" t="e">
        <f>IF(ISNUMBER(F7312),E7312*F7312,"")</f>
        <v>#REF!</v>
      </c>
      <c r="H7312" s="46" t="e">
        <f>SUM(G7312:G7312)</f>
        <v>#REF!</v>
      </c>
      <c r="I7312" s="47"/>
      <c r="J7312" s="37">
        <v>0</v>
      </c>
    </row>
    <row r="7313" spans="1:10" hidden="1" x14ac:dyDescent="0.25">
      <c r="A7313" s="174"/>
      <c r="B7313" s="177"/>
      <c r="C7313" s="43"/>
      <c r="D7313" s="62"/>
      <c r="E7313" s="44"/>
      <c r="F7313" s="38" t="s">
        <v>13</v>
      </c>
      <c r="G7313" s="41" t="str">
        <f>IF(ISNUMBER(F7313),E7313*F7313,"")</f>
        <v/>
      </c>
      <c r="H7313" s="42"/>
      <c r="I7313" s="47"/>
      <c r="J7313" s="37">
        <v>0</v>
      </c>
    </row>
    <row r="7314" spans="1:10" ht="25.5" hidden="1" x14ac:dyDescent="0.25">
      <c r="A7314" s="174"/>
      <c r="B7314" s="177"/>
      <c r="C7314" s="4" t="s">
        <v>668</v>
      </c>
      <c r="D7314" s="62"/>
      <c r="E7314" s="44"/>
      <c r="F7314" s="38" t="s">
        <v>13</v>
      </c>
      <c r="G7314" s="41" t="str">
        <f>IF(ISNUMBER(F7314),E7314*F7314,"")</f>
        <v/>
      </c>
      <c r="H7314" s="42"/>
      <c r="I7314" s="47"/>
      <c r="J7314" s="37">
        <v>0</v>
      </c>
    </row>
    <row r="7315" spans="1:10" ht="15.75" hidden="1" thickBot="1" x14ac:dyDescent="0.3">
      <c r="A7315" s="175"/>
      <c r="B7315" s="178"/>
      <c r="C7315" s="49"/>
      <c r="D7315" s="49"/>
      <c r="E7315" s="50"/>
      <c r="F7315" s="51" t="s">
        <v>13</v>
      </c>
      <c r="G7315" s="52" t="str">
        <f>IF(ISNUMBER(F7315),E7315*F7315,"")</f>
        <v/>
      </c>
      <c r="H7315" s="53"/>
      <c r="I7315" s="38"/>
      <c r="J7315" s="37">
        <v>0</v>
      </c>
    </row>
    <row r="7316" spans="1:10" ht="15.75" hidden="1" thickBot="1" x14ac:dyDescent="0.3">
      <c r="A7316" s="173" t="s">
        <v>1736</v>
      </c>
      <c r="B7316" s="176" t="s">
        <v>7963</v>
      </c>
      <c r="C7316" s="31"/>
      <c r="D7316" s="32" t="s">
        <v>3982</v>
      </c>
      <c r="E7316" s="33"/>
      <c r="F7316" s="54" t="s">
        <v>13</v>
      </c>
      <c r="G7316" s="34" t="str">
        <f>IF(ISNUMBER(F7316),E7316*F7316,"")</f>
        <v/>
      </c>
      <c r="H7316" s="35"/>
      <c r="I7316" s="36"/>
      <c r="J7316" s="37">
        <v>0</v>
      </c>
    </row>
    <row r="7317" spans="1:10" hidden="1" x14ac:dyDescent="0.25">
      <c r="A7317" s="174"/>
      <c r="B7317" s="177"/>
      <c r="C7317" s="39"/>
      <c r="D7317" s="39"/>
      <c r="E7317" s="40"/>
      <c r="F7317" s="55" t="s">
        <v>13</v>
      </c>
      <c r="G7317" s="41" t="str">
        <f>IF(ISNUMBER(F7317),E7317*F7317,"")</f>
        <v/>
      </c>
      <c r="H7317" s="42"/>
      <c r="I7317" s="38"/>
      <c r="J7317" s="37">
        <v>0</v>
      </c>
    </row>
    <row r="7318" spans="1:10" hidden="1" x14ac:dyDescent="0.25">
      <c r="A7318" s="174"/>
      <c r="B7318" s="177"/>
      <c r="C7318" s="43" t="s">
        <v>10844</v>
      </c>
      <c r="D7318" s="43" t="s">
        <v>2800</v>
      </c>
      <c r="E7318" s="44" t="e">
        <f>IF(#REF!="Desonerado",ROUND(220/(1+'[1]Serviços SINAPI'!$E$6),4),ROUND(220/(1+'[1]Serviços SINAPI'!$F$6),4))</f>
        <v>#REF!</v>
      </c>
      <c r="F7318" s="38">
        <v>25.1845</v>
      </c>
      <c r="G7318" s="41" t="e">
        <f>IF(ISNUMBER(F7318),E7318*F7318,"")</f>
        <v>#REF!</v>
      </c>
      <c r="H7318" s="46" t="e">
        <f>SUM(G7318:G7318)</f>
        <v>#REF!</v>
      </c>
      <c r="I7318" s="47"/>
      <c r="J7318" s="37">
        <v>0</v>
      </c>
    </row>
    <row r="7319" spans="1:10" hidden="1" x14ac:dyDescent="0.25">
      <c r="A7319" s="174"/>
      <c r="B7319" s="177"/>
      <c r="C7319" s="43"/>
      <c r="D7319" s="62"/>
      <c r="E7319" s="44"/>
      <c r="F7319" s="38" t="s">
        <v>13</v>
      </c>
      <c r="G7319" s="41" t="str">
        <f>IF(ISNUMBER(F7319),E7319*F7319,"")</f>
        <v/>
      </c>
      <c r="H7319" s="42"/>
      <c r="I7319" s="47"/>
      <c r="J7319" s="37">
        <v>0</v>
      </c>
    </row>
    <row r="7320" spans="1:10" ht="25.5" hidden="1" x14ac:dyDescent="0.25">
      <c r="A7320" s="174"/>
      <c r="B7320" s="177"/>
      <c r="C7320" s="4" t="s">
        <v>668</v>
      </c>
      <c r="D7320" s="62"/>
      <c r="E7320" s="44"/>
      <c r="F7320" s="38" t="s">
        <v>13</v>
      </c>
      <c r="G7320" s="41" t="str">
        <f>IF(ISNUMBER(F7320),E7320*F7320,"")</f>
        <v/>
      </c>
      <c r="H7320" s="42"/>
      <c r="I7320" s="47"/>
      <c r="J7320" s="37">
        <v>0</v>
      </c>
    </row>
    <row r="7321" spans="1:10" ht="15.75" hidden="1" thickBot="1" x14ac:dyDescent="0.3">
      <c r="A7321" s="175"/>
      <c r="B7321" s="178"/>
      <c r="C7321" s="49"/>
      <c r="D7321" s="49"/>
      <c r="E7321" s="50"/>
      <c r="F7321" s="51" t="s">
        <v>13</v>
      </c>
      <c r="G7321" s="52" t="str">
        <f>IF(ISNUMBER(F7321),E7321*F7321,"")</f>
        <v/>
      </c>
      <c r="H7321" s="53"/>
      <c r="I7321" s="38"/>
      <c r="J7321" s="37">
        <v>0</v>
      </c>
    </row>
    <row r="7322" spans="1:10" ht="15.75" hidden="1" thickBot="1" x14ac:dyDescent="0.3">
      <c r="A7322" s="173" t="s">
        <v>1737</v>
      </c>
      <c r="B7322" s="176" t="s">
        <v>7964</v>
      </c>
      <c r="C7322" s="31"/>
      <c r="D7322" s="32" t="s">
        <v>3982</v>
      </c>
      <c r="E7322" s="33"/>
      <c r="F7322" s="54" t="s">
        <v>13</v>
      </c>
      <c r="G7322" s="34" t="str">
        <f>IF(ISNUMBER(F7322),E7322*F7322,"")</f>
        <v/>
      </c>
      <c r="H7322" s="35"/>
      <c r="I7322" s="36"/>
      <c r="J7322" s="37">
        <v>0</v>
      </c>
    </row>
    <row r="7323" spans="1:10" hidden="1" x14ac:dyDescent="0.25">
      <c r="A7323" s="174"/>
      <c r="B7323" s="177"/>
      <c r="C7323" s="39"/>
      <c r="D7323" s="39"/>
      <c r="E7323" s="40"/>
      <c r="F7323" s="55" t="s">
        <v>13</v>
      </c>
      <c r="G7323" s="41" t="str">
        <f>IF(ISNUMBER(F7323),E7323*F7323,"")</f>
        <v/>
      </c>
      <c r="H7323" s="42"/>
      <c r="I7323" s="38"/>
      <c r="J7323" s="37">
        <v>0</v>
      </c>
    </row>
    <row r="7324" spans="1:10" ht="25.5" hidden="1" x14ac:dyDescent="0.25">
      <c r="A7324" s="174"/>
      <c r="B7324" s="177"/>
      <c r="C7324" s="43" t="s">
        <v>10754</v>
      </c>
      <c r="D7324" s="43" t="s">
        <v>2800</v>
      </c>
      <c r="E7324" s="44" t="e">
        <f>IF(#REF!="Desonerado",ROUND(220/(1+'[1]Serviços SINAPI'!$E$6),4),ROUND(220/(1+'[1]Serviços SINAPI'!$F$6),4))</f>
        <v>#REF!</v>
      </c>
      <c r="F7324" s="38">
        <v>30.361999999999998</v>
      </c>
      <c r="G7324" s="41" t="e">
        <f>IF(ISNUMBER(F7324),E7324*F7324,"")</f>
        <v>#REF!</v>
      </c>
      <c r="H7324" s="46" t="e">
        <f>SUM(G7324:G7324)</f>
        <v>#REF!</v>
      </c>
      <c r="I7324" s="47"/>
      <c r="J7324" s="37">
        <v>0</v>
      </c>
    </row>
    <row r="7325" spans="1:10" hidden="1" x14ac:dyDescent="0.25">
      <c r="A7325" s="174"/>
      <c r="B7325" s="177"/>
      <c r="C7325" s="43"/>
      <c r="D7325" s="62"/>
      <c r="E7325" s="44"/>
      <c r="F7325" s="38" t="s">
        <v>13</v>
      </c>
      <c r="G7325" s="41" t="str">
        <f>IF(ISNUMBER(F7325),E7325*F7325,"")</f>
        <v/>
      </c>
      <c r="H7325" s="42"/>
      <c r="I7325" s="47"/>
      <c r="J7325" s="37">
        <v>0</v>
      </c>
    </row>
    <row r="7326" spans="1:10" ht="25.5" hidden="1" x14ac:dyDescent="0.25">
      <c r="A7326" s="174"/>
      <c r="B7326" s="177"/>
      <c r="C7326" s="4" t="s">
        <v>668</v>
      </c>
      <c r="D7326" s="62"/>
      <c r="E7326" s="44"/>
      <c r="F7326" s="38" t="s">
        <v>13</v>
      </c>
      <c r="G7326" s="41" t="str">
        <f>IF(ISNUMBER(F7326),E7326*F7326,"")</f>
        <v/>
      </c>
      <c r="H7326" s="42"/>
      <c r="I7326" s="47"/>
      <c r="J7326" s="37">
        <v>0</v>
      </c>
    </row>
    <row r="7327" spans="1:10" ht="15.75" hidden="1" thickBot="1" x14ac:dyDescent="0.3">
      <c r="A7327" s="175"/>
      <c r="B7327" s="178"/>
      <c r="C7327" s="49"/>
      <c r="D7327" s="49"/>
      <c r="E7327" s="50"/>
      <c r="F7327" s="51" t="s">
        <v>13</v>
      </c>
      <c r="G7327" s="52" t="str">
        <f>IF(ISNUMBER(F7327),E7327*F7327,"")</f>
        <v/>
      </c>
      <c r="H7327" s="53"/>
      <c r="I7327" s="38"/>
      <c r="J7327" s="37">
        <v>0</v>
      </c>
    </row>
    <row r="7328" spans="1:10" ht="15.75" hidden="1" thickBot="1" x14ac:dyDescent="0.3">
      <c r="A7328" s="173" t="s">
        <v>1738</v>
      </c>
      <c r="B7328" s="176" t="s">
        <v>7965</v>
      </c>
      <c r="C7328" s="31"/>
      <c r="D7328" s="32" t="s">
        <v>3982</v>
      </c>
      <c r="E7328" s="33"/>
      <c r="F7328" s="54" t="s">
        <v>13</v>
      </c>
      <c r="G7328" s="34" t="str">
        <f>IF(ISNUMBER(F7328),E7328*F7328,"")</f>
        <v/>
      </c>
      <c r="H7328" s="35"/>
      <c r="I7328" s="36"/>
      <c r="J7328" s="37">
        <v>0</v>
      </c>
    </row>
    <row r="7329" spans="1:10" hidden="1" x14ac:dyDescent="0.25">
      <c r="A7329" s="174"/>
      <c r="B7329" s="177"/>
      <c r="C7329" s="39"/>
      <c r="D7329" s="39"/>
      <c r="E7329" s="40"/>
      <c r="F7329" s="55" t="s">
        <v>13</v>
      </c>
      <c r="G7329" s="41" t="str">
        <f>IF(ISNUMBER(F7329),E7329*F7329,"")</f>
        <v/>
      </c>
      <c r="H7329" s="42"/>
      <c r="I7329" s="38"/>
      <c r="J7329" s="37">
        <v>0</v>
      </c>
    </row>
    <row r="7330" spans="1:10" hidden="1" x14ac:dyDescent="0.25">
      <c r="A7330" s="174"/>
      <c r="B7330" s="177"/>
      <c r="C7330" s="43" t="s">
        <v>11468</v>
      </c>
      <c r="D7330" s="43" t="s">
        <v>2800</v>
      </c>
      <c r="E7330" s="44" t="e">
        <f>IF(#REF!="Desonerado",ROUND(220/(1+'[1]Serviços SINAPI'!$E$6),4),ROUND(220/(1+'[1]Serviços SINAPI'!$F$6),4))</f>
        <v>#REF!</v>
      </c>
      <c r="F7330" s="38">
        <v>8.17</v>
      </c>
      <c r="G7330" s="41" t="e">
        <f>IF(ISNUMBER(F7330),E7330*F7330,"")</f>
        <v>#REF!</v>
      </c>
      <c r="H7330" s="46" t="e">
        <f>SUM(G7330:G7330)</f>
        <v>#REF!</v>
      </c>
      <c r="I7330" s="47"/>
      <c r="J7330" s="37">
        <v>0</v>
      </c>
    </row>
    <row r="7331" spans="1:10" hidden="1" x14ac:dyDescent="0.25">
      <c r="A7331" s="174"/>
      <c r="B7331" s="177"/>
      <c r="C7331" s="43"/>
      <c r="D7331" s="62"/>
      <c r="E7331" s="44"/>
      <c r="F7331" s="38" t="s">
        <v>13</v>
      </c>
      <c r="G7331" s="41" t="str">
        <f>IF(ISNUMBER(F7331),E7331*F7331,"")</f>
        <v/>
      </c>
      <c r="H7331" s="42"/>
      <c r="I7331" s="47"/>
      <c r="J7331" s="37">
        <v>0</v>
      </c>
    </row>
    <row r="7332" spans="1:10" ht="25.5" hidden="1" x14ac:dyDescent="0.25">
      <c r="A7332" s="174"/>
      <c r="B7332" s="177"/>
      <c r="C7332" s="4" t="s">
        <v>668</v>
      </c>
      <c r="D7332" s="62"/>
      <c r="E7332" s="44"/>
      <c r="F7332" s="38" t="s">
        <v>13</v>
      </c>
      <c r="G7332" s="41" t="str">
        <f>IF(ISNUMBER(F7332),E7332*F7332,"")</f>
        <v/>
      </c>
      <c r="H7332" s="42"/>
      <c r="I7332" s="47"/>
      <c r="J7332" s="37">
        <v>0</v>
      </c>
    </row>
    <row r="7333" spans="1:10" ht="15.75" hidden="1" thickBot="1" x14ac:dyDescent="0.3">
      <c r="A7333" s="175"/>
      <c r="B7333" s="178"/>
      <c r="C7333" s="49"/>
      <c r="D7333" s="49"/>
      <c r="E7333" s="50"/>
      <c r="F7333" s="51" t="s">
        <v>13</v>
      </c>
      <c r="G7333" s="52" t="str">
        <f>IF(ISNUMBER(F7333),E7333*F7333,"")</f>
        <v/>
      </c>
      <c r="H7333" s="53"/>
      <c r="I7333" s="38"/>
      <c r="J7333" s="37">
        <v>0</v>
      </c>
    </row>
    <row r="7334" spans="1:10" ht="15.75" hidden="1" thickBot="1" x14ac:dyDescent="0.3">
      <c r="A7334" s="173" t="s">
        <v>1739</v>
      </c>
      <c r="B7334" s="176" t="s">
        <v>7966</v>
      </c>
      <c r="C7334" s="31"/>
      <c r="D7334" s="32" t="s">
        <v>3982</v>
      </c>
      <c r="E7334" s="33"/>
      <c r="F7334" s="54" t="s">
        <v>13</v>
      </c>
      <c r="G7334" s="34" t="str">
        <f>IF(ISNUMBER(F7334),E7334*F7334,"")</f>
        <v/>
      </c>
      <c r="H7334" s="35"/>
      <c r="I7334" s="36"/>
      <c r="J7334" s="37">
        <v>0</v>
      </c>
    </row>
    <row r="7335" spans="1:10" hidden="1" x14ac:dyDescent="0.25">
      <c r="A7335" s="174"/>
      <c r="B7335" s="177"/>
      <c r="C7335" s="39"/>
      <c r="D7335" s="39"/>
      <c r="E7335" s="40"/>
      <c r="F7335" s="55" t="s">
        <v>13</v>
      </c>
      <c r="G7335" s="41" t="str">
        <f>IF(ISNUMBER(F7335),E7335*F7335,"")</f>
        <v/>
      </c>
      <c r="H7335" s="42"/>
      <c r="I7335" s="38"/>
      <c r="J7335" s="37">
        <v>0</v>
      </c>
    </row>
    <row r="7336" spans="1:10" ht="25.5" hidden="1" x14ac:dyDescent="0.25">
      <c r="A7336" s="174"/>
      <c r="B7336" s="177"/>
      <c r="C7336" s="43" t="s">
        <v>10754</v>
      </c>
      <c r="D7336" s="43" t="s">
        <v>2800</v>
      </c>
      <c r="E7336" s="44" t="e">
        <f>IF(#REF!="Desonerado",ROUND(220/(1+'[1]Serviços SINAPI'!$E$6),4),ROUND(220/(1+'[1]Serviços SINAPI'!$F$6),4))</f>
        <v>#REF!</v>
      </c>
      <c r="F7336" s="38">
        <v>30.361999999999998</v>
      </c>
      <c r="G7336" s="41" t="e">
        <f>IF(ISNUMBER(F7336),E7336*F7336,"")</f>
        <v>#REF!</v>
      </c>
      <c r="H7336" s="46" t="e">
        <f>SUM(G7336:G7336)</f>
        <v>#REF!</v>
      </c>
      <c r="I7336" s="47"/>
      <c r="J7336" s="37">
        <v>0</v>
      </c>
    </row>
    <row r="7337" spans="1:10" hidden="1" x14ac:dyDescent="0.25">
      <c r="A7337" s="174"/>
      <c r="B7337" s="177"/>
      <c r="C7337" s="39"/>
      <c r="D7337" s="62"/>
      <c r="E7337" s="44"/>
      <c r="F7337" s="38" t="s">
        <v>13</v>
      </c>
      <c r="G7337" s="41" t="str">
        <f>IF(ISNUMBER(F7337),E7337*F7337,"")</f>
        <v/>
      </c>
      <c r="H7337" s="42"/>
      <c r="I7337" s="47"/>
      <c r="J7337" s="37">
        <v>0</v>
      </c>
    </row>
    <row r="7338" spans="1:10" ht="25.5" hidden="1" x14ac:dyDescent="0.25">
      <c r="A7338" s="174"/>
      <c r="B7338" s="177"/>
      <c r="C7338" s="4" t="s">
        <v>668</v>
      </c>
      <c r="D7338" s="62"/>
      <c r="E7338" s="44"/>
      <c r="F7338" s="38" t="s">
        <v>13</v>
      </c>
      <c r="G7338" s="41" t="str">
        <f>IF(ISNUMBER(F7338),E7338*F7338,"")</f>
        <v/>
      </c>
      <c r="H7338" s="42"/>
      <c r="I7338" s="47"/>
      <c r="J7338" s="37">
        <v>0</v>
      </c>
    </row>
    <row r="7339" spans="1:10" ht="15.75" hidden="1" thickBot="1" x14ac:dyDescent="0.3">
      <c r="A7339" s="175"/>
      <c r="B7339" s="178"/>
      <c r="C7339" s="49"/>
      <c r="D7339" s="49"/>
      <c r="E7339" s="50"/>
      <c r="F7339" s="51" t="s">
        <v>13</v>
      </c>
      <c r="G7339" s="52" t="str">
        <f>IF(ISNUMBER(F7339),E7339*F7339,"")</f>
        <v/>
      </c>
      <c r="H7339" s="53"/>
      <c r="I7339" s="38"/>
      <c r="J7339" s="37">
        <v>0</v>
      </c>
    </row>
    <row r="7340" spans="1:10" ht="15.75" hidden="1" thickBot="1" x14ac:dyDescent="0.3">
      <c r="A7340" s="173" t="s">
        <v>1740</v>
      </c>
      <c r="B7340" s="176" t="s">
        <v>7967</v>
      </c>
      <c r="C7340" s="31"/>
      <c r="D7340" s="32" t="s">
        <v>3982</v>
      </c>
      <c r="E7340" s="33"/>
      <c r="F7340" s="54" t="s">
        <v>13</v>
      </c>
      <c r="G7340" s="34" t="str">
        <f>IF(ISNUMBER(F7340),E7340*F7340,"")</f>
        <v/>
      </c>
      <c r="H7340" s="35"/>
      <c r="I7340" s="36"/>
      <c r="J7340" s="37">
        <v>0</v>
      </c>
    </row>
    <row r="7341" spans="1:10" hidden="1" x14ac:dyDescent="0.25">
      <c r="A7341" s="174"/>
      <c r="B7341" s="177"/>
      <c r="C7341" s="39"/>
      <c r="D7341" s="39"/>
      <c r="E7341" s="40"/>
      <c r="F7341" s="55" t="s">
        <v>13</v>
      </c>
      <c r="G7341" s="41" t="str">
        <f>IF(ISNUMBER(F7341),E7341*F7341,"")</f>
        <v/>
      </c>
      <c r="H7341" s="42"/>
      <c r="I7341" s="38"/>
      <c r="J7341" s="37">
        <v>0</v>
      </c>
    </row>
    <row r="7342" spans="1:10" ht="25.5" hidden="1" x14ac:dyDescent="0.25">
      <c r="A7342" s="174"/>
      <c r="B7342" s="177"/>
      <c r="C7342" s="43" t="s">
        <v>10754</v>
      </c>
      <c r="D7342" s="43" t="s">
        <v>2800</v>
      </c>
      <c r="E7342" s="44" t="e">
        <f>IF(#REF!="Desonerado",ROUND(220/(1+'[1]Serviços SINAPI'!$E$6),4),ROUND(220/(1+'[1]Serviços SINAPI'!$F$6),4))</f>
        <v>#REF!</v>
      </c>
      <c r="F7342" s="38">
        <v>30.361999999999998</v>
      </c>
      <c r="G7342" s="41" t="e">
        <f>IF(ISNUMBER(F7342),E7342*F7342,"")</f>
        <v>#REF!</v>
      </c>
      <c r="H7342" s="46" t="e">
        <f>SUM(G7342:G7342)</f>
        <v>#REF!</v>
      </c>
      <c r="I7342" s="47"/>
      <c r="J7342" s="37">
        <v>0</v>
      </c>
    </row>
    <row r="7343" spans="1:10" hidden="1" x14ac:dyDescent="0.25">
      <c r="A7343" s="174"/>
      <c r="B7343" s="177"/>
      <c r="C7343" s="39"/>
      <c r="D7343" s="62"/>
      <c r="E7343" s="44"/>
      <c r="F7343" s="38" t="s">
        <v>13</v>
      </c>
      <c r="G7343" s="41" t="str">
        <f>IF(ISNUMBER(F7343),E7343*F7343,"")</f>
        <v/>
      </c>
      <c r="H7343" s="42"/>
      <c r="I7343" s="47"/>
      <c r="J7343" s="37">
        <v>0</v>
      </c>
    </row>
    <row r="7344" spans="1:10" ht="25.5" hidden="1" x14ac:dyDescent="0.25">
      <c r="A7344" s="174"/>
      <c r="B7344" s="177"/>
      <c r="C7344" s="4" t="s">
        <v>668</v>
      </c>
      <c r="D7344" s="62"/>
      <c r="E7344" s="44"/>
      <c r="F7344" s="38" t="s">
        <v>13</v>
      </c>
      <c r="G7344" s="41" t="str">
        <f>IF(ISNUMBER(F7344),E7344*F7344,"")</f>
        <v/>
      </c>
      <c r="H7344" s="42"/>
      <c r="I7344" s="47"/>
      <c r="J7344" s="37">
        <v>0</v>
      </c>
    </row>
    <row r="7345" spans="1:10" ht="15.75" hidden="1" thickBot="1" x14ac:dyDescent="0.3">
      <c r="A7345" s="175"/>
      <c r="B7345" s="178"/>
      <c r="C7345" s="49"/>
      <c r="D7345" s="49"/>
      <c r="E7345" s="50"/>
      <c r="F7345" s="51" t="s">
        <v>13</v>
      </c>
      <c r="G7345" s="52" t="str">
        <f>IF(ISNUMBER(F7345),E7345*F7345,"")</f>
        <v/>
      </c>
      <c r="H7345" s="53"/>
      <c r="I7345" s="38"/>
      <c r="J7345" s="37">
        <v>0</v>
      </c>
    </row>
    <row r="7346" spans="1:10" ht="15.75" hidden="1" thickBot="1" x14ac:dyDescent="0.3">
      <c r="A7346" s="173" t="s">
        <v>1741</v>
      </c>
      <c r="B7346" s="176" t="s">
        <v>7968</v>
      </c>
      <c r="C7346" s="31"/>
      <c r="D7346" s="32" t="s">
        <v>3982</v>
      </c>
      <c r="E7346" s="33"/>
      <c r="F7346" s="54" t="s">
        <v>13</v>
      </c>
      <c r="G7346" s="34" t="str">
        <f>IF(ISNUMBER(F7346),E7346*F7346,"")</f>
        <v/>
      </c>
      <c r="H7346" s="35"/>
      <c r="I7346" s="36"/>
      <c r="J7346" s="37">
        <v>0</v>
      </c>
    </row>
    <row r="7347" spans="1:10" hidden="1" x14ac:dyDescent="0.25">
      <c r="A7347" s="174"/>
      <c r="B7347" s="177"/>
      <c r="C7347" s="39"/>
      <c r="D7347" s="39"/>
      <c r="E7347" s="40"/>
      <c r="F7347" s="55" t="s">
        <v>13</v>
      </c>
      <c r="G7347" s="41" t="str">
        <f>IF(ISNUMBER(F7347),E7347*F7347,"")</f>
        <v/>
      </c>
      <c r="H7347" s="42"/>
      <c r="I7347" s="38"/>
      <c r="J7347" s="37">
        <v>0</v>
      </c>
    </row>
    <row r="7348" spans="1:10" ht="25.5" hidden="1" x14ac:dyDescent="0.25">
      <c r="A7348" s="174"/>
      <c r="B7348" s="177"/>
      <c r="C7348" s="43" t="s">
        <v>10753</v>
      </c>
      <c r="D7348" s="43" t="s">
        <v>2800</v>
      </c>
      <c r="E7348" s="44" t="e">
        <f>IF(#REF!="Desonerado",ROUND(220/(1+'[1]Serviços SINAPI'!$E$6),4),ROUND(220/(1+'[1]Serviços SINAPI'!$F$6),4))</f>
        <v>#REF!</v>
      </c>
      <c r="F7348" s="38">
        <v>23.997</v>
      </c>
      <c r="G7348" s="41" t="e">
        <f>IF(ISNUMBER(F7348),E7348*F7348,"")</f>
        <v>#REF!</v>
      </c>
      <c r="H7348" s="46" t="e">
        <f>SUM(G7348:G7348)</f>
        <v>#REF!</v>
      </c>
      <c r="I7348" s="47"/>
      <c r="J7348" s="37">
        <v>0</v>
      </c>
    </row>
    <row r="7349" spans="1:10" hidden="1" x14ac:dyDescent="0.25">
      <c r="A7349" s="174"/>
      <c r="B7349" s="177"/>
      <c r="C7349" s="39"/>
      <c r="D7349" s="62"/>
      <c r="E7349" s="44"/>
      <c r="F7349" s="38" t="s">
        <v>13</v>
      </c>
      <c r="G7349" s="41" t="str">
        <f>IF(ISNUMBER(F7349),E7349*F7349,"")</f>
        <v/>
      </c>
      <c r="H7349" s="42"/>
      <c r="I7349" s="47"/>
      <c r="J7349" s="37">
        <v>0</v>
      </c>
    </row>
    <row r="7350" spans="1:10" ht="25.5" hidden="1" x14ac:dyDescent="0.25">
      <c r="A7350" s="174"/>
      <c r="B7350" s="177"/>
      <c r="C7350" s="4" t="s">
        <v>668</v>
      </c>
      <c r="D7350" s="62"/>
      <c r="E7350" s="44"/>
      <c r="F7350" s="38" t="s">
        <v>13</v>
      </c>
      <c r="G7350" s="41" t="str">
        <f>IF(ISNUMBER(F7350),E7350*F7350,"")</f>
        <v/>
      </c>
      <c r="H7350" s="42"/>
      <c r="I7350" s="47"/>
      <c r="J7350" s="37">
        <v>0</v>
      </c>
    </row>
    <row r="7351" spans="1:10" ht="15.75" hidden="1" thickBot="1" x14ac:dyDescent="0.3">
      <c r="A7351" s="175"/>
      <c r="B7351" s="178"/>
      <c r="C7351" s="49"/>
      <c r="D7351" s="49"/>
      <c r="E7351" s="50"/>
      <c r="F7351" s="51" t="s">
        <v>13</v>
      </c>
      <c r="G7351" s="52" t="str">
        <f>IF(ISNUMBER(F7351),E7351*F7351,"")</f>
        <v/>
      </c>
      <c r="H7351" s="53"/>
      <c r="I7351" s="38"/>
      <c r="J7351" s="37">
        <v>0</v>
      </c>
    </row>
    <row r="7352" spans="1:10" ht="15.75" hidden="1" thickBot="1" x14ac:dyDescent="0.3">
      <c r="A7352" s="173" t="s">
        <v>1742</v>
      </c>
      <c r="B7352" s="176" t="s">
        <v>7969</v>
      </c>
      <c r="C7352" s="31"/>
      <c r="D7352" s="32" t="s">
        <v>3982</v>
      </c>
      <c r="E7352" s="33"/>
      <c r="F7352" s="54" t="s">
        <v>13</v>
      </c>
      <c r="G7352" s="34" t="str">
        <f>IF(ISNUMBER(F7352),E7352*F7352,"")</f>
        <v/>
      </c>
      <c r="H7352" s="35"/>
      <c r="I7352" s="36"/>
      <c r="J7352" s="37">
        <v>0</v>
      </c>
    </row>
    <row r="7353" spans="1:10" hidden="1" x14ac:dyDescent="0.25">
      <c r="A7353" s="174"/>
      <c r="B7353" s="177"/>
      <c r="C7353" s="39"/>
      <c r="D7353" s="39"/>
      <c r="E7353" s="40"/>
      <c r="F7353" s="55" t="s">
        <v>13</v>
      </c>
      <c r="G7353" s="41" t="str">
        <f>IF(ISNUMBER(F7353),E7353*F7353,"")</f>
        <v/>
      </c>
      <c r="H7353" s="42"/>
      <c r="I7353" s="38"/>
      <c r="J7353" s="37">
        <v>0</v>
      </c>
    </row>
    <row r="7354" spans="1:10" ht="25.5" hidden="1" x14ac:dyDescent="0.25">
      <c r="A7354" s="174"/>
      <c r="B7354" s="177"/>
      <c r="C7354" s="43" t="s">
        <v>10753</v>
      </c>
      <c r="D7354" s="43" t="s">
        <v>2800</v>
      </c>
      <c r="E7354" s="44" t="e">
        <f>IF(#REF!="Desonerado",ROUND(220/(1+'[1]Serviços SINAPI'!$E$6),4),ROUND(220/(1+'[1]Serviços SINAPI'!$F$6),4))</f>
        <v>#REF!</v>
      </c>
      <c r="F7354" s="38">
        <v>23.997</v>
      </c>
      <c r="G7354" s="41" t="e">
        <f>IF(ISNUMBER(F7354),E7354*F7354,"")</f>
        <v>#REF!</v>
      </c>
      <c r="H7354" s="46" t="e">
        <f>SUM(G7354:G7354)</f>
        <v>#REF!</v>
      </c>
      <c r="I7354" s="47"/>
      <c r="J7354" s="37">
        <v>0</v>
      </c>
    </row>
    <row r="7355" spans="1:10" hidden="1" x14ac:dyDescent="0.25">
      <c r="A7355" s="174"/>
      <c r="B7355" s="177"/>
      <c r="C7355" s="39"/>
      <c r="D7355" s="62"/>
      <c r="E7355" s="44"/>
      <c r="F7355" s="38" t="s">
        <v>13</v>
      </c>
      <c r="G7355" s="41" t="str">
        <f>IF(ISNUMBER(F7355),E7355*F7355,"")</f>
        <v/>
      </c>
      <c r="H7355" s="42"/>
      <c r="I7355" s="47"/>
      <c r="J7355" s="37">
        <v>0</v>
      </c>
    </row>
    <row r="7356" spans="1:10" ht="25.5" hidden="1" x14ac:dyDescent="0.25">
      <c r="A7356" s="174"/>
      <c r="B7356" s="177"/>
      <c r="C7356" s="4" t="s">
        <v>668</v>
      </c>
      <c r="D7356" s="62"/>
      <c r="E7356" s="44"/>
      <c r="F7356" s="38" t="s">
        <v>13</v>
      </c>
      <c r="G7356" s="41" t="str">
        <f>IF(ISNUMBER(F7356),E7356*F7356,"")</f>
        <v/>
      </c>
      <c r="H7356" s="42"/>
      <c r="I7356" s="47"/>
      <c r="J7356" s="37">
        <v>0</v>
      </c>
    </row>
    <row r="7357" spans="1:10" ht="15.75" hidden="1" thickBot="1" x14ac:dyDescent="0.3">
      <c r="A7357" s="175"/>
      <c r="B7357" s="178"/>
      <c r="C7357" s="49"/>
      <c r="D7357" s="49"/>
      <c r="E7357" s="50"/>
      <c r="F7357" s="51" t="s">
        <v>13</v>
      </c>
      <c r="G7357" s="52" t="str">
        <f>IF(ISNUMBER(F7357),E7357*F7357,"")</f>
        <v/>
      </c>
      <c r="H7357" s="53"/>
      <c r="I7357" s="38"/>
      <c r="J7357" s="37">
        <v>0</v>
      </c>
    </row>
    <row r="7358" spans="1:10" ht="15.75" hidden="1" thickBot="1" x14ac:dyDescent="0.3">
      <c r="A7358" s="173" t="s">
        <v>1743</v>
      </c>
      <c r="B7358" s="176" t="s">
        <v>7970</v>
      </c>
      <c r="C7358" s="31"/>
      <c r="D7358" s="32" t="s">
        <v>3982</v>
      </c>
      <c r="E7358" s="33"/>
      <c r="F7358" s="54" t="s">
        <v>13</v>
      </c>
      <c r="G7358" s="34" t="str">
        <f>IF(ISNUMBER(F7358),E7358*F7358,"")</f>
        <v/>
      </c>
      <c r="H7358" s="35"/>
      <c r="I7358" s="36"/>
      <c r="J7358" s="37">
        <v>0</v>
      </c>
    </row>
    <row r="7359" spans="1:10" hidden="1" x14ac:dyDescent="0.25">
      <c r="A7359" s="174"/>
      <c r="B7359" s="177"/>
      <c r="C7359" s="39"/>
      <c r="D7359" s="39"/>
      <c r="E7359" s="40"/>
      <c r="F7359" s="55" t="s">
        <v>13</v>
      </c>
      <c r="G7359" s="41" t="str">
        <f>IF(ISNUMBER(F7359),E7359*F7359,"")</f>
        <v/>
      </c>
      <c r="H7359" s="42"/>
      <c r="I7359" s="38"/>
      <c r="J7359" s="37">
        <v>0</v>
      </c>
    </row>
    <row r="7360" spans="1:10" ht="25.5" hidden="1" x14ac:dyDescent="0.25">
      <c r="A7360" s="174"/>
      <c r="B7360" s="177"/>
      <c r="C7360" s="43" t="s">
        <v>10753</v>
      </c>
      <c r="D7360" s="43" t="s">
        <v>2800</v>
      </c>
      <c r="E7360" s="44" t="e">
        <f>IF(#REF!="Desonerado",ROUND(220/(1+'[1]Serviços SINAPI'!$E$6),4),ROUND(220/(1+'[1]Serviços SINAPI'!$F$6),4))</f>
        <v>#REF!</v>
      </c>
      <c r="F7360" s="38">
        <v>23.997</v>
      </c>
      <c r="G7360" s="41" t="e">
        <f>IF(ISNUMBER(F7360),E7360*F7360,"")</f>
        <v>#REF!</v>
      </c>
      <c r="H7360" s="46" t="e">
        <f>SUM(G7360:G7360)</f>
        <v>#REF!</v>
      </c>
      <c r="I7360" s="47"/>
      <c r="J7360" s="37">
        <v>0</v>
      </c>
    </row>
    <row r="7361" spans="1:10" hidden="1" x14ac:dyDescent="0.25">
      <c r="A7361" s="174"/>
      <c r="B7361" s="177"/>
      <c r="C7361" s="39"/>
      <c r="D7361" s="62"/>
      <c r="E7361" s="44"/>
      <c r="F7361" s="38" t="s">
        <v>13</v>
      </c>
      <c r="G7361" s="41" t="str">
        <f>IF(ISNUMBER(F7361),E7361*F7361,"")</f>
        <v/>
      </c>
      <c r="H7361" s="42"/>
      <c r="I7361" s="47"/>
      <c r="J7361" s="37">
        <v>0</v>
      </c>
    </row>
    <row r="7362" spans="1:10" ht="25.5" hidden="1" x14ac:dyDescent="0.25">
      <c r="A7362" s="174"/>
      <c r="B7362" s="177"/>
      <c r="C7362" s="4" t="s">
        <v>668</v>
      </c>
      <c r="D7362" s="62"/>
      <c r="E7362" s="44"/>
      <c r="F7362" s="38" t="s">
        <v>13</v>
      </c>
      <c r="G7362" s="41" t="str">
        <f>IF(ISNUMBER(F7362),E7362*F7362,"")</f>
        <v/>
      </c>
      <c r="H7362" s="42"/>
      <c r="I7362" s="47"/>
      <c r="J7362" s="37">
        <v>0</v>
      </c>
    </row>
    <row r="7363" spans="1:10" ht="15.75" hidden="1" thickBot="1" x14ac:dyDescent="0.3">
      <c r="A7363" s="175"/>
      <c r="B7363" s="178"/>
      <c r="C7363" s="49"/>
      <c r="D7363" s="49"/>
      <c r="E7363" s="50"/>
      <c r="F7363" s="51" t="s">
        <v>13</v>
      </c>
      <c r="G7363" s="52" t="str">
        <f>IF(ISNUMBER(F7363),E7363*F7363,"")</f>
        <v/>
      </c>
      <c r="H7363" s="53"/>
      <c r="I7363" s="38"/>
      <c r="J7363" s="37">
        <v>0</v>
      </c>
    </row>
    <row r="7364" spans="1:10" ht="15.75" hidden="1" thickBot="1" x14ac:dyDescent="0.3">
      <c r="A7364" s="173" t="s">
        <v>1744</v>
      </c>
      <c r="B7364" s="176" t="s">
        <v>7973</v>
      </c>
      <c r="C7364" s="31"/>
      <c r="D7364" s="32" t="s">
        <v>18</v>
      </c>
      <c r="E7364" s="33"/>
      <c r="F7364" s="54" t="s">
        <v>13</v>
      </c>
      <c r="G7364" s="34" t="str">
        <f>IF(ISNUMBER(F7364),E7364*F7364,"")</f>
        <v/>
      </c>
      <c r="H7364" s="35"/>
      <c r="I7364" s="36"/>
      <c r="J7364" s="37">
        <v>0</v>
      </c>
    </row>
    <row r="7365" spans="1:10" hidden="1" x14ac:dyDescent="0.25">
      <c r="A7365" s="174"/>
      <c r="B7365" s="177"/>
      <c r="C7365" s="39"/>
      <c r="D7365" s="39"/>
      <c r="E7365" s="40"/>
      <c r="F7365" s="55" t="s">
        <v>13</v>
      </c>
      <c r="G7365" s="38" t="str">
        <f>IF(ISNUMBER(F7365),E7365*F7365,"")</f>
        <v/>
      </c>
      <c r="H7365" s="42"/>
      <c r="I7365" s="38"/>
      <c r="J7365" s="37">
        <v>0</v>
      </c>
    </row>
    <row r="7366" spans="1:10" ht="38.25" hidden="1" x14ac:dyDescent="0.25">
      <c r="A7366" s="174"/>
      <c r="B7366" s="177"/>
      <c r="C7366" s="43" t="s">
        <v>11469</v>
      </c>
      <c r="D7366" s="43" t="s">
        <v>83</v>
      </c>
      <c r="E7366" s="44">
        <v>1</v>
      </c>
      <c r="F7366" s="38">
        <v>565.76299999999992</v>
      </c>
      <c r="G7366" s="38">
        <f>IF(ISNUMBER(F7366),E7366*F7366,"")</f>
        <v>565.76299999999992</v>
      </c>
      <c r="H7366" s="46">
        <f>SUM(G7366:G7366)</f>
        <v>565.76299999999992</v>
      </c>
      <c r="I7366" s="47"/>
      <c r="J7366" s="37">
        <v>0</v>
      </c>
    </row>
    <row r="7367" spans="1:10" ht="15.75" hidden="1" thickBot="1" x14ac:dyDescent="0.3">
      <c r="A7367" s="175"/>
      <c r="B7367" s="178"/>
      <c r="C7367" s="49"/>
      <c r="D7367" s="49"/>
      <c r="E7367" s="50"/>
      <c r="F7367" s="51" t="s">
        <v>13</v>
      </c>
      <c r="G7367" s="51" t="str">
        <f>IF(ISNUMBER(F7367),E7367*F7367,"")</f>
        <v/>
      </c>
      <c r="H7367" s="53"/>
      <c r="I7367" s="38"/>
      <c r="J7367" s="37">
        <v>0</v>
      </c>
    </row>
    <row r="7368" spans="1:10" ht="15.75" hidden="1" thickBot="1" x14ac:dyDescent="0.3">
      <c r="A7368" s="173" t="s">
        <v>1745</v>
      </c>
      <c r="B7368" s="176" t="s">
        <v>7974</v>
      </c>
      <c r="C7368" s="31"/>
      <c r="D7368" s="32" t="s">
        <v>18</v>
      </c>
      <c r="E7368" s="33"/>
      <c r="F7368" s="54" t="s">
        <v>13</v>
      </c>
      <c r="G7368" s="34" t="str">
        <f>IF(ISNUMBER(F7368),E7368*F7368,"")</f>
        <v/>
      </c>
      <c r="H7368" s="35"/>
      <c r="I7368" s="36"/>
      <c r="J7368" s="37">
        <v>0</v>
      </c>
    </row>
    <row r="7369" spans="1:10" hidden="1" x14ac:dyDescent="0.25">
      <c r="A7369" s="174"/>
      <c r="B7369" s="177"/>
      <c r="C7369" s="39"/>
      <c r="D7369" s="39"/>
      <c r="E7369" s="40"/>
      <c r="F7369" s="55" t="s">
        <v>13</v>
      </c>
      <c r="G7369" s="38" t="str">
        <f>IF(ISNUMBER(F7369),E7369*F7369,"")</f>
        <v/>
      </c>
      <c r="H7369" s="42"/>
      <c r="I7369" s="38"/>
      <c r="J7369" s="37">
        <v>0</v>
      </c>
    </row>
    <row r="7370" spans="1:10" ht="25.5" hidden="1" x14ac:dyDescent="0.25">
      <c r="A7370" s="174"/>
      <c r="B7370" s="177"/>
      <c r="C7370" s="43" t="s">
        <v>11470</v>
      </c>
      <c r="D7370" s="43" t="s">
        <v>83</v>
      </c>
      <c r="E7370" s="44">
        <v>1</v>
      </c>
      <c r="F7370" s="38">
        <v>221.47349999999997</v>
      </c>
      <c r="G7370" s="38">
        <f>IF(ISNUMBER(F7370),E7370*F7370,"")</f>
        <v>221.47349999999997</v>
      </c>
      <c r="H7370" s="46">
        <f>SUM(G7370:G7370)</f>
        <v>221.47349999999997</v>
      </c>
      <c r="I7370" s="47"/>
      <c r="J7370" s="37">
        <v>0</v>
      </c>
    </row>
    <row r="7371" spans="1:10" ht="15.75" hidden="1" thickBot="1" x14ac:dyDescent="0.3">
      <c r="A7371" s="175"/>
      <c r="B7371" s="178"/>
      <c r="C7371" s="49"/>
      <c r="D7371" s="49"/>
      <c r="E7371" s="50"/>
      <c r="F7371" s="51" t="s">
        <v>13</v>
      </c>
      <c r="G7371" s="51" t="str">
        <f>IF(ISNUMBER(F7371),E7371*F7371,"")</f>
        <v/>
      </c>
      <c r="H7371" s="53"/>
      <c r="I7371" s="38"/>
      <c r="J7371" s="37">
        <v>0</v>
      </c>
    </row>
    <row r="7372" spans="1:10" ht="15.75" hidden="1" thickBot="1" x14ac:dyDescent="0.3">
      <c r="A7372" s="173" t="s">
        <v>1746</v>
      </c>
      <c r="B7372" s="176" t="s">
        <v>8003</v>
      </c>
      <c r="C7372" s="31"/>
      <c r="D7372" s="32" t="s">
        <v>18</v>
      </c>
      <c r="E7372" s="33"/>
      <c r="F7372" s="54" t="s">
        <v>13</v>
      </c>
      <c r="G7372" s="34" t="str">
        <f>IF(ISNUMBER(F7372),E7372*F7372,"")</f>
        <v/>
      </c>
      <c r="H7372" s="35"/>
      <c r="I7372" s="36"/>
      <c r="J7372" s="37">
        <v>0</v>
      </c>
    </row>
    <row r="7373" spans="1:10" hidden="1" x14ac:dyDescent="0.25">
      <c r="A7373" s="174"/>
      <c r="B7373" s="177"/>
      <c r="C7373" s="39"/>
      <c r="D7373" s="39"/>
      <c r="E7373" s="40"/>
      <c r="F7373" s="55" t="s">
        <v>13</v>
      </c>
      <c r="G7373" s="38" t="str">
        <f>IF(ISNUMBER(F7373),E7373*F7373,"")</f>
        <v/>
      </c>
      <c r="H7373" s="42"/>
      <c r="I7373" s="38"/>
      <c r="J7373" s="37">
        <v>0</v>
      </c>
    </row>
    <row r="7374" spans="1:10" ht="25.5" hidden="1" x14ac:dyDescent="0.25">
      <c r="A7374" s="174"/>
      <c r="B7374" s="177"/>
      <c r="C7374" s="43" t="s">
        <v>11471</v>
      </c>
      <c r="D7374" s="43" t="s">
        <v>83</v>
      </c>
      <c r="E7374" s="44">
        <v>1</v>
      </c>
      <c r="F7374" s="38">
        <v>63.74499999999999</v>
      </c>
      <c r="G7374" s="38">
        <f>IF(ISNUMBER(F7374),E7374*F7374,"")</f>
        <v>63.74499999999999</v>
      </c>
      <c r="H7374" s="46">
        <f>SUM(G7374:G7374)</f>
        <v>63.74499999999999</v>
      </c>
      <c r="I7374" s="47"/>
      <c r="J7374" s="37">
        <v>0</v>
      </c>
    </row>
    <row r="7375" spans="1:10" ht="15.75" hidden="1" thickBot="1" x14ac:dyDescent="0.3">
      <c r="A7375" s="175"/>
      <c r="B7375" s="178"/>
      <c r="C7375" s="49"/>
      <c r="D7375" s="49"/>
      <c r="E7375" s="50"/>
      <c r="F7375" s="51" t="s">
        <v>13</v>
      </c>
      <c r="G7375" s="51" t="str">
        <f>IF(ISNUMBER(F7375),E7375*F7375,"")</f>
        <v/>
      </c>
      <c r="H7375" s="53"/>
      <c r="I7375" s="38"/>
      <c r="J7375" s="37">
        <v>0</v>
      </c>
    </row>
    <row r="7376" spans="1:10" ht="15.75" hidden="1" thickBot="1" x14ac:dyDescent="0.3">
      <c r="A7376" s="173" t="s">
        <v>1747</v>
      </c>
      <c r="B7376" s="176" t="s">
        <v>8004</v>
      </c>
      <c r="C7376" s="31"/>
      <c r="D7376" s="32" t="s">
        <v>106</v>
      </c>
      <c r="E7376" s="33"/>
      <c r="F7376" s="54" t="s">
        <v>13</v>
      </c>
      <c r="G7376" s="34" t="str">
        <f>IF(ISNUMBER(F7376),E7376*F7376,"")</f>
        <v/>
      </c>
      <c r="H7376" s="35"/>
      <c r="I7376" s="36"/>
      <c r="J7376" s="37">
        <v>0</v>
      </c>
    </row>
    <row r="7377" spans="1:10" hidden="1" x14ac:dyDescent="0.25">
      <c r="A7377" s="174"/>
      <c r="B7377" s="177"/>
      <c r="C7377" s="39"/>
      <c r="D7377" s="39"/>
      <c r="E7377" s="40"/>
      <c r="F7377" s="55" t="s">
        <v>13</v>
      </c>
      <c r="G7377" s="38" t="str">
        <f>IF(ISNUMBER(F7377),E7377*F7377,"")</f>
        <v/>
      </c>
      <c r="H7377" s="42"/>
      <c r="I7377" s="38"/>
      <c r="J7377" s="37">
        <v>0</v>
      </c>
    </row>
    <row r="7378" spans="1:10" ht="25.5" hidden="1" x14ac:dyDescent="0.25">
      <c r="A7378" s="174"/>
      <c r="B7378" s="177"/>
      <c r="C7378" s="43" t="s">
        <v>11472</v>
      </c>
      <c r="D7378" s="43" t="s">
        <v>1302</v>
      </c>
      <c r="E7378" s="44">
        <v>1</v>
      </c>
      <c r="F7378" s="38">
        <v>48.915500000000002</v>
      </c>
      <c r="G7378" s="38">
        <f>IF(ISNUMBER(F7378),E7378*F7378,"")</f>
        <v>48.915500000000002</v>
      </c>
      <c r="H7378" s="46">
        <f>SUM(G7378:G7378)</f>
        <v>48.915500000000002</v>
      </c>
      <c r="I7378" s="47"/>
      <c r="J7378" s="37">
        <v>0</v>
      </c>
    </row>
    <row r="7379" spans="1:10" ht="15.75" hidden="1" thickBot="1" x14ac:dyDescent="0.3">
      <c r="A7379" s="175"/>
      <c r="B7379" s="178"/>
      <c r="C7379" s="49"/>
      <c r="D7379" s="49"/>
      <c r="E7379" s="50"/>
      <c r="F7379" s="51" t="s">
        <v>13</v>
      </c>
      <c r="G7379" s="51" t="str">
        <f>IF(ISNUMBER(F7379),E7379*F7379,"")</f>
        <v/>
      </c>
      <c r="H7379" s="53"/>
      <c r="I7379" s="38"/>
      <c r="J7379" s="37">
        <v>0</v>
      </c>
    </row>
    <row r="7380" spans="1:10" ht="15.75" hidden="1" thickBot="1" x14ac:dyDescent="0.3">
      <c r="A7380" s="173" t="s">
        <v>1748</v>
      </c>
      <c r="B7380" s="176" t="s">
        <v>1749</v>
      </c>
      <c r="C7380" s="31"/>
      <c r="D7380" s="32" t="s">
        <v>18</v>
      </c>
      <c r="E7380" s="33"/>
      <c r="F7380" s="54" t="s">
        <v>13</v>
      </c>
      <c r="G7380" s="34" t="str">
        <f>IF(ISNUMBER(F7380),E7380*F7380,"")</f>
        <v/>
      </c>
      <c r="H7380" s="35"/>
      <c r="I7380" s="36"/>
      <c r="J7380" s="37">
        <v>0</v>
      </c>
    </row>
    <row r="7381" spans="1:10" hidden="1" x14ac:dyDescent="0.25">
      <c r="A7381" s="174"/>
      <c r="B7381" s="177"/>
      <c r="C7381" s="39"/>
      <c r="D7381" s="39"/>
      <c r="E7381" s="40"/>
      <c r="F7381" s="55" t="s">
        <v>13</v>
      </c>
      <c r="G7381" s="38" t="str">
        <f>IF(ISNUMBER(F7381),E7381*F7381,"")</f>
        <v/>
      </c>
      <c r="H7381" s="42"/>
      <c r="I7381" s="38"/>
      <c r="J7381" s="37">
        <v>0</v>
      </c>
    </row>
    <row r="7382" spans="1:10" ht="38.25" hidden="1" x14ac:dyDescent="0.25">
      <c r="A7382" s="174"/>
      <c r="B7382" s="177"/>
      <c r="C7382" s="43" t="s">
        <v>10947</v>
      </c>
      <c r="D7382" s="43" t="s">
        <v>83</v>
      </c>
      <c r="E7382" s="44">
        <v>10</v>
      </c>
      <c r="F7382" s="41">
        <v>1.0734999999999999</v>
      </c>
      <c r="G7382" s="38">
        <f>IF(ISNUMBER(F7382),E7382*F7382,"")</f>
        <v>10.734999999999999</v>
      </c>
      <c r="H7382" s="46">
        <f>SUM(G7382:G7391)</f>
        <v>301.264475</v>
      </c>
      <c r="I7382" s="47"/>
      <c r="J7382" s="37">
        <v>0</v>
      </c>
    </row>
    <row r="7383" spans="1:10" hidden="1" x14ac:dyDescent="0.25">
      <c r="A7383" s="174"/>
      <c r="B7383" s="177"/>
      <c r="C7383" s="43" t="s">
        <v>10948</v>
      </c>
      <c r="D7383" s="43" t="s">
        <v>83</v>
      </c>
      <c r="E7383" s="44">
        <v>6</v>
      </c>
      <c r="F7383" s="38">
        <v>0.70299999999999996</v>
      </c>
      <c r="G7383" s="38">
        <f>IF(ISNUMBER(F7383),E7383*F7383,"")</f>
        <v>4.218</v>
      </c>
      <c r="H7383" s="42"/>
      <c r="I7383" s="38"/>
      <c r="J7383" s="37">
        <v>0</v>
      </c>
    </row>
    <row r="7384" spans="1:10" ht="25.5" hidden="1" x14ac:dyDescent="0.25">
      <c r="A7384" s="174"/>
      <c r="B7384" s="177"/>
      <c r="C7384" s="43" t="s">
        <v>10954</v>
      </c>
      <c r="D7384" s="43" t="s">
        <v>83</v>
      </c>
      <c r="E7384" s="44">
        <v>6</v>
      </c>
      <c r="F7384" s="38">
        <v>1.0545</v>
      </c>
      <c r="G7384" s="38">
        <f>IF(ISNUMBER(F7384),E7384*F7384,"")</f>
        <v>6.327</v>
      </c>
      <c r="H7384" s="42"/>
      <c r="I7384" s="38"/>
      <c r="J7384" s="37">
        <v>0</v>
      </c>
    </row>
    <row r="7385" spans="1:10" ht="38.25" hidden="1" x14ac:dyDescent="0.25">
      <c r="A7385" s="174"/>
      <c r="B7385" s="177"/>
      <c r="C7385" s="43" t="s">
        <v>10949</v>
      </c>
      <c r="D7385" s="43" t="s">
        <v>83</v>
      </c>
      <c r="E7385" s="44">
        <v>8</v>
      </c>
      <c r="F7385" s="38">
        <v>0.38949999999999996</v>
      </c>
      <c r="G7385" s="38">
        <f>IF(ISNUMBER(F7385),E7385*F7385,"")</f>
        <v>3.1159999999999997</v>
      </c>
      <c r="H7385" s="42"/>
      <c r="I7385" s="38"/>
      <c r="J7385" s="37">
        <v>0</v>
      </c>
    </row>
    <row r="7386" spans="1:10" ht="25.5" hidden="1" x14ac:dyDescent="0.25">
      <c r="A7386" s="174"/>
      <c r="B7386" s="177"/>
      <c r="C7386" s="43" t="s">
        <v>10950</v>
      </c>
      <c r="D7386" s="43" t="s">
        <v>83</v>
      </c>
      <c r="E7386" s="44">
        <v>6</v>
      </c>
      <c r="F7386" s="38">
        <v>1.3204999999999998</v>
      </c>
      <c r="G7386" s="38">
        <f>IF(ISNUMBER(F7386),E7386*F7386,"")</f>
        <v>7.9229999999999983</v>
      </c>
      <c r="H7386" s="42"/>
      <c r="I7386" s="38"/>
      <c r="J7386" s="37">
        <v>0</v>
      </c>
    </row>
    <row r="7387" spans="1:10" ht="25.5" hidden="1" x14ac:dyDescent="0.25">
      <c r="A7387" s="174"/>
      <c r="B7387" s="177"/>
      <c r="C7387" s="43" t="s">
        <v>10951</v>
      </c>
      <c r="D7387" s="43" t="s">
        <v>83</v>
      </c>
      <c r="E7387" s="44">
        <v>6</v>
      </c>
      <c r="F7387" s="38">
        <v>1.5484999999999998</v>
      </c>
      <c r="G7387" s="38">
        <f>IF(ISNUMBER(F7387),E7387*F7387,"")</f>
        <v>9.2909999999999986</v>
      </c>
      <c r="H7387" s="42"/>
      <c r="I7387" s="38"/>
      <c r="J7387" s="37">
        <v>0</v>
      </c>
    </row>
    <row r="7388" spans="1:10" ht="25.5" hidden="1" x14ac:dyDescent="0.25">
      <c r="A7388" s="174"/>
      <c r="B7388" s="177"/>
      <c r="C7388" s="43" t="s">
        <v>10878</v>
      </c>
      <c r="D7388" s="43" t="s">
        <v>83</v>
      </c>
      <c r="E7388" s="44">
        <v>2</v>
      </c>
      <c r="F7388" s="38">
        <v>19.256499999999999</v>
      </c>
      <c r="G7388" s="38">
        <f>IF(ISNUMBER(F7388),E7388*F7388,"")</f>
        <v>38.512999999999998</v>
      </c>
      <c r="H7388" s="42"/>
      <c r="I7388" s="38"/>
      <c r="J7388" s="37">
        <v>0</v>
      </c>
    </row>
    <row r="7389" spans="1:10" hidden="1" x14ac:dyDescent="0.25">
      <c r="A7389" s="174"/>
      <c r="B7389" s="177"/>
      <c r="C7389" s="43" t="s">
        <v>1749</v>
      </c>
      <c r="D7389" s="43" t="s">
        <v>83</v>
      </c>
      <c r="E7389" s="44">
        <v>1</v>
      </c>
      <c r="F7389" s="38" t="s">
        <v>13</v>
      </c>
      <c r="G7389" s="38" t="str">
        <f>IF(ISNUMBER(F7389),E7389*F7389,"")</f>
        <v/>
      </c>
      <c r="H7389" s="42"/>
      <c r="I7389" s="38"/>
      <c r="J7389" s="37">
        <v>0</v>
      </c>
    </row>
    <row r="7390" spans="1:10" hidden="1" x14ac:dyDescent="0.25">
      <c r="A7390" s="174"/>
      <c r="B7390" s="177"/>
      <c r="C7390" s="43" t="s">
        <v>10750</v>
      </c>
      <c r="D7390" s="43" t="s">
        <v>2800</v>
      </c>
      <c r="E7390" s="44">
        <v>3.87</v>
      </c>
      <c r="F7390" s="38">
        <v>24.358000000000001</v>
      </c>
      <c r="G7390" s="38">
        <f>IF(ISNUMBER(F7390),E7390*F7390,"")</f>
        <v>94.265460000000004</v>
      </c>
      <c r="H7390" s="42"/>
      <c r="I7390" s="38"/>
      <c r="J7390" s="37">
        <v>0</v>
      </c>
    </row>
    <row r="7391" spans="1:10" ht="25.5" hidden="1" x14ac:dyDescent="0.25">
      <c r="A7391" s="174"/>
      <c r="B7391" s="177"/>
      <c r="C7391" s="43" t="s">
        <v>10751</v>
      </c>
      <c r="D7391" s="43" t="s">
        <v>2800</v>
      </c>
      <c r="E7391" s="44">
        <v>3.87</v>
      </c>
      <c r="F7391" s="38">
        <v>32.784499999999994</v>
      </c>
      <c r="G7391" s="38">
        <f>IF(ISNUMBER(F7391),E7391*F7391,"")</f>
        <v>126.87601499999998</v>
      </c>
      <c r="H7391" s="42"/>
      <c r="I7391" s="38"/>
      <c r="J7391" s="37">
        <v>0</v>
      </c>
    </row>
    <row r="7392" spans="1:10" ht="15.75" hidden="1" thickBot="1" x14ac:dyDescent="0.3">
      <c r="A7392" s="175"/>
      <c r="B7392" s="178"/>
      <c r="C7392" s="49"/>
      <c r="D7392" s="49"/>
      <c r="E7392" s="50"/>
      <c r="F7392" s="51" t="s">
        <v>13</v>
      </c>
      <c r="G7392" s="51" t="str">
        <f>IF(ISNUMBER(F7392),E7392*F7392,"")</f>
        <v/>
      </c>
      <c r="H7392" s="53"/>
      <c r="I7392" s="38"/>
      <c r="J7392" s="37">
        <v>0</v>
      </c>
    </row>
    <row r="7393" spans="1:10" ht="15.75" hidden="1" thickBot="1" x14ac:dyDescent="0.3">
      <c r="A7393" s="173" t="s">
        <v>1750</v>
      </c>
      <c r="B7393" s="176" t="s">
        <v>8031</v>
      </c>
      <c r="C7393" s="31"/>
      <c r="D7393" s="32" t="s">
        <v>18</v>
      </c>
      <c r="E7393" s="33"/>
      <c r="F7393" s="54" t="s">
        <v>13</v>
      </c>
      <c r="G7393" s="34" t="str">
        <f>IF(ISNUMBER(F7393),E7393*F7393,"")</f>
        <v/>
      </c>
      <c r="H7393" s="35"/>
      <c r="I7393" s="36"/>
      <c r="J7393" s="37">
        <v>0</v>
      </c>
    </row>
    <row r="7394" spans="1:10" hidden="1" x14ac:dyDescent="0.25">
      <c r="A7394" s="174"/>
      <c r="B7394" s="177"/>
      <c r="C7394" s="39"/>
      <c r="D7394" s="39"/>
      <c r="E7394" s="40"/>
      <c r="F7394" s="55" t="s">
        <v>13</v>
      </c>
      <c r="G7394" s="38" t="str">
        <f>IF(ISNUMBER(F7394),E7394*F7394,"")</f>
        <v/>
      </c>
      <c r="H7394" s="42"/>
      <c r="I7394" s="38"/>
      <c r="J7394" s="37">
        <v>0</v>
      </c>
    </row>
    <row r="7395" spans="1:10" ht="25.5" hidden="1" x14ac:dyDescent="0.25">
      <c r="A7395" s="174"/>
      <c r="B7395" s="177"/>
      <c r="C7395" s="43" t="s">
        <v>10829</v>
      </c>
      <c r="D7395" s="43" t="s">
        <v>2800</v>
      </c>
      <c r="E7395" s="44">
        <v>3.5</v>
      </c>
      <c r="F7395" s="38">
        <v>24.4435</v>
      </c>
      <c r="G7395" s="41">
        <f>IF(ISNUMBER(F7395),E7395*F7395,"")</f>
        <v>85.552250000000001</v>
      </c>
      <c r="H7395" s="46">
        <f>SUM(G7395:G7397)</f>
        <v>181.14600000000002</v>
      </c>
      <c r="I7395" s="47"/>
      <c r="J7395" s="37">
        <v>0</v>
      </c>
    </row>
    <row r="7396" spans="1:10" ht="25.5" hidden="1" x14ac:dyDescent="0.25">
      <c r="A7396" s="174"/>
      <c r="B7396" s="177"/>
      <c r="C7396" s="43" t="s">
        <v>10832</v>
      </c>
      <c r="D7396" s="43" t="s">
        <v>2800</v>
      </c>
      <c r="E7396" s="44">
        <v>3.5</v>
      </c>
      <c r="F7396" s="38">
        <v>27.3125</v>
      </c>
      <c r="G7396" s="41">
        <f>IF(ISNUMBER(F7396),E7396*F7396,"")</f>
        <v>95.59375</v>
      </c>
      <c r="H7396" s="42"/>
      <c r="I7396" s="38"/>
      <c r="J7396" s="37">
        <v>0</v>
      </c>
    </row>
    <row r="7397" spans="1:10" hidden="1" x14ac:dyDescent="0.25">
      <c r="A7397" s="174"/>
      <c r="B7397" s="177"/>
      <c r="C7397" s="43" t="s">
        <v>1751</v>
      </c>
      <c r="D7397" s="43" t="s">
        <v>87</v>
      </c>
      <c r="E7397" s="44">
        <v>1</v>
      </c>
      <c r="F7397" s="41" t="s">
        <v>13</v>
      </c>
      <c r="G7397" s="41" t="str">
        <f>IF(ISNUMBER(F7397),E7397*F7397,"")</f>
        <v/>
      </c>
      <c r="H7397" s="42"/>
      <c r="I7397" s="38"/>
      <c r="J7397" s="37">
        <v>0</v>
      </c>
    </row>
    <row r="7398" spans="1:10" ht="15.75" hidden="1" thickBot="1" x14ac:dyDescent="0.3">
      <c r="A7398" s="175"/>
      <c r="B7398" s="178"/>
      <c r="C7398" s="49"/>
      <c r="D7398" s="49"/>
      <c r="E7398" s="50"/>
      <c r="F7398" s="51" t="s">
        <v>13</v>
      </c>
      <c r="G7398" s="51" t="str">
        <f>IF(ISNUMBER(F7398),E7398*F7398,"")</f>
        <v/>
      </c>
      <c r="H7398" s="53"/>
      <c r="I7398" s="38"/>
      <c r="J7398" s="37">
        <v>0</v>
      </c>
    </row>
    <row r="7399" spans="1:10" ht="15.75" hidden="1" thickBot="1" x14ac:dyDescent="0.3">
      <c r="A7399" s="173" t="s">
        <v>1752</v>
      </c>
      <c r="B7399" s="176" t="s">
        <v>8032</v>
      </c>
      <c r="C7399" s="31"/>
      <c r="D7399" s="32" t="s">
        <v>18</v>
      </c>
      <c r="E7399" s="33"/>
      <c r="F7399" s="54" t="s">
        <v>13</v>
      </c>
      <c r="G7399" s="34" t="str">
        <f>IF(ISNUMBER(F7399),E7399*F7399,"")</f>
        <v/>
      </c>
      <c r="H7399" s="35"/>
      <c r="I7399" s="36"/>
      <c r="J7399" s="37">
        <v>0</v>
      </c>
    </row>
    <row r="7400" spans="1:10" hidden="1" x14ac:dyDescent="0.25">
      <c r="A7400" s="174"/>
      <c r="B7400" s="177"/>
      <c r="C7400" s="39"/>
      <c r="D7400" s="39"/>
      <c r="E7400" s="40"/>
      <c r="F7400" s="55" t="s">
        <v>13</v>
      </c>
      <c r="G7400" s="38" t="str">
        <f>IF(ISNUMBER(F7400),E7400*F7400,"")</f>
        <v/>
      </c>
      <c r="H7400" s="42"/>
      <c r="I7400" s="38"/>
      <c r="J7400" s="37">
        <v>0</v>
      </c>
    </row>
    <row r="7401" spans="1:10" ht="38.25" hidden="1" x14ac:dyDescent="0.25">
      <c r="A7401" s="174"/>
      <c r="B7401" s="177"/>
      <c r="C7401" s="43" t="s">
        <v>10947</v>
      </c>
      <c r="D7401" s="43" t="s">
        <v>83</v>
      </c>
      <c r="E7401" s="44">
        <v>10</v>
      </c>
      <c r="F7401" s="41">
        <v>1.0734999999999999</v>
      </c>
      <c r="G7401" s="38">
        <f>IF(ISNUMBER(F7401),E7401*F7401,"")</f>
        <v>10.734999999999999</v>
      </c>
      <c r="H7401" s="46">
        <f>SUM(G7401:G7410)</f>
        <v>301.264475</v>
      </c>
      <c r="I7401" s="47"/>
      <c r="J7401" s="37">
        <v>0</v>
      </c>
    </row>
    <row r="7402" spans="1:10" hidden="1" x14ac:dyDescent="0.25">
      <c r="A7402" s="174"/>
      <c r="B7402" s="177"/>
      <c r="C7402" s="43" t="s">
        <v>10948</v>
      </c>
      <c r="D7402" s="43" t="s">
        <v>83</v>
      </c>
      <c r="E7402" s="44">
        <v>6</v>
      </c>
      <c r="F7402" s="38">
        <v>0.70299999999999996</v>
      </c>
      <c r="G7402" s="38">
        <f>IF(ISNUMBER(F7402),E7402*F7402,"")</f>
        <v>4.218</v>
      </c>
      <c r="H7402" s="42"/>
      <c r="I7402" s="38"/>
      <c r="J7402" s="37">
        <v>0</v>
      </c>
    </row>
    <row r="7403" spans="1:10" ht="25.5" hidden="1" x14ac:dyDescent="0.25">
      <c r="A7403" s="174"/>
      <c r="B7403" s="177"/>
      <c r="C7403" s="43" t="s">
        <v>10954</v>
      </c>
      <c r="D7403" s="43" t="s">
        <v>83</v>
      </c>
      <c r="E7403" s="44">
        <v>6</v>
      </c>
      <c r="F7403" s="38">
        <v>1.0545</v>
      </c>
      <c r="G7403" s="38">
        <f>IF(ISNUMBER(F7403),E7403*F7403,"")</f>
        <v>6.327</v>
      </c>
      <c r="H7403" s="42"/>
      <c r="I7403" s="38"/>
      <c r="J7403" s="37">
        <v>0</v>
      </c>
    </row>
    <row r="7404" spans="1:10" ht="38.25" hidden="1" x14ac:dyDescent="0.25">
      <c r="A7404" s="174"/>
      <c r="B7404" s="177"/>
      <c r="C7404" s="43" t="s">
        <v>10949</v>
      </c>
      <c r="D7404" s="43" t="s">
        <v>83</v>
      </c>
      <c r="E7404" s="44">
        <v>8</v>
      </c>
      <c r="F7404" s="38">
        <v>0.38949999999999996</v>
      </c>
      <c r="G7404" s="38">
        <f>IF(ISNUMBER(F7404),E7404*F7404,"")</f>
        <v>3.1159999999999997</v>
      </c>
      <c r="H7404" s="42"/>
      <c r="I7404" s="38"/>
      <c r="J7404" s="37">
        <v>0</v>
      </c>
    </row>
    <row r="7405" spans="1:10" ht="25.5" hidden="1" x14ac:dyDescent="0.25">
      <c r="A7405" s="174"/>
      <c r="B7405" s="177"/>
      <c r="C7405" s="43" t="s">
        <v>10950</v>
      </c>
      <c r="D7405" s="43" t="s">
        <v>83</v>
      </c>
      <c r="E7405" s="44">
        <v>6</v>
      </c>
      <c r="F7405" s="38">
        <v>1.3204999999999998</v>
      </c>
      <c r="G7405" s="38">
        <f>IF(ISNUMBER(F7405),E7405*F7405,"")</f>
        <v>7.9229999999999983</v>
      </c>
      <c r="H7405" s="42"/>
      <c r="I7405" s="38"/>
      <c r="J7405" s="37">
        <v>0</v>
      </c>
    </row>
    <row r="7406" spans="1:10" ht="25.5" hidden="1" x14ac:dyDescent="0.25">
      <c r="A7406" s="174"/>
      <c r="B7406" s="177"/>
      <c r="C7406" s="43" t="s">
        <v>10951</v>
      </c>
      <c r="D7406" s="43" t="s">
        <v>83</v>
      </c>
      <c r="E7406" s="44">
        <v>6</v>
      </c>
      <c r="F7406" s="38">
        <v>1.5484999999999998</v>
      </c>
      <c r="G7406" s="38">
        <f>IF(ISNUMBER(F7406),E7406*F7406,"")</f>
        <v>9.2909999999999986</v>
      </c>
      <c r="H7406" s="42"/>
      <c r="I7406" s="38"/>
      <c r="J7406" s="37">
        <v>0</v>
      </c>
    </row>
    <row r="7407" spans="1:10" ht="25.5" hidden="1" x14ac:dyDescent="0.25">
      <c r="A7407" s="174"/>
      <c r="B7407" s="177"/>
      <c r="C7407" s="43" t="s">
        <v>10878</v>
      </c>
      <c r="D7407" s="43" t="s">
        <v>83</v>
      </c>
      <c r="E7407" s="44">
        <v>2</v>
      </c>
      <c r="F7407" s="38">
        <v>19.256499999999999</v>
      </c>
      <c r="G7407" s="38">
        <f>IF(ISNUMBER(F7407),E7407*F7407,"")</f>
        <v>38.512999999999998</v>
      </c>
      <c r="H7407" s="42"/>
      <c r="I7407" s="38"/>
      <c r="J7407" s="37">
        <v>0</v>
      </c>
    </row>
    <row r="7408" spans="1:10" hidden="1" x14ac:dyDescent="0.25">
      <c r="A7408" s="174"/>
      <c r="B7408" s="177"/>
      <c r="C7408" s="43" t="s">
        <v>1753</v>
      </c>
      <c r="D7408" s="43" t="s">
        <v>83</v>
      </c>
      <c r="E7408" s="44">
        <v>1</v>
      </c>
      <c r="F7408" s="38" t="s">
        <v>13</v>
      </c>
      <c r="G7408" s="38" t="str">
        <f>IF(ISNUMBER(F7408),E7408*F7408,"")</f>
        <v/>
      </c>
      <c r="H7408" s="42"/>
      <c r="I7408" s="38"/>
      <c r="J7408" s="37">
        <v>0</v>
      </c>
    </row>
    <row r="7409" spans="1:10" hidden="1" x14ac:dyDescent="0.25">
      <c r="A7409" s="174"/>
      <c r="B7409" s="177"/>
      <c r="C7409" s="43" t="s">
        <v>10750</v>
      </c>
      <c r="D7409" s="43" t="s">
        <v>2800</v>
      </c>
      <c r="E7409" s="44">
        <v>3.87</v>
      </c>
      <c r="F7409" s="38">
        <v>24.358000000000001</v>
      </c>
      <c r="G7409" s="38">
        <f>IF(ISNUMBER(F7409),E7409*F7409,"")</f>
        <v>94.265460000000004</v>
      </c>
      <c r="H7409" s="42"/>
      <c r="I7409" s="38"/>
      <c r="J7409" s="37">
        <v>0</v>
      </c>
    </row>
    <row r="7410" spans="1:10" ht="25.5" hidden="1" x14ac:dyDescent="0.25">
      <c r="A7410" s="174"/>
      <c r="B7410" s="177"/>
      <c r="C7410" s="43" t="s">
        <v>10751</v>
      </c>
      <c r="D7410" s="43" t="s">
        <v>2800</v>
      </c>
      <c r="E7410" s="44">
        <v>3.87</v>
      </c>
      <c r="F7410" s="38">
        <v>32.784499999999994</v>
      </c>
      <c r="G7410" s="38">
        <f>IF(ISNUMBER(F7410),E7410*F7410,"")</f>
        <v>126.87601499999998</v>
      </c>
      <c r="H7410" s="42"/>
      <c r="I7410" s="38"/>
      <c r="J7410" s="37">
        <v>0</v>
      </c>
    </row>
    <row r="7411" spans="1:10" ht="15.75" hidden="1" thickBot="1" x14ac:dyDescent="0.3">
      <c r="A7411" s="175"/>
      <c r="B7411" s="178"/>
      <c r="C7411" s="49"/>
      <c r="D7411" s="49"/>
      <c r="E7411" s="50"/>
      <c r="F7411" s="51" t="s">
        <v>13</v>
      </c>
      <c r="G7411" s="51" t="str">
        <f>IF(ISNUMBER(F7411),E7411*F7411,"")</f>
        <v/>
      </c>
      <c r="H7411" s="53"/>
      <c r="I7411" s="38"/>
      <c r="J7411" s="37">
        <v>0</v>
      </c>
    </row>
    <row r="7412" spans="1:10" ht="15.75" hidden="1" thickBot="1" x14ac:dyDescent="0.3">
      <c r="A7412" s="173" t="s">
        <v>1754</v>
      </c>
      <c r="B7412" s="176" t="s">
        <v>8037</v>
      </c>
      <c r="C7412" s="31"/>
      <c r="D7412" s="32" t="s">
        <v>18</v>
      </c>
      <c r="E7412" s="33"/>
      <c r="F7412" s="60" t="s">
        <v>13</v>
      </c>
      <c r="G7412" s="34" t="str">
        <f>IF(ISNUMBER(F7412),E7412*F7412,"")</f>
        <v/>
      </c>
      <c r="H7412" s="35"/>
      <c r="I7412" s="36"/>
      <c r="J7412" s="37">
        <v>0</v>
      </c>
    </row>
    <row r="7413" spans="1:10" hidden="1" x14ac:dyDescent="0.25">
      <c r="A7413" s="179"/>
      <c r="B7413" s="177"/>
      <c r="C7413" s="39"/>
      <c r="D7413" s="39"/>
      <c r="E7413" s="40"/>
      <c r="F7413" s="70" t="s">
        <v>13</v>
      </c>
      <c r="G7413" s="70" t="str">
        <f>IF(ISNUMBER(F7413),E7413*F7413,"")</f>
        <v/>
      </c>
      <c r="H7413" s="71"/>
      <c r="I7413" s="72"/>
      <c r="J7413" s="37">
        <v>0</v>
      </c>
    </row>
    <row r="7414" spans="1:10" ht="38.25" hidden="1" x14ac:dyDescent="0.25">
      <c r="A7414" s="179"/>
      <c r="B7414" s="177"/>
      <c r="C7414" s="43" t="s">
        <v>10712</v>
      </c>
      <c r="D7414" s="43" t="s">
        <v>2880</v>
      </c>
      <c r="E7414" s="44">
        <v>1.9199999999999998E-2</v>
      </c>
      <c r="F7414" s="38">
        <v>915.97571295</v>
      </c>
      <c r="G7414" s="70">
        <f>IF(ISNUMBER(F7414),E7414*F7414,"")</f>
        <v>17.586733688639999</v>
      </c>
      <c r="H7414" s="46">
        <f>SUM(G7414:G7416)</f>
        <v>243.11673368864001</v>
      </c>
      <c r="I7414" s="47"/>
      <c r="J7414" s="37">
        <v>0</v>
      </c>
    </row>
    <row r="7415" spans="1:10" hidden="1" x14ac:dyDescent="0.25">
      <c r="A7415" s="179"/>
      <c r="B7415" s="177"/>
      <c r="C7415" s="43" t="s">
        <v>10762</v>
      </c>
      <c r="D7415" s="43" t="s">
        <v>2800</v>
      </c>
      <c r="E7415" s="44">
        <v>4</v>
      </c>
      <c r="F7415" s="38">
        <v>24.946999999999999</v>
      </c>
      <c r="G7415" s="70">
        <f>IF(ISNUMBER(F7415),E7415*F7415,"")</f>
        <v>99.787999999999997</v>
      </c>
      <c r="H7415" s="57"/>
      <c r="I7415" s="47"/>
      <c r="J7415" s="37">
        <v>0</v>
      </c>
    </row>
    <row r="7416" spans="1:10" hidden="1" x14ac:dyDescent="0.25">
      <c r="A7416" s="179"/>
      <c r="B7416" s="177"/>
      <c r="C7416" s="43" t="s">
        <v>10763</v>
      </c>
      <c r="D7416" s="43" t="s">
        <v>2800</v>
      </c>
      <c r="E7416" s="44">
        <v>4</v>
      </c>
      <c r="F7416" s="38">
        <v>31.435500000000001</v>
      </c>
      <c r="G7416" s="70">
        <f>IF(ISNUMBER(F7416),E7416*F7416,"")</f>
        <v>125.742</v>
      </c>
      <c r="H7416" s="57"/>
      <c r="I7416" s="47"/>
      <c r="J7416" s="37">
        <v>0</v>
      </c>
    </row>
    <row r="7417" spans="1:10" ht="15.75" hidden="1" thickBot="1" x14ac:dyDescent="0.3">
      <c r="A7417" s="180"/>
      <c r="B7417" s="178"/>
      <c r="C7417" s="49"/>
      <c r="D7417" s="49"/>
      <c r="E7417" s="50"/>
      <c r="F7417" s="51" t="s">
        <v>13</v>
      </c>
      <c r="G7417" s="83" t="str">
        <f>IF(ISNUMBER(F7417),E7417*F7417,"")</f>
        <v/>
      </c>
      <c r="H7417" s="99"/>
      <c r="I7417" s="47"/>
      <c r="J7417" s="37">
        <v>0</v>
      </c>
    </row>
    <row r="7418" spans="1:10" ht="15.75" hidden="1" thickBot="1" x14ac:dyDescent="0.3">
      <c r="A7418" s="173" t="s">
        <v>1755</v>
      </c>
      <c r="B7418" s="176" t="s">
        <v>8038</v>
      </c>
      <c r="C7418" s="31"/>
      <c r="D7418" s="32" t="s">
        <v>18</v>
      </c>
      <c r="E7418" s="33"/>
      <c r="F7418" s="60" t="s">
        <v>13</v>
      </c>
      <c r="G7418" s="34" t="str">
        <f>IF(ISNUMBER(F7418),E7418*F7418,"")</f>
        <v/>
      </c>
      <c r="H7418" s="35"/>
      <c r="I7418" s="36"/>
      <c r="J7418" s="37">
        <v>0</v>
      </c>
    </row>
    <row r="7419" spans="1:10" hidden="1" x14ac:dyDescent="0.25">
      <c r="A7419" s="179"/>
      <c r="B7419" s="177"/>
      <c r="C7419" s="39"/>
      <c r="D7419" s="39"/>
      <c r="E7419" s="40"/>
      <c r="F7419" s="70" t="s">
        <v>13</v>
      </c>
      <c r="G7419" s="70" t="str">
        <f>IF(ISNUMBER(F7419),E7419*F7419,"")</f>
        <v/>
      </c>
      <c r="H7419" s="71"/>
      <c r="I7419" s="72"/>
      <c r="J7419" s="37">
        <v>0</v>
      </c>
    </row>
    <row r="7420" spans="1:10" ht="25.5" hidden="1" x14ac:dyDescent="0.25">
      <c r="A7420" s="179"/>
      <c r="B7420" s="177"/>
      <c r="C7420" s="43" t="s">
        <v>11222</v>
      </c>
      <c r="D7420" s="43" t="s">
        <v>83</v>
      </c>
      <c r="E7420" s="44">
        <v>1</v>
      </c>
      <c r="F7420" s="38">
        <v>108.28099999999999</v>
      </c>
      <c r="G7420" s="70">
        <f>IF(ISNUMBER(F7420),E7420*F7420,"")</f>
        <v>108.28099999999999</v>
      </c>
      <c r="H7420" s="46">
        <f>SUM(G7420:G7423)</f>
        <v>142.73726725</v>
      </c>
      <c r="I7420" s="47"/>
      <c r="J7420" s="37">
        <v>0</v>
      </c>
    </row>
    <row r="7421" spans="1:10" ht="38.25" hidden="1" x14ac:dyDescent="0.25">
      <c r="A7421" s="179"/>
      <c r="B7421" s="177"/>
      <c r="C7421" s="43" t="s">
        <v>10931</v>
      </c>
      <c r="D7421" s="43" t="s">
        <v>83</v>
      </c>
      <c r="E7421" s="44">
        <v>2</v>
      </c>
      <c r="F7421" s="41">
        <v>0.38949999999999996</v>
      </c>
      <c r="G7421" s="41">
        <f>IF(ISNUMBER(F7421),E7421*F7421,"")</f>
        <v>0.77899999999999991</v>
      </c>
      <c r="H7421" s="42"/>
      <c r="I7421" s="38"/>
      <c r="J7421" s="37">
        <v>0</v>
      </c>
    </row>
    <row r="7422" spans="1:10" hidden="1" x14ac:dyDescent="0.25">
      <c r="A7422" s="179"/>
      <c r="B7422" s="177"/>
      <c r="C7422" s="43" t="s">
        <v>10762</v>
      </c>
      <c r="D7422" s="43" t="s">
        <v>2800</v>
      </c>
      <c r="E7422" s="44">
        <v>0.59730000000000005</v>
      </c>
      <c r="F7422" s="38">
        <v>24.946999999999999</v>
      </c>
      <c r="G7422" s="70">
        <f>IF(ISNUMBER(F7422),E7422*F7422,"")</f>
        <v>14.900843100000001</v>
      </c>
      <c r="H7422" s="57"/>
      <c r="I7422" s="47"/>
      <c r="J7422" s="37">
        <v>0</v>
      </c>
    </row>
    <row r="7423" spans="1:10" hidden="1" x14ac:dyDescent="0.25">
      <c r="A7423" s="179"/>
      <c r="B7423" s="177"/>
      <c r="C7423" s="43" t="s">
        <v>10763</v>
      </c>
      <c r="D7423" s="43" t="s">
        <v>2800</v>
      </c>
      <c r="E7423" s="44">
        <v>0.59730000000000005</v>
      </c>
      <c r="F7423" s="38">
        <v>31.435500000000001</v>
      </c>
      <c r="G7423" s="70">
        <f>IF(ISNUMBER(F7423),E7423*F7423,"")</f>
        <v>18.776424150000004</v>
      </c>
      <c r="H7423" s="57"/>
      <c r="I7423" s="47"/>
      <c r="J7423" s="37">
        <v>0</v>
      </c>
    </row>
    <row r="7424" spans="1:10" ht="15.75" hidden="1" thickBot="1" x14ac:dyDescent="0.3">
      <c r="A7424" s="180"/>
      <c r="B7424" s="178"/>
      <c r="C7424" s="49"/>
      <c r="D7424" s="63"/>
      <c r="E7424" s="50"/>
      <c r="F7424" s="83" t="s">
        <v>13</v>
      </c>
      <c r="G7424" s="83" t="str">
        <f>IF(ISNUMBER(F7424),E7424*F7424,"")</f>
        <v/>
      </c>
      <c r="H7424" s="84"/>
      <c r="I7424" s="72"/>
      <c r="J7424" s="37">
        <v>0</v>
      </c>
    </row>
    <row r="7425" spans="1:10" ht="15.75" hidden="1" thickBot="1" x14ac:dyDescent="0.3">
      <c r="A7425" s="173" t="s">
        <v>1756</v>
      </c>
      <c r="B7425" s="176" t="s">
        <v>8091</v>
      </c>
      <c r="C7425" s="31"/>
      <c r="D7425" s="32" t="s">
        <v>70</v>
      </c>
      <c r="E7425" s="33"/>
      <c r="F7425" s="54" t="s">
        <v>13</v>
      </c>
      <c r="G7425" s="34" t="str">
        <f>IF(ISNUMBER(F7425),E7425*F7425,"")</f>
        <v/>
      </c>
      <c r="H7425" s="35"/>
      <c r="I7425" s="36"/>
      <c r="J7425" s="37">
        <v>0</v>
      </c>
    </row>
    <row r="7426" spans="1:10" hidden="1" x14ac:dyDescent="0.25">
      <c r="A7426" s="174"/>
      <c r="B7426" s="177"/>
      <c r="C7426" s="39"/>
      <c r="D7426" s="39"/>
      <c r="E7426" s="40"/>
      <c r="F7426" s="55" t="s">
        <v>13</v>
      </c>
      <c r="G7426" s="38" t="str">
        <f>IF(ISNUMBER(F7426),E7426*F7426,"")</f>
        <v/>
      </c>
      <c r="H7426" s="42"/>
      <c r="I7426" s="38"/>
      <c r="J7426" s="37">
        <v>0</v>
      </c>
    </row>
    <row r="7427" spans="1:10" hidden="1" x14ac:dyDescent="0.25">
      <c r="A7427" s="174"/>
      <c r="B7427" s="177"/>
      <c r="C7427" s="43" t="s">
        <v>1757</v>
      </c>
      <c r="D7427" s="43" t="s">
        <v>70</v>
      </c>
      <c r="E7427" s="44">
        <v>0.91</v>
      </c>
      <c r="F7427" s="38" t="s">
        <v>13</v>
      </c>
      <c r="G7427" s="38" t="str">
        <f>IF(ISNUMBER(F7427),E7427*F7427,"")</f>
        <v/>
      </c>
      <c r="H7427" s="46">
        <f>SUM(G7427:G7428)</f>
        <v>0</v>
      </c>
      <c r="I7427" s="47"/>
      <c r="J7427" s="37">
        <v>0</v>
      </c>
    </row>
    <row r="7428" spans="1:10" hidden="1" x14ac:dyDescent="0.25">
      <c r="A7428" s="174"/>
      <c r="B7428" s="177"/>
      <c r="C7428" s="43" t="s">
        <v>1758</v>
      </c>
      <c r="D7428" s="43" t="s">
        <v>70</v>
      </c>
      <c r="E7428" s="44">
        <v>0.09</v>
      </c>
      <c r="F7428" s="38" t="s">
        <v>13</v>
      </c>
      <c r="G7428" s="38" t="str">
        <f>IF(ISNUMBER(F7428),E7428*F7428,"")</f>
        <v/>
      </c>
      <c r="H7428" s="42"/>
      <c r="I7428" s="47"/>
      <c r="J7428" s="37">
        <v>0</v>
      </c>
    </row>
    <row r="7429" spans="1:10" ht="15.75" hidden="1" thickBot="1" x14ac:dyDescent="0.3">
      <c r="A7429" s="175"/>
      <c r="B7429" s="178"/>
      <c r="C7429" s="49"/>
      <c r="D7429" s="49"/>
      <c r="E7429" s="50"/>
      <c r="F7429" s="51" t="s">
        <v>13</v>
      </c>
      <c r="G7429" s="51" t="str">
        <f>IF(ISNUMBER(F7429),E7429*F7429,"")</f>
        <v/>
      </c>
      <c r="H7429" s="53"/>
      <c r="I7429" s="38"/>
      <c r="J7429" s="37">
        <v>0</v>
      </c>
    </row>
    <row r="7430" spans="1:10" ht="15.75" hidden="1" thickBot="1" x14ac:dyDescent="0.3">
      <c r="A7430" s="173" t="s">
        <v>1759</v>
      </c>
      <c r="B7430" s="176" t="s">
        <v>8106</v>
      </c>
      <c r="C7430" s="31"/>
      <c r="D7430" s="32" t="s">
        <v>70</v>
      </c>
      <c r="E7430" s="33"/>
      <c r="F7430" s="54" t="s">
        <v>13</v>
      </c>
      <c r="G7430" s="34" t="str">
        <f>IF(ISNUMBER(F7430),E7430*F7430,"")</f>
        <v/>
      </c>
      <c r="H7430" s="35"/>
      <c r="I7430" s="36"/>
      <c r="J7430" s="37">
        <v>0</v>
      </c>
    </row>
    <row r="7431" spans="1:10" hidden="1" x14ac:dyDescent="0.25">
      <c r="A7431" s="174"/>
      <c r="B7431" s="177"/>
      <c r="C7431" s="39"/>
      <c r="D7431" s="39"/>
      <c r="E7431" s="40"/>
      <c r="F7431" s="55" t="s">
        <v>13</v>
      </c>
      <c r="G7431" s="38" t="str">
        <f>IF(ISNUMBER(F7431),E7431*F7431,"")</f>
        <v/>
      </c>
      <c r="H7431" s="42"/>
      <c r="I7431" s="38"/>
      <c r="J7431" s="37">
        <v>0</v>
      </c>
    </row>
    <row r="7432" spans="1:10" hidden="1" x14ac:dyDescent="0.25">
      <c r="A7432" s="174"/>
      <c r="B7432" s="177"/>
      <c r="C7432" s="43" t="s">
        <v>1757</v>
      </c>
      <c r="D7432" s="43" t="s">
        <v>70</v>
      </c>
      <c r="E7432" s="44">
        <v>0.96</v>
      </c>
      <c r="F7432" s="38" t="s">
        <v>13</v>
      </c>
      <c r="G7432" s="38" t="str">
        <f>IF(ISNUMBER(F7432),E7432*F7432,"")</f>
        <v/>
      </c>
      <c r="H7432" s="46">
        <f>SUM(G7432:G7433)</f>
        <v>0</v>
      </c>
      <c r="I7432" s="47"/>
      <c r="J7432" s="37">
        <v>0</v>
      </c>
    </row>
    <row r="7433" spans="1:10" hidden="1" x14ac:dyDescent="0.25">
      <c r="A7433" s="174"/>
      <c r="B7433" s="177"/>
      <c r="C7433" s="43" t="s">
        <v>1760</v>
      </c>
      <c r="D7433" s="43" t="s">
        <v>70</v>
      </c>
      <c r="E7433" s="44">
        <v>0.04</v>
      </c>
      <c r="F7433" s="38" t="s">
        <v>13</v>
      </c>
      <c r="G7433" s="38" t="str">
        <f>IF(ISNUMBER(F7433),E7433*F7433,"")</f>
        <v/>
      </c>
      <c r="H7433" s="42"/>
      <c r="I7433" s="47"/>
      <c r="J7433" s="37">
        <v>0</v>
      </c>
    </row>
    <row r="7434" spans="1:10" ht="15.75" hidden="1" thickBot="1" x14ac:dyDescent="0.3">
      <c r="A7434" s="175"/>
      <c r="B7434" s="178"/>
      <c r="C7434" s="49"/>
      <c r="D7434" s="49"/>
      <c r="E7434" s="50"/>
      <c r="F7434" s="51" t="s">
        <v>13</v>
      </c>
      <c r="G7434" s="51" t="str">
        <f>IF(ISNUMBER(F7434),E7434*F7434,"")</f>
        <v/>
      </c>
      <c r="H7434" s="53"/>
      <c r="I7434" s="38"/>
      <c r="J7434" s="37">
        <v>0</v>
      </c>
    </row>
    <row r="7435" spans="1:10" ht="15.75" hidden="1" thickBot="1" x14ac:dyDescent="0.3">
      <c r="A7435" s="173" t="s">
        <v>1761</v>
      </c>
      <c r="B7435" s="176" t="s">
        <v>8131</v>
      </c>
      <c r="C7435" s="31"/>
      <c r="D7435" s="32" t="s">
        <v>70</v>
      </c>
      <c r="E7435" s="33"/>
      <c r="F7435" s="54" t="s">
        <v>13</v>
      </c>
      <c r="G7435" s="34" t="str">
        <f>IF(ISNUMBER(F7435),E7435*F7435,"")</f>
        <v/>
      </c>
      <c r="H7435" s="35"/>
      <c r="I7435" s="36"/>
      <c r="J7435" s="37">
        <v>0</v>
      </c>
    </row>
    <row r="7436" spans="1:10" hidden="1" x14ac:dyDescent="0.25">
      <c r="A7436" s="174"/>
      <c r="B7436" s="177"/>
      <c r="C7436" s="39"/>
      <c r="D7436" s="39"/>
      <c r="E7436" s="40"/>
      <c r="F7436" s="55" t="s">
        <v>13</v>
      </c>
      <c r="G7436" s="41" t="str">
        <f>IF(ISNUMBER(F7436),E7436*F7436,"")</f>
        <v/>
      </c>
      <c r="H7436" s="42"/>
      <c r="I7436" s="38"/>
      <c r="J7436" s="37">
        <v>0</v>
      </c>
    </row>
    <row r="7437" spans="1:10" hidden="1" x14ac:dyDescent="0.25">
      <c r="A7437" s="174"/>
      <c r="B7437" s="177"/>
      <c r="C7437" s="43" t="s">
        <v>1757</v>
      </c>
      <c r="D7437" s="43" t="s">
        <v>70</v>
      </c>
      <c r="E7437" s="44">
        <v>0.5</v>
      </c>
      <c r="F7437" s="38" t="s">
        <v>13</v>
      </c>
      <c r="G7437" s="41" t="str">
        <f>IF(ISNUMBER(F7437),E7437*F7437,"")</f>
        <v/>
      </c>
      <c r="H7437" s="46">
        <f>SUM(G7437:G7438)</f>
        <v>0</v>
      </c>
      <c r="I7437" s="47"/>
      <c r="J7437" s="37">
        <v>0</v>
      </c>
    </row>
    <row r="7438" spans="1:10" hidden="1" x14ac:dyDescent="0.25">
      <c r="A7438" s="174"/>
      <c r="B7438" s="177"/>
      <c r="C7438" s="43" t="s">
        <v>1762</v>
      </c>
      <c r="D7438" s="43" t="s">
        <v>70</v>
      </c>
      <c r="E7438" s="44">
        <v>0.5</v>
      </c>
      <c r="F7438" s="38" t="s">
        <v>13</v>
      </c>
      <c r="G7438" s="38" t="str">
        <f>IF(ISNUMBER(F7438),E7438*F7438,"")</f>
        <v/>
      </c>
      <c r="H7438" s="42"/>
      <c r="I7438" s="47"/>
      <c r="J7438" s="37">
        <v>0</v>
      </c>
    </row>
    <row r="7439" spans="1:10" ht="15.75" hidden="1" thickBot="1" x14ac:dyDescent="0.3">
      <c r="A7439" s="175"/>
      <c r="B7439" s="178"/>
      <c r="C7439" s="49"/>
      <c r="D7439" s="49"/>
      <c r="E7439" s="50"/>
      <c r="F7439" s="51" t="s">
        <v>13</v>
      </c>
      <c r="G7439" s="52" t="str">
        <f>IF(ISNUMBER(F7439),E7439*F7439,"")</f>
        <v/>
      </c>
      <c r="H7439" s="53"/>
      <c r="I7439" s="38"/>
      <c r="J7439" s="37">
        <v>0</v>
      </c>
    </row>
    <row r="7440" spans="1:10" ht="15.75" hidden="1" thickBot="1" x14ac:dyDescent="0.3">
      <c r="A7440" s="173" t="s">
        <v>1763</v>
      </c>
      <c r="B7440" s="176" t="s">
        <v>8176</v>
      </c>
      <c r="C7440" s="31"/>
      <c r="D7440" s="32" t="s">
        <v>18</v>
      </c>
      <c r="E7440" s="33"/>
      <c r="F7440" s="54" t="s">
        <v>13</v>
      </c>
      <c r="G7440" s="34" t="str">
        <f>IF(ISNUMBER(F7440),E7440*F7440,"")</f>
        <v/>
      </c>
      <c r="H7440" s="35"/>
      <c r="I7440" s="36"/>
      <c r="J7440" s="37">
        <v>0</v>
      </c>
    </row>
    <row r="7441" spans="1:10" hidden="1" x14ac:dyDescent="0.25">
      <c r="A7441" s="174"/>
      <c r="B7441" s="177"/>
      <c r="C7441" s="39"/>
      <c r="D7441" s="39"/>
      <c r="E7441" s="40"/>
      <c r="F7441" s="55" t="s">
        <v>13</v>
      </c>
      <c r="G7441" s="38" t="str">
        <f>IF(ISNUMBER(F7441),E7441*F7441,"")</f>
        <v/>
      </c>
      <c r="H7441" s="42"/>
      <c r="I7441" s="38"/>
      <c r="J7441" s="37">
        <v>0</v>
      </c>
    </row>
    <row r="7442" spans="1:10" ht="25.5" hidden="1" x14ac:dyDescent="0.25">
      <c r="A7442" s="174"/>
      <c r="B7442" s="177"/>
      <c r="C7442" s="43" t="s">
        <v>11473</v>
      </c>
      <c r="D7442" s="43" t="s">
        <v>83</v>
      </c>
      <c r="E7442" s="44">
        <v>1</v>
      </c>
      <c r="F7442" s="38">
        <v>40.1755</v>
      </c>
      <c r="G7442" s="38">
        <f>IF(ISNUMBER(F7442),E7442*F7442,"")</f>
        <v>40.1755</v>
      </c>
      <c r="H7442" s="46">
        <f>SUM(G7442:G7442)</f>
        <v>40.1755</v>
      </c>
      <c r="I7442" s="47"/>
      <c r="J7442" s="37">
        <v>0</v>
      </c>
    </row>
    <row r="7443" spans="1:10" ht="15.75" hidden="1" thickBot="1" x14ac:dyDescent="0.3">
      <c r="A7443" s="175"/>
      <c r="B7443" s="178"/>
      <c r="C7443" s="49"/>
      <c r="D7443" s="49"/>
      <c r="E7443" s="50"/>
      <c r="F7443" s="51" t="s">
        <v>13</v>
      </c>
      <c r="G7443" s="51" t="str">
        <f>IF(ISNUMBER(F7443),E7443*F7443,"")</f>
        <v/>
      </c>
      <c r="H7443" s="53"/>
      <c r="I7443" s="38"/>
      <c r="J7443" s="37">
        <v>0</v>
      </c>
    </row>
    <row r="7444" spans="1:10" ht="15.75" hidden="1" thickBot="1" x14ac:dyDescent="0.3">
      <c r="A7444" s="173" t="s">
        <v>1764</v>
      </c>
      <c r="B7444" s="176" t="s">
        <v>8177</v>
      </c>
      <c r="C7444" s="31"/>
      <c r="D7444" s="32" t="s">
        <v>18</v>
      </c>
      <c r="E7444" s="33"/>
      <c r="F7444" s="54" t="s">
        <v>13</v>
      </c>
      <c r="G7444" s="34" t="str">
        <f>IF(ISNUMBER(F7444),E7444*F7444,"")</f>
        <v/>
      </c>
      <c r="H7444" s="35"/>
      <c r="I7444" s="36"/>
      <c r="J7444" s="37">
        <v>0</v>
      </c>
    </row>
    <row r="7445" spans="1:10" hidden="1" x14ac:dyDescent="0.25">
      <c r="A7445" s="174"/>
      <c r="B7445" s="177"/>
      <c r="C7445" s="39"/>
      <c r="D7445" s="39"/>
      <c r="E7445" s="40"/>
      <c r="F7445" s="55" t="s">
        <v>13</v>
      </c>
      <c r="G7445" s="38" t="str">
        <f>IF(ISNUMBER(F7445),E7445*F7445,"")</f>
        <v/>
      </c>
      <c r="H7445" s="42"/>
      <c r="I7445" s="38"/>
      <c r="J7445" s="37">
        <v>0</v>
      </c>
    </row>
    <row r="7446" spans="1:10" ht="25.5" hidden="1" x14ac:dyDescent="0.25">
      <c r="A7446" s="174"/>
      <c r="B7446" s="177"/>
      <c r="C7446" s="43" t="s">
        <v>1765</v>
      </c>
      <c r="D7446" s="43" t="s">
        <v>83</v>
      </c>
      <c r="E7446" s="44">
        <v>1</v>
      </c>
      <c r="F7446" s="38" t="s">
        <v>13</v>
      </c>
      <c r="G7446" s="38" t="str">
        <f>IF(ISNUMBER(F7446),E7446*F7446,"")</f>
        <v/>
      </c>
      <c r="H7446" s="46">
        <f>SUM(G7446:G7446)</f>
        <v>0</v>
      </c>
      <c r="I7446" s="47"/>
      <c r="J7446" s="37">
        <v>0</v>
      </c>
    </row>
    <row r="7447" spans="1:10" ht="15.75" hidden="1" thickBot="1" x14ac:dyDescent="0.3">
      <c r="A7447" s="175"/>
      <c r="B7447" s="178"/>
      <c r="C7447" s="49"/>
      <c r="D7447" s="49"/>
      <c r="E7447" s="50"/>
      <c r="F7447" s="51" t="s">
        <v>13</v>
      </c>
      <c r="G7447" s="51" t="str">
        <f>IF(ISNUMBER(F7447),E7447*F7447,"")</f>
        <v/>
      </c>
      <c r="H7447" s="53"/>
      <c r="I7447" s="38"/>
      <c r="J7447" s="37">
        <v>0</v>
      </c>
    </row>
    <row r="7448" spans="1:10" ht="15.75" hidden="1" thickBot="1" x14ac:dyDescent="0.3">
      <c r="A7448" s="173" t="s">
        <v>1766</v>
      </c>
      <c r="B7448" s="176" t="s">
        <v>8180</v>
      </c>
      <c r="C7448" s="31"/>
      <c r="D7448" s="32" t="s">
        <v>18</v>
      </c>
      <c r="E7448" s="33"/>
      <c r="F7448" s="54" t="s">
        <v>13</v>
      </c>
      <c r="G7448" s="34" t="str">
        <f>IF(ISNUMBER(F7448),E7448*F7448,"")</f>
        <v/>
      </c>
      <c r="H7448" s="35"/>
      <c r="I7448" s="36"/>
      <c r="J7448" s="37">
        <v>0</v>
      </c>
    </row>
    <row r="7449" spans="1:10" hidden="1" x14ac:dyDescent="0.25">
      <c r="A7449" s="174"/>
      <c r="B7449" s="177"/>
      <c r="C7449" s="39"/>
      <c r="D7449" s="39"/>
      <c r="E7449" s="40"/>
      <c r="F7449" s="55" t="s">
        <v>13</v>
      </c>
      <c r="G7449" s="38" t="str">
        <f>IF(ISNUMBER(F7449),E7449*F7449,"")</f>
        <v/>
      </c>
      <c r="H7449" s="42"/>
      <c r="I7449" s="38"/>
      <c r="J7449" s="37">
        <v>0</v>
      </c>
    </row>
    <row r="7450" spans="1:10" ht="25.5" hidden="1" x14ac:dyDescent="0.25">
      <c r="A7450" s="174"/>
      <c r="B7450" s="177"/>
      <c r="C7450" s="43" t="s">
        <v>11449</v>
      </c>
      <c r="D7450" s="43" t="s">
        <v>83</v>
      </c>
      <c r="E7450" s="44">
        <v>1</v>
      </c>
      <c r="F7450" s="38">
        <v>68.59</v>
      </c>
      <c r="G7450" s="38">
        <f>IF(ISNUMBER(F7450),E7450*F7450,"")</f>
        <v>68.59</v>
      </c>
      <c r="H7450" s="46">
        <f>SUM(G7450:G7450)</f>
        <v>68.59</v>
      </c>
      <c r="I7450" s="47"/>
      <c r="J7450" s="37">
        <v>0</v>
      </c>
    </row>
    <row r="7451" spans="1:10" ht="15.75" hidden="1" thickBot="1" x14ac:dyDescent="0.3">
      <c r="A7451" s="175"/>
      <c r="B7451" s="178"/>
      <c r="C7451" s="49"/>
      <c r="D7451" s="49"/>
      <c r="E7451" s="50"/>
      <c r="F7451" s="51" t="s">
        <v>13</v>
      </c>
      <c r="G7451" s="51" t="str">
        <f>IF(ISNUMBER(F7451),E7451*F7451,"")</f>
        <v/>
      </c>
      <c r="H7451" s="53"/>
      <c r="I7451" s="38"/>
      <c r="J7451" s="37">
        <v>0</v>
      </c>
    </row>
    <row r="7452" spans="1:10" ht="15.75" hidden="1" thickBot="1" x14ac:dyDescent="0.3">
      <c r="A7452" s="173" t="s">
        <v>1767</v>
      </c>
      <c r="B7452" s="176" t="s">
        <v>8181</v>
      </c>
      <c r="C7452" s="31"/>
      <c r="D7452" s="32" t="s">
        <v>106</v>
      </c>
      <c r="E7452" s="33"/>
      <c r="F7452" s="54" t="s">
        <v>13</v>
      </c>
      <c r="G7452" s="34" t="str">
        <f>IF(ISNUMBER(F7452),E7452*F7452,"")</f>
        <v/>
      </c>
      <c r="H7452" s="35"/>
      <c r="I7452" s="36"/>
      <c r="J7452" s="37">
        <v>0</v>
      </c>
    </row>
    <row r="7453" spans="1:10" hidden="1" x14ac:dyDescent="0.25">
      <c r="A7453" s="174"/>
      <c r="B7453" s="177"/>
      <c r="C7453" s="39"/>
      <c r="D7453" s="39"/>
      <c r="E7453" s="40"/>
      <c r="F7453" s="55" t="s">
        <v>13</v>
      </c>
      <c r="G7453" s="41" t="str">
        <f>IF(ISNUMBER(F7453),E7453*F7453,"")</f>
        <v/>
      </c>
      <c r="H7453" s="42"/>
      <c r="I7453" s="38"/>
      <c r="J7453" s="37">
        <v>0</v>
      </c>
    </row>
    <row r="7454" spans="1:10" ht="25.5" hidden="1" x14ac:dyDescent="0.25">
      <c r="A7454" s="174"/>
      <c r="B7454" s="177"/>
      <c r="C7454" s="43" t="s">
        <v>11472</v>
      </c>
      <c r="D7454" s="43" t="s">
        <v>1302</v>
      </c>
      <c r="E7454" s="44">
        <v>1</v>
      </c>
      <c r="F7454" s="38">
        <v>48.915500000000002</v>
      </c>
      <c r="G7454" s="41">
        <f>IF(ISNUMBER(F7454),E7454*F7454,"")</f>
        <v>48.915500000000002</v>
      </c>
      <c r="H7454" s="46">
        <f>SUM(G7454:G7454)</f>
        <v>48.915500000000002</v>
      </c>
      <c r="I7454" s="47"/>
      <c r="J7454" s="37">
        <v>0</v>
      </c>
    </row>
    <row r="7455" spans="1:10" ht="15.75" hidden="1" thickBot="1" x14ac:dyDescent="0.3">
      <c r="A7455" s="175"/>
      <c r="B7455" s="178"/>
      <c r="C7455" s="49"/>
      <c r="D7455" s="49"/>
      <c r="E7455" s="50"/>
      <c r="F7455" s="51" t="s">
        <v>13</v>
      </c>
      <c r="G7455" s="52" t="str">
        <f>IF(ISNUMBER(F7455),E7455*F7455,"")</f>
        <v/>
      </c>
      <c r="H7455" s="53"/>
      <c r="I7455" s="38"/>
      <c r="J7455" s="37">
        <v>0</v>
      </c>
    </row>
    <row r="7456" spans="1:10" ht="15.75" hidden="1" thickBot="1" x14ac:dyDescent="0.3">
      <c r="A7456" s="173" t="s">
        <v>1768</v>
      </c>
      <c r="B7456" s="176" t="s">
        <v>8182</v>
      </c>
      <c r="C7456" s="31"/>
      <c r="D7456" s="32" t="s">
        <v>18</v>
      </c>
      <c r="E7456" s="33"/>
      <c r="F7456" s="60" t="s">
        <v>13</v>
      </c>
      <c r="G7456" s="34" t="str">
        <f>IF(ISNUMBER(F7456),E7456*F7456,"")</f>
        <v/>
      </c>
      <c r="H7456" s="35"/>
      <c r="I7456" s="36"/>
      <c r="J7456" s="37">
        <v>0</v>
      </c>
    </row>
    <row r="7457" spans="1:10" hidden="1" x14ac:dyDescent="0.25">
      <c r="A7457" s="179"/>
      <c r="B7457" s="177"/>
      <c r="C7457" s="39"/>
      <c r="D7457" s="39"/>
      <c r="E7457" s="40"/>
      <c r="F7457" s="70" t="s">
        <v>13</v>
      </c>
      <c r="G7457" s="70" t="str">
        <f>IF(ISNUMBER(F7457),E7457*F7457,"")</f>
        <v/>
      </c>
      <c r="H7457" s="71"/>
      <c r="I7457" s="72"/>
      <c r="J7457" s="37">
        <v>0</v>
      </c>
    </row>
    <row r="7458" spans="1:10" hidden="1" x14ac:dyDescent="0.25">
      <c r="A7458" s="179"/>
      <c r="B7458" s="177"/>
      <c r="C7458" s="43" t="s">
        <v>10907</v>
      </c>
      <c r="D7458" s="43" t="s">
        <v>83</v>
      </c>
      <c r="E7458" s="44">
        <v>4.1999999999999997E-3</v>
      </c>
      <c r="F7458" s="38">
        <v>14.715499999999999</v>
      </c>
      <c r="G7458" s="70">
        <f>IF(ISNUMBER(F7458),E7458*F7458,"")</f>
        <v>6.1805099999999988E-2</v>
      </c>
      <c r="H7458" s="46">
        <f>SUM(G7458:G7461)</f>
        <v>6.8131928999999998</v>
      </c>
      <c r="I7458" s="47"/>
      <c r="J7458" s="37">
        <v>0</v>
      </c>
    </row>
    <row r="7459" spans="1:10" hidden="1" x14ac:dyDescent="0.25">
      <c r="A7459" s="179"/>
      <c r="B7459" s="177"/>
      <c r="C7459" s="43" t="s">
        <v>1769</v>
      </c>
      <c r="D7459" s="43" t="s">
        <v>83</v>
      </c>
      <c r="E7459" s="44">
        <v>1</v>
      </c>
      <c r="F7459" s="41" t="s">
        <v>13</v>
      </c>
      <c r="G7459" s="41" t="str">
        <f>IF(ISNUMBER(F7459),E7459*F7459,"")</f>
        <v/>
      </c>
      <c r="H7459" s="42"/>
      <c r="I7459" s="38"/>
      <c r="J7459" s="37">
        <v>0</v>
      </c>
    </row>
    <row r="7460" spans="1:10" ht="25.5" hidden="1" x14ac:dyDescent="0.25">
      <c r="A7460" s="179"/>
      <c r="B7460" s="177"/>
      <c r="C7460" s="43" t="s">
        <v>10753</v>
      </c>
      <c r="D7460" s="43" t="s">
        <v>2800</v>
      </c>
      <c r="E7460" s="44">
        <v>0.1242</v>
      </c>
      <c r="F7460" s="38">
        <v>23.997</v>
      </c>
      <c r="G7460" s="70">
        <f>IF(ISNUMBER(F7460),E7460*F7460,"")</f>
        <v>2.9804273999999999</v>
      </c>
      <c r="H7460" s="57"/>
      <c r="I7460" s="47"/>
      <c r="J7460" s="37">
        <v>0</v>
      </c>
    </row>
    <row r="7461" spans="1:10" ht="25.5" hidden="1" x14ac:dyDescent="0.25">
      <c r="A7461" s="179"/>
      <c r="B7461" s="177"/>
      <c r="C7461" s="43" t="s">
        <v>10754</v>
      </c>
      <c r="D7461" s="43" t="s">
        <v>2800</v>
      </c>
      <c r="E7461" s="44">
        <v>0.1242</v>
      </c>
      <c r="F7461" s="38">
        <v>30.361999999999998</v>
      </c>
      <c r="G7461" s="70">
        <f>IF(ISNUMBER(F7461),E7461*F7461,"")</f>
        <v>3.7709603999999999</v>
      </c>
      <c r="H7461" s="57"/>
      <c r="I7461" s="47"/>
      <c r="J7461" s="37">
        <v>0</v>
      </c>
    </row>
    <row r="7462" spans="1:10" ht="15.75" hidden="1" thickBot="1" x14ac:dyDescent="0.3">
      <c r="A7462" s="180"/>
      <c r="B7462" s="178"/>
      <c r="C7462" s="49"/>
      <c r="D7462" s="63"/>
      <c r="E7462" s="50"/>
      <c r="F7462" s="83" t="s">
        <v>13</v>
      </c>
      <c r="G7462" s="83" t="str">
        <f>IF(ISNUMBER(F7462),E7462*F7462,"")</f>
        <v/>
      </c>
      <c r="H7462" s="84"/>
      <c r="I7462" s="72"/>
      <c r="J7462" s="37">
        <v>0</v>
      </c>
    </row>
    <row r="7463" spans="1:10" ht="15.75" hidden="1" thickBot="1" x14ac:dyDescent="0.3">
      <c r="A7463" s="173" t="s">
        <v>1770</v>
      </c>
      <c r="B7463" s="176" t="s">
        <v>8183</v>
      </c>
      <c r="C7463" s="31"/>
      <c r="D7463" s="32" t="s">
        <v>18</v>
      </c>
      <c r="E7463" s="33"/>
      <c r="F7463" s="54" t="s">
        <v>13</v>
      </c>
      <c r="G7463" s="34" t="str">
        <f>IF(ISNUMBER(F7463),E7463*F7463,"")</f>
        <v/>
      </c>
      <c r="H7463" s="35"/>
      <c r="I7463" s="36"/>
      <c r="J7463" s="37">
        <v>0</v>
      </c>
    </row>
    <row r="7464" spans="1:10" hidden="1" x14ac:dyDescent="0.25">
      <c r="A7464" s="174"/>
      <c r="B7464" s="177"/>
      <c r="C7464" s="39"/>
      <c r="D7464" s="39"/>
      <c r="E7464" s="40"/>
      <c r="F7464" s="55" t="s">
        <v>13</v>
      </c>
      <c r="G7464" s="41" t="str">
        <f>IF(ISNUMBER(F7464),E7464*F7464,"")</f>
        <v/>
      </c>
      <c r="H7464" s="42"/>
      <c r="I7464" s="38"/>
      <c r="J7464" s="37">
        <v>0</v>
      </c>
    </row>
    <row r="7465" spans="1:10" ht="25.5" hidden="1" x14ac:dyDescent="0.25">
      <c r="A7465" s="174"/>
      <c r="B7465" s="177"/>
      <c r="C7465" s="43" t="s">
        <v>10823</v>
      </c>
      <c r="D7465" s="43" t="s">
        <v>2800</v>
      </c>
      <c r="E7465" s="44">
        <v>40</v>
      </c>
      <c r="F7465" s="70">
        <v>120.95399999999999</v>
      </c>
      <c r="G7465" s="41">
        <f>IF(ISNUMBER(F7465),E7465*F7465,"")</f>
        <v>4838.16</v>
      </c>
      <c r="H7465" s="46">
        <f>SUM(G7465:G7467)</f>
        <v>5843.41</v>
      </c>
      <c r="I7465" s="47"/>
      <c r="J7465" s="37">
        <v>0</v>
      </c>
    </row>
    <row r="7466" spans="1:10" hidden="1" x14ac:dyDescent="0.25">
      <c r="A7466" s="174"/>
      <c r="B7466" s="177"/>
      <c r="C7466" s="43" t="s">
        <v>11202</v>
      </c>
      <c r="D7466" s="43" t="s">
        <v>2800</v>
      </c>
      <c r="E7466" s="44">
        <v>40</v>
      </c>
      <c r="F7466" s="38">
        <v>18.344499999999996</v>
      </c>
      <c r="G7466" s="38">
        <f>IF(ISNUMBER(F7466),E7466*F7466,"")</f>
        <v>733.77999999999986</v>
      </c>
      <c r="H7466" s="42"/>
      <c r="I7466" s="47"/>
      <c r="J7466" s="37">
        <v>0</v>
      </c>
    </row>
    <row r="7467" spans="1:10" hidden="1" x14ac:dyDescent="0.25">
      <c r="A7467" s="174"/>
      <c r="B7467" s="177"/>
      <c r="C7467" s="43" t="s">
        <v>17</v>
      </c>
      <c r="D7467" s="43" t="s">
        <v>87</v>
      </c>
      <c r="E7467" s="44">
        <v>1</v>
      </c>
      <c r="F7467" s="41">
        <v>271.47000000000003</v>
      </c>
      <c r="G7467" s="38">
        <f>IF(ISNUMBER(F7467),E7467*F7467,"")</f>
        <v>271.47000000000003</v>
      </c>
      <c r="H7467" s="42"/>
      <c r="I7467" s="47"/>
      <c r="J7467" s="37">
        <v>0</v>
      </c>
    </row>
    <row r="7468" spans="1:10" ht="15.75" hidden="1" thickBot="1" x14ac:dyDescent="0.3">
      <c r="A7468" s="175"/>
      <c r="B7468" s="178"/>
      <c r="C7468" s="49"/>
      <c r="D7468" s="49"/>
      <c r="E7468" s="50"/>
      <c r="F7468" s="51" t="s">
        <v>13</v>
      </c>
      <c r="G7468" s="52" t="str">
        <f>IF(ISNUMBER(F7468),E7468*F7468,"")</f>
        <v/>
      </c>
      <c r="H7468" s="53"/>
      <c r="I7468" s="38"/>
      <c r="J7468" s="37">
        <v>0</v>
      </c>
    </row>
    <row r="7469" spans="1:10" ht="15.75" hidden="1" thickBot="1" x14ac:dyDescent="0.3">
      <c r="A7469" s="173" t="s">
        <v>1771</v>
      </c>
      <c r="B7469" s="176" t="s">
        <v>1772</v>
      </c>
      <c r="C7469" s="31"/>
      <c r="D7469" s="32" t="s">
        <v>18</v>
      </c>
      <c r="E7469" s="33"/>
      <c r="F7469" s="60" t="s">
        <v>13</v>
      </c>
      <c r="G7469" s="34" t="str">
        <f>IF(ISNUMBER(F7469),E7469*F7469,"")</f>
        <v/>
      </c>
      <c r="H7469" s="35"/>
      <c r="I7469" s="36"/>
      <c r="J7469" s="37">
        <v>0</v>
      </c>
    </row>
    <row r="7470" spans="1:10" hidden="1" x14ac:dyDescent="0.25">
      <c r="A7470" s="179"/>
      <c r="B7470" s="177"/>
      <c r="C7470" s="39"/>
      <c r="D7470" s="39"/>
      <c r="E7470" s="40"/>
      <c r="F7470" s="70" t="s">
        <v>13</v>
      </c>
      <c r="G7470" s="70" t="str">
        <f>IF(ISNUMBER(F7470),E7470*F7470,"")</f>
        <v/>
      </c>
      <c r="H7470" s="71"/>
      <c r="I7470" s="72"/>
      <c r="J7470" s="37">
        <v>0</v>
      </c>
    </row>
    <row r="7471" spans="1:10" hidden="1" x14ac:dyDescent="0.25">
      <c r="A7471" s="179"/>
      <c r="B7471" s="177"/>
      <c r="C7471" s="43" t="s">
        <v>1772</v>
      </c>
      <c r="D7471" s="43" t="s">
        <v>83</v>
      </c>
      <c r="E7471" s="44">
        <v>1</v>
      </c>
      <c r="F7471" s="38" t="s">
        <v>13</v>
      </c>
      <c r="G7471" s="70" t="str">
        <f>IF(ISNUMBER(F7471),E7471*F7471,"")</f>
        <v/>
      </c>
      <c r="H7471" s="46">
        <f>SUM(G7471:G7474)</f>
        <v>243.11673368864001</v>
      </c>
      <c r="I7471" s="47"/>
      <c r="J7471" s="37">
        <v>0</v>
      </c>
    </row>
    <row r="7472" spans="1:10" ht="38.25" hidden="1" x14ac:dyDescent="0.25">
      <c r="A7472" s="179"/>
      <c r="B7472" s="177"/>
      <c r="C7472" s="43" t="s">
        <v>10712</v>
      </c>
      <c r="D7472" s="43" t="s">
        <v>2880</v>
      </c>
      <c r="E7472" s="44">
        <v>1.9199999999999998E-2</v>
      </c>
      <c r="F7472" s="38">
        <v>915.97571295</v>
      </c>
      <c r="G7472" s="70">
        <f>IF(ISNUMBER(F7472),E7472*F7472,"")</f>
        <v>17.586733688639999</v>
      </c>
      <c r="H7472" s="42"/>
      <c r="I7472" s="38"/>
      <c r="J7472" s="37">
        <v>0</v>
      </c>
    </row>
    <row r="7473" spans="1:10" hidden="1" x14ac:dyDescent="0.25">
      <c r="A7473" s="179"/>
      <c r="B7473" s="177"/>
      <c r="C7473" s="43" t="s">
        <v>10762</v>
      </c>
      <c r="D7473" s="43" t="s">
        <v>2800</v>
      </c>
      <c r="E7473" s="44">
        <v>4</v>
      </c>
      <c r="F7473" s="38">
        <v>24.946999999999999</v>
      </c>
      <c r="G7473" s="70">
        <f>IF(ISNUMBER(F7473),E7473*F7473,"")</f>
        <v>99.787999999999997</v>
      </c>
      <c r="H7473" s="57"/>
      <c r="I7473" s="47"/>
      <c r="J7473" s="37">
        <v>0</v>
      </c>
    </row>
    <row r="7474" spans="1:10" hidden="1" x14ac:dyDescent="0.25">
      <c r="A7474" s="179"/>
      <c r="B7474" s="177"/>
      <c r="C7474" s="43" t="s">
        <v>10763</v>
      </c>
      <c r="D7474" s="43" t="s">
        <v>2800</v>
      </c>
      <c r="E7474" s="44">
        <v>4</v>
      </c>
      <c r="F7474" s="38">
        <v>31.435500000000001</v>
      </c>
      <c r="G7474" s="70">
        <f>IF(ISNUMBER(F7474),E7474*F7474,"")</f>
        <v>125.742</v>
      </c>
      <c r="H7474" s="57"/>
      <c r="I7474" s="47"/>
      <c r="J7474" s="37">
        <v>0</v>
      </c>
    </row>
    <row r="7475" spans="1:10" ht="15.75" hidden="1" thickBot="1" x14ac:dyDescent="0.3">
      <c r="A7475" s="180"/>
      <c r="B7475" s="178"/>
      <c r="C7475" s="49"/>
      <c r="D7475" s="63"/>
      <c r="E7475" s="50"/>
      <c r="F7475" s="83" t="s">
        <v>13</v>
      </c>
      <c r="G7475" s="83" t="str">
        <f>IF(ISNUMBER(F7475),E7475*F7475,"")</f>
        <v/>
      </c>
      <c r="H7475" s="84"/>
      <c r="I7475" s="72"/>
      <c r="J7475" s="37">
        <v>0</v>
      </c>
    </row>
    <row r="7476" spans="1:10" ht="15.75" hidden="1" thickBot="1" x14ac:dyDescent="0.3">
      <c r="A7476" s="173" t="s">
        <v>1773</v>
      </c>
      <c r="B7476" s="176" t="s">
        <v>1774</v>
      </c>
      <c r="C7476" s="31"/>
      <c r="D7476" s="32" t="s">
        <v>18</v>
      </c>
      <c r="E7476" s="33"/>
      <c r="F7476" s="60" t="s">
        <v>13</v>
      </c>
      <c r="G7476" s="34" t="str">
        <f>IF(ISNUMBER(F7476),E7476*F7476,"")</f>
        <v/>
      </c>
      <c r="H7476" s="35"/>
      <c r="I7476" s="36"/>
      <c r="J7476" s="37">
        <v>0</v>
      </c>
    </row>
    <row r="7477" spans="1:10" hidden="1" x14ac:dyDescent="0.25">
      <c r="A7477" s="179"/>
      <c r="B7477" s="177"/>
      <c r="C7477" s="39"/>
      <c r="D7477" s="39"/>
      <c r="E7477" s="40"/>
      <c r="F7477" s="70" t="s">
        <v>13</v>
      </c>
      <c r="G7477" s="70" t="str">
        <f>IF(ISNUMBER(F7477),E7477*F7477,"")</f>
        <v/>
      </c>
      <c r="H7477" s="71"/>
      <c r="I7477" s="72"/>
      <c r="J7477" s="37">
        <v>0</v>
      </c>
    </row>
    <row r="7478" spans="1:10" ht="25.5" hidden="1" x14ac:dyDescent="0.25">
      <c r="A7478" s="179"/>
      <c r="B7478" s="177"/>
      <c r="C7478" s="43" t="s">
        <v>1774</v>
      </c>
      <c r="D7478" s="43" t="s">
        <v>83</v>
      </c>
      <c r="E7478" s="44">
        <v>1</v>
      </c>
      <c r="F7478" s="38" t="s">
        <v>13</v>
      </c>
      <c r="G7478" s="70" t="str">
        <f>IF(ISNUMBER(F7478),E7478*F7478,"")</f>
        <v/>
      </c>
      <c r="H7478" s="46">
        <f>SUM(G7478:G7481)</f>
        <v>243.11673368864001</v>
      </c>
      <c r="I7478" s="47"/>
      <c r="J7478" s="37">
        <v>0</v>
      </c>
    </row>
    <row r="7479" spans="1:10" ht="38.25" hidden="1" x14ac:dyDescent="0.25">
      <c r="A7479" s="179"/>
      <c r="B7479" s="177"/>
      <c r="C7479" s="43" t="s">
        <v>10712</v>
      </c>
      <c r="D7479" s="43" t="s">
        <v>2880</v>
      </c>
      <c r="E7479" s="44">
        <v>1.9199999999999998E-2</v>
      </c>
      <c r="F7479" s="38">
        <v>915.97571295</v>
      </c>
      <c r="G7479" s="70">
        <f>IF(ISNUMBER(F7479),E7479*F7479,"")</f>
        <v>17.586733688639999</v>
      </c>
      <c r="H7479" s="42"/>
      <c r="I7479" s="38"/>
      <c r="J7479" s="37">
        <v>0</v>
      </c>
    </row>
    <row r="7480" spans="1:10" hidden="1" x14ac:dyDescent="0.25">
      <c r="A7480" s="179"/>
      <c r="B7480" s="177"/>
      <c r="C7480" s="43" t="s">
        <v>10762</v>
      </c>
      <c r="D7480" s="43" t="s">
        <v>2800</v>
      </c>
      <c r="E7480" s="44">
        <v>4</v>
      </c>
      <c r="F7480" s="38">
        <v>24.946999999999999</v>
      </c>
      <c r="G7480" s="70">
        <f>IF(ISNUMBER(F7480),E7480*F7480,"")</f>
        <v>99.787999999999997</v>
      </c>
      <c r="H7480" s="57"/>
      <c r="I7480" s="47"/>
      <c r="J7480" s="37">
        <v>0</v>
      </c>
    </row>
    <row r="7481" spans="1:10" hidden="1" x14ac:dyDescent="0.25">
      <c r="A7481" s="179"/>
      <c r="B7481" s="177"/>
      <c r="C7481" s="43" t="s">
        <v>10763</v>
      </c>
      <c r="D7481" s="43" t="s">
        <v>2800</v>
      </c>
      <c r="E7481" s="44">
        <v>4</v>
      </c>
      <c r="F7481" s="38">
        <v>31.435500000000001</v>
      </c>
      <c r="G7481" s="70">
        <f>IF(ISNUMBER(F7481),E7481*F7481,"")</f>
        <v>125.742</v>
      </c>
      <c r="H7481" s="57"/>
      <c r="I7481" s="47"/>
      <c r="J7481" s="37">
        <v>0</v>
      </c>
    </row>
    <row r="7482" spans="1:10" ht="15.75" hidden="1" thickBot="1" x14ac:dyDescent="0.3">
      <c r="A7482" s="180"/>
      <c r="B7482" s="178"/>
      <c r="C7482" s="49"/>
      <c r="D7482" s="63"/>
      <c r="E7482" s="50"/>
      <c r="F7482" s="83" t="s">
        <v>13</v>
      </c>
      <c r="G7482" s="83" t="str">
        <f>IF(ISNUMBER(F7482),E7482*F7482,"")</f>
        <v/>
      </c>
      <c r="H7482" s="84"/>
      <c r="I7482" s="72"/>
      <c r="J7482" s="37">
        <v>0</v>
      </c>
    </row>
    <row r="7483" spans="1:10" ht="15.75" hidden="1" thickBot="1" x14ac:dyDescent="0.3">
      <c r="A7483" s="173" t="s">
        <v>1775</v>
      </c>
      <c r="B7483" s="176" t="s">
        <v>1776</v>
      </c>
      <c r="C7483" s="31"/>
      <c r="D7483" s="32" t="s">
        <v>18</v>
      </c>
      <c r="E7483" s="33"/>
      <c r="F7483" s="60" t="s">
        <v>13</v>
      </c>
      <c r="G7483" s="34" t="str">
        <f>IF(ISNUMBER(F7483),E7483*F7483,"")</f>
        <v/>
      </c>
      <c r="H7483" s="35"/>
      <c r="I7483" s="36"/>
      <c r="J7483" s="37">
        <v>0</v>
      </c>
    </row>
    <row r="7484" spans="1:10" hidden="1" x14ac:dyDescent="0.25">
      <c r="A7484" s="179"/>
      <c r="B7484" s="177"/>
      <c r="C7484" s="39"/>
      <c r="D7484" s="39"/>
      <c r="E7484" s="40"/>
      <c r="F7484" s="70" t="s">
        <v>13</v>
      </c>
      <c r="G7484" s="70" t="str">
        <f>IF(ISNUMBER(F7484),E7484*F7484,"")</f>
        <v/>
      </c>
      <c r="H7484" s="71"/>
      <c r="I7484" s="72"/>
      <c r="J7484" s="37">
        <v>0</v>
      </c>
    </row>
    <row r="7485" spans="1:10" hidden="1" x14ac:dyDescent="0.25">
      <c r="A7485" s="179"/>
      <c r="B7485" s="177"/>
      <c r="C7485" s="43" t="s">
        <v>1776</v>
      </c>
      <c r="D7485" s="43" t="s">
        <v>83</v>
      </c>
      <c r="E7485" s="44">
        <v>1</v>
      </c>
      <c r="F7485" s="38" t="s">
        <v>13</v>
      </c>
      <c r="G7485" s="70" t="str">
        <f>IF(ISNUMBER(F7485),E7485*F7485,"")</f>
        <v/>
      </c>
      <c r="H7485" s="46">
        <f>SUM(G7485:G7488)</f>
        <v>243.11673368864001</v>
      </c>
      <c r="I7485" s="47"/>
      <c r="J7485" s="37">
        <v>0</v>
      </c>
    </row>
    <row r="7486" spans="1:10" ht="38.25" hidden="1" x14ac:dyDescent="0.25">
      <c r="A7486" s="179"/>
      <c r="B7486" s="177"/>
      <c r="C7486" s="43" t="s">
        <v>10712</v>
      </c>
      <c r="D7486" s="43" t="s">
        <v>2880</v>
      </c>
      <c r="E7486" s="44">
        <v>1.9199999999999998E-2</v>
      </c>
      <c r="F7486" s="38">
        <v>915.97571295</v>
      </c>
      <c r="G7486" s="70">
        <f>IF(ISNUMBER(F7486),E7486*F7486,"")</f>
        <v>17.586733688639999</v>
      </c>
      <c r="H7486" s="42"/>
      <c r="I7486" s="38"/>
      <c r="J7486" s="37">
        <v>0</v>
      </c>
    </row>
    <row r="7487" spans="1:10" hidden="1" x14ac:dyDescent="0.25">
      <c r="A7487" s="179"/>
      <c r="B7487" s="177"/>
      <c r="C7487" s="43" t="s">
        <v>10762</v>
      </c>
      <c r="D7487" s="43" t="s">
        <v>2800</v>
      </c>
      <c r="E7487" s="44">
        <v>4</v>
      </c>
      <c r="F7487" s="38">
        <v>24.946999999999999</v>
      </c>
      <c r="G7487" s="70">
        <f>IF(ISNUMBER(F7487),E7487*F7487,"")</f>
        <v>99.787999999999997</v>
      </c>
      <c r="H7487" s="57"/>
      <c r="I7487" s="47"/>
      <c r="J7487" s="37">
        <v>0</v>
      </c>
    </row>
    <row r="7488" spans="1:10" hidden="1" x14ac:dyDescent="0.25">
      <c r="A7488" s="179"/>
      <c r="B7488" s="177"/>
      <c r="C7488" s="43" t="s">
        <v>10763</v>
      </c>
      <c r="D7488" s="43" t="s">
        <v>2800</v>
      </c>
      <c r="E7488" s="44">
        <v>4</v>
      </c>
      <c r="F7488" s="38">
        <v>31.435500000000001</v>
      </c>
      <c r="G7488" s="70">
        <f>IF(ISNUMBER(F7488),E7488*F7488,"")</f>
        <v>125.742</v>
      </c>
      <c r="H7488" s="57"/>
      <c r="I7488" s="47"/>
      <c r="J7488" s="37">
        <v>0</v>
      </c>
    </row>
    <row r="7489" spans="1:10" ht="15.75" hidden="1" thickBot="1" x14ac:dyDescent="0.3">
      <c r="A7489" s="180"/>
      <c r="B7489" s="178"/>
      <c r="C7489" s="49"/>
      <c r="D7489" s="63"/>
      <c r="E7489" s="50"/>
      <c r="F7489" s="83" t="s">
        <v>13</v>
      </c>
      <c r="G7489" s="83" t="str">
        <f>IF(ISNUMBER(F7489),E7489*F7489,"")</f>
        <v/>
      </c>
      <c r="H7489" s="84"/>
      <c r="I7489" s="72"/>
      <c r="J7489" s="37">
        <v>0</v>
      </c>
    </row>
    <row r="7490" spans="1:10" ht="15.75" hidden="1" thickBot="1" x14ac:dyDescent="0.3">
      <c r="A7490" s="173" t="s">
        <v>1777</v>
      </c>
      <c r="B7490" s="176" t="s">
        <v>1778</v>
      </c>
      <c r="C7490" s="31"/>
      <c r="D7490" s="32" t="s">
        <v>18</v>
      </c>
      <c r="E7490" s="33"/>
      <c r="F7490" s="60" t="s">
        <v>13</v>
      </c>
      <c r="G7490" s="34" t="str">
        <f>IF(ISNUMBER(F7490),E7490*F7490,"")</f>
        <v/>
      </c>
      <c r="H7490" s="35"/>
      <c r="I7490" s="36"/>
      <c r="J7490" s="37">
        <v>0</v>
      </c>
    </row>
    <row r="7491" spans="1:10" hidden="1" x14ac:dyDescent="0.25">
      <c r="A7491" s="179"/>
      <c r="B7491" s="177"/>
      <c r="C7491" s="39"/>
      <c r="D7491" s="39"/>
      <c r="E7491" s="40"/>
      <c r="F7491" s="70" t="s">
        <v>13</v>
      </c>
      <c r="G7491" s="70" t="str">
        <f>IF(ISNUMBER(F7491),E7491*F7491,"")</f>
        <v/>
      </c>
      <c r="H7491" s="71"/>
      <c r="I7491" s="72"/>
      <c r="J7491" s="37">
        <v>0</v>
      </c>
    </row>
    <row r="7492" spans="1:10" hidden="1" x14ac:dyDescent="0.25">
      <c r="A7492" s="179"/>
      <c r="B7492" s="177"/>
      <c r="C7492" s="43" t="s">
        <v>1778</v>
      </c>
      <c r="D7492" s="43" t="s">
        <v>83</v>
      </c>
      <c r="E7492" s="44">
        <v>1</v>
      </c>
      <c r="F7492" s="38" t="s">
        <v>13</v>
      </c>
      <c r="G7492" s="70" t="str">
        <f>IF(ISNUMBER(F7492),E7492*F7492,"")</f>
        <v/>
      </c>
      <c r="H7492" s="46">
        <f>SUM(G7492:G7494)</f>
        <v>35.690122500000001</v>
      </c>
      <c r="I7492" s="47"/>
      <c r="J7492" s="37">
        <v>0</v>
      </c>
    </row>
    <row r="7493" spans="1:10" hidden="1" x14ac:dyDescent="0.25">
      <c r="A7493" s="179"/>
      <c r="B7493" s="177"/>
      <c r="C7493" s="43" t="s">
        <v>10762</v>
      </c>
      <c r="D7493" s="43" t="s">
        <v>2800</v>
      </c>
      <c r="E7493" s="44">
        <v>0.63300000000000001</v>
      </c>
      <c r="F7493" s="38">
        <v>24.946999999999999</v>
      </c>
      <c r="G7493" s="70">
        <f>IF(ISNUMBER(F7493),E7493*F7493,"")</f>
        <v>15.791451</v>
      </c>
      <c r="H7493" s="57"/>
      <c r="I7493" s="47"/>
      <c r="J7493" s="37">
        <v>0</v>
      </c>
    </row>
    <row r="7494" spans="1:10" hidden="1" x14ac:dyDescent="0.25">
      <c r="A7494" s="179"/>
      <c r="B7494" s="177"/>
      <c r="C7494" s="43" t="s">
        <v>10763</v>
      </c>
      <c r="D7494" s="43" t="s">
        <v>2800</v>
      </c>
      <c r="E7494" s="44">
        <v>0.63300000000000001</v>
      </c>
      <c r="F7494" s="38">
        <v>31.435500000000001</v>
      </c>
      <c r="G7494" s="70">
        <f>IF(ISNUMBER(F7494),E7494*F7494,"")</f>
        <v>19.898671500000003</v>
      </c>
      <c r="H7494" s="57"/>
      <c r="I7494" s="47"/>
      <c r="J7494" s="37">
        <v>0</v>
      </c>
    </row>
    <row r="7495" spans="1:10" ht="15.75" hidden="1" thickBot="1" x14ac:dyDescent="0.3">
      <c r="A7495" s="180"/>
      <c r="B7495" s="178"/>
      <c r="C7495" s="49"/>
      <c r="D7495" s="63"/>
      <c r="E7495" s="50"/>
      <c r="F7495" s="83" t="s">
        <v>13</v>
      </c>
      <c r="G7495" s="83" t="str">
        <f>IF(ISNUMBER(F7495),E7495*F7495,"")</f>
        <v/>
      </c>
      <c r="H7495" s="84"/>
      <c r="I7495" s="72"/>
      <c r="J7495" s="37">
        <v>0</v>
      </c>
    </row>
    <row r="7496" spans="1:10" ht="15.75" hidden="1" thickBot="1" x14ac:dyDescent="0.3">
      <c r="A7496" s="173" t="s">
        <v>1779</v>
      </c>
      <c r="B7496" s="176" t="s">
        <v>8184</v>
      </c>
      <c r="C7496" s="31"/>
      <c r="D7496" s="32" t="s">
        <v>18</v>
      </c>
      <c r="E7496" s="33"/>
      <c r="F7496" s="54" t="s">
        <v>13</v>
      </c>
      <c r="G7496" s="34" t="str">
        <f>IF(ISNUMBER(F7496),E7496*F7496,"")</f>
        <v/>
      </c>
      <c r="H7496" s="35"/>
      <c r="I7496" s="36"/>
      <c r="J7496" s="37">
        <v>0</v>
      </c>
    </row>
    <row r="7497" spans="1:10" hidden="1" x14ac:dyDescent="0.25">
      <c r="A7497" s="174"/>
      <c r="B7497" s="177"/>
      <c r="C7497" s="39"/>
      <c r="D7497" s="39"/>
      <c r="E7497" s="40"/>
      <c r="F7497" s="55" t="s">
        <v>13</v>
      </c>
      <c r="G7497" s="38" t="str">
        <f>IF(ISNUMBER(F7497),E7497*F7497,"")</f>
        <v/>
      </c>
      <c r="H7497" s="42"/>
      <c r="I7497" s="38"/>
      <c r="J7497" s="37">
        <v>0</v>
      </c>
    </row>
    <row r="7498" spans="1:10" ht="25.5" hidden="1" x14ac:dyDescent="0.25">
      <c r="A7498" s="174"/>
      <c r="B7498" s="177"/>
      <c r="C7498" s="43" t="s">
        <v>11474</v>
      </c>
      <c r="D7498" s="43" t="s">
        <v>83</v>
      </c>
      <c r="E7498" s="44">
        <v>1</v>
      </c>
      <c r="F7498" s="38">
        <v>6.7925000000000004</v>
      </c>
      <c r="G7498" s="38">
        <f>IF(ISNUMBER(F7498),E7498*F7498,"")</f>
        <v>6.7925000000000004</v>
      </c>
      <c r="H7498" s="46">
        <f>SUM(G7498:G7498)</f>
        <v>6.7925000000000004</v>
      </c>
      <c r="I7498" s="47"/>
      <c r="J7498" s="37">
        <v>0</v>
      </c>
    </row>
    <row r="7499" spans="1:10" ht="15.75" hidden="1" thickBot="1" x14ac:dyDescent="0.3">
      <c r="A7499" s="175"/>
      <c r="B7499" s="178"/>
      <c r="C7499" s="49"/>
      <c r="D7499" s="49"/>
      <c r="E7499" s="50"/>
      <c r="F7499" s="51" t="s">
        <v>13</v>
      </c>
      <c r="G7499" s="51" t="str">
        <f>IF(ISNUMBER(F7499),E7499*F7499,"")</f>
        <v/>
      </c>
      <c r="H7499" s="53"/>
      <c r="I7499" s="38"/>
      <c r="J7499" s="37">
        <v>0</v>
      </c>
    </row>
    <row r="7500" spans="1:10" ht="15.75" hidden="1" thickBot="1" x14ac:dyDescent="0.3">
      <c r="A7500" s="173" t="s">
        <v>1780</v>
      </c>
      <c r="B7500" s="176" t="s">
        <v>8185</v>
      </c>
      <c r="C7500" s="31"/>
      <c r="D7500" s="32" t="s">
        <v>18</v>
      </c>
      <c r="E7500" s="33"/>
      <c r="F7500" s="54" t="s">
        <v>13</v>
      </c>
      <c r="G7500" s="34" t="str">
        <f>IF(ISNUMBER(F7500),E7500*F7500,"")</f>
        <v/>
      </c>
      <c r="H7500" s="35"/>
      <c r="I7500" s="36"/>
      <c r="J7500" s="37">
        <v>0</v>
      </c>
    </row>
    <row r="7501" spans="1:10" hidden="1" x14ac:dyDescent="0.25">
      <c r="A7501" s="174"/>
      <c r="B7501" s="177"/>
      <c r="C7501" s="39"/>
      <c r="D7501" s="39"/>
      <c r="E7501" s="40"/>
      <c r="F7501" s="55" t="s">
        <v>13</v>
      </c>
      <c r="G7501" s="38" t="str">
        <f>IF(ISNUMBER(F7501),E7501*F7501,"")</f>
        <v/>
      </c>
      <c r="H7501" s="42"/>
      <c r="I7501" s="38"/>
      <c r="J7501" s="37">
        <v>0</v>
      </c>
    </row>
    <row r="7502" spans="1:10" hidden="1" x14ac:dyDescent="0.25">
      <c r="A7502" s="174"/>
      <c r="B7502" s="177"/>
      <c r="C7502" s="43" t="s">
        <v>1781</v>
      </c>
      <c r="D7502" s="43" t="s">
        <v>18</v>
      </c>
      <c r="E7502" s="44">
        <v>1</v>
      </c>
      <c r="F7502" s="38" t="s">
        <v>13</v>
      </c>
      <c r="G7502" s="38" t="str">
        <f>IF(ISNUMBER(F7502),E7502*F7502,"")</f>
        <v/>
      </c>
      <c r="H7502" s="46">
        <f>SUM(G7502:G7502)</f>
        <v>0</v>
      </c>
      <c r="I7502" s="47"/>
      <c r="J7502" s="37">
        <v>0</v>
      </c>
    </row>
    <row r="7503" spans="1:10" ht="15.75" hidden="1" thickBot="1" x14ac:dyDescent="0.3">
      <c r="A7503" s="175"/>
      <c r="B7503" s="178"/>
      <c r="C7503" s="49"/>
      <c r="D7503" s="49"/>
      <c r="E7503" s="50"/>
      <c r="F7503" s="51" t="s">
        <v>13</v>
      </c>
      <c r="G7503" s="51" t="str">
        <f>IF(ISNUMBER(F7503),E7503*F7503,"")</f>
        <v/>
      </c>
      <c r="H7503" s="53"/>
      <c r="I7503" s="38"/>
      <c r="J7503" s="37">
        <v>0</v>
      </c>
    </row>
    <row r="7504" spans="1:10" ht="15.75" hidden="1" thickBot="1" x14ac:dyDescent="0.3">
      <c r="A7504" s="173" t="s">
        <v>1782</v>
      </c>
      <c r="B7504" s="176" t="s">
        <v>8188</v>
      </c>
      <c r="C7504" s="31"/>
      <c r="D7504" s="32" t="s">
        <v>18</v>
      </c>
      <c r="E7504" s="33"/>
      <c r="F7504" s="54" t="s">
        <v>13</v>
      </c>
      <c r="G7504" s="34" t="str">
        <f>IF(ISNUMBER(F7504),E7504*F7504,"")</f>
        <v/>
      </c>
      <c r="H7504" s="35"/>
      <c r="I7504" s="36"/>
      <c r="J7504" s="37">
        <v>0</v>
      </c>
    </row>
    <row r="7505" spans="1:10" hidden="1" x14ac:dyDescent="0.25">
      <c r="A7505" s="174"/>
      <c r="B7505" s="177"/>
      <c r="C7505" s="39"/>
      <c r="D7505" s="39"/>
      <c r="E7505" s="40"/>
      <c r="F7505" s="55" t="s">
        <v>13</v>
      </c>
      <c r="G7505" s="41" t="str">
        <f>IF(ISNUMBER(F7505),E7505*F7505,"")</f>
        <v/>
      </c>
      <c r="H7505" s="42"/>
      <c r="I7505" s="38"/>
      <c r="J7505" s="37">
        <v>0</v>
      </c>
    </row>
    <row r="7506" spans="1:10" ht="25.5" hidden="1" x14ac:dyDescent="0.25">
      <c r="A7506" s="174"/>
      <c r="B7506" s="177"/>
      <c r="C7506" s="43" t="s">
        <v>11475</v>
      </c>
      <c r="D7506" s="43" t="s">
        <v>83</v>
      </c>
      <c r="E7506" s="44">
        <v>1</v>
      </c>
      <c r="F7506" s="38">
        <v>2.052</v>
      </c>
      <c r="G7506" s="41">
        <f>IF(ISNUMBER(F7506),E7506*F7506,"")</f>
        <v>2.052</v>
      </c>
      <c r="H7506" s="46">
        <f>SUM(G7506:G7506)</f>
        <v>2.052</v>
      </c>
      <c r="I7506" s="47"/>
      <c r="J7506" s="37">
        <v>0</v>
      </c>
    </row>
    <row r="7507" spans="1:10" ht="15.75" hidden="1" thickBot="1" x14ac:dyDescent="0.3">
      <c r="A7507" s="175"/>
      <c r="B7507" s="178"/>
      <c r="C7507" s="49"/>
      <c r="D7507" s="49"/>
      <c r="E7507" s="50"/>
      <c r="F7507" s="51" t="s">
        <v>13</v>
      </c>
      <c r="G7507" s="52" t="str">
        <f>IF(ISNUMBER(F7507),E7507*F7507,"")</f>
        <v/>
      </c>
      <c r="H7507" s="53"/>
      <c r="I7507" s="38"/>
      <c r="J7507" s="37">
        <v>0</v>
      </c>
    </row>
    <row r="7508" spans="1:10" ht="15.75" hidden="1" thickBot="1" x14ac:dyDescent="0.3">
      <c r="A7508" s="173" t="s">
        <v>1783</v>
      </c>
      <c r="B7508" s="176" t="s">
        <v>8193</v>
      </c>
      <c r="C7508" s="31"/>
      <c r="D7508" s="32" t="s">
        <v>8194</v>
      </c>
      <c r="E7508" s="33"/>
      <c r="F7508" s="54" t="s">
        <v>13</v>
      </c>
      <c r="G7508" s="34" t="str">
        <f>IF(ISNUMBER(F7508),E7508*F7508,"")</f>
        <v/>
      </c>
      <c r="H7508" s="35"/>
      <c r="I7508" s="36"/>
      <c r="J7508" s="37">
        <v>0</v>
      </c>
    </row>
    <row r="7509" spans="1:10" hidden="1" x14ac:dyDescent="0.25">
      <c r="A7509" s="174"/>
      <c r="B7509" s="177"/>
      <c r="C7509" s="39"/>
      <c r="D7509" s="39"/>
      <c r="E7509" s="40"/>
      <c r="F7509" s="55" t="s">
        <v>13</v>
      </c>
      <c r="G7509" s="41" t="str">
        <f>IF(ISNUMBER(F7509),E7509*F7509,"")</f>
        <v/>
      </c>
      <c r="H7509" s="42"/>
      <c r="I7509" s="38"/>
      <c r="J7509" s="37">
        <v>0</v>
      </c>
    </row>
    <row r="7510" spans="1:10" hidden="1" x14ac:dyDescent="0.25">
      <c r="A7510" s="174"/>
      <c r="B7510" s="177"/>
      <c r="C7510" s="43" t="s">
        <v>11038</v>
      </c>
      <c r="D7510" s="43" t="s">
        <v>1044</v>
      </c>
      <c r="E7510" s="44">
        <v>25</v>
      </c>
      <c r="F7510" s="38">
        <v>2.09</v>
      </c>
      <c r="G7510" s="41">
        <f>IF(ISNUMBER(F7510),E7510*F7510,"")</f>
        <v>52.25</v>
      </c>
      <c r="H7510" s="46">
        <f>SUM(G7510:G7510)</f>
        <v>52.25</v>
      </c>
      <c r="I7510" s="47"/>
      <c r="J7510" s="37">
        <v>0</v>
      </c>
    </row>
    <row r="7511" spans="1:10" ht="15.75" hidden="1" thickBot="1" x14ac:dyDescent="0.3">
      <c r="A7511" s="175"/>
      <c r="B7511" s="178"/>
      <c r="C7511" s="49"/>
      <c r="D7511" s="49"/>
      <c r="E7511" s="50"/>
      <c r="F7511" s="51" t="s">
        <v>13</v>
      </c>
      <c r="G7511" s="52" t="str">
        <f>IF(ISNUMBER(F7511),E7511*F7511,"")</f>
        <v/>
      </c>
      <c r="H7511" s="53"/>
      <c r="I7511" s="38"/>
      <c r="J7511" s="37">
        <v>0</v>
      </c>
    </row>
    <row r="7512" spans="1:10" ht="15.75" hidden="1" thickBot="1" x14ac:dyDescent="0.3">
      <c r="A7512" s="173" t="s">
        <v>1784</v>
      </c>
      <c r="B7512" s="176" t="s">
        <v>8195</v>
      </c>
      <c r="C7512" s="31"/>
      <c r="D7512" s="32" t="s">
        <v>68</v>
      </c>
      <c r="E7512" s="33"/>
      <c r="F7512" s="54" t="s">
        <v>13</v>
      </c>
      <c r="G7512" s="34" t="str">
        <f>IF(ISNUMBER(F7512),E7512*F7512,"")</f>
        <v/>
      </c>
      <c r="H7512" s="35"/>
      <c r="I7512" s="36"/>
      <c r="J7512" s="37">
        <v>0</v>
      </c>
    </row>
    <row r="7513" spans="1:10" hidden="1" x14ac:dyDescent="0.25">
      <c r="A7513" s="174"/>
      <c r="B7513" s="177"/>
      <c r="C7513" s="39"/>
      <c r="D7513" s="39"/>
      <c r="E7513" s="40"/>
      <c r="F7513" s="55" t="s">
        <v>13</v>
      </c>
      <c r="G7513" s="41" t="str">
        <f>IF(ISNUMBER(F7513),E7513*F7513,"")</f>
        <v/>
      </c>
      <c r="H7513" s="42"/>
      <c r="I7513" s="38"/>
      <c r="J7513" s="37">
        <v>0</v>
      </c>
    </row>
    <row r="7514" spans="1:10" ht="25.5" hidden="1" x14ac:dyDescent="0.25">
      <c r="A7514" s="174"/>
      <c r="B7514" s="177"/>
      <c r="C7514" s="43" t="s">
        <v>11476</v>
      </c>
      <c r="D7514" s="43" t="s">
        <v>162</v>
      </c>
      <c r="E7514" s="44">
        <v>1</v>
      </c>
      <c r="F7514" s="38">
        <v>14.648999999999999</v>
      </c>
      <c r="G7514" s="41">
        <f>IF(ISNUMBER(F7514),E7514*F7514,"")</f>
        <v>14.648999999999999</v>
      </c>
      <c r="H7514" s="46">
        <f>SUM(G7514:G7514)</f>
        <v>14.648999999999999</v>
      </c>
      <c r="I7514" s="47"/>
      <c r="J7514" s="37">
        <v>0</v>
      </c>
    </row>
    <row r="7515" spans="1:10" ht="15.75" hidden="1" thickBot="1" x14ac:dyDescent="0.3">
      <c r="A7515" s="175"/>
      <c r="B7515" s="178"/>
      <c r="C7515" s="49"/>
      <c r="D7515" s="49"/>
      <c r="E7515" s="50"/>
      <c r="F7515" s="51" t="s">
        <v>13</v>
      </c>
      <c r="G7515" s="52" t="str">
        <f>IF(ISNUMBER(F7515),E7515*F7515,"")</f>
        <v/>
      </c>
      <c r="H7515" s="53"/>
      <c r="I7515" s="38"/>
      <c r="J7515" s="37">
        <v>0</v>
      </c>
    </row>
    <row r="7516" spans="1:10" ht="15.75" hidden="1" thickBot="1" x14ac:dyDescent="0.3">
      <c r="A7516" s="173" t="s">
        <v>1785</v>
      </c>
      <c r="B7516" s="176" t="s">
        <v>8196</v>
      </c>
      <c r="C7516" s="31"/>
      <c r="D7516" s="32" t="s">
        <v>106</v>
      </c>
      <c r="E7516" s="33"/>
      <c r="F7516" s="54" t="s">
        <v>13</v>
      </c>
      <c r="G7516" s="34" t="str">
        <f>IF(ISNUMBER(F7516),E7516*F7516,"")</f>
        <v/>
      </c>
      <c r="H7516" s="35"/>
      <c r="I7516" s="36"/>
      <c r="J7516" s="37">
        <v>0</v>
      </c>
    </row>
    <row r="7517" spans="1:10" hidden="1" x14ac:dyDescent="0.25">
      <c r="A7517" s="174"/>
      <c r="B7517" s="177"/>
      <c r="C7517" s="39"/>
      <c r="D7517" s="39"/>
      <c r="E7517" s="40"/>
      <c r="F7517" s="55" t="s">
        <v>13</v>
      </c>
      <c r="G7517" s="41" t="str">
        <f>IF(ISNUMBER(F7517),E7517*F7517,"")</f>
        <v/>
      </c>
      <c r="H7517" s="42"/>
      <c r="I7517" s="38"/>
      <c r="J7517" s="37">
        <v>0</v>
      </c>
    </row>
    <row r="7518" spans="1:10" hidden="1" x14ac:dyDescent="0.25">
      <c r="A7518" s="174"/>
      <c r="B7518" s="177"/>
      <c r="C7518" s="43" t="s">
        <v>10642</v>
      </c>
      <c r="D7518" s="43" t="s">
        <v>1044</v>
      </c>
      <c r="E7518" s="44">
        <v>0.109</v>
      </c>
      <c r="F7518" s="38">
        <v>6.9729999999999999</v>
      </c>
      <c r="G7518" s="41">
        <f>IF(ISNUMBER(F7518),E7518*F7518,"")</f>
        <v>0.76005699999999998</v>
      </c>
      <c r="H7518" s="46">
        <f>SUM(G7518:G7518)</f>
        <v>0.76005699999999998</v>
      </c>
      <c r="I7518" s="47"/>
      <c r="J7518" s="37">
        <v>0</v>
      </c>
    </row>
    <row r="7519" spans="1:10" ht="15.75" hidden="1" thickBot="1" x14ac:dyDescent="0.3">
      <c r="A7519" s="175"/>
      <c r="B7519" s="178"/>
      <c r="C7519" s="49"/>
      <c r="D7519" s="49"/>
      <c r="E7519" s="50"/>
      <c r="F7519" s="51" t="s">
        <v>13</v>
      </c>
      <c r="G7519" s="52" t="str">
        <f>IF(ISNUMBER(F7519),E7519*F7519,"")</f>
        <v/>
      </c>
      <c r="H7519" s="53"/>
      <c r="I7519" s="38"/>
      <c r="J7519" s="37">
        <v>0</v>
      </c>
    </row>
    <row r="7520" spans="1:10" ht="15.75" hidden="1" thickBot="1" x14ac:dyDescent="0.3">
      <c r="A7520" s="173" t="s">
        <v>1786</v>
      </c>
      <c r="B7520" s="176" t="s">
        <v>8197</v>
      </c>
      <c r="C7520" s="31"/>
      <c r="D7520" s="32" t="s">
        <v>8198</v>
      </c>
      <c r="E7520" s="33"/>
      <c r="F7520" s="54" t="s">
        <v>13</v>
      </c>
      <c r="G7520" s="34" t="str">
        <f>IF(ISNUMBER(F7520),E7520*F7520,"")</f>
        <v/>
      </c>
      <c r="H7520" s="35"/>
      <c r="I7520" s="36"/>
      <c r="J7520" s="37">
        <v>0</v>
      </c>
    </row>
    <row r="7521" spans="1:10" hidden="1" x14ac:dyDescent="0.25">
      <c r="A7521" s="174"/>
      <c r="B7521" s="177"/>
      <c r="C7521" s="39"/>
      <c r="D7521" s="39"/>
      <c r="E7521" s="40"/>
      <c r="F7521" s="55" t="s">
        <v>13</v>
      </c>
      <c r="G7521" s="41" t="str">
        <f>IF(ISNUMBER(F7521),E7521*F7521,"")</f>
        <v/>
      </c>
      <c r="H7521" s="42"/>
      <c r="I7521" s="38"/>
      <c r="J7521" s="37">
        <v>0</v>
      </c>
    </row>
    <row r="7522" spans="1:10" hidden="1" x14ac:dyDescent="0.25">
      <c r="A7522" s="174"/>
      <c r="B7522" s="177"/>
      <c r="C7522" s="43" t="s">
        <v>1787</v>
      </c>
      <c r="D7522" s="43" t="s">
        <v>1788</v>
      </c>
      <c r="E7522" s="44">
        <v>0.1</v>
      </c>
      <c r="F7522" s="38" t="s">
        <v>13</v>
      </c>
      <c r="G7522" s="41" t="str">
        <f>IF(ISNUMBER(F7522),E7522*F7522,"")</f>
        <v/>
      </c>
      <c r="H7522" s="46">
        <f>SUM(G7522:G7522)</f>
        <v>0</v>
      </c>
      <c r="I7522" s="47"/>
      <c r="J7522" s="37">
        <v>0</v>
      </c>
    </row>
    <row r="7523" spans="1:10" ht="15.75" hidden="1" thickBot="1" x14ac:dyDescent="0.3">
      <c r="A7523" s="175"/>
      <c r="B7523" s="178"/>
      <c r="C7523" s="49"/>
      <c r="D7523" s="49"/>
      <c r="E7523" s="50"/>
      <c r="F7523" s="51" t="s">
        <v>13</v>
      </c>
      <c r="G7523" s="52" t="str">
        <f>IF(ISNUMBER(F7523),E7523*F7523,"")</f>
        <v/>
      </c>
      <c r="H7523" s="53"/>
      <c r="I7523" s="38"/>
      <c r="J7523" s="37">
        <v>0</v>
      </c>
    </row>
    <row r="7524" spans="1:10" ht="15.75" hidden="1" thickBot="1" x14ac:dyDescent="0.3">
      <c r="A7524" s="173" t="s">
        <v>1789</v>
      </c>
      <c r="B7524" s="176" t="s">
        <v>8201</v>
      </c>
      <c r="C7524" s="31"/>
      <c r="D7524" s="32" t="s">
        <v>18</v>
      </c>
      <c r="E7524" s="33"/>
      <c r="F7524" s="54" t="s">
        <v>13</v>
      </c>
      <c r="G7524" s="34" t="str">
        <f>IF(ISNUMBER(F7524),E7524*F7524,"")</f>
        <v/>
      </c>
      <c r="H7524" s="35"/>
      <c r="I7524" s="36"/>
      <c r="J7524" s="37">
        <v>0</v>
      </c>
    </row>
    <row r="7525" spans="1:10" hidden="1" x14ac:dyDescent="0.25">
      <c r="A7525" s="174"/>
      <c r="B7525" s="177"/>
      <c r="C7525" s="39"/>
      <c r="D7525" s="39"/>
      <c r="E7525" s="40"/>
      <c r="F7525" s="55" t="s">
        <v>13</v>
      </c>
      <c r="G7525" s="41" t="str">
        <f>IF(ISNUMBER(F7525),E7525*F7525,"")</f>
        <v/>
      </c>
      <c r="H7525" s="42"/>
      <c r="I7525" s="38"/>
      <c r="J7525" s="37">
        <v>0</v>
      </c>
    </row>
    <row r="7526" spans="1:10" hidden="1" x14ac:dyDescent="0.25">
      <c r="A7526" s="174"/>
      <c r="B7526" s="177"/>
      <c r="C7526" s="43" t="s">
        <v>1790</v>
      </c>
      <c r="D7526" s="43" t="s">
        <v>18</v>
      </c>
      <c r="E7526" s="44">
        <v>1</v>
      </c>
      <c r="F7526" s="38" t="s">
        <v>13</v>
      </c>
      <c r="G7526" s="41" t="str">
        <f>IF(ISNUMBER(F7526),E7526*F7526,"")</f>
        <v/>
      </c>
      <c r="H7526" s="46">
        <f>SUM(G7526:G7526)</f>
        <v>0</v>
      </c>
      <c r="I7526" s="47"/>
      <c r="J7526" s="37">
        <v>0</v>
      </c>
    </row>
    <row r="7527" spans="1:10" ht="15.75" hidden="1" thickBot="1" x14ac:dyDescent="0.3">
      <c r="A7527" s="175"/>
      <c r="B7527" s="178"/>
      <c r="C7527" s="49"/>
      <c r="D7527" s="49"/>
      <c r="E7527" s="50"/>
      <c r="F7527" s="51" t="s">
        <v>13</v>
      </c>
      <c r="G7527" s="52" t="str">
        <f>IF(ISNUMBER(F7527),E7527*F7527,"")</f>
        <v/>
      </c>
      <c r="H7527" s="53"/>
      <c r="I7527" s="38"/>
      <c r="J7527" s="37">
        <v>0</v>
      </c>
    </row>
    <row r="7528" spans="1:10" ht="15.75" hidden="1" thickBot="1" x14ac:dyDescent="0.3">
      <c r="A7528" s="173" t="s">
        <v>1791</v>
      </c>
      <c r="B7528" s="176" t="s">
        <v>8202</v>
      </c>
      <c r="C7528" s="31"/>
      <c r="D7528" s="32" t="s">
        <v>18</v>
      </c>
      <c r="E7528" s="33"/>
      <c r="F7528" s="54" t="s">
        <v>13</v>
      </c>
      <c r="G7528" s="34" t="str">
        <f>IF(ISNUMBER(F7528),E7528*F7528,"")</f>
        <v/>
      </c>
      <c r="H7528" s="35"/>
      <c r="I7528" s="36"/>
      <c r="J7528" s="37">
        <v>0</v>
      </c>
    </row>
    <row r="7529" spans="1:10" hidden="1" x14ac:dyDescent="0.25">
      <c r="A7529" s="174"/>
      <c r="B7529" s="177"/>
      <c r="C7529" s="39"/>
      <c r="D7529" s="39"/>
      <c r="E7529" s="40"/>
      <c r="F7529" s="55" t="s">
        <v>13</v>
      </c>
      <c r="G7529" s="41" t="str">
        <f>IF(ISNUMBER(F7529),E7529*F7529,"")</f>
        <v/>
      </c>
      <c r="H7529" s="42"/>
      <c r="I7529" s="38"/>
      <c r="J7529" s="37">
        <v>0</v>
      </c>
    </row>
    <row r="7530" spans="1:10" hidden="1" x14ac:dyDescent="0.25">
      <c r="A7530" s="174"/>
      <c r="B7530" s="177"/>
      <c r="C7530" s="43" t="s">
        <v>1792</v>
      </c>
      <c r="D7530" s="43" t="s">
        <v>18</v>
      </c>
      <c r="E7530" s="44">
        <v>1</v>
      </c>
      <c r="F7530" s="38" t="s">
        <v>13</v>
      </c>
      <c r="G7530" s="41" t="str">
        <f>IF(ISNUMBER(F7530),E7530*F7530,"")</f>
        <v/>
      </c>
      <c r="H7530" s="46">
        <f>SUM(G7530:G7530)</f>
        <v>0</v>
      </c>
      <c r="I7530" s="47"/>
      <c r="J7530" s="37">
        <v>0</v>
      </c>
    </row>
    <row r="7531" spans="1:10" ht="15.75" hidden="1" thickBot="1" x14ac:dyDescent="0.3">
      <c r="A7531" s="175"/>
      <c r="B7531" s="178"/>
      <c r="C7531" s="43"/>
      <c r="D7531" s="49"/>
      <c r="E7531" s="50"/>
      <c r="F7531" s="51" t="s">
        <v>13</v>
      </c>
      <c r="G7531" s="52" t="str">
        <f>IF(ISNUMBER(F7531),E7531*F7531,"")</f>
        <v/>
      </c>
      <c r="H7531" s="53"/>
      <c r="I7531" s="38"/>
      <c r="J7531" s="37">
        <v>0</v>
      </c>
    </row>
    <row r="7532" spans="1:10" ht="15.75" hidden="1" thickBot="1" x14ac:dyDescent="0.3">
      <c r="A7532" s="173" t="s">
        <v>1793</v>
      </c>
      <c r="B7532" s="176" t="s">
        <v>8207</v>
      </c>
      <c r="C7532" s="31"/>
      <c r="D7532" s="32" t="s">
        <v>18</v>
      </c>
      <c r="E7532" s="33"/>
      <c r="F7532" s="54" t="s">
        <v>13</v>
      </c>
      <c r="G7532" s="34" t="str">
        <f>IF(ISNUMBER(F7532),E7532*F7532,"")</f>
        <v/>
      </c>
      <c r="H7532" s="35"/>
      <c r="I7532" s="36"/>
      <c r="J7532" s="37">
        <v>0</v>
      </c>
    </row>
    <row r="7533" spans="1:10" hidden="1" x14ac:dyDescent="0.25">
      <c r="A7533" s="174"/>
      <c r="B7533" s="177"/>
      <c r="C7533" s="39"/>
      <c r="D7533" s="39"/>
      <c r="E7533" s="40"/>
      <c r="F7533" s="55" t="s">
        <v>13</v>
      </c>
      <c r="G7533" s="41" t="str">
        <f>IF(ISNUMBER(F7533),E7533*F7533,"")</f>
        <v/>
      </c>
      <c r="H7533" s="42"/>
      <c r="I7533" s="38"/>
      <c r="J7533" s="37">
        <v>0</v>
      </c>
    </row>
    <row r="7534" spans="1:10" hidden="1" x14ac:dyDescent="0.25">
      <c r="A7534" s="174"/>
      <c r="B7534" s="177"/>
      <c r="C7534" s="43" t="s">
        <v>1794</v>
      </c>
      <c r="D7534" s="43" t="s">
        <v>18</v>
      </c>
      <c r="E7534" s="44">
        <v>1</v>
      </c>
      <c r="F7534" s="38" t="s">
        <v>13</v>
      </c>
      <c r="G7534" s="41" t="str">
        <f>IF(ISNUMBER(F7534),E7534*F7534,"")</f>
        <v/>
      </c>
      <c r="H7534" s="46">
        <f>SUM(G7534:G7534)</f>
        <v>0</v>
      </c>
      <c r="I7534" s="47"/>
      <c r="J7534" s="37">
        <v>0</v>
      </c>
    </row>
    <row r="7535" spans="1:10" ht="15.75" hidden="1" thickBot="1" x14ac:dyDescent="0.3">
      <c r="A7535" s="175"/>
      <c r="B7535" s="178"/>
      <c r="C7535" s="49"/>
      <c r="D7535" s="49"/>
      <c r="E7535" s="50"/>
      <c r="F7535" s="51" t="s">
        <v>13</v>
      </c>
      <c r="G7535" s="52" t="str">
        <f>IF(ISNUMBER(F7535),E7535*F7535,"")</f>
        <v/>
      </c>
      <c r="H7535" s="53"/>
      <c r="I7535" s="38"/>
      <c r="J7535" s="37">
        <v>0</v>
      </c>
    </row>
    <row r="7536" spans="1:10" ht="15.75" hidden="1" thickBot="1" x14ac:dyDescent="0.3">
      <c r="A7536" s="173" t="s">
        <v>1795</v>
      </c>
      <c r="B7536" s="176" t="s">
        <v>8208</v>
      </c>
      <c r="C7536" s="31"/>
      <c r="D7536" s="32" t="s">
        <v>18</v>
      </c>
      <c r="E7536" s="33"/>
      <c r="F7536" s="54" t="s">
        <v>13</v>
      </c>
      <c r="G7536" s="34" t="str">
        <f>IF(ISNUMBER(F7536),E7536*F7536,"")</f>
        <v/>
      </c>
      <c r="H7536" s="35"/>
      <c r="I7536" s="36"/>
      <c r="J7536" s="37">
        <v>0</v>
      </c>
    </row>
    <row r="7537" spans="1:10" hidden="1" x14ac:dyDescent="0.25">
      <c r="A7537" s="174"/>
      <c r="B7537" s="177"/>
      <c r="C7537" s="39"/>
      <c r="D7537" s="39"/>
      <c r="E7537" s="40"/>
      <c r="F7537" s="55" t="s">
        <v>13</v>
      </c>
      <c r="G7537" s="41" t="str">
        <f>IF(ISNUMBER(F7537),E7537*F7537,"")</f>
        <v/>
      </c>
      <c r="H7537" s="42"/>
      <c r="I7537" s="38"/>
      <c r="J7537" s="37">
        <v>0</v>
      </c>
    </row>
    <row r="7538" spans="1:10" hidden="1" x14ac:dyDescent="0.25">
      <c r="A7538" s="174"/>
      <c r="B7538" s="177"/>
      <c r="C7538" s="43" t="s">
        <v>1796</v>
      </c>
      <c r="D7538" s="43" t="s">
        <v>18</v>
      </c>
      <c r="E7538" s="44">
        <v>1</v>
      </c>
      <c r="F7538" s="38" t="s">
        <v>13</v>
      </c>
      <c r="G7538" s="41" t="str">
        <f>IF(ISNUMBER(F7538),E7538*F7538,"")</f>
        <v/>
      </c>
      <c r="H7538" s="46">
        <f>SUM(G7538:G7538)</f>
        <v>0</v>
      </c>
      <c r="I7538" s="47"/>
      <c r="J7538" s="37">
        <v>0</v>
      </c>
    </row>
    <row r="7539" spans="1:10" ht="15.75" hidden="1" thickBot="1" x14ac:dyDescent="0.3">
      <c r="A7539" s="175"/>
      <c r="B7539" s="178"/>
      <c r="C7539" s="49"/>
      <c r="D7539" s="49"/>
      <c r="E7539" s="50"/>
      <c r="F7539" s="51" t="s">
        <v>13</v>
      </c>
      <c r="G7539" s="52" t="str">
        <f>IF(ISNUMBER(F7539),E7539*F7539,"")</f>
        <v/>
      </c>
      <c r="H7539" s="53"/>
      <c r="I7539" s="38"/>
      <c r="J7539" s="37">
        <v>0</v>
      </c>
    </row>
    <row r="7540" spans="1:10" ht="15.75" hidden="1" thickBot="1" x14ac:dyDescent="0.3">
      <c r="A7540" s="173" t="s">
        <v>1797</v>
      </c>
      <c r="B7540" s="176" t="s">
        <v>8209</v>
      </c>
      <c r="C7540" s="31"/>
      <c r="D7540" s="32" t="s">
        <v>106</v>
      </c>
      <c r="E7540" s="33"/>
      <c r="F7540" s="54" t="s">
        <v>13</v>
      </c>
      <c r="G7540" s="34" t="str">
        <f>IF(ISNUMBER(F7540),E7540*F7540,"")</f>
        <v/>
      </c>
      <c r="H7540" s="35"/>
      <c r="I7540" s="36"/>
      <c r="J7540" s="37">
        <v>0</v>
      </c>
    </row>
    <row r="7541" spans="1:10" hidden="1" x14ac:dyDescent="0.25">
      <c r="A7541" s="174"/>
      <c r="B7541" s="177"/>
      <c r="C7541" s="39"/>
      <c r="D7541" s="39"/>
      <c r="E7541" s="40"/>
      <c r="F7541" s="55" t="s">
        <v>13</v>
      </c>
      <c r="G7541" s="41" t="str">
        <f>IF(ISNUMBER(F7541),E7541*F7541,"")</f>
        <v/>
      </c>
      <c r="H7541" s="42"/>
      <c r="I7541" s="38"/>
      <c r="J7541" s="37">
        <v>0</v>
      </c>
    </row>
    <row r="7542" spans="1:10" hidden="1" x14ac:dyDescent="0.25">
      <c r="A7542" s="174"/>
      <c r="B7542" s="177"/>
      <c r="C7542" s="43" t="s">
        <v>11207</v>
      </c>
      <c r="D7542" s="43" t="s">
        <v>1302</v>
      </c>
      <c r="E7542" s="44">
        <v>1</v>
      </c>
      <c r="F7542" s="38">
        <v>15.038499999999999</v>
      </c>
      <c r="G7542" s="41">
        <f>IF(ISNUMBER(F7542),E7542*F7542,"")</f>
        <v>15.038499999999999</v>
      </c>
      <c r="H7542" s="46">
        <f>SUM(G7542:G7542)</f>
        <v>15.038499999999999</v>
      </c>
      <c r="I7542" s="47"/>
      <c r="J7542" s="37">
        <v>0</v>
      </c>
    </row>
    <row r="7543" spans="1:10" ht="15.75" hidden="1" thickBot="1" x14ac:dyDescent="0.3">
      <c r="A7543" s="175"/>
      <c r="B7543" s="178"/>
      <c r="C7543" s="49"/>
      <c r="D7543" s="49"/>
      <c r="E7543" s="50"/>
      <c r="F7543" s="51" t="s">
        <v>13</v>
      </c>
      <c r="G7543" s="52" t="str">
        <f>IF(ISNUMBER(F7543),E7543*F7543,"")</f>
        <v/>
      </c>
      <c r="H7543" s="53"/>
      <c r="I7543" s="38"/>
      <c r="J7543" s="37">
        <v>0</v>
      </c>
    </row>
    <row r="7544" spans="1:10" ht="15.75" hidden="1" thickBot="1" x14ac:dyDescent="0.3">
      <c r="A7544" s="173" t="s">
        <v>1798</v>
      </c>
      <c r="B7544" s="176" t="s">
        <v>8210</v>
      </c>
      <c r="C7544" s="31"/>
      <c r="D7544" s="32" t="s">
        <v>106</v>
      </c>
      <c r="E7544" s="33"/>
      <c r="F7544" s="54" t="s">
        <v>13</v>
      </c>
      <c r="G7544" s="34" t="str">
        <f>IF(ISNUMBER(F7544),E7544*F7544,"")</f>
        <v/>
      </c>
      <c r="H7544" s="35"/>
      <c r="I7544" s="36"/>
      <c r="J7544" s="37">
        <v>0</v>
      </c>
    </row>
    <row r="7545" spans="1:10" hidden="1" x14ac:dyDescent="0.25">
      <c r="A7545" s="174"/>
      <c r="B7545" s="177"/>
      <c r="C7545" s="39"/>
      <c r="D7545" s="39"/>
      <c r="E7545" s="40"/>
      <c r="F7545" s="55" t="s">
        <v>13</v>
      </c>
      <c r="G7545" s="41" t="str">
        <f>IF(ISNUMBER(F7545),E7545*F7545,"")</f>
        <v/>
      </c>
      <c r="H7545" s="42"/>
      <c r="I7545" s="38"/>
      <c r="J7545" s="37">
        <v>0</v>
      </c>
    </row>
    <row r="7546" spans="1:10" hidden="1" x14ac:dyDescent="0.25">
      <c r="A7546" s="174"/>
      <c r="B7546" s="177"/>
      <c r="C7546" s="43" t="s">
        <v>11208</v>
      </c>
      <c r="D7546" s="43" t="s">
        <v>1302</v>
      </c>
      <c r="E7546" s="44">
        <v>1</v>
      </c>
      <c r="F7546" s="38">
        <v>20.833499999999997</v>
      </c>
      <c r="G7546" s="41">
        <f>IF(ISNUMBER(F7546),E7546*F7546,"")</f>
        <v>20.833499999999997</v>
      </c>
      <c r="H7546" s="46">
        <f>SUM(G7546:G7546)</f>
        <v>20.833499999999997</v>
      </c>
      <c r="I7546" s="47"/>
      <c r="J7546" s="37">
        <v>0</v>
      </c>
    </row>
    <row r="7547" spans="1:10" ht="15.75" hidden="1" thickBot="1" x14ac:dyDescent="0.3">
      <c r="A7547" s="175"/>
      <c r="B7547" s="178"/>
      <c r="C7547" s="49"/>
      <c r="D7547" s="49"/>
      <c r="E7547" s="50"/>
      <c r="F7547" s="51" t="s">
        <v>13</v>
      </c>
      <c r="G7547" s="52" t="str">
        <f>IF(ISNUMBER(F7547),E7547*F7547,"")</f>
        <v/>
      </c>
      <c r="H7547" s="53"/>
      <c r="I7547" s="38"/>
      <c r="J7547" s="37">
        <v>0</v>
      </c>
    </row>
    <row r="7548" spans="1:10" ht="15.75" hidden="1" thickBot="1" x14ac:dyDescent="0.3">
      <c r="A7548" s="173" t="s">
        <v>1799</v>
      </c>
      <c r="B7548" s="176" t="s">
        <v>8215</v>
      </c>
      <c r="C7548" s="31"/>
      <c r="D7548" s="32" t="s">
        <v>68</v>
      </c>
      <c r="E7548" s="33"/>
      <c r="F7548" s="60" t="s">
        <v>13</v>
      </c>
      <c r="G7548" s="34" t="str">
        <f>IF(ISNUMBER(F7548),E7548*F7548,"")</f>
        <v/>
      </c>
      <c r="H7548" s="35"/>
      <c r="I7548" s="36"/>
      <c r="J7548" s="37">
        <v>0</v>
      </c>
    </row>
    <row r="7549" spans="1:10" hidden="1" x14ac:dyDescent="0.25">
      <c r="A7549" s="179"/>
      <c r="B7549" s="177"/>
      <c r="C7549" s="39"/>
      <c r="D7549" s="39"/>
      <c r="E7549" s="40"/>
      <c r="F7549" s="70" t="s">
        <v>13</v>
      </c>
      <c r="G7549" s="70" t="str">
        <f>IF(ISNUMBER(F7549),E7549*F7549,"")</f>
        <v/>
      </c>
      <c r="H7549" s="71"/>
      <c r="I7549" s="72"/>
      <c r="J7549" s="37">
        <v>0</v>
      </c>
    </row>
    <row r="7550" spans="1:10" ht="38.25" hidden="1" x14ac:dyDescent="0.25">
      <c r="A7550" s="179"/>
      <c r="B7550" s="177"/>
      <c r="C7550" s="43" t="s">
        <v>11477</v>
      </c>
      <c r="D7550" s="43" t="s">
        <v>162</v>
      </c>
      <c r="E7550" s="44">
        <v>1.05</v>
      </c>
      <c r="F7550" s="38">
        <v>300.41849999999999</v>
      </c>
      <c r="G7550" s="70">
        <f>IF(ISNUMBER(F7550),E7550*F7550,"")</f>
        <v>315.43942500000003</v>
      </c>
      <c r="H7550" s="46">
        <f>SUM(G7550:G7553)</f>
        <v>386.59628700000002</v>
      </c>
      <c r="I7550" s="47"/>
      <c r="J7550" s="37">
        <v>0</v>
      </c>
    </row>
    <row r="7551" spans="1:10" hidden="1" x14ac:dyDescent="0.25">
      <c r="A7551" s="179"/>
      <c r="B7551" s="177"/>
      <c r="C7551" s="43" t="s">
        <v>10880</v>
      </c>
      <c r="D7551" s="43" t="s">
        <v>1044</v>
      </c>
      <c r="E7551" s="44">
        <v>9.8000000000000007</v>
      </c>
      <c r="F7551" s="41">
        <v>2.0425</v>
      </c>
      <c r="G7551" s="41">
        <f>IF(ISNUMBER(F7551),E7551*F7551,"")</f>
        <v>20.016500000000001</v>
      </c>
      <c r="H7551" s="42"/>
      <c r="I7551" s="38"/>
      <c r="J7551" s="37">
        <v>0</v>
      </c>
    </row>
    <row r="7552" spans="1:10" hidden="1" x14ac:dyDescent="0.25">
      <c r="A7552" s="179"/>
      <c r="B7552" s="177"/>
      <c r="C7552" s="43" t="s">
        <v>10826</v>
      </c>
      <c r="D7552" s="43" t="s">
        <v>2800</v>
      </c>
      <c r="E7552" s="44">
        <v>1.196</v>
      </c>
      <c r="F7552" s="38">
        <v>30.912999999999997</v>
      </c>
      <c r="G7552" s="70">
        <f>IF(ISNUMBER(F7552),E7552*F7552,"")</f>
        <v>36.971947999999998</v>
      </c>
      <c r="H7552" s="57"/>
      <c r="I7552" s="47"/>
      <c r="J7552" s="37">
        <v>0</v>
      </c>
    </row>
    <row r="7553" spans="1:10" hidden="1" x14ac:dyDescent="0.25">
      <c r="A7553" s="179"/>
      <c r="B7553" s="177"/>
      <c r="C7553" s="43" t="s">
        <v>10614</v>
      </c>
      <c r="D7553" s="43" t="s">
        <v>2800</v>
      </c>
      <c r="E7553" s="44">
        <v>0.59799999999999998</v>
      </c>
      <c r="F7553" s="38">
        <v>23.693000000000001</v>
      </c>
      <c r="G7553" s="70">
        <f>IF(ISNUMBER(F7553),E7553*F7553,"")</f>
        <v>14.168414</v>
      </c>
      <c r="H7553" s="57"/>
      <c r="I7553" s="47"/>
      <c r="J7553" s="37">
        <v>0</v>
      </c>
    </row>
    <row r="7554" spans="1:10" ht="15.75" hidden="1" thickBot="1" x14ac:dyDescent="0.3">
      <c r="A7554" s="180"/>
      <c r="B7554" s="178"/>
      <c r="C7554" s="49"/>
      <c r="D7554" s="63"/>
      <c r="E7554" s="50"/>
      <c r="F7554" s="83" t="s">
        <v>13</v>
      </c>
      <c r="G7554" s="83" t="str">
        <f>IF(ISNUMBER(F7554),E7554*F7554,"")</f>
        <v/>
      </c>
      <c r="H7554" s="84"/>
      <c r="I7554" s="72"/>
      <c r="J7554" s="37">
        <v>0</v>
      </c>
    </row>
    <row r="7555" spans="1:10" ht="15.75" hidden="1" thickBot="1" x14ac:dyDescent="0.3">
      <c r="A7555" s="173" t="s">
        <v>1800</v>
      </c>
      <c r="B7555" s="176" t="s">
        <v>8220</v>
      </c>
      <c r="C7555" s="31"/>
      <c r="D7555" s="32" t="s">
        <v>106</v>
      </c>
      <c r="E7555" s="33"/>
      <c r="F7555" s="60" t="s">
        <v>13</v>
      </c>
      <c r="G7555" s="34" t="str">
        <f>IF(ISNUMBER(F7555),E7555*F7555,"")</f>
        <v/>
      </c>
      <c r="H7555" s="35"/>
      <c r="I7555" s="36"/>
      <c r="J7555" s="37">
        <v>0</v>
      </c>
    </row>
    <row r="7556" spans="1:10" hidden="1" x14ac:dyDescent="0.25">
      <c r="A7556" s="179"/>
      <c r="B7556" s="177"/>
      <c r="C7556" s="39"/>
      <c r="D7556" s="39"/>
      <c r="E7556" s="40"/>
      <c r="F7556" s="70" t="s">
        <v>13</v>
      </c>
      <c r="G7556" s="70" t="str">
        <f>IF(ISNUMBER(F7556),E7556*F7556,"")</f>
        <v/>
      </c>
      <c r="H7556" s="71"/>
      <c r="I7556" s="72"/>
      <c r="J7556" s="37">
        <v>0</v>
      </c>
    </row>
    <row r="7557" spans="1:10" ht="38.25" hidden="1" x14ac:dyDescent="0.25">
      <c r="A7557" s="179"/>
      <c r="B7557" s="177"/>
      <c r="C7557" s="43" t="s">
        <v>11478</v>
      </c>
      <c r="D7557" s="43" t="s">
        <v>1302</v>
      </c>
      <c r="E7557" s="44">
        <v>1.1000000000000001</v>
      </c>
      <c r="F7557" s="38">
        <v>11.589999999999998</v>
      </c>
      <c r="G7557" s="70">
        <f>IF(ISNUMBER(F7557),E7557*F7557,"")</f>
        <v>12.748999999999999</v>
      </c>
      <c r="H7557" s="46">
        <f>SUM(G7557:G7559)</f>
        <v>22.452428250000001</v>
      </c>
      <c r="I7557" s="47"/>
      <c r="J7557" s="37">
        <v>0</v>
      </c>
    </row>
    <row r="7558" spans="1:10" hidden="1" x14ac:dyDescent="0.25">
      <c r="A7558" s="179"/>
      <c r="B7558" s="177"/>
      <c r="C7558" s="43" t="s">
        <v>10762</v>
      </c>
      <c r="D7558" s="43" t="s">
        <v>2800</v>
      </c>
      <c r="E7558" s="44">
        <v>0.1721</v>
      </c>
      <c r="F7558" s="41">
        <v>24.946999999999999</v>
      </c>
      <c r="G7558" s="41">
        <f>IF(ISNUMBER(F7558),E7558*F7558,"")</f>
        <v>4.2933786999999999</v>
      </c>
      <c r="H7558" s="42"/>
      <c r="I7558" s="38"/>
      <c r="J7558" s="37">
        <v>0</v>
      </c>
    </row>
    <row r="7559" spans="1:10" hidden="1" x14ac:dyDescent="0.25">
      <c r="A7559" s="179"/>
      <c r="B7559" s="177"/>
      <c r="C7559" s="43" t="s">
        <v>10763</v>
      </c>
      <c r="D7559" s="43" t="s">
        <v>2800</v>
      </c>
      <c r="E7559" s="44">
        <v>0.1721</v>
      </c>
      <c r="F7559" s="38">
        <v>31.435500000000001</v>
      </c>
      <c r="G7559" s="70">
        <f>IF(ISNUMBER(F7559),E7559*F7559,"")</f>
        <v>5.4100495500000001</v>
      </c>
      <c r="H7559" s="57"/>
      <c r="I7559" s="47"/>
      <c r="J7559" s="37">
        <v>0</v>
      </c>
    </row>
    <row r="7560" spans="1:10" ht="15.75" hidden="1" thickBot="1" x14ac:dyDescent="0.3">
      <c r="A7560" s="180"/>
      <c r="B7560" s="178"/>
      <c r="C7560" s="49"/>
      <c r="D7560" s="63"/>
      <c r="E7560" s="50"/>
      <c r="F7560" s="83" t="s">
        <v>13</v>
      </c>
      <c r="G7560" s="83" t="str">
        <f>IF(ISNUMBER(F7560),E7560*F7560,"")</f>
        <v/>
      </c>
      <c r="H7560" s="84"/>
      <c r="I7560" s="72"/>
      <c r="J7560" s="37">
        <v>0</v>
      </c>
    </row>
    <row r="7561" spans="1:10" ht="15.75" hidden="1" thickBot="1" x14ac:dyDescent="0.3">
      <c r="A7561" s="173" t="s">
        <v>1801</v>
      </c>
      <c r="B7561" s="176" t="s">
        <v>8227</v>
      </c>
      <c r="C7561" s="31"/>
      <c r="D7561" s="32" t="s">
        <v>18</v>
      </c>
      <c r="E7561" s="33"/>
      <c r="F7561" s="60" t="s">
        <v>13</v>
      </c>
      <c r="G7561" s="34" t="str">
        <f>IF(ISNUMBER(F7561),E7561*F7561,"")</f>
        <v/>
      </c>
      <c r="H7561" s="35"/>
      <c r="I7561" s="36"/>
      <c r="J7561" s="37">
        <v>0</v>
      </c>
    </row>
    <row r="7562" spans="1:10" hidden="1" x14ac:dyDescent="0.25">
      <c r="A7562" s="179"/>
      <c r="B7562" s="177"/>
      <c r="C7562" s="39"/>
      <c r="D7562" s="39"/>
      <c r="E7562" s="40"/>
      <c r="F7562" s="70" t="s">
        <v>13</v>
      </c>
      <c r="G7562" s="70" t="str">
        <f>IF(ISNUMBER(F7562),E7562*F7562,"")</f>
        <v/>
      </c>
      <c r="H7562" s="71"/>
      <c r="I7562" s="72"/>
      <c r="J7562" s="37">
        <v>0</v>
      </c>
    </row>
    <row r="7563" spans="1:10" ht="51" hidden="1" x14ac:dyDescent="0.25">
      <c r="A7563" s="179"/>
      <c r="B7563" s="177"/>
      <c r="C7563" s="43" t="s">
        <v>10787</v>
      </c>
      <c r="D7563" s="43" t="s">
        <v>10677</v>
      </c>
      <c r="E7563" s="44">
        <v>0.98652010000000001</v>
      </c>
      <c r="F7563" s="38">
        <v>70.727500000000006</v>
      </c>
      <c r="G7563" s="70">
        <f>IF(ISNUMBER(F7563),E7563*F7563,"")</f>
        <v>69.774100372750013</v>
      </c>
      <c r="H7563" s="46">
        <f>SUM(G7563:G7567)</f>
        <v>1628.8936795974</v>
      </c>
      <c r="I7563" s="47"/>
      <c r="J7563" s="37">
        <v>0</v>
      </c>
    </row>
    <row r="7564" spans="1:10" ht="51" hidden="1" x14ac:dyDescent="0.25">
      <c r="A7564" s="179"/>
      <c r="B7564" s="177"/>
      <c r="C7564" s="43" t="s">
        <v>10786</v>
      </c>
      <c r="D7564" s="43" t="s">
        <v>1050</v>
      </c>
      <c r="E7564" s="44">
        <v>7.3160000000000003E-2</v>
      </c>
      <c r="F7564" s="41">
        <v>266.43699999999995</v>
      </c>
      <c r="G7564" s="41">
        <f>IF(ISNUMBER(F7564),E7564*F7564,"")</f>
        <v>19.492530919999997</v>
      </c>
      <c r="H7564" s="42"/>
      <c r="I7564" s="38"/>
      <c r="J7564" s="37">
        <v>0</v>
      </c>
    </row>
    <row r="7565" spans="1:10" hidden="1" x14ac:dyDescent="0.25">
      <c r="A7565" s="179"/>
      <c r="B7565" s="177"/>
      <c r="C7565" s="43" t="s">
        <v>10762</v>
      </c>
      <c r="D7565" s="43" t="s">
        <v>2800</v>
      </c>
      <c r="E7565" s="44">
        <v>0.91490910000000003</v>
      </c>
      <c r="F7565" s="38">
        <v>24.946999999999999</v>
      </c>
      <c r="G7565" s="70">
        <f>IF(ISNUMBER(F7565),E7565*F7565,"")</f>
        <v>22.8242373177</v>
      </c>
      <c r="H7565" s="57"/>
      <c r="I7565" s="47"/>
      <c r="J7565" s="37">
        <v>0</v>
      </c>
    </row>
    <row r="7566" spans="1:10" hidden="1" x14ac:dyDescent="0.25">
      <c r="A7566" s="179"/>
      <c r="B7566" s="177"/>
      <c r="C7566" s="43" t="s">
        <v>10763</v>
      </c>
      <c r="D7566" s="43" t="s">
        <v>2800</v>
      </c>
      <c r="E7566" s="44">
        <v>4.1170909</v>
      </c>
      <c r="F7566" s="38">
        <v>31.435500000000001</v>
      </c>
      <c r="G7566" s="70">
        <f>IF(ISNUMBER(F7566),E7566*F7566,"")</f>
        <v>129.42281098695</v>
      </c>
      <c r="H7566" s="57"/>
      <c r="I7566" s="47"/>
      <c r="J7566" s="37">
        <v>0</v>
      </c>
    </row>
    <row r="7567" spans="1:10" ht="25.5" hidden="1" x14ac:dyDescent="0.25">
      <c r="A7567" s="179"/>
      <c r="B7567" s="177"/>
      <c r="C7567" s="43" t="s">
        <v>11479</v>
      </c>
      <c r="D7567" s="43" t="s">
        <v>83</v>
      </c>
      <c r="E7567" s="44">
        <v>1</v>
      </c>
      <c r="F7567" s="38">
        <v>1387.38</v>
      </c>
      <c r="G7567" s="70">
        <f>IF(ISNUMBER(F7567),E7567*F7567,"")</f>
        <v>1387.38</v>
      </c>
      <c r="H7567" s="57"/>
      <c r="I7567" s="47"/>
      <c r="J7567" s="37">
        <v>0</v>
      </c>
    </row>
    <row r="7568" spans="1:10" ht="15.75" hidden="1" thickBot="1" x14ac:dyDescent="0.3">
      <c r="A7568" s="180"/>
      <c r="B7568" s="178"/>
      <c r="C7568" s="49"/>
      <c r="D7568" s="63"/>
      <c r="E7568" s="50"/>
      <c r="F7568" s="83" t="s">
        <v>13</v>
      </c>
      <c r="G7568" s="83" t="str">
        <f>IF(ISNUMBER(F7568),E7568*F7568,"")</f>
        <v/>
      </c>
      <c r="H7568" s="84"/>
      <c r="I7568" s="72"/>
      <c r="J7568" s="37">
        <v>0</v>
      </c>
    </row>
    <row r="7569" spans="1:10" ht="15.75" hidden="1" thickBot="1" x14ac:dyDescent="0.3">
      <c r="A7569" s="173" t="s">
        <v>1802</v>
      </c>
      <c r="B7569" s="176" t="s">
        <v>8228</v>
      </c>
      <c r="C7569" s="31"/>
      <c r="D7569" s="32" t="s">
        <v>18</v>
      </c>
      <c r="E7569" s="33"/>
      <c r="F7569" s="60" t="s">
        <v>13</v>
      </c>
      <c r="G7569" s="34" t="str">
        <f>IF(ISNUMBER(F7569),E7569*F7569,"")</f>
        <v/>
      </c>
      <c r="H7569" s="35"/>
      <c r="I7569" s="36"/>
      <c r="J7569" s="37">
        <v>0</v>
      </c>
    </row>
    <row r="7570" spans="1:10" hidden="1" x14ac:dyDescent="0.25">
      <c r="A7570" s="179"/>
      <c r="B7570" s="177"/>
      <c r="C7570" s="39"/>
      <c r="D7570" s="39"/>
      <c r="E7570" s="40"/>
      <c r="F7570" s="70" t="s">
        <v>13</v>
      </c>
      <c r="G7570" s="70" t="str">
        <f>IF(ISNUMBER(F7570),E7570*F7570,"")</f>
        <v/>
      </c>
      <c r="H7570" s="71"/>
      <c r="I7570" s="72"/>
      <c r="J7570" s="37">
        <v>0</v>
      </c>
    </row>
    <row r="7571" spans="1:10" ht="51" hidden="1" x14ac:dyDescent="0.25">
      <c r="A7571" s="179"/>
      <c r="B7571" s="177"/>
      <c r="C7571" s="43" t="s">
        <v>10787</v>
      </c>
      <c r="D7571" s="43" t="s">
        <v>10677</v>
      </c>
      <c r="E7571" s="44">
        <v>0.98652010000000001</v>
      </c>
      <c r="F7571" s="38">
        <v>70.727500000000006</v>
      </c>
      <c r="G7571" s="70">
        <f>IF(ISNUMBER(F7571),E7571*F7571,"")</f>
        <v>69.774100372750013</v>
      </c>
      <c r="H7571" s="46">
        <f>SUM(G7571:G7575)</f>
        <v>1224.4214212867</v>
      </c>
      <c r="I7571" s="47"/>
      <c r="J7571" s="37">
        <v>0</v>
      </c>
    </row>
    <row r="7572" spans="1:10" ht="51" hidden="1" x14ac:dyDescent="0.25">
      <c r="A7572" s="179"/>
      <c r="B7572" s="177"/>
      <c r="C7572" s="43" t="s">
        <v>10786</v>
      </c>
      <c r="D7572" s="43" t="s">
        <v>1050</v>
      </c>
      <c r="E7572" s="44">
        <v>0.1124</v>
      </c>
      <c r="F7572" s="41">
        <v>266.43699999999995</v>
      </c>
      <c r="G7572" s="41">
        <f>IF(ISNUMBER(F7572),E7572*F7572,"")</f>
        <v>29.947518799999994</v>
      </c>
      <c r="H7572" s="42"/>
      <c r="I7572" s="38"/>
      <c r="J7572" s="37">
        <v>0</v>
      </c>
    </row>
    <row r="7573" spans="1:10" hidden="1" x14ac:dyDescent="0.25">
      <c r="A7573" s="179"/>
      <c r="B7573" s="177"/>
      <c r="C7573" s="43" t="s">
        <v>10762</v>
      </c>
      <c r="D7573" s="43" t="s">
        <v>2800</v>
      </c>
      <c r="E7573" s="44">
        <v>1.5591273000000001</v>
      </c>
      <c r="F7573" s="38">
        <v>24.946999999999999</v>
      </c>
      <c r="G7573" s="70">
        <f>IF(ISNUMBER(F7573),E7573*F7573,"")</f>
        <v>38.895548753100002</v>
      </c>
      <c r="H7573" s="57"/>
      <c r="I7573" s="47"/>
      <c r="J7573" s="37">
        <v>0</v>
      </c>
    </row>
    <row r="7574" spans="1:10" hidden="1" x14ac:dyDescent="0.25">
      <c r="A7574" s="179"/>
      <c r="B7574" s="177"/>
      <c r="C7574" s="43" t="s">
        <v>10763</v>
      </c>
      <c r="D7574" s="43" t="s">
        <v>2800</v>
      </c>
      <c r="E7574" s="44">
        <v>7.0160726999999996</v>
      </c>
      <c r="F7574" s="38">
        <v>31.435500000000001</v>
      </c>
      <c r="G7574" s="70">
        <f>IF(ISNUMBER(F7574),E7574*F7574,"")</f>
        <v>220.55375336084998</v>
      </c>
      <c r="H7574" s="57"/>
      <c r="I7574" s="47"/>
      <c r="J7574" s="37">
        <v>0</v>
      </c>
    </row>
    <row r="7575" spans="1:10" ht="25.5" hidden="1" x14ac:dyDescent="0.25">
      <c r="A7575" s="179"/>
      <c r="B7575" s="177"/>
      <c r="C7575" s="43" t="s">
        <v>11480</v>
      </c>
      <c r="D7575" s="43" t="s">
        <v>83</v>
      </c>
      <c r="E7575" s="44">
        <v>1</v>
      </c>
      <c r="F7575" s="38">
        <v>865.25049999999987</v>
      </c>
      <c r="G7575" s="70">
        <f>IF(ISNUMBER(F7575),E7575*F7575,"")</f>
        <v>865.25049999999987</v>
      </c>
      <c r="H7575" s="57"/>
      <c r="I7575" s="47"/>
      <c r="J7575" s="37">
        <v>0</v>
      </c>
    </row>
    <row r="7576" spans="1:10" ht="15.75" hidden="1" thickBot="1" x14ac:dyDescent="0.3">
      <c r="A7576" s="180"/>
      <c r="B7576" s="178"/>
      <c r="C7576" s="49"/>
      <c r="D7576" s="63"/>
      <c r="E7576" s="50"/>
      <c r="F7576" s="83" t="s">
        <v>13</v>
      </c>
      <c r="G7576" s="83" t="str">
        <f>IF(ISNUMBER(F7576),E7576*F7576,"")</f>
        <v/>
      </c>
      <c r="H7576" s="84"/>
      <c r="I7576" s="72"/>
      <c r="J7576" s="37">
        <v>0</v>
      </c>
    </row>
    <row r="7577" spans="1:10" ht="15.75" hidden="1" thickBot="1" x14ac:dyDescent="0.3">
      <c r="A7577" s="173" t="s">
        <v>1803</v>
      </c>
      <c r="B7577" s="176" t="s">
        <v>8229</v>
      </c>
      <c r="C7577" s="31"/>
      <c r="D7577" s="32" t="s">
        <v>18</v>
      </c>
      <c r="E7577" s="33"/>
      <c r="F7577" s="60" t="s">
        <v>13</v>
      </c>
      <c r="G7577" s="34" t="str">
        <f>IF(ISNUMBER(F7577),E7577*F7577,"")</f>
        <v/>
      </c>
      <c r="H7577" s="35"/>
      <c r="I7577" s="36"/>
      <c r="J7577" s="37">
        <v>0</v>
      </c>
    </row>
    <row r="7578" spans="1:10" hidden="1" x14ac:dyDescent="0.25">
      <c r="A7578" s="179"/>
      <c r="B7578" s="177"/>
      <c r="C7578" s="39"/>
      <c r="D7578" s="39"/>
      <c r="E7578" s="40"/>
      <c r="F7578" s="70" t="s">
        <v>13</v>
      </c>
      <c r="G7578" s="70" t="str">
        <f>IF(ISNUMBER(F7578),E7578*F7578,"")</f>
        <v/>
      </c>
      <c r="H7578" s="71"/>
      <c r="I7578" s="72"/>
      <c r="J7578" s="37">
        <v>0</v>
      </c>
    </row>
    <row r="7579" spans="1:10" ht="25.5" hidden="1" x14ac:dyDescent="0.25">
      <c r="A7579" s="179"/>
      <c r="B7579" s="177"/>
      <c r="C7579" s="43" t="s">
        <v>1804</v>
      </c>
      <c r="D7579" s="43" t="s">
        <v>18</v>
      </c>
      <c r="E7579" s="44">
        <v>1</v>
      </c>
      <c r="F7579" s="38" t="s">
        <v>13</v>
      </c>
      <c r="G7579" s="70" t="str">
        <f>IF(ISNUMBER(F7579),E7579*F7579,"")</f>
        <v/>
      </c>
      <c r="H7579" s="46">
        <f>SUM(G7579:G7581)</f>
        <v>14.095625</v>
      </c>
      <c r="I7579" s="47"/>
      <c r="J7579" s="37">
        <v>0</v>
      </c>
    </row>
    <row r="7580" spans="1:10" hidden="1" x14ac:dyDescent="0.25">
      <c r="A7580" s="179"/>
      <c r="B7580" s="177"/>
      <c r="C7580" s="43" t="s">
        <v>10762</v>
      </c>
      <c r="D7580" s="43" t="s">
        <v>2800</v>
      </c>
      <c r="E7580" s="44">
        <v>0.25</v>
      </c>
      <c r="F7580" s="41">
        <v>24.946999999999999</v>
      </c>
      <c r="G7580" s="41">
        <f>IF(ISNUMBER(F7580),E7580*F7580,"")</f>
        <v>6.2367499999999998</v>
      </c>
      <c r="H7580" s="42"/>
      <c r="I7580" s="38"/>
      <c r="J7580" s="37">
        <v>0</v>
      </c>
    </row>
    <row r="7581" spans="1:10" hidden="1" x14ac:dyDescent="0.25">
      <c r="A7581" s="179"/>
      <c r="B7581" s="177"/>
      <c r="C7581" s="43" t="s">
        <v>10763</v>
      </c>
      <c r="D7581" s="43" t="s">
        <v>2800</v>
      </c>
      <c r="E7581" s="44">
        <v>0.25</v>
      </c>
      <c r="F7581" s="38">
        <v>31.435500000000001</v>
      </c>
      <c r="G7581" s="70">
        <f>IF(ISNUMBER(F7581),E7581*F7581,"")</f>
        <v>7.8588750000000003</v>
      </c>
      <c r="H7581" s="57"/>
      <c r="I7581" s="47"/>
      <c r="J7581" s="37">
        <v>0</v>
      </c>
    </row>
    <row r="7582" spans="1:10" ht="15.75" hidden="1" thickBot="1" x14ac:dyDescent="0.3">
      <c r="A7582" s="180"/>
      <c r="B7582" s="178"/>
      <c r="C7582" s="49"/>
      <c r="D7582" s="63"/>
      <c r="E7582" s="50"/>
      <c r="F7582" s="83" t="s">
        <v>13</v>
      </c>
      <c r="G7582" s="83" t="str">
        <f>IF(ISNUMBER(F7582),E7582*F7582,"")</f>
        <v/>
      </c>
      <c r="H7582" s="84"/>
      <c r="I7582" s="72"/>
      <c r="J7582" s="37">
        <v>0</v>
      </c>
    </row>
    <row r="7583" spans="1:10" ht="15.75" hidden="1" thickBot="1" x14ac:dyDescent="0.3">
      <c r="A7583" s="173" t="s">
        <v>1805</v>
      </c>
      <c r="B7583" s="176" t="s">
        <v>8230</v>
      </c>
      <c r="C7583" s="31"/>
      <c r="D7583" s="32" t="s">
        <v>18</v>
      </c>
      <c r="E7583" s="33"/>
      <c r="F7583" s="60" t="s">
        <v>13</v>
      </c>
      <c r="G7583" s="34" t="str">
        <f>IF(ISNUMBER(F7583),E7583*F7583,"")</f>
        <v/>
      </c>
      <c r="H7583" s="35"/>
      <c r="I7583" s="36"/>
      <c r="J7583" s="37">
        <v>0</v>
      </c>
    </row>
    <row r="7584" spans="1:10" hidden="1" x14ac:dyDescent="0.25">
      <c r="A7584" s="179"/>
      <c r="B7584" s="177"/>
      <c r="C7584" s="39"/>
      <c r="D7584" s="39"/>
      <c r="E7584" s="40"/>
      <c r="F7584" s="70" t="s">
        <v>13</v>
      </c>
      <c r="G7584" s="70" t="str">
        <f>IF(ISNUMBER(F7584),E7584*F7584,"")</f>
        <v/>
      </c>
      <c r="H7584" s="71"/>
      <c r="I7584" s="72"/>
      <c r="J7584" s="37">
        <v>0</v>
      </c>
    </row>
    <row r="7585" spans="1:10" hidden="1" x14ac:dyDescent="0.25">
      <c r="A7585" s="179"/>
      <c r="B7585" s="177"/>
      <c r="C7585" s="43" t="s">
        <v>10762</v>
      </c>
      <c r="D7585" s="43" t="s">
        <v>2800</v>
      </c>
      <c r="E7585" s="44">
        <v>5</v>
      </c>
      <c r="F7585" s="41">
        <v>24.946999999999999</v>
      </c>
      <c r="G7585" s="70">
        <f>IF(ISNUMBER(F7585),E7585*F7585,"")</f>
        <v>124.735</v>
      </c>
      <c r="H7585" s="46">
        <f>SUM(G7585:G7586)</f>
        <v>281.91250000000002</v>
      </c>
      <c r="I7585" s="47"/>
      <c r="J7585" s="37">
        <v>0</v>
      </c>
    </row>
    <row r="7586" spans="1:10" hidden="1" x14ac:dyDescent="0.25">
      <c r="A7586" s="179"/>
      <c r="B7586" s="177"/>
      <c r="C7586" s="43" t="s">
        <v>10763</v>
      </c>
      <c r="D7586" s="43" t="s">
        <v>2800</v>
      </c>
      <c r="E7586" s="44">
        <v>5</v>
      </c>
      <c r="F7586" s="38">
        <v>31.435500000000001</v>
      </c>
      <c r="G7586" s="41">
        <f>IF(ISNUMBER(F7586),E7586*F7586,"")</f>
        <v>157.17750000000001</v>
      </c>
      <c r="H7586" s="42"/>
      <c r="I7586" s="38"/>
      <c r="J7586" s="37">
        <v>0</v>
      </c>
    </row>
    <row r="7587" spans="1:10" ht="15.75" hidden="1" thickBot="1" x14ac:dyDescent="0.3">
      <c r="A7587" s="180"/>
      <c r="B7587" s="178"/>
      <c r="C7587" s="49"/>
      <c r="D7587" s="63"/>
      <c r="E7587" s="50"/>
      <c r="F7587" s="83" t="s">
        <v>13</v>
      </c>
      <c r="G7587" s="83" t="str">
        <f>IF(ISNUMBER(F7587),E7587*F7587,"")</f>
        <v/>
      </c>
      <c r="H7587" s="84"/>
      <c r="I7587" s="72"/>
      <c r="J7587" s="37">
        <v>0</v>
      </c>
    </row>
    <row r="7588" spans="1:10" ht="15.75" hidden="1" thickBot="1" x14ac:dyDescent="0.3">
      <c r="A7588" s="173" t="s">
        <v>1806</v>
      </c>
      <c r="B7588" s="176" t="s">
        <v>8231</v>
      </c>
      <c r="C7588" s="31"/>
      <c r="D7588" s="32" t="s">
        <v>18</v>
      </c>
      <c r="E7588" s="33"/>
      <c r="F7588" s="60" t="s">
        <v>13</v>
      </c>
      <c r="G7588" s="34" t="str">
        <f>IF(ISNUMBER(F7588),E7588*F7588,"")</f>
        <v/>
      </c>
      <c r="H7588" s="35"/>
      <c r="I7588" s="36"/>
      <c r="J7588" s="37">
        <v>0</v>
      </c>
    </row>
    <row r="7589" spans="1:10" hidden="1" x14ac:dyDescent="0.25">
      <c r="A7589" s="179"/>
      <c r="B7589" s="177"/>
      <c r="C7589" s="39"/>
      <c r="D7589" s="39"/>
      <c r="E7589" s="40"/>
      <c r="F7589" s="70" t="s">
        <v>13</v>
      </c>
      <c r="G7589" s="70" t="str">
        <f>IF(ISNUMBER(F7589),E7589*F7589,"")</f>
        <v/>
      </c>
      <c r="H7589" s="71"/>
      <c r="I7589" s="72"/>
      <c r="J7589" s="37">
        <v>0</v>
      </c>
    </row>
    <row r="7590" spans="1:10" hidden="1" x14ac:dyDescent="0.25">
      <c r="A7590" s="179"/>
      <c r="B7590" s="177"/>
      <c r="C7590" s="43" t="s">
        <v>10762</v>
      </c>
      <c r="D7590" s="43" t="s">
        <v>2800</v>
      </c>
      <c r="E7590" s="44">
        <v>0.8</v>
      </c>
      <c r="F7590" s="41">
        <v>24.946999999999999</v>
      </c>
      <c r="G7590" s="70">
        <f>IF(ISNUMBER(F7590),E7590*F7590,"")</f>
        <v>19.957599999999999</v>
      </c>
      <c r="H7590" s="46">
        <f>SUM(G7590:G7591)</f>
        <v>45.106000000000002</v>
      </c>
      <c r="I7590" s="47"/>
      <c r="J7590" s="37">
        <v>0</v>
      </c>
    </row>
    <row r="7591" spans="1:10" hidden="1" x14ac:dyDescent="0.25">
      <c r="A7591" s="179"/>
      <c r="B7591" s="177"/>
      <c r="C7591" s="43" t="s">
        <v>10763</v>
      </c>
      <c r="D7591" s="43" t="s">
        <v>2800</v>
      </c>
      <c r="E7591" s="44">
        <v>0.8</v>
      </c>
      <c r="F7591" s="38">
        <v>31.435500000000001</v>
      </c>
      <c r="G7591" s="41">
        <f>IF(ISNUMBER(F7591),E7591*F7591,"")</f>
        <v>25.148400000000002</v>
      </c>
      <c r="H7591" s="42"/>
      <c r="I7591" s="38"/>
      <c r="J7591" s="37">
        <v>0</v>
      </c>
    </row>
    <row r="7592" spans="1:10" ht="15.75" hidden="1" thickBot="1" x14ac:dyDescent="0.3">
      <c r="A7592" s="180"/>
      <c r="B7592" s="178"/>
      <c r="C7592" s="49"/>
      <c r="D7592" s="63"/>
      <c r="E7592" s="50"/>
      <c r="F7592" s="83" t="s">
        <v>13</v>
      </c>
      <c r="G7592" s="83" t="str">
        <f>IF(ISNUMBER(F7592),E7592*F7592,"")</f>
        <v/>
      </c>
      <c r="H7592" s="84"/>
      <c r="I7592" s="72"/>
      <c r="J7592" s="37">
        <v>0</v>
      </c>
    </row>
    <row r="7593" spans="1:10" ht="15.75" hidden="1" thickBot="1" x14ac:dyDescent="0.3">
      <c r="A7593" s="173" t="s">
        <v>1807</v>
      </c>
      <c r="B7593" s="176" t="s">
        <v>8232</v>
      </c>
      <c r="C7593" s="31"/>
      <c r="D7593" s="32" t="s">
        <v>106</v>
      </c>
      <c r="E7593" s="33"/>
      <c r="F7593" s="54" t="s">
        <v>13</v>
      </c>
      <c r="G7593" s="34" t="str">
        <f>IF(ISNUMBER(F7593),E7593*F7593,"")</f>
        <v/>
      </c>
      <c r="H7593" s="35"/>
      <c r="I7593" s="36"/>
      <c r="J7593" s="37">
        <v>0</v>
      </c>
    </row>
    <row r="7594" spans="1:10" hidden="1" x14ac:dyDescent="0.25">
      <c r="A7594" s="174"/>
      <c r="B7594" s="177"/>
      <c r="C7594" s="39"/>
      <c r="D7594" s="39"/>
      <c r="E7594" s="40"/>
      <c r="F7594" s="55" t="s">
        <v>13</v>
      </c>
      <c r="G7594" s="38" t="str">
        <f>IF(ISNUMBER(F7594),E7594*F7594,"")</f>
        <v/>
      </c>
      <c r="H7594" s="42"/>
      <c r="I7594" s="38"/>
      <c r="J7594" s="37">
        <v>0</v>
      </c>
    </row>
    <row r="7595" spans="1:10" hidden="1" x14ac:dyDescent="0.25">
      <c r="A7595" s="174"/>
      <c r="B7595" s="177"/>
      <c r="C7595" s="43" t="s">
        <v>10762</v>
      </c>
      <c r="D7595" s="43" t="s">
        <v>2800</v>
      </c>
      <c r="E7595" s="44">
        <v>6.08E-2</v>
      </c>
      <c r="F7595" s="38">
        <v>24.946999999999999</v>
      </c>
      <c r="G7595" s="41">
        <f>IF(ISNUMBER(F7595),E7595*F7595,"")</f>
        <v>1.5167775999999999</v>
      </c>
      <c r="H7595" s="46">
        <f>SUM(G7595:G7598)</f>
        <v>3.4673004999999999</v>
      </c>
      <c r="I7595" s="47"/>
      <c r="J7595" s="37">
        <v>0</v>
      </c>
    </row>
    <row r="7596" spans="1:10" hidden="1" x14ac:dyDescent="0.25">
      <c r="A7596" s="174"/>
      <c r="B7596" s="177"/>
      <c r="C7596" s="43" t="s">
        <v>10763</v>
      </c>
      <c r="D7596" s="43" t="s">
        <v>2800</v>
      </c>
      <c r="E7596" s="44">
        <v>6.08E-2</v>
      </c>
      <c r="F7596" s="38">
        <v>31.435500000000001</v>
      </c>
      <c r="G7596" s="41">
        <f>IF(ISNUMBER(F7596),E7596*F7596,"")</f>
        <v>1.9112784</v>
      </c>
      <c r="H7596" s="42"/>
      <c r="I7596" s="38"/>
      <c r="J7596" s="37">
        <v>0</v>
      </c>
    </row>
    <row r="7597" spans="1:10" ht="25.5" hidden="1" x14ac:dyDescent="0.25">
      <c r="A7597" s="174"/>
      <c r="B7597" s="177"/>
      <c r="C7597" s="43" t="s">
        <v>1808</v>
      </c>
      <c r="D7597" s="43" t="s">
        <v>106</v>
      </c>
      <c r="E7597" s="44">
        <v>1.0149999999999999</v>
      </c>
      <c r="F7597" s="41" t="s">
        <v>13</v>
      </c>
      <c r="G7597" s="41" t="str">
        <f>IF(ISNUMBER(F7597),E7597*F7597,"")</f>
        <v/>
      </c>
      <c r="H7597" s="42"/>
      <c r="I7597" s="38"/>
      <c r="J7597" s="37">
        <v>0</v>
      </c>
    </row>
    <row r="7598" spans="1:10" ht="25.5" hidden="1" x14ac:dyDescent="0.25">
      <c r="A7598" s="174"/>
      <c r="B7598" s="177"/>
      <c r="C7598" s="43" t="s">
        <v>10946</v>
      </c>
      <c r="D7598" s="43" t="s">
        <v>83</v>
      </c>
      <c r="E7598" s="44">
        <v>8.9999999999999993E-3</v>
      </c>
      <c r="F7598" s="41">
        <v>4.3605</v>
      </c>
      <c r="G7598" s="41">
        <f>IF(ISNUMBER(F7598),E7598*F7598,"")</f>
        <v>3.9244499999999995E-2</v>
      </c>
      <c r="H7598" s="42"/>
      <c r="I7598" s="38"/>
      <c r="J7598" s="37">
        <v>0</v>
      </c>
    </row>
    <row r="7599" spans="1:10" ht="15.75" hidden="1" thickBot="1" x14ac:dyDescent="0.3">
      <c r="A7599" s="175"/>
      <c r="B7599" s="178"/>
      <c r="C7599" s="49"/>
      <c r="D7599" s="49"/>
      <c r="E7599" s="50"/>
      <c r="F7599" s="51" t="s">
        <v>13</v>
      </c>
      <c r="G7599" s="51" t="str">
        <f>IF(ISNUMBER(F7599),E7599*F7599,"")</f>
        <v/>
      </c>
      <c r="H7599" s="53"/>
      <c r="I7599" s="38"/>
      <c r="J7599" s="37">
        <v>0</v>
      </c>
    </row>
    <row r="7600" spans="1:10" ht="15.75" hidden="1" thickBot="1" x14ac:dyDescent="0.3">
      <c r="A7600" s="173" t="s">
        <v>1809</v>
      </c>
      <c r="B7600" s="176" t="s">
        <v>8233</v>
      </c>
      <c r="C7600" s="31"/>
      <c r="D7600" s="32" t="s">
        <v>18</v>
      </c>
      <c r="E7600" s="33"/>
      <c r="F7600" s="54" t="s">
        <v>13</v>
      </c>
      <c r="G7600" s="34" t="str">
        <f>IF(ISNUMBER(F7600),E7600*F7600,"")</f>
        <v/>
      </c>
      <c r="H7600" s="35"/>
      <c r="I7600" s="36"/>
      <c r="J7600" s="37">
        <v>0</v>
      </c>
    </row>
    <row r="7601" spans="1:10" hidden="1" x14ac:dyDescent="0.25">
      <c r="A7601" s="174"/>
      <c r="B7601" s="177"/>
      <c r="C7601" s="39"/>
      <c r="D7601" s="39"/>
      <c r="E7601" s="40"/>
      <c r="F7601" s="55" t="s">
        <v>13</v>
      </c>
      <c r="G7601" s="38" t="str">
        <f>IF(ISNUMBER(F7601),E7601*F7601,"")</f>
        <v/>
      </c>
      <c r="H7601" s="42"/>
      <c r="I7601" s="38"/>
      <c r="J7601" s="37">
        <v>0</v>
      </c>
    </row>
    <row r="7602" spans="1:10" ht="38.25" hidden="1" x14ac:dyDescent="0.25">
      <c r="A7602" s="174"/>
      <c r="B7602" s="177"/>
      <c r="C7602" s="43" t="s">
        <v>1810</v>
      </c>
      <c r="D7602" s="62" t="s">
        <v>18</v>
      </c>
      <c r="E7602" s="44">
        <v>1</v>
      </c>
      <c r="F7602" s="41" t="s">
        <v>13</v>
      </c>
      <c r="G7602" s="38" t="str">
        <f>IF(ISNUMBER(F7602),E7602*F7602,"")</f>
        <v/>
      </c>
      <c r="H7602" s="46">
        <f>SUM(G7602:G7605)</f>
        <v>243.11673368864001</v>
      </c>
      <c r="I7602" s="47"/>
      <c r="J7602" s="37">
        <v>0</v>
      </c>
    </row>
    <row r="7603" spans="1:10" ht="38.25" hidden="1" x14ac:dyDescent="0.25">
      <c r="A7603" s="174"/>
      <c r="B7603" s="177"/>
      <c r="C7603" s="43" t="s">
        <v>10712</v>
      </c>
      <c r="D7603" s="43" t="s">
        <v>2880</v>
      </c>
      <c r="E7603" s="44">
        <v>1.9199999999999998E-2</v>
      </c>
      <c r="F7603" s="38">
        <v>915.97571295</v>
      </c>
      <c r="G7603" s="38">
        <f>IF(ISNUMBER(F7603),E7603*F7603,"")</f>
        <v>17.586733688639999</v>
      </c>
      <c r="H7603" s="42"/>
      <c r="I7603" s="38"/>
      <c r="J7603" s="37">
        <v>0</v>
      </c>
    </row>
    <row r="7604" spans="1:10" hidden="1" x14ac:dyDescent="0.25">
      <c r="A7604" s="174"/>
      <c r="B7604" s="177"/>
      <c r="C7604" s="43" t="s">
        <v>10762</v>
      </c>
      <c r="D7604" s="43" t="s">
        <v>2800</v>
      </c>
      <c r="E7604" s="44">
        <v>4</v>
      </c>
      <c r="F7604" s="38">
        <v>24.946999999999999</v>
      </c>
      <c r="G7604" s="38">
        <f>IF(ISNUMBER(F7604),E7604*F7604,"")</f>
        <v>99.787999999999997</v>
      </c>
      <c r="H7604" s="42"/>
      <c r="I7604" s="38"/>
      <c r="J7604" s="37">
        <v>0</v>
      </c>
    </row>
    <row r="7605" spans="1:10" hidden="1" x14ac:dyDescent="0.25">
      <c r="A7605" s="174"/>
      <c r="B7605" s="177"/>
      <c r="C7605" s="43" t="s">
        <v>10763</v>
      </c>
      <c r="D7605" s="43" t="s">
        <v>2800</v>
      </c>
      <c r="E7605" s="44">
        <v>4</v>
      </c>
      <c r="F7605" s="38">
        <v>31.435500000000001</v>
      </c>
      <c r="G7605" s="41">
        <f>IF(ISNUMBER(F7605),E7605*F7605,"")</f>
        <v>125.742</v>
      </c>
      <c r="H7605" s="42"/>
      <c r="I7605" s="38"/>
      <c r="J7605" s="37">
        <v>0</v>
      </c>
    </row>
    <row r="7606" spans="1:10" ht="15.75" hidden="1" thickBot="1" x14ac:dyDescent="0.3">
      <c r="A7606" s="175"/>
      <c r="B7606" s="178"/>
      <c r="C7606" s="49"/>
      <c r="D7606" s="49"/>
      <c r="E7606" s="50"/>
      <c r="F7606" s="51" t="s">
        <v>13</v>
      </c>
      <c r="G7606" s="51" t="str">
        <f>IF(ISNUMBER(F7606),E7606*F7606,"")</f>
        <v/>
      </c>
      <c r="H7606" s="53"/>
      <c r="I7606" s="38"/>
      <c r="J7606" s="37">
        <v>0</v>
      </c>
    </row>
    <row r="7607" spans="1:10" ht="15.75" hidden="1" thickBot="1" x14ac:dyDescent="0.3">
      <c r="A7607" s="173" t="s">
        <v>1811</v>
      </c>
      <c r="B7607" s="176" t="s">
        <v>8234</v>
      </c>
      <c r="C7607" s="31"/>
      <c r="D7607" s="32" t="s">
        <v>18</v>
      </c>
      <c r="E7607" s="33"/>
      <c r="F7607" s="54" t="s">
        <v>13</v>
      </c>
      <c r="G7607" s="34" t="str">
        <f>IF(ISNUMBER(F7607),E7607*F7607,"")</f>
        <v/>
      </c>
      <c r="H7607" s="35"/>
      <c r="I7607" s="36"/>
      <c r="J7607" s="37">
        <v>0</v>
      </c>
    </row>
    <row r="7608" spans="1:10" hidden="1" x14ac:dyDescent="0.25">
      <c r="A7608" s="174"/>
      <c r="B7608" s="177"/>
      <c r="C7608" s="39"/>
      <c r="D7608" s="39"/>
      <c r="E7608" s="40"/>
      <c r="F7608" s="55" t="s">
        <v>13</v>
      </c>
      <c r="G7608" s="38" t="str">
        <f>IF(ISNUMBER(F7608),E7608*F7608,"")</f>
        <v/>
      </c>
      <c r="H7608" s="42"/>
      <c r="I7608" s="38"/>
      <c r="J7608" s="37">
        <v>0</v>
      </c>
    </row>
    <row r="7609" spans="1:10" ht="51" hidden="1" x14ac:dyDescent="0.25">
      <c r="A7609" s="174"/>
      <c r="B7609" s="177"/>
      <c r="C7609" s="43" t="s">
        <v>10786</v>
      </c>
      <c r="D7609" s="43" t="s">
        <v>1050</v>
      </c>
      <c r="E7609" s="44">
        <v>0.20160710000000001</v>
      </c>
      <c r="F7609" s="41">
        <v>266.43699999999995</v>
      </c>
      <c r="G7609" s="38">
        <f>IF(ISNUMBER(F7609),E7609*F7609,"")</f>
        <v>53.715590902699994</v>
      </c>
      <c r="H7609" s="46">
        <f>SUM(G7609:G7614)</f>
        <v>532.71819667119996</v>
      </c>
      <c r="I7609" s="47"/>
      <c r="J7609" s="37">
        <v>0</v>
      </c>
    </row>
    <row r="7610" spans="1:10" ht="51" hidden="1" x14ac:dyDescent="0.25">
      <c r="A7610" s="174"/>
      <c r="B7610" s="177"/>
      <c r="C7610" s="43" t="s">
        <v>10787</v>
      </c>
      <c r="D7610" s="43" t="s">
        <v>10677</v>
      </c>
      <c r="E7610" s="44">
        <v>5.1701400000000002E-2</v>
      </c>
      <c r="F7610" s="41">
        <v>70.727500000000006</v>
      </c>
      <c r="G7610" s="38">
        <f>IF(ISNUMBER(F7610),E7610*F7610,"")</f>
        <v>3.6567107685000004</v>
      </c>
      <c r="H7610" s="58"/>
      <c r="I7610" s="59"/>
      <c r="J7610" s="37">
        <v>0</v>
      </c>
    </row>
    <row r="7611" spans="1:10" ht="25.5" hidden="1" x14ac:dyDescent="0.25">
      <c r="A7611" s="174"/>
      <c r="B7611" s="177"/>
      <c r="C7611" s="43" t="s">
        <v>10946</v>
      </c>
      <c r="D7611" s="43" t="s">
        <v>83</v>
      </c>
      <c r="E7611" s="44">
        <v>1.4E-2</v>
      </c>
      <c r="F7611" s="38">
        <v>4.3605</v>
      </c>
      <c r="G7611" s="38">
        <f>IF(ISNUMBER(F7611),E7611*F7611,"")</f>
        <v>6.1047000000000004E-2</v>
      </c>
      <c r="H7611" s="42"/>
      <c r="I7611" s="38"/>
      <c r="J7611" s="37">
        <v>0</v>
      </c>
    </row>
    <row r="7612" spans="1:10" ht="25.5" hidden="1" x14ac:dyDescent="0.25">
      <c r="A7612" s="174"/>
      <c r="B7612" s="177"/>
      <c r="C7612" s="43" t="s">
        <v>11481</v>
      </c>
      <c r="D7612" s="43" t="s">
        <v>83</v>
      </c>
      <c r="E7612" s="44">
        <v>1</v>
      </c>
      <c r="F7612" s="38">
        <v>463.64749999999998</v>
      </c>
      <c r="G7612" s="38">
        <f>IF(ISNUMBER(F7612),E7612*F7612,"")</f>
        <v>463.64749999999998</v>
      </c>
      <c r="H7612" s="42"/>
      <c r="I7612" s="38"/>
      <c r="J7612" s="37">
        <v>0</v>
      </c>
    </row>
    <row r="7613" spans="1:10" hidden="1" x14ac:dyDescent="0.25">
      <c r="A7613" s="174"/>
      <c r="B7613" s="177"/>
      <c r="C7613" s="43" t="s">
        <v>10762</v>
      </c>
      <c r="D7613" s="43" t="s">
        <v>2800</v>
      </c>
      <c r="E7613" s="44">
        <v>0.2064</v>
      </c>
      <c r="F7613" s="38">
        <v>24.946999999999999</v>
      </c>
      <c r="G7613" s="38">
        <f>IF(ISNUMBER(F7613),E7613*F7613,"")</f>
        <v>5.1490608</v>
      </c>
      <c r="H7613" s="42"/>
      <c r="I7613" s="38"/>
      <c r="J7613" s="37">
        <v>0</v>
      </c>
    </row>
    <row r="7614" spans="1:10" hidden="1" x14ac:dyDescent="0.25">
      <c r="A7614" s="174"/>
      <c r="B7614" s="177"/>
      <c r="C7614" s="43" t="s">
        <v>10763</v>
      </c>
      <c r="D7614" s="43" t="s">
        <v>2800</v>
      </c>
      <c r="E7614" s="44">
        <v>0.2064</v>
      </c>
      <c r="F7614" s="38">
        <v>31.435500000000001</v>
      </c>
      <c r="G7614" s="41">
        <f>IF(ISNUMBER(F7614),E7614*F7614,"")</f>
        <v>6.4882872000000003</v>
      </c>
      <c r="H7614" s="42"/>
      <c r="I7614" s="38"/>
      <c r="J7614" s="37">
        <v>0</v>
      </c>
    </row>
    <row r="7615" spans="1:10" ht="15.75" hidden="1" thickBot="1" x14ac:dyDescent="0.3">
      <c r="A7615" s="175"/>
      <c r="B7615" s="178"/>
      <c r="C7615" s="49"/>
      <c r="D7615" s="49"/>
      <c r="E7615" s="50"/>
      <c r="F7615" s="51" t="s">
        <v>13</v>
      </c>
      <c r="G7615" s="51" t="str">
        <f>IF(ISNUMBER(F7615),E7615*F7615,"")</f>
        <v/>
      </c>
      <c r="H7615" s="53"/>
      <c r="I7615" s="38"/>
      <c r="J7615" s="37">
        <v>0</v>
      </c>
    </row>
    <row r="7616" spans="1:10" ht="15.75" hidden="1" thickBot="1" x14ac:dyDescent="0.3">
      <c r="A7616" s="173" t="s">
        <v>1812</v>
      </c>
      <c r="B7616" s="176" t="s">
        <v>8235</v>
      </c>
      <c r="C7616" s="31"/>
      <c r="D7616" s="32" t="s">
        <v>106</v>
      </c>
      <c r="E7616" s="33"/>
      <c r="F7616" s="60" t="s">
        <v>13</v>
      </c>
      <c r="G7616" s="34" t="str">
        <f>IF(ISNUMBER(F7616),E7616*F7616,"")</f>
        <v/>
      </c>
      <c r="H7616" s="35"/>
      <c r="I7616" s="36"/>
      <c r="J7616" s="37">
        <v>0</v>
      </c>
    </row>
    <row r="7617" spans="1:10" hidden="1" x14ac:dyDescent="0.25">
      <c r="A7617" s="179"/>
      <c r="B7617" s="177"/>
      <c r="C7617" s="39"/>
      <c r="D7617" s="39"/>
      <c r="E7617" s="40"/>
      <c r="F7617" s="70" t="s">
        <v>13</v>
      </c>
      <c r="G7617" s="70" t="str">
        <f>IF(ISNUMBER(F7617),E7617*F7617,"")</f>
        <v/>
      </c>
      <c r="H7617" s="71"/>
      <c r="I7617" s="72"/>
      <c r="J7617" s="37">
        <v>0</v>
      </c>
    </row>
    <row r="7618" spans="1:10" ht="38.25" hidden="1" x14ac:dyDescent="0.25">
      <c r="A7618" s="179"/>
      <c r="B7618" s="177"/>
      <c r="C7618" s="43" t="s">
        <v>11482</v>
      </c>
      <c r="D7618" s="43" t="s">
        <v>1302</v>
      </c>
      <c r="E7618" s="44">
        <v>1.1000000000000001</v>
      </c>
      <c r="F7618" s="38">
        <v>4.1324999999999994</v>
      </c>
      <c r="G7618" s="70">
        <f>IF(ISNUMBER(F7618),E7618*F7618,"")</f>
        <v>4.54575</v>
      </c>
      <c r="H7618" s="46">
        <f>SUM(G7618:G7620)</f>
        <v>8.3346540000000005</v>
      </c>
      <c r="I7618" s="47"/>
      <c r="J7618" s="37">
        <v>0</v>
      </c>
    </row>
    <row r="7619" spans="1:10" hidden="1" x14ac:dyDescent="0.25">
      <c r="A7619" s="179"/>
      <c r="B7619" s="177"/>
      <c r="C7619" s="43" t="s">
        <v>10762</v>
      </c>
      <c r="D7619" s="43" t="s">
        <v>2800</v>
      </c>
      <c r="E7619" s="44">
        <v>6.7199999999999996E-2</v>
      </c>
      <c r="F7619" s="41">
        <v>24.946999999999999</v>
      </c>
      <c r="G7619" s="41">
        <f>IF(ISNUMBER(F7619),E7619*F7619,"")</f>
        <v>1.6764383999999999</v>
      </c>
      <c r="H7619" s="42"/>
      <c r="I7619" s="38"/>
      <c r="J7619" s="37">
        <v>0</v>
      </c>
    </row>
    <row r="7620" spans="1:10" hidden="1" x14ac:dyDescent="0.25">
      <c r="A7620" s="179"/>
      <c r="B7620" s="177"/>
      <c r="C7620" s="43" t="s">
        <v>10763</v>
      </c>
      <c r="D7620" s="43" t="s">
        <v>2800</v>
      </c>
      <c r="E7620" s="44">
        <v>6.7199999999999996E-2</v>
      </c>
      <c r="F7620" s="38">
        <v>31.435500000000001</v>
      </c>
      <c r="G7620" s="70">
        <f>IF(ISNUMBER(F7620),E7620*F7620,"")</f>
        <v>2.1124656000000002</v>
      </c>
      <c r="H7620" s="57"/>
      <c r="I7620" s="47"/>
      <c r="J7620" s="37">
        <v>0</v>
      </c>
    </row>
    <row r="7621" spans="1:10" ht="15.75" hidden="1" thickBot="1" x14ac:dyDescent="0.3">
      <c r="A7621" s="180"/>
      <c r="B7621" s="178"/>
      <c r="C7621" s="49"/>
      <c r="D7621" s="63"/>
      <c r="E7621" s="50"/>
      <c r="F7621" s="83" t="s">
        <v>13</v>
      </c>
      <c r="G7621" s="83" t="str">
        <f>IF(ISNUMBER(F7621),E7621*F7621,"")</f>
        <v/>
      </c>
      <c r="H7621" s="84"/>
      <c r="I7621" s="72"/>
      <c r="J7621" s="37">
        <v>0</v>
      </c>
    </row>
    <row r="7622" spans="1:10" ht="15.75" hidden="1" thickBot="1" x14ac:dyDescent="0.3">
      <c r="A7622" s="173" t="s">
        <v>1813</v>
      </c>
      <c r="B7622" s="176" t="s">
        <v>8236</v>
      </c>
      <c r="C7622" s="31"/>
      <c r="D7622" s="32" t="s">
        <v>106</v>
      </c>
      <c r="E7622" s="33"/>
      <c r="F7622" s="54" t="s">
        <v>13</v>
      </c>
      <c r="G7622" s="34" t="str">
        <f>IF(ISNUMBER(F7622),E7622*F7622,"")</f>
        <v/>
      </c>
      <c r="H7622" s="35"/>
      <c r="I7622" s="36"/>
      <c r="J7622" s="37">
        <v>0</v>
      </c>
    </row>
    <row r="7623" spans="1:10" hidden="1" x14ac:dyDescent="0.25">
      <c r="A7623" s="174"/>
      <c r="B7623" s="177"/>
      <c r="C7623" s="39"/>
      <c r="D7623" s="39"/>
      <c r="E7623" s="40"/>
      <c r="F7623" s="55" t="s">
        <v>13</v>
      </c>
      <c r="G7623" s="38" t="str">
        <f>IF(ISNUMBER(F7623),E7623*F7623,"")</f>
        <v/>
      </c>
      <c r="H7623" s="42"/>
      <c r="I7623" s="38"/>
      <c r="J7623" s="37">
        <v>0</v>
      </c>
    </row>
    <row r="7624" spans="1:10" hidden="1" x14ac:dyDescent="0.25">
      <c r="A7624" s="174"/>
      <c r="B7624" s="177"/>
      <c r="C7624" s="43" t="s">
        <v>10762</v>
      </c>
      <c r="D7624" s="43" t="s">
        <v>2800</v>
      </c>
      <c r="E7624" s="44">
        <v>1.2999999999999999E-2</v>
      </c>
      <c r="F7624" s="38">
        <v>24.946999999999999</v>
      </c>
      <c r="G7624" s="41">
        <f>IF(ISNUMBER(F7624),E7624*F7624,"")</f>
        <v>0.32431099999999996</v>
      </c>
      <c r="H7624" s="46">
        <f>SUM(G7624:G7627)</f>
        <v>0.77657750000000003</v>
      </c>
      <c r="I7624" s="47"/>
      <c r="J7624" s="37">
        <v>0</v>
      </c>
    </row>
    <row r="7625" spans="1:10" hidden="1" x14ac:dyDescent="0.25">
      <c r="A7625" s="174"/>
      <c r="B7625" s="177"/>
      <c r="C7625" s="43" t="s">
        <v>10763</v>
      </c>
      <c r="D7625" s="43" t="s">
        <v>2800</v>
      </c>
      <c r="E7625" s="44">
        <v>1.2999999999999999E-2</v>
      </c>
      <c r="F7625" s="38">
        <v>31.435500000000001</v>
      </c>
      <c r="G7625" s="41">
        <f>IF(ISNUMBER(F7625),E7625*F7625,"")</f>
        <v>0.40866150000000001</v>
      </c>
      <c r="H7625" s="42"/>
      <c r="I7625" s="38"/>
      <c r="J7625" s="37">
        <v>0</v>
      </c>
    </row>
    <row r="7626" spans="1:10" ht="25.5" hidden="1" x14ac:dyDescent="0.25">
      <c r="A7626" s="174"/>
      <c r="B7626" s="177"/>
      <c r="C7626" s="43" t="s">
        <v>1814</v>
      </c>
      <c r="D7626" s="43" t="s">
        <v>106</v>
      </c>
      <c r="E7626" s="44">
        <v>1.0269999999999999</v>
      </c>
      <c r="F7626" s="41" t="s">
        <v>13</v>
      </c>
      <c r="G7626" s="41" t="str">
        <f>IF(ISNUMBER(F7626),E7626*F7626,"")</f>
        <v/>
      </c>
      <c r="H7626" s="42"/>
      <c r="I7626" s="38"/>
      <c r="J7626" s="37">
        <v>0</v>
      </c>
    </row>
    <row r="7627" spans="1:10" ht="25.5" hidden="1" x14ac:dyDescent="0.25">
      <c r="A7627" s="174"/>
      <c r="B7627" s="177"/>
      <c r="C7627" s="43" t="s">
        <v>10946</v>
      </c>
      <c r="D7627" s="43" t="s">
        <v>83</v>
      </c>
      <c r="E7627" s="44">
        <v>0.01</v>
      </c>
      <c r="F7627" s="41">
        <v>4.3605</v>
      </c>
      <c r="G7627" s="41">
        <f>IF(ISNUMBER(F7627),E7627*F7627,"")</f>
        <v>4.3604999999999998E-2</v>
      </c>
      <c r="H7627" s="42"/>
      <c r="I7627" s="38"/>
      <c r="J7627" s="37">
        <v>0</v>
      </c>
    </row>
    <row r="7628" spans="1:10" ht="15.75" hidden="1" thickBot="1" x14ac:dyDescent="0.3">
      <c r="A7628" s="175"/>
      <c r="B7628" s="178"/>
      <c r="C7628" s="49"/>
      <c r="D7628" s="49"/>
      <c r="E7628" s="50"/>
      <c r="F7628" s="51" t="s">
        <v>13</v>
      </c>
      <c r="G7628" s="51" t="str">
        <f>IF(ISNUMBER(F7628),E7628*F7628,"")</f>
        <v/>
      </c>
      <c r="H7628" s="53"/>
      <c r="I7628" s="38"/>
      <c r="J7628" s="37">
        <v>0</v>
      </c>
    </row>
    <row r="7629" spans="1:10" ht="15.75" hidden="1" thickBot="1" x14ac:dyDescent="0.3">
      <c r="A7629" s="173" t="s">
        <v>1815</v>
      </c>
      <c r="B7629" s="176" t="s">
        <v>8237</v>
      </c>
      <c r="C7629" s="31"/>
      <c r="D7629" s="32" t="s">
        <v>106</v>
      </c>
      <c r="E7629" s="33"/>
      <c r="F7629" s="54" t="s">
        <v>13</v>
      </c>
      <c r="G7629" s="34" t="str">
        <f>IF(ISNUMBER(F7629),E7629*F7629,"")</f>
        <v/>
      </c>
      <c r="H7629" s="35"/>
      <c r="I7629" s="36"/>
      <c r="J7629" s="37">
        <v>0</v>
      </c>
    </row>
    <row r="7630" spans="1:10" hidden="1" x14ac:dyDescent="0.25">
      <c r="A7630" s="174"/>
      <c r="B7630" s="177"/>
      <c r="C7630" s="39"/>
      <c r="D7630" s="39"/>
      <c r="E7630" s="40"/>
      <c r="F7630" s="55" t="s">
        <v>13</v>
      </c>
      <c r="G7630" s="38" t="str">
        <f>IF(ISNUMBER(F7630),E7630*F7630,"")</f>
        <v/>
      </c>
      <c r="H7630" s="42"/>
      <c r="I7630" s="38"/>
      <c r="J7630" s="37">
        <v>0</v>
      </c>
    </row>
    <row r="7631" spans="1:10" hidden="1" x14ac:dyDescent="0.25">
      <c r="A7631" s="174"/>
      <c r="B7631" s="177"/>
      <c r="C7631" s="43" t="s">
        <v>1816</v>
      </c>
      <c r="D7631" s="43" t="s">
        <v>106</v>
      </c>
      <c r="E7631" s="44">
        <v>1.05</v>
      </c>
      <c r="F7631" s="38" t="s">
        <v>13</v>
      </c>
      <c r="G7631" s="41" t="str">
        <f>IF(ISNUMBER(F7631),E7631*F7631,"")</f>
        <v/>
      </c>
      <c r="H7631" s="46">
        <f>SUM(G7631:G7633)</f>
        <v>28.19125</v>
      </c>
      <c r="I7631" s="47"/>
      <c r="J7631" s="37">
        <v>0</v>
      </c>
    </row>
    <row r="7632" spans="1:10" hidden="1" x14ac:dyDescent="0.25">
      <c r="A7632" s="174"/>
      <c r="B7632" s="177"/>
      <c r="C7632" s="43" t="s">
        <v>10762</v>
      </c>
      <c r="D7632" s="43" t="s">
        <v>2800</v>
      </c>
      <c r="E7632" s="44">
        <v>0.5</v>
      </c>
      <c r="F7632" s="38">
        <v>24.946999999999999</v>
      </c>
      <c r="G7632" s="41">
        <f>IF(ISNUMBER(F7632),E7632*F7632,"")</f>
        <v>12.4735</v>
      </c>
      <c r="H7632" s="42"/>
      <c r="I7632" s="38"/>
      <c r="J7632" s="37">
        <v>0</v>
      </c>
    </row>
    <row r="7633" spans="1:10" hidden="1" x14ac:dyDescent="0.25">
      <c r="A7633" s="174"/>
      <c r="B7633" s="177"/>
      <c r="C7633" s="43" t="s">
        <v>10763</v>
      </c>
      <c r="D7633" s="43" t="s">
        <v>2800</v>
      </c>
      <c r="E7633" s="44">
        <v>0.5</v>
      </c>
      <c r="F7633" s="38">
        <v>31.435500000000001</v>
      </c>
      <c r="G7633" s="41">
        <f>IF(ISNUMBER(F7633),E7633*F7633,"")</f>
        <v>15.717750000000001</v>
      </c>
      <c r="H7633" s="42"/>
      <c r="I7633" s="38"/>
      <c r="J7633" s="37">
        <v>0</v>
      </c>
    </row>
    <row r="7634" spans="1:10" ht="15.75" hidden="1" thickBot="1" x14ac:dyDescent="0.3">
      <c r="A7634" s="175"/>
      <c r="B7634" s="178"/>
      <c r="C7634" s="49"/>
      <c r="D7634" s="49"/>
      <c r="E7634" s="50"/>
      <c r="F7634" s="51" t="s">
        <v>13</v>
      </c>
      <c r="G7634" s="51" t="str">
        <f>IF(ISNUMBER(F7634),E7634*F7634,"")</f>
        <v/>
      </c>
      <c r="H7634" s="53"/>
      <c r="I7634" s="38"/>
      <c r="J7634" s="37">
        <v>0</v>
      </c>
    </row>
    <row r="7635" spans="1:10" ht="15.75" hidden="1" thickBot="1" x14ac:dyDescent="0.3">
      <c r="A7635" s="173" t="s">
        <v>1817</v>
      </c>
      <c r="B7635" s="176" t="s">
        <v>8238</v>
      </c>
      <c r="C7635" s="31"/>
      <c r="D7635" s="32" t="s">
        <v>106</v>
      </c>
      <c r="E7635" s="33"/>
      <c r="F7635" s="54" t="s">
        <v>13</v>
      </c>
      <c r="G7635" s="34" t="str">
        <f>IF(ISNUMBER(F7635),E7635*F7635,"")</f>
        <v/>
      </c>
      <c r="H7635" s="35"/>
      <c r="I7635" s="36"/>
      <c r="J7635" s="37">
        <v>0</v>
      </c>
    </row>
    <row r="7636" spans="1:10" hidden="1" x14ac:dyDescent="0.25">
      <c r="A7636" s="174"/>
      <c r="B7636" s="177"/>
      <c r="C7636" s="39"/>
      <c r="D7636" s="39"/>
      <c r="E7636" s="40"/>
      <c r="F7636" s="55" t="s">
        <v>13</v>
      </c>
      <c r="G7636" s="38" t="str">
        <f>IF(ISNUMBER(F7636),E7636*F7636,"")</f>
        <v/>
      </c>
      <c r="H7636" s="42"/>
      <c r="I7636" s="38"/>
      <c r="J7636" s="37">
        <v>0</v>
      </c>
    </row>
    <row r="7637" spans="1:10" hidden="1" x14ac:dyDescent="0.25">
      <c r="A7637" s="174"/>
      <c r="B7637" s="177"/>
      <c r="C7637" s="43" t="s">
        <v>1818</v>
      </c>
      <c r="D7637" s="43" t="s">
        <v>106</v>
      </c>
      <c r="E7637" s="44">
        <v>1.05</v>
      </c>
      <c r="F7637" s="38" t="s">
        <v>13</v>
      </c>
      <c r="G7637" s="41" t="str">
        <f>IF(ISNUMBER(F7637),E7637*F7637,"")</f>
        <v/>
      </c>
      <c r="H7637" s="46">
        <f>SUM(G7637:G7639)</f>
        <v>42.286874999999995</v>
      </c>
      <c r="I7637" s="47"/>
      <c r="J7637" s="37">
        <v>0</v>
      </c>
    </row>
    <row r="7638" spans="1:10" hidden="1" x14ac:dyDescent="0.25">
      <c r="A7638" s="174"/>
      <c r="B7638" s="177"/>
      <c r="C7638" s="43" t="s">
        <v>10763</v>
      </c>
      <c r="D7638" s="43" t="s">
        <v>2800</v>
      </c>
      <c r="E7638" s="44">
        <v>0.75</v>
      </c>
      <c r="F7638" s="38">
        <v>31.435500000000001</v>
      </c>
      <c r="G7638" s="41">
        <f>IF(ISNUMBER(F7638),E7638*F7638,"")</f>
        <v>23.576625</v>
      </c>
      <c r="H7638" s="42"/>
      <c r="I7638" s="38"/>
      <c r="J7638" s="37">
        <v>0</v>
      </c>
    </row>
    <row r="7639" spans="1:10" hidden="1" x14ac:dyDescent="0.25">
      <c r="A7639" s="174"/>
      <c r="B7639" s="177"/>
      <c r="C7639" s="43" t="s">
        <v>10762</v>
      </c>
      <c r="D7639" s="43" t="s">
        <v>2800</v>
      </c>
      <c r="E7639" s="44">
        <v>0.75</v>
      </c>
      <c r="F7639" s="38">
        <v>24.946999999999999</v>
      </c>
      <c r="G7639" s="41">
        <f>IF(ISNUMBER(F7639),E7639*F7639,"")</f>
        <v>18.710249999999998</v>
      </c>
      <c r="H7639" s="42"/>
      <c r="I7639" s="38"/>
      <c r="J7639" s="37">
        <v>0</v>
      </c>
    </row>
    <row r="7640" spans="1:10" ht="15.75" hidden="1" thickBot="1" x14ac:dyDescent="0.3">
      <c r="A7640" s="175"/>
      <c r="B7640" s="178"/>
      <c r="C7640" s="49"/>
      <c r="D7640" s="49"/>
      <c r="E7640" s="50"/>
      <c r="F7640" s="51" t="s">
        <v>13</v>
      </c>
      <c r="G7640" s="51" t="str">
        <f>IF(ISNUMBER(F7640),E7640*F7640,"")</f>
        <v/>
      </c>
      <c r="H7640" s="53"/>
      <c r="I7640" s="38"/>
      <c r="J7640" s="37">
        <v>0</v>
      </c>
    </row>
    <row r="7641" spans="1:10" ht="15.75" hidden="1" thickBot="1" x14ac:dyDescent="0.3">
      <c r="A7641" s="173" t="s">
        <v>1819</v>
      </c>
      <c r="B7641" s="176" t="s">
        <v>8239</v>
      </c>
      <c r="C7641" s="31"/>
      <c r="D7641" s="32" t="s">
        <v>106</v>
      </c>
      <c r="E7641" s="33"/>
      <c r="F7641" s="54" t="s">
        <v>13</v>
      </c>
      <c r="G7641" s="34" t="str">
        <f>IF(ISNUMBER(F7641),E7641*F7641,"")</f>
        <v/>
      </c>
      <c r="H7641" s="35"/>
      <c r="I7641" s="36"/>
      <c r="J7641" s="37">
        <v>0</v>
      </c>
    </row>
    <row r="7642" spans="1:10" hidden="1" x14ac:dyDescent="0.25">
      <c r="A7642" s="174"/>
      <c r="B7642" s="177"/>
      <c r="C7642" s="39"/>
      <c r="D7642" s="39"/>
      <c r="E7642" s="40"/>
      <c r="F7642" s="55" t="s">
        <v>13</v>
      </c>
      <c r="G7642" s="38" t="str">
        <f>IF(ISNUMBER(F7642),E7642*F7642,"")</f>
        <v/>
      </c>
      <c r="H7642" s="42"/>
      <c r="I7642" s="38"/>
      <c r="J7642" s="37">
        <v>0</v>
      </c>
    </row>
    <row r="7643" spans="1:10" hidden="1" x14ac:dyDescent="0.25">
      <c r="A7643" s="174"/>
      <c r="B7643" s="177"/>
      <c r="C7643" s="43" t="s">
        <v>1820</v>
      </c>
      <c r="D7643" s="43" t="s">
        <v>106</v>
      </c>
      <c r="E7643" s="44">
        <v>1.05</v>
      </c>
      <c r="F7643" s="38" t="s">
        <v>13</v>
      </c>
      <c r="G7643" s="41" t="str">
        <f>IF(ISNUMBER(F7643),E7643*F7643,"")</f>
        <v/>
      </c>
      <c r="H7643" s="46">
        <f>SUM(G7643:G7645)</f>
        <v>42.286874999999995</v>
      </c>
      <c r="I7643" s="47"/>
      <c r="J7643" s="37">
        <v>0</v>
      </c>
    </row>
    <row r="7644" spans="1:10" hidden="1" x14ac:dyDescent="0.25">
      <c r="A7644" s="174"/>
      <c r="B7644" s="177"/>
      <c r="C7644" s="43" t="s">
        <v>10763</v>
      </c>
      <c r="D7644" s="43" t="s">
        <v>2800</v>
      </c>
      <c r="E7644" s="44">
        <v>0.75</v>
      </c>
      <c r="F7644" s="38">
        <v>31.435500000000001</v>
      </c>
      <c r="G7644" s="41">
        <f>IF(ISNUMBER(F7644),E7644*F7644,"")</f>
        <v>23.576625</v>
      </c>
      <c r="H7644" s="42"/>
      <c r="I7644" s="38"/>
      <c r="J7644" s="37">
        <v>0</v>
      </c>
    </row>
    <row r="7645" spans="1:10" hidden="1" x14ac:dyDescent="0.25">
      <c r="A7645" s="174"/>
      <c r="B7645" s="177"/>
      <c r="C7645" s="43" t="s">
        <v>10762</v>
      </c>
      <c r="D7645" s="43" t="s">
        <v>2800</v>
      </c>
      <c r="E7645" s="44">
        <v>0.75</v>
      </c>
      <c r="F7645" s="38">
        <v>24.946999999999999</v>
      </c>
      <c r="G7645" s="41">
        <f>IF(ISNUMBER(F7645),E7645*F7645,"")</f>
        <v>18.710249999999998</v>
      </c>
      <c r="H7645" s="42"/>
      <c r="I7645" s="38"/>
      <c r="J7645" s="37">
        <v>0</v>
      </c>
    </row>
    <row r="7646" spans="1:10" ht="15.75" hidden="1" thickBot="1" x14ac:dyDescent="0.3">
      <c r="A7646" s="175"/>
      <c r="B7646" s="178"/>
      <c r="C7646" s="49"/>
      <c r="D7646" s="49"/>
      <c r="E7646" s="50"/>
      <c r="F7646" s="51" t="s">
        <v>13</v>
      </c>
      <c r="G7646" s="51" t="str">
        <f>IF(ISNUMBER(F7646),E7646*F7646,"")</f>
        <v/>
      </c>
      <c r="H7646" s="53"/>
      <c r="I7646" s="38"/>
      <c r="J7646" s="37">
        <v>0</v>
      </c>
    </row>
    <row r="7647" spans="1:10" ht="15.75" hidden="1" thickBot="1" x14ac:dyDescent="0.3">
      <c r="A7647" s="173" t="s">
        <v>1821</v>
      </c>
      <c r="B7647" s="176" t="s">
        <v>8240</v>
      </c>
      <c r="C7647" s="31"/>
      <c r="D7647" s="32" t="s">
        <v>106</v>
      </c>
      <c r="E7647" s="33"/>
      <c r="F7647" s="54" t="s">
        <v>13</v>
      </c>
      <c r="G7647" s="34" t="str">
        <f>IF(ISNUMBER(F7647),E7647*F7647,"")</f>
        <v/>
      </c>
      <c r="H7647" s="35"/>
      <c r="I7647" s="36"/>
      <c r="J7647" s="37">
        <v>0</v>
      </c>
    </row>
    <row r="7648" spans="1:10" hidden="1" x14ac:dyDescent="0.25">
      <c r="A7648" s="174"/>
      <c r="B7648" s="177"/>
      <c r="C7648" s="39"/>
      <c r="D7648" s="39"/>
      <c r="E7648" s="40"/>
      <c r="F7648" s="55" t="s">
        <v>13</v>
      </c>
      <c r="G7648" s="38" t="str">
        <f>IF(ISNUMBER(F7648),E7648*F7648,"")</f>
        <v/>
      </c>
      <c r="H7648" s="42"/>
      <c r="I7648" s="38"/>
      <c r="J7648" s="37">
        <v>0</v>
      </c>
    </row>
    <row r="7649" spans="1:10" hidden="1" x14ac:dyDescent="0.25">
      <c r="A7649" s="174"/>
      <c r="B7649" s="177"/>
      <c r="C7649" s="43" t="s">
        <v>1822</v>
      </c>
      <c r="D7649" s="43" t="s">
        <v>106</v>
      </c>
      <c r="E7649" s="44">
        <v>1.05</v>
      </c>
      <c r="F7649" s="38" t="s">
        <v>13</v>
      </c>
      <c r="G7649" s="41" t="str">
        <f>IF(ISNUMBER(F7649),E7649*F7649,"")</f>
        <v/>
      </c>
      <c r="H7649" s="46">
        <f>SUM(G7649:G7651)</f>
        <v>56.3825</v>
      </c>
      <c r="I7649" s="47"/>
      <c r="J7649" s="37">
        <v>0</v>
      </c>
    </row>
    <row r="7650" spans="1:10" hidden="1" x14ac:dyDescent="0.25">
      <c r="A7650" s="174"/>
      <c r="B7650" s="177"/>
      <c r="C7650" s="43" t="s">
        <v>10763</v>
      </c>
      <c r="D7650" s="43" t="s">
        <v>2800</v>
      </c>
      <c r="E7650" s="44">
        <v>1</v>
      </c>
      <c r="F7650" s="38">
        <v>31.435500000000001</v>
      </c>
      <c r="G7650" s="41">
        <f>IF(ISNUMBER(F7650),E7650*F7650,"")</f>
        <v>31.435500000000001</v>
      </c>
      <c r="H7650" s="42"/>
      <c r="I7650" s="38"/>
      <c r="J7650" s="37">
        <v>0</v>
      </c>
    </row>
    <row r="7651" spans="1:10" hidden="1" x14ac:dyDescent="0.25">
      <c r="A7651" s="174"/>
      <c r="B7651" s="177"/>
      <c r="C7651" s="43" t="s">
        <v>10762</v>
      </c>
      <c r="D7651" s="43" t="s">
        <v>2800</v>
      </c>
      <c r="E7651" s="44">
        <v>1</v>
      </c>
      <c r="F7651" s="38">
        <v>24.946999999999999</v>
      </c>
      <c r="G7651" s="41">
        <f>IF(ISNUMBER(F7651),E7651*F7651,"")</f>
        <v>24.946999999999999</v>
      </c>
      <c r="H7651" s="42"/>
      <c r="I7651" s="38"/>
      <c r="J7651" s="37">
        <v>0</v>
      </c>
    </row>
    <row r="7652" spans="1:10" ht="15.75" hidden="1" thickBot="1" x14ac:dyDescent="0.3">
      <c r="A7652" s="175"/>
      <c r="B7652" s="178"/>
      <c r="C7652" s="49"/>
      <c r="D7652" s="49"/>
      <c r="E7652" s="50"/>
      <c r="F7652" s="51" t="s">
        <v>13</v>
      </c>
      <c r="G7652" s="51" t="str">
        <f>IF(ISNUMBER(F7652),E7652*F7652,"")</f>
        <v/>
      </c>
      <c r="H7652" s="53"/>
      <c r="I7652" s="38"/>
      <c r="J7652" s="37">
        <v>0</v>
      </c>
    </row>
    <row r="7653" spans="1:10" ht="15.75" hidden="1" thickBot="1" x14ac:dyDescent="0.3">
      <c r="A7653" s="173" t="s">
        <v>1823</v>
      </c>
      <c r="B7653" s="176" t="s">
        <v>8241</v>
      </c>
      <c r="C7653" s="31"/>
      <c r="D7653" s="32" t="s">
        <v>18</v>
      </c>
      <c r="E7653" s="33"/>
      <c r="F7653" s="54" t="s">
        <v>13</v>
      </c>
      <c r="G7653" s="34" t="str">
        <f>IF(ISNUMBER(F7653),E7653*F7653,"")</f>
        <v/>
      </c>
      <c r="H7653" s="35"/>
      <c r="I7653" s="36"/>
      <c r="J7653" s="37">
        <v>0</v>
      </c>
    </row>
    <row r="7654" spans="1:10" hidden="1" x14ac:dyDescent="0.25">
      <c r="A7654" s="174"/>
      <c r="B7654" s="177"/>
      <c r="C7654" s="39"/>
      <c r="D7654" s="39"/>
      <c r="E7654" s="40"/>
      <c r="F7654" s="55" t="s">
        <v>13</v>
      </c>
      <c r="G7654" s="38" t="str">
        <f>IF(ISNUMBER(F7654),E7654*F7654,"")</f>
        <v/>
      </c>
      <c r="H7654" s="42"/>
      <c r="I7654" s="38"/>
      <c r="J7654" s="37">
        <v>0</v>
      </c>
    </row>
    <row r="7655" spans="1:10" ht="25.5" hidden="1" x14ac:dyDescent="0.25">
      <c r="A7655" s="174"/>
      <c r="B7655" s="177"/>
      <c r="C7655" s="43" t="s">
        <v>10611</v>
      </c>
      <c r="D7655" s="43" t="s">
        <v>2800</v>
      </c>
      <c r="E7655" s="44">
        <v>40</v>
      </c>
      <c r="F7655" s="41">
        <v>142.75650000000002</v>
      </c>
      <c r="G7655" s="38">
        <f>IF(ISNUMBER(F7655),E7655*F7655,"")</f>
        <v>5710.26</v>
      </c>
      <c r="H7655" s="46">
        <f>SUM(G7655:G7657)</f>
        <v>6348.6200000000008</v>
      </c>
      <c r="I7655" s="47"/>
      <c r="J7655" s="37">
        <v>0</v>
      </c>
    </row>
    <row r="7656" spans="1:10" hidden="1" x14ac:dyDescent="0.25">
      <c r="A7656" s="174"/>
      <c r="B7656" s="177"/>
      <c r="C7656" s="43" t="s">
        <v>11202</v>
      </c>
      <c r="D7656" s="43" t="s">
        <v>2800</v>
      </c>
      <c r="E7656" s="44">
        <v>20</v>
      </c>
      <c r="F7656" s="38">
        <v>18.344499999999996</v>
      </c>
      <c r="G7656" s="41">
        <f>IF(ISNUMBER(F7656),E7656*F7656,"")</f>
        <v>366.88999999999993</v>
      </c>
      <c r="H7656" s="42"/>
      <c r="I7656" s="38"/>
      <c r="J7656" s="37">
        <v>0</v>
      </c>
    </row>
    <row r="7657" spans="1:10" hidden="1" x14ac:dyDescent="0.25">
      <c r="A7657" s="174"/>
      <c r="B7657" s="177"/>
      <c r="C7657" s="43" t="s">
        <v>17</v>
      </c>
      <c r="D7657" s="43" t="s">
        <v>18</v>
      </c>
      <c r="E7657" s="44">
        <v>1</v>
      </c>
      <c r="F7657" s="38">
        <v>271.47000000000003</v>
      </c>
      <c r="G7657" s="41">
        <f>IF(ISNUMBER(F7657),E7657*F7657,"")</f>
        <v>271.47000000000003</v>
      </c>
      <c r="H7657" s="42"/>
      <c r="I7657" s="38"/>
      <c r="J7657" s="37">
        <v>0</v>
      </c>
    </row>
    <row r="7658" spans="1:10" ht="15.75" hidden="1" thickBot="1" x14ac:dyDescent="0.3">
      <c r="A7658" s="175"/>
      <c r="B7658" s="178"/>
      <c r="C7658" s="49"/>
      <c r="D7658" s="49"/>
      <c r="E7658" s="50"/>
      <c r="F7658" s="51" t="s">
        <v>13</v>
      </c>
      <c r="G7658" s="51" t="str">
        <f>IF(ISNUMBER(F7658),E7658*F7658,"")</f>
        <v/>
      </c>
      <c r="H7658" s="53"/>
      <c r="I7658" s="38"/>
      <c r="J7658" s="37">
        <v>0</v>
      </c>
    </row>
    <row r="7659" spans="1:10" ht="15.75" hidden="1" thickBot="1" x14ac:dyDescent="0.3">
      <c r="A7659" s="173" t="s">
        <v>1824</v>
      </c>
      <c r="B7659" s="176" t="s">
        <v>8242</v>
      </c>
      <c r="C7659" s="31"/>
      <c r="D7659" s="32" t="s">
        <v>18</v>
      </c>
      <c r="E7659" s="33"/>
      <c r="F7659" s="54" t="s">
        <v>13</v>
      </c>
      <c r="G7659" s="34" t="str">
        <f>IF(ISNUMBER(F7659),E7659*F7659,"")</f>
        <v/>
      </c>
      <c r="H7659" s="35"/>
      <c r="I7659" s="36"/>
      <c r="J7659" s="37">
        <v>0</v>
      </c>
    </row>
    <row r="7660" spans="1:10" hidden="1" x14ac:dyDescent="0.25">
      <c r="A7660" s="174"/>
      <c r="B7660" s="177"/>
      <c r="C7660" s="39"/>
      <c r="D7660" s="39"/>
      <c r="E7660" s="40"/>
      <c r="F7660" s="55" t="s">
        <v>13</v>
      </c>
      <c r="G7660" s="38" t="str">
        <f>IF(ISNUMBER(F7660),E7660*F7660,"")</f>
        <v/>
      </c>
      <c r="H7660" s="42"/>
      <c r="I7660" s="38"/>
      <c r="J7660" s="37">
        <v>0</v>
      </c>
    </row>
    <row r="7661" spans="1:10" ht="51" hidden="1" x14ac:dyDescent="0.25">
      <c r="A7661" s="174"/>
      <c r="B7661" s="177"/>
      <c r="C7661" s="43" t="s">
        <v>10786</v>
      </c>
      <c r="D7661" s="43" t="s">
        <v>1050</v>
      </c>
      <c r="E7661" s="44">
        <v>0.20160710000000001</v>
      </c>
      <c r="F7661" s="41">
        <v>266.43699999999995</v>
      </c>
      <c r="G7661" s="38">
        <f>IF(ISNUMBER(F7661),E7661*F7661,"")</f>
        <v>53.715590902699994</v>
      </c>
      <c r="H7661" s="46">
        <f>SUM(G7661:G7666)</f>
        <v>468.23219667119997</v>
      </c>
      <c r="I7661" s="47"/>
      <c r="J7661" s="37">
        <v>0</v>
      </c>
    </row>
    <row r="7662" spans="1:10" ht="51" hidden="1" x14ac:dyDescent="0.25">
      <c r="A7662" s="174"/>
      <c r="B7662" s="177"/>
      <c r="C7662" s="43" t="s">
        <v>10787</v>
      </c>
      <c r="D7662" s="43" t="s">
        <v>10677</v>
      </c>
      <c r="E7662" s="44">
        <v>5.1701400000000002E-2</v>
      </c>
      <c r="F7662" s="41">
        <v>70.727500000000006</v>
      </c>
      <c r="G7662" s="38">
        <f>IF(ISNUMBER(F7662),E7662*F7662,"")</f>
        <v>3.6567107685000004</v>
      </c>
      <c r="H7662" s="58"/>
      <c r="I7662" s="59"/>
      <c r="J7662" s="37">
        <v>0</v>
      </c>
    </row>
    <row r="7663" spans="1:10" ht="25.5" hidden="1" x14ac:dyDescent="0.25">
      <c r="A7663" s="174"/>
      <c r="B7663" s="177"/>
      <c r="C7663" s="43" t="s">
        <v>10946</v>
      </c>
      <c r="D7663" s="43" t="s">
        <v>83</v>
      </c>
      <c r="E7663" s="44">
        <v>1.4E-2</v>
      </c>
      <c r="F7663" s="38">
        <v>4.3605</v>
      </c>
      <c r="G7663" s="38">
        <f>IF(ISNUMBER(F7663),E7663*F7663,"")</f>
        <v>6.1047000000000004E-2</v>
      </c>
      <c r="H7663" s="42"/>
      <c r="I7663" s="38"/>
      <c r="J7663" s="37">
        <v>0</v>
      </c>
    </row>
    <row r="7664" spans="1:10" ht="25.5" hidden="1" x14ac:dyDescent="0.25">
      <c r="A7664" s="174"/>
      <c r="B7664" s="177"/>
      <c r="C7664" s="43" t="s">
        <v>11483</v>
      </c>
      <c r="D7664" s="43" t="s">
        <v>83</v>
      </c>
      <c r="E7664" s="44">
        <v>1</v>
      </c>
      <c r="F7664" s="38">
        <v>399.16149999999999</v>
      </c>
      <c r="G7664" s="38">
        <f>IF(ISNUMBER(F7664),E7664*F7664,"")</f>
        <v>399.16149999999999</v>
      </c>
      <c r="H7664" s="42"/>
      <c r="I7664" s="38"/>
      <c r="J7664" s="37">
        <v>0</v>
      </c>
    </row>
    <row r="7665" spans="1:10" hidden="1" x14ac:dyDescent="0.25">
      <c r="A7665" s="174"/>
      <c r="B7665" s="177"/>
      <c r="C7665" s="43" t="s">
        <v>10762</v>
      </c>
      <c r="D7665" s="43" t="s">
        <v>2800</v>
      </c>
      <c r="E7665" s="44">
        <v>0.2064</v>
      </c>
      <c r="F7665" s="38">
        <v>24.946999999999999</v>
      </c>
      <c r="G7665" s="38">
        <f>IF(ISNUMBER(F7665),E7665*F7665,"")</f>
        <v>5.1490608</v>
      </c>
      <c r="H7665" s="42"/>
      <c r="I7665" s="38"/>
      <c r="J7665" s="37">
        <v>0</v>
      </c>
    </row>
    <row r="7666" spans="1:10" hidden="1" x14ac:dyDescent="0.25">
      <c r="A7666" s="174"/>
      <c r="B7666" s="177"/>
      <c r="C7666" s="43" t="s">
        <v>10763</v>
      </c>
      <c r="D7666" s="43" t="s">
        <v>2800</v>
      </c>
      <c r="E7666" s="44">
        <v>0.2064</v>
      </c>
      <c r="F7666" s="38">
        <v>31.435500000000001</v>
      </c>
      <c r="G7666" s="41">
        <f>IF(ISNUMBER(F7666),E7666*F7666,"")</f>
        <v>6.4882872000000003</v>
      </c>
      <c r="H7666" s="42"/>
      <c r="I7666" s="38"/>
      <c r="J7666" s="37">
        <v>0</v>
      </c>
    </row>
    <row r="7667" spans="1:10" ht="15.75" hidden="1" thickBot="1" x14ac:dyDescent="0.3">
      <c r="A7667" s="175"/>
      <c r="B7667" s="178"/>
      <c r="C7667" s="49"/>
      <c r="D7667" s="49"/>
      <c r="E7667" s="50"/>
      <c r="F7667" s="51" t="s">
        <v>13</v>
      </c>
      <c r="G7667" s="51" t="str">
        <f>IF(ISNUMBER(F7667),E7667*F7667,"")</f>
        <v/>
      </c>
      <c r="H7667" s="53"/>
      <c r="I7667" s="38"/>
      <c r="J7667" s="37">
        <v>0</v>
      </c>
    </row>
    <row r="7668" spans="1:10" ht="15.75" hidden="1" thickBot="1" x14ac:dyDescent="0.3">
      <c r="A7668" s="173" t="s">
        <v>1825</v>
      </c>
      <c r="B7668" s="176" t="s">
        <v>8243</v>
      </c>
      <c r="C7668" s="31"/>
      <c r="D7668" s="32" t="s">
        <v>18</v>
      </c>
      <c r="E7668" s="33"/>
      <c r="F7668" s="60" t="s">
        <v>13</v>
      </c>
      <c r="G7668" s="34" t="str">
        <f>IF(ISNUMBER(F7668),E7668*F7668,"")</f>
        <v/>
      </c>
      <c r="H7668" s="35"/>
      <c r="I7668" s="36"/>
      <c r="J7668" s="37">
        <v>0</v>
      </c>
    </row>
    <row r="7669" spans="1:10" hidden="1" x14ac:dyDescent="0.25">
      <c r="A7669" s="174"/>
      <c r="B7669" s="177"/>
      <c r="C7669" s="39"/>
      <c r="D7669" s="39"/>
      <c r="E7669" s="40"/>
      <c r="F7669" s="70" t="s">
        <v>13</v>
      </c>
      <c r="G7669" s="70" t="str">
        <f>IF(ISNUMBER(F7669),E7669*F7669,"")</f>
        <v/>
      </c>
      <c r="H7669" s="71"/>
      <c r="I7669" s="38"/>
      <c r="J7669" s="37">
        <v>0</v>
      </c>
    </row>
    <row r="7670" spans="1:10" ht="25.5" hidden="1" x14ac:dyDescent="0.25">
      <c r="A7670" s="174"/>
      <c r="B7670" s="177"/>
      <c r="C7670" s="43" t="s">
        <v>1826</v>
      </c>
      <c r="D7670" s="43" t="s">
        <v>18</v>
      </c>
      <c r="E7670" s="44">
        <v>1</v>
      </c>
      <c r="F7670" s="38" t="s">
        <v>13</v>
      </c>
      <c r="G7670" s="70" t="str">
        <f>IF(ISNUMBER(F7670),E7670*F7670,"")</f>
        <v/>
      </c>
      <c r="H7670" s="46">
        <f>SUM(G7670:G7672)</f>
        <v>14.095625</v>
      </c>
      <c r="I7670" s="47"/>
      <c r="J7670" s="37">
        <v>0</v>
      </c>
    </row>
    <row r="7671" spans="1:10" hidden="1" x14ac:dyDescent="0.25">
      <c r="A7671" s="174"/>
      <c r="B7671" s="177"/>
      <c r="C7671" s="43" t="s">
        <v>10762</v>
      </c>
      <c r="D7671" s="43" t="s">
        <v>2800</v>
      </c>
      <c r="E7671" s="44">
        <v>0.25</v>
      </c>
      <c r="F7671" s="41">
        <v>24.946999999999999</v>
      </c>
      <c r="G7671" s="41">
        <f>IF(ISNUMBER(F7671),E7671*F7671,"")</f>
        <v>6.2367499999999998</v>
      </c>
      <c r="H7671" s="42"/>
      <c r="I7671" s="38"/>
      <c r="J7671" s="37">
        <v>0</v>
      </c>
    </row>
    <row r="7672" spans="1:10" hidden="1" x14ac:dyDescent="0.25">
      <c r="A7672" s="174"/>
      <c r="B7672" s="177"/>
      <c r="C7672" s="43" t="s">
        <v>10763</v>
      </c>
      <c r="D7672" s="43" t="s">
        <v>2800</v>
      </c>
      <c r="E7672" s="44">
        <v>0.25</v>
      </c>
      <c r="F7672" s="38">
        <v>31.435500000000001</v>
      </c>
      <c r="G7672" s="70">
        <f>IF(ISNUMBER(F7672),E7672*F7672,"")</f>
        <v>7.8588750000000003</v>
      </c>
      <c r="H7672" s="57"/>
      <c r="I7672" s="38"/>
      <c r="J7672" s="37">
        <v>0</v>
      </c>
    </row>
    <row r="7673" spans="1:10" ht="15.75" hidden="1" thickBot="1" x14ac:dyDescent="0.3">
      <c r="A7673" s="175"/>
      <c r="B7673" s="178"/>
      <c r="C7673" s="49"/>
      <c r="D7673" s="49"/>
      <c r="E7673" s="50"/>
      <c r="F7673" s="51" t="s">
        <v>13</v>
      </c>
      <c r="G7673" s="51" t="str">
        <f>IF(ISNUMBER(F7673),E7673*F7673,"")</f>
        <v/>
      </c>
      <c r="H7673" s="53"/>
      <c r="I7673" s="38"/>
      <c r="J7673" s="37">
        <v>0</v>
      </c>
    </row>
    <row r="7674" spans="1:10" ht="15.75" hidden="1" thickBot="1" x14ac:dyDescent="0.3">
      <c r="A7674" s="173" t="s">
        <v>1827</v>
      </c>
      <c r="B7674" s="176" t="s">
        <v>8244</v>
      </c>
      <c r="C7674" s="31"/>
      <c r="D7674" s="32" t="s">
        <v>18</v>
      </c>
      <c r="E7674" s="33"/>
      <c r="F7674" s="54" t="s">
        <v>13</v>
      </c>
      <c r="G7674" s="34" t="str">
        <f>IF(ISNUMBER(F7674),E7674*F7674,"")</f>
        <v/>
      </c>
      <c r="H7674" s="35"/>
      <c r="I7674" s="36"/>
      <c r="J7674" s="37">
        <v>0</v>
      </c>
    </row>
    <row r="7675" spans="1:10" hidden="1" x14ac:dyDescent="0.25">
      <c r="A7675" s="174"/>
      <c r="B7675" s="177"/>
      <c r="C7675" s="39"/>
      <c r="D7675" s="39"/>
      <c r="E7675" s="40"/>
      <c r="F7675" s="55" t="s">
        <v>13</v>
      </c>
      <c r="G7675" s="38" t="str">
        <f>IF(ISNUMBER(F7675),E7675*F7675,"")</f>
        <v/>
      </c>
      <c r="H7675" s="42"/>
      <c r="I7675" s="38"/>
      <c r="J7675" s="37">
        <v>0</v>
      </c>
    </row>
    <row r="7676" spans="1:10" hidden="1" x14ac:dyDescent="0.25">
      <c r="A7676" s="174"/>
      <c r="B7676" s="177"/>
      <c r="C7676" s="43" t="s">
        <v>11296</v>
      </c>
      <c r="D7676" s="43" t="s">
        <v>83</v>
      </c>
      <c r="E7676" s="44">
        <v>1</v>
      </c>
      <c r="F7676" s="41">
        <v>33.924500000000002</v>
      </c>
      <c r="G7676" s="38">
        <f>IF(ISNUMBER(F7676),E7676*F7676,"")</f>
        <v>33.924500000000002</v>
      </c>
      <c r="H7676" s="46">
        <f>SUM(G7676:G7680)</f>
        <v>123.66035667119999</v>
      </c>
      <c r="I7676" s="47"/>
      <c r="J7676" s="37">
        <v>0</v>
      </c>
    </row>
    <row r="7677" spans="1:10" ht="51" hidden="1" x14ac:dyDescent="0.25">
      <c r="A7677" s="174"/>
      <c r="B7677" s="177"/>
      <c r="C7677" s="43" t="s">
        <v>10786</v>
      </c>
      <c r="D7677" s="43" t="s">
        <v>1050</v>
      </c>
      <c r="E7677" s="44">
        <v>0.20160710000000001</v>
      </c>
      <c r="F7677" s="38">
        <v>266.43699999999995</v>
      </c>
      <c r="G7677" s="38">
        <f>IF(ISNUMBER(F7677),E7677*F7677,"")</f>
        <v>53.715590902699994</v>
      </c>
      <c r="H7677" s="42"/>
      <c r="I7677" s="38"/>
      <c r="J7677" s="37">
        <v>0</v>
      </c>
    </row>
    <row r="7678" spans="1:10" ht="51" hidden="1" x14ac:dyDescent="0.25">
      <c r="A7678" s="174"/>
      <c r="B7678" s="177"/>
      <c r="C7678" s="43" t="s">
        <v>10787</v>
      </c>
      <c r="D7678" s="43" t="s">
        <v>10677</v>
      </c>
      <c r="E7678" s="44">
        <v>5.1701400000000002E-2</v>
      </c>
      <c r="F7678" s="41">
        <v>70.727500000000006</v>
      </c>
      <c r="G7678" s="38">
        <f>IF(ISNUMBER(F7678),E7678*F7678,"")</f>
        <v>3.6567107685000004</v>
      </c>
      <c r="H7678" s="58"/>
      <c r="I7678" s="59"/>
      <c r="J7678" s="37">
        <v>0</v>
      </c>
    </row>
    <row r="7679" spans="1:10" hidden="1" x14ac:dyDescent="0.25">
      <c r="A7679" s="174"/>
      <c r="B7679" s="177"/>
      <c r="C7679" s="43" t="s">
        <v>10762</v>
      </c>
      <c r="D7679" s="43" t="s">
        <v>2800</v>
      </c>
      <c r="E7679" s="44">
        <v>0.57399999999999995</v>
      </c>
      <c r="F7679" s="38">
        <v>24.946999999999999</v>
      </c>
      <c r="G7679" s="38">
        <f>IF(ISNUMBER(F7679),E7679*F7679,"")</f>
        <v>14.319577999999998</v>
      </c>
      <c r="H7679" s="42"/>
      <c r="I7679" s="38"/>
      <c r="J7679" s="37">
        <v>0</v>
      </c>
    </row>
    <row r="7680" spans="1:10" hidden="1" x14ac:dyDescent="0.25">
      <c r="A7680" s="174"/>
      <c r="B7680" s="177"/>
      <c r="C7680" s="43" t="s">
        <v>10763</v>
      </c>
      <c r="D7680" s="43" t="s">
        <v>2800</v>
      </c>
      <c r="E7680" s="44">
        <v>0.57399999999999995</v>
      </c>
      <c r="F7680" s="38">
        <v>31.435500000000001</v>
      </c>
      <c r="G7680" s="38">
        <f>IF(ISNUMBER(F7680),E7680*F7680,"")</f>
        <v>18.043976999999998</v>
      </c>
      <c r="H7680" s="42"/>
      <c r="I7680" s="38"/>
      <c r="J7680" s="37">
        <v>0</v>
      </c>
    </row>
    <row r="7681" spans="1:10" ht="15.75" hidden="1" thickBot="1" x14ac:dyDescent="0.3">
      <c r="A7681" s="175"/>
      <c r="B7681" s="178"/>
      <c r="C7681" s="49"/>
      <c r="D7681" s="49"/>
      <c r="E7681" s="50"/>
      <c r="F7681" s="51" t="s">
        <v>13</v>
      </c>
      <c r="G7681" s="51" t="str">
        <f>IF(ISNUMBER(F7681),E7681*F7681,"")</f>
        <v/>
      </c>
      <c r="H7681" s="53"/>
      <c r="I7681" s="38"/>
      <c r="J7681" s="37">
        <v>0</v>
      </c>
    </row>
    <row r="7682" spans="1:10" ht="15.75" hidden="1" thickBot="1" x14ac:dyDescent="0.3">
      <c r="A7682" s="173" t="s">
        <v>1828</v>
      </c>
      <c r="B7682" s="176" t="s">
        <v>8245</v>
      </c>
      <c r="C7682" s="31"/>
      <c r="D7682" s="32" t="s">
        <v>18</v>
      </c>
      <c r="E7682" s="33"/>
      <c r="F7682" s="54" t="s">
        <v>13</v>
      </c>
      <c r="G7682" s="34" t="str">
        <f>IF(ISNUMBER(F7682),E7682*F7682,"")</f>
        <v/>
      </c>
      <c r="H7682" s="35"/>
      <c r="I7682" s="36"/>
      <c r="J7682" s="37">
        <v>0</v>
      </c>
    </row>
    <row r="7683" spans="1:10" hidden="1" x14ac:dyDescent="0.25">
      <c r="A7683" s="174"/>
      <c r="B7683" s="177"/>
      <c r="C7683" s="39"/>
      <c r="D7683" s="39"/>
      <c r="E7683" s="40"/>
      <c r="F7683" s="55" t="s">
        <v>13</v>
      </c>
      <c r="G7683" s="38" t="str">
        <f>IF(ISNUMBER(F7683),E7683*F7683,"")</f>
        <v/>
      </c>
      <c r="H7683" s="42"/>
      <c r="I7683" s="38"/>
      <c r="J7683" s="37">
        <v>0</v>
      </c>
    </row>
    <row r="7684" spans="1:10" ht="38.25" hidden="1" x14ac:dyDescent="0.25">
      <c r="A7684" s="174"/>
      <c r="B7684" s="177"/>
      <c r="C7684" s="43" t="s">
        <v>1829</v>
      </c>
      <c r="D7684" s="62" t="s">
        <v>18</v>
      </c>
      <c r="E7684" s="44">
        <v>1</v>
      </c>
      <c r="F7684" s="41" t="s">
        <v>13</v>
      </c>
      <c r="G7684" s="38" t="str">
        <f>IF(ISNUMBER(F7684),E7684*F7684,"")</f>
        <v/>
      </c>
      <c r="H7684" s="46">
        <f>SUM(G7684:G7687)</f>
        <v>243.11673368864001</v>
      </c>
      <c r="I7684" s="47"/>
      <c r="J7684" s="37">
        <v>0</v>
      </c>
    </row>
    <row r="7685" spans="1:10" ht="38.25" hidden="1" x14ac:dyDescent="0.25">
      <c r="A7685" s="174"/>
      <c r="B7685" s="177"/>
      <c r="C7685" s="43" t="s">
        <v>10712</v>
      </c>
      <c r="D7685" s="43" t="s">
        <v>2880</v>
      </c>
      <c r="E7685" s="44">
        <v>1.9199999999999998E-2</v>
      </c>
      <c r="F7685" s="38">
        <v>915.97571295</v>
      </c>
      <c r="G7685" s="38">
        <f>IF(ISNUMBER(F7685),E7685*F7685,"")</f>
        <v>17.586733688639999</v>
      </c>
      <c r="H7685" s="42"/>
      <c r="I7685" s="38"/>
      <c r="J7685" s="37">
        <v>0</v>
      </c>
    </row>
    <row r="7686" spans="1:10" hidden="1" x14ac:dyDescent="0.25">
      <c r="A7686" s="174"/>
      <c r="B7686" s="177"/>
      <c r="C7686" s="43" t="s">
        <v>10762</v>
      </c>
      <c r="D7686" s="43" t="s">
        <v>2800</v>
      </c>
      <c r="E7686" s="44">
        <v>4</v>
      </c>
      <c r="F7686" s="38">
        <v>24.946999999999999</v>
      </c>
      <c r="G7686" s="38">
        <f>IF(ISNUMBER(F7686),E7686*F7686,"")</f>
        <v>99.787999999999997</v>
      </c>
      <c r="H7686" s="42"/>
      <c r="I7686" s="38"/>
      <c r="J7686" s="37">
        <v>0</v>
      </c>
    </row>
    <row r="7687" spans="1:10" hidden="1" x14ac:dyDescent="0.25">
      <c r="A7687" s="174"/>
      <c r="B7687" s="177"/>
      <c r="C7687" s="43" t="s">
        <v>10763</v>
      </c>
      <c r="D7687" s="43" t="s">
        <v>2800</v>
      </c>
      <c r="E7687" s="44">
        <v>4</v>
      </c>
      <c r="F7687" s="38">
        <v>31.435500000000001</v>
      </c>
      <c r="G7687" s="41">
        <f>IF(ISNUMBER(F7687),E7687*F7687,"")</f>
        <v>125.742</v>
      </c>
      <c r="H7687" s="42"/>
      <c r="I7687" s="38"/>
      <c r="J7687" s="37">
        <v>0</v>
      </c>
    </row>
    <row r="7688" spans="1:10" ht="15.75" hidden="1" thickBot="1" x14ac:dyDescent="0.3">
      <c r="A7688" s="175"/>
      <c r="B7688" s="178"/>
      <c r="C7688" s="49"/>
      <c r="D7688" s="49"/>
      <c r="E7688" s="50"/>
      <c r="F7688" s="51" t="s">
        <v>13</v>
      </c>
      <c r="G7688" s="51" t="str">
        <f>IF(ISNUMBER(F7688),E7688*F7688,"")</f>
        <v/>
      </c>
      <c r="H7688" s="53"/>
      <c r="I7688" s="38"/>
      <c r="J7688" s="37">
        <v>0</v>
      </c>
    </row>
    <row r="7689" spans="1:10" ht="15.75" hidden="1" thickBot="1" x14ac:dyDescent="0.3">
      <c r="A7689" s="173" t="s">
        <v>1830</v>
      </c>
      <c r="B7689" s="176" t="s">
        <v>8246</v>
      </c>
      <c r="C7689" s="31"/>
      <c r="D7689" s="32" t="s">
        <v>18</v>
      </c>
      <c r="E7689" s="33"/>
      <c r="F7689" s="60" t="s">
        <v>13</v>
      </c>
      <c r="G7689" s="34" t="str">
        <f>IF(ISNUMBER(F7689),E7689*F7689,"")</f>
        <v/>
      </c>
      <c r="H7689" s="35"/>
      <c r="I7689" s="36"/>
      <c r="J7689" s="37">
        <v>0</v>
      </c>
    </row>
    <row r="7690" spans="1:10" hidden="1" x14ac:dyDescent="0.25">
      <c r="A7690" s="179"/>
      <c r="B7690" s="177"/>
      <c r="C7690" s="39"/>
      <c r="D7690" s="39"/>
      <c r="E7690" s="40"/>
      <c r="F7690" s="70" t="s">
        <v>13</v>
      </c>
      <c r="G7690" s="70" t="str">
        <f>IF(ISNUMBER(F7690),E7690*F7690,"")</f>
        <v/>
      </c>
      <c r="H7690" s="71"/>
      <c r="I7690" s="72"/>
      <c r="J7690" s="37">
        <v>0</v>
      </c>
    </row>
    <row r="7691" spans="1:10" ht="25.5" hidden="1" x14ac:dyDescent="0.25">
      <c r="A7691" s="179"/>
      <c r="B7691" s="177"/>
      <c r="C7691" s="43" t="s">
        <v>11484</v>
      </c>
      <c r="D7691" s="43" t="s">
        <v>83</v>
      </c>
      <c r="E7691" s="44">
        <v>1</v>
      </c>
      <c r="F7691" s="38">
        <v>15.275999999999998</v>
      </c>
      <c r="G7691" s="70">
        <f>IF(ISNUMBER(F7691),E7691*F7691,"")</f>
        <v>15.275999999999998</v>
      </c>
      <c r="H7691" s="46">
        <f>SUM(G7691:G7694)</f>
        <v>38.653105999999994</v>
      </c>
      <c r="I7691" s="47"/>
      <c r="J7691" s="37">
        <v>0</v>
      </c>
    </row>
    <row r="7692" spans="1:10" ht="38.25" hidden="1" x14ac:dyDescent="0.25">
      <c r="A7692" s="179"/>
      <c r="B7692" s="177"/>
      <c r="C7692" s="43" t="s">
        <v>10931</v>
      </c>
      <c r="D7692" s="43" t="s">
        <v>83</v>
      </c>
      <c r="E7692" s="44">
        <v>2</v>
      </c>
      <c r="F7692" s="41">
        <v>0.38949999999999996</v>
      </c>
      <c r="G7692" s="41">
        <f>IF(ISNUMBER(F7692),E7692*F7692,"")</f>
        <v>0.77899999999999991</v>
      </c>
      <c r="H7692" s="42"/>
      <c r="I7692" s="38"/>
      <c r="J7692" s="37">
        <v>0</v>
      </c>
    </row>
    <row r="7693" spans="1:10" hidden="1" x14ac:dyDescent="0.25">
      <c r="A7693" s="179"/>
      <c r="B7693" s="177"/>
      <c r="C7693" s="43" t="s">
        <v>10762</v>
      </c>
      <c r="D7693" s="43" t="s">
        <v>2800</v>
      </c>
      <c r="E7693" s="44">
        <v>0.40079999999999999</v>
      </c>
      <c r="F7693" s="38">
        <v>24.946999999999999</v>
      </c>
      <c r="G7693" s="70">
        <f>IF(ISNUMBER(F7693),E7693*F7693,"")</f>
        <v>9.9987575999999994</v>
      </c>
      <c r="H7693" s="57"/>
      <c r="I7693" s="47"/>
      <c r="J7693" s="37">
        <v>0</v>
      </c>
    </row>
    <row r="7694" spans="1:10" hidden="1" x14ac:dyDescent="0.25">
      <c r="A7694" s="179"/>
      <c r="B7694" s="177"/>
      <c r="C7694" s="43" t="s">
        <v>10763</v>
      </c>
      <c r="D7694" s="43" t="s">
        <v>2800</v>
      </c>
      <c r="E7694" s="44">
        <v>0.40079999999999999</v>
      </c>
      <c r="F7694" s="38">
        <v>31.435500000000001</v>
      </c>
      <c r="G7694" s="70">
        <f>IF(ISNUMBER(F7694),E7694*F7694,"")</f>
        <v>12.5993484</v>
      </c>
      <c r="H7694" s="57"/>
      <c r="I7694" s="47"/>
      <c r="J7694" s="37">
        <v>0</v>
      </c>
    </row>
    <row r="7695" spans="1:10" ht="15.75" hidden="1" thickBot="1" x14ac:dyDescent="0.3">
      <c r="A7695" s="180"/>
      <c r="B7695" s="178"/>
      <c r="C7695" s="49"/>
      <c r="D7695" s="63"/>
      <c r="E7695" s="50"/>
      <c r="F7695" s="83" t="s">
        <v>13</v>
      </c>
      <c r="G7695" s="83" t="str">
        <f>IF(ISNUMBER(F7695),E7695*F7695,"")</f>
        <v/>
      </c>
      <c r="H7695" s="84"/>
      <c r="I7695" s="72"/>
      <c r="J7695" s="37">
        <v>0</v>
      </c>
    </row>
    <row r="7696" spans="1:10" ht="15.75" hidden="1" thickBot="1" x14ac:dyDescent="0.3">
      <c r="A7696" s="173" t="s">
        <v>1831</v>
      </c>
      <c r="B7696" s="176" t="s">
        <v>8247</v>
      </c>
      <c r="C7696" s="31"/>
      <c r="D7696" s="32" t="s">
        <v>18</v>
      </c>
      <c r="E7696" s="33"/>
      <c r="F7696" s="60" t="s">
        <v>13</v>
      </c>
      <c r="G7696" s="34" t="str">
        <f>IF(ISNUMBER(F7696),E7696*F7696,"")</f>
        <v/>
      </c>
      <c r="H7696" s="35"/>
      <c r="I7696" s="36"/>
      <c r="J7696" s="37">
        <v>0</v>
      </c>
    </row>
    <row r="7697" spans="1:10" hidden="1" x14ac:dyDescent="0.25">
      <c r="A7697" s="179"/>
      <c r="B7697" s="177"/>
      <c r="C7697" s="39"/>
      <c r="D7697" s="39"/>
      <c r="E7697" s="40"/>
      <c r="F7697" s="70" t="s">
        <v>13</v>
      </c>
      <c r="G7697" s="70" t="str">
        <f>IF(ISNUMBER(F7697),E7697*F7697,"")</f>
        <v/>
      </c>
      <c r="H7697" s="71"/>
      <c r="I7697" s="72"/>
      <c r="J7697" s="37">
        <v>0</v>
      </c>
    </row>
    <row r="7698" spans="1:10" ht="25.5" hidden="1" x14ac:dyDescent="0.25">
      <c r="A7698" s="179"/>
      <c r="B7698" s="177"/>
      <c r="C7698" s="43" t="s">
        <v>11485</v>
      </c>
      <c r="D7698" s="43" t="s">
        <v>83</v>
      </c>
      <c r="E7698" s="44">
        <v>1</v>
      </c>
      <c r="F7698" s="38">
        <v>3.3344999999999998</v>
      </c>
      <c r="G7698" s="70">
        <f>IF(ISNUMBER(F7698),E7698*F7698,"")</f>
        <v>3.3344999999999998</v>
      </c>
      <c r="H7698" s="46">
        <f>SUM(G7698:G7698)</f>
        <v>3.3344999999999998</v>
      </c>
      <c r="I7698" s="47"/>
      <c r="J7698" s="37">
        <v>0</v>
      </c>
    </row>
    <row r="7699" spans="1:10" ht="15.75" hidden="1" thickBot="1" x14ac:dyDescent="0.3">
      <c r="A7699" s="180"/>
      <c r="B7699" s="178"/>
      <c r="C7699" s="49"/>
      <c r="D7699" s="63"/>
      <c r="E7699" s="50"/>
      <c r="F7699" s="83" t="s">
        <v>13</v>
      </c>
      <c r="G7699" s="83" t="str">
        <f>IF(ISNUMBER(F7699),E7699*F7699,"")</f>
        <v/>
      </c>
      <c r="H7699" s="84"/>
      <c r="I7699" s="72"/>
      <c r="J7699" s="37">
        <v>0</v>
      </c>
    </row>
    <row r="7700" spans="1:10" ht="15.75" hidden="1" thickBot="1" x14ac:dyDescent="0.3">
      <c r="A7700" s="173" t="s">
        <v>1832</v>
      </c>
      <c r="B7700" s="176" t="s">
        <v>1833</v>
      </c>
      <c r="C7700" s="31"/>
      <c r="D7700" s="32" t="s">
        <v>18</v>
      </c>
      <c r="E7700" s="33"/>
      <c r="F7700" s="54" t="s">
        <v>13</v>
      </c>
      <c r="G7700" s="34" t="str">
        <f>IF(ISNUMBER(F7700),E7700*F7700,"")</f>
        <v/>
      </c>
      <c r="H7700" s="35"/>
      <c r="I7700" s="36"/>
      <c r="J7700" s="37">
        <v>0</v>
      </c>
    </row>
    <row r="7701" spans="1:10" hidden="1" x14ac:dyDescent="0.25">
      <c r="A7701" s="174"/>
      <c r="B7701" s="177"/>
      <c r="C7701" s="39"/>
      <c r="D7701" s="39"/>
      <c r="E7701" s="40"/>
      <c r="F7701" s="55" t="s">
        <v>13</v>
      </c>
      <c r="G7701" s="38" t="str">
        <f>IF(ISNUMBER(F7701),E7701*F7701,"")</f>
        <v/>
      </c>
      <c r="H7701" s="42"/>
      <c r="I7701" s="38"/>
      <c r="J7701" s="37">
        <v>0</v>
      </c>
    </row>
    <row r="7702" spans="1:10" ht="38.25" hidden="1" x14ac:dyDescent="0.25">
      <c r="A7702" s="174"/>
      <c r="B7702" s="177"/>
      <c r="C7702" s="43" t="s">
        <v>10947</v>
      </c>
      <c r="D7702" s="43" t="s">
        <v>83</v>
      </c>
      <c r="E7702" s="44">
        <v>10</v>
      </c>
      <c r="F7702" s="41">
        <v>1.0734999999999999</v>
      </c>
      <c r="G7702" s="38">
        <f>IF(ISNUMBER(F7702),E7702*F7702,"")</f>
        <v>10.734999999999999</v>
      </c>
      <c r="H7702" s="46">
        <f>SUM(G7702:G7709)</f>
        <v>218.04877374999998</v>
      </c>
      <c r="I7702" s="47"/>
      <c r="J7702" s="37">
        <v>0</v>
      </c>
    </row>
    <row r="7703" spans="1:10" ht="38.25" hidden="1" x14ac:dyDescent="0.25">
      <c r="A7703" s="174"/>
      <c r="B7703" s="177"/>
      <c r="C7703" s="43" t="s">
        <v>10876</v>
      </c>
      <c r="D7703" s="43" t="s">
        <v>83</v>
      </c>
      <c r="E7703" s="44">
        <v>9</v>
      </c>
      <c r="F7703" s="38">
        <v>1.159</v>
      </c>
      <c r="G7703" s="38">
        <f>IF(ISNUMBER(F7703),E7703*F7703,"")</f>
        <v>10.431000000000001</v>
      </c>
      <c r="H7703" s="42"/>
      <c r="I7703" s="38"/>
      <c r="J7703" s="37">
        <v>0</v>
      </c>
    </row>
    <row r="7704" spans="1:10" ht="25.5" hidden="1" x14ac:dyDescent="0.25">
      <c r="A7704" s="174"/>
      <c r="B7704" s="177"/>
      <c r="C7704" s="43" t="s">
        <v>10954</v>
      </c>
      <c r="D7704" s="43" t="s">
        <v>83</v>
      </c>
      <c r="E7704" s="44">
        <v>6</v>
      </c>
      <c r="F7704" s="38">
        <v>1.0545</v>
      </c>
      <c r="G7704" s="38">
        <f>IF(ISNUMBER(F7704),E7704*F7704,"")</f>
        <v>6.327</v>
      </c>
      <c r="H7704" s="42"/>
      <c r="I7704" s="38"/>
      <c r="J7704" s="37">
        <v>0</v>
      </c>
    </row>
    <row r="7705" spans="1:10" ht="38.25" hidden="1" x14ac:dyDescent="0.25">
      <c r="A7705" s="174"/>
      <c r="B7705" s="177"/>
      <c r="C7705" s="43" t="s">
        <v>10949</v>
      </c>
      <c r="D7705" s="43" t="s">
        <v>83</v>
      </c>
      <c r="E7705" s="44">
        <v>4</v>
      </c>
      <c r="F7705" s="38">
        <v>0.38949999999999996</v>
      </c>
      <c r="G7705" s="38">
        <f>IF(ISNUMBER(F7705),E7705*F7705,"")</f>
        <v>1.5579999999999998</v>
      </c>
      <c r="H7705" s="42"/>
      <c r="I7705" s="38"/>
      <c r="J7705" s="37">
        <v>0</v>
      </c>
    </row>
    <row r="7706" spans="1:10" ht="25.5" hidden="1" x14ac:dyDescent="0.25">
      <c r="A7706" s="174"/>
      <c r="B7706" s="177"/>
      <c r="C7706" s="43" t="s">
        <v>10878</v>
      </c>
      <c r="D7706" s="43" t="s">
        <v>83</v>
      </c>
      <c r="E7706" s="44">
        <v>2</v>
      </c>
      <c r="F7706" s="38">
        <v>19.256499999999999</v>
      </c>
      <c r="G7706" s="38">
        <f>IF(ISNUMBER(F7706),E7706*F7706,"")</f>
        <v>38.512999999999998</v>
      </c>
      <c r="H7706" s="42"/>
      <c r="I7706" s="38"/>
      <c r="J7706" s="37">
        <v>0</v>
      </c>
    </row>
    <row r="7707" spans="1:10" hidden="1" x14ac:dyDescent="0.25">
      <c r="A7707" s="174"/>
      <c r="B7707" s="177"/>
      <c r="C7707" s="43" t="s">
        <v>1833</v>
      </c>
      <c r="D7707" s="43" t="s">
        <v>83</v>
      </c>
      <c r="E7707" s="44">
        <v>1</v>
      </c>
      <c r="F7707" s="38" t="s">
        <v>13</v>
      </c>
      <c r="G7707" s="38" t="str">
        <f>IF(ISNUMBER(F7707),E7707*F7707,"")</f>
        <v/>
      </c>
      <c r="H7707" s="42"/>
      <c r="I7707" s="38"/>
      <c r="J7707" s="37">
        <v>0</v>
      </c>
    </row>
    <row r="7708" spans="1:10" hidden="1" x14ac:dyDescent="0.25">
      <c r="A7708" s="174"/>
      <c r="B7708" s="177"/>
      <c r="C7708" s="43" t="s">
        <v>10750</v>
      </c>
      <c r="D7708" s="43" t="s">
        <v>2800</v>
      </c>
      <c r="E7708" s="44">
        <v>2.6335000000000002</v>
      </c>
      <c r="F7708" s="38">
        <v>24.358000000000001</v>
      </c>
      <c r="G7708" s="38">
        <f>IF(ISNUMBER(F7708),E7708*F7708,"")</f>
        <v>64.146793000000002</v>
      </c>
      <c r="H7708" s="42"/>
      <c r="I7708" s="38"/>
      <c r="J7708" s="37">
        <v>0</v>
      </c>
    </row>
    <row r="7709" spans="1:10" ht="25.5" hidden="1" x14ac:dyDescent="0.25">
      <c r="A7709" s="174"/>
      <c r="B7709" s="177"/>
      <c r="C7709" s="43" t="s">
        <v>10751</v>
      </c>
      <c r="D7709" s="43" t="s">
        <v>2800</v>
      </c>
      <c r="E7709" s="44">
        <v>2.6335000000000002</v>
      </c>
      <c r="F7709" s="38">
        <v>32.784499999999994</v>
      </c>
      <c r="G7709" s="38">
        <f>IF(ISNUMBER(F7709),E7709*F7709,"")</f>
        <v>86.337980749999986</v>
      </c>
      <c r="H7709" s="42"/>
      <c r="I7709" s="38"/>
      <c r="J7709" s="37">
        <v>0</v>
      </c>
    </row>
    <row r="7710" spans="1:10" ht="15.75" hidden="1" thickBot="1" x14ac:dyDescent="0.3">
      <c r="A7710" s="175"/>
      <c r="B7710" s="178"/>
      <c r="C7710" s="49"/>
      <c r="D7710" s="49"/>
      <c r="E7710" s="50"/>
      <c r="F7710" s="51" t="s">
        <v>13</v>
      </c>
      <c r="G7710" s="51" t="str">
        <f>IF(ISNUMBER(F7710),E7710*F7710,"")</f>
        <v/>
      </c>
      <c r="H7710" s="53"/>
      <c r="I7710" s="38"/>
      <c r="J7710" s="37">
        <v>0</v>
      </c>
    </row>
    <row r="7711" spans="1:10" ht="15.75" hidden="1" thickBot="1" x14ac:dyDescent="0.3">
      <c r="A7711" s="173" t="s">
        <v>1834</v>
      </c>
      <c r="B7711" s="176" t="s">
        <v>8248</v>
      </c>
      <c r="C7711" s="31"/>
      <c r="D7711" s="32" t="s">
        <v>68</v>
      </c>
      <c r="E7711" s="33"/>
      <c r="F7711" s="60" t="s">
        <v>13</v>
      </c>
      <c r="G7711" s="34" t="str">
        <f>IF(ISNUMBER(F7711),E7711*F7711,"")</f>
        <v/>
      </c>
      <c r="H7711" s="35"/>
      <c r="I7711" s="36"/>
      <c r="J7711" s="37">
        <v>0</v>
      </c>
    </row>
    <row r="7712" spans="1:10" hidden="1" x14ac:dyDescent="0.25">
      <c r="A7712" s="179"/>
      <c r="B7712" s="177"/>
      <c r="C7712" s="39"/>
      <c r="D7712" s="39"/>
      <c r="E7712" s="40"/>
      <c r="F7712" s="70" t="s">
        <v>13</v>
      </c>
      <c r="G7712" s="70" t="str">
        <f>IF(ISNUMBER(F7712),E7712*F7712,"")</f>
        <v/>
      </c>
      <c r="H7712" s="71"/>
      <c r="I7712" s="72"/>
      <c r="J7712" s="37">
        <v>0</v>
      </c>
    </row>
    <row r="7713" spans="1:10" ht="51" hidden="1" x14ac:dyDescent="0.25">
      <c r="A7713" s="179"/>
      <c r="B7713" s="177"/>
      <c r="C7713" s="43" t="s">
        <v>1835</v>
      </c>
      <c r="D7713" s="43" t="s">
        <v>68</v>
      </c>
      <c r="E7713" s="44">
        <v>1.0798000000000001</v>
      </c>
      <c r="F7713" s="70" t="s">
        <v>13</v>
      </c>
      <c r="G7713" s="70" t="str">
        <f>IF(ISNUMBER(F7713),E7713*F7713,"")</f>
        <v/>
      </c>
      <c r="H7713" s="46">
        <f>SUM(G7713:G7717)</f>
        <v>37.082919399999994</v>
      </c>
      <c r="I7713" s="47"/>
      <c r="J7713" s="37">
        <v>0</v>
      </c>
    </row>
    <row r="7714" spans="1:10" hidden="1" x14ac:dyDescent="0.25">
      <c r="A7714" s="179"/>
      <c r="B7714" s="177"/>
      <c r="C7714" s="43" t="s">
        <v>10870</v>
      </c>
      <c r="D7714" s="43" t="s">
        <v>1044</v>
      </c>
      <c r="E7714" s="44">
        <v>6.85</v>
      </c>
      <c r="F7714" s="70">
        <v>1.0734999999999999</v>
      </c>
      <c r="G7714" s="70">
        <f>IF(ISNUMBER(F7714),E7714*F7714,"")</f>
        <v>7.3534749999999987</v>
      </c>
      <c r="H7714" s="71"/>
      <c r="I7714" s="72"/>
      <c r="J7714" s="37">
        <v>0</v>
      </c>
    </row>
    <row r="7715" spans="1:10" hidden="1" x14ac:dyDescent="0.25">
      <c r="A7715" s="179"/>
      <c r="B7715" s="177"/>
      <c r="C7715" s="43" t="s">
        <v>10871</v>
      </c>
      <c r="D7715" s="43" t="s">
        <v>1044</v>
      </c>
      <c r="E7715" s="44">
        <v>0.22</v>
      </c>
      <c r="F7715" s="70">
        <v>3.4009999999999998</v>
      </c>
      <c r="G7715" s="70">
        <f>IF(ISNUMBER(F7715),E7715*F7715,"")</f>
        <v>0.74822</v>
      </c>
      <c r="H7715" s="71"/>
      <c r="I7715" s="72"/>
      <c r="J7715" s="37">
        <v>0</v>
      </c>
    </row>
    <row r="7716" spans="1:10" hidden="1" x14ac:dyDescent="0.25">
      <c r="A7716" s="179"/>
      <c r="B7716" s="177"/>
      <c r="C7716" s="43" t="s">
        <v>10826</v>
      </c>
      <c r="D7716" s="43" t="s">
        <v>2800</v>
      </c>
      <c r="E7716" s="44">
        <v>0.69699999999999995</v>
      </c>
      <c r="F7716" s="70">
        <v>30.912999999999997</v>
      </c>
      <c r="G7716" s="70">
        <f>IF(ISNUMBER(F7716),E7716*F7716,"")</f>
        <v>21.546360999999997</v>
      </c>
      <c r="H7716" s="71"/>
      <c r="I7716" s="72"/>
      <c r="J7716" s="37">
        <v>0</v>
      </c>
    </row>
    <row r="7717" spans="1:10" hidden="1" x14ac:dyDescent="0.25">
      <c r="A7717" s="179"/>
      <c r="B7717" s="177"/>
      <c r="C7717" s="43" t="s">
        <v>10614</v>
      </c>
      <c r="D7717" s="43" t="s">
        <v>2800</v>
      </c>
      <c r="E7717" s="44">
        <v>0.31380000000000002</v>
      </c>
      <c r="F7717" s="70">
        <v>23.693000000000001</v>
      </c>
      <c r="G7717" s="70">
        <f>IF(ISNUMBER(F7717),E7717*F7717,"")</f>
        <v>7.4348634000000011</v>
      </c>
      <c r="H7717" s="71"/>
      <c r="I7717" s="72"/>
      <c r="J7717" s="37">
        <v>0</v>
      </c>
    </row>
    <row r="7718" spans="1:10" ht="15.75" hidden="1" thickBot="1" x14ac:dyDescent="0.3">
      <c r="A7718" s="180"/>
      <c r="B7718" s="178"/>
      <c r="C7718" s="49"/>
      <c r="D7718" s="63"/>
      <c r="E7718" s="50"/>
      <c r="F7718" s="83" t="s">
        <v>13</v>
      </c>
      <c r="G7718" s="83" t="str">
        <f>IF(ISNUMBER(F7718),E7718*F7718,"")</f>
        <v/>
      </c>
      <c r="H7718" s="84"/>
      <c r="I7718" s="72"/>
      <c r="J7718" s="37">
        <v>0</v>
      </c>
    </row>
    <row r="7719" spans="1:10" ht="15.75" hidden="1" thickBot="1" x14ac:dyDescent="0.3">
      <c r="A7719" s="173" t="s">
        <v>1836</v>
      </c>
      <c r="B7719" s="176" t="s">
        <v>8249</v>
      </c>
      <c r="C7719" s="31"/>
      <c r="D7719" s="32" t="s">
        <v>68</v>
      </c>
      <c r="E7719" s="33"/>
      <c r="F7719" s="60" t="s">
        <v>13</v>
      </c>
      <c r="G7719" s="34" t="str">
        <f>IF(ISNUMBER(F7719),E7719*F7719,"")</f>
        <v/>
      </c>
      <c r="H7719" s="35"/>
      <c r="I7719" s="36"/>
      <c r="J7719" s="37">
        <v>0</v>
      </c>
    </row>
    <row r="7720" spans="1:10" hidden="1" x14ac:dyDescent="0.25">
      <c r="A7720" s="179"/>
      <c r="B7720" s="177"/>
      <c r="C7720" s="39"/>
      <c r="D7720" s="39"/>
      <c r="E7720" s="40"/>
      <c r="F7720" s="70" t="s">
        <v>13</v>
      </c>
      <c r="G7720" s="70" t="str">
        <f>IF(ISNUMBER(F7720),E7720*F7720,"")</f>
        <v/>
      </c>
      <c r="H7720" s="71"/>
      <c r="I7720" s="72"/>
      <c r="J7720" s="37">
        <v>0</v>
      </c>
    </row>
    <row r="7721" spans="1:10" ht="25.5" hidden="1" x14ac:dyDescent="0.25">
      <c r="A7721" s="179"/>
      <c r="B7721" s="177"/>
      <c r="C7721" s="43" t="s">
        <v>1837</v>
      </c>
      <c r="D7721" s="43" t="s">
        <v>68</v>
      </c>
      <c r="E7721" s="44">
        <v>1.0798000000000001</v>
      </c>
      <c r="F7721" s="70" t="s">
        <v>13</v>
      </c>
      <c r="G7721" s="70" t="str">
        <f>IF(ISNUMBER(F7721),E7721*F7721,"")</f>
        <v/>
      </c>
      <c r="H7721" s="46">
        <f>SUM(G7721:G7725)</f>
        <v>37.082919399999994</v>
      </c>
      <c r="I7721" s="47"/>
      <c r="J7721" s="37">
        <v>0</v>
      </c>
    </row>
    <row r="7722" spans="1:10" hidden="1" x14ac:dyDescent="0.25">
      <c r="A7722" s="179"/>
      <c r="B7722" s="177"/>
      <c r="C7722" s="43" t="s">
        <v>10870</v>
      </c>
      <c r="D7722" s="43" t="s">
        <v>1044</v>
      </c>
      <c r="E7722" s="44">
        <v>6.85</v>
      </c>
      <c r="F7722" s="70">
        <v>1.0734999999999999</v>
      </c>
      <c r="G7722" s="70">
        <f>IF(ISNUMBER(F7722),E7722*F7722,"")</f>
        <v>7.3534749999999987</v>
      </c>
      <c r="H7722" s="71"/>
      <c r="I7722" s="72"/>
      <c r="J7722" s="37">
        <v>0</v>
      </c>
    </row>
    <row r="7723" spans="1:10" hidden="1" x14ac:dyDescent="0.25">
      <c r="A7723" s="179"/>
      <c r="B7723" s="177"/>
      <c r="C7723" s="43" t="s">
        <v>10871</v>
      </c>
      <c r="D7723" s="43" t="s">
        <v>1044</v>
      </c>
      <c r="E7723" s="44">
        <v>0.22</v>
      </c>
      <c r="F7723" s="70">
        <v>3.4009999999999998</v>
      </c>
      <c r="G7723" s="70">
        <f>IF(ISNUMBER(F7723),E7723*F7723,"")</f>
        <v>0.74822</v>
      </c>
      <c r="H7723" s="71"/>
      <c r="I7723" s="72"/>
      <c r="J7723" s="37">
        <v>0</v>
      </c>
    </row>
    <row r="7724" spans="1:10" hidden="1" x14ac:dyDescent="0.25">
      <c r="A7724" s="179"/>
      <c r="B7724" s="177"/>
      <c r="C7724" s="43" t="s">
        <v>10826</v>
      </c>
      <c r="D7724" s="43" t="s">
        <v>2800</v>
      </c>
      <c r="E7724" s="44">
        <v>0.69699999999999995</v>
      </c>
      <c r="F7724" s="70">
        <v>30.912999999999997</v>
      </c>
      <c r="G7724" s="70">
        <f>IF(ISNUMBER(F7724),E7724*F7724,"")</f>
        <v>21.546360999999997</v>
      </c>
      <c r="H7724" s="71"/>
      <c r="I7724" s="72"/>
      <c r="J7724" s="37">
        <v>0</v>
      </c>
    </row>
    <row r="7725" spans="1:10" hidden="1" x14ac:dyDescent="0.25">
      <c r="A7725" s="179"/>
      <c r="B7725" s="177"/>
      <c r="C7725" s="43" t="s">
        <v>10614</v>
      </c>
      <c r="D7725" s="43" t="s">
        <v>2800</v>
      </c>
      <c r="E7725" s="44">
        <v>0.31380000000000002</v>
      </c>
      <c r="F7725" s="70">
        <v>23.693000000000001</v>
      </c>
      <c r="G7725" s="70">
        <f>IF(ISNUMBER(F7725),E7725*F7725,"")</f>
        <v>7.4348634000000011</v>
      </c>
      <c r="H7725" s="71"/>
      <c r="I7725" s="72"/>
      <c r="J7725" s="37">
        <v>0</v>
      </c>
    </row>
    <row r="7726" spans="1:10" ht="15.75" hidden="1" thickBot="1" x14ac:dyDescent="0.3">
      <c r="A7726" s="180"/>
      <c r="B7726" s="178"/>
      <c r="C7726" s="49"/>
      <c r="D7726" s="63"/>
      <c r="E7726" s="50"/>
      <c r="F7726" s="83" t="s">
        <v>13</v>
      </c>
      <c r="G7726" s="83" t="str">
        <f>IF(ISNUMBER(F7726),E7726*F7726,"")</f>
        <v/>
      </c>
      <c r="H7726" s="84"/>
      <c r="I7726" s="72"/>
      <c r="J7726" s="37">
        <v>0</v>
      </c>
    </row>
    <row r="7727" spans="1:10" ht="15.75" hidden="1" thickBot="1" x14ac:dyDescent="0.3">
      <c r="A7727" s="173" t="s">
        <v>1838</v>
      </c>
      <c r="B7727" s="176" t="s">
        <v>8250</v>
      </c>
      <c r="C7727" s="31"/>
      <c r="D7727" s="32" t="s">
        <v>68</v>
      </c>
      <c r="E7727" s="33"/>
      <c r="F7727" s="60" t="s">
        <v>13</v>
      </c>
      <c r="G7727" s="34" t="str">
        <f>IF(ISNUMBER(F7727),E7727*F7727,"")</f>
        <v/>
      </c>
      <c r="H7727" s="35"/>
      <c r="I7727" s="36"/>
      <c r="J7727" s="37">
        <v>0</v>
      </c>
    </row>
    <row r="7728" spans="1:10" hidden="1" x14ac:dyDescent="0.25">
      <c r="A7728" s="179"/>
      <c r="B7728" s="177"/>
      <c r="C7728" s="39"/>
      <c r="D7728" s="39"/>
      <c r="E7728" s="40"/>
      <c r="F7728" s="70" t="s">
        <v>13</v>
      </c>
      <c r="G7728" s="70" t="str">
        <f>IF(ISNUMBER(F7728),E7728*F7728,"")</f>
        <v/>
      </c>
      <c r="H7728" s="71"/>
      <c r="I7728" s="72"/>
      <c r="J7728" s="37">
        <v>0</v>
      </c>
    </row>
    <row r="7729" spans="1:10" ht="25.5" hidden="1" x14ac:dyDescent="0.25">
      <c r="A7729" s="179"/>
      <c r="B7729" s="177"/>
      <c r="C7729" s="43" t="s">
        <v>1839</v>
      </c>
      <c r="D7729" s="43" t="s">
        <v>68</v>
      </c>
      <c r="E7729" s="44">
        <v>1.0798000000000001</v>
      </c>
      <c r="F7729" s="70" t="s">
        <v>13</v>
      </c>
      <c r="G7729" s="70" t="str">
        <f>IF(ISNUMBER(F7729),E7729*F7729,"")</f>
        <v/>
      </c>
      <c r="H7729" s="46">
        <f>SUM(G7729:G7733)</f>
        <v>37.082919399999994</v>
      </c>
      <c r="I7729" s="47"/>
      <c r="J7729" s="37">
        <v>0</v>
      </c>
    </row>
    <row r="7730" spans="1:10" hidden="1" x14ac:dyDescent="0.25">
      <c r="A7730" s="179"/>
      <c r="B7730" s="177"/>
      <c r="C7730" s="43" t="s">
        <v>10870</v>
      </c>
      <c r="D7730" s="43" t="s">
        <v>1044</v>
      </c>
      <c r="E7730" s="44">
        <v>6.85</v>
      </c>
      <c r="F7730" s="70">
        <v>1.0734999999999999</v>
      </c>
      <c r="G7730" s="70">
        <f>IF(ISNUMBER(F7730),E7730*F7730,"")</f>
        <v>7.3534749999999987</v>
      </c>
      <c r="H7730" s="71"/>
      <c r="I7730" s="72"/>
      <c r="J7730" s="37">
        <v>0</v>
      </c>
    </row>
    <row r="7731" spans="1:10" hidden="1" x14ac:dyDescent="0.25">
      <c r="A7731" s="179"/>
      <c r="B7731" s="177"/>
      <c r="C7731" s="43" t="s">
        <v>10871</v>
      </c>
      <c r="D7731" s="43" t="s">
        <v>1044</v>
      </c>
      <c r="E7731" s="44">
        <v>0.22</v>
      </c>
      <c r="F7731" s="70">
        <v>3.4009999999999998</v>
      </c>
      <c r="G7731" s="70">
        <f>IF(ISNUMBER(F7731),E7731*F7731,"")</f>
        <v>0.74822</v>
      </c>
      <c r="H7731" s="71"/>
      <c r="I7731" s="72"/>
      <c r="J7731" s="37">
        <v>0</v>
      </c>
    </row>
    <row r="7732" spans="1:10" hidden="1" x14ac:dyDescent="0.25">
      <c r="A7732" s="179"/>
      <c r="B7732" s="177"/>
      <c r="C7732" s="43" t="s">
        <v>10826</v>
      </c>
      <c r="D7732" s="43" t="s">
        <v>2800</v>
      </c>
      <c r="E7732" s="44">
        <v>0.69699999999999995</v>
      </c>
      <c r="F7732" s="70">
        <v>30.912999999999997</v>
      </c>
      <c r="G7732" s="70">
        <f>IF(ISNUMBER(F7732),E7732*F7732,"")</f>
        <v>21.546360999999997</v>
      </c>
      <c r="H7732" s="71"/>
      <c r="I7732" s="72"/>
      <c r="J7732" s="37">
        <v>0</v>
      </c>
    </row>
    <row r="7733" spans="1:10" hidden="1" x14ac:dyDescent="0.25">
      <c r="A7733" s="179"/>
      <c r="B7733" s="177"/>
      <c r="C7733" s="43" t="s">
        <v>10614</v>
      </c>
      <c r="D7733" s="43" t="s">
        <v>2800</v>
      </c>
      <c r="E7733" s="44">
        <v>0.31380000000000002</v>
      </c>
      <c r="F7733" s="70">
        <v>23.693000000000001</v>
      </c>
      <c r="G7733" s="70">
        <f>IF(ISNUMBER(F7733),E7733*F7733,"")</f>
        <v>7.4348634000000011</v>
      </c>
      <c r="H7733" s="71"/>
      <c r="I7733" s="72"/>
      <c r="J7733" s="37">
        <v>0</v>
      </c>
    </row>
    <row r="7734" spans="1:10" ht="15.75" hidden="1" thickBot="1" x14ac:dyDescent="0.3">
      <c r="A7734" s="180"/>
      <c r="B7734" s="178"/>
      <c r="C7734" s="49"/>
      <c r="D7734" s="63"/>
      <c r="E7734" s="50"/>
      <c r="F7734" s="83" t="s">
        <v>13</v>
      </c>
      <c r="G7734" s="83" t="str">
        <f>IF(ISNUMBER(F7734),E7734*F7734,"")</f>
        <v/>
      </c>
      <c r="H7734" s="84"/>
      <c r="I7734" s="72"/>
      <c r="J7734" s="37">
        <v>0</v>
      </c>
    </row>
    <row r="7735" spans="1:10" ht="15.75" hidden="1" thickBot="1" x14ac:dyDescent="0.3">
      <c r="A7735" s="173" t="s">
        <v>1840</v>
      </c>
      <c r="B7735" s="176" t="s">
        <v>8265</v>
      </c>
      <c r="C7735" s="31"/>
      <c r="D7735" s="32" t="s">
        <v>68</v>
      </c>
      <c r="E7735" s="33"/>
      <c r="F7735" s="60" t="s">
        <v>13</v>
      </c>
      <c r="G7735" s="34" t="str">
        <f>IF(ISNUMBER(F7735),E7735*F7735,"")</f>
        <v/>
      </c>
      <c r="H7735" s="35"/>
      <c r="I7735" s="36"/>
      <c r="J7735" s="37">
        <v>0</v>
      </c>
    </row>
    <row r="7736" spans="1:10" hidden="1" x14ac:dyDescent="0.25">
      <c r="A7736" s="179"/>
      <c r="B7736" s="177"/>
      <c r="C7736" s="39"/>
      <c r="D7736" s="39"/>
      <c r="E7736" s="40"/>
      <c r="F7736" s="70" t="s">
        <v>13</v>
      </c>
      <c r="G7736" s="70" t="str">
        <f>IF(ISNUMBER(F7736),E7736*F7736,"")</f>
        <v/>
      </c>
      <c r="H7736" s="71"/>
      <c r="I7736" s="72"/>
      <c r="J7736" s="37">
        <v>0</v>
      </c>
    </row>
    <row r="7737" spans="1:10" hidden="1" x14ac:dyDescent="0.25">
      <c r="A7737" s="179"/>
      <c r="B7737" s="177"/>
      <c r="C7737" s="43" t="s">
        <v>10614</v>
      </c>
      <c r="D7737" s="43" t="s">
        <v>2800</v>
      </c>
      <c r="E7737" s="44">
        <v>0.4</v>
      </c>
      <c r="F7737" s="70">
        <v>23.693000000000001</v>
      </c>
      <c r="G7737" s="70">
        <f>IF(ISNUMBER(F7737),E7737*F7737,"")</f>
        <v>9.4772000000000016</v>
      </c>
      <c r="H7737" s="46">
        <f>SUM(G7737:G7739)</f>
        <v>16.952076004687502</v>
      </c>
      <c r="I7737" s="47"/>
      <c r="J7737" s="37">
        <v>0</v>
      </c>
    </row>
    <row r="7738" spans="1:10" ht="25.5" hidden="1" x14ac:dyDescent="0.25">
      <c r="A7738" s="179"/>
      <c r="B7738" s="177"/>
      <c r="C7738" s="43" t="s">
        <v>10700</v>
      </c>
      <c r="D7738" s="43" t="s">
        <v>2880</v>
      </c>
      <c r="E7738" s="44">
        <v>5.0000000000000001E-3</v>
      </c>
      <c r="F7738" s="70">
        <v>973.42520093750011</v>
      </c>
      <c r="G7738" s="70">
        <f>IF(ISNUMBER(F7738),E7738*F7738,"")</f>
        <v>4.8671260046875009</v>
      </c>
      <c r="H7738" s="71"/>
      <c r="I7738" s="72"/>
      <c r="J7738" s="37">
        <v>0</v>
      </c>
    </row>
    <row r="7739" spans="1:10" hidden="1" x14ac:dyDescent="0.25">
      <c r="A7739" s="179"/>
      <c r="B7739" s="177"/>
      <c r="C7739" s="43" t="s">
        <v>11486</v>
      </c>
      <c r="D7739" s="43" t="s">
        <v>83</v>
      </c>
      <c r="E7739" s="44">
        <v>0.5</v>
      </c>
      <c r="F7739" s="70">
        <v>5.2154999999999996</v>
      </c>
      <c r="G7739" s="70">
        <f>IF(ISNUMBER(F7739),E7739*F7739,"")</f>
        <v>2.6077499999999998</v>
      </c>
      <c r="H7739" s="71"/>
      <c r="I7739" s="72"/>
      <c r="J7739" s="37">
        <v>0</v>
      </c>
    </row>
    <row r="7740" spans="1:10" ht="15.75" hidden="1" thickBot="1" x14ac:dyDescent="0.3">
      <c r="A7740" s="180"/>
      <c r="B7740" s="178"/>
      <c r="C7740" s="49"/>
      <c r="D7740" s="63"/>
      <c r="E7740" s="50"/>
      <c r="F7740" s="83" t="s">
        <v>13</v>
      </c>
      <c r="G7740" s="83" t="str">
        <f>IF(ISNUMBER(F7740),E7740*F7740,"")</f>
        <v/>
      </c>
      <c r="H7740" s="84"/>
      <c r="I7740" s="72"/>
      <c r="J7740" s="37">
        <v>0</v>
      </c>
    </row>
    <row r="7741" spans="1:10" ht="15.75" hidden="1" thickBot="1" x14ac:dyDescent="0.3">
      <c r="A7741" s="173" t="s">
        <v>1841</v>
      </c>
      <c r="B7741" s="176" t="s">
        <v>8266</v>
      </c>
      <c r="C7741" s="31"/>
      <c r="D7741" s="32" t="s">
        <v>18</v>
      </c>
      <c r="E7741" s="33"/>
      <c r="F7741" s="60" t="s">
        <v>13</v>
      </c>
      <c r="G7741" s="34" t="str">
        <f>IF(ISNUMBER(F7741),E7741*F7741,"")</f>
        <v/>
      </c>
      <c r="H7741" s="35"/>
      <c r="I7741" s="36"/>
      <c r="J7741" s="37">
        <v>0</v>
      </c>
    </row>
    <row r="7742" spans="1:10" hidden="1" x14ac:dyDescent="0.25">
      <c r="A7742" s="179"/>
      <c r="B7742" s="177"/>
      <c r="C7742" s="39"/>
      <c r="D7742" s="39"/>
      <c r="E7742" s="40"/>
      <c r="F7742" s="70" t="s">
        <v>13</v>
      </c>
      <c r="G7742" s="70" t="str">
        <f>IF(ISNUMBER(F7742),E7742*F7742,"")</f>
        <v/>
      </c>
      <c r="H7742" s="71"/>
      <c r="I7742" s="72"/>
      <c r="J7742" s="37">
        <v>0</v>
      </c>
    </row>
    <row r="7743" spans="1:10" ht="25.5" hidden="1" x14ac:dyDescent="0.25">
      <c r="A7743" s="179"/>
      <c r="B7743" s="177"/>
      <c r="C7743" s="43" t="s">
        <v>10611</v>
      </c>
      <c r="D7743" s="43" t="s">
        <v>2800</v>
      </c>
      <c r="E7743" s="44">
        <v>40</v>
      </c>
      <c r="F7743" s="70">
        <v>142.75650000000002</v>
      </c>
      <c r="G7743" s="70">
        <f>IF(ISNUMBER(F7743),E7743*F7743,"")</f>
        <v>5710.26</v>
      </c>
      <c r="H7743" s="46">
        <f>SUM(G7743:G7745)</f>
        <v>6348.6200000000008</v>
      </c>
      <c r="I7743" s="47"/>
      <c r="J7743" s="37">
        <v>0</v>
      </c>
    </row>
    <row r="7744" spans="1:10" hidden="1" x14ac:dyDescent="0.25">
      <c r="A7744" s="179"/>
      <c r="B7744" s="177"/>
      <c r="C7744" s="43" t="s">
        <v>11202</v>
      </c>
      <c r="D7744" s="43" t="s">
        <v>2800</v>
      </c>
      <c r="E7744" s="44">
        <v>20</v>
      </c>
      <c r="F7744" s="70">
        <v>18.344499999999996</v>
      </c>
      <c r="G7744" s="70">
        <f>IF(ISNUMBER(F7744),E7744*F7744,"")</f>
        <v>366.88999999999993</v>
      </c>
      <c r="H7744" s="71"/>
      <c r="I7744" s="72"/>
      <c r="J7744" s="37">
        <v>0</v>
      </c>
    </row>
    <row r="7745" spans="1:10" hidden="1" x14ac:dyDescent="0.25">
      <c r="A7745" s="179"/>
      <c r="B7745" s="177"/>
      <c r="C7745" s="43" t="s">
        <v>17</v>
      </c>
      <c r="D7745" s="43" t="s">
        <v>18</v>
      </c>
      <c r="E7745" s="44">
        <v>1</v>
      </c>
      <c r="F7745" s="70">
        <v>271.47000000000003</v>
      </c>
      <c r="G7745" s="70">
        <f>IF(ISNUMBER(F7745),E7745*F7745,"")</f>
        <v>271.47000000000003</v>
      </c>
      <c r="H7745" s="71"/>
      <c r="I7745" s="72"/>
      <c r="J7745" s="37">
        <v>0</v>
      </c>
    </row>
    <row r="7746" spans="1:10" ht="15.75" hidden="1" thickBot="1" x14ac:dyDescent="0.3">
      <c r="A7746" s="180"/>
      <c r="B7746" s="178"/>
      <c r="C7746" s="49"/>
      <c r="D7746" s="63"/>
      <c r="E7746" s="50"/>
      <c r="F7746" s="83" t="s">
        <v>13</v>
      </c>
      <c r="G7746" s="83" t="str">
        <f>IF(ISNUMBER(F7746),E7746*F7746,"")</f>
        <v/>
      </c>
      <c r="H7746" s="84"/>
      <c r="I7746" s="72"/>
      <c r="J7746" s="37">
        <v>0</v>
      </c>
    </row>
    <row r="7747" spans="1:10" ht="15.75" hidden="1" thickBot="1" x14ac:dyDescent="0.3">
      <c r="A7747" s="173" t="s">
        <v>1842</v>
      </c>
      <c r="B7747" s="176" t="s">
        <v>8267</v>
      </c>
      <c r="C7747" s="31"/>
      <c r="D7747" s="32" t="s">
        <v>18</v>
      </c>
      <c r="E7747" s="33"/>
      <c r="F7747" s="54" t="s">
        <v>13</v>
      </c>
      <c r="G7747" s="34" t="str">
        <f>IF(ISNUMBER(F7747),E7747*F7747,"")</f>
        <v/>
      </c>
      <c r="H7747" s="35"/>
      <c r="I7747" s="36"/>
      <c r="J7747" s="37">
        <v>0</v>
      </c>
    </row>
    <row r="7748" spans="1:10" hidden="1" x14ac:dyDescent="0.25">
      <c r="A7748" s="174"/>
      <c r="B7748" s="177"/>
      <c r="C7748" s="39"/>
      <c r="D7748" s="39"/>
      <c r="E7748" s="40"/>
      <c r="F7748" s="101" t="s">
        <v>13</v>
      </c>
      <c r="G7748" s="100" t="str">
        <f>IF(ISNUMBER(F7748),E7748*F7748,"")</f>
        <v/>
      </c>
      <c r="H7748" s="102"/>
      <c r="I7748" s="100"/>
      <c r="J7748" s="37">
        <v>0</v>
      </c>
    </row>
    <row r="7749" spans="1:10" ht="25.5" hidden="1" x14ac:dyDescent="0.25">
      <c r="A7749" s="174"/>
      <c r="B7749" s="177"/>
      <c r="C7749" s="43" t="s">
        <v>10829</v>
      </c>
      <c r="D7749" s="43" t="s">
        <v>2800</v>
      </c>
      <c r="E7749" s="44">
        <v>3.5</v>
      </c>
      <c r="F7749" s="100">
        <v>24.4435</v>
      </c>
      <c r="G7749" s="103">
        <f>IF(ISNUMBER(F7749),E7749*F7749,"")</f>
        <v>85.552250000000001</v>
      </c>
      <c r="H7749" s="46">
        <f>SUM(G7749:G7754)</f>
        <v>181.14600000000002</v>
      </c>
      <c r="I7749" s="104"/>
      <c r="J7749" s="37">
        <v>0</v>
      </c>
    </row>
    <row r="7750" spans="1:10" ht="25.5" hidden="1" x14ac:dyDescent="0.25">
      <c r="A7750" s="174"/>
      <c r="B7750" s="177"/>
      <c r="C7750" s="43" t="s">
        <v>10832</v>
      </c>
      <c r="D7750" s="43" t="s">
        <v>2800</v>
      </c>
      <c r="E7750" s="44">
        <v>3.5</v>
      </c>
      <c r="F7750" s="100">
        <v>27.3125</v>
      </c>
      <c r="G7750" s="103">
        <f>IF(ISNUMBER(F7750),E7750*F7750,"")</f>
        <v>95.59375</v>
      </c>
      <c r="H7750" s="102"/>
      <c r="I7750" s="100"/>
      <c r="J7750" s="37">
        <v>0</v>
      </c>
    </row>
    <row r="7751" spans="1:10" hidden="1" x14ac:dyDescent="0.25">
      <c r="A7751" s="174"/>
      <c r="B7751" s="177"/>
      <c r="C7751" s="43" t="s">
        <v>1843</v>
      </c>
      <c r="D7751" s="43" t="s">
        <v>87</v>
      </c>
      <c r="E7751" s="44">
        <v>1</v>
      </c>
      <c r="F7751" s="103" t="s">
        <v>13</v>
      </c>
      <c r="G7751" s="103" t="str">
        <f>IF(ISNUMBER(F7751),E7751*F7751,"")</f>
        <v/>
      </c>
      <c r="H7751" s="102"/>
      <c r="I7751" s="100"/>
      <c r="J7751" s="37">
        <v>0</v>
      </c>
    </row>
    <row r="7752" spans="1:10" hidden="1" x14ac:dyDescent="0.25">
      <c r="A7752" s="174"/>
      <c r="B7752" s="177"/>
      <c r="C7752" s="43" t="s">
        <v>1844</v>
      </c>
      <c r="D7752" s="43" t="s">
        <v>87</v>
      </c>
      <c r="E7752" s="44">
        <v>1</v>
      </c>
      <c r="F7752" s="103" t="s">
        <v>13</v>
      </c>
      <c r="G7752" s="103" t="str">
        <f>IF(ISNUMBER(F7752),E7752*F7752,"")</f>
        <v/>
      </c>
      <c r="H7752" s="102"/>
      <c r="I7752" s="100"/>
      <c r="J7752" s="37">
        <v>0</v>
      </c>
    </row>
    <row r="7753" spans="1:10" hidden="1" x14ac:dyDescent="0.25">
      <c r="A7753" s="174"/>
      <c r="B7753" s="177"/>
      <c r="C7753" s="43" t="s">
        <v>1845</v>
      </c>
      <c r="D7753" s="43" t="s">
        <v>87</v>
      </c>
      <c r="E7753" s="44">
        <v>1</v>
      </c>
      <c r="F7753" s="103" t="s">
        <v>13</v>
      </c>
      <c r="G7753" s="103" t="str">
        <f>IF(ISNUMBER(F7753),E7753*F7753,"")</f>
        <v/>
      </c>
      <c r="H7753" s="102"/>
      <c r="I7753" s="100"/>
      <c r="J7753" s="37">
        <v>0</v>
      </c>
    </row>
    <row r="7754" spans="1:10" hidden="1" x14ac:dyDescent="0.25">
      <c r="A7754" s="174"/>
      <c r="B7754" s="177"/>
      <c r="C7754" s="43" t="s">
        <v>1846</v>
      </c>
      <c r="D7754" s="43" t="s">
        <v>87</v>
      </c>
      <c r="E7754" s="44">
        <v>1</v>
      </c>
      <c r="F7754" s="103" t="s">
        <v>13</v>
      </c>
      <c r="G7754" s="103" t="str">
        <f>IF(ISNUMBER(F7754),E7754*F7754,"")</f>
        <v/>
      </c>
      <c r="H7754" s="102"/>
      <c r="I7754" s="100"/>
      <c r="J7754" s="37">
        <v>0</v>
      </c>
    </row>
    <row r="7755" spans="1:10" ht="15.75" hidden="1" thickBot="1" x14ac:dyDescent="0.3">
      <c r="A7755" s="175"/>
      <c r="B7755" s="178"/>
      <c r="C7755" s="49"/>
      <c r="D7755" s="49"/>
      <c r="E7755" s="50"/>
      <c r="F7755" s="105" t="s">
        <v>13</v>
      </c>
      <c r="G7755" s="105" t="str">
        <f>IF(ISNUMBER(F7755),E7755*F7755,"")</f>
        <v/>
      </c>
      <c r="H7755" s="106"/>
      <c r="I7755" s="100"/>
      <c r="J7755" s="37">
        <v>0</v>
      </c>
    </row>
    <row r="7756" spans="1:10" ht="15.75" hidden="1" thickBot="1" x14ac:dyDescent="0.3">
      <c r="A7756" s="173" t="s">
        <v>1847</v>
      </c>
      <c r="B7756" s="176" t="s">
        <v>8268</v>
      </c>
      <c r="C7756" s="31"/>
      <c r="D7756" s="32" t="s">
        <v>18</v>
      </c>
      <c r="E7756" s="33"/>
      <c r="F7756" s="54" t="s">
        <v>13</v>
      </c>
      <c r="G7756" s="34" t="str">
        <f>IF(ISNUMBER(F7756),E7756*F7756,"")</f>
        <v/>
      </c>
      <c r="H7756" s="35"/>
      <c r="I7756" s="36"/>
      <c r="J7756" s="37">
        <v>0</v>
      </c>
    </row>
    <row r="7757" spans="1:10" hidden="1" x14ac:dyDescent="0.25">
      <c r="A7757" s="174"/>
      <c r="B7757" s="177"/>
      <c r="C7757" s="39"/>
      <c r="D7757" s="39"/>
      <c r="E7757" s="40"/>
      <c r="F7757" s="101" t="s">
        <v>13</v>
      </c>
      <c r="G7757" s="100" t="str">
        <f>IF(ISNUMBER(F7757),E7757*F7757,"")</f>
        <v/>
      </c>
      <c r="H7757" s="102"/>
      <c r="I7757" s="100"/>
      <c r="J7757" s="37">
        <v>0</v>
      </c>
    </row>
    <row r="7758" spans="1:10" ht="25.5" hidden="1" x14ac:dyDescent="0.25">
      <c r="A7758" s="174"/>
      <c r="B7758" s="177"/>
      <c r="C7758" s="43" t="s">
        <v>10829</v>
      </c>
      <c r="D7758" s="43" t="s">
        <v>2800</v>
      </c>
      <c r="E7758" s="44">
        <v>3.5</v>
      </c>
      <c r="F7758" s="100">
        <v>24.4435</v>
      </c>
      <c r="G7758" s="103">
        <f>IF(ISNUMBER(F7758),E7758*F7758,"")</f>
        <v>85.552250000000001</v>
      </c>
      <c r="H7758" s="107">
        <f>SUM(G7758:G7760)</f>
        <v>181.14600000000002</v>
      </c>
      <c r="I7758" s="104"/>
      <c r="J7758" s="37">
        <v>0</v>
      </c>
    </row>
    <row r="7759" spans="1:10" ht="25.5" hidden="1" x14ac:dyDescent="0.25">
      <c r="A7759" s="174"/>
      <c r="B7759" s="177"/>
      <c r="C7759" s="43" t="s">
        <v>10832</v>
      </c>
      <c r="D7759" s="43" t="s">
        <v>2800</v>
      </c>
      <c r="E7759" s="44">
        <v>3.5</v>
      </c>
      <c r="F7759" s="100">
        <v>27.3125</v>
      </c>
      <c r="G7759" s="103">
        <f>IF(ISNUMBER(F7759),E7759*F7759,"")</f>
        <v>95.59375</v>
      </c>
      <c r="H7759" s="102"/>
      <c r="I7759" s="100"/>
      <c r="J7759" s="37">
        <v>0</v>
      </c>
    </row>
    <row r="7760" spans="1:10" hidden="1" x14ac:dyDescent="0.25">
      <c r="A7760" s="174"/>
      <c r="B7760" s="177"/>
      <c r="C7760" s="43" t="s">
        <v>1848</v>
      </c>
      <c r="D7760" s="43" t="s">
        <v>87</v>
      </c>
      <c r="E7760" s="44">
        <v>1</v>
      </c>
      <c r="F7760" s="103" t="s">
        <v>13</v>
      </c>
      <c r="G7760" s="103" t="str">
        <f>IF(ISNUMBER(F7760),E7760*F7760,"")</f>
        <v/>
      </c>
      <c r="H7760" s="102"/>
      <c r="I7760" s="100"/>
      <c r="J7760" s="37">
        <v>0</v>
      </c>
    </row>
    <row r="7761" spans="1:10" ht="15.75" hidden="1" thickBot="1" x14ac:dyDescent="0.3">
      <c r="A7761" s="175"/>
      <c r="B7761" s="178"/>
      <c r="C7761" s="49"/>
      <c r="D7761" s="49"/>
      <c r="E7761" s="50"/>
      <c r="F7761" s="105" t="s">
        <v>13</v>
      </c>
      <c r="G7761" s="105" t="str">
        <f>IF(ISNUMBER(F7761),E7761*F7761,"")</f>
        <v/>
      </c>
      <c r="H7761" s="106"/>
      <c r="I7761" s="100"/>
      <c r="J7761" s="37">
        <v>0</v>
      </c>
    </row>
    <row r="7762" spans="1:10" ht="15.75" hidden="1" thickBot="1" x14ac:dyDescent="0.3">
      <c r="A7762" s="173" t="s">
        <v>1849</v>
      </c>
      <c r="B7762" s="176" t="s">
        <v>8269</v>
      </c>
      <c r="C7762" s="31"/>
      <c r="D7762" s="32" t="s">
        <v>18</v>
      </c>
      <c r="E7762" s="33"/>
      <c r="F7762" s="54" t="s">
        <v>13</v>
      </c>
      <c r="G7762" s="34" t="str">
        <f>IF(ISNUMBER(F7762),E7762*F7762,"")</f>
        <v/>
      </c>
      <c r="H7762" s="35"/>
      <c r="I7762" s="36"/>
      <c r="J7762" s="37">
        <v>0</v>
      </c>
    </row>
    <row r="7763" spans="1:10" hidden="1" x14ac:dyDescent="0.25">
      <c r="A7763" s="174"/>
      <c r="B7763" s="177"/>
      <c r="C7763" s="39"/>
      <c r="D7763" s="39"/>
      <c r="E7763" s="40"/>
      <c r="F7763" s="101" t="s">
        <v>13</v>
      </c>
      <c r="G7763" s="100" t="str">
        <f>IF(ISNUMBER(F7763),E7763*F7763,"")</f>
        <v/>
      </c>
      <c r="H7763" s="102"/>
      <c r="I7763" s="100"/>
      <c r="J7763" s="37">
        <v>0</v>
      </c>
    </row>
    <row r="7764" spans="1:10" ht="25.5" hidden="1" x14ac:dyDescent="0.25">
      <c r="A7764" s="174"/>
      <c r="B7764" s="177"/>
      <c r="C7764" s="43" t="s">
        <v>10829</v>
      </c>
      <c r="D7764" s="43" t="s">
        <v>2800</v>
      </c>
      <c r="E7764" s="44">
        <v>3.5</v>
      </c>
      <c r="F7764" s="100">
        <v>24.4435</v>
      </c>
      <c r="G7764" s="103">
        <f>IF(ISNUMBER(F7764),E7764*F7764,"")</f>
        <v>85.552250000000001</v>
      </c>
      <c r="H7764" s="107">
        <f>SUM(G7764:G7766)</f>
        <v>181.14600000000002</v>
      </c>
      <c r="I7764" s="104"/>
      <c r="J7764" s="37">
        <v>0</v>
      </c>
    </row>
    <row r="7765" spans="1:10" ht="25.5" hidden="1" x14ac:dyDescent="0.25">
      <c r="A7765" s="174"/>
      <c r="B7765" s="177"/>
      <c r="C7765" s="43" t="s">
        <v>10832</v>
      </c>
      <c r="D7765" s="43" t="s">
        <v>2800</v>
      </c>
      <c r="E7765" s="44">
        <v>3.5</v>
      </c>
      <c r="F7765" s="100">
        <v>27.3125</v>
      </c>
      <c r="G7765" s="103">
        <f>IF(ISNUMBER(F7765),E7765*F7765,"")</f>
        <v>95.59375</v>
      </c>
      <c r="H7765" s="102"/>
      <c r="I7765" s="100"/>
      <c r="J7765" s="37">
        <v>0</v>
      </c>
    </row>
    <row r="7766" spans="1:10" hidden="1" x14ac:dyDescent="0.25">
      <c r="A7766" s="174"/>
      <c r="B7766" s="177"/>
      <c r="C7766" s="43" t="s">
        <v>1850</v>
      </c>
      <c r="D7766" s="43" t="s">
        <v>87</v>
      </c>
      <c r="E7766" s="44">
        <v>1</v>
      </c>
      <c r="F7766" s="103" t="s">
        <v>13</v>
      </c>
      <c r="G7766" s="103" t="str">
        <f>IF(ISNUMBER(F7766),E7766*F7766,"")</f>
        <v/>
      </c>
      <c r="H7766" s="102"/>
      <c r="I7766" s="100"/>
      <c r="J7766" s="37">
        <v>0</v>
      </c>
    </row>
    <row r="7767" spans="1:10" ht="15.75" hidden="1" thickBot="1" x14ac:dyDescent="0.3">
      <c r="A7767" s="175"/>
      <c r="B7767" s="178"/>
      <c r="C7767" s="49"/>
      <c r="D7767" s="49"/>
      <c r="E7767" s="50"/>
      <c r="F7767" s="105" t="s">
        <v>13</v>
      </c>
      <c r="G7767" s="105" t="str">
        <f>IF(ISNUMBER(F7767),E7767*F7767,"")</f>
        <v/>
      </c>
      <c r="H7767" s="106"/>
      <c r="I7767" s="100"/>
      <c r="J7767" s="37">
        <v>0</v>
      </c>
    </row>
    <row r="7768" spans="1:10" ht="15.75" hidden="1" thickBot="1" x14ac:dyDescent="0.3">
      <c r="A7768" s="173" t="s">
        <v>1851</v>
      </c>
      <c r="B7768" s="176" t="s">
        <v>8270</v>
      </c>
      <c r="C7768" s="31"/>
      <c r="D7768" s="32" t="s">
        <v>18</v>
      </c>
      <c r="E7768" s="33"/>
      <c r="F7768" s="54" t="s">
        <v>13</v>
      </c>
      <c r="G7768" s="34" t="str">
        <f>IF(ISNUMBER(F7768),E7768*F7768,"")</f>
        <v/>
      </c>
      <c r="H7768" s="35"/>
      <c r="I7768" s="36"/>
      <c r="J7768" s="37">
        <v>0</v>
      </c>
    </row>
    <row r="7769" spans="1:10" hidden="1" x14ac:dyDescent="0.25">
      <c r="A7769" s="174"/>
      <c r="B7769" s="177"/>
      <c r="C7769" s="39"/>
      <c r="D7769" s="39"/>
      <c r="E7769" s="40"/>
      <c r="F7769" s="101" t="s">
        <v>13</v>
      </c>
      <c r="G7769" s="100" t="str">
        <f>IF(ISNUMBER(F7769),E7769*F7769,"")</f>
        <v/>
      </c>
      <c r="H7769" s="102"/>
      <c r="I7769" s="100"/>
      <c r="J7769" s="37">
        <v>0</v>
      </c>
    </row>
    <row r="7770" spans="1:10" ht="38.25" hidden="1" x14ac:dyDescent="0.25">
      <c r="A7770" s="174"/>
      <c r="B7770" s="177"/>
      <c r="C7770" s="43" t="s">
        <v>10947</v>
      </c>
      <c r="D7770" s="43" t="s">
        <v>83</v>
      </c>
      <c r="E7770" s="44">
        <v>10</v>
      </c>
      <c r="F7770" s="103">
        <v>1.0734999999999999</v>
      </c>
      <c r="G7770" s="100">
        <f>IF(ISNUMBER(F7770),E7770*F7770,"")</f>
        <v>10.734999999999999</v>
      </c>
      <c r="H7770" s="107">
        <f>SUM(G7770:G7780)</f>
        <v>960.02048029999992</v>
      </c>
      <c r="I7770" s="104"/>
      <c r="J7770" s="37">
        <v>0</v>
      </c>
    </row>
    <row r="7771" spans="1:10" hidden="1" x14ac:dyDescent="0.25">
      <c r="A7771" s="174"/>
      <c r="B7771" s="177"/>
      <c r="C7771" s="43" t="s">
        <v>10750</v>
      </c>
      <c r="D7771" s="43" t="s">
        <v>2800</v>
      </c>
      <c r="E7771" s="44">
        <v>5.3597999999999999</v>
      </c>
      <c r="F7771" s="100">
        <v>24.358000000000001</v>
      </c>
      <c r="G7771" s="100">
        <f>IF(ISNUMBER(F7771),E7771*F7771,"")</f>
        <v>130.55400839999999</v>
      </c>
      <c r="H7771" s="102"/>
      <c r="I7771" s="100"/>
      <c r="J7771" s="37">
        <v>0</v>
      </c>
    </row>
    <row r="7772" spans="1:10" ht="38.25" hidden="1" x14ac:dyDescent="0.25">
      <c r="A7772" s="174"/>
      <c r="B7772" s="177"/>
      <c r="C7772" s="43" t="s">
        <v>10952</v>
      </c>
      <c r="D7772" s="43" t="s">
        <v>1050</v>
      </c>
      <c r="E7772" s="44">
        <v>0.4118</v>
      </c>
      <c r="F7772" s="100">
        <v>328.45299999999997</v>
      </c>
      <c r="G7772" s="100">
        <f>IF(ISNUMBER(F7772),E7772*F7772,"")</f>
        <v>135.25694539999998</v>
      </c>
      <c r="H7772" s="102"/>
      <c r="I7772" s="100"/>
      <c r="J7772" s="37">
        <v>0</v>
      </c>
    </row>
    <row r="7773" spans="1:10" ht="38.25" hidden="1" x14ac:dyDescent="0.25">
      <c r="A7773" s="174"/>
      <c r="B7773" s="177"/>
      <c r="C7773" s="43" t="s">
        <v>10953</v>
      </c>
      <c r="D7773" s="43" t="s">
        <v>10677</v>
      </c>
      <c r="E7773" s="44">
        <v>3.0331999999999999</v>
      </c>
      <c r="F7773" s="100">
        <v>167.39949999999999</v>
      </c>
      <c r="G7773" s="100">
        <f>IF(ISNUMBER(F7773),E7773*F7773,"")</f>
        <v>507.75616339999993</v>
      </c>
      <c r="H7773" s="102"/>
      <c r="I7773" s="100"/>
      <c r="J7773" s="37">
        <v>0</v>
      </c>
    </row>
    <row r="7774" spans="1:10" ht="25.5" hidden="1" x14ac:dyDescent="0.25">
      <c r="A7774" s="174"/>
      <c r="B7774" s="177"/>
      <c r="C7774" s="43" t="s">
        <v>10751</v>
      </c>
      <c r="D7774" s="43" t="s">
        <v>2800</v>
      </c>
      <c r="E7774" s="44">
        <v>5.3597999999999999</v>
      </c>
      <c r="F7774" s="100">
        <v>32.784499999999994</v>
      </c>
      <c r="G7774" s="100">
        <f>IF(ISNUMBER(F7774),E7774*F7774,"")</f>
        <v>175.71836309999998</v>
      </c>
      <c r="H7774" s="102"/>
      <c r="I7774" s="100"/>
      <c r="J7774" s="37">
        <v>0</v>
      </c>
    </row>
    <row r="7775" spans="1:10" hidden="1" x14ac:dyDescent="0.25">
      <c r="A7775" s="174"/>
      <c r="B7775" s="177"/>
      <c r="C7775" s="43" t="s">
        <v>1852</v>
      </c>
      <c r="D7775" s="62" t="s">
        <v>18</v>
      </c>
      <c r="E7775" s="44">
        <v>1</v>
      </c>
      <c r="F7775" s="100" t="s">
        <v>13</v>
      </c>
      <c r="G7775" s="100" t="str">
        <f>IF(ISNUMBER(F7775),E7775*F7775,"")</f>
        <v/>
      </c>
      <c r="H7775" s="102"/>
      <c r="I7775" s="100"/>
      <c r="J7775" s="37">
        <v>0</v>
      </c>
    </row>
    <row r="7776" spans="1:10" ht="38.25" hidden="1" x14ac:dyDescent="0.25">
      <c r="A7776" s="174"/>
      <c r="B7776" s="177"/>
      <c r="C7776" s="43" t="s">
        <v>1853</v>
      </c>
      <c r="D7776" s="62" t="s">
        <v>18</v>
      </c>
      <c r="E7776" s="44">
        <v>1</v>
      </c>
      <c r="F7776" s="100" t="s">
        <v>13</v>
      </c>
      <c r="G7776" s="100" t="str">
        <f>IF(ISNUMBER(F7776),E7776*F7776,"")</f>
        <v/>
      </c>
      <c r="H7776" s="102"/>
      <c r="I7776" s="100"/>
      <c r="J7776" s="37">
        <v>0</v>
      </c>
    </row>
    <row r="7777" spans="1:10" ht="25.5" hidden="1" x14ac:dyDescent="0.25">
      <c r="A7777" s="174"/>
      <c r="B7777" s="177"/>
      <c r="C7777" s="43" t="s">
        <v>1854</v>
      </c>
      <c r="D7777" s="62" t="s">
        <v>18</v>
      </c>
      <c r="E7777" s="44">
        <v>1</v>
      </c>
      <c r="F7777" s="100" t="s">
        <v>13</v>
      </c>
      <c r="G7777" s="100" t="str">
        <f>IF(ISNUMBER(F7777),E7777*F7777,"")</f>
        <v/>
      </c>
      <c r="H7777" s="102"/>
      <c r="I7777" s="100"/>
      <c r="J7777" s="37">
        <v>0</v>
      </c>
    </row>
    <row r="7778" spans="1:10" ht="38.25" hidden="1" x14ac:dyDescent="0.25">
      <c r="A7778" s="174"/>
      <c r="B7778" s="177"/>
      <c r="C7778" s="43" t="s">
        <v>1855</v>
      </c>
      <c r="D7778" s="62" t="s">
        <v>18</v>
      </c>
      <c r="E7778" s="44">
        <v>2</v>
      </c>
      <c r="F7778" s="100" t="s">
        <v>13</v>
      </c>
      <c r="G7778" s="100" t="str">
        <f>IF(ISNUMBER(F7778),E7778*F7778,"")</f>
        <v/>
      </c>
      <c r="H7778" s="102"/>
      <c r="I7778" s="100"/>
      <c r="J7778" s="37">
        <v>0</v>
      </c>
    </row>
    <row r="7779" spans="1:10" ht="25.5" hidden="1" x14ac:dyDescent="0.25">
      <c r="A7779" s="174"/>
      <c r="B7779" s="177"/>
      <c r="C7779" s="43" t="s">
        <v>1856</v>
      </c>
      <c r="D7779" s="62" t="s">
        <v>18</v>
      </c>
      <c r="E7779" s="44">
        <v>1</v>
      </c>
      <c r="F7779" s="100" t="s">
        <v>13</v>
      </c>
      <c r="G7779" s="100" t="str">
        <f>IF(ISNUMBER(F7779),E7779*F7779,"")</f>
        <v/>
      </c>
      <c r="H7779" s="102"/>
      <c r="I7779" s="100"/>
      <c r="J7779" s="37">
        <v>0</v>
      </c>
    </row>
    <row r="7780" spans="1:10" ht="38.25" hidden="1" x14ac:dyDescent="0.25">
      <c r="A7780" s="174"/>
      <c r="B7780" s="177"/>
      <c r="C7780" s="43" t="s">
        <v>1857</v>
      </c>
      <c r="D7780" s="62" t="s">
        <v>18</v>
      </c>
      <c r="E7780" s="44">
        <v>1</v>
      </c>
      <c r="F7780" s="100" t="s">
        <v>13</v>
      </c>
      <c r="G7780" s="100" t="str">
        <f>IF(ISNUMBER(F7780),E7780*F7780,"")</f>
        <v/>
      </c>
      <c r="H7780" s="102"/>
      <c r="I7780" s="100"/>
      <c r="J7780" s="37">
        <v>0</v>
      </c>
    </row>
    <row r="7781" spans="1:10" ht="15.75" hidden="1" thickBot="1" x14ac:dyDescent="0.3">
      <c r="A7781" s="175"/>
      <c r="B7781" s="178"/>
      <c r="C7781" s="49"/>
      <c r="D7781" s="49"/>
      <c r="E7781" s="50"/>
      <c r="F7781" s="105" t="s">
        <v>13</v>
      </c>
      <c r="G7781" s="105" t="str">
        <f>IF(ISNUMBER(F7781),E7781*F7781,"")</f>
        <v/>
      </c>
      <c r="H7781" s="106"/>
      <c r="I7781" s="100"/>
      <c r="J7781" s="37">
        <v>0</v>
      </c>
    </row>
    <row r="7782" spans="1:10" ht="15.75" hidden="1" thickBot="1" x14ac:dyDescent="0.3">
      <c r="A7782" s="173" t="s">
        <v>1858</v>
      </c>
      <c r="B7782" s="176" t="s">
        <v>8271</v>
      </c>
      <c r="C7782" s="31"/>
      <c r="D7782" s="32" t="s">
        <v>18</v>
      </c>
      <c r="E7782" s="33"/>
      <c r="F7782" s="54" t="s">
        <v>13</v>
      </c>
      <c r="G7782" s="34" t="str">
        <f>IF(ISNUMBER(F7782),E7782*F7782,"")</f>
        <v/>
      </c>
      <c r="H7782" s="35"/>
      <c r="I7782" s="36"/>
      <c r="J7782" s="37">
        <v>0</v>
      </c>
    </row>
    <row r="7783" spans="1:10" hidden="1" x14ac:dyDescent="0.25">
      <c r="A7783" s="174"/>
      <c r="B7783" s="177"/>
      <c r="C7783" s="39"/>
      <c r="D7783" s="39"/>
      <c r="E7783" s="40"/>
      <c r="F7783" s="101" t="s">
        <v>13</v>
      </c>
      <c r="G7783" s="100" t="str">
        <f>IF(ISNUMBER(F7783),E7783*F7783,"")</f>
        <v/>
      </c>
      <c r="H7783" s="102"/>
      <c r="I7783" s="100"/>
      <c r="J7783" s="37">
        <v>0</v>
      </c>
    </row>
    <row r="7784" spans="1:10" ht="38.25" hidden="1" x14ac:dyDescent="0.25">
      <c r="A7784" s="174"/>
      <c r="B7784" s="177"/>
      <c r="C7784" s="43" t="s">
        <v>10947</v>
      </c>
      <c r="D7784" s="43" t="s">
        <v>83</v>
      </c>
      <c r="E7784" s="44">
        <v>10</v>
      </c>
      <c r="F7784" s="103">
        <v>1.0734999999999999</v>
      </c>
      <c r="G7784" s="100">
        <f>IF(ISNUMBER(F7784),E7784*F7784,"")</f>
        <v>10.734999999999999</v>
      </c>
      <c r="H7784" s="107">
        <f>SUM(G7784:G7794)</f>
        <v>960.02048029999992</v>
      </c>
      <c r="I7784" s="104"/>
      <c r="J7784" s="37">
        <v>0</v>
      </c>
    </row>
    <row r="7785" spans="1:10" hidden="1" x14ac:dyDescent="0.25">
      <c r="A7785" s="174"/>
      <c r="B7785" s="177"/>
      <c r="C7785" s="43" t="s">
        <v>10750</v>
      </c>
      <c r="D7785" s="43" t="s">
        <v>2800</v>
      </c>
      <c r="E7785" s="44">
        <v>5.3597999999999999</v>
      </c>
      <c r="F7785" s="100">
        <v>24.358000000000001</v>
      </c>
      <c r="G7785" s="100">
        <f>IF(ISNUMBER(F7785),E7785*F7785,"")</f>
        <v>130.55400839999999</v>
      </c>
      <c r="H7785" s="102"/>
      <c r="I7785" s="100"/>
      <c r="J7785" s="37">
        <v>0</v>
      </c>
    </row>
    <row r="7786" spans="1:10" ht="38.25" hidden="1" x14ac:dyDescent="0.25">
      <c r="A7786" s="174"/>
      <c r="B7786" s="177"/>
      <c r="C7786" s="43" t="s">
        <v>10952</v>
      </c>
      <c r="D7786" s="43" t="s">
        <v>1050</v>
      </c>
      <c r="E7786" s="44">
        <v>0.4118</v>
      </c>
      <c r="F7786" s="100">
        <v>328.45299999999997</v>
      </c>
      <c r="G7786" s="100">
        <f>IF(ISNUMBER(F7786),E7786*F7786,"")</f>
        <v>135.25694539999998</v>
      </c>
      <c r="H7786" s="102"/>
      <c r="I7786" s="100"/>
      <c r="J7786" s="37">
        <v>0</v>
      </c>
    </row>
    <row r="7787" spans="1:10" ht="38.25" hidden="1" x14ac:dyDescent="0.25">
      <c r="A7787" s="174"/>
      <c r="B7787" s="177"/>
      <c r="C7787" s="43" t="s">
        <v>10953</v>
      </c>
      <c r="D7787" s="43" t="s">
        <v>10677</v>
      </c>
      <c r="E7787" s="44">
        <v>3.0331999999999999</v>
      </c>
      <c r="F7787" s="100">
        <v>167.39949999999999</v>
      </c>
      <c r="G7787" s="100">
        <f>IF(ISNUMBER(F7787),E7787*F7787,"")</f>
        <v>507.75616339999993</v>
      </c>
      <c r="H7787" s="102"/>
      <c r="I7787" s="100"/>
      <c r="J7787" s="37">
        <v>0</v>
      </c>
    </row>
    <row r="7788" spans="1:10" ht="25.5" hidden="1" x14ac:dyDescent="0.25">
      <c r="A7788" s="174"/>
      <c r="B7788" s="177"/>
      <c r="C7788" s="43" t="s">
        <v>10751</v>
      </c>
      <c r="D7788" s="43" t="s">
        <v>2800</v>
      </c>
      <c r="E7788" s="44">
        <v>5.3597999999999999</v>
      </c>
      <c r="F7788" s="100">
        <v>32.784499999999994</v>
      </c>
      <c r="G7788" s="100">
        <f>IF(ISNUMBER(F7788),E7788*F7788,"")</f>
        <v>175.71836309999998</v>
      </c>
      <c r="H7788" s="102"/>
      <c r="I7788" s="100"/>
      <c r="J7788" s="37">
        <v>0</v>
      </c>
    </row>
    <row r="7789" spans="1:10" hidden="1" x14ac:dyDescent="0.25">
      <c r="A7789" s="174"/>
      <c r="B7789" s="177"/>
      <c r="C7789" s="43" t="s">
        <v>1859</v>
      </c>
      <c r="D7789" s="62" t="s">
        <v>18</v>
      </c>
      <c r="E7789" s="44">
        <v>1</v>
      </c>
      <c r="F7789" s="100" t="s">
        <v>13</v>
      </c>
      <c r="G7789" s="100" t="str">
        <f>IF(ISNUMBER(F7789),E7789*F7789,"")</f>
        <v/>
      </c>
      <c r="H7789" s="102"/>
      <c r="I7789" s="100"/>
      <c r="J7789" s="37">
        <v>0</v>
      </c>
    </row>
    <row r="7790" spans="1:10" ht="38.25" hidden="1" x14ac:dyDescent="0.25">
      <c r="A7790" s="174"/>
      <c r="B7790" s="177"/>
      <c r="C7790" s="43" t="s">
        <v>1853</v>
      </c>
      <c r="D7790" s="62" t="s">
        <v>18</v>
      </c>
      <c r="E7790" s="44">
        <v>1</v>
      </c>
      <c r="F7790" s="100" t="s">
        <v>13</v>
      </c>
      <c r="G7790" s="100" t="str">
        <f>IF(ISNUMBER(F7790),E7790*F7790,"")</f>
        <v/>
      </c>
      <c r="H7790" s="102"/>
      <c r="I7790" s="100"/>
      <c r="J7790" s="37">
        <v>0</v>
      </c>
    </row>
    <row r="7791" spans="1:10" ht="25.5" hidden="1" x14ac:dyDescent="0.25">
      <c r="A7791" s="174"/>
      <c r="B7791" s="177"/>
      <c r="C7791" s="43" t="s">
        <v>1854</v>
      </c>
      <c r="D7791" s="62" t="s">
        <v>18</v>
      </c>
      <c r="E7791" s="44">
        <v>1</v>
      </c>
      <c r="F7791" s="100" t="s">
        <v>13</v>
      </c>
      <c r="G7791" s="100" t="str">
        <f>IF(ISNUMBER(F7791),E7791*F7791,"")</f>
        <v/>
      </c>
      <c r="H7791" s="102"/>
      <c r="I7791" s="100"/>
      <c r="J7791" s="37">
        <v>0</v>
      </c>
    </row>
    <row r="7792" spans="1:10" ht="38.25" hidden="1" x14ac:dyDescent="0.25">
      <c r="A7792" s="174"/>
      <c r="B7792" s="177"/>
      <c r="C7792" s="43" t="s">
        <v>1855</v>
      </c>
      <c r="D7792" s="62" t="s">
        <v>18</v>
      </c>
      <c r="E7792" s="44">
        <v>2</v>
      </c>
      <c r="F7792" s="100" t="s">
        <v>13</v>
      </c>
      <c r="G7792" s="100" t="str">
        <f>IF(ISNUMBER(F7792),E7792*F7792,"")</f>
        <v/>
      </c>
      <c r="H7792" s="102"/>
      <c r="I7792" s="100"/>
      <c r="J7792" s="37">
        <v>0</v>
      </c>
    </row>
    <row r="7793" spans="1:10" ht="25.5" hidden="1" x14ac:dyDescent="0.25">
      <c r="A7793" s="174"/>
      <c r="B7793" s="177"/>
      <c r="C7793" s="43" t="s">
        <v>1856</v>
      </c>
      <c r="D7793" s="62" t="s">
        <v>18</v>
      </c>
      <c r="E7793" s="44">
        <v>1</v>
      </c>
      <c r="F7793" s="100" t="s">
        <v>13</v>
      </c>
      <c r="G7793" s="100" t="str">
        <f>IF(ISNUMBER(F7793),E7793*F7793,"")</f>
        <v/>
      </c>
      <c r="H7793" s="102"/>
      <c r="I7793" s="100"/>
      <c r="J7793" s="37">
        <v>0</v>
      </c>
    </row>
    <row r="7794" spans="1:10" ht="38.25" hidden="1" x14ac:dyDescent="0.25">
      <c r="A7794" s="174"/>
      <c r="B7794" s="177"/>
      <c r="C7794" s="43" t="s">
        <v>1857</v>
      </c>
      <c r="D7794" s="62" t="s">
        <v>18</v>
      </c>
      <c r="E7794" s="44">
        <v>1</v>
      </c>
      <c r="F7794" s="100" t="s">
        <v>13</v>
      </c>
      <c r="G7794" s="100" t="str">
        <f>IF(ISNUMBER(F7794),E7794*F7794,"")</f>
        <v/>
      </c>
      <c r="H7794" s="102"/>
      <c r="I7794" s="100"/>
      <c r="J7794" s="37">
        <v>0</v>
      </c>
    </row>
    <row r="7795" spans="1:10" ht="15.75" hidden="1" thickBot="1" x14ac:dyDescent="0.3">
      <c r="A7795" s="175"/>
      <c r="B7795" s="178"/>
      <c r="C7795" s="49"/>
      <c r="D7795" s="49"/>
      <c r="E7795" s="50"/>
      <c r="F7795" s="105" t="s">
        <v>13</v>
      </c>
      <c r="G7795" s="105" t="str">
        <f>IF(ISNUMBER(F7795),E7795*F7795,"")</f>
        <v/>
      </c>
      <c r="H7795" s="106"/>
      <c r="I7795" s="100"/>
      <c r="J7795" s="37">
        <v>0</v>
      </c>
    </row>
    <row r="7796" spans="1:10" ht="15.75" hidden="1" thickBot="1" x14ac:dyDescent="0.3">
      <c r="A7796" s="173" t="s">
        <v>1860</v>
      </c>
      <c r="B7796" s="176" t="s">
        <v>1861</v>
      </c>
      <c r="C7796" s="31"/>
      <c r="D7796" s="32" t="s">
        <v>18</v>
      </c>
      <c r="E7796" s="33"/>
      <c r="F7796" s="54" t="s">
        <v>13</v>
      </c>
      <c r="G7796" s="34" t="str">
        <f>IF(ISNUMBER(F7796),E7796*F7796,"")</f>
        <v/>
      </c>
      <c r="H7796" s="35"/>
      <c r="I7796" s="36"/>
      <c r="J7796" s="37">
        <v>0</v>
      </c>
    </row>
    <row r="7797" spans="1:10" hidden="1" x14ac:dyDescent="0.25">
      <c r="A7797" s="174"/>
      <c r="B7797" s="177"/>
      <c r="C7797" s="39"/>
      <c r="D7797" s="39"/>
      <c r="E7797" s="40"/>
      <c r="F7797" s="101" t="s">
        <v>13</v>
      </c>
      <c r="G7797" s="100" t="str">
        <f>IF(ISNUMBER(F7797),E7797*F7797,"")</f>
        <v/>
      </c>
      <c r="H7797" s="102"/>
      <c r="I7797" s="100"/>
      <c r="J7797" s="37">
        <v>0</v>
      </c>
    </row>
    <row r="7798" spans="1:10" ht="25.5" hidden="1" x14ac:dyDescent="0.25">
      <c r="A7798" s="174"/>
      <c r="B7798" s="177"/>
      <c r="C7798" s="43" t="s">
        <v>1861</v>
      </c>
      <c r="D7798" s="62" t="s">
        <v>18</v>
      </c>
      <c r="E7798" s="44">
        <v>1</v>
      </c>
      <c r="F7798" s="103" t="s">
        <v>13</v>
      </c>
      <c r="G7798" s="100" t="str">
        <f>IF(ISNUMBER(F7798),E7798*F7798,"")</f>
        <v/>
      </c>
      <c r="H7798" s="107">
        <f>SUM(G7798:G7801)</f>
        <v>243.11673368864001</v>
      </c>
      <c r="I7798" s="104"/>
      <c r="J7798" s="37">
        <v>0</v>
      </c>
    </row>
    <row r="7799" spans="1:10" ht="38.25" hidden="1" x14ac:dyDescent="0.25">
      <c r="A7799" s="174"/>
      <c r="B7799" s="177"/>
      <c r="C7799" s="43" t="s">
        <v>10712</v>
      </c>
      <c r="D7799" s="43" t="s">
        <v>2880</v>
      </c>
      <c r="E7799" s="44">
        <v>1.9199999999999998E-2</v>
      </c>
      <c r="F7799" s="100">
        <v>915.97571295</v>
      </c>
      <c r="G7799" s="100">
        <f>IF(ISNUMBER(F7799),E7799*F7799,"")</f>
        <v>17.586733688639999</v>
      </c>
      <c r="H7799" s="102"/>
      <c r="I7799" s="100"/>
      <c r="J7799" s="37">
        <v>0</v>
      </c>
    </row>
    <row r="7800" spans="1:10" hidden="1" x14ac:dyDescent="0.25">
      <c r="A7800" s="174"/>
      <c r="B7800" s="177"/>
      <c r="C7800" s="43" t="s">
        <v>10762</v>
      </c>
      <c r="D7800" s="43" t="s">
        <v>2800</v>
      </c>
      <c r="E7800" s="44">
        <v>4</v>
      </c>
      <c r="F7800" s="100">
        <v>24.946999999999999</v>
      </c>
      <c r="G7800" s="100">
        <f>IF(ISNUMBER(F7800),E7800*F7800,"")</f>
        <v>99.787999999999997</v>
      </c>
      <c r="H7800" s="102"/>
      <c r="I7800" s="100"/>
      <c r="J7800" s="37">
        <v>0</v>
      </c>
    </row>
    <row r="7801" spans="1:10" hidden="1" x14ac:dyDescent="0.25">
      <c r="A7801" s="174"/>
      <c r="B7801" s="177"/>
      <c r="C7801" s="43" t="s">
        <v>10763</v>
      </c>
      <c r="D7801" s="43" t="s">
        <v>2800</v>
      </c>
      <c r="E7801" s="44">
        <v>4</v>
      </c>
      <c r="F7801" s="100">
        <v>31.435500000000001</v>
      </c>
      <c r="G7801" s="103">
        <f>IF(ISNUMBER(F7801),E7801*F7801,"")</f>
        <v>125.742</v>
      </c>
      <c r="H7801" s="102"/>
      <c r="I7801" s="100"/>
      <c r="J7801" s="37">
        <v>0</v>
      </c>
    </row>
    <row r="7802" spans="1:10" ht="15.75" hidden="1" thickBot="1" x14ac:dyDescent="0.3">
      <c r="A7802" s="175"/>
      <c r="B7802" s="178"/>
      <c r="C7802" s="49"/>
      <c r="D7802" s="49"/>
      <c r="E7802" s="50"/>
      <c r="F7802" s="105" t="s">
        <v>13</v>
      </c>
      <c r="G7802" s="105" t="str">
        <f>IF(ISNUMBER(F7802),E7802*F7802,"")</f>
        <v/>
      </c>
      <c r="H7802" s="106"/>
      <c r="I7802" s="100"/>
      <c r="J7802" s="37">
        <v>0</v>
      </c>
    </row>
    <row r="7803" spans="1:10" ht="15.75" hidden="1" thickBot="1" x14ac:dyDescent="0.3">
      <c r="A7803" s="173" t="s">
        <v>1862</v>
      </c>
      <c r="B7803" s="176" t="s">
        <v>8286</v>
      </c>
      <c r="C7803" s="31"/>
      <c r="D7803" s="32" t="s">
        <v>18</v>
      </c>
      <c r="E7803" s="33"/>
      <c r="F7803" s="54" t="s">
        <v>13</v>
      </c>
      <c r="G7803" s="34" t="str">
        <f>IF(ISNUMBER(F7803),E7803*F7803,"")</f>
        <v/>
      </c>
      <c r="H7803" s="35"/>
      <c r="I7803" s="36"/>
      <c r="J7803" s="37">
        <v>0</v>
      </c>
    </row>
    <row r="7804" spans="1:10" hidden="1" x14ac:dyDescent="0.25">
      <c r="A7804" s="174"/>
      <c r="B7804" s="177"/>
      <c r="C7804" s="39"/>
      <c r="D7804" s="39"/>
      <c r="E7804" s="40"/>
      <c r="F7804" s="55" t="s">
        <v>13</v>
      </c>
      <c r="G7804" s="41" t="str">
        <f>IF(ISNUMBER(F7804),E7804*F7804,"")</f>
        <v/>
      </c>
      <c r="H7804" s="42"/>
      <c r="I7804" s="38"/>
      <c r="J7804" s="37">
        <v>0</v>
      </c>
    </row>
    <row r="7805" spans="1:10" ht="25.5" hidden="1" x14ac:dyDescent="0.25">
      <c r="A7805" s="174"/>
      <c r="B7805" s="177"/>
      <c r="C7805" s="43" t="s">
        <v>11487</v>
      </c>
      <c r="D7805" s="43" t="s">
        <v>83</v>
      </c>
      <c r="E7805" s="44">
        <v>1</v>
      </c>
      <c r="F7805" s="38">
        <v>7.4574999999999996</v>
      </c>
      <c r="G7805" s="41">
        <f>IF(ISNUMBER(F7805),E7805*F7805,"")</f>
        <v>7.4574999999999996</v>
      </c>
      <c r="H7805" s="46">
        <f>SUM(G7805:G7805)</f>
        <v>7.4574999999999996</v>
      </c>
      <c r="I7805" s="47"/>
      <c r="J7805" s="37">
        <v>0</v>
      </c>
    </row>
    <row r="7806" spans="1:10" ht="15.75" hidden="1" thickBot="1" x14ac:dyDescent="0.3">
      <c r="A7806" s="175"/>
      <c r="B7806" s="178"/>
      <c r="C7806" s="49"/>
      <c r="D7806" s="49"/>
      <c r="E7806" s="50"/>
      <c r="F7806" s="51" t="s">
        <v>13</v>
      </c>
      <c r="G7806" s="52" t="str">
        <f>IF(ISNUMBER(F7806),E7806*F7806,"")</f>
        <v/>
      </c>
      <c r="H7806" s="53"/>
      <c r="I7806" s="38"/>
      <c r="J7806" s="37">
        <v>0</v>
      </c>
    </row>
    <row r="7807" spans="1:10" ht="15.75" hidden="1" thickBot="1" x14ac:dyDescent="0.3">
      <c r="A7807" s="173" t="s">
        <v>1863</v>
      </c>
      <c r="B7807" s="176" t="s">
        <v>8287</v>
      </c>
      <c r="C7807" s="31"/>
      <c r="D7807" s="32" t="s">
        <v>18</v>
      </c>
      <c r="E7807" s="33"/>
      <c r="F7807" s="54" t="s">
        <v>13</v>
      </c>
      <c r="G7807" s="34" t="str">
        <f>IF(ISNUMBER(F7807),E7807*F7807,"")</f>
        <v/>
      </c>
      <c r="H7807" s="35"/>
      <c r="I7807" s="36"/>
      <c r="J7807" s="37">
        <v>0</v>
      </c>
    </row>
    <row r="7808" spans="1:10" hidden="1" x14ac:dyDescent="0.25">
      <c r="A7808" s="174"/>
      <c r="B7808" s="177"/>
      <c r="C7808" s="39"/>
      <c r="D7808" s="39"/>
      <c r="E7808" s="40"/>
      <c r="F7808" s="55" t="s">
        <v>13</v>
      </c>
      <c r="G7808" s="41" t="str">
        <f>IF(ISNUMBER(F7808),E7808*F7808,"")</f>
        <v/>
      </c>
      <c r="H7808" s="42"/>
      <c r="I7808" s="38"/>
      <c r="J7808" s="37">
        <v>0</v>
      </c>
    </row>
    <row r="7809" spans="1:10" ht="25.5" hidden="1" x14ac:dyDescent="0.25">
      <c r="A7809" s="174"/>
      <c r="B7809" s="177"/>
      <c r="C7809" s="43" t="s">
        <v>11488</v>
      </c>
      <c r="D7809" s="43" t="s">
        <v>83</v>
      </c>
      <c r="E7809" s="44">
        <v>1</v>
      </c>
      <c r="F7809" s="38">
        <v>0.8075</v>
      </c>
      <c r="G7809" s="41">
        <f>IF(ISNUMBER(F7809),E7809*F7809,"")</f>
        <v>0.8075</v>
      </c>
      <c r="H7809" s="46">
        <f>SUM(G7809:G7809)</f>
        <v>0.8075</v>
      </c>
      <c r="I7809" s="47"/>
      <c r="J7809" s="37">
        <v>0</v>
      </c>
    </row>
    <row r="7810" spans="1:10" ht="15.75" hidden="1" thickBot="1" x14ac:dyDescent="0.3">
      <c r="A7810" s="175"/>
      <c r="B7810" s="178"/>
      <c r="C7810" s="49"/>
      <c r="D7810" s="49"/>
      <c r="E7810" s="50"/>
      <c r="F7810" s="51" t="s">
        <v>13</v>
      </c>
      <c r="G7810" s="52" t="str">
        <f>IF(ISNUMBER(F7810),E7810*F7810,"")</f>
        <v/>
      </c>
      <c r="H7810" s="53"/>
      <c r="I7810" s="38"/>
      <c r="J7810" s="37">
        <v>0</v>
      </c>
    </row>
    <row r="7811" spans="1:10" ht="15.75" hidden="1" thickBot="1" x14ac:dyDescent="0.3">
      <c r="A7811" s="173" t="s">
        <v>1864</v>
      </c>
      <c r="B7811" s="176" t="s">
        <v>8288</v>
      </c>
      <c r="C7811" s="31"/>
      <c r="D7811" s="32" t="s">
        <v>18</v>
      </c>
      <c r="E7811" s="33"/>
      <c r="F7811" s="54" t="s">
        <v>13</v>
      </c>
      <c r="G7811" s="34" t="str">
        <f>IF(ISNUMBER(F7811),E7811*F7811,"")</f>
        <v/>
      </c>
      <c r="H7811" s="35"/>
      <c r="I7811" s="36"/>
      <c r="J7811" s="37">
        <v>0</v>
      </c>
    </row>
    <row r="7812" spans="1:10" hidden="1" x14ac:dyDescent="0.25">
      <c r="A7812" s="174"/>
      <c r="B7812" s="177"/>
      <c r="C7812" s="39"/>
      <c r="D7812" s="39"/>
      <c r="E7812" s="40"/>
      <c r="F7812" s="55" t="s">
        <v>13</v>
      </c>
      <c r="G7812" s="41" t="str">
        <f>IF(ISNUMBER(F7812),E7812*F7812,"")</f>
        <v/>
      </c>
      <c r="H7812" s="42"/>
      <c r="I7812" s="38"/>
      <c r="J7812" s="37">
        <v>0</v>
      </c>
    </row>
    <row r="7813" spans="1:10" ht="25.5" hidden="1" x14ac:dyDescent="0.25">
      <c r="A7813" s="174"/>
      <c r="B7813" s="177"/>
      <c r="C7813" s="43" t="s">
        <v>11489</v>
      </c>
      <c r="D7813" s="43" t="s">
        <v>83</v>
      </c>
      <c r="E7813" s="44">
        <v>1</v>
      </c>
      <c r="F7813" s="38">
        <v>1.6719999999999999</v>
      </c>
      <c r="G7813" s="41">
        <f>IF(ISNUMBER(F7813),E7813*F7813,"")</f>
        <v>1.6719999999999999</v>
      </c>
      <c r="H7813" s="46">
        <f>SUM(G7813:G7813)</f>
        <v>1.6719999999999999</v>
      </c>
      <c r="I7813" s="47"/>
      <c r="J7813" s="37">
        <v>0</v>
      </c>
    </row>
    <row r="7814" spans="1:10" ht="15.75" hidden="1" thickBot="1" x14ac:dyDescent="0.3">
      <c r="A7814" s="175"/>
      <c r="B7814" s="178"/>
      <c r="C7814" s="49"/>
      <c r="D7814" s="49"/>
      <c r="E7814" s="50"/>
      <c r="F7814" s="51" t="s">
        <v>13</v>
      </c>
      <c r="G7814" s="52" t="str">
        <f>IF(ISNUMBER(F7814),E7814*F7814,"")</f>
        <v/>
      </c>
      <c r="H7814" s="53"/>
      <c r="I7814" s="38"/>
      <c r="J7814" s="37">
        <v>0</v>
      </c>
    </row>
    <row r="7815" spans="1:10" ht="15.75" hidden="1" thickBot="1" x14ac:dyDescent="0.3">
      <c r="A7815" s="173" t="s">
        <v>1865</v>
      </c>
      <c r="B7815" s="176" t="s">
        <v>8289</v>
      </c>
      <c r="C7815" s="31"/>
      <c r="D7815" s="32" t="s">
        <v>18</v>
      </c>
      <c r="E7815" s="33"/>
      <c r="F7815" s="54" t="s">
        <v>13</v>
      </c>
      <c r="G7815" s="34" t="str">
        <f>IF(ISNUMBER(F7815),E7815*F7815,"")</f>
        <v/>
      </c>
      <c r="H7815" s="35"/>
      <c r="I7815" s="36"/>
      <c r="J7815" s="37">
        <v>0</v>
      </c>
    </row>
    <row r="7816" spans="1:10" hidden="1" x14ac:dyDescent="0.25">
      <c r="A7816" s="174"/>
      <c r="B7816" s="177"/>
      <c r="C7816" s="39"/>
      <c r="D7816" s="39"/>
      <c r="E7816" s="40"/>
      <c r="F7816" s="55" t="s">
        <v>13</v>
      </c>
      <c r="G7816" s="41" t="str">
        <f>IF(ISNUMBER(F7816),E7816*F7816,"")</f>
        <v/>
      </c>
      <c r="H7816" s="42"/>
      <c r="I7816" s="38"/>
      <c r="J7816" s="37">
        <v>0</v>
      </c>
    </row>
    <row r="7817" spans="1:10" ht="25.5" hidden="1" x14ac:dyDescent="0.25">
      <c r="A7817" s="174"/>
      <c r="B7817" s="177"/>
      <c r="C7817" s="43" t="s">
        <v>11490</v>
      </c>
      <c r="D7817" s="43" t="s">
        <v>83</v>
      </c>
      <c r="E7817" s="44">
        <v>1</v>
      </c>
      <c r="F7817" s="38">
        <v>2.7075</v>
      </c>
      <c r="G7817" s="41">
        <f>IF(ISNUMBER(F7817),E7817*F7817,"")</f>
        <v>2.7075</v>
      </c>
      <c r="H7817" s="46">
        <f>SUM(G7817:G7817)</f>
        <v>2.7075</v>
      </c>
      <c r="I7817" s="47"/>
      <c r="J7817" s="37">
        <v>0</v>
      </c>
    </row>
    <row r="7818" spans="1:10" ht="15.75" hidden="1" thickBot="1" x14ac:dyDescent="0.3">
      <c r="A7818" s="175"/>
      <c r="B7818" s="178"/>
      <c r="C7818" s="49"/>
      <c r="D7818" s="49"/>
      <c r="E7818" s="50"/>
      <c r="F7818" s="51" t="s">
        <v>13</v>
      </c>
      <c r="G7818" s="52" t="str">
        <f>IF(ISNUMBER(F7818),E7818*F7818,"")</f>
        <v/>
      </c>
      <c r="H7818" s="53"/>
      <c r="I7818" s="38"/>
      <c r="J7818" s="37">
        <v>0</v>
      </c>
    </row>
    <row r="7819" spans="1:10" ht="15.75" hidden="1" thickBot="1" x14ac:dyDescent="0.3">
      <c r="A7819" s="173" t="s">
        <v>1866</v>
      </c>
      <c r="B7819" s="176" t="s">
        <v>8290</v>
      </c>
      <c r="C7819" s="31"/>
      <c r="D7819" s="32" t="s">
        <v>18</v>
      </c>
      <c r="E7819" s="33"/>
      <c r="F7819" s="54" t="s">
        <v>13</v>
      </c>
      <c r="G7819" s="34" t="str">
        <f>IF(ISNUMBER(F7819),E7819*F7819,"")</f>
        <v/>
      </c>
      <c r="H7819" s="35"/>
      <c r="I7819" s="36"/>
      <c r="J7819" s="37">
        <v>0</v>
      </c>
    </row>
    <row r="7820" spans="1:10" hidden="1" x14ac:dyDescent="0.25">
      <c r="A7820" s="174"/>
      <c r="B7820" s="177"/>
      <c r="C7820" s="39"/>
      <c r="D7820" s="39"/>
      <c r="E7820" s="40"/>
      <c r="F7820" s="55" t="s">
        <v>13</v>
      </c>
      <c r="G7820" s="41" t="str">
        <f>IF(ISNUMBER(F7820),E7820*F7820,"")</f>
        <v/>
      </c>
      <c r="H7820" s="42"/>
      <c r="I7820" s="38"/>
      <c r="J7820" s="37">
        <v>0</v>
      </c>
    </row>
    <row r="7821" spans="1:10" ht="25.5" hidden="1" x14ac:dyDescent="0.25">
      <c r="A7821" s="174"/>
      <c r="B7821" s="177"/>
      <c r="C7821" s="43" t="s">
        <v>11491</v>
      </c>
      <c r="D7821" s="43" t="s">
        <v>83</v>
      </c>
      <c r="E7821" s="44">
        <v>1</v>
      </c>
      <c r="F7821" s="38">
        <v>5.9754999999999994</v>
      </c>
      <c r="G7821" s="41">
        <f>IF(ISNUMBER(F7821),E7821*F7821,"")</f>
        <v>5.9754999999999994</v>
      </c>
      <c r="H7821" s="46">
        <f>SUM(G7821:G7821)</f>
        <v>5.9754999999999994</v>
      </c>
      <c r="I7821" s="47"/>
      <c r="J7821" s="37">
        <v>0</v>
      </c>
    </row>
    <row r="7822" spans="1:10" ht="15.75" hidden="1" thickBot="1" x14ac:dyDescent="0.3">
      <c r="A7822" s="175"/>
      <c r="B7822" s="178"/>
      <c r="C7822" s="49"/>
      <c r="D7822" s="49"/>
      <c r="E7822" s="50"/>
      <c r="F7822" s="51" t="s">
        <v>13</v>
      </c>
      <c r="G7822" s="52" t="str">
        <f>IF(ISNUMBER(F7822),E7822*F7822,"")</f>
        <v/>
      </c>
      <c r="H7822" s="53"/>
      <c r="I7822" s="38"/>
      <c r="J7822" s="37">
        <v>0</v>
      </c>
    </row>
    <row r="7823" spans="1:10" ht="15.75" hidden="1" thickBot="1" x14ac:dyDescent="0.3">
      <c r="A7823" s="173" t="s">
        <v>1867</v>
      </c>
      <c r="B7823" s="176" t="s">
        <v>8291</v>
      </c>
      <c r="C7823" s="31"/>
      <c r="D7823" s="32" t="s">
        <v>18</v>
      </c>
      <c r="E7823" s="33"/>
      <c r="F7823" s="54" t="s">
        <v>13</v>
      </c>
      <c r="G7823" s="34" t="str">
        <f>IF(ISNUMBER(F7823),E7823*F7823,"")</f>
        <v/>
      </c>
      <c r="H7823" s="35"/>
      <c r="I7823" s="36"/>
      <c r="J7823" s="37">
        <v>0</v>
      </c>
    </row>
    <row r="7824" spans="1:10" hidden="1" x14ac:dyDescent="0.25">
      <c r="A7824" s="174"/>
      <c r="B7824" s="177"/>
      <c r="C7824" s="39"/>
      <c r="D7824" s="39"/>
      <c r="E7824" s="40"/>
      <c r="F7824" s="55" t="s">
        <v>13</v>
      </c>
      <c r="G7824" s="41" t="str">
        <f>IF(ISNUMBER(F7824),E7824*F7824,"")</f>
        <v/>
      </c>
      <c r="H7824" s="42"/>
      <c r="I7824" s="38"/>
      <c r="J7824" s="37">
        <v>0</v>
      </c>
    </row>
    <row r="7825" spans="1:10" ht="25.5" hidden="1" x14ac:dyDescent="0.25">
      <c r="A7825" s="174"/>
      <c r="B7825" s="177"/>
      <c r="C7825" s="43" t="s">
        <v>11492</v>
      </c>
      <c r="D7825" s="43" t="s">
        <v>83</v>
      </c>
      <c r="E7825" s="44">
        <v>1</v>
      </c>
      <c r="F7825" s="38">
        <v>8.9965000000000011</v>
      </c>
      <c r="G7825" s="41">
        <f>IF(ISNUMBER(F7825),E7825*F7825,"")</f>
        <v>8.9965000000000011</v>
      </c>
      <c r="H7825" s="46">
        <f>SUM(G7825:G7825)</f>
        <v>8.9965000000000011</v>
      </c>
      <c r="I7825" s="47"/>
      <c r="J7825" s="37">
        <v>0</v>
      </c>
    </row>
    <row r="7826" spans="1:10" ht="15.75" hidden="1" thickBot="1" x14ac:dyDescent="0.3">
      <c r="A7826" s="175"/>
      <c r="B7826" s="178"/>
      <c r="C7826" s="49"/>
      <c r="D7826" s="49"/>
      <c r="E7826" s="50"/>
      <c r="F7826" s="51" t="s">
        <v>13</v>
      </c>
      <c r="G7826" s="52" t="str">
        <f>IF(ISNUMBER(F7826),E7826*F7826,"")</f>
        <v/>
      </c>
      <c r="H7826" s="53"/>
      <c r="I7826" s="38"/>
      <c r="J7826" s="37">
        <v>0</v>
      </c>
    </row>
    <row r="7827" spans="1:10" ht="15.75" hidden="1" thickBot="1" x14ac:dyDescent="0.3">
      <c r="A7827" s="173" t="s">
        <v>1868</v>
      </c>
      <c r="B7827" s="176" t="s">
        <v>8292</v>
      </c>
      <c r="C7827" s="31"/>
      <c r="D7827" s="32" t="s">
        <v>18</v>
      </c>
      <c r="E7827" s="33"/>
      <c r="F7827" s="54" t="s">
        <v>13</v>
      </c>
      <c r="G7827" s="34" t="str">
        <f>IF(ISNUMBER(F7827),E7827*F7827,"")</f>
        <v/>
      </c>
      <c r="H7827" s="35"/>
      <c r="I7827" s="36"/>
      <c r="J7827" s="37">
        <v>0</v>
      </c>
    </row>
    <row r="7828" spans="1:10" hidden="1" x14ac:dyDescent="0.25">
      <c r="A7828" s="174"/>
      <c r="B7828" s="177"/>
      <c r="C7828" s="39"/>
      <c r="D7828" s="39"/>
      <c r="E7828" s="40"/>
      <c r="F7828" s="55" t="s">
        <v>13</v>
      </c>
      <c r="G7828" s="41" t="str">
        <f>IF(ISNUMBER(F7828),E7828*F7828,"")</f>
        <v/>
      </c>
      <c r="H7828" s="42"/>
      <c r="I7828" s="38"/>
      <c r="J7828" s="37">
        <v>0</v>
      </c>
    </row>
    <row r="7829" spans="1:10" ht="25.5" hidden="1" x14ac:dyDescent="0.25">
      <c r="A7829" s="174"/>
      <c r="B7829" s="177"/>
      <c r="C7829" s="43" t="s">
        <v>11493</v>
      </c>
      <c r="D7829" s="43" t="s">
        <v>83</v>
      </c>
      <c r="E7829" s="44">
        <v>1</v>
      </c>
      <c r="F7829" s="38">
        <v>1.3394999999999999</v>
      </c>
      <c r="G7829" s="41">
        <f>IF(ISNUMBER(F7829),E7829*F7829,"")</f>
        <v>1.3394999999999999</v>
      </c>
      <c r="H7829" s="46">
        <f>SUM(G7829:G7829)</f>
        <v>1.3394999999999999</v>
      </c>
      <c r="I7829" s="47"/>
      <c r="J7829" s="37">
        <v>0</v>
      </c>
    </row>
    <row r="7830" spans="1:10" ht="15.75" hidden="1" thickBot="1" x14ac:dyDescent="0.3">
      <c r="A7830" s="175"/>
      <c r="B7830" s="178"/>
      <c r="C7830" s="49"/>
      <c r="D7830" s="49"/>
      <c r="E7830" s="50"/>
      <c r="F7830" s="51" t="s">
        <v>13</v>
      </c>
      <c r="G7830" s="52" t="str">
        <f>IF(ISNUMBER(F7830),E7830*F7830,"")</f>
        <v/>
      </c>
      <c r="H7830" s="53"/>
      <c r="I7830" s="38"/>
      <c r="J7830" s="37">
        <v>0</v>
      </c>
    </row>
    <row r="7831" spans="1:10" ht="15.75" hidden="1" thickBot="1" x14ac:dyDescent="0.3">
      <c r="A7831" s="173" t="s">
        <v>1869</v>
      </c>
      <c r="B7831" s="176" t="s">
        <v>8293</v>
      </c>
      <c r="C7831" s="31"/>
      <c r="D7831" s="32" t="s">
        <v>18</v>
      </c>
      <c r="E7831" s="33"/>
      <c r="F7831" s="54" t="s">
        <v>13</v>
      </c>
      <c r="G7831" s="34" t="str">
        <f>IF(ISNUMBER(F7831),E7831*F7831,"")</f>
        <v/>
      </c>
      <c r="H7831" s="35"/>
      <c r="I7831" s="36"/>
      <c r="J7831" s="37">
        <v>0</v>
      </c>
    </row>
    <row r="7832" spans="1:10" hidden="1" x14ac:dyDescent="0.25">
      <c r="A7832" s="174"/>
      <c r="B7832" s="177"/>
      <c r="C7832" s="39"/>
      <c r="D7832" s="39"/>
      <c r="E7832" s="40"/>
      <c r="F7832" s="55" t="s">
        <v>13</v>
      </c>
      <c r="G7832" s="41" t="str">
        <f>IF(ISNUMBER(F7832),E7832*F7832,"")</f>
        <v/>
      </c>
      <c r="H7832" s="42"/>
      <c r="I7832" s="38"/>
      <c r="J7832" s="37">
        <v>0</v>
      </c>
    </row>
    <row r="7833" spans="1:10" ht="25.5" hidden="1" x14ac:dyDescent="0.25">
      <c r="A7833" s="174"/>
      <c r="B7833" s="177"/>
      <c r="C7833" s="43" t="s">
        <v>11494</v>
      </c>
      <c r="D7833" s="43" t="s">
        <v>83</v>
      </c>
      <c r="E7833" s="44">
        <v>1</v>
      </c>
      <c r="F7833" s="38">
        <v>4.7214999999999998</v>
      </c>
      <c r="G7833" s="41">
        <f>IF(ISNUMBER(F7833),E7833*F7833,"")</f>
        <v>4.7214999999999998</v>
      </c>
      <c r="H7833" s="46">
        <f>SUM(G7833:G7833)</f>
        <v>4.7214999999999998</v>
      </c>
      <c r="I7833" s="47"/>
      <c r="J7833" s="37">
        <v>0</v>
      </c>
    </row>
    <row r="7834" spans="1:10" ht="15.75" hidden="1" thickBot="1" x14ac:dyDescent="0.3">
      <c r="A7834" s="175"/>
      <c r="B7834" s="178"/>
      <c r="C7834" s="49"/>
      <c r="D7834" s="49"/>
      <c r="E7834" s="50"/>
      <c r="F7834" s="51" t="s">
        <v>13</v>
      </c>
      <c r="G7834" s="52" t="str">
        <f>IF(ISNUMBER(F7834),E7834*F7834,"")</f>
        <v/>
      </c>
      <c r="H7834" s="53"/>
      <c r="I7834" s="38"/>
      <c r="J7834" s="37">
        <v>0</v>
      </c>
    </row>
    <row r="7835" spans="1:10" ht="15.75" hidden="1" thickBot="1" x14ac:dyDescent="0.3">
      <c r="A7835" s="173" t="s">
        <v>1870</v>
      </c>
      <c r="B7835" s="176" t="s">
        <v>8294</v>
      </c>
      <c r="C7835" s="31"/>
      <c r="D7835" s="32" t="s">
        <v>18</v>
      </c>
      <c r="E7835" s="33"/>
      <c r="F7835" s="54" t="s">
        <v>13</v>
      </c>
      <c r="G7835" s="34" t="str">
        <f>IF(ISNUMBER(F7835),E7835*F7835,"")</f>
        <v/>
      </c>
      <c r="H7835" s="35"/>
      <c r="I7835" s="36"/>
      <c r="J7835" s="37">
        <v>0</v>
      </c>
    </row>
    <row r="7836" spans="1:10" hidden="1" x14ac:dyDescent="0.25">
      <c r="A7836" s="174"/>
      <c r="B7836" s="177"/>
      <c r="C7836" s="39"/>
      <c r="D7836" s="39"/>
      <c r="E7836" s="40"/>
      <c r="F7836" s="55" t="s">
        <v>13</v>
      </c>
      <c r="G7836" s="41" t="str">
        <f>IF(ISNUMBER(F7836),E7836*F7836,"")</f>
        <v/>
      </c>
      <c r="H7836" s="42"/>
      <c r="I7836" s="38"/>
      <c r="J7836" s="37">
        <v>0</v>
      </c>
    </row>
    <row r="7837" spans="1:10" ht="25.5" hidden="1" x14ac:dyDescent="0.25">
      <c r="A7837" s="174"/>
      <c r="B7837" s="177"/>
      <c r="C7837" s="43" t="s">
        <v>11495</v>
      </c>
      <c r="D7837" s="43" t="s">
        <v>83</v>
      </c>
      <c r="E7837" s="44">
        <v>1</v>
      </c>
      <c r="F7837" s="38">
        <v>5.8045</v>
      </c>
      <c r="G7837" s="41">
        <f>IF(ISNUMBER(F7837),E7837*F7837,"")</f>
        <v>5.8045</v>
      </c>
      <c r="H7837" s="46">
        <f>SUM(G7837:G7837)</f>
        <v>5.8045</v>
      </c>
      <c r="I7837" s="47"/>
      <c r="J7837" s="37">
        <v>0</v>
      </c>
    </row>
    <row r="7838" spans="1:10" ht="15.75" hidden="1" thickBot="1" x14ac:dyDescent="0.3">
      <c r="A7838" s="175"/>
      <c r="B7838" s="178"/>
      <c r="C7838" s="49"/>
      <c r="D7838" s="49"/>
      <c r="E7838" s="50"/>
      <c r="F7838" s="51" t="s">
        <v>13</v>
      </c>
      <c r="G7838" s="52" t="str">
        <f>IF(ISNUMBER(F7838),E7838*F7838,"")</f>
        <v/>
      </c>
      <c r="H7838" s="53"/>
      <c r="I7838" s="38"/>
      <c r="J7838" s="37">
        <v>0</v>
      </c>
    </row>
    <row r="7839" spans="1:10" ht="15.75" hidden="1" thickBot="1" x14ac:dyDescent="0.3">
      <c r="A7839" s="173" t="s">
        <v>1871</v>
      </c>
      <c r="B7839" s="176" t="s">
        <v>8295</v>
      </c>
      <c r="C7839" s="31"/>
      <c r="D7839" s="32" t="s">
        <v>18</v>
      </c>
      <c r="E7839" s="33"/>
      <c r="F7839" s="54" t="s">
        <v>13</v>
      </c>
      <c r="G7839" s="34" t="str">
        <f>IF(ISNUMBER(F7839),E7839*F7839,"")</f>
        <v/>
      </c>
      <c r="H7839" s="35"/>
      <c r="I7839" s="36"/>
      <c r="J7839" s="37">
        <v>0</v>
      </c>
    </row>
    <row r="7840" spans="1:10" hidden="1" x14ac:dyDescent="0.25">
      <c r="A7840" s="174"/>
      <c r="B7840" s="177"/>
      <c r="C7840" s="39"/>
      <c r="D7840" s="39"/>
      <c r="E7840" s="40"/>
      <c r="F7840" s="55" t="s">
        <v>13</v>
      </c>
      <c r="G7840" s="41" t="str">
        <f>IF(ISNUMBER(F7840),E7840*F7840,"")</f>
        <v/>
      </c>
      <c r="H7840" s="42"/>
      <c r="I7840" s="38"/>
      <c r="J7840" s="37">
        <v>0</v>
      </c>
    </row>
    <row r="7841" spans="1:10" hidden="1" x14ac:dyDescent="0.25">
      <c r="A7841" s="174"/>
      <c r="B7841" s="177"/>
      <c r="C7841" s="43" t="s">
        <v>11496</v>
      </c>
      <c r="D7841" s="43" t="s">
        <v>83</v>
      </c>
      <c r="E7841" s="44">
        <v>1</v>
      </c>
      <c r="F7841" s="38">
        <v>1.3964999999999999</v>
      </c>
      <c r="G7841" s="41">
        <f>IF(ISNUMBER(F7841),E7841*F7841,"")</f>
        <v>1.3964999999999999</v>
      </c>
      <c r="H7841" s="46">
        <f>SUM(G7841:G7841)</f>
        <v>1.3964999999999999</v>
      </c>
      <c r="I7841" s="47"/>
      <c r="J7841" s="37">
        <v>0</v>
      </c>
    </row>
    <row r="7842" spans="1:10" ht="15.75" hidden="1" thickBot="1" x14ac:dyDescent="0.3">
      <c r="A7842" s="175"/>
      <c r="B7842" s="178"/>
      <c r="C7842" s="49"/>
      <c r="D7842" s="49"/>
      <c r="E7842" s="50"/>
      <c r="F7842" s="51" t="s">
        <v>13</v>
      </c>
      <c r="G7842" s="52" t="str">
        <f>IF(ISNUMBER(F7842),E7842*F7842,"")</f>
        <v/>
      </c>
      <c r="H7842" s="53"/>
      <c r="I7842" s="38"/>
      <c r="J7842" s="37">
        <v>0</v>
      </c>
    </row>
    <row r="7843" spans="1:10" ht="15.75" hidden="1" thickBot="1" x14ac:dyDescent="0.3">
      <c r="A7843" s="173" t="s">
        <v>1872</v>
      </c>
      <c r="B7843" s="176" t="s">
        <v>8296</v>
      </c>
      <c r="C7843" s="31"/>
      <c r="D7843" s="32" t="s">
        <v>18</v>
      </c>
      <c r="E7843" s="33"/>
      <c r="F7843" s="54" t="s">
        <v>13</v>
      </c>
      <c r="G7843" s="34" t="str">
        <f>IF(ISNUMBER(F7843),E7843*F7843,"")</f>
        <v/>
      </c>
      <c r="H7843" s="35"/>
      <c r="I7843" s="36"/>
      <c r="J7843" s="37">
        <v>0</v>
      </c>
    </row>
    <row r="7844" spans="1:10" hidden="1" x14ac:dyDescent="0.25">
      <c r="A7844" s="174"/>
      <c r="B7844" s="177"/>
      <c r="C7844" s="39"/>
      <c r="D7844" s="39"/>
      <c r="E7844" s="40"/>
      <c r="F7844" s="55" t="s">
        <v>13</v>
      </c>
      <c r="G7844" s="41" t="str">
        <f>IF(ISNUMBER(F7844),E7844*F7844,"")</f>
        <v/>
      </c>
      <c r="H7844" s="42"/>
      <c r="I7844" s="38"/>
      <c r="J7844" s="37">
        <v>0</v>
      </c>
    </row>
    <row r="7845" spans="1:10" ht="25.5" hidden="1" x14ac:dyDescent="0.25">
      <c r="A7845" s="174"/>
      <c r="B7845" s="177"/>
      <c r="C7845" s="43" t="s">
        <v>11497</v>
      </c>
      <c r="D7845" s="43" t="s">
        <v>83</v>
      </c>
      <c r="E7845" s="44">
        <v>1</v>
      </c>
      <c r="F7845" s="38">
        <v>2.052</v>
      </c>
      <c r="G7845" s="41">
        <f>IF(ISNUMBER(F7845),E7845*F7845,"")</f>
        <v>2.052</v>
      </c>
      <c r="H7845" s="46">
        <f>SUM(G7845:G7845)</f>
        <v>2.052</v>
      </c>
      <c r="I7845" s="47"/>
      <c r="J7845" s="37">
        <v>0</v>
      </c>
    </row>
    <row r="7846" spans="1:10" ht="15.75" hidden="1" thickBot="1" x14ac:dyDescent="0.3">
      <c r="A7846" s="175"/>
      <c r="B7846" s="178"/>
      <c r="C7846" s="49"/>
      <c r="D7846" s="49"/>
      <c r="E7846" s="50"/>
      <c r="F7846" s="51" t="s">
        <v>13</v>
      </c>
      <c r="G7846" s="52" t="str">
        <f>IF(ISNUMBER(F7846),E7846*F7846,"")</f>
        <v/>
      </c>
      <c r="H7846" s="53"/>
      <c r="I7846" s="38"/>
      <c r="J7846" s="37">
        <v>0</v>
      </c>
    </row>
    <row r="7847" spans="1:10" ht="15.75" hidden="1" thickBot="1" x14ac:dyDescent="0.3">
      <c r="A7847" s="173" t="s">
        <v>1873</v>
      </c>
      <c r="B7847" s="176" t="s">
        <v>8297</v>
      </c>
      <c r="C7847" s="31"/>
      <c r="D7847" s="32" t="s">
        <v>18</v>
      </c>
      <c r="E7847" s="33"/>
      <c r="F7847" s="54" t="s">
        <v>13</v>
      </c>
      <c r="G7847" s="34" t="str">
        <f>IF(ISNUMBER(F7847),E7847*F7847,"")</f>
        <v/>
      </c>
      <c r="H7847" s="35"/>
      <c r="I7847" s="36"/>
      <c r="J7847" s="37">
        <v>0</v>
      </c>
    </row>
    <row r="7848" spans="1:10" hidden="1" x14ac:dyDescent="0.25">
      <c r="A7848" s="174"/>
      <c r="B7848" s="177"/>
      <c r="C7848" s="39"/>
      <c r="D7848" s="39"/>
      <c r="E7848" s="40"/>
      <c r="F7848" s="55" t="s">
        <v>13</v>
      </c>
      <c r="G7848" s="41" t="str">
        <f>IF(ISNUMBER(F7848),E7848*F7848,"")</f>
        <v/>
      </c>
      <c r="H7848" s="42"/>
      <c r="I7848" s="38"/>
      <c r="J7848" s="37">
        <v>0</v>
      </c>
    </row>
    <row r="7849" spans="1:10" hidden="1" x14ac:dyDescent="0.25">
      <c r="A7849" s="174"/>
      <c r="B7849" s="177"/>
      <c r="C7849" s="43" t="s">
        <v>11498</v>
      </c>
      <c r="D7849" s="43" t="s">
        <v>83</v>
      </c>
      <c r="E7849" s="44">
        <v>1</v>
      </c>
      <c r="F7849" s="38">
        <v>6.6784999999999997</v>
      </c>
      <c r="G7849" s="41">
        <f>IF(ISNUMBER(F7849),E7849*F7849,"")</f>
        <v>6.6784999999999997</v>
      </c>
      <c r="H7849" s="46">
        <f>SUM(G7849:G7849)</f>
        <v>6.6784999999999997</v>
      </c>
      <c r="I7849" s="47"/>
      <c r="J7849" s="37">
        <v>0</v>
      </c>
    </row>
    <row r="7850" spans="1:10" ht="15.75" hidden="1" thickBot="1" x14ac:dyDescent="0.3">
      <c r="A7850" s="175"/>
      <c r="B7850" s="178"/>
      <c r="C7850" s="49"/>
      <c r="D7850" s="49"/>
      <c r="E7850" s="50"/>
      <c r="F7850" s="51" t="s">
        <v>13</v>
      </c>
      <c r="G7850" s="52" t="str">
        <f>IF(ISNUMBER(F7850),E7850*F7850,"")</f>
        <v/>
      </c>
      <c r="H7850" s="53"/>
      <c r="I7850" s="38"/>
      <c r="J7850" s="37">
        <v>0</v>
      </c>
    </row>
    <row r="7851" spans="1:10" ht="15.75" hidden="1" thickBot="1" x14ac:dyDescent="0.3">
      <c r="A7851" s="173" t="s">
        <v>1874</v>
      </c>
      <c r="B7851" s="176" t="s">
        <v>8298</v>
      </c>
      <c r="C7851" s="31"/>
      <c r="D7851" s="32" t="s">
        <v>18</v>
      </c>
      <c r="E7851" s="33"/>
      <c r="F7851" s="54" t="s">
        <v>13</v>
      </c>
      <c r="G7851" s="34" t="str">
        <f>IF(ISNUMBER(F7851),E7851*F7851,"")</f>
        <v/>
      </c>
      <c r="H7851" s="35"/>
      <c r="I7851" s="36"/>
      <c r="J7851" s="37">
        <v>0</v>
      </c>
    </row>
    <row r="7852" spans="1:10" hidden="1" x14ac:dyDescent="0.25">
      <c r="A7852" s="174"/>
      <c r="B7852" s="177"/>
      <c r="C7852" s="39"/>
      <c r="D7852" s="39"/>
      <c r="E7852" s="40"/>
      <c r="F7852" s="55" t="s">
        <v>13</v>
      </c>
      <c r="G7852" s="41" t="str">
        <f>IF(ISNUMBER(F7852),E7852*F7852,"")</f>
        <v/>
      </c>
      <c r="H7852" s="42"/>
      <c r="I7852" s="38"/>
      <c r="J7852" s="37">
        <v>0</v>
      </c>
    </row>
    <row r="7853" spans="1:10" hidden="1" x14ac:dyDescent="0.25">
      <c r="A7853" s="174"/>
      <c r="B7853" s="177"/>
      <c r="C7853" s="43" t="s">
        <v>11499</v>
      </c>
      <c r="D7853" s="43" t="s">
        <v>83</v>
      </c>
      <c r="E7853" s="44">
        <v>1</v>
      </c>
      <c r="F7853" s="38">
        <v>7.3339999999999996</v>
      </c>
      <c r="G7853" s="41">
        <f>IF(ISNUMBER(F7853),E7853*F7853,"")</f>
        <v>7.3339999999999996</v>
      </c>
      <c r="H7853" s="46">
        <f>SUM(G7853:G7853)</f>
        <v>7.3339999999999996</v>
      </c>
      <c r="I7853" s="47"/>
      <c r="J7853" s="37">
        <v>0</v>
      </c>
    </row>
    <row r="7854" spans="1:10" ht="15.75" hidden="1" thickBot="1" x14ac:dyDescent="0.3">
      <c r="A7854" s="175"/>
      <c r="B7854" s="178"/>
      <c r="C7854" s="49"/>
      <c r="D7854" s="49"/>
      <c r="E7854" s="50"/>
      <c r="F7854" s="51" t="s">
        <v>13</v>
      </c>
      <c r="G7854" s="52" t="str">
        <f>IF(ISNUMBER(F7854),E7854*F7854,"")</f>
        <v/>
      </c>
      <c r="H7854" s="53"/>
      <c r="I7854" s="38"/>
      <c r="J7854" s="37">
        <v>0</v>
      </c>
    </row>
    <row r="7855" spans="1:10" ht="15.75" hidden="1" thickBot="1" x14ac:dyDescent="0.3">
      <c r="A7855" s="173" t="s">
        <v>1875</v>
      </c>
      <c r="B7855" s="176" t="s">
        <v>8299</v>
      </c>
      <c r="C7855" s="31"/>
      <c r="D7855" s="32" t="s">
        <v>18</v>
      </c>
      <c r="E7855" s="33"/>
      <c r="F7855" s="54" t="s">
        <v>13</v>
      </c>
      <c r="G7855" s="34" t="str">
        <f>IF(ISNUMBER(F7855),E7855*F7855,"")</f>
        <v/>
      </c>
      <c r="H7855" s="35"/>
      <c r="I7855" s="36"/>
      <c r="J7855" s="37">
        <v>0</v>
      </c>
    </row>
    <row r="7856" spans="1:10" hidden="1" x14ac:dyDescent="0.25">
      <c r="A7856" s="174"/>
      <c r="B7856" s="177"/>
      <c r="C7856" s="39"/>
      <c r="D7856" s="39"/>
      <c r="E7856" s="40"/>
      <c r="F7856" s="55" t="s">
        <v>13</v>
      </c>
      <c r="G7856" s="41" t="str">
        <f>IF(ISNUMBER(F7856),E7856*F7856,"")</f>
        <v/>
      </c>
      <c r="H7856" s="42"/>
      <c r="I7856" s="38"/>
      <c r="J7856" s="37">
        <v>0</v>
      </c>
    </row>
    <row r="7857" spans="1:10" ht="25.5" hidden="1" x14ac:dyDescent="0.25">
      <c r="A7857" s="174"/>
      <c r="B7857" s="177"/>
      <c r="C7857" s="43" t="s">
        <v>11500</v>
      </c>
      <c r="D7857" s="43" t="s">
        <v>83</v>
      </c>
      <c r="E7857" s="44">
        <v>1</v>
      </c>
      <c r="F7857" s="38">
        <v>13.774999999999999</v>
      </c>
      <c r="G7857" s="41">
        <f>IF(ISNUMBER(F7857),E7857*F7857,"")</f>
        <v>13.774999999999999</v>
      </c>
      <c r="H7857" s="46">
        <f>SUM(G7857:G7857)</f>
        <v>13.774999999999999</v>
      </c>
      <c r="I7857" s="47"/>
      <c r="J7857" s="37">
        <v>0</v>
      </c>
    </row>
    <row r="7858" spans="1:10" ht="15.75" hidden="1" thickBot="1" x14ac:dyDescent="0.3">
      <c r="A7858" s="175"/>
      <c r="B7858" s="178"/>
      <c r="C7858" s="49"/>
      <c r="D7858" s="49"/>
      <c r="E7858" s="50"/>
      <c r="F7858" s="51" t="s">
        <v>13</v>
      </c>
      <c r="G7858" s="52" t="str">
        <f>IF(ISNUMBER(F7858),E7858*F7858,"")</f>
        <v/>
      </c>
      <c r="H7858" s="53"/>
      <c r="I7858" s="38"/>
      <c r="J7858" s="37">
        <v>0</v>
      </c>
    </row>
    <row r="7859" spans="1:10" ht="15.75" hidden="1" thickBot="1" x14ac:dyDescent="0.3">
      <c r="A7859" s="173" t="s">
        <v>1876</v>
      </c>
      <c r="B7859" s="176" t="s">
        <v>8300</v>
      </c>
      <c r="C7859" s="31"/>
      <c r="D7859" s="32" t="s">
        <v>18</v>
      </c>
      <c r="E7859" s="33"/>
      <c r="F7859" s="54" t="s">
        <v>13</v>
      </c>
      <c r="G7859" s="34" t="str">
        <f>IF(ISNUMBER(F7859),E7859*F7859,"")</f>
        <v/>
      </c>
      <c r="H7859" s="35"/>
      <c r="I7859" s="36"/>
      <c r="J7859" s="37">
        <v>0</v>
      </c>
    </row>
    <row r="7860" spans="1:10" hidden="1" x14ac:dyDescent="0.25">
      <c r="A7860" s="174"/>
      <c r="B7860" s="177"/>
      <c r="C7860" s="39"/>
      <c r="D7860" s="39"/>
      <c r="E7860" s="40"/>
      <c r="F7860" s="55" t="s">
        <v>13</v>
      </c>
      <c r="G7860" s="41" t="str">
        <f>IF(ISNUMBER(F7860),E7860*F7860,"")</f>
        <v/>
      </c>
      <c r="H7860" s="42"/>
      <c r="I7860" s="38"/>
      <c r="J7860" s="37">
        <v>0</v>
      </c>
    </row>
    <row r="7861" spans="1:10" hidden="1" x14ac:dyDescent="0.25">
      <c r="A7861" s="174"/>
      <c r="B7861" s="177"/>
      <c r="C7861" s="43" t="s">
        <v>11501</v>
      </c>
      <c r="D7861" s="43" t="s">
        <v>83</v>
      </c>
      <c r="E7861" s="44">
        <v>1</v>
      </c>
      <c r="F7861" s="38">
        <v>0.91199999999999992</v>
      </c>
      <c r="G7861" s="41">
        <f>IF(ISNUMBER(F7861),E7861*F7861,"")</f>
        <v>0.91199999999999992</v>
      </c>
      <c r="H7861" s="46">
        <f>SUM(G7861:G7861)</f>
        <v>0.91199999999999992</v>
      </c>
      <c r="I7861" s="47"/>
      <c r="J7861" s="37">
        <v>0</v>
      </c>
    </row>
    <row r="7862" spans="1:10" ht="15.75" hidden="1" thickBot="1" x14ac:dyDescent="0.3">
      <c r="A7862" s="175"/>
      <c r="B7862" s="178"/>
      <c r="C7862" s="49"/>
      <c r="D7862" s="49"/>
      <c r="E7862" s="50"/>
      <c r="F7862" s="51" t="s">
        <v>13</v>
      </c>
      <c r="G7862" s="52" t="str">
        <f>IF(ISNUMBER(F7862),E7862*F7862,"")</f>
        <v/>
      </c>
      <c r="H7862" s="53"/>
      <c r="I7862" s="38"/>
      <c r="J7862" s="37">
        <v>0</v>
      </c>
    </row>
    <row r="7863" spans="1:10" ht="15.75" hidden="1" thickBot="1" x14ac:dyDescent="0.3">
      <c r="A7863" s="173" t="s">
        <v>1877</v>
      </c>
      <c r="B7863" s="176" t="s">
        <v>8301</v>
      </c>
      <c r="C7863" s="31"/>
      <c r="D7863" s="32" t="s">
        <v>18</v>
      </c>
      <c r="E7863" s="33"/>
      <c r="F7863" s="54" t="s">
        <v>13</v>
      </c>
      <c r="G7863" s="34" t="str">
        <f>IF(ISNUMBER(F7863),E7863*F7863,"")</f>
        <v/>
      </c>
      <c r="H7863" s="35"/>
      <c r="I7863" s="36"/>
      <c r="J7863" s="37">
        <v>0</v>
      </c>
    </row>
    <row r="7864" spans="1:10" hidden="1" x14ac:dyDescent="0.25">
      <c r="A7864" s="174"/>
      <c r="B7864" s="177"/>
      <c r="C7864" s="39"/>
      <c r="D7864" s="39"/>
      <c r="E7864" s="40"/>
      <c r="F7864" s="55" t="s">
        <v>13</v>
      </c>
      <c r="G7864" s="41" t="str">
        <f>IF(ISNUMBER(F7864),E7864*F7864,"")</f>
        <v/>
      </c>
      <c r="H7864" s="42"/>
      <c r="I7864" s="38"/>
      <c r="J7864" s="37">
        <v>0</v>
      </c>
    </row>
    <row r="7865" spans="1:10" hidden="1" x14ac:dyDescent="0.25">
      <c r="A7865" s="174"/>
      <c r="B7865" s="177"/>
      <c r="C7865" s="43" t="s">
        <v>11502</v>
      </c>
      <c r="D7865" s="43" t="s">
        <v>83</v>
      </c>
      <c r="E7865" s="44">
        <v>1</v>
      </c>
      <c r="F7865" s="38">
        <v>8.9205000000000005</v>
      </c>
      <c r="G7865" s="41">
        <f>IF(ISNUMBER(F7865),E7865*F7865,"")</f>
        <v>8.9205000000000005</v>
      </c>
      <c r="H7865" s="46">
        <f>SUM(G7865:G7865)</f>
        <v>8.9205000000000005</v>
      </c>
      <c r="I7865" s="47"/>
      <c r="J7865" s="37">
        <v>0</v>
      </c>
    </row>
    <row r="7866" spans="1:10" ht="15.75" hidden="1" thickBot="1" x14ac:dyDescent="0.3">
      <c r="A7866" s="175"/>
      <c r="B7866" s="178"/>
      <c r="C7866" s="49"/>
      <c r="D7866" s="49"/>
      <c r="E7866" s="50"/>
      <c r="F7866" s="51" t="s">
        <v>13</v>
      </c>
      <c r="G7866" s="52" t="str">
        <f>IF(ISNUMBER(F7866),E7866*F7866,"")</f>
        <v/>
      </c>
      <c r="H7866" s="53"/>
      <c r="I7866" s="38"/>
      <c r="J7866" s="37">
        <v>0</v>
      </c>
    </row>
    <row r="7867" spans="1:10" ht="15.75" hidden="1" thickBot="1" x14ac:dyDescent="0.3">
      <c r="A7867" s="173" t="s">
        <v>1878</v>
      </c>
      <c r="B7867" s="176" t="s">
        <v>8302</v>
      </c>
      <c r="C7867" s="31"/>
      <c r="D7867" s="32" t="s">
        <v>18</v>
      </c>
      <c r="E7867" s="33"/>
      <c r="F7867" s="54" t="s">
        <v>13</v>
      </c>
      <c r="G7867" s="34" t="str">
        <f>IF(ISNUMBER(F7867),E7867*F7867,"")</f>
        <v/>
      </c>
      <c r="H7867" s="35"/>
      <c r="I7867" s="36"/>
      <c r="J7867" s="37">
        <v>0</v>
      </c>
    </row>
    <row r="7868" spans="1:10" hidden="1" x14ac:dyDescent="0.25">
      <c r="A7868" s="174"/>
      <c r="B7868" s="177"/>
      <c r="C7868" s="39"/>
      <c r="D7868" s="39"/>
      <c r="E7868" s="40"/>
      <c r="F7868" s="55" t="s">
        <v>13</v>
      </c>
      <c r="G7868" s="41" t="str">
        <f>IF(ISNUMBER(F7868),E7868*F7868,"")</f>
        <v/>
      </c>
      <c r="H7868" s="42"/>
      <c r="I7868" s="38"/>
      <c r="J7868" s="37">
        <v>0</v>
      </c>
    </row>
    <row r="7869" spans="1:10" ht="25.5" hidden="1" x14ac:dyDescent="0.25">
      <c r="A7869" s="174"/>
      <c r="B7869" s="177"/>
      <c r="C7869" s="43" t="s">
        <v>11503</v>
      </c>
      <c r="D7869" s="43" t="s">
        <v>83</v>
      </c>
      <c r="E7869" s="44">
        <v>1</v>
      </c>
      <c r="F7869" s="38">
        <v>0.99749999999999994</v>
      </c>
      <c r="G7869" s="41">
        <f>IF(ISNUMBER(F7869),E7869*F7869,"")</f>
        <v>0.99749999999999994</v>
      </c>
      <c r="H7869" s="46">
        <f>SUM(G7869:G7869)</f>
        <v>0.99749999999999994</v>
      </c>
      <c r="I7869" s="47"/>
      <c r="J7869" s="37">
        <v>0</v>
      </c>
    </row>
    <row r="7870" spans="1:10" ht="15.75" hidden="1" thickBot="1" x14ac:dyDescent="0.3">
      <c r="A7870" s="175"/>
      <c r="B7870" s="178"/>
      <c r="C7870" s="49"/>
      <c r="D7870" s="49"/>
      <c r="E7870" s="50"/>
      <c r="F7870" s="51" t="s">
        <v>13</v>
      </c>
      <c r="G7870" s="52" t="str">
        <f>IF(ISNUMBER(F7870),E7870*F7870,"")</f>
        <v/>
      </c>
      <c r="H7870" s="53"/>
      <c r="I7870" s="38"/>
      <c r="J7870" s="37">
        <v>0</v>
      </c>
    </row>
    <row r="7871" spans="1:10" ht="15.75" hidden="1" thickBot="1" x14ac:dyDescent="0.3">
      <c r="A7871" s="173" t="s">
        <v>1879</v>
      </c>
      <c r="B7871" s="176" t="s">
        <v>8303</v>
      </c>
      <c r="C7871" s="31"/>
      <c r="D7871" s="32" t="s">
        <v>18</v>
      </c>
      <c r="E7871" s="33"/>
      <c r="F7871" s="54" t="s">
        <v>13</v>
      </c>
      <c r="G7871" s="34" t="str">
        <f>IF(ISNUMBER(F7871),E7871*F7871,"")</f>
        <v/>
      </c>
      <c r="H7871" s="35"/>
      <c r="I7871" s="36"/>
      <c r="J7871" s="37">
        <v>0</v>
      </c>
    </row>
    <row r="7872" spans="1:10" hidden="1" x14ac:dyDescent="0.25">
      <c r="A7872" s="174"/>
      <c r="B7872" s="177"/>
      <c r="C7872" s="39"/>
      <c r="D7872" s="39"/>
      <c r="E7872" s="40"/>
      <c r="F7872" s="55" t="s">
        <v>13</v>
      </c>
      <c r="G7872" s="41" t="str">
        <f>IF(ISNUMBER(F7872),E7872*F7872,"")</f>
        <v/>
      </c>
      <c r="H7872" s="42"/>
      <c r="I7872" s="38"/>
      <c r="J7872" s="37">
        <v>0</v>
      </c>
    </row>
    <row r="7873" spans="1:10" ht="25.5" hidden="1" x14ac:dyDescent="0.25">
      <c r="A7873" s="174"/>
      <c r="B7873" s="177"/>
      <c r="C7873" s="43" t="s">
        <v>11431</v>
      </c>
      <c r="D7873" s="43" t="s">
        <v>83</v>
      </c>
      <c r="E7873" s="44">
        <v>1</v>
      </c>
      <c r="F7873" s="38">
        <v>13.756</v>
      </c>
      <c r="G7873" s="41">
        <f>IF(ISNUMBER(F7873),E7873*F7873,"")</f>
        <v>13.756</v>
      </c>
      <c r="H7873" s="46">
        <f>SUM(G7873:G7873)</f>
        <v>13.756</v>
      </c>
      <c r="I7873" s="47"/>
      <c r="J7873" s="37">
        <v>0</v>
      </c>
    </row>
    <row r="7874" spans="1:10" ht="15.75" hidden="1" thickBot="1" x14ac:dyDescent="0.3">
      <c r="A7874" s="175"/>
      <c r="B7874" s="178"/>
      <c r="C7874" s="49"/>
      <c r="D7874" s="49"/>
      <c r="E7874" s="50"/>
      <c r="F7874" s="51" t="s">
        <v>13</v>
      </c>
      <c r="G7874" s="52" t="str">
        <f>IF(ISNUMBER(F7874),E7874*F7874,"")</f>
        <v/>
      </c>
      <c r="H7874" s="53"/>
      <c r="I7874" s="38"/>
      <c r="J7874" s="37">
        <v>0</v>
      </c>
    </row>
    <row r="7875" spans="1:10" ht="15.75" hidden="1" thickBot="1" x14ac:dyDescent="0.3">
      <c r="A7875" s="173" t="s">
        <v>1880</v>
      </c>
      <c r="B7875" s="176" t="s">
        <v>8304</v>
      </c>
      <c r="C7875" s="31"/>
      <c r="D7875" s="32" t="s">
        <v>18</v>
      </c>
      <c r="E7875" s="33"/>
      <c r="F7875" s="54" t="s">
        <v>13</v>
      </c>
      <c r="G7875" s="34" t="str">
        <f>IF(ISNUMBER(F7875),E7875*F7875,"")</f>
        <v/>
      </c>
      <c r="H7875" s="35"/>
      <c r="I7875" s="36"/>
      <c r="J7875" s="37">
        <v>0</v>
      </c>
    </row>
    <row r="7876" spans="1:10" hidden="1" x14ac:dyDescent="0.25">
      <c r="A7876" s="174"/>
      <c r="B7876" s="177"/>
      <c r="C7876" s="39"/>
      <c r="D7876" s="39"/>
      <c r="E7876" s="40"/>
      <c r="F7876" s="55" t="s">
        <v>13</v>
      </c>
      <c r="G7876" s="41" t="str">
        <f>IF(ISNUMBER(F7876),E7876*F7876,"")</f>
        <v/>
      </c>
      <c r="H7876" s="42"/>
      <c r="I7876" s="38"/>
      <c r="J7876" s="37">
        <v>0</v>
      </c>
    </row>
    <row r="7877" spans="1:10" ht="25.5" hidden="1" x14ac:dyDescent="0.25">
      <c r="A7877" s="174"/>
      <c r="B7877" s="177"/>
      <c r="C7877" s="43" t="s">
        <v>11504</v>
      </c>
      <c r="D7877" s="43" t="s">
        <v>83</v>
      </c>
      <c r="E7877" s="44">
        <v>1</v>
      </c>
      <c r="F7877" s="38">
        <v>2.7075</v>
      </c>
      <c r="G7877" s="41">
        <f>IF(ISNUMBER(F7877),E7877*F7877,"")</f>
        <v>2.7075</v>
      </c>
      <c r="H7877" s="46">
        <f>SUM(G7877:G7877)</f>
        <v>2.7075</v>
      </c>
      <c r="I7877" s="47"/>
      <c r="J7877" s="37">
        <v>0</v>
      </c>
    </row>
    <row r="7878" spans="1:10" ht="15.75" hidden="1" thickBot="1" x14ac:dyDescent="0.3">
      <c r="A7878" s="175"/>
      <c r="B7878" s="178"/>
      <c r="C7878" s="49"/>
      <c r="D7878" s="49"/>
      <c r="E7878" s="50"/>
      <c r="F7878" s="51" t="s">
        <v>13</v>
      </c>
      <c r="G7878" s="52" t="str">
        <f>IF(ISNUMBER(F7878),E7878*F7878,"")</f>
        <v/>
      </c>
      <c r="H7878" s="53"/>
      <c r="I7878" s="38"/>
      <c r="J7878" s="37">
        <v>0</v>
      </c>
    </row>
    <row r="7879" spans="1:10" ht="15.75" hidden="1" thickBot="1" x14ac:dyDescent="0.3">
      <c r="A7879" s="173" t="s">
        <v>1881</v>
      </c>
      <c r="B7879" s="176" t="s">
        <v>8305</v>
      </c>
      <c r="C7879" s="31"/>
      <c r="D7879" s="32" t="s">
        <v>18</v>
      </c>
      <c r="E7879" s="33"/>
      <c r="F7879" s="54" t="s">
        <v>13</v>
      </c>
      <c r="G7879" s="34" t="str">
        <f>IF(ISNUMBER(F7879),E7879*F7879,"")</f>
        <v/>
      </c>
      <c r="H7879" s="35"/>
      <c r="I7879" s="36"/>
      <c r="J7879" s="37">
        <v>0</v>
      </c>
    </row>
    <row r="7880" spans="1:10" hidden="1" x14ac:dyDescent="0.25">
      <c r="A7880" s="174"/>
      <c r="B7880" s="177"/>
      <c r="C7880" s="39"/>
      <c r="D7880" s="39"/>
      <c r="E7880" s="40"/>
      <c r="F7880" s="55" t="s">
        <v>13</v>
      </c>
      <c r="G7880" s="41" t="str">
        <f>IF(ISNUMBER(F7880),E7880*F7880,"")</f>
        <v/>
      </c>
      <c r="H7880" s="42"/>
      <c r="I7880" s="38"/>
      <c r="J7880" s="37">
        <v>0</v>
      </c>
    </row>
    <row r="7881" spans="1:10" ht="25.5" hidden="1" x14ac:dyDescent="0.25">
      <c r="A7881" s="174"/>
      <c r="B7881" s="177"/>
      <c r="C7881" s="43" t="s">
        <v>11505</v>
      </c>
      <c r="D7881" s="43" t="s">
        <v>83</v>
      </c>
      <c r="E7881" s="44">
        <v>1</v>
      </c>
      <c r="F7881" s="38">
        <v>4.6265000000000001</v>
      </c>
      <c r="G7881" s="41">
        <f>IF(ISNUMBER(F7881),E7881*F7881,"")</f>
        <v>4.6265000000000001</v>
      </c>
      <c r="H7881" s="46">
        <f>SUM(G7881:G7881)</f>
        <v>4.6265000000000001</v>
      </c>
      <c r="I7881" s="47"/>
      <c r="J7881" s="37">
        <v>0</v>
      </c>
    </row>
    <row r="7882" spans="1:10" ht="15.75" hidden="1" thickBot="1" x14ac:dyDescent="0.3">
      <c r="A7882" s="175"/>
      <c r="B7882" s="178"/>
      <c r="C7882" s="49"/>
      <c r="D7882" s="49"/>
      <c r="E7882" s="50"/>
      <c r="F7882" s="51" t="s">
        <v>13</v>
      </c>
      <c r="G7882" s="52" t="str">
        <f>IF(ISNUMBER(F7882),E7882*F7882,"")</f>
        <v/>
      </c>
      <c r="H7882" s="53"/>
      <c r="I7882" s="38"/>
      <c r="J7882" s="37">
        <v>0</v>
      </c>
    </row>
    <row r="7883" spans="1:10" ht="15.75" hidden="1" thickBot="1" x14ac:dyDescent="0.3">
      <c r="A7883" s="173" t="s">
        <v>1882</v>
      </c>
      <c r="B7883" s="176" t="s">
        <v>8306</v>
      </c>
      <c r="C7883" s="31"/>
      <c r="D7883" s="32" t="s">
        <v>18</v>
      </c>
      <c r="E7883" s="33"/>
      <c r="F7883" s="54" t="s">
        <v>13</v>
      </c>
      <c r="G7883" s="34" t="str">
        <f>IF(ISNUMBER(F7883),E7883*F7883,"")</f>
        <v/>
      </c>
      <c r="H7883" s="35"/>
      <c r="I7883" s="36"/>
      <c r="J7883" s="37">
        <v>0</v>
      </c>
    </row>
    <row r="7884" spans="1:10" hidden="1" x14ac:dyDescent="0.25">
      <c r="A7884" s="174"/>
      <c r="B7884" s="177"/>
      <c r="C7884" s="39"/>
      <c r="D7884" s="39"/>
      <c r="E7884" s="40"/>
      <c r="F7884" s="55" t="s">
        <v>13</v>
      </c>
      <c r="G7884" s="41" t="str">
        <f>IF(ISNUMBER(F7884),E7884*F7884,"")</f>
        <v/>
      </c>
      <c r="H7884" s="42"/>
      <c r="I7884" s="38"/>
      <c r="J7884" s="37">
        <v>0</v>
      </c>
    </row>
    <row r="7885" spans="1:10" hidden="1" x14ac:dyDescent="0.25">
      <c r="A7885" s="174"/>
      <c r="B7885" s="177"/>
      <c r="C7885" s="43" t="s">
        <v>11506</v>
      </c>
      <c r="D7885" s="43" t="s">
        <v>83</v>
      </c>
      <c r="E7885" s="44">
        <v>1</v>
      </c>
      <c r="F7885" s="38">
        <v>2.2799999999999998</v>
      </c>
      <c r="G7885" s="41">
        <f>IF(ISNUMBER(F7885),E7885*F7885,"")</f>
        <v>2.2799999999999998</v>
      </c>
      <c r="H7885" s="46">
        <f>SUM(G7885:G7885)</f>
        <v>2.2799999999999998</v>
      </c>
      <c r="I7885" s="47"/>
      <c r="J7885" s="37">
        <v>0</v>
      </c>
    </row>
    <row r="7886" spans="1:10" ht="15.75" hidden="1" thickBot="1" x14ac:dyDescent="0.3">
      <c r="A7886" s="175"/>
      <c r="B7886" s="178"/>
      <c r="C7886" s="49"/>
      <c r="D7886" s="49"/>
      <c r="E7886" s="50"/>
      <c r="F7886" s="51" t="s">
        <v>13</v>
      </c>
      <c r="G7886" s="52" t="str">
        <f>IF(ISNUMBER(F7886),E7886*F7886,"")</f>
        <v/>
      </c>
      <c r="H7886" s="53"/>
      <c r="I7886" s="38"/>
      <c r="J7886" s="37">
        <v>0</v>
      </c>
    </row>
    <row r="7887" spans="1:10" ht="15.75" hidden="1" thickBot="1" x14ac:dyDescent="0.3">
      <c r="A7887" s="173" t="s">
        <v>1883</v>
      </c>
      <c r="B7887" s="176" t="s">
        <v>8307</v>
      </c>
      <c r="C7887" s="31"/>
      <c r="D7887" s="32" t="s">
        <v>18</v>
      </c>
      <c r="E7887" s="33"/>
      <c r="F7887" s="54" t="s">
        <v>13</v>
      </c>
      <c r="G7887" s="34" t="str">
        <f>IF(ISNUMBER(F7887),E7887*F7887,"")</f>
        <v/>
      </c>
      <c r="H7887" s="35"/>
      <c r="I7887" s="36"/>
      <c r="J7887" s="37">
        <v>0</v>
      </c>
    </row>
    <row r="7888" spans="1:10" hidden="1" x14ac:dyDescent="0.25">
      <c r="A7888" s="174"/>
      <c r="B7888" s="177"/>
      <c r="C7888" s="39"/>
      <c r="D7888" s="39"/>
      <c r="E7888" s="40"/>
      <c r="F7888" s="55" t="s">
        <v>13</v>
      </c>
      <c r="G7888" s="41" t="str">
        <f>IF(ISNUMBER(F7888),E7888*F7888,"")</f>
        <v/>
      </c>
      <c r="H7888" s="42"/>
      <c r="I7888" s="38"/>
      <c r="J7888" s="37">
        <v>0</v>
      </c>
    </row>
    <row r="7889" spans="1:10" ht="25.5" hidden="1" x14ac:dyDescent="0.25">
      <c r="A7889" s="174"/>
      <c r="B7889" s="177"/>
      <c r="C7889" s="43" t="s">
        <v>11507</v>
      </c>
      <c r="D7889" s="43" t="s">
        <v>83</v>
      </c>
      <c r="E7889" s="44">
        <v>1</v>
      </c>
      <c r="F7889" s="38">
        <v>7.2104999999999997</v>
      </c>
      <c r="G7889" s="41">
        <f>IF(ISNUMBER(F7889),E7889*F7889,"")</f>
        <v>7.2104999999999997</v>
      </c>
      <c r="H7889" s="46">
        <f>SUM(G7889:G7889)</f>
        <v>7.2104999999999997</v>
      </c>
      <c r="I7889" s="47"/>
      <c r="J7889" s="37">
        <v>0</v>
      </c>
    </row>
    <row r="7890" spans="1:10" ht="15.75" hidden="1" thickBot="1" x14ac:dyDescent="0.3">
      <c r="A7890" s="175"/>
      <c r="B7890" s="178"/>
      <c r="C7890" s="49"/>
      <c r="D7890" s="49"/>
      <c r="E7890" s="50"/>
      <c r="F7890" s="51" t="s">
        <v>13</v>
      </c>
      <c r="G7890" s="52" t="str">
        <f>IF(ISNUMBER(F7890),E7890*F7890,"")</f>
        <v/>
      </c>
      <c r="H7890" s="53"/>
      <c r="I7890" s="38"/>
      <c r="J7890" s="37">
        <v>0</v>
      </c>
    </row>
    <row r="7891" spans="1:10" ht="15.75" hidden="1" thickBot="1" x14ac:dyDescent="0.3">
      <c r="A7891" s="173" t="s">
        <v>1884</v>
      </c>
      <c r="B7891" s="176" t="s">
        <v>8308</v>
      </c>
      <c r="C7891" s="31"/>
      <c r="D7891" s="32" t="s">
        <v>18</v>
      </c>
      <c r="E7891" s="33"/>
      <c r="F7891" s="54" t="s">
        <v>13</v>
      </c>
      <c r="G7891" s="34" t="str">
        <f>IF(ISNUMBER(F7891),E7891*F7891,"")</f>
        <v/>
      </c>
      <c r="H7891" s="35"/>
      <c r="I7891" s="36"/>
      <c r="J7891" s="37">
        <v>0</v>
      </c>
    </row>
    <row r="7892" spans="1:10" hidden="1" x14ac:dyDescent="0.25">
      <c r="A7892" s="174"/>
      <c r="B7892" s="177"/>
      <c r="C7892" s="39"/>
      <c r="D7892" s="39"/>
      <c r="E7892" s="40"/>
      <c r="F7892" s="55" t="s">
        <v>13</v>
      </c>
      <c r="G7892" s="41" t="str">
        <f>IF(ISNUMBER(F7892),E7892*F7892,"")</f>
        <v/>
      </c>
      <c r="H7892" s="42"/>
      <c r="I7892" s="38"/>
      <c r="J7892" s="37">
        <v>0</v>
      </c>
    </row>
    <row r="7893" spans="1:10" ht="25.5" hidden="1" x14ac:dyDescent="0.25">
      <c r="A7893" s="174"/>
      <c r="B7893" s="177"/>
      <c r="C7893" s="43" t="s">
        <v>11508</v>
      </c>
      <c r="D7893" s="43" t="s">
        <v>83</v>
      </c>
      <c r="E7893" s="44">
        <v>1</v>
      </c>
      <c r="F7893" s="38">
        <v>4.2084999999999999</v>
      </c>
      <c r="G7893" s="41">
        <f>IF(ISNUMBER(F7893),E7893*F7893,"")</f>
        <v>4.2084999999999999</v>
      </c>
      <c r="H7893" s="46">
        <f>SUM(G7893:G7893)</f>
        <v>4.2084999999999999</v>
      </c>
      <c r="I7893" s="47"/>
      <c r="J7893" s="37">
        <v>0</v>
      </c>
    </row>
    <row r="7894" spans="1:10" ht="15.75" hidden="1" thickBot="1" x14ac:dyDescent="0.3">
      <c r="A7894" s="175"/>
      <c r="B7894" s="178"/>
      <c r="C7894" s="49"/>
      <c r="D7894" s="49"/>
      <c r="E7894" s="50"/>
      <c r="F7894" s="51" t="s">
        <v>13</v>
      </c>
      <c r="G7894" s="52" t="str">
        <f>IF(ISNUMBER(F7894),E7894*F7894,"")</f>
        <v/>
      </c>
      <c r="H7894" s="53"/>
      <c r="I7894" s="38"/>
      <c r="J7894" s="37">
        <v>0</v>
      </c>
    </row>
    <row r="7895" spans="1:10" ht="15.75" hidden="1" thickBot="1" x14ac:dyDescent="0.3">
      <c r="A7895" s="173" t="s">
        <v>1885</v>
      </c>
      <c r="B7895" s="176" t="s">
        <v>8309</v>
      </c>
      <c r="C7895" s="31"/>
      <c r="D7895" s="32" t="s">
        <v>18</v>
      </c>
      <c r="E7895" s="33"/>
      <c r="F7895" s="54" t="s">
        <v>13</v>
      </c>
      <c r="G7895" s="34" t="str">
        <f>IF(ISNUMBER(F7895),E7895*F7895,"")</f>
        <v/>
      </c>
      <c r="H7895" s="35"/>
      <c r="I7895" s="36"/>
      <c r="J7895" s="37">
        <v>0</v>
      </c>
    </row>
    <row r="7896" spans="1:10" hidden="1" x14ac:dyDescent="0.25">
      <c r="A7896" s="174"/>
      <c r="B7896" s="177"/>
      <c r="C7896" s="39"/>
      <c r="D7896" s="39"/>
      <c r="E7896" s="40"/>
      <c r="F7896" s="55" t="s">
        <v>13</v>
      </c>
      <c r="G7896" s="41" t="str">
        <f>IF(ISNUMBER(F7896),E7896*F7896,"")</f>
        <v/>
      </c>
      <c r="H7896" s="42"/>
      <c r="I7896" s="38"/>
      <c r="J7896" s="37">
        <v>0</v>
      </c>
    </row>
    <row r="7897" spans="1:10" hidden="1" x14ac:dyDescent="0.25">
      <c r="A7897" s="174"/>
      <c r="B7897" s="177"/>
      <c r="C7897" s="43" t="s">
        <v>11509</v>
      </c>
      <c r="D7897" s="43" t="s">
        <v>83</v>
      </c>
      <c r="E7897" s="44">
        <v>1</v>
      </c>
      <c r="F7897" s="38">
        <v>2.2324999999999999</v>
      </c>
      <c r="G7897" s="41">
        <f>IF(ISNUMBER(F7897),E7897*F7897,"")</f>
        <v>2.2324999999999999</v>
      </c>
      <c r="H7897" s="46">
        <f>SUM(G7897:G7897)</f>
        <v>2.2324999999999999</v>
      </c>
      <c r="I7897" s="47"/>
      <c r="J7897" s="37">
        <v>0</v>
      </c>
    </row>
    <row r="7898" spans="1:10" ht="15.75" hidden="1" thickBot="1" x14ac:dyDescent="0.3">
      <c r="A7898" s="175"/>
      <c r="B7898" s="178"/>
      <c r="C7898" s="49"/>
      <c r="D7898" s="49"/>
      <c r="E7898" s="50"/>
      <c r="F7898" s="51" t="s">
        <v>13</v>
      </c>
      <c r="G7898" s="52" t="str">
        <f>IF(ISNUMBER(F7898),E7898*F7898,"")</f>
        <v/>
      </c>
      <c r="H7898" s="53"/>
      <c r="I7898" s="38"/>
      <c r="J7898" s="37">
        <v>0</v>
      </c>
    </row>
    <row r="7899" spans="1:10" ht="15.75" hidden="1" thickBot="1" x14ac:dyDescent="0.3">
      <c r="A7899" s="173" t="s">
        <v>1886</v>
      </c>
      <c r="B7899" s="176" t="s">
        <v>8310</v>
      </c>
      <c r="C7899" s="31"/>
      <c r="D7899" s="32" t="s">
        <v>18</v>
      </c>
      <c r="E7899" s="33"/>
      <c r="F7899" s="54" t="s">
        <v>13</v>
      </c>
      <c r="G7899" s="34" t="str">
        <f>IF(ISNUMBER(F7899),E7899*F7899,"")</f>
        <v/>
      </c>
      <c r="H7899" s="35"/>
      <c r="I7899" s="36"/>
      <c r="J7899" s="37">
        <v>0</v>
      </c>
    </row>
    <row r="7900" spans="1:10" hidden="1" x14ac:dyDescent="0.25">
      <c r="A7900" s="174"/>
      <c r="B7900" s="177"/>
      <c r="C7900" s="39"/>
      <c r="D7900" s="39"/>
      <c r="E7900" s="40"/>
      <c r="F7900" s="55" t="s">
        <v>13</v>
      </c>
      <c r="G7900" s="41" t="str">
        <f>IF(ISNUMBER(F7900),E7900*F7900,"")</f>
        <v/>
      </c>
      <c r="H7900" s="42"/>
      <c r="I7900" s="38"/>
      <c r="J7900" s="37">
        <v>0</v>
      </c>
    </row>
    <row r="7901" spans="1:10" ht="25.5" hidden="1" x14ac:dyDescent="0.25">
      <c r="A7901" s="174"/>
      <c r="B7901" s="177"/>
      <c r="C7901" s="43" t="s">
        <v>11510</v>
      </c>
      <c r="D7901" s="43" t="s">
        <v>83</v>
      </c>
      <c r="E7901" s="44">
        <v>1</v>
      </c>
      <c r="F7901" s="38">
        <v>24.462499999999999</v>
      </c>
      <c r="G7901" s="41">
        <f>IF(ISNUMBER(F7901),E7901*F7901,"")</f>
        <v>24.462499999999999</v>
      </c>
      <c r="H7901" s="46">
        <f>SUM(G7901:G7901)</f>
        <v>24.462499999999999</v>
      </c>
      <c r="I7901" s="47"/>
      <c r="J7901" s="37">
        <v>0</v>
      </c>
    </row>
    <row r="7902" spans="1:10" ht="15.75" hidden="1" thickBot="1" x14ac:dyDescent="0.3">
      <c r="A7902" s="175"/>
      <c r="B7902" s="178"/>
      <c r="C7902" s="49"/>
      <c r="D7902" s="49"/>
      <c r="E7902" s="50"/>
      <c r="F7902" s="51" t="s">
        <v>13</v>
      </c>
      <c r="G7902" s="52" t="str">
        <f>IF(ISNUMBER(F7902),E7902*F7902,"")</f>
        <v/>
      </c>
      <c r="H7902" s="53"/>
      <c r="I7902" s="38"/>
      <c r="J7902" s="37">
        <v>0</v>
      </c>
    </row>
    <row r="7903" spans="1:10" ht="15.75" hidden="1" thickBot="1" x14ac:dyDescent="0.3">
      <c r="A7903" s="173" t="s">
        <v>1887</v>
      </c>
      <c r="B7903" s="176" t="s">
        <v>8311</v>
      </c>
      <c r="C7903" s="31"/>
      <c r="D7903" s="32" t="s">
        <v>18</v>
      </c>
      <c r="E7903" s="33"/>
      <c r="F7903" s="54" t="s">
        <v>13</v>
      </c>
      <c r="G7903" s="34" t="str">
        <f>IF(ISNUMBER(F7903),E7903*F7903,"")</f>
        <v/>
      </c>
      <c r="H7903" s="35"/>
      <c r="I7903" s="36"/>
      <c r="J7903" s="37">
        <v>0</v>
      </c>
    </row>
    <row r="7904" spans="1:10" hidden="1" x14ac:dyDescent="0.25">
      <c r="A7904" s="174"/>
      <c r="B7904" s="177"/>
      <c r="C7904" s="39"/>
      <c r="D7904" s="39"/>
      <c r="E7904" s="40"/>
      <c r="F7904" s="55" t="s">
        <v>13</v>
      </c>
      <c r="G7904" s="41" t="str">
        <f>IF(ISNUMBER(F7904),E7904*F7904,"")</f>
        <v/>
      </c>
      <c r="H7904" s="42"/>
      <c r="I7904" s="38"/>
      <c r="J7904" s="37">
        <v>0</v>
      </c>
    </row>
    <row r="7905" spans="1:10" hidden="1" x14ac:dyDescent="0.25">
      <c r="A7905" s="174"/>
      <c r="B7905" s="177"/>
      <c r="C7905" s="43" t="s">
        <v>11511</v>
      </c>
      <c r="D7905" s="43" t="s">
        <v>83</v>
      </c>
      <c r="E7905" s="44">
        <v>1</v>
      </c>
      <c r="F7905" s="38">
        <v>15.019499999999999</v>
      </c>
      <c r="G7905" s="41">
        <f>IF(ISNUMBER(F7905),E7905*F7905,"")</f>
        <v>15.019499999999999</v>
      </c>
      <c r="H7905" s="46">
        <f>SUM(G7905:G7905)</f>
        <v>15.019499999999999</v>
      </c>
      <c r="I7905" s="47"/>
      <c r="J7905" s="37">
        <v>0</v>
      </c>
    </row>
    <row r="7906" spans="1:10" ht="15.75" hidden="1" thickBot="1" x14ac:dyDescent="0.3">
      <c r="A7906" s="175"/>
      <c r="B7906" s="178"/>
      <c r="C7906" s="49"/>
      <c r="D7906" s="49"/>
      <c r="E7906" s="50"/>
      <c r="F7906" s="51" t="s">
        <v>13</v>
      </c>
      <c r="G7906" s="52" t="str">
        <f>IF(ISNUMBER(F7906),E7906*F7906,"")</f>
        <v/>
      </c>
      <c r="H7906" s="53"/>
      <c r="I7906" s="38"/>
      <c r="J7906" s="37">
        <v>0</v>
      </c>
    </row>
    <row r="7907" spans="1:10" ht="15.75" hidden="1" thickBot="1" x14ac:dyDescent="0.3">
      <c r="A7907" s="173" t="s">
        <v>1888</v>
      </c>
      <c r="B7907" s="176" t="s">
        <v>8312</v>
      </c>
      <c r="C7907" s="31"/>
      <c r="D7907" s="32" t="s">
        <v>18</v>
      </c>
      <c r="E7907" s="33"/>
      <c r="F7907" s="54" t="s">
        <v>13</v>
      </c>
      <c r="G7907" s="34" t="str">
        <f>IF(ISNUMBER(F7907),E7907*F7907,"")</f>
        <v/>
      </c>
      <c r="H7907" s="35"/>
      <c r="I7907" s="36"/>
      <c r="J7907" s="37">
        <v>0</v>
      </c>
    </row>
    <row r="7908" spans="1:10" hidden="1" x14ac:dyDescent="0.25">
      <c r="A7908" s="174"/>
      <c r="B7908" s="177"/>
      <c r="C7908" s="39"/>
      <c r="D7908" s="39"/>
      <c r="E7908" s="40"/>
      <c r="F7908" s="55" t="s">
        <v>13</v>
      </c>
      <c r="G7908" s="41" t="str">
        <f>IF(ISNUMBER(F7908),E7908*F7908,"")</f>
        <v/>
      </c>
      <c r="H7908" s="42"/>
      <c r="I7908" s="38"/>
      <c r="J7908" s="37">
        <v>0</v>
      </c>
    </row>
    <row r="7909" spans="1:10" ht="25.5" hidden="1" x14ac:dyDescent="0.25">
      <c r="A7909" s="174"/>
      <c r="B7909" s="177"/>
      <c r="C7909" s="43" t="s">
        <v>11512</v>
      </c>
      <c r="D7909" s="43" t="s">
        <v>83</v>
      </c>
      <c r="E7909" s="44">
        <v>1</v>
      </c>
      <c r="F7909" s="38">
        <v>3.1444999999999999</v>
      </c>
      <c r="G7909" s="41">
        <f>IF(ISNUMBER(F7909),E7909*F7909,"")</f>
        <v>3.1444999999999999</v>
      </c>
      <c r="H7909" s="46">
        <f>SUM(G7909:G7909)</f>
        <v>3.1444999999999999</v>
      </c>
      <c r="I7909" s="47"/>
      <c r="J7909" s="37">
        <v>0</v>
      </c>
    </row>
    <row r="7910" spans="1:10" ht="15.75" hidden="1" thickBot="1" x14ac:dyDescent="0.3">
      <c r="A7910" s="175"/>
      <c r="B7910" s="178"/>
      <c r="C7910" s="49"/>
      <c r="D7910" s="49"/>
      <c r="E7910" s="50"/>
      <c r="F7910" s="51" t="s">
        <v>13</v>
      </c>
      <c r="G7910" s="52" t="str">
        <f>IF(ISNUMBER(F7910),E7910*F7910,"")</f>
        <v/>
      </c>
      <c r="H7910" s="53"/>
      <c r="I7910" s="38"/>
      <c r="J7910" s="37">
        <v>0</v>
      </c>
    </row>
    <row r="7911" spans="1:10" ht="15.75" hidden="1" thickBot="1" x14ac:dyDescent="0.3">
      <c r="A7911" s="173" t="s">
        <v>1889</v>
      </c>
      <c r="B7911" s="176" t="s">
        <v>8313</v>
      </c>
      <c r="C7911" s="31"/>
      <c r="D7911" s="32" t="s">
        <v>18</v>
      </c>
      <c r="E7911" s="33"/>
      <c r="F7911" s="54" t="s">
        <v>13</v>
      </c>
      <c r="G7911" s="34" t="str">
        <f>IF(ISNUMBER(F7911),E7911*F7911,"")</f>
        <v/>
      </c>
      <c r="H7911" s="35"/>
      <c r="I7911" s="36"/>
      <c r="J7911" s="37">
        <v>0</v>
      </c>
    </row>
    <row r="7912" spans="1:10" hidden="1" x14ac:dyDescent="0.25">
      <c r="A7912" s="174"/>
      <c r="B7912" s="177"/>
      <c r="C7912" s="39"/>
      <c r="D7912" s="39"/>
      <c r="E7912" s="40"/>
      <c r="F7912" s="55" t="s">
        <v>13</v>
      </c>
      <c r="G7912" s="41" t="str">
        <f>IF(ISNUMBER(F7912),E7912*F7912,"")</f>
        <v/>
      </c>
      <c r="H7912" s="42"/>
      <c r="I7912" s="38"/>
      <c r="J7912" s="37">
        <v>0</v>
      </c>
    </row>
    <row r="7913" spans="1:10" ht="25.5" hidden="1" x14ac:dyDescent="0.25">
      <c r="A7913" s="174"/>
      <c r="B7913" s="177"/>
      <c r="C7913" s="43" t="s">
        <v>11513</v>
      </c>
      <c r="D7913" s="43" t="s">
        <v>83</v>
      </c>
      <c r="E7913" s="44">
        <v>1</v>
      </c>
      <c r="F7913" s="38">
        <v>1.0640000000000001</v>
      </c>
      <c r="G7913" s="41">
        <f>IF(ISNUMBER(F7913),E7913*F7913,"")</f>
        <v>1.0640000000000001</v>
      </c>
      <c r="H7913" s="46">
        <f>SUM(G7913:G7913)</f>
        <v>1.0640000000000001</v>
      </c>
      <c r="I7913" s="47"/>
      <c r="J7913" s="37">
        <v>0</v>
      </c>
    </row>
    <row r="7914" spans="1:10" ht="15.75" hidden="1" thickBot="1" x14ac:dyDescent="0.3">
      <c r="A7914" s="175"/>
      <c r="B7914" s="178"/>
      <c r="C7914" s="49"/>
      <c r="D7914" s="49"/>
      <c r="E7914" s="50"/>
      <c r="F7914" s="51" t="s">
        <v>13</v>
      </c>
      <c r="G7914" s="52" t="str">
        <f>IF(ISNUMBER(F7914),E7914*F7914,"")</f>
        <v/>
      </c>
      <c r="H7914" s="53"/>
      <c r="I7914" s="38"/>
      <c r="J7914" s="37">
        <v>0</v>
      </c>
    </row>
    <row r="7915" spans="1:10" ht="15.75" hidden="1" thickBot="1" x14ac:dyDescent="0.3">
      <c r="A7915" s="173" t="s">
        <v>1890</v>
      </c>
      <c r="B7915" s="176" t="s">
        <v>8314</v>
      </c>
      <c r="C7915" s="31"/>
      <c r="D7915" s="32" t="s">
        <v>18</v>
      </c>
      <c r="E7915" s="33"/>
      <c r="F7915" s="54" t="s">
        <v>13</v>
      </c>
      <c r="G7915" s="34" t="str">
        <f>IF(ISNUMBER(F7915),E7915*F7915,"")</f>
        <v/>
      </c>
      <c r="H7915" s="35"/>
      <c r="I7915" s="36"/>
      <c r="J7915" s="37">
        <v>0</v>
      </c>
    </row>
    <row r="7916" spans="1:10" hidden="1" x14ac:dyDescent="0.25">
      <c r="A7916" s="174"/>
      <c r="B7916" s="177"/>
      <c r="C7916" s="39"/>
      <c r="D7916" s="39"/>
      <c r="E7916" s="40"/>
      <c r="F7916" s="55" t="s">
        <v>13</v>
      </c>
      <c r="G7916" s="41" t="str">
        <f>IF(ISNUMBER(F7916),E7916*F7916,"")</f>
        <v/>
      </c>
      <c r="H7916" s="42"/>
      <c r="I7916" s="38"/>
      <c r="J7916" s="37">
        <v>0</v>
      </c>
    </row>
    <row r="7917" spans="1:10" ht="25.5" hidden="1" x14ac:dyDescent="0.25">
      <c r="A7917" s="174"/>
      <c r="B7917" s="177"/>
      <c r="C7917" s="43" t="s">
        <v>11514</v>
      </c>
      <c r="D7917" s="43" t="s">
        <v>83</v>
      </c>
      <c r="E7917" s="44">
        <v>1</v>
      </c>
      <c r="F7917" s="38">
        <v>2.0044999999999997</v>
      </c>
      <c r="G7917" s="41">
        <f>IF(ISNUMBER(F7917),E7917*F7917,"")</f>
        <v>2.0044999999999997</v>
      </c>
      <c r="H7917" s="46">
        <f>SUM(G7917:G7917)</f>
        <v>2.0044999999999997</v>
      </c>
      <c r="I7917" s="47"/>
      <c r="J7917" s="37">
        <v>0</v>
      </c>
    </row>
    <row r="7918" spans="1:10" ht="15.75" hidden="1" thickBot="1" x14ac:dyDescent="0.3">
      <c r="A7918" s="175"/>
      <c r="B7918" s="178"/>
      <c r="C7918" s="49"/>
      <c r="D7918" s="49"/>
      <c r="E7918" s="50"/>
      <c r="F7918" s="51" t="s">
        <v>13</v>
      </c>
      <c r="G7918" s="52" t="str">
        <f>IF(ISNUMBER(F7918),E7918*F7918,"")</f>
        <v/>
      </c>
      <c r="H7918" s="53"/>
      <c r="I7918" s="38"/>
      <c r="J7918" s="37">
        <v>0</v>
      </c>
    </row>
    <row r="7919" spans="1:10" ht="15.75" hidden="1" thickBot="1" x14ac:dyDescent="0.3">
      <c r="A7919" s="173" t="s">
        <v>1891</v>
      </c>
      <c r="B7919" s="176" t="s">
        <v>8315</v>
      </c>
      <c r="C7919" s="31"/>
      <c r="D7919" s="32" t="s">
        <v>18</v>
      </c>
      <c r="E7919" s="33"/>
      <c r="F7919" s="54" t="s">
        <v>13</v>
      </c>
      <c r="G7919" s="34" t="str">
        <f>IF(ISNUMBER(F7919),E7919*F7919,"")</f>
        <v/>
      </c>
      <c r="H7919" s="35"/>
      <c r="I7919" s="36"/>
      <c r="J7919" s="37">
        <v>0</v>
      </c>
    </row>
    <row r="7920" spans="1:10" hidden="1" x14ac:dyDescent="0.25">
      <c r="A7920" s="174"/>
      <c r="B7920" s="177"/>
      <c r="C7920" s="39"/>
      <c r="D7920" s="39"/>
      <c r="E7920" s="40"/>
      <c r="F7920" s="55" t="s">
        <v>13</v>
      </c>
      <c r="G7920" s="41" t="str">
        <f>IF(ISNUMBER(F7920),E7920*F7920,"")</f>
        <v/>
      </c>
      <c r="H7920" s="42"/>
      <c r="I7920" s="38"/>
      <c r="J7920" s="37">
        <v>0</v>
      </c>
    </row>
    <row r="7921" spans="1:10" ht="25.5" hidden="1" x14ac:dyDescent="0.25">
      <c r="A7921" s="174"/>
      <c r="B7921" s="177"/>
      <c r="C7921" s="43" t="s">
        <v>11515</v>
      </c>
      <c r="D7921" s="43" t="s">
        <v>83</v>
      </c>
      <c r="E7921" s="44">
        <v>1</v>
      </c>
      <c r="F7921" s="38">
        <v>20.690999999999999</v>
      </c>
      <c r="G7921" s="41">
        <f>IF(ISNUMBER(F7921),E7921*F7921,"")</f>
        <v>20.690999999999999</v>
      </c>
      <c r="H7921" s="46">
        <f>SUM(G7921:G7921)</f>
        <v>20.690999999999999</v>
      </c>
      <c r="I7921" s="47"/>
      <c r="J7921" s="37">
        <v>0</v>
      </c>
    </row>
    <row r="7922" spans="1:10" ht="15.75" hidden="1" thickBot="1" x14ac:dyDescent="0.3">
      <c r="A7922" s="175"/>
      <c r="B7922" s="178"/>
      <c r="C7922" s="49"/>
      <c r="D7922" s="49"/>
      <c r="E7922" s="50"/>
      <c r="F7922" s="51" t="s">
        <v>13</v>
      </c>
      <c r="G7922" s="52" t="str">
        <f>IF(ISNUMBER(F7922),E7922*F7922,"")</f>
        <v/>
      </c>
      <c r="H7922" s="53"/>
      <c r="I7922" s="38"/>
      <c r="J7922" s="37">
        <v>0</v>
      </c>
    </row>
    <row r="7923" spans="1:10" ht="15.75" hidden="1" thickBot="1" x14ac:dyDescent="0.3">
      <c r="A7923" s="173" t="s">
        <v>1892</v>
      </c>
      <c r="B7923" s="176" t="s">
        <v>8316</v>
      </c>
      <c r="C7923" s="31"/>
      <c r="D7923" s="32" t="s">
        <v>18</v>
      </c>
      <c r="E7923" s="33"/>
      <c r="F7923" s="54" t="s">
        <v>13</v>
      </c>
      <c r="G7923" s="34" t="str">
        <f>IF(ISNUMBER(F7923),E7923*F7923,"")</f>
        <v/>
      </c>
      <c r="H7923" s="35"/>
      <c r="I7923" s="36"/>
      <c r="J7923" s="37">
        <v>0</v>
      </c>
    </row>
    <row r="7924" spans="1:10" hidden="1" x14ac:dyDescent="0.25">
      <c r="A7924" s="174"/>
      <c r="B7924" s="177"/>
      <c r="C7924" s="39"/>
      <c r="D7924" s="39"/>
      <c r="E7924" s="40"/>
      <c r="F7924" s="55" t="s">
        <v>13</v>
      </c>
      <c r="G7924" s="41" t="str">
        <f>IF(ISNUMBER(F7924),E7924*F7924,"")</f>
        <v/>
      </c>
      <c r="H7924" s="42"/>
      <c r="I7924" s="38"/>
      <c r="J7924" s="37">
        <v>0</v>
      </c>
    </row>
    <row r="7925" spans="1:10" ht="25.5" hidden="1" x14ac:dyDescent="0.25">
      <c r="A7925" s="174"/>
      <c r="B7925" s="177"/>
      <c r="C7925" s="43" t="s">
        <v>11516</v>
      </c>
      <c r="D7925" s="43" t="s">
        <v>83</v>
      </c>
      <c r="E7925" s="44">
        <v>1</v>
      </c>
      <c r="F7925" s="38">
        <v>6.593</v>
      </c>
      <c r="G7925" s="41">
        <f>IF(ISNUMBER(F7925),E7925*F7925,"")</f>
        <v>6.593</v>
      </c>
      <c r="H7925" s="46">
        <f>SUM(G7925:G7925)</f>
        <v>6.593</v>
      </c>
      <c r="I7925" s="47"/>
      <c r="J7925" s="37">
        <v>0</v>
      </c>
    </row>
    <row r="7926" spans="1:10" ht="15.75" hidden="1" thickBot="1" x14ac:dyDescent="0.3">
      <c r="A7926" s="175"/>
      <c r="B7926" s="178"/>
      <c r="C7926" s="49"/>
      <c r="D7926" s="49"/>
      <c r="E7926" s="50"/>
      <c r="F7926" s="51" t="s">
        <v>13</v>
      </c>
      <c r="G7926" s="52" t="str">
        <f>IF(ISNUMBER(F7926),E7926*F7926,"")</f>
        <v/>
      </c>
      <c r="H7926" s="53"/>
      <c r="I7926" s="38"/>
      <c r="J7926" s="37">
        <v>0</v>
      </c>
    </row>
    <row r="7927" spans="1:10" ht="15.75" hidden="1" thickBot="1" x14ac:dyDescent="0.3">
      <c r="A7927" s="173" t="s">
        <v>1893</v>
      </c>
      <c r="B7927" s="176" t="s">
        <v>8317</v>
      </c>
      <c r="C7927" s="31"/>
      <c r="D7927" s="32" t="s">
        <v>18</v>
      </c>
      <c r="E7927" s="33"/>
      <c r="F7927" s="54" t="s">
        <v>13</v>
      </c>
      <c r="G7927" s="34" t="str">
        <f>IF(ISNUMBER(F7927),E7927*F7927,"")</f>
        <v/>
      </c>
      <c r="H7927" s="35"/>
      <c r="I7927" s="36"/>
      <c r="J7927" s="37">
        <v>0</v>
      </c>
    </row>
    <row r="7928" spans="1:10" hidden="1" x14ac:dyDescent="0.25">
      <c r="A7928" s="174"/>
      <c r="B7928" s="177"/>
      <c r="C7928" s="39"/>
      <c r="D7928" s="39"/>
      <c r="E7928" s="40"/>
      <c r="F7928" s="55" t="s">
        <v>13</v>
      </c>
      <c r="G7928" s="41" t="str">
        <f>IF(ISNUMBER(F7928),E7928*F7928,"")</f>
        <v/>
      </c>
      <c r="H7928" s="42"/>
      <c r="I7928" s="38"/>
      <c r="J7928" s="37">
        <v>0</v>
      </c>
    </row>
    <row r="7929" spans="1:10" hidden="1" x14ac:dyDescent="0.25">
      <c r="A7929" s="174"/>
      <c r="B7929" s="177"/>
      <c r="C7929" s="43" t="s">
        <v>11517</v>
      </c>
      <c r="D7929" s="43" t="s">
        <v>83</v>
      </c>
      <c r="E7929" s="44">
        <v>1</v>
      </c>
      <c r="F7929" s="38">
        <v>4.3890000000000002</v>
      </c>
      <c r="G7929" s="41">
        <f>IF(ISNUMBER(F7929),E7929*F7929,"")</f>
        <v>4.3890000000000002</v>
      </c>
      <c r="H7929" s="46">
        <f>SUM(G7929:G7929)</f>
        <v>4.3890000000000002</v>
      </c>
      <c r="I7929" s="47"/>
      <c r="J7929" s="37">
        <v>0</v>
      </c>
    </row>
    <row r="7930" spans="1:10" ht="15.75" hidden="1" thickBot="1" x14ac:dyDescent="0.3">
      <c r="A7930" s="175"/>
      <c r="B7930" s="178"/>
      <c r="C7930" s="49"/>
      <c r="D7930" s="49"/>
      <c r="E7930" s="50"/>
      <c r="F7930" s="51" t="s">
        <v>13</v>
      </c>
      <c r="G7930" s="52" t="str">
        <f>IF(ISNUMBER(F7930),E7930*F7930,"")</f>
        <v/>
      </c>
      <c r="H7930" s="53"/>
      <c r="I7930" s="38"/>
      <c r="J7930" s="37">
        <v>0</v>
      </c>
    </row>
    <row r="7931" spans="1:10" ht="15.75" hidden="1" thickBot="1" x14ac:dyDescent="0.3">
      <c r="A7931" s="173" t="s">
        <v>1894</v>
      </c>
      <c r="B7931" s="176" t="s">
        <v>8318</v>
      </c>
      <c r="C7931" s="31"/>
      <c r="D7931" s="32" t="s">
        <v>18</v>
      </c>
      <c r="E7931" s="33"/>
      <c r="F7931" s="54" t="s">
        <v>13</v>
      </c>
      <c r="G7931" s="34" t="str">
        <f>IF(ISNUMBER(F7931),E7931*F7931,"")</f>
        <v/>
      </c>
      <c r="H7931" s="35"/>
      <c r="I7931" s="36"/>
      <c r="J7931" s="37">
        <v>0</v>
      </c>
    </row>
    <row r="7932" spans="1:10" hidden="1" x14ac:dyDescent="0.25">
      <c r="A7932" s="174"/>
      <c r="B7932" s="177"/>
      <c r="C7932" s="39"/>
      <c r="D7932" s="39"/>
      <c r="E7932" s="40"/>
      <c r="F7932" s="55" t="s">
        <v>13</v>
      </c>
      <c r="G7932" s="41" t="str">
        <f>IF(ISNUMBER(F7932),E7932*F7932,"")</f>
        <v/>
      </c>
      <c r="H7932" s="42"/>
      <c r="I7932" s="38"/>
      <c r="J7932" s="37">
        <v>0</v>
      </c>
    </row>
    <row r="7933" spans="1:10" ht="25.5" hidden="1" x14ac:dyDescent="0.25">
      <c r="A7933" s="174"/>
      <c r="B7933" s="177"/>
      <c r="C7933" s="43" t="s">
        <v>11518</v>
      </c>
      <c r="D7933" s="43" t="s">
        <v>83</v>
      </c>
      <c r="E7933" s="44">
        <v>1</v>
      </c>
      <c r="F7933" s="38">
        <v>13.423500000000001</v>
      </c>
      <c r="G7933" s="41">
        <f>IF(ISNUMBER(F7933),E7933*F7933,"")</f>
        <v>13.423500000000001</v>
      </c>
      <c r="H7933" s="46">
        <f>SUM(G7933:G7933)</f>
        <v>13.423500000000001</v>
      </c>
      <c r="I7933" s="47"/>
      <c r="J7933" s="37">
        <v>0</v>
      </c>
    </row>
    <row r="7934" spans="1:10" ht="15.75" hidden="1" thickBot="1" x14ac:dyDescent="0.3">
      <c r="A7934" s="175"/>
      <c r="B7934" s="178"/>
      <c r="C7934" s="49"/>
      <c r="D7934" s="49"/>
      <c r="E7934" s="50"/>
      <c r="F7934" s="51" t="s">
        <v>13</v>
      </c>
      <c r="G7934" s="52" t="str">
        <f>IF(ISNUMBER(F7934),E7934*F7934,"")</f>
        <v/>
      </c>
      <c r="H7934" s="53"/>
      <c r="I7934" s="38"/>
      <c r="J7934" s="37">
        <v>0</v>
      </c>
    </row>
    <row r="7935" spans="1:10" ht="15.75" hidden="1" thickBot="1" x14ac:dyDescent="0.3">
      <c r="A7935" s="173" t="s">
        <v>1895</v>
      </c>
      <c r="B7935" s="176" t="s">
        <v>8319</v>
      </c>
      <c r="C7935" s="31"/>
      <c r="D7935" s="32" t="s">
        <v>18</v>
      </c>
      <c r="E7935" s="33"/>
      <c r="F7935" s="54" t="s">
        <v>13</v>
      </c>
      <c r="G7935" s="34" t="str">
        <f>IF(ISNUMBER(F7935),E7935*F7935,"")</f>
        <v/>
      </c>
      <c r="H7935" s="35"/>
      <c r="I7935" s="36"/>
      <c r="J7935" s="37">
        <v>0</v>
      </c>
    </row>
    <row r="7936" spans="1:10" hidden="1" x14ac:dyDescent="0.25">
      <c r="A7936" s="174"/>
      <c r="B7936" s="177"/>
      <c r="C7936" s="39"/>
      <c r="D7936" s="39"/>
      <c r="E7936" s="40"/>
      <c r="F7936" s="55" t="s">
        <v>13</v>
      </c>
      <c r="G7936" s="41" t="str">
        <f>IF(ISNUMBER(F7936),E7936*F7936,"")</f>
        <v/>
      </c>
      <c r="H7936" s="42"/>
      <c r="I7936" s="38"/>
      <c r="J7936" s="37">
        <v>0</v>
      </c>
    </row>
    <row r="7937" spans="1:10" ht="25.5" hidden="1" x14ac:dyDescent="0.25">
      <c r="A7937" s="174"/>
      <c r="B7937" s="177"/>
      <c r="C7937" s="43" t="s">
        <v>11519</v>
      </c>
      <c r="D7937" s="43" t="s">
        <v>83</v>
      </c>
      <c r="E7937" s="44">
        <v>1</v>
      </c>
      <c r="F7937" s="38">
        <v>6.6499999999999995</v>
      </c>
      <c r="G7937" s="41">
        <f>IF(ISNUMBER(F7937),E7937*F7937,"")</f>
        <v>6.6499999999999995</v>
      </c>
      <c r="H7937" s="46">
        <f>SUM(G7937:G7937)</f>
        <v>6.6499999999999995</v>
      </c>
      <c r="I7937" s="47"/>
      <c r="J7937" s="37">
        <v>0</v>
      </c>
    </row>
    <row r="7938" spans="1:10" ht="15.75" hidden="1" thickBot="1" x14ac:dyDescent="0.3">
      <c r="A7938" s="175"/>
      <c r="B7938" s="178"/>
      <c r="C7938" s="49"/>
      <c r="D7938" s="49"/>
      <c r="E7938" s="50"/>
      <c r="F7938" s="51" t="s">
        <v>13</v>
      </c>
      <c r="G7938" s="52" t="str">
        <f>IF(ISNUMBER(F7938),E7938*F7938,"")</f>
        <v/>
      </c>
      <c r="H7938" s="53"/>
      <c r="I7938" s="38"/>
      <c r="J7938" s="37">
        <v>0</v>
      </c>
    </row>
    <row r="7939" spans="1:10" ht="15.75" hidden="1" thickBot="1" x14ac:dyDescent="0.3">
      <c r="A7939" s="173" t="s">
        <v>1896</v>
      </c>
      <c r="B7939" s="176" t="s">
        <v>8320</v>
      </c>
      <c r="C7939" s="31"/>
      <c r="D7939" s="32" t="s">
        <v>18</v>
      </c>
      <c r="E7939" s="33"/>
      <c r="F7939" s="54" t="s">
        <v>13</v>
      </c>
      <c r="G7939" s="34" t="str">
        <f>IF(ISNUMBER(F7939),E7939*F7939,"")</f>
        <v/>
      </c>
      <c r="H7939" s="35"/>
      <c r="I7939" s="36"/>
      <c r="J7939" s="37">
        <v>0</v>
      </c>
    </row>
    <row r="7940" spans="1:10" hidden="1" x14ac:dyDescent="0.25">
      <c r="A7940" s="174"/>
      <c r="B7940" s="177"/>
      <c r="C7940" s="39"/>
      <c r="D7940" s="39"/>
      <c r="E7940" s="40"/>
      <c r="F7940" s="55" t="s">
        <v>13</v>
      </c>
      <c r="G7940" s="41" t="str">
        <f>IF(ISNUMBER(F7940),E7940*F7940,"")</f>
        <v/>
      </c>
      <c r="H7940" s="42"/>
      <c r="I7940" s="38"/>
      <c r="J7940" s="37">
        <v>0</v>
      </c>
    </row>
    <row r="7941" spans="1:10" ht="25.5" hidden="1" x14ac:dyDescent="0.25">
      <c r="A7941" s="174"/>
      <c r="B7941" s="177"/>
      <c r="C7941" s="43" t="s">
        <v>11520</v>
      </c>
      <c r="D7941" s="43" t="s">
        <v>83</v>
      </c>
      <c r="E7941" s="44">
        <v>1</v>
      </c>
      <c r="F7941" s="38">
        <v>10.298</v>
      </c>
      <c r="G7941" s="41">
        <f>IF(ISNUMBER(F7941),E7941*F7941,"")</f>
        <v>10.298</v>
      </c>
      <c r="H7941" s="46">
        <f>SUM(G7941:G7941)</f>
        <v>10.298</v>
      </c>
      <c r="I7941" s="47"/>
      <c r="J7941" s="37">
        <v>0</v>
      </c>
    </row>
    <row r="7942" spans="1:10" ht="15.75" hidden="1" thickBot="1" x14ac:dyDescent="0.3">
      <c r="A7942" s="175"/>
      <c r="B7942" s="178"/>
      <c r="C7942" s="49"/>
      <c r="D7942" s="49"/>
      <c r="E7942" s="50"/>
      <c r="F7942" s="51" t="s">
        <v>13</v>
      </c>
      <c r="G7942" s="52" t="str">
        <f>IF(ISNUMBER(F7942),E7942*F7942,"")</f>
        <v/>
      </c>
      <c r="H7942" s="53"/>
      <c r="I7942" s="38"/>
      <c r="J7942" s="37">
        <v>0</v>
      </c>
    </row>
    <row r="7943" spans="1:10" ht="15.75" hidden="1" thickBot="1" x14ac:dyDescent="0.3">
      <c r="A7943" s="173" t="s">
        <v>1897</v>
      </c>
      <c r="B7943" s="176" t="s">
        <v>8321</v>
      </c>
      <c r="C7943" s="31"/>
      <c r="D7943" s="32" t="s">
        <v>18</v>
      </c>
      <c r="E7943" s="33"/>
      <c r="F7943" s="54" t="s">
        <v>13</v>
      </c>
      <c r="G7943" s="34" t="str">
        <f>IF(ISNUMBER(F7943),E7943*F7943,"")</f>
        <v/>
      </c>
      <c r="H7943" s="35"/>
      <c r="I7943" s="36"/>
      <c r="J7943" s="37">
        <v>0</v>
      </c>
    </row>
    <row r="7944" spans="1:10" hidden="1" x14ac:dyDescent="0.25">
      <c r="A7944" s="174"/>
      <c r="B7944" s="177"/>
      <c r="C7944" s="39"/>
      <c r="D7944" s="39"/>
      <c r="E7944" s="40"/>
      <c r="F7944" s="55" t="s">
        <v>13</v>
      </c>
      <c r="G7944" s="41" t="str">
        <f>IF(ISNUMBER(F7944),E7944*F7944,"")</f>
        <v/>
      </c>
      <c r="H7944" s="42"/>
      <c r="I7944" s="38"/>
      <c r="J7944" s="37">
        <v>0</v>
      </c>
    </row>
    <row r="7945" spans="1:10" hidden="1" x14ac:dyDescent="0.25">
      <c r="A7945" s="174"/>
      <c r="B7945" s="177"/>
      <c r="C7945" s="43" t="s">
        <v>11521</v>
      </c>
      <c r="D7945" s="43" t="s">
        <v>83</v>
      </c>
      <c r="E7945" s="44">
        <v>1</v>
      </c>
      <c r="F7945" s="38">
        <v>4.75</v>
      </c>
      <c r="G7945" s="41">
        <f>IF(ISNUMBER(F7945),E7945*F7945,"")</f>
        <v>4.75</v>
      </c>
      <c r="H7945" s="46">
        <f>SUM(G7945:G7945)</f>
        <v>4.75</v>
      </c>
      <c r="I7945" s="47"/>
      <c r="J7945" s="37">
        <v>0</v>
      </c>
    </row>
    <row r="7946" spans="1:10" ht="15.75" hidden="1" thickBot="1" x14ac:dyDescent="0.3">
      <c r="A7946" s="175"/>
      <c r="B7946" s="178"/>
      <c r="C7946" s="49"/>
      <c r="D7946" s="49"/>
      <c r="E7946" s="50"/>
      <c r="F7946" s="51" t="s">
        <v>13</v>
      </c>
      <c r="G7946" s="52" t="str">
        <f>IF(ISNUMBER(F7946),E7946*F7946,"")</f>
        <v/>
      </c>
      <c r="H7946" s="53"/>
      <c r="I7946" s="38"/>
      <c r="J7946" s="37">
        <v>0</v>
      </c>
    </row>
    <row r="7947" spans="1:10" ht="15.75" hidden="1" thickBot="1" x14ac:dyDescent="0.3">
      <c r="A7947" s="173" t="s">
        <v>1898</v>
      </c>
      <c r="B7947" s="176" t="s">
        <v>8322</v>
      </c>
      <c r="C7947" s="31"/>
      <c r="D7947" s="32" t="s">
        <v>18</v>
      </c>
      <c r="E7947" s="33"/>
      <c r="F7947" s="54" t="s">
        <v>13</v>
      </c>
      <c r="G7947" s="34" t="str">
        <f>IF(ISNUMBER(F7947),E7947*F7947,"")</f>
        <v/>
      </c>
      <c r="H7947" s="35"/>
      <c r="I7947" s="36"/>
      <c r="J7947" s="37">
        <v>0</v>
      </c>
    </row>
    <row r="7948" spans="1:10" hidden="1" x14ac:dyDescent="0.25">
      <c r="A7948" s="174"/>
      <c r="B7948" s="177"/>
      <c r="C7948" s="39"/>
      <c r="D7948" s="39"/>
      <c r="E7948" s="40"/>
      <c r="F7948" s="55" t="s">
        <v>13</v>
      </c>
      <c r="G7948" s="41" t="str">
        <f>IF(ISNUMBER(F7948),E7948*F7948,"")</f>
        <v/>
      </c>
      <c r="H7948" s="42"/>
      <c r="I7948" s="38"/>
      <c r="J7948" s="37">
        <v>0</v>
      </c>
    </row>
    <row r="7949" spans="1:10" ht="25.5" hidden="1" x14ac:dyDescent="0.25">
      <c r="A7949" s="174"/>
      <c r="B7949" s="177"/>
      <c r="C7949" s="43" t="s">
        <v>11522</v>
      </c>
      <c r="D7949" s="43" t="s">
        <v>83</v>
      </c>
      <c r="E7949" s="44">
        <v>1</v>
      </c>
      <c r="F7949" s="38">
        <v>31.616</v>
      </c>
      <c r="G7949" s="41">
        <f>IF(ISNUMBER(F7949),E7949*F7949,"")</f>
        <v>31.616</v>
      </c>
      <c r="H7949" s="46">
        <f>SUM(G7949:G7949)</f>
        <v>31.616</v>
      </c>
      <c r="I7949" s="47"/>
      <c r="J7949" s="37">
        <v>0</v>
      </c>
    </row>
    <row r="7950" spans="1:10" ht="15.75" hidden="1" thickBot="1" x14ac:dyDescent="0.3">
      <c r="A7950" s="175"/>
      <c r="B7950" s="178"/>
      <c r="C7950" s="49"/>
      <c r="D7950" s="49"/>
      <c r="E7950" s="50"/>
      <c r="F7950" s="51" t="s">
        <v>13</v>
      </c>
      <c r="G7950" s="52" t="str">
        <f>IF(ISNUMBER(F7950),E7950*F7950,"")</f>
        <v/>
      </c>
      <c r="H7950" s="53"/>
      <c r="I7950" s="38"/>
      <c r="J7950" s="37">
        <v>0</v>
      </c>
    </row>
    <row r="7951" spans="1:10" ht="15.75" hidden="1" thickBot="1" x14ac:dyDescent="0.3">
      <c r="A7951" s="173" t="s">
        <v>1899</v>
      </c>
      <c r="B7951" s="176" t="s">
        <v>8323</v>
      </c>
      <c r="C7951" s="31"/>
      <c r="D7951" s="32" t="s">
        <v>18</v>
      </c>
      <c r="E7951" s="33"/>
      <c r="F7951" s="54" t="s">
        <v>13</v>
      </c>
      <c r="G7951" s="34" t="str">
        <f>IF(ISNUMBER(F7951),E7951*F7951,"")</f>
        <v/>
      </c>
      <c r="H7951" s="35"/>
      <c r="I7951" s="36"/>
      <c r="J7951" s="37">
        <v>0</v>
      </c>
    </row>
    <row r="7952" spans="1:10" hidden="1" x14ac:dyDescent="0.25">
      <c r="A7952" s="174"/>
      <c r="B7952" s="177"/>
      <c r="C7952" s="39"/>
      <c r="D7952" s="39"/>
      <c r="E7952" s="40"/>
      <c r="F7952" s="55" t="s">
        <v>13</v>
      </c>
      <c r="G7952" s="41" t="str">
        <f>IF(ISNUMBER(F7952),E7952*F7952,"")</f>
        <v/>
      </c>
      <c r="H7952" s="42"/>
      <c r="I7952" s="38"/>
      <c r="J7952" s="37">
        <v>0</v>
      </c>
    </row>
    <row r="7953" spans="1:10" hidden="1" x14ac:dyDescent="0.25">
      <c r="A7953" s="174"/>
      <c r="B7953" s="177"/>
      <c r="C7953" s="43" t="s">
        <v>11523</v>
      </c>
      <c r="D7953" s="43" t="s">
        <v>83</v>
      </c>
      <c r="E7953" s="44">
        <v>1</v>
      </c>
      <c r="F7953" s="38">
        <v>28.889499999999998</v>
      </c>
      <c r="G7953" s="41">
        <f>IF(ISNUMBER(F7953),E7953*F7953,"")</f>
        <v>28.889499999999998</v>
      </c>
      <c r="H7953" s="46">
        <f>SUM(G7953:G7953)</f>
        <v>28.889499999999998</v>
      </c>
      <c r="I7953" s="47"/>
      <c r="J7953" s="37">
        <v>0</v>
      </c>
    </row>
    <row r="7954" spans="1:10" ht="15.75" hidden="1" thickBot="1" x14ac:dyDescent="0.3">
      <c r="A7954" s="175"/>
      <c r="B7954" s="178"/>
      <c r="C7954" s="49"/>
      <c r="D7954" s="49"/>
      <c r="E7954" s="50"/>
      <c r="F7954" s="51" t="s">
        <v>13</v>
      </c>
      <c r="G7954" s="52" t="str">
        <f>IF(ISNUMBER(F7954),E7954*F7954,"")</f>
        <v/>
      </c>
      <c r="H7954" s="53"/>
      <c r="I7954" s="38"/>
      <c r="J7954" s="37">
        <v>0</v>
      </c>
    </row>
    <row r="7955" spans="1:10" ht="15.75" hidden="1" thickBot="1" x14ac:dyDescent="0.3">
      <c r="A7955" s="173" t="s">
        <v>1900</v>
      </c>
      <c r="B7955" s="176" t="s">
        <v>8324</v>
      </c>
      <c r="C7955" s="31"/>
      <c r="D7955" s="32" t="s">
        <v>18</v>
      </c>
      <c r="E7955" s="33"/>
      <c r="F7955" s="54" t="s">
        <v>13</v>
      </c>
      <c r="G7955" s="34" t="str">
        <f>IF(ISNUMBER(F7955),E7955*F7955,"")</f>
        <v/>
      </c>
      <c r="H7955" s="35"/>
      <c r="I7955" s="36"/>
      <c r="J7955" s="37">
        <v>0</v>
      </c>
    </row>
    <row r="7956" spans="1:10" hidden="1" x14ac:dyDescent="0.25">
      <c r="A7956" s="174"/>
      <c r="B7956" s="177"/>
      <c r="C7956" s="39"/>
      <c r="D7956" s="39"/>
      <c r="E7956" s="40"/>
      <c r="F7956" s="55" t="s">
        <v>13</v>
      </c>
      <c r="G7956" s="41" t="str">
        <f>IF(ISNUMBER(F7956),E7956*F7956,"")</f>
        <v/>
      </c>
      <c r="H7956" s="42"/>
      <c r="I7956" s="38"/>
      <c r="J7956" s="37">
        <v>0</v>
      </c>
    </row>
    <row r="7957" spans="1:10" ht="25.5" hidden="1" x14ac:dyDescent="0.25">
      <c r="A7957" s="174"/>
      <c r="B7957" s="177"/>
      <c r="C7957" s="43" t="s">
        <v>11524</v>
      </c>
      <c r="D7957" s="43" t="s">
        <v>83</v>
      </c>
      <c r="E7957" s="44">
        <v>1</v>
      </c>
      <c r="F7957" s="38">
        <v>2.3465000000000003</v>
      </c>
      <c r="G7957" s="41">
        <f>IF(ISNUMBER(F7957),E7957*F7957,"")</f>
        <v>2.3465000000000003</v>
      </c>
      <c r="H7957" s="46">
        <f>SUM(G7957:G7957)</f>
        <v>2.3465000000000003</v>
      </c>
      <c r="I7957" s="47"/>
      <c r="J7957" s="37">
        <v>0</v>
      </c>
    </row>
    <row r="7958" spans="1:10" ht="15.75" hidden="1" thickBot="1" x14ac:dyDescent="0.3">
      <c r="A7958" s="175"/>
      <c r="B7958" s="178"/>
      <c r="C7958" s="49"/>
      <c r="D7958" s="49"/>
      <c r="E7958" s="50"/>
      <c r="F7958" s="51" t="s">
        <v>13</v>
      </c>
      <c r="G7958" s="52" t="str">
        <f>IF(ISNUMBER(F7958),E7958*F7958,"")</f>
        <v/>
      </c>
      <c r="H7958" s="53"/>
      <c r="I7958" s="38"/>
      <c r="J7958" s="37">
        <v>0</v>
      </c>
    </row>
    <row r="7959" spans="1:10" ht="15.75" hidden="1" thickBot="1" x14ac:dyDescent="0.3">
      <c r="A7959" s="173" t="s">
        <v>1901</v>
      </c>
      <c r="B7959" s="176" t="s">
        <v>8325</v>
      </c>
      <c r="C7959" s="31"/>
      <c r="D7959" s="32" t="s">
        <v>18</v>
      </c>
      <c r="E7959" s="33"/>
      <c r="F7959" s="54" t="s">
        <v>13</v>
      </c>
      <c r="G7959" s="34" t="str">
        <f>IF(ISNUMBER(F7959),E7959*F7959,"")</f>
        <v/>
      </c>
      <c r="H7959" s="35"/>
      <c r="I7959" s="36"/>
      <c r="J7959" s="37">
        <v>0</v>
      </c>
    </row>
    <row r="7960" spans="1:10" hidden="1" x14ac:dyDescent="0.25">
      <c r="A7960" s="174"/>
      <c r="B7960" s="177"/>
      <c r="C7960" s="39"/>
      <c r="D7960" s="39"/>
      <c r="E7960" s="40"/>
      <c r="F7960" s="55" t="s">
        <v>13</v>
      </c>
      <c r="G7960" s="41" t="str">
        <f>IF(ISNUMBER(F7960),E7960*F7960,"")</f>
        <v/>
      </c>
      <c r="H7960" s="42"/>
      <c r="I7960" s="38"/>
      <c r="J7960" s="37">
        <v>0</v>
      </c>
    </row>
    <row r="7961" spans="1:10" ht="25.5" hidden="1" x14ac:dyDescent="0.25">
      <c r="A7961" s="174"/>
      <c r="B7961" s="177"/>
      <c r="C7961" s="43" t="s">
        <v>11525</v>
      </c>
      <c r="D7961" s="43" t="s">
        <v>83</v>
      </c>
      <c r="E7961" s="44">
        <v>1</v>
      </c>
      <c r="F7961" s="38">
        <v>4.1324999999999994</v>
      </c>
      <c r="G7961" s="41">
        <f>IF(ISNUMBER(F7961),E7961*F7961,"")</f>
        <v>4.1324999999999994</v>
      </c>
      <c r="H7961" s="46">
        <f>SUM(G7961:G7961)</f>
        <v>4.1324999999999994</v>
      </c>
      <c r="I7961" s="47"/>
      <c r="J7961" s="37">
        <v>0</v>
      </c>
    </row>
    <row r="7962" spans="1:10" ht="15.75" hidden="1" thickBot="1" x14ac:dyDescent="0.3">
      <c r="A7962" s="175"/>
      <c r="B7962" s="178"/>
      <c r="C7962" s="49"/>
      <c r="D7962" s="49"/>
      <c r="E7962" s="50"/>
      <c r="F7962" s="51" t="s">
        <v>13</v>
      </c>
      <c r="G7962" s="52" t="str">
        <f>IF(ISNUMBER(F7962),E7962*F7962,"")</f>
        <v/>
      </c>
      <c r="H7962" s="53"/>
      <c r="I7962" s="38"/>
      <c r="J7962" s="37">
        <v>0</v>
      </c>
    </row>
    <row r="7963" spans="1:10" ht="15.75" hidden="1" thickBot="1" x14ac:dyDescent="0.3">
      <c r="A7963" s="173" t="s">
        <v>1902</v>
      </c>
      <c r="B7963" s="176" t="s">
        <v>8326</v>
      </c>
      <c r="C7963" s="31"/>
      <c r="D7963" s="32" t="s">
        <v>18</v>
      </c>
      <c r="E7963" s="33"/>
      <c r="F7963" s="54" t="s">
        <v>13</v>
      </c>
      <c r="G7963" s="34" t="str">
        <f>IF(ISNUMBER(F7963),E7963*F7963,"")</f>
        <v/>
      </c>
      <c r="H7963" s="35"/>
      <c r="I7963" s="36"/>
      <c r="J7963" s="37">
        <v>0</v>
      </c>
    </row>
    <row r="7964" spans="1:10" hidden="1" x14ac:dyDescent="0.25">
      <c r="A7964" s="174"/>
      <c r="B7964" s="177"/>
      <c r="C7964" s="39"/>
      <c r="D7964" s="39"/>
      <c r="E7964" s="40"/>
      <c r="F7964" s="55" t="s">
        <v>13</v>
      </c>
      <c r="G7964" s="41" t="str">
        <f>IF(ISNUMBER(F7964),E7964*F7964,"")</f>
        <v/>
      </c>
      <c r="H7964" s="42"/>
      <c r="I7964" s="38"/>
      <c r="J7964" s="37">
        <v>0</v>
      </c>
    </row>
    <row r="7965" spans="1:10" ht="25.5" hidden="1" x14ac:dyDescent="0.25">
      <c r="A7965" s="174"/>
      <c r="B7965" s="177"/>
      <c r="C7965" s="43" t="s">
        <v>11526</v>
      </c>
      <c r="D7965" s="43" t="s">
        <v>83</v>
      </c>
      <c r="E7965" s="44">
        <v>1</v>
      </c>
      <c r="F7965" s="38">
        <v>30.97</v>
      </c>
      <c r="G7965" s="41">
        <f>IF(ISNUMBER(F7965),E7965*F7965,"")</f>
        <v>30.97</v>
      </c>
      <c r="H7965" s="46">
        <f>SUM(G7965:G7965)</f>
        <v>30.97</v>
      </c>
      <c r="I7965" s="47"/>
      <c r="J7965" s="37">
        <v>0</v>
      </c>
    </row>
    <row r="7966" spans="1:10" ht="15.75" hidden="1" thickBot="1" x14ac:dyDescent="0.3">
      <c r="A7966" s="175"/>
      <c r="B7966" s="178"/>
      <c r="C7966" s="49"/>
      <c r="D7966" s="49"/>
      <c r="E7966" s="50"/>
      <c r="F7966" s="51" t="s">
        <v>13</v>
      </c>
      <c r="G7966" s="52" t="str">
        <f>IF(ISNUMBER(F7966),E7966*F7966,"")</f>
        <v/>
      </c>
      <c r="H7966" s="53"/>
      <c r="I7966" s="38"/>
      <c r="J7966" s="37">
        <v>0</v>
      </c>
    </row>
    <row r="7967" spans="1:10" ht="15.75" hidden="1" thickBot="1" x14ac:dyDescent="0.3">
      <c r="A7967" s="173" t="s">
        <v>1903</v>
      </c>
      <c r="B7967" s="176" t="s">
        <v>8327</v>
      </c>
      <c r="C7967" s="31"/>
      <c r="D7967" s="32" t="s">
        <v>18</v>
      </c>
      <c r="E7967" s="33"/>
      <c r="F7967" s="54" t="s">
        <v>13</v>
      </c>
      <c r="G7967" s="34" t="str">
        <f>IF(ISNUMBER(F7967),E7967*F7967,"")</f>
        <v/>
      </c>
      <c r="H7967" s="35"/>
      <c r="I7967" s="36"/>
      <c r="J7967" s="37">
        <v>0</v>
      </c>
    </row>
    <row r="7968" spans="1:10" hidden="1" x14ac:dyDescent="0.25">
      <c r="A7968" s="174"/>
      <c r="B7968" s="177"/>
      <c r="C7968" s="39"/>
      <c r="D7968" s="39"/>
      <c r="E7968" s="40"/>
      <c r="F7968" s="55" t="s">
        <v>13</v>
      </c>
      <c r="G7968" s="41" t="str">
        <f>IF(ISNUMBER(F7968),E7968*F7968,"")</f>
        <v/>
      </c>
      <c r="H7968" s="42"/>
      <c r="I7968" s="38"/>
      <c r="J7968" s="37">
        <v>0</v>
      </c>
    </row>
    <row r="7969" spans="1:10" ht="25.5" hidden="1" x14ac:dyDescent="0.25">
      <c r="A7969" s="174"/>
      <c r="B7969" s="177"/>
      <c r="C7969" s="43" t="s">
        <v>11527</v>
      </c>
      <c r="D7969" s="43" t="s">
        <v>83</v>
      </c>
      <c r="E7969" s="44">
        <v>1</v>
      </c>
      <c r="F7969" s="38">
        <v>5.5765000000000002</v>
      </c>
      <c r="G7969" s="41">
        <f>IF(ISNUMBER(F7969),E7969*F7969,"")</f>
        <v>5.5765000000000002</v>
      </c>
      <c r="H7969" s="46">
        <f>SUM(G7969:G7969)</f>
        <v>5.5765000000000002</v>
      </c>
      <c r="I7969" s="47"/>
      <c r="J7969" s="37">
        <v>0</v>
      </c>
    </row>
    <row r="7970" spans="1:10" ht="15.75" hidden="1" thickBot="1" x14ac:dyDescent="0.3">
      <c r="A7970" s="175"/>
      <c r="B7970" s="178"/>
      <c r="C7970" s="49"/>
      <c r="D7970" s="49"/>
      <c r="E7970" s="50"/>
      <c r="F7970" s="51" t="s">
        <v>13</v>
      </c>
      <c r="G7970" s="52" t="str">
        <f>IF(ISNUMBER(F7970),E7970*F7970,"")</f>
        <v/>
      </c>
      <c r="H7970" s="53"/>
      <c r="I7970" s="38"/>
      <c r="J7970" s="37">
        <v>0</v>
      </c>
    </row>
    <row r="7971" spans="1:10" ht="15.75" hidden="1" thickBot="1" x14ac:dyDescent="0.3">
      <c r="A7971" s="173" t="s">
        <v>1904</v>
      </c>
      <c r="B7971" s="176" t="s">
        <v>8328</v>
      </c>
      <c r="C7971" s="31"/>
      <c r="D7971" s="32" t="s">
        <v>18</v>
      </c>
      <c r="E7971" s="33"/>
      <c r="F7971" s="54" t="s">
        <v>13</v>
      </c>
      <c r="G7971" s="34" t="str">
        <f>IF(ISNUMBER(F7971),E7971*F7971,"")</f>
        <v/>
      </c>
      <c r="H7971" s="35"/>
      <c r="I7971" s="36"/>
      <c r="J7971" s="37">
        <v>0</v>
      </c>
    </row>
    <row r="7972" spans="1:10" hidden="1" x14ac:dyDescent="0.25">
      <c r="A7972" s="174"/>
      <c r="B7972" s="177"/>
      <c r="C7972" s="39"/>
      <c r="D7972" s="39"/>
      <c r="E7972" s="40"/>
      <c r="F7972" s="55" t="s">
        <v>13</v>
      </c>
      <c r="G7972" s="41" t="str">
        <f>IF(ISNUMBER(F7972),E7972*F7972,"")</f>
        <v/>
      </c>
      <c r="H7972" s="42"/>
      <c r="I7972" s="38"/>
      <c r="J7972" s="37">
        <v>0</v>
      </c>
    </row>
    <row r="7973" spans="1:10" hidden="1" x14ac:dyDescent="0.25">
      <c r="A7973" s="174"/>
      <c r="B7973" s="177"/>
      <c r="C7973" s="43" t="s">
        <v>11528</v>
      </c>
      <c r="D7973" s="43" t="s">
        <v>83</v>
      </c>
      <c r="E7973" s="44">
        <v>1</v>
      </c>
      <c r="F7973" s="38">
        <v>7.9229999999999992</v>
      </c>
      <c r="G7973" s="41">
        <f>IF(ISNUMBER(F7973),E7973*F7973,"")</f>
        <v>7.9229999999999992</v>
      </c>
      <c r="H7973" s="46">
        <f>SUM(G7973:G7973)</f>
        <v>7.9229999999999992</v>
      </c>
      <c r="I7973" s="47"/>
      <c r="J7973" s="37">
        <v>0</v>
      </c>
    </row>
    <row r="7974" spans="1:10" ht="15.75" hidden="1" thickBot="1" x14ac:dyDescent="0.3">
      <c r="A7974" s="175"/>
      <c r="B7974" s="178"/>
      <c r="C7974" s="49"/>
      <c r="D7974" s="49"/>
      <c r="E7974" s="50"/>
      <c r="F7974" s="51" t="s">
        <v>13</v>
      </c>
      <c r="G7974" s="52" t="str">
        <f>IF(ISNUMBER(F7974),E7974*F7974,"")</f>
        <v/>
      </c>
      <c r="H7974" s="53"/>
      <c r="I7974" s="38"/>
      <c r="J7974" s="37">
        <v>0</v>
      </c>
    </row>
    <row r="7975" spans="1:10" ht="15.75" hidden="1" thickBot="1" x14ac:dyDescent="0.3">
      <c r="A7975" s="173" t="s">
        <v>1905</v>
      </c>
      <c r="B7975" s="176" t="s">
        <v>8329</v>
      </c>
      <c r="C7975" s="31"/>
      <c r="D7975" s="32" t="s">
        <v>18</v>
      </c>
      <c r="E7975" s="33"/>
      <c r="F7975" s="54" t="s">
        <v>13</v>
      </c>
      <c r="G7975" s="34" t="str">
        <f>IF(ISNUMBER(F7975),E7975*F7975,"")</f>
        <v/>
      </c>
      <c r="H7975" s="35"/>
      <c r="I7975" s="36"/>
      <c r="J7975" s="37">
        <v>0</v>
      </c>
    </row>
    <row r="7976" spans="1:10" hidden="1" x14ac:dyDescent="0.25">
      <c r="A7976" s="174"/>
      <c r="B7976" s="177"/>
      <c r="C7976" s="39"/>
      <c r="D7976" s="39"/>
      <c r="E7976" s="40"/>
      <c r="F7976" s="55" t="s">
        <v>13</v>
      </c>
      <c r="G7976" s="41" t="str">
        <f>IF(ISNUMBER(F7976),E7976*F7976,"")</f>
        <v/>
      </c>
      <c r="H7976" s="42"/>
      <c r="I7976" s="38"/>
      <c r="J7976" s="37">
        <v>0</v>
      </c>
    </row>
    <row r="7977" spans="1:10" ht="25.5" hidden="1" x14ac:dyDescent="0.25">
      <c r="A7977" s="174"/>
      <c r="B7977" s="177"/>
      <c r="C7977" s="43" t="s">
        <v>11529</v>
      </c>
      <c r="D7977" s="43" t="s">
        <v>83</v>
      </c>
      <c r="E7977" s="44">
        <v>1</v>
      </c>
      <c r="F7977" s="38">
        <v>14.563499999999999</v>
      </c>
      <c r="G7977" s="41">
        <f>IF(ISNUMBER(F7977),E7977*F7977,"")</f>
        <v>14.563499999999999</v>
      </c>
      <c r="H7977" s="46">
        <f>SUM(G7977:G7977)</f>
        <v>14.563499999999999</v>
      </c>
      <c r="I7977" s="47"/>
      <c r="J7977" s="37">
        <v>0</v>
      </c>
    </row>
    <row r="7978" spans="1:10" ht="15.75" hidden="1" thickBot="1" x14ac:dyDescent="0.3">
      <c r="A7978" s="175"/>
      <c r="B7978" s="178"/>
      <c r="C7978" s="49"/>
      <c r="D7978" s="49"/>
      <c r="E7978" s="50"/>
      <c r="F7978" s="51" t="s">
        <v>13</v>
      </c>
      <c r="G7978" s="52" t="str">
        <f>IF(ISNUMBER(F7978),E7978*F7978,"")</f>
        <v/>
      </c>
      <c r="H7978" s="53"/>
      <c r="I7978" s="38"/>
      <c r="J7978" s="37">
        <v>0</v>
      </c>
    </row>
    <row r="7979" spans="1:10" ht="15.75" hidden="1" thickBot="1" x14ac:dyDescent="0.3">
      <c r="A7979" s="173" t="s">
        <v>1906</v>
      </c>
      <c r="B7979" s="176" t="s">
        <v>8330</v>
      </c>
      <c r="C7979" s="31"/>
      <c r="D7979" s="32" t="s">
        <v>18</v>
      </c>
      <c r="E7979" s="33"/>
      <c r="F7979" s="54" t="s">
        <v>13</v>
      </c>
      <c r="G7979" s="34" t="str">
        <f>IF(ISNUMBER(F7979),E7979*F7979,"")</f>
        <v/>
      </c>
      <c r="H7979" s="35"/>
      <c r="I7979" s="36"/>
      <c r="J7979" s="37">
        <v>0</v>
      </c>
    </row>
    <row r="7980" spans="1:10" hidden="1" x14ac:dyDescent="0.25">
      <c r="A7980" s="174"/>
      <c r="B7980" s="177"/>
      <c r="C7980" s="39"/>
      <c r="D7980" s="39"/>
      <c r="E7980" s="40"/>
      <c r="F7980" s="55" t="s">
        <v>13</v>
      </c>
      <c r="G7980" s="41" t="str">
        <f>IF(ISNUMBER(F7980),E7980*F7980,"")</f>
        <v/>
      </c>
      <c r="H7980" s="42"/>
      <c r="I7980" s="38"/>
      <c r="J7980" s="37">
        <v>0</v>
      </c>
    </row>
    <row r="7981" spans="1:10" ht="25.5" hidden="1" x14ac:dyDescent="0.25">
      <c r="A7981" s="174"/>
      <c r="B7981" s="177"/>
      <c r="C7981" s="43" t="s">
        <v>11530</v>
      </c>
      <c r="D7981" s="43" t="s">
        <v>83</v>
      </c>
      <c r="E7981" s="44">
        <v>1</v>
      </c>
      <c r="F7981" s="38">
        <v>8.36</v>
      </c>
      <c r="G7981" s="41">
        <f>IF(ISNUMBER(F7981),E7981*F7981,"")</f>
        <v>8.36</v>
      </c>
      <c r="H7981" s="46">
        <f>SUM(G7981:G7981)</f>
        <v>8.36</v>
      </c>
      <c r="I7981" s="47"/>
      <c r="J7981" s="37">
        <v>0</v>
      </c>
    </row>
    <row r="7982" spans="1:10" ht="15.75" hidden="1" thickBot="1" x14ac:dyDescent="0.3">
      <c r="A7982" s="175"/>
      <c r="B7982" s="178"/>
      <c r="C7982" s="49"/>
      <c r="D7982" s="49"/>
      <c r="E7982" s="50"/>
      <c r="F7982" s="51" t="s">
        <v>13</v>
      </c>
      <c r="G7982" s="52" t="str">
        <f>IF(ISNUMBER(F7982),E7982*F7982,"")</f>
        <v/>
      </c>
      <c r="H7982" s="53"/>
      <c r="I7982" s="38"/>
      <c r="J7982" s="37">
        <v>0</v>
      </c>
    </row>
    <row r="7983" spans="1:10" ht="15.75" hidden="1" thickBot="1" x14ac:dyDescent="0.3">
      <c r="A7983" s="173" t="s">
        <v>1907</v>
      </c>
      <c r="B7983" s="176" t="s">
        <v>8331</v>
      </c>
      <c r="C7983" s="31"/>
      <c r="D7983" s="32" t="s">
        <v>18</v>
      </c>
      <c r="E7983" s="33"/>
      <c r="F7983" s="54" t="s">
        <v>13</v>
      </c>
      <c r="G7983" s="34" t="str">
        <f>IF(ISNUMBER(F7983),E7983*F7983,"")</f>
        <v/>
      </c>
      <c r="H7983" s="35"/>
      <c r="I7983" s="36"/>
      <c r="J7983" s="37">
        <v>0</v>
      </c>
    </row>
    <row r="7984" spans="1:10" hidden="1" x14ac:dyDescent="0.25">
      <c r="A7984" s="174"/>
      <c r="B7984" s="177"/>
      <c r="C7984" s="39"/>
      <c r="D7984" s="39"/>
      <c r="E7984" s="40"/>
      <c r="F7984" s="55" t="s">
        <v>13</v>
      </c>
      <c r="G7984" s="41" t="str">
        <f>IF(ISNUMBER(F7984),E7984*F7984,"")</f>
        <v/>
      </c>
      <c r="H7984" s="42"/>
      <c r="I7984" s="38"/>
      <c r="J7984" s="37">
        <v>0</v>
      </c>
    </row>
    <row r="7985" spans="1:10" ht="25.5" hidden="1" x14ac:dyDescent="0.25">
      <c r="A7985" s="174"/>
      <c r="B7985" s="177"/>
      <c r="C7985" s="43" t="s">
        <v>11531</v>
      </c>
      <c r="D7985" s="43" t="s">
        <v>83</v>
      </c>
      <c r="E7985" s="44">
        <v>1</v>
      </c>
      <c r="F7985" s="38">
        <v>10.763499999999999</v>
      </c>
      <c r="G7985" s="41">
        <f>IF(ISNUMBER(F7985),E7985*F7985,"")</f>
        <v>10.763499999999999</v>
      </c>
      <c r="H7985" s="46">
        <f>SUM(G7985:G7985)</f>
        <v>10.763499999999999</v>
      </c>
      <c r="I7985" s="47"/>
      <c r="J7985" s="37">
        <v>0</v>
      </c>
    </row>
    <row r="7986" spans="1:10" ht="15.75" hidden="1" thickBot="1" x14ac:dyDescent="0.3">
      <c r="A7986" s="175"/>
      <c r="B7986" s="178"/>
      <c r="C7986" s="49"/>
      <c r="D7986" s="49"/>
      <c r="E7986" s="50"/>
      <c r="F7986" s="51" t="s">
        <v>13</v>
      </c>
      <c r="G7986" s="52" t="str">
        <f>IF(ISNUMBER(F7986),E7986*F7986,"")</f>
        <v/>
      </c>
      <c r="H7986" s="53"/>
      <c r="I7986" s="38"/>
      <c r="J7986" s="37">
        <v>0</v>
      </c>
    </row>
    <row r="7987" spans="1:10" ht="15.75" hidden="1" thickBot="1" x14ac:dyDescent="0.3">
      <c r="A7987" s="173" t="s">
        <v>1908</v>
      </c>
      <c r="B7987" s="176" t="s">
        <v>8332</v>
      </c>
      <c r="C7987" s="31"/>
      <c r="D7987" s="32" t="s">
        <v>18</v>
      </c>
      <c r="E7987" s="33"/>
      <c r="F7987" s="54" t="s">
        <v>13</v>
      </c>
      <c r="G7987" s="34" t="str">
        <f>IF(ISNUMBER(F7987),E7987*F7987,"")</f>
        <v/>
      </c>
      <c r="H7987" s="35"/>
      <c r="I7987" s="36"/>
      <c r="J7987" s="37">
        <v>0</v>
      </c>
    </row>
    <row r="7988" spans="1:10" hidden="1" x14ac:dyDescent="0.25">
      <c r="A7988" s="174"/>
      <c r="B7988" s="177"/>
      <c r="C7988" s="39"/>
      <c r="D7988" s="39"/>
      <c r="E7988" s="40"/>
      <c r="F7988" s="55" t="s">
        <v>13</v>
      </c>
      <c r="G7988" s="41" t="str">
        <f>IF(ISNUMBER(F7988),E7988*F7988,"")</f>
        <v/>
      </c>
      <c r="H7988" s="42"/>
      <c r="I7988" s="38"/>
      <c r="J7988" s="37">
        <v>0</v>
      </c>
    </row>
    <row r="7989" spans="1:10" hidden="1" x14ac:dyDescent="0.25">
      <c r="A7989" s="174"/>
      <c r="B7989" s="177"/>
      <c r="C7989" s="43" t="s">
        <v>11532</v>
      </c>
      <c r="D7989" s="43" t="s">
        <v>83</v>
      </c>
      <c r="E7989" s="44">
        <v>1</v>
      </c>
      <c r="F7989" s="38">
        <v>4.8734999999999999</v>
      </c>
      <c r="G7989" s="41">
        <f>IF(ISNUMBER(F7989),E7989*F7989,"")</f>
        <v>4.8734999999999999</v>
      </c>
      <c r="H7989" s="46">
        <f>SUM(G7989:G7989)</f>
        <v>4.8734999999999999</v>
      </c>
      <c r="I7989" s="47"/>
      <c r="J7989" s="37">
        <v>0</v>
      </c>
    </row>
    <row r="7990" spans="1:10" ht="15.75" hidden="1" thickBot="1" x14ac:dyDescent="0.3">
      <c r="A7990" s="175"/>
      <c r="B7990" s="178"/>
      <c r="C7990" s="49"/>
      <c r="D7990" s="49"/>
      <c r="E7990" s="50"/>
      <c r="F7990" s="51" t="s">
        <v>13</v>
      </c>
      <c r="G7990" s="52" t="str">
        <f>IF(ISNUMBER(F7990),E7990*F7990,"")</f>
        <v/>
      </c>
      <c r="H7990" s="53"/>
      <c r="I7990" s="38"/>
      <c r="J7990" s="37">
        <v>0</v>
      </c>
    </row>
    <row r="7991" spans="1:10" ht="15.75" hidden="1" thickBot="1" x14ac:dyDescent="0.3">
      <c r="A7991" s="173" t="s">
        <v>1909</v>
      </c>
      <c r="B7991" s="176" t="s">
        <v>8333</v>
      </c>
      <c r="C7991" s="31"/>
      <c r="D7991" s="32" t="s">
        <v>18</v>
      </c>
      <c r="E7991" s="33"/>
      <c r="F7991" s="54" t="s">
        <v>13</v>
      </c>
      <c r="G7991" s="34" t="str">
        <f>IF(ISNUMBER(F7991),E7991*F7991,"")</f>
        <v/>
      </c>
      <c r="H7991" s="35"/>
      <c r="I7991" s="36"/>
      <c r="J7991" s="37">
        <v>0</v>
      </c>
    </row>
    <row r="7992" spans="1:10" hidden="1" x14ac:dyDescent="0.25">
      <c r="A7992" s="174"/>
      <c r="B7992" s="177"/>
      <c r="C7992" s="39"/>
      <c r="D7992" s="39"/>
      <c r="E7992" s="40"/>
      <c r="F7992" s="55" t="s">
        <v>13</v>
      </c>
      <c r="G7992" s="41" t="str">
        <f>IF(ISNUMBER(F7992),E7992*F7992,"")</f>
        <v/>
      </c>
      <c r="H7992" s="42"/>
      <c r="I7992" s="38"/>
      <c r="J7992" s="37">
        <v>0</v>
      </c>
    </row>
    <row r="7993" spans="1:10" ht="25.5" hidden="1" x14ac:dyDescent="0.25">
      <c r="A7993" s="174"/>
      <c r="B7993" s="177"/>
      <c r="C7993" s="43" t="s">
        <v>11533</v>
      </c>
      <c r="D7993" s="43" t="s">
        <v>83</v>
      </c>
      <c r="E7993" s="44">
        <v>1</v>
      </c>
      <c r="F7993" s="38">
        <v>31.882000000000001</v>
      </c>
      <c r="G7993" s="41">
        <f>IF(ISNUMBER(F7993),E7993*F7993,"")</f>
        <v>31.882000000000001</v>
      </c>
      <c r="H7993" s="46">
        <f>SUM(G7993:G7993)</f>
        <v>31.882000000000001</v>
      </c>
      <c r="I7993" s="47"/>
      <c r="J7993" s="37">
        <v>0</v>
      </c>
    </row>
    <row r="7994" spans="1:10" ht="15.75" hidden="1" thickBot="1" x14ac:dyDescent="0.3">
      <c r="A7994" s="175"/>
      <c r="B7994" s="178"/>
      <c r="C7994" s="49"/>
      <c r="D7994" s="49"/>
      <c r="E7994" s="50"/>
      <c r="F7994" s="51" t="s">
        <v>13</v>
      </c>
      <c r="G7994" s="52" t="str">
        <f>IF(ISNUMBER(F7994),E7994*F7994,"")</f>
        <v/>
      </c>
      <c r="H7994" s="53"/>
      <c r="I7994" s="38"/>
      <c r="J7994" s="37">
        <v>0</v>
      </c>
    </row>
    <row r="7995" spans="1:10" ht="15.75" hidden="1" thickBot="1" x14ac:dyDescent="0.3">
      <c r="A7995" s="173" t="s">
        <v>1910</v>
      </c>
      <c r="B7995" s="176" t="s">
        <v>8334</v>
      </c>
      <c r="C7995" s="31"/>
      <c r="D7995" s="32" t="s">
        <v>18</v>
      </c>
      <c r="E7995" s="33"/>
      <c r="F7995" s="54" t="s">
        <v>13</v>
      </c>
      <c r="G7995" s="34" t="str">
        <f>IF(ISNUMBER(F7995),E7995*F7995,"")</f>
        <v/>
      </c>
      <c r="H7995" s="35"/>
      <c r="I7995" s="36"/>
      <c r="J7995" s="37">
        <v>0</v>
      </c>
    </row>
    <row r="7996" spans="1:10" hidden="1" x14ac:dyDescent="0.25">
      <c r="A7996" s="174"/>
      <c r="B7996" s="177"/>
      <c r="C7996" s="39"/>
      <c r="D7996" s="39"/>
      <c r="E7996" s="40"/>
      <c r="F7996" s="55" t="s">
        <v>13</v>
      </c>
      <c r="G7996" s="41" t="str">
        <f>IF(ISNUMBER(F7996),E7996*F7996,"")</f>
        <v/>
      </c>
      <c r="H7996" s="42"/>
      <c r="I7996" s="38"/>
      <c r="J7996" s="37">
        <v>0</v>
      </c>
    </row>
    <row r="7997" spans="1:10" hidden="1" x14ac:dyDescent="0.25">
      <c r="A7997" s="174"/>
      <c r="B7997" s="177"/>
      <c r="C7997" s="43" t="s">
        <v>11534</v>
      </c>
      <c r="D7997" s="43" t="s">
        <v>83</v>
      </c>
      <c r="E7997" s="44">
        <v>1</v>
      </c>
      <c r="F7997" s="38">
        <v>30.846499999999999</v>
      </c>
      <c r="G7997" s="41">
        <f>IF(ISNUMBER(F7997),E7997*F7997,"")</f>
        <v>30.846499999999999</v>
      </c>
      <c r="H7997" s="46">
        <f>SUM(G7997:G7997)</f>
        <v>30.846499999999999</v>
      </c>
      <c r="I7997" s="47"/>
      <c r="J7997" s="37">
        <v>0</v>
      </c>
    </row>
    <row r="7998" spans="1:10" ht="15.75" hidden="1" thickBot="1" x14ac:dyDescent="0.3">
      <c r="A7998" s="175"/>
      <c r="B7998" s="178"/>
      <c r="C7998" s="49"/>
      <c r="D7998" s="49"/>
      <c r="E7998" s="50"/>
      <c r="F7998" s="51" t="s">
        <v>13</v>
      </c>
      <c r="G7998" s="52" t="str">
        <f>IF(ISNUMBER(F7998),E7998*F7998,"")</f>
        <v/>
      </c>
      <c r="H7998" s="53"/>
      <c r="I7998" s="38"/>
      <c r="J7998" s="37">
        <v>0</v>
      </c>
    </row>
    <row r="7999" spans="1:10" ht="15.75" hidden="1" thickBot="1" x14ac:dyDescent="0.3">
      <c r="A7999" s="173" t="s">
        <v>1911</v>
      </c>
      <c r="B7999" s="176" t="s">
        <v>8335</v>
      </c>
      <c r="C7999" s="31"/>
      <c r="D7999" s="32" t="s">
        <v>18</v>
      </c>
      <c r="E7999" s="33"/>
      <c r="F7999" s="54" t="s">
        <v>13</v>
      </c>
      <c r="G7999" s="34" t="str">
        <f>IF(ISNUMBER(F7999),E7999*F7999,"")</f>
        <v/>
      </c>
      <c r="H7999" s="35"/>
      <c r="I7999" s="36"/>
      <c r="J7999" s="37">
        <v>0</v>
      </c>
    </row>
    <row r="8000" spans="1:10" hidden="1" x14ac:dyDescent="0.25">
      <c r="A8000" s="174"/>
      <c r="B8000" s="177"/>
      <c r="C8000" s="39"/>
      <c r="D8000" s="39"/>
      <c r="E8000" s="40"/>
      <c r="F8000" s="55" t="s">
        <v>13</v>
      </c>
      <c r="G8000" s="41" t="str">
        <f>IF(ISNUMBER(F8000),E8000*F8000,"")</f>
        <v/>
      </c>
      <c r="H8000" s="42"/>
      <c r="I8000" s="38"/>
      <c r="J8000" s="37">
        <v>0</v>
      </c>
    </row>
    <row r="8001" spans="1:10" ht="25.5" hidden="1" x14ac:dyDescent="0.25">
      <c r="A8001" s="174"/>
      <c r="B8001" s="177"/>
      <c r="C8001" s="43" t="s">
        <v>11535</v>
      </c>
      <c r="D8001" s="43" t="s">
        <v>83</v>
      </c>
      <c r="E8001" s="44">
        <v>1</v>
      </c>
      <c r="F8001" s="38">
        <v>4.0754999999999999</v>
      </c>
      <c r="G8001" s="41">
        <f>IF(ISNUMBER(F8001),E8001*F8001,"")</f>
        <v>4.0754999999999999</v>
      </c>
      <c r="H8001" s="46">
        <f>SUM(G8001:G8001)</f>
        <v>4.0754999999999999</v>
      </c>
      <c r="I8001" s="47"/>
      <c r="J8001" s="37">
        <v>0</v>
      </c>
    </row>
    <row r="8002" spans="1:10" ht="15.75" hidden="1" thickBot="1" x14ac:dyDescent="0.3">
      <c r="A8002" s="175"/>
      <c r="B8002" s="178"/>
      <c r="C8002" s="49"/>
      <c r="D8002" s="49"/>
      <c r="E8002" s="50"/>
      <c r="F8002" s="51" t="s">
        <v>13</v>
      </c>
      <c r="G8002" s="52" t="str">
        <f>IF(ISNUMBER(F8002),E8002*F8002,"")</f>
        <v/>
      </c>
      <c r="H8002" s="53"/>
      <c r="I8002" s="38"/>
      <c r="J8002" s="37">
        <v>0</v>
      </c>
    </row>
    <row r="8003" spans="1:10" ht="15.75" hidden="1" thickBot="1" x14ac:dyDescent="0.3">
      <c r="A8003" s="173" t="s">
        <v>1912</v>
      </c>
      <c r="B8003" s="176" t="s">
        <v>8336</v>
      </c>
      <c r="C8003" s="31"/>
      <c r="D8003" s="32" t="s">
        <v>18</v>
      </c>
      <c r="E8003" s="33"/>
      <c r="F8003" s="54" t="s">
        <v>13</v>
      </c>
      <c r="G8003" s="34" t="str">
        <f>IF(ISNUMBER(F8003),E8003*F8003,"")</f>
        <v/>
      </c>
      <c r="H8003" s="35"/>
      <c r="I8003" s="36"/>
      <c r="J8003" s="37">
        <v>0</v>
      </c>
    </row>
    <row r="8004" spans="1:10" hidden="1" x14ac:dyDescent="0.25">
      <c r="A8004" s="174"/>
      <c r="B8004" s="177"/>
      <c r="C8004" s="39"/>
      <c r="D8004" s="39"/>
      <c r="E8004" s="40"/>
      <c r="F8004" s="55" t="s">
        <v>13</v>
      </c>
      <c r="G8004" s="41" t="str">
        <f>IF(ISNUMBER(F8004),E8004*F8004,"")</f>
        <v/>
      </c>
      <c r="H8004" s="42"/>
      <c r="I8004" s="38"/>
      <c r="J8004" s="37">
        <v>0</v>
      </c>
    </row>
    <row r="8005" spans="1:10" ht="25.5" hidden="1" x14ac:dyDescent="0.25">
      <c r="A8005" s="174"/>
      <c r="B8005" s="177"/>
      <c r="C8005" s="43" t="s">
        <v>11536</v>
      </c>
      <c r="D8005" s="43" t="s">
        <v>83</v>
      </c>
      <c r="E8005" s="44">
        <v>1</v>
      </c>
      <c r="F8005" s="38">
        <v>4.9779999999999998</v>
      </c>
      <c r="G8005" s="41">
        <f>IF(ISNUMBER(F8005),E8005*F8005,"")</f>
        <v>4.9779999999999998</v>
      </c>
      <c r="H8005" s="46">
        <f>SUM(G8005:G8005)</f>
        <v>4.9779999999999998</v>
      </c>
      <c r="I8005" s="47"/>
      <c r="J8005" s="37">
        <v>0</v>
      </c>
    </row>
    <row r="8006" spans="1:10" ht="15.75" hidden="1" thickBot="1" x14ac:dyDescent="0.3">
      <c r="A8006" s="175"/>
      <c r="B8006" s="178"/>
      <c r="C8006" s="49"/>
      <c r="D8006" s="49"/>
      <c r="E8006" s="50"/>
      <c r="F8006" s="51" t="s">
        <v>13</v>
      </c>
      <c r="G8006" s="52" t="str">
        <f>IF(ISNUMBER(F8006),E8006*F8006,"")</f>
        <v/>
      </c>
      <c r="H8006" s="53"/>
      <c r="I8006" s="38"/>
      <c r="J8006" s="37">
        <v>0</v>
      </c>
    </row>
    <row r="8007" spans="1:10" ht="15.75" hidden="1" thickBot="1" x14ac:dyDescent="0.3">
      <c r="A8007" s="173" t="s">
        <v>1913</v>
      </c>
      <c r="B8007" s="176" t="s">
        <v>8337</v>
      </c>
      <c r="C8007" s="31"/>
      <c r="D8007" s="32" t="s">
        <v>18</v>
      </c>
      <c r="E8007" s="33"/>
      <c r="F8007" s="54" t="s">
        <v>13</v>
      </c>
      <c r="G8007" s="34" t="str">
        <f>IF(ISNUMBER(F8007),E8007*F8007,"")</f>
        <v/>
      </c>
      <c r="H8007" s="35"/>
      <c r="I8007" s="36"/>
      <c r="J8007" s="37">
        <v>0</v>
      </c>
    </row>
    <row r="8008" spans="1:10" hidden="1" x14ac:dyDescent="0.25">
      <c r="A8008" s="174"/>
      <c r="B8008" s="177"/>
      <c r="C8008" s="39"/>
      <c r="D8008" s="39"/>
      <c r="E8008" s="40"/>
      <c r="F8008" s="55" t="s">
        <v>13</v>
      </c>
      <c r="G8008" s="41" t="str">
        <f>IF(ISNUMBER(F8008),E8008*F8008,"")</f>
        <v/>
      </c>
      <c r="H8008" s="42"/>
      <c r="I8008" s="38"/>
      <c r="J8008" s="37">
        <v>0</v>
      </c>
    </row>
    <row r="8009" spans="1:10" ht="25.5" hidden="1" x14ac:dyDescent="0.25">
      <c r="A8009" s="174"/>
      <c r="B8009" s="177"/>
      <c r="C8009" s="43" t="s">
        <v>11537</v>
      </c>
      <c r="D8009" s="43" t="s">
        <v>83</v>
      </c>
      <c r="E8009" s="44">
        <v>1</v>
      </c>
      <c r="F8009" s="38">
        <v>29.269499999999997</v>
      </c>
      <c r="G8009" s="41">
        <f>IF(ISNUMBER(F8009),E8009*F8009,"")</f>
        <v>29.269499999999997</v>
      </c>
      <c r="H8009" s="46">
        <f>SUM(G8009:G8009)</f>
        <v>29.269499999999997</v>
      </c>
      <c r="I8009" s="47"/>
      <c r="J8009" s="37">
        <v>0</v>
      </c>
    </row>
    <row r="8010" spans="1:10" ht="15.75" hidden="1" thickBot="1" x14ac:dyDescent="0.3">
      <c r="A8010" s="175"/>
      <c r="B8010" s="178"/>
      <c r="C8010" s="49"/>
      <c r="D8010" s="49"/>
      <c r="E8010" s="50"/>
      <c r="F8010" s="51" t="s">
        <v>13</v>
      </c>
      <c r="G8010" s="52" t="str">
        <f>IF(ISNUMBER(F8010),E8010*F8010,"")</f>
        <v/>
      </c>
      <c r="H8010" s="53"/>
      <c r="I8010" s="38"/>
      <c r="J8010" s="37">
        <v>0</v>
      </c>
    </row>
    <row r="8011" spans="1:10" ht="15.75" hidden="1" thickBot="1" x14ac:dyDescent="0.3">
      <c r="A8011" s="173" t="s">
        <v>1914</v>
      </c>
      <c r="B8011" s="176" t="s">
        <v>8338</v>
      </c>
      <c r="C8011" s="31"/>
      <c r="D8011" s="32" t="s">
        <v>18</v>
      </c>
      <c r="E8011" s="33"/>
      <c r="F8011" s="54" t="s">
        <v>13</v>
      </c>
      <c r="G8011" s="34" t="str">
        <f>IF(ISNUMBER(F8011),E8011*F8011,"")</f>
        <v/>
      </c>
      <c r="H8011" s="35"/>
      <c r="I8011" s="36"/>
      <c r="J8011" s="37">
        <v>0</v>
      </c>
    </row>
    <row r="8012" spans="1:10" hidden="1" x14ac:dyDescent="0.25">
      <c r="A8012" s="174"/>
      <c r="B8012" s="177"/>
      <c r="C8012" s="39"/>
      <c r="D8012" s="39"/>
      <c r="E8012" s="40"/>
      <c r="F8012" s="55" t="s">
        <v>13</v>
      </c>
      <c r="G8012" s="41" t="str">
        <f>IF(ISNUMBER(F8012),E8012*F8012,"")</f>
        <v/>
      </c>
      <c r="H8012" s="42"/>
      <c r="I8012" s="38"/>
      <c r="J8012" s="37">
        <v>0</v>
      </c>
    </row>
    <row r="8013" spans="1:10" ht="25.5" hidden="1" x14ac:dyDescent="0.25">
      <c r="A8013" s="174"/>
      <c r="B8013" s="177"/>
      <c r="C8013" s="43" t="s">
        <v>11538</v>
      </c>
      <c r="D8013" s="43" t="s">
        <v>83</v>
      </c>
      <c r="E8013" s="44">
        <v>1</v>
      </c>
      <c r="F8013" s="38">
        <v>38.057000000000002</v>
      </c>
      <c r="G8013" s="41">
        <f>IF(ISNUMBER(F8013),E8013*F8013,"")</f>
        <v>38.057000000000002</v>
      </c>
      <c r="H8013" s="46">
        <f>SUM(G8013:G8013)</f>
        <v>38.057000000000002</v>
      </c>
      <c r="I8013" s="47"/>
      <c r="J8013" s="37">
        <v>0</v>
      </c>
    </row>
    <row r="8014" spans="1:10" ht="15.75" hidden="1" thickBot="1" x14ac:dyDescent="0.3">
      <c r="A8014" s="175"/>
      <c r="B8014" s="178"/>
      <c r="C8014" s="49"/>
      <c r="D8014" s="49"/>
      <c r="E8014" s="50"/>
      <c r="F8014" s="51" t="s">
        <v>13</v>
      </c>
      <c r="G8014" s="52" t="str">
        <f>IF(ISNUMBER(F8014),E8014*F8014,"")</f>
        <v/>
      </c>
      <c r="H8014" s="53"/>
      <c r="I8014" s="38"/>
      <c r="J8014" s="37">
        <v>0</v>
      </c>
    </row>
    <row r="8015" spans="1:10" ht="15.75" hidden="1" thickBot="1" x14ac:dyDescent="0.3">
      <c r="A8015" s="173" t="s">
        <v>1915</v>
      </c>
      <c r="B8015" s="176" t="s">
        <v>8339</v>
      </c>
      <c r="C8015" s="31"/>
      <c r="D8015" s="32" t="s">
        <v>18</v>
      </c>
      <c r="E8015" s="33"/>
      <c r="F8015" s="54" t="s">
        <v>13</v>
      </c>
      <c r="G8015" s="34" t="str">
        <f>IF(ISNUMBER(F8015),E8015*F8015,"")</f>
        <v/>
      </c>
      <c r="H8015" s="35"/>
      <c r="I8015" s="36"/>
      <c r="J8015" s="37">
        <v>0</v>
      </c>
    </row>
    <row r="8016" spans="1:10" hidden="1" x14ac:dyDescent="0.25">
      <c r="A8016" s="174"/>
      <c r="B8016" s="177"/>
      <c r="C8016" s="39"/>
      <c r="D8016" s="39"/>
      <c r="E8016" s="40"/>
      <c r="F8016" s="55" t="s">
        <v>13</v>
      </c>
      <c r="G8016" s="41" t="str">
        <f>IF(ISNUMBER(F8016),E8016*F8016,"")</f>
        <v/>
      </c>
      <c r="H8016" s="42"/>
      <c r="I8016" s="38"/>
      <c r="J8016" s="37">
        <v>0</v>
      </c>
    </row>
    <row r="8017" spans="1:10" ht="25.5" hidden="1" x14ac:dyDescent="0.25">
      <c r="A8017" s="174"/>
      <c r="B8017" s="177"/>
      <c r="C8017" s="43" t="s">
        <v>11539</v>
      </c>
      <c r="D8017" s="43" t="s">
        <v>83</v>
      </c>
      <c r="E8017" s="44">
        <v>1</v>
      </c>
      <c r="F8017" s="38">
        <v>43.823500000000003</v>
      </c>
      <c r="G8017" s="41">
        <f>IF(ISNUMBER(F8017),E8017*F8017,"")</f>
        <v>43.823500000000003</v>
      </c>
      <c r="H8017" s="46">
        <f>SUM(G8017:G8017)</f>
        <v>43.823500000000003</v>
      </c>
      <c r="I8017" s="47"/>
      <c r="J8017" s="37">
        <v>0</v>
      </c>
    </row>
    <row r="8018" spans="1:10" ht="15.75" hidden="1" thickBot="1" x14ac:dyDescent="0.3">
      <c r="A8018" s="175"/>
      <c r="B8018" s="178"/>
      <c r="C8018" s="49"/>
      <c r="D8018" s="49"/>
      <c r="E8018" s="50"/>
      <c r="F8018" s="51" t="s">
        <v>13</v>
      </c>
      <c r="G8018" s="52" t="str">
        <f>IF(ISNUMBER(F8018),E8018*F8018,"")</f>
        <v/>
      </c>
      <c r="H8018" s="53"/>
      <c r="I8018" s="38"/>
      <c r="J8018" s="37">
        <v>0</v>
      </c>
    </row>
    <row r="8019" spans="1:10" ht="15.75" hidden="1" thickBot="1" x14ac:dyDescent="0.3">
      <c r="A8019" s="173" t="s">
        <v>1916</v>
      </c>
      <c r="B8019" s="176" t="s">
        <v>8340</v>
      </c>
      <c r="C8019" s="31"/>
      <c r="D8019" s="32" t="s">
        <v>18</v>
      </c>
      <c r="E8019" s="33"/>
      <c r="F8019" s="54" t="s">
        <v>13</v>
      </c>
      <c r="G8019" s="34" t="str">
        <f>IF(ISNUMBER(F8019),E8019*F8019,"")</f>
        <v/>
      </c>
      <c r="H8019" s="35"/>
      <c r="I8019" s="36"/>
      <c r="J8019" s="37">
        <v>0</v>
      </c>
    </row>
    <row r="8020" spans="1:10" hidden="1" x14ac:dyDescent="0.25">
      <c r="A8020" s="174"/>
      <c r="B8020" s="177"/>
      <c r="C8020" s="39"/>
      <c r="D8020" s="39"/>
      <c r="E8020" s="40"/>
      <c r="F8020" s="55" t="s">
        <v>13</v>
      </c>
      <c r="G8020" s="41" t="str">
        <f>IF(ISNUMBER(F8020),E8020*F8020,"")</f>
        <v/>
      </c>
      <c r="H8020" s="42"/>
      <c r="I8020" s="38"/>
      <c r="J8020" s="37">
        <v>0</v>
      </c>
    </row>
    <row r="8021" spans="1:10" ht="25.5" hidden="1" x14ac:dyDescent="0.25">
      <c r="A8021" s="174"/>
      <c r="B8021" s="177"/>
      <c r="C8021" s="43" t="s">
        <v>11540</v>
      </c>
      <c r="D8021" s="43" t="s">
        <v>83</v>
      </c>
      <c r="E8021" s="44">
        <v>1</v>
      </c>
      <c r="F8021" s="38">
        <v>7.6094999999999997</v>
      </c>
      <c r="G8021" s="41">
        <f>IF(ISNUMBER(F8021),E8021*F8021,"")</f>
        <v>7.6094999999999997</v>
      </c>
      <c r="H8021" s="46">
        <f>SUM(G8021:G8021)</f>
        <v>7.6094999999999997</v>
      </c>
      <c r="I8021" s="47"/>
      <c r="J8021" s="37">
        <v>0</v>
      </c>
    </row>
    <row r="8022" spans="1:10" ht="15.75" hidden="1" thickBot="1" x14ac:dyDescent="0.3">
      <c r="A8022" s="175"/>
      <c r="B8022" s="178"/>
      <c r="C8022" s="49"/>
      <c r="D8022" s="49"/>
      <c r="E8022" s="50"/>
      <c r="F8022" s="51" t="s">
        <v>13</v>
      </c>
      <c r="G8022" s="52" t="str">
        <f>IF(ISNUMBER(F8022),E8022*F8022,"")</f>
        <v/>
      </c>
      <c r="H8022" s="53"/>
      <c r="I8022" s="38"/>
      <c r="J8022" s="37">
        <v>0</v>
      </c>
    </row>
    <row r="8023" spans="1:10" ht="15.75" hidden="1" thickBot="1" x14ac:dyDescent="0.3">
      <c r="A8023" s="173" t="s">
        <v>1917</v>
      </c>
      <c r="B8023" s="176" t="s">
        <v>8341</v>
      </c>
      <c r="C8023" s="31"/>
      <c r="D8023" s="32" t="s">
        <v>18</v>
      </c>
      <c r="E8023" s="33"/>
      <c r="F8023" s="54" t="s">
        <v>13</v>
      </c>
      <c r="G8023" s="34" t="str">
        <f>IF(ISNUMBER(F8023),E8023*F8023,"")</f>
        <v/>
      </c>
      <c r="H8023" s="35"/>
      <c r="I8023" s="36"/>
      <c r="J8023" s="37">
        <v>0</v>
      </c>
    </row>
    <row r="8024" spans="1:10" hidden="1" x14ac:dyDescent="0.25">
      <c r="A8024" s="174"/>
      <c r="B8024" s="177"/>
      <c r="C8024" s="39"/>
      <c r="D8024" s="39"/>
      <c r="E8024" s="40"/>
      <c r="F8024" s="55" t="s">
        <v>13</v>
      </c>
      <c r="G8024" s="41" t="str">
        <f>IF(ISNUMBER(F8024),E8024*F8024,"")</f>
        <v/>
      </c>
      <c r="H8024" s="42"/>
      <c r="I8024" s="38"/>
      <c r="J8024" s="37">
        <v>0</v>
      </c>
    </row>
    <row r="8025" spans="1:10" ht="25.5" hidden="1" x14ac:dyDescent="0.25">
      <c r="A8025" s="174"/>
      <c r="B8025" s="177"/>
      <c r="C8025" s="43" t="s">
        <v>11430</v>
      </c>
      <c r="D8025" s="43" t="s">
        <v>83</v>
      </c>
      <c r="E8025" s="44">
        <v>1</v>
      </c>
      <c r="F8025" s="38">
        <v>51.148000000000003</v>
      </c>
      <c r="G8025" s="41">
        <f>IF(ISNUMBER(F8025),E8025*F8025,"")</f>
        <v>51.148000000000003</v>
      </c>
      <c r="H8025" s="46">
        <f>SUM(G8025:G8025)</f>
        <v>51.148000000000003</v>
      </c>
      <c r="I8025" s="47"/>
      <c r="J8025" s="37">
        <v>0</v>
      </c>
    </row>
    <row r="8026" spans="1:10" ht="15.75" hidden="1" thickBot="1" x14ac:dyDescent="0.3">
      <c r="A8026" s="175"/>
      <c r="B8026" s="178"/>
      <c r="C8026" s="49"/>
      <c r="D8026" s="49"/>
      <c r="E8026" s="50"/>
      <c r="F8026" s="51" t="s">
        <v>13</v>
      </c>
      <c r="G8026" s="52" t="str">
        <f>IF(ISNUMBER(F8026),E8026*F8026,"")</f>
        <v/>
      </c>
      <c r="H8026" s="53"/>
      <c r="I8026" s="38"/>
      <c r="J8026" s="37">
        <v>0</v>
      </c>
    </row>
    <row r="8027" spans="1:10" ht="15.75" hidden="1" thickBot="1" x14ac:dyDescent="0.3">
      <c r="A8027" s="173" t="s">
        <v>1918</v>
      </c>
      <c r="B8027" s="176" t="s">
        <v>8342</v>
      </c>
      <c r="C8027" s="31"/>
      <c r="D8027" s="32" t="s">
        <v>18</v>
      </c>
      <c r="E8027" s="33"/>
      <c r="F8027" s="54" t="s">
        <v>13</v>
      </c>
      <c r="G8027" s="34" t="str">
        <f>IF(ISNUMBER(F8027),E8027*F8027,"")</f>
        <v/>
      </c>
      <c r="H8027" s="35"/>
      <c r="I8027" s="36"/>
      <c r="J8027" s="37">
        <v>0</v>
      </c>
    </row>
    <row r="8028" spans="1:10" hidden="1" x14ac:dyDescent="0.25">
      <c r="A8028" s="174"/>
      <c r="B8028" s="177"/>
      <c r="C8028" s="39"/>
      <c r="D8028" s="39"/>
      <c r="E8028" s="40"/>
      <c r="F8028" s="55" t="s">
        <v>13</v>
      </c>
      <c r="G8028" s="41" t="str">
        <f>IF(ISNUMBER(F8028),E8028*F8028,"")</f>
        <v/>
      </c>
      <c r="H8028" s="42"/>
      <c r="I8028" s="38"/>
      <c r="J8028" s="37">
        <v>0</v>
      </c>
    </row>
    <row r="8029" spans="1:10" ht="25.5" hidden="1" x14ac:dyDescent="0.25">
      <c r="A8029" s="174"/>
      <c r="B8029" s="177"/>
      <c r="C8029" s="43" t="s">
        <v>11541</v>
      </c>
      <c r="D8029" s="43" t="s">
        <v>83</v>
      </c>
      <c r="E8029" s="44">
        <v>1</v>
      </c>
      <c r="F8029" s="38">
        <v>95.294499999999999</v>
      </c>
      <c r="G8029" s="41">
        <f>IF(ISNUMBER(F8029),E8029*F8029,"")</f>
        <v>95.294499999999999</v>
      </c>
      <c r="H8029" s="46">
        <f>SUM(G8029:G8029)</f>
        <v>95.294499999999999</v>
      </c>
      <c r="I8029" s="47"/>
      <c r="J8029" s="37">
        <v>0</v>
      </c>
    </row>
    <row r="8030" spans="1:10" ht="15.75" hidden="1" thickBot="1" x14ac:dyDescent="0.3">
      <c r="A8030" s="175"/>
      <c r="B8030" s="178"/>
      <c r="C8030" s="49"/>
      <c r="D8030" s="49"/>
      <c r="E8030" s="50"/>
      <c r="F8030" s="51" t="s">
        <v>13</v>
      </c>
      <c r="G8030" s="52" t="str">
        <f>IF(ISNUMBER(F8030),E8030*F8030,"")</f>
        <v/>
      </c>
      <c r="H8030" s="53"/>
      <c r="I8030" s="38"/>
      <c r="J8030" s="37">
        <v>0</v>
      </c>
    </row>
    <row r="8031" spans="1:10" ht="15.75" hidden="1" thickBot="1" x14ac:dyDescent="0.3">
      <c r="A8031" s="173" t="s">
        <v>1919</v>
      </c>
      <c r="B8031" s="176" t="s">
        <v>8343</v>
      </c>
      <c r="C8031" s="31"/>
      <c r="D8031" s="32" t="s">
        <v>18</v>
      </c>
      <c r="E8031" s="33"/>
      <c r="F8031" s="54" t="s">
        <v>13</v>
      </c>
      <c r="G8031" s="34" t="str">
        <f>IF(ISNUMBER(F8031),E8031*F8031,"")</f>
        <v/>
      </c>
      <c r="H8031" s="35"/>
      <c r="I8031" s="36"/>
      <c r="J8031" s="37">
        <v>0</v>
      </c>
    </row>
    <row r="8032" spans="1:10" hidden="1" x14ac:dyDescent="0.25">
      <c r="A8032" s="174"/>
      <c r="B8032" s="177"/>
      <c r="C8032" s="39"/>
      <c r="D8032" s="39"/>
      <c r="E8032" s="40"/>
      <c r="F8032" s="55" t="s">
        <v>13</v>
      </c>
      <c r="G8032" s="41" t="str">
        <f>IF(ISNUMBER(F8032),E8032*F8032,"")</f>
        <v/>
      </c>
      <c r="H8032" s="42"/>
      <c r="I8032" s="38"/>
      <c r="J8032" s="37">
        <v>0</v>
      </c>
    </row>
    <row r="8033" spans="1:10" hidden="1" x14ac:dyDescent="0.25">
      <c r="A8033" s="174"/>
      <c r="B8033" s="177"/>
      <c r="C8033" s="43" t="s">
        <v>11542</v>
      </c>
      <c r="D8033" s="43" t="s">
        <v>83</v>
      </c>
      <c r="E8033" s="44">
        <v>1</v>
      </c>
      <c r="F8033" s="38">
        <v>23.322499999999998</v>
      </c>
      <c r="G8033" s="41">
        <f>IF(ISNUMBER(F8033),E8033*F8033,"")</f>
        <v>23.322499999999998</v>
      </c>
      <c r="H8033" s="46">
        <f>SUM(G8033:G8033)</f>
        <v>23.322499999999998</v>
      </c>
      <c r="I8033" s="47"/>
      <c r="J8033" s="37">
        <v>0</v>
      </c>
    </row>
    <row r="8034" spans="1:10" ht="15.75" hidden="1" thickBot="1" x14ac:dyDescent="0.3">
      <c r="A8034" s="175"/>
      <c r="B8034" s="178"/>
      <c r="C8034" s="49"/>
      <c r="D8034" s="49"/>
      <c r="E8034" s="50"/>
      <c r="F8034" s="51" t="s">
        <v>13</v>
      </c>
      <c r="G8034" s="52" t="str">
        <f>IF(ISNUMBER(F8034),E8034*F8034,"")</f>
        <v/>
      </c>
      <c r="H8034" s="53"/>
      <c r="I8034" s="38"/>
      <c r="J8034" s="37">
        <v>0</v>
      </c>
    </row>
    <row r="8035" spans="1:10" ht="15.75" hidden="1" thickBot="1" x14ac:dyDescent="0.3">
      <c r="A8035" s="173" t="s">
        <v>1920</v>
      </c>
      <c r="B8035" s="176" t="s">
        <v>8344</v>
      </c>
      <c r="C8035" s="31"/>
      <c r="D8035" s="32" t="s">
        <v>18</v>
      </c>
      <c r="E8035" s="33"/>
      <c r="F8035" s="54" t="s">
        <v>13</v>
      </c>
      <c r="G8035" s="34" t="str">
        <f>IF(ISNUMBER(F8035),E8035*F8035,"")</f>
        <v/>
      </c>
      <c r="H8035" s="35"/>
      <c r="I8035" s="36"/>
      <c r="J8035" s="37">
        <v>0</v>
      </c>
    </row>
    <row r="8036" spans="1:10" hidden="1" x14ac:dyDescent="0.25">
      <c r="A8036" s="174"/>
      <c r="B8036" s="177"/>
      <c r="C8036" s="39"/>
      <c r="D8036" s="39"/>
      <c r="E8036" s="40"/>
      <c r="F8036" s="55" t="s">
        <v>13</v>
      </c>
      <c r="G8036" s="41" t="str">
        <f>IF(ISNUMBER(F8036),E8036*F8036,"")</f>
        <v/>
      </c>
      <c r="H8036" s="42"/>
      <c r="I8036" s="38"/>
      <c r="J8036" s="37">
        <v>0</v>
      </c>
    </row>
    <row r="8037" spans="1:10" ht="25.5" hidden="1" x14ac:dyDescent="0.25">
      <c r="A8037" s="174"/>
      <c r="B8037" s="177"/>
      <c r="C8037" s="43" t="s">
        <v>11543</v>
      </c>
      <c r="D8037" s="43" t="s">
        <v>83</v>
      </c>
      <c r="E8037" s="44">
        <v>1</v>
      </c>
      <c r="F8037" s="38">
        <v>72.79849999999999</v>
      </c>
      <c r="G8037" s="41">
        <f>IF(ISNUMBER(F8037),E8037*F8037,"")</f>
        <v>72.79849999999999</v>
      </c>
      <c r="H8037" s="46">
        <f>SUM(G8037:G8037)</f>
        <v>72.79849999999999</v>
      </c>
      <c r="I8037" s="47"/>
      <c r="J8037" s="37">
        <v>0</v>
      </c>
    </row>
    <row r="8038" spans="1:10" ht="15.75" hidden="1" thickBot="1" x14ac:dyDescent="0.3">
      <c r="A8038" s="175"/>
      <c r="B8038" s="178"/>
      <c r="C8038" s="49"/>
      <c r="D8038" s="49"/>
      <c r="E8038" s="50"/>
      <c r="F8038" s="51" t="s">
        <v>13</v>
      </c>
      <c r="G8038" s="52" t="str">
        <f>IF(ISNUMBER(F8038),E8038*F8038,"")</f>
        <v/>
      </c>
      <c r="H8038" s="53"/>
      <c r="I8038" s="38"/>
      <c r="J8038" s="37">
        <v>0</v>
      </c>
    </row>
    <row r="8039" spans="1:10" ht="15.75" hidden="1" thickBot="1" x14ac:dyDescent="0.3">
      <c r="A8039" s="173" t="s">
        <v>1921</v>
      </c>
      <c r="B8039" s="176" t="s">
        <v>8345</v>
      </c>
      <c r="C8039" s="31"/>
      <c r="D8039" s="32" t="s">
        <v>18</v>
      </c>
      <c r="E8039" s="33"/>
      <c r="F8039" s="54" t="s">
        <v>13</v>
      </c>
      <c r="G8039" s="34" t="str">
        <f>IF(ISNUMBER(F8039),E8039*F8039,"")</f>
        <v/>
      </c>
      <c r="H8039" s="35"/>
      <c r="I8039" s="36"/>
      <c r="J8039" s="37">
        <v>0</v>
      </c>
    </row>
    <row r="8040" spans="1:10" hidden="1" x14ac:dyDescent="0.25">
      <c r="A8040" s="174"/>
      <c r="B8040" s="177"/>
      <c r="C8040" s="39"/>
      <c r="D8040" s="39"/>
      <c r="E8040" s="40"/>
      <c r="F8040" s="55" t="s">
        <v>13</v>
      </c>
      <c r="G8040" s="41" t="str">
        <f>IF(ISNUMBER(F8040),E8040*F8040,"")</f>
        <v/>
      </c>
      <c r="H8040" s="42"/>
      <c r="I8040" s="38"/>
      <c r="J8040" s="37">
        <v>0</v>
      </c>
    </row>
    <row r="8041" spans="1:10" ht="25.5" hidden="1" x14ac:dyDescent="0.25">
      <c r="A8041" s="174"/>
      <c r="B8041" s="177"/>
      <c r="C8041" s="43" t="s">
        <v>11544</v>
      </c>
      <c r="D8041" s="43" t="s">
        <v>83</v>
      </c>
      <c r="E8041" s="44">
        <v>1</v>
      </c>
      <c r="F8041" s="38">
        <v>58.444000000000003</v>
      </c>
      <c r="G8041" s="41">
        <f>IF(ISNUMBER(F8041),E8041*F8041,"")</f>
        <v>58.444000000000003</v>
      </c>
      <c r="H8041" s="46">
        <f>SUM(G8041:G8041)</f>
        <v>58.444000000000003</v>
      </c>
      <c r="I8041" s="47"/>
      <c r="J8041" s="37">
        <v>0</v>
      </c>
    </row>
    <row r="8042" spans="1:10" ht="15.75" hidden="1" thickBot="1" x14ac:dyDescent="0.3">
      <c r="A8042" s="175"/>
      <c r="B8042" s="178"/>
      <c r="C8042" s="49"/>
      <c r="D8042" s="49"/>
      <c r="E8042" s="50"/>
      <c r="F8042" s="51" t="s">
        <v>13</v>
      </c>
      <c r="G8042" s="52" t="str">
        <f>IF(ISNUMBER(F8042),E8042*F8042,"")</f>
        <v/>
      </c>
      <c r="H8042" s="53"/>
      <c r="I8042" s="38"/>
      <c r="J8042" s="37">
        <v>0</v>
      </c>
    </row>
    <row r="8043" spans="1:10" ht="15.75" hidden="1" thickBot="1" x14ac:dyDescent="0.3">
      <c r="A8043" s="173" t="s">
        <v>1922</v>
      </c>
      <c r="B8043" s="176" t="s">
        <v>8346</v>
      </c>
      <c r="C8043" s="31"/>
      <c r="D8043" s="32" t="s">
        <v>18</v>
      </c>
      <c r="E8043" s="33"/>
      <c r="F8043" s="54" t="s">
        <v>13</v>
      </c>
      <c r="G8043" s="34" t="str">
        <f>IF(ISNUMBER(F8043),E8043*F8043,"")</f>
        <v/>
      </c>
      <c r="H8043" s="35"/>
      <c r="I8043" s="36"/>
      <c r="J8043" s="37">
        <v>0</v>
      </c>
    </row>
    <row r="8044" spans="1:10" hidden="1" x14ac:dyDescent="0.25">
      <c r="A8044" s="174"/>
      <c r="B8044" s="177"/>
      <c r="C8044" s="39"/>
      <c r="D8044" s="39"/>
      <c r="E8044" s="40"/>
      <c r="F8044" s="55" t="s">
        <v>13</v>
      </c>
      <c r="G8044" s="41" t="str">
        <f>IF(ISNUMBER(F8044),E8044*F8044,"")</f>
        <v/>
      </c>
      <c r="H8044" s="42"/>
      <c r="I8044" s="38"/>
      <c r="J8044" s="37">
        <v>0</v>
      </c>
    </row>
    <row r="8045" spans="1:10" ht="25.5" hidden="1" x14ac:dyDescent="0.25">
      <c r="A8045" s="174"/>
      <c r="B8045" s="177"/>
      <c r="C8045" s="43" t="s">
        <v>11545</v>
      </c>
      <c r="D8045" s="43" t="s">
        <v>83</v>
      </c>
      <c r="E8045" s="44">
        <v>1</v>
      </c>
      <c r="F8045" s="38">
        <v>64.105999999999995</v>
      </c>
      <c r="G8045" s="41">
        <f>IF(ISNUMBER(F8045),E8045*F8045,"")</f>
        <v>64.105999999999995</v>
      </c>
      <c r="H8045" s="46">
        <f>SUM(G8045:G8045)</f>
        <v>64.105999999999995</v>
      </c>
      <c r="I8045" s="47"/>
      <c r="J8045" s="37">
        <v>0</v>
      </c>
    </row>
    <row r="8046" spans="1:10" ht="15.75" hidden="1" thickBot="1" x14ac:dyDescent="0.3">
      <c r="A8046" s="175"/>
      <c r="B8046" s="178"/>
      <c r="C8046" s="49"/>
      <c r="D8046" s="49"/>
      <c r="E8046" s="50"/>
      <c r="F8046" s="51" t="s">
        <v>13</v>
      </c>
      <c r="G8046" s="52" t="str">
        <f>IF(ISNUMBER(F8046),E8046*F8046,"")</f>
        <v/>
      </c>
      <c r="H8046" s="53"/>
      <c r="I8046" s="38"/>
      <c r="J8046" s="37">
        <v>0</v>
      </c>
    </row>
    <row r="8047" spans="1:10" ht="15.75" hidden="1" thickBot="1" x14ac:dyDescent="0.3">
      <c r="A8047" s="173" t="s">
        <v>1923</v>
      </c>
      <c r="B8047" s="176" t="s">
        <v>8347</v>
      </c>
      <c r="C8047" s="31"/>
      <c r="D8047" s="32" t="s">
        <v>18</v>
      </c>
      <c r="E8047" s="33"/>
      <c r="F8047" s="54" t="s">
        <v>13</v>
      </c>
      <c r="G8047" s="34" t="str">
        <f>IF(ISNUMBER(F8047),E8047*F8047,"")</f>
        <v/>
      </c>
      <c r="H8047" s="35"/>
      <c r="I8047" s="36"/>
      <c r="J8047" s="37">
        <v>0</v>
      </c>
    </row>
    <row r="8048" spans="1:10" hidden="1" x14ac:dyDescent="0.25">
      <c r="A8048" s="174"/>
      <c r="B8048" s="177"/>
      <c r="C8048" s="39"/>
      <c r="D8048" s="39"/>
      <c r="E8048" s="40"/>
      <c r="F8048" s="55" t="s">
        <v>13</v>
      </c>
      <c r="G8048" s="41" t="str">
        <f>IF(ISNUMBER(F8048),E8048*F8048,"")</f>
        <v/>
      </c>
      <c r="H8048" s="42"/>
      <c r="I8048" s="38"/>
      <c r="J8048" s="37">
        <v>0</v>
      </c>
    </row>
    <row r="8049" spans="1:10" hidden="1" x14ac:dyDescent="0.25">
      <c r="A8049" s="174"/>
      <c r="B8049" s="177"/>
      <c r="C8049" s="43" t="s">
        <v>11546</v>
      </c>
      <c r="D8049" s="43" t="s">
        <v>83</v>
      </c>
      <c r="E8049" s="44">
        <v>1</v>
      </c>
      <c r="F8049" s="38">
        <v>21.802499999999998</v>
      </c>
      <c r="G8049" s="41">
        <f>IF(ISNUMBER(F8049),E8049*F8049,"")</f>
        <v>21.802499999999998</v>
      </c>
      <c r="H8049" s="46">
        <f>SUM(G8049:G8049)</f>
        <v>21.802499999999998</v>
      </c>
      <c r="I8049" s="47"/>
      <c r="J8049" s="37">
        <v>0</v>
      </c>
    </row>
    <row r="8050" spans="1:10" ht="15.75" hidden="1" thickBot="1" x14ac:dyDescent="0.3">
      <c r="A8050" s="175"/>
      <c r="B8050" s="178"/>
      <c r="C8050" s="49"/>
      <c r="D8050" s="49"/>
      <c r="E8050" s="50"/>
      <c r="F8050" s="51" t="s">
        <v>13</v>
      </c>
      <c r="G8050" s="52" t="str">
        <f>IF(ISNUMBER(F8050),E8050*F8050,"")</f>
        <v/>
      </c>
      <c r="H8050" s="53"/>
      <c r="I8050" s="38"/>
      <c r="J8050" s="37">
        <v>0</v>
      </c>
    </row>
    <row r="8051" spans="1:10" ht="15.75" hidden="1" thickBot="1" x14ac:dyDescent="0.3">
      <c r="A8051" s="173" t="s">
        <v>1924</v>
      </c>
      <c r="B8051" s="176" t="s">
        <v>8348</v>
      </c>
      <c r="C8051" s="31"/>
      <c r="D8051" s="32" t="s">
        <v>18</v>
      </c>
      <c r="E8051" s="33"/>
      <c r="F8051" s="54" t="s">
        <v>13</v>
      </c>
      <c r="G8051" s="34" t="str">
        <f>IF(ISNUMBER(F8051),E8051*F8051,"")</f>
        <v/>
      </c>
      <c r="H8051" s="35"/>
      <c r="I8051" s="36"/>
      <c r="J8051" s="37">
        <v>0</v>
      </c>
    </row>
    <row r="8052" spans="1:10" hidden="1" x14ac:dyDescent="0.25">
      <c r="A8052" s="174"/>
      <c r="B8052" s="177"/>
      <c r="C8052" s="39"/>
      <c r="D8052" s="39"/>
      <c r="E8052" s="40"/>
      <c r="F8052" s="55" t="s">
        <v>13</v>
      </c>
      <c r="G8052" s="41" t="str">
        <f>IF(ISNUMBER(F8052),E8052*F8052,"")</f>
        <v/>
      </c>
      <c r="H8052" s="42"/>
      <c r="I8052" s="38"/>
      <c r="J8052" s="37">
        <v>0</v>
      </c>
    </row>
    <row r="8053" spans="1:10" ht="25.5" hidden="1" x14ac:dyDescent="0.25">
      <c r="A8053" s="174"/>
      <c r="B8053" s="177"/>
      <c r="C8053" s="43" t="s">
        <v>11547</v>
      </c>
      <c r="D8053" s="43" t="s">
        <v>83</v>
      </c>
      <c r="E8053" s="44">
        <v>1</v>
      </c>
      <c r="F8053" s="38">
        <v>38.294499999999999</v>
      </c>
      <c r="G8053" s="41">
        <f>IF(ISNUMBER(F8053),E8053*F8053,"")</f>
        <v>38.294499999999999</v>
      </c>
      <c r="H8053" s="46">
        <f>SUM(G8053:G8053)</f>
        <v>38.294499999999999</v>
      </c>
      <c r="I8053" s="47"/>
      <c r="J8053" s="37">
        <v>0</v>
      </c>
    </row>
    <row r="8054" spans="1:10" ht="15.75" hidden="1" thickBot="1" x14ac:dyDescent="0.3">
      <c r="A8054" s="175"/>
      <c r="B8054" s="178"/>
      <c r="C8054" s="49"/>
      <c r="D8054" s="49"/>
      <c r="E8054" s="50"/>
      <c r="F8054" s="51" t="s">
        <v>13</v>
      </c>
      <c r="G8054" s="52" t="str">
        <f>IF(ISNUMBER(F8054),E8054*F8054,"")</f>
        <v/>
      </c>
      <c r="H8054" s="53"/>
      <c r="I8054" s="38"/>
      <c r="J8054" s="37">
        <v>0</v>
      </c>
    </row>
    <row r="8055" spans="1:10" ht="15.75" hidden="1" thickBot="1" x14ac:dyDescent="0.3">
      <c r="A8055" s="173" t="s">
        <v>1925</v>
      </c>
      <c r="B8055" s="176" t="s">
        <v>8349</v>
      </c>
      <c r="C8055" s="31"/>
      <c r="D8055" s="32" t="s">
        <v>18</v>
      </c>
      <c r="E8055" s="33"/>
      <c r="F8055" s="54" t="s">
        <v>13</v>
      </c>
      <c r="G8055" s="34" t="str">
        <f>IF(ISNUMBER(F8055),E8055*F8055,"")</f>
        <v/>
      </c>
      <c r="H8055" s="35"/>
      <c r="I8055" s="36"/>
      <c r="J8055" s="37">
        <v>0</v>
      </c>
    </row>
    <row r="8056" spans="1:10" hidden="1" x14ac:dyDescent="0.25">
      <c r="A8056" s="174"/>
      <c r="B8056" s="177"/>
      <c r="C8056" s="39"/>
      <c r="D8056" s="39"/>
      <c r="E8056" s="40"/>
      <c r="F8056" s="55" t="s">
        <v>13</v>
      </c>
      <c r="G8056" s="41" t="str">
        <f>IF(ISNUMBER(F8056),E8056*F8056,"")</f>
        <v/>
      </c>
      <c r="H8056" s="42"/>
      <c r="I8056" s="38"/>
      <c r="J8056" s="37">
        <v>0</v>
      </c>
    </row>
    <row r="8057" spans="1:10" hidden="1" x14ac:dyDescent="0.25">
      <c r="A8057" s="174"/>
      <c r="B8057" s="177"/>
      <c r="C8057" s="43" t="s">
        <v>11548</v>
      </c>
      <c r="D8057" s="43" t="s">
        <v>83</v>
      </c>
      <c r="E8057" s="44">
        <v>1</v>
      </c>
      <c r="F8057" s="38">
        <v>163.44749999999999</v>
      </c>
      <c r="G8057" s="41">
        <f>IF(ISNUMBER(F8057),E8057*F8057,"")</f>
        <v>163.44749999999999</v>
      </c>
      <c r="H8057" s="46">
        <f>SUM(G8057:G8057)</f>
        <v>163.44749999999999</v>
      </c>
      <c r="I8057" s="47"/>
      <c r="J8057" s="37">
        <v>0</v>
      </c>
    </row>
    <row r="8058" spans="1:10" ht="15.75" hidden="1" thickBot="1" x14ac:dyDescent="0.3">
      <c r="A8058" s="175"/>
      <c r="B8058" s="178"/>
      <c r="C8058" s="49"/>
      <c r="D8058" s="49"/>
      <c r="E8058" s="50"/>
      <c r="F8058" s="51" t="s">
        <v>13</v>
      </c>
      <c r="G8058" s="52" t="str">
        <f>IF(ISNUMBER(F8058),E8058*F8058,"")</f>
        <v/>
      </c>
      <c r="H8058" s="53"/>
      <c r="I8058" s="38"/>
      <c r="J8058" s="37">
        <v>0</v>
      </c>
    </row>
    <row r="8059" spans="1:10" ht="15.75" hidden="1" thickBot="1" x14ac:dyDescent="0.3">
      <c r="A8059" s="173" t="s">
        <v>1926</v>
      </c>
      <c r="B8059" s="176" t="s">
        <v>8350</v>
      </c>
      <c r="C8059" s="31"/>
      <c r="D8059" s="32" t="s">
        <v>18</v>
      </c>
      <c r="E8059" s="33"/>
      <c r="F8059" s="54" t="s">
        <v>13</v>
      </c>
      <c r="G8059" s="34" t="str">
        <f>IF(ISNUMBER(F8059),E8059*F8059,"")</f>
        <v/>
      </c>
      <c r="H8059" s="35"/>
      <c r="I8059" s="36"/>
      <c r="J8059" s="37">
        <v>0</v>
      </c>
    </row>
    <row r="8060" spans="1:10" hidden="1" x14ac:dyDescent="0.25">
      <c r="A8060" s="174"/>
      <c r="B8060" s="177"/>
      <c r="C8060" s="39"/>
      <c r="D8060" s="39"/>
      <c r="E8060" s="40"/>
      <c r="F8060" s="55" t="s">
        <v>13</v>
      </c>
      <c r="G8060" s="41" t="str">
        <f>IF(ISNUMBER(F8060),E8060*F8060,"")</f>
        <v/>
      </c>
      <c r="H8060" s="42"/>
      <c r="I8060" s="38"/>
      <c r="J8060" s="37">
        <v>0</v>
      </c>
    </row>
    <row r="8061" spans="1:10" hidden="1" x14ac:dyDescent="0.25">
      <c r="A8061" s="174"/>
      <c r="B8061" s="177"/>
      <c r="C8061" s="43" t="s">
        <v>1927</v>
      </c>
      <c r="D8061" s="43" t="s">
        <v>18</v>
      </c>
      <c r="E8061" s="44">
        <v>1</v>
      </c>
      <c r="F8061" s="38" t="s">
        <v>13</v>
      </c>
      <c r="G8061" s="41" t="str">
        <f>IF(ISNUMBER(F8061),E8061*F8061,"")</f>
        <v/>
      </c>
      <c r="H8061" s="46">
        <f>SUM(G8061:G8061)</f>
        <v>0</v>
      </c>
      <c r="I8061" s="47"/>
      <c r="J8061" s="37">
        <v>0</v>
      </c>
    </row>
    <row r="8062" spans="1:10" ht="15.75" hidden="1" thickBot="1" x14ac:dyDescent="0.3">
      <c r="A8062" s="175"/>
      <c r="B8062" s="178"/>
      <c r="C8062" s="49"/>
      <c r="D8062" s="49"/>
      <c r="E8062" s="50"/>
      <c r="F8062" s="51" t="s">
        <v>13</v>
      </c>
      <c r="G8062" s="52" t="str">
        <f>IF(ISNUMBER(F8062),E8062*F8062,"")</f>
        <v/>
      </c>
      <c r="H8062" s="53"/>
      <c r="I8062" s="38"/>
      <c r="J8062" s="37">
        <v>0</v>
      </c>
    </row>
    <row r="8063" spans="1:10" ht="15.75" hidden="1" thickBot="1" x14ac:dyDescent="0.3">
      <c r="A8063" s="173" t="s">
        <v>1928</v>
      </c>
      <c r="B8063" s="176" t="s">
        <v>8351</v>
      </c>
      <c r="C8063" s="31"/>
      <c r="D8063" s="32" t="s">
        <v>18</v>
      </c>
      <c r="E8063" s="33"/>
      <c r="F8063" s="54" t="s">
        <v>13</v>
      </c>
      <c r="G8063" s="34" t="str">
        <f>IF(ISNUMBER(F8063),E8063*F8063,"")</f>
        <v/>
      </c>
      <c r="H8063" s="35"/>
      <c r="I8063" s="36"/>
      <c r="J8063" s="37">
        <v>0</v>
      </c>
    </row>
    <row r="8064" spans="1:10" hidden="1" x14ac:dyDescent="0.25">
      <c r="A8064" s="174"/>
      <c r="B8064" s="177"/>
      <c r="C8064" s="39"/>
      <c r="D8064" s="39"/>
      <c r="E8064" s="40"/>
      <c r="F8064" s="55" t="s">
        <v>13</v>
      </c>
      <c r="G8064" s="41" t="str">
        <f>IF(ISNUMBER(F8064),E8064*F8064,"")</f>
        <v/>
      </c>
      <c r="H8064" s="42"/>
      <c r="I8064" s="38"/>
      <c r="J8064" s="37">
        <v>0</v>
      </c>
    </row>
    <row r="8065" spans="1:10" ht="25.5" hidden="1" x14ac:dyDescent="0.25">
      <c r="A8065" s="174"/>
      <c r="B8065" s="177"/>
      <c r="C8065" s="43" t="s">
        <v>11549</v>
      </c>
      <c r="D8065" s="43" t="s">
        <v>83</v>
      </c>
      <c r="E8065" s="44">
        <v>1</v>
      </c>
      <c r="F8065" s="38">
        <v>21.698</v>
      </c>
      <c r="G8065" s="41">
        <f>IF(ISNUMBER(F8065),E8065*F8065,"")</f>
        <v>21.698</v>
      </c>
      <c r="H8065" s="46">
        <f>SUM(G8065:G8065)</f>
        <v>21.698</v>
      </c>
      <c r="I8065" s="47"/>
      <c r="J8065" s="37">
        <v>0</v>
      </c>
    </row>
    <row r="8066" spans="1:10" ht="15.75" hidden="1" thickBot="1" x14ac:dyDescent="0.3">
      <c r="A8066" s="175"/>
      <c r="B8066" s="178"/>
      <c r="C8066" s="49"/>
      <c r="D8066" s="49"/>
      <c r="E8066" s="50"/>
      <c r="F8066" s="51" t="s">
        <v>13</v>
      </c>
      <c r="G8066" s="52" t="str">
        <f>IF(ISNUMBER(F8066),E8066*F8066,"")</f>
        <v/>
      </c>
      <c r="H8066" s="53"/>
      <c r="I8066" s="38"/>
      <c r="J8066" s="37">
        <v>0</v>
      </c>
    </row>
    <row r="8067" spans="1:10" ht="15.75" hidden="1" thickBot="1" x14ac:dyDescent="0.3">
      <c r="A8067" s="173" t="s">
        <v>1929</v>
      </c>
      <c r="B8067" s="176" t="s">
        <v>8352</v>
      </c>
      <c r="C8067" s="31"/>
      <c r="D8067" s="32" t="s">
        <v>18</v>
      </c>
      <c r="E8067" s="33"/>
      <c r="F8067" s="54" t="s">
        <v>13</v>
      </c>
      <c r="G8067" s="34" t="str">
        <f>IF(ISNUMBER(F8067),E8067*F8067,"")</f>
        <v/>
      </c>
      <c r="H8067" s="35"/>
      <c r="I8067" s="36"/>
      <c r="J8067" s="37">
        <v>0</v>
      </c>
    </row>
    <row r="8068" spans="1:10" hidden="1" x14ac:dyDescent="0.25">
      <c r="A8068" s="174"/>
      <c r="B8068" s="177"/>
      <c r="C8068" s="39"/>
      <c r="D8068" s="39"/>
      <c r="E8068" s="40"/>
      <c r="F8068" s="55" t="s">
        <v>13</v>
      </c>
      <c r="G8068" s="41" t="str">
        <f>IF(ISNUMBER(F8068),E8068*F8068,"")</f>
        <v/>
      </c>
      <c r="H8068" s="42"/>
      <c r="I8068" s="38"/>
      <c r="J8068" s="37">
        <v>0</v>
      </c>
    </row>
    <row r="8069" spans="1:10" ht="25.5" hidden="1" x14ac:dyDescent="0.25">
      <c r="A8069" s="174"/>
      <c r="B8069" s="177"/>
      <c r="C8069" s="43" t="s">
        <v>11550</v>
      </c>
      <c r="D8069" s="43" t="s">
        <v>83</v>
      </c>
      <c r="E8069" s="44">
        <v>1</v>
      </c>
      <c r="F8069" s="38">
        <v>238.393</v>
      </c>
      <c r="G8069" s="41">
        <f>IF(ISNUMBER(F8069),E8069*F8069,"")</f>
        <v>238.393</v>
      </c>
      <c r="H8069" s="46">
        <f>SUM(G8069:G8069)</f>
        <v>238.393</v>
      </c>
      <c r="I8069" s="47"/>
      <c r="J8069" s="37">
        <v>0</v>
      </c>
    </row>
    <row r="8070" spans="1:10" ht="15.75" hidden="1" thickBot="1" x14ac:dyDescent="0.3">
      <c r="A8070" s="175"/>
      <c r="B8070" s="178"/>
      <c r="C8070" s="49"/>
      <c r="D8070" s="49"/>
      <c r="E8070" s="50"/>
      <c r="F8070" s="51" t="s">
        <v>13</v>
      </c>
      <c r="G8070" s="52" t="str">
        <f>IF(ISNUMBER(F8070),E8070*F8070,"")</f>
        <v/>
      </c>
      <c r="H8070" s="53"/>
      <c r="I8070" s="38"/>
      <c r="J8070" s="37">
        <v>0</v>
      </c>
    </row>
    <row r="8071" spans="1:10" ht="15.75" hidden="1" thickBot="1" x14ac:dyDescent="0.3">
      <c r="A8071" s="173" t="s">
        <v>1930</v>
      </c>
      <c r="B8071" s="176" t="s">
        <v>8353</v>
      </c>
      <c r="C8071" s="31"/>
      <c r="D8071" s="32" t="s">
        <v>18</v>
      </c>
      <c r="E8071" s="33"/>
      <c r="F8071" s="54" t="s">
        <v>13</v>
      </c>
      <c r="G8071" s="34" t="str">
        <f>IF(ISNUMBER(F8071),E8071*F8071,"")</f>
        <v/>
      </c>
      <c r="H8071" s="35"/>
      <c r="I8071" s="36"/>
      <c r="J8071" s="37">
        <v>0</v>
      </c>
    </row>
    <row r="8072" spans="1:10" hidden="1" x14ac:dyDescent="0.25">
      <c r="A8072" s="174"/>
      <c r="B8072" s="177"/>
      <c r="C8072" s="39"/>
      <c r="D8072" s="39"/>
      <c r="E8072" s="40"/>
      <c r="F8072" s="55" t="s">
        <v>13</v>
      </c>
      <c r="G8072" s="41" t="str">
        <f>IF(ISNUMBER(F8072),E8072*F8072,"")</f>
        <v/>
      </c>
      <c r="H8072" s="42"/>
      <c r="I8072" s="38"/>
      <c r="J8072" s="37">
        <v>0</v>
      </c>
    </row>
    <row r="8073" spans="1:10" ht="25.5" hidden="1" x14ac:dyDescent="0.25">
      <c r="A8073" s="174"/>
      <c r="B8073" s="177"/>
      <c r="C8073" s="43" t="s">
        <v>11551</v>
      </c>
      <c r="D8073" s="43" t="s">
        <v>83</v>
      </c>
      <c r="E8073" s="44">
        <v>1</v>
      </c>
      <c r="F8073" s="38">
        <v>113.9335</v>
      </c>
      <c r="G8073" s="41">
        <f>IF(ISNUMBER(F8073),E8073*F8073,"")</f>
        <v>113.9335</v>
      </c>
      <c r="H8073" s="46">
        <f>SUM(G8073:G8073)</f>
        <v>113.9335</v>
      </c>
      <c r="I8073" s="47"/>
      <c r="J8073" s="37">
        <v>0</v>
      </c>
    </row>
    <row r="8074" spans="1:10" ht="15.75" hidden="1" thickBot="1" x14ac:dyDescent="0.3">
      <c r="A8074" s="175"/>
      <c r="B8074" s="178"/>
      <c r="C8074" s="49"/>
      <c r="D8074" s="49"/>
      <c r="E8074" s="50"/>
      <c r="F8074" s="51" t="s">
        <v>13</v>
      </c>
      <c r="G8074" s="52" t="str">
        <f>IF(ISNUMBER(F8074),E8074*F8074,"")</f>
        <v/>
      </c>
      <c r="H8074" s="53"/>
      <c r="I8074" s="38"/>
      <c r="J8074" s="37">
        <v>0</v>
      </c>
    </row>
    <row r="8075" spans="1:10" ht="15.75" hidden="1" thickBot="1" x14ac:dyDescent="0.3">
      <c r="A8075" s="173" t="s">
        <v>1931</v>
      </c>
      <c r="B8075" s="176" t="s">
        <v>8354</v>
      </c>
      <c r="C8075" s="31"/>
      <c r="D8075" s="32" t="s">
        <v>18</v>
      </c>
      <c r="E8075" s="33"/>
      <c r="F8075" s="54" t="s">
        <v>13</v>
      </c>
      <c r="G8075" s="34" t="str">
        <f>IF(ISNUMBER(F8075),E8075*F8075,"")</f>
        <v/>
      </c>
      <c r="H8075" s="35"/>
      <c r="I8075" s="36"/>
      <c r="J8075" s="37">
        <v>0</v>
      </c>
    </row>
    <row r="8076" spans="1:10" hidden="1" x14ac:dyDescent="0.25">
      <c r="A8076" s="174"/>
      <c r="B8076" s="177"/>
      <c r="C8076" s="39"/>
      <c r="D8076" s="39"/>
      <c r="E8076" s="40"/>
      <c r="F8076" s="55" t="s">
        <v>13</v>
      </c>
      <c r="G8076" s="41" t="str">
        <f>IF(ISNUMBER(F8076),E8076*F8076,"")</f>
        <v/>
      </c>
      <c r="H8076" s="42"/>
      <c r="I8076" s="38"/>
      <c r="J8076" s="37">
        <v>0</v>
      </c>
    </row>
    <row r="8077" spans="1:10" ht="25.5" hidden="1" x14ac:dyDescent="0.25">
      <c r="A8077" s="174"/>
      <c r="B8077" s="177"/>
      <c r="C8077" s="43" t="s">
        <v>11552</v>
      </c>
      <c r="D8077" s="43" t="s">
        <v>83</v>
      </c>
      <c r="E8077" s="44">
        <v>1</v>
      </c>
      <c r="F8077" s="38">
        <v>24.852</v>
      </c>
      <c r="G8077" s="41">
        <f>IF(ISNUMBER(F8077),E8077*F8077,"")</f>
        <v>24.852</v>
      </c>
      <c r="H8077" s="46">
        <f>SUM(G8077:G8077)</f>
        <v>24.852</v>
      </c>
      <c r="I8077" s="47"/>
      <c r="J8077" s="37">
        <v>0</v>
      </c>
    </row>
    <row r="8078" spans="1:10" ht="15.75" hidden="1" thickBot="1" x14ac:dyDescent="0.3">
      <c r="A8078" s="175"/>
      <c r="B8078" s="178"/>
      <c r="C8078" s="49"/>
      <c r="D8078" s="49"/>
      <c r="E8078" s="50"/>
      <c r="F8078" s="51" t="s">
        <v>13</v>
      </c>
      <c r="G8078" s="52" t="str">
        <f>IF(ISNUMBER(F8078),E8078*F8078,"")</f>
        <v/>
      </c>
      <c r="H8078" s="53"/>
      <c r="I8078" s="38"/>
      <c r="J8078" s="37">
        <v>0</v>
      </c>
    </row>
    <row r="8079" spans="1:10" ht="15.75" hidden="1" thickBot="1" x14ac:dyDescent="0.3">
      <c r="A8079" s="173" t="s">
        <v>1932</v>
      </c>
      <c r="B8079" s="176" t="s">
        <v>8355</v>
      </c>
      <c r="C8079" s="31"/>
      <c r="D8079" s="32" t="s">
        <v>18</v>
      </c>
      <c r="E8079" s="33"/>
      <c r="F8079" s="54" t="s">
        <v>13</v>
      </c>
      <c r="G8079" s="34" t="str">
        <f>IF(ISNUMBER(F8079),E8079*F8079,"")</f>
        <v/>
      </c>
      <c r="H8079" s="35"/>
      <c r="I8079" s="36"/>
      <c r="J8079" s="37">
        <v>0</v>
      </c>
    </row>
    <row r="8080" spans="1:10" hidden="1" x14ac:dyDescent="0.25">
      <c r="A8080" s="174"/>
      <c r="B8080" s="177"/>
      <c r="C8080" s="39"/>
      <c r="D8080" s="39"/>
      <c r="E8080" s="40"/>
      <c r="F8080" s="55" t="s">
        <v>13</v>
      </c>
      <c r="G8080" s="41" t="str">
        <f>IF(ISNUMBER(F8080),E8080*F8080,"")</f>
        <v/>
      </c>
      <c r="H8080" s="42"/>
      <c r="I8080" s="38"/>
      <c r="J8080" s="37">
        <v>0</v>
      </c>
    </row>
    <row r="8081" spans="1:10" ht="25.5" hidden="1" x14ac:dyDescent="0.25">
      <c r="A8081" s="174"/>
      <c r="B8081" s="177"/>
      <c r="C8081" s="43" t="s">
        <v>11553</v>
      </c>
      <c r="D8081" s="43" t="s">
        <v>83</v>
      </c>
      <c r="E8081" s="44">
        <v>1</v>
      </c>
      <c r="F8081" s="38">
        <v>89.850999999999999</v>
      </c>
      <c r="G8081" s="41">
        <f>IF(ISNUMBER(F8081),E8081*F8081,"")</f>
        <v>89.850999999999999</v>
      </c>
      <c r="H8081" s="46">
        <f>SUM(G8081:G8081)</f>
        <v>89.850999999999999</v>
      </c>
      <c r="I8081" s="47"/>
      <c r="J8081" s="37">
        <v>0</v>
      </c>
    </row>
    <row r="8082" spans="1:10" ht="15.75" hidden="1" thickBot="1" x14ac:dyDescent="0.3">
      <c r="A8082" s="175"/>
      <c r="B8082" s="178"/>
      <c r="C8082" s="49"/>
      <c r="D8082" s="49"/>
      <c r="E8082" s="50"/>
      <c r="F8082" s="51" t="s">
        <v>13</v>
      </c>
      <c r="G8082" s="52" t="str">
        <f>IF(ISNUMBER(F8082),E8082*F8082,"")</f>
        <v/>
      </c>
      <c r="H8082" s="53"/>
      <c r="I8082" s="38"/>
      <c r="J8082" s="37">
        <v>0</v>
      </c>
    </row>
    <row r="8083" spans="1:10" ht="15.75" hidden="1" thickBot="1" x14ac:dyDescent="0.3">
      <c r="A8083" s="173" t="s">
        <v>1933</v>
      </c>
      <c r="B8083" s="176" t="s">
        <v>8356</v>
      </c>
      <c r="C8083" s="31"/>
      <c r="D8083" s="32" t="s">
        <v>18</v>
      </c>
      <c r="E8083" s="33"/>
      <c r="F8083" s="54" t="s">
        <v>13</v>
      </c>
      <c r="G8083" s="34" t="str">
        <f>IF(ISNUMBER(F8083),E8083*F8083,"")</f>
        <v/>
      </c>
      <c r="H8083" s="35"/>
      <c r="I8083" s="36"/>
      <c r="J8083" s="37">
        <v>0</v>
      </c>
    </row>
    <row r="8084" spans="1:10" hidden="1" x14ac:dyDescent="0.25">
      <c r="A8084" s="174"/>
      <c r="B8084" s="177"/>
      <c r="C8084" s="39"/>
      <c r="D8084" s="39"/>
      <c r="E8084" s="40"/>
      <c r="F8084" s="55" t="s">
        <v>13</v>
      </c>
      <c r="G8084" s="41" t="str">
        <f>IF(ISNUMBER(F8084),E8084*F8084,"")</f>
        <v/>
      </c>
      <c r="H8084" s="42"/>
      <c r="I8084" s="38"/>
      <c r="J8084" s="37">
        <v>0</v>
      </c>
    </row>
    <row r="8085" spans="1:10" ht="25.5" hidden="1" x14ac:dyDescent="0.25">
      <c r="A8085" s="174"/>
      <c r="B8085" s="177"/>
      <c r="C8085" s="43" t="s">
        <v>11554</v>
      </c>
      <c r="D8085" s="43" t="s">
        <v>83</v>
      </c>
      <c r="E8085" s="44">
        <v>1</v>
      </c>
      <c r="F8085" s="38">
        <v>74.869500000000002</v>
      </c>
      <c r="G8085" s="41">
        <f>IF(ISNUMBER(F8085),E8085*F8085,"")</f>
        <v>74.869500000000002</v>
      </c>
      <c r="H8085" s="46">
        <f>SUM(G8085:G8085)</f>
        <v>74.869500000000002</v>
      </c>
      <c r="I8085" s="47"/>
      <c r="J8085" s="37">
        <v>0</v>
      </c>
    </row>
    <row r="8086" spans="1:10" ht="15.75" hidden="1" thickBot="1" x14ac:dyDescent="0.3">
      <c r="A8086" s="175"/>
      <c r="B8086" s="178"/>
      <c r="C8086" s="49"/>
      <c r="D8086" s="49"/>
      <c r="E8086" s="50"/>
      <c r="F8086" s="51" t="s">
        <v>13</v>
      </c>
      <c r="G8086" s="52" t="str">
        <f>IF(ISNUMBER(F8086),E8086*F8086,"")</f>
        <v/>
      </c>
      <c r="H8086" s="53"/>
      <c r="I8086" s="38"/>
      <c r="J8086" s="37">
        <v>0</v>
      </c>
    </row>
    <row r="8087" spans="1:10" ht="15.75" hidden="1" thickBot="1" x14ac:dyDescent="0.3">
      <c r="A8087" s="173" t="s">
        <v>1934</v>
      </c>
      <c r="B8087" s="176" t="s">
        <v>8357</v>
      </c>
      <c r="C8087" s="31"/>
      <c r="D8087" s="32" t="s">
        <v>18</v>
      </c>
      <c r="E8087" s="33"/>
      <c r="F8087" s="54" t="s">
        <v>13</v>
      </c>
      <c r="G8087" s="34" t="str">
        <f>IF(ISNUMBER(F8087),E8087*F8087,"")</f>
        <v/>
      </c>
      <c r="H8087" s="35"/>
      <c r="I8087" s="36"/>
      <c r="J8087" s="37">
        <v>0</v>
      </c>
    </row>
    <row r="8088" spans="1:10" hidden="1" x14ac:dyDescent="0.25">
      <c r="A8088" s="174"/>
      <c r="B8088" s="177"/>
      <c r="C8088" s="39"/>
      <c r="D8088" s="39"/>
      <c r="E8088" s="40"/>
      <c r="F8088" s="55" t="s">
        <v>13</v>
      </c>
      <c r="G8088" s="41" t="str">
        <f>IF(ISNUMBER(F8088),E8088*F8088,"")</f>
        <v/>
      </c>
      <c r="H8088" s="42"/>
      <c r="I8088" s="38"/>
      <c r="J8088" s="37">
        <v>0</v>
      </c>
    </row>
    <row r="8089" spans="1:10" ht="25.5" hidden="1" x14ac:dyDescent="0.25">
      <c r="A8089" s="174"/>
      <c r="B8089" s="177"/>
      <c r="C8089" s="43" t="s">
        <v>11555</v>
      </c>
      <c r="D8089" s="43" t="s">
        <v>83</v>
      </c>
      <c r="E8089" s="44">
        <v>1</v>
      </c>
      <c r="F8089" s="38">
        <v>87.171999999999997</v>
      </c>
      <c r="G8089" s="41">
        <f>IF(ISNUMBER(F8089),E8089*F8089,"")</f>
        <v>87.171999999999997</v>
      </c>
      <c r="H8089" s="46">
        <f>SUM(G8089:G8089)</f>
        <v>87.171999999999997</v>
      </c>
      <c r="I8089" s="47"/>
      <c r="J8089" s="37">
        <v>0</v>
      </c>
    </row>
    <row r="8090" spans="1:10" ht="15.75" hidden="1" thickBot="1" x14ac:dyDescent="0.3">
      <c r="A8090" s="175"/>
      <c r="B8090" s="178"/>
      <c r="C8090" s="49"/>
      <c r="D8090" s="49"/>
      <c r="E8090" s="50"/>
      <c r="F8090" s="51" t="s">
        <v>13</v>
      </c>
      <c r="G8090" s="52" t="str">
        <f>IF(ISNUMBER(F8090),E8090*F8090,"")</f>
        <v/>
      </c>
      <c r="H8090" s="53"/>
      <c r="I8090" s="38"/>
      <c r="J8090" s="37">
        <v>0</v>
      </c>
    </row>
    <row r="8091" spans="1:10" ht="15.75" hidden="1" thickBot="1" x14ac:dyDescent="0.3">
      <c r="A8091" s="173" t="s">
        <v>1935</v>
      </c>
      <c r="B8091" s="176" t="s">
        <v>8358</v>
      </c>
      <c r="C8091" s="31"/>
      <c r="D8091" s="32" t="s">
        <v>18</v>
      </c>
      <c r="E8091" s="33"/>
      <c r="F8091" s="54" t="s">
        <v>13</v>
      </c>
      <c r="G8091" s="34" t="str">
        <f>IF(ISNUMBER(F8091),E8091*F8091,"")</f>
        <v/>
      </c>
      <c r="H8091" s="35"/>
      <c r="I8091" s="36"/>
      <c r="J8091" s="37">
        <v>0</v>
      </c>
    </row>
    <row r="8092" spans="1:10" hidden="1" x14ac:dyDescent="0.25">
      <c r="A8092" s="174"/>
      <c r="B8092" s="177"/>
      <c r="C8092" s="39"/>
      <c r="D8092" s="39"/>
      <c r="E8092" s="40"/>
      <c r="F8092" s="55" t="s">
        <v>13</v>
      </c>
      <c r="G8092" s="41" t="str">
        <f>IF(ISNUMBER(F8092),E8092*F8092,"")</f>
        <v/>
      </c>
      <c r="H8092" s="42"/>
      <c r="I8092" s="38"/>
      <c r="J8092" s="37">
        <v>0</v>
      </c>
    </row>
    <row r="8093" spans="1:10" hidden="1" x14ac:dyDescent="0.25">
      <c r="A8093" s="174"/>
      <c r="B8093" s="177"/>
      <c r="C8093" s="43" t="s">
        <v>11556</v>
      </c>
      <c r="D8093" s="43" t="s">
        <v>83</v>
      </c>
      <c r="E8093" s="44">
        <v>1</v>
      </c>
      <c r="F8093" s="38">
        <v>48.953499999999998</v>
      </c>
      <c r="G8093" s="41">
        <f>IF(ISNUMBER(F8093),E8093*F8093,"")</f>
        <v>48.953499999999998</v>
      </c>
      <c r="H8093" s="46">
        <f>SUM(G8093:G8093)</f>
        <v>48.953499999999998</v>
      </c>
      <c r="I8093" s="47"/>
      <c r="J8093" s="37">
        <v>0</v>
      </c>
    </row>
    <row r="8094" spans="1:10" ht="15.75" hidden="1" thickBot="1" x14ac:dyDescent="0.3">
      <c r="A8094" s="175"/>
      <c r="B8094" s="178"/>
      <c r="C8094" s="49"/>
      <c r="D8094" s="49"/>
      <c r="E8094" s="50"/>
      <c r="F8094" s="51" t="s">
        <v>13</v>
      </c>
      <c r="G8094" s="52" t="str">
        <f>IF(ISNUMBER(F8094),E8094*F8094,"")</f>
        <v/>
      </c>
      <c r="H8094" s="53"/>
      <c r="I8094" s="38"/>
      <c r="J8094" s="37">
        <v>0</v>
      </c>
    </row>
    <row r="8095" spans="1:10" ht="15.75" hidden="1" thickBot="1" x14ac:dyDescent="0.3">
      <c r="A8095" s="173" t="s">
        <v>1936</v>
      </c>
      <c r="B8095" s="176" t="s">
        <v>8359</v>
      </c>
      <c r="C8095" s="31"/>
      <c r="D8095" s="32" t="s">
        <v>18</v>
      </c>
      <c r="E8095" s="33"/>
      <c r="F8095" s="54" t="s">
        <v>13</v>
      </c>
      <c r="G8095" s="34" t="str">
        <f>IF(ISNUMBER(F8095),E8095*F8095,"")</f>
        <v/>
      </c>
      <c r="H8095" s="35"/>
      <c r="I8095" s="36"/>
      <c r="J8095" s="37">
        <v>0</v>
      </c>
    </row>
    <row r="8096" spans="1:10" hidden="1" x14ac:dyDescent="0.25">
      <c r="A8096" s="174"/>
      <c r="B8096" s="177"/>
      <c r="C8096" s="39"/>
      <c r="D8096" s="39"/>
      <c r="E8096" s="40"/>
      <c r="F8096" s="55" t="s">
        <v>13</v>
      </c>
      <c r="G8096" s="41" t="str">
        <f>IF(ISNUMBER(F8096),E8096*F8096,"")</f>
        <v/>
      </c>
      <c r="H8096" s="42"/>
      <c r="I8096" s="38"/>
      <c r="J8096" s="37">
        <v>0</v>
      </c>
    </row>
    <row r="8097" spans="1:10" ht="25.5" hidden="1" x14ac:dyDescent="0.25">
      <c r="A8097" s="174"/>
      <c r="B8097" s="177"/>
      <c r="C8097" s="43" t="s">
        <v>11547</v>
      </c>
      <c r="D8097" s="43" t="s">
        <v>83</v>
      </c>
      <c r="E8097" s="44">
        <v>1</v>
      </c>
      <c r="F8097" s="38">
        <v>38.294499999999999</v>
      </c>
      <c r="G8097" s="41">
        <f>IF(ISNUMBER(F8097),E8097*F8097,"")</f>
        <v>38.294499999999999</v>
      </c>
      <c r="H8097" s="46">
        <f>SUM(G8097:G8097)</f>
        <v>38.294499999999999</v>
      </c>
      <c r="I8097" s="47"/>
      <c r="J8097" s="37">
        <v>0</v>
      </c>
    </row>
    <row r="8098" spans="1:10" ht="15.75" hidden="1" thickBot="1" x14ac:dyDescent="0.3">
      <c r="A8098" s="175"/>
      <c r="B8098" s="178"/>
      <c r="C8098" s="49"/>
      <c r="D8098" s="49"/>
      <c r="E8098" s="50"/>
      <c r="F8098" s="51" t="s">
        <v>13</v>
      </c>
      <c r="G8098" s="52" t="str">
        <f>IF(ISNUMBER(F8098),E8098*F8098,"")</f>
        <v/>
      </c>
      <c r="H8098" s="53"/>
      <c r="I8098" s="38"/>
      <c r="J8098" s="37">
        <v>0</v>
      </c>
    </row>
    <row r="8099" spans="1:10" ht="15.75" hidden="1" thickBot="1" x14ac:dyDescent="0.3">
      <c r="A8099" s="173" t="s">
        <v>1937</v>
      </c>
      <c r="B8099" s="176" t="s">
        <v>8360</v>
      </c>
      <c r="C8099" s="31"/>
      <c r="D8099" s="32" t="s">
        <v>18</v>
      </c>
      <c r="E8099" s="33"/>
      <c r="F8099" s="54" t="s">
        <v>13</v>
      </c>
      <c r="G8099" s="34" t="str">
        <f>IF(ISNUMBER(F8099),E8099*F8099,"")</f>
        <v/>
      </c>
      <c r="H8099" s="35"/>
      <c r="I8099" s="36"/>
      <c r="J8099" s="37">
        <v>0</v>
      </c>
    </row>
    <row r="8100" spans="1:10" hidden="1" x14ac:dyDescent="0.25">
      <c r="A8100" s="174"/>
      <c r="B8100" s="177"/>
      <c r="C8100" s="39"/>
      <c r="D8100" s="39"/>
      <c r="E8100" s="40"/>
      <c r="F8100" s="55" t="s">
        <v>13</v>
      </c>
      <c r="G8100" s="41" t="str">
        <f>IF(ISNUMBER(F8100),E8100*F8100,"")</f>
        <v/>
      </c>
      <c r="H8100" s="42"/>
      <c r="I8100" s="38"/>
      <c r="J8100" s="37">
        <v>0</v>
      </c>
    </row>
    <row r="8101" spans="1:10" hidden="1" x14ac:dyDescent="0.25">
      <c r="A8101" s="174"/>
      <c r="B8101" s="177"/>
      <c r="C8101" s="43" t="s">
        <v>1938</v>
      </c>
      <c r="D8101" s="43" t="s">
        <v>18</v>
      </c>
      <c r="E8101" s="44">
        <v>1</v>
      </c>
      <c r="F8101" s="38" t="s">
        <v>13</v>
      </c>
      <c r="G8101" s="41" t="str">
        <f>IF(ISNUMBER(F8101),E8101*F8101,"")</f>
        <v/>
      </c>
      <c r="H8101" s="46">
        <f>SUM(G8101:G8101)</f>
        <v>0</v>
      </c>
      <c r="I8101" s="47"/>
      <c r="J8101" s="37">
        <v>0</v>
      </c>
    </row>
    <row r="8102" spans="1:10" ht="15.75" hidden="1" thickBot="1" x14ac:dyDescent="0.3">
      <c r="A8102" s="175"/>
      <c r="B8102" s="178"/>
      <c r="C8102" s="49"/>
      <c r="D8102" s="49"/>
      <c r="E8102" s="50"/>
      <c r="F8102" s="51" t="s">
        <v>13</v>
      </c>
      <c r="G8102" s="52" t="str">
        <f>IF(ISNUMBER(F8102),E8102*F8102,"")</f>
        <v/>
      </c>
      <c r="H8102" s="53"/>
      <c r="I8102" s="38"/>
      <c r="J8102" s="37">
        <v>0</v>
      </c>
    </row>
    <row r="8103" spans="1:10" ht="15.75" hidden="1" thickBot="1" x14ac:dyDescent="0.3">
      <c r="A8103" s="173" t="s">
        <v>1939</v>
      </c>
      <c r="B8103" s="176" t="s">
        <v>8361</v>
      </c>
      <c r="C8103" s="31"/>
      <c r="D8103" s="32" t="s">
        <v>18</v>
      </c>
      <c r="E8103" s="33"/>
      <c r="F8103" s="54" t="s">
        <v>13</v>
      </c>
      <c r="G8103" s="34" t="str">
        <f>IF(ISNUMBER(F8103),E8103*F8103,"")</f>
        <v/>
      </c>
      <c r="H8103" s="35"/>
      <c r="I8103" s="36"/>
      <c r="J8103" s="37">
        <v>0</v>
      </c>
    </row>
    <row r="8104" spans="1:10" hidden="1" x14ac:dyDescent="0.25">
      <c r="A8104" s="174"/>
      <c r="B8104" s="177"/>
      <c r="C8104" s="39"/>
      <c r="D8104" s="39"/>
      <c r="E8104" s="40"/>
      <c r="F8104" s="55" t="s">
        <v>13</v>
      </c>
      <c r="G8104" s="41" t="str">
        <f>IF(ISNUMBER(F8104),E8104*F8104,"")</f>
        <v/>
      </c>
      <c r="H8104" s="42"/>
      <c r="I8104" s="38"/>
      <c r="J8104" s="37">
        <v>0</v>
      </c>
    </row>
    <row r="8105" spans="1:10" ht="25.5" hidden="1" x14ac:dyDescent="0.25">
      <c r="A8105" s="174"/>
      <c r="B8105" s="177"/>
      <c r="C8105" s="43" t="s">
        <v>11557</v>
      </c>
      <c r="D8105" s="43" t="s">
        <v>83</v>
      </c>
      <c r="E8105" s="44">
        <v>1</v>
      </c>
      <c r="F8105" s="38">
        <v>29.915499999999998</v>
      </c>
      <c r="G8105" s="41">
        <f>IF(ISNUMBER(F8105),E8105*F8105,"")</f>
        <v>29.915499999999998</v>
      </c>
      <c r="H8105" s="46">
        <f>SUM(G8105:G8105)</f>
        <v>29.915499999999998</v>
      </c>
      <c r="I8105" s="47"/>
      <c r="J8105" s="37">
        <v>0</v>
      </c>
    </row>
    <row r="8106" spans="1:10" ht="15.75" hidden="1" thickBot="1" x14ac:dyDescent="0.3">
      <c r="A8106" s="175"/>
      <c r="B8106" s="178"/>
      <c r="C8106" s="49"/>
      <c r="D8106" s="49"/>
      <c r="E8106" s="50"/>
      <c r="F8106" s="51" t="s">
        <v>13</v>
      </c>
      <c r="G8106" s="52" t="str">
        <f>IF(ISNUMBER(F8106),E8106*F8106,"")</f>
        <v/>
      </c>
      <c r="H8106" s="53"/>
      <c r="I8106" s="38"/>
      <c r="J8106" s="37">
        <v>0</v>
      </c>
    </row>
    <row r="8107" spans="1:10" ht="15.75" hidden="1" thickBot="1" x14ac:dyDescent="0.3">
      <c r="A8107" s="173" t="s">
        <v>1940</v>
      </c>
      <c r="B8107" s="176" t="s">
        <v>8362</v>
      </c>
      <c r="C8107" s="31"/>
      <c r="D8107" s="32" t="s">
        <v>18</v>
      </c>
      <c r="E8107" s="33"/>
      <c r="F8107" s="54" t="s">
        <v>13</v>
      </c>
      <c r="G8107" s="34" t="str">
        <f>IF(ISNUMBER(F8107),E8107*F8107,"")</f>
        <v/>
      </c>
      <c r="H8107" s="35"/>
      <c r="I8107" s="36"/>
      <c r="J8107" s="37">
        <v>0</v>
      </c>
    </row>
    <row r="8108" spans="1:10" hidden="1" x14ac:dyDescent="0.25">
      <c r="A8108" s="174"/>
      <c r="B8108" s="177"/>
      <c r="C8108" s="39"/>
      <c r="D8108" s="39"/>
      <c r="E8108" s="40"/>
      <c r="F8108" s="55" t="s">
        <v>13</v>
      </c>
      <c r="G8108" s="41" t="str">
        <f>IF(ISNUMBER(F8108),E8108*F8108,"")</f>
        <v/>
      </c>
      <c r="H8108" s="42"/>
      <c r="I8108" s="38"/>
      <c r="J8108" s="37">
        <v>0</v>
      </c>
    </row>
    <row r="8109" spans="1:10" ht="25.5" hidden="1" x14ac:dyDescent="0.25">
      <c r="A8109" s="174"/>
      <c r="B8109" s="177"/>
      <c r="C8109" s="43" t="s">
        <v>11558</v>
      </c>
      <c r="D8109" s="43" t="s">
        <v>83</v>
      </c>
      <c r="E8109" s="44">
        <v>1</v>
      </c>
      <c r="F8109" s="38">
        <v>230.869</v>
      </c>
      <c r="G8109" s="41">
        <f>IF(ISNUMBER(F8109),E8109*F8109,"")</f>
        <v>230.869</v>
      </c>
      <c r="H8109" s="46">
        <f>SUM(G8109:G8109)</f>
        <v>230.869</v>
      </c>
      <c r="I8109" s="47"/>
      <c r="J8109" s="37">
        <v>0</v>
      </c>
    </row>
    <row r="8110" spans="1:10" ht="15.75" hidden="1" thickBot="1" x14ac:dyDescent="0.3">
      <c r="A8110" s="175"/>
      <c r="B8110" s="178"/>
      <c r="C8110" s="49"/>
      <c r="D8110" s="49"/>
      <c r="E8110" s="50"/>
      <c r="F8110" s="51" t="s">
        <v>13</v>
      </c>
      <c r="G8110" s="52" t="str">
        <f>IF(ISNUMBER(F8110),E8110*F8110,"")</f>
        <v/>
      </c>
      <c r="H8110" s="53"/>
      <c r="I8110" s="38"/>
      <c r="J8110" s="37">
        <v>0</v>
      </c>
    </row>
    <row r="8111" spans="1:10" ht="15.75" hidden="1" thickBot="1" x14ac:dyDescent="0.3">
      <c r="A8111" s="173" t="s">
        <v>1941</v>
      </c>
      <c r="B8111" s="176" t="s">
        <v>8363</v>
      </c>
      <c r="C8111" s="31"/>
      <c r="D8111" s="32" t="s">
        <v>18</v>
      </c>
      <c r="E8111" s="33"/>
      <c r="F8111" s="54" t="s">
        <v>13</v>
      </c>
      <c r="G8111" s="34" t="str">
        <f>IF(ISNUMBER(F8111),E8111*F8111,"")</f>
        <v/>
      </c>
      <c r="H8111" s="35"/>
      <c r="I8111" s="36"/>
      <c r="J8111" s="37">
        <v>0</v>
      </c>
    </row>
    <row r="8112" spans="1:10" hidden="1" x14ac:dyDescent="0.25">
      <c r="A8112" s="174"/>
      <c r="B8112" s="177"/>
      <c r="C8112" s="39"/>
      <c r="D8112" s="39"/>
      <c r="E8112" s="40"/>
      <c r="F8112" s="55" t="s">
        <v>13</v>
      </c>
      <c r="G8112" s="41" t="str">
        <f>IF(ISNUMBER(F8112),E8112*F8112,"")</f>
        <v/>
      </c>
      <c r="H8112" s="42"/>
      <c r="I8112" s="38"/>
      <c r="J8112" s="37">
        <v>0</v>
      </c>
    </row>
    <row r="8113" spans="1:10" hidden="1" x14ac:dyDescent="0.25">
      <c r="A8113" s="174"/>
      <c r="B8113" s="177"/>
      <c r="C8113" s="43" t="s">
        <v>1942</v>
      </c>
      <c r="D8113" s="43" t="s">
        <v>18</v>
      </c>
      <c r="E8113" s="44">
        <v>1</v>
      </c>
      <c r="F8113" s="38" t="s">
        <v>13</v>
      </c>
      <c r="G8113" s="41" t="str">
        <f>IF(ISNUMBER(F8113),E8113*F8113,"")</f>
        <v/>
      </c>
      <c r="H8113" s="46">
        <f>SUM(G8113:G8113)</f>
        <v>0</v>
      </c>
      <c r="I8113" s="47"/>
      <c r="J8113" s="37">
        <v>0</v>
      </c>
    </row>
    <row r="8114" spans="1:10" ht="15.75" hidden="1" thickBot="1" x14ac:dyDescent="0.3">
      <c r="A8114" s="175"/>
      <c r="B8114" s="178"/>
      <c r="C8114" s="49"/>
      <c r="D8114" s="49"/>
      <c r="E8114" s="50"/>
      <c r="F8114" s="51" t="s">
        <v>13</v>
      </c>
      <c r="G8114" s="52" t="str">
        <f>IF(ISNUMBER(F8114),E8114*F8114,"")</f>
        <v/>
      </c>
      <c r="H8114" s="53"/>
      <c r="I8114" s="38"/>
      <c r="J8114" s="37">
        <v>0</v>
      </c>
    </row>
    <row r="8115" spans="1:10" ht="15.75" hidden="1" thickBot="1" x14ac:dyDescent="0.3">
      <c r="A8115" s="173" t="s">
        <v>1943</v>
      </c>
      <c r="B8115" s="176" t="s">
        <v>8364</v>
      </c>
      <c r="C8115" s="31"/>
      <c r="D8115" s="32" t="s">
        <v>18</v>
      </c>
      <c r="E8115" s="33"/>
      <c r="F8115" s="54" t="s">
        <v>13</v>
      </c>
      <c r="G8115" s="34" t="str">
        <f>IF(ISNUMBER(F8115),E8115*F8115,"")</f>
        <v/>
      </c>
      <c r="H8115" s="35"/>
      <c r="I8115" s="36"/>
      <c r="J8115" s="37">
        <v>0</v>
      </c>
    </row>
    <row r="8116" spans="1:10" hidden="1" x14ac:dyDescent="0.25">
      <c r="A8116" s="174"/>
      <c r="B8116" s="177"/>
      <c r="C8116" s="39"/>
      <c r="D8116" s="39"/>
      <c r="E8116" s="40"/>
      <c r="F8116" s="55" t="s">
        <v>13</v>
      </c>
      <c r="G8116" s="41" t="str">
        <f>IF(ISNUMBER(F8116),E8116*F8116,"")</f>
        <v/>
      </c>
      <c r="H8116" s="42"/>
      <c r="I8116" s="38"/>
      <c r="J8116" s="37">
        <v>0</v>
      </c>
    </row>
    <row r="8117" spans="1:10" ht="25.5" hidden="1" x14ac:dyDescent="0.25">
      <c r="A8117" s="174"/>
      <c r="B8117" s="177"/>
      <c r="C8117" s="43" t="s">
        <v>11559</v>
      </c>
      <c r="D8117" s="43" t="s">
        <v>83</v>
      </c>
      <c r="E8117" s="44">
        <v>1</v>
      </c>
      <c r="F8117" s="38">
        <v>38.057000000000002</v>
      </c>
      <c r="G8117" s="41">
        <f>IF(ISNUMBER(F8117),E8117*F8117,"")</f>
        <v>38.057000000000002</v>
      </c>
      <c r="H8117" s="46">
        <f>SUM(G8117:G8117)</f>
        <v>38.057000000000002</v>
      </c>
      <c r="I8117" s="47"/>
      <c r="J8117" s="37">
        <v>0</v>
      </c>
    </row>
    <row r="8118" spans="1:10" ht="15.75" hidden="1" thickBot="1" x14ac:dyDescent="0.3">
      <c r="A8118" s="175"/>
      <c r="B8118" s="178"/>
      <c r="C8118" s="49"/>
      <c r="D8118" s="49"/>
      <c r="E8118" s="50"/>
      <c r="F8118" s="51" t="s">
        <v>13</v>
      </c>
      <c r="G8118" s="52" t="str">
        <f>IF(ISNUMBER(F8118),E8118*F8118,"")</f>
        <v/>
      </c>
      <c r="H8118" s="53"/>
      <c r="I8118" s="38"/>
      <c r="J8118" s="37">
        <v>0</v>
      </c>
    </row>
    <row r="8119" spans="1:10" ht="15.75" hidden="1" thickBot="1" x14ac:dyDescent="0.3">
      <c r="A8119" s="173" t="s">
        <v>1944</v>
      </c>
      <c r="B8119" s="176" t="s">
        <v>8365</v>
      </c>
      <c r="C8119" s="31"/>
      <c r="D8119" s="32" t="s">
        <v>18</v>
      </c>
      <c r="E8119" s="33"/>
      <c r="F8119" s="54" t="s">
        <v>13</v>
      </c>
      <c r="G8119" s="34" t="str">
        <f>IF(ISNUMBER(F8119),E8119*F8119,"")</f>
        <v/>
      </c>
      <c r="H8119" s="35"/>
      <c r="I8119" s="36"/>
      <c r="J8119" s="37">
        <v>0</v>
      </c>
    </row>
    <row r="8120" spans="1:10" hidden="1" x14ac:dyDescent="0.25">
      <c r="A8120" s="174"/>
      <c r="B8120" s="177"/>
      <c r="C8120" s="39"/>
      <c r="D8120" s="39"/>
      <c r="E8120" s="40"/>
      <c r="F8120" s="55" t="s">
        <v>13</v>
      </c>
      <c r="G8120" s="41" t="str">
        <f>IF(ISNUMBER(F8120),E8120*F8120,"")</f>
        <v/>
      </c>
      <c r="H8120" s="42"/>
      <c r="I8120" s="38"/>
      <c r="J8120" s="37">
        <v>0</v>
      </c>
    </row>
    <row r="8121" spans="1:10" ht="25.5" hidden="1" x14ac:dyDescent="0.25">
      <c r="A8121" s="174"/>
      <c r="B8121" s="177"/>
      <c r="C8121" s="43" t="s">
        <v>11560</v>
      </c>
      <c r="D8121" s="43" t="s">
        <v>83</v>
      </c>
      <c r="E8121" s="44">
        <v>1</v>
      </c>
      <c r="F8121" s="38">
        <v>193.83799999999999</v>
      </c>
      <c r="G8121" s="41">
        <f>IF(ISNUMBER(F8121),E8121*F8121,"")</f>
        <v>193.83799999999999</v>
      </c>
      <c r="H8121" s="46">
        <f>SUM(G8121:G8121)</f>
        <v>193.83799999999999</v>
      </c>
      <c r="I8121" s="47"/>
      <c r="J8121" s="37">
        <v>0</v>
      </c>
    </row>
    <row r="8122" spans="1:10" ht="15.75" hidden="1" thickBot="1" x14ac:dyDescent="0.3">
      <c r="A8122" s="175"/>
      <c r="B8122" s="178"/>
      <c r="C8122" s="49"/>
      <c r="D8122" s="49"/>
      <c r="E8122" s="50"/>
      <c r="F8122" s="51" t="s">
        <v>13</v>
      </c>
      <c r="G8122" s="52" t="str">
        <f>IF(ISNUMBER(F8122),E8122*F8122,"")</f>
        <v/>
      </c>
      <c r="H8122" s="53"/>
      <c r="I8122" s="38"/>
      <c r="J8122" s="37">
        <v>0</v>
      </c>
    </row>
    <row r="8123" spans="1:10" ht="15.75" hidden="1" thickBot="1" x14ac:dyDescent="0.3">
      <c r="A8123" s="173" t="s">
        <v>1945</v>
      </c>
      <c r="B8123" s="176" t="s">
        <v>8366</v>
      </c>
      <c r="C8123" s="31"/>
      <c r="D8123" s="32" t="s">
        <v>18</v>
      </c>
      <c r="E8123" s="33"/>
      <c r="F8123" s="54" t="s">
        <v>13</v>
      </c>
      <c r="G8123" s="34" t="str">
        <f>IF(ISNUMBER(F8123),E8123*F8123,"")</f>
        <v/>
      </c>
      <c r="H8123" s="35"/>
      <c r="I8123" s="36"/>
      <c r="J8123" s="37">
        <v>0</v>
      </c>
    </row>
    <row r="8124" spans="1:10" hidden="1" x14ac:dyDescent="0.25">
      <c r="A8124" s="174"/>
      <c r="B8124" s="177"/>
      <c r="C8124" s="39"/>
      <c r="D8124" s="39"/>
      <c r="E8124" s="40"/>
      <c r="F8124" s="55" t="s">
        <v>13</v>
      </c>
      <c r="G8124" s="41" t="str">
        <f>IF(ISNUMBER(F8124),E8124*F8124,"")</f>
        <v/>
      </c>
      <c r="H8124" s="42"/>
      <c r="I8124" s="38"/>
      <c r="J8124" s="37">
        <v>0</v>
      </c>
    </row>
    <row r="8125" spans="1:10" hidden="1" x14ac:dyDescent="0.25">
      <c r="A8125" s="174"/>
      <c r="B8125" s="177"/>
      <c r="C8125" s="43" t="s">
        <v>11561</v>
      </c>
      <c r="D8125" s="43" t="s">
        <v>83</v>
      </c>
      <c r="E8125" s="44">
        <v>1</v>
      </c>
      <c r="F8125" s="38">
        <v>83.125</v>
      </c>
      <c r="G8125" s="41">
        <f>IF(ISNUMBER(F8125),E8125*F8125,"")</f>
        <v>83.125</v>
      </c>
      <c r="H8125" s="46">
        <f>SUM(G8125:G8125)</f>
        <v>83.125</v>
      </c>
      <c r="I8125" s="47"/>
      <c r="J8125" s="37">
        <v>0</v>
      </c>
    </row>
    <row r="8126" spans="1:10" ht="15.75" hidden="1" thickBot="1" x14ac:dyDescent="0.3">
      <c r="A8126" s="175"/>
      <c r="B8126" s="178"/>
      <c r="C8126" s="49"/>
      <c r="D8126" s="49"/>
      <c r="E8126" s="50"/>
      <c r="F8126" s="51" t="s">
        <v>13</v>
      </c>
      <c r="G8126" s="52" t="str">
        <f>IF(ISNUMBER(F8126),E8126*F8126,"")</f>
        <v/>
      </c>
      <c r="H8126" s="53"/>
      <c r="I8126" s="38"/>
      <c r="J8126" s="37">
        <v>0</v>
      </c>
    </row>
    <row r="8127" spans="1:10" ht="15.75" hidden="1" thickBot="1" x14ac:dyDescent="0.3">
      <c r="A8127" s="173" t="s">
        <v>1946</v>
      </c>
      <c r="B8127" s="176" t="s">
        <v>8367</v>
      </c>
      <c r="C8127" s="31"/>
      <c r="D8127" s="32" t="s">
        <v>18</v>
      </c>
      <c r="E8127" s="33"/>
      <c r="F8127" s="54" t="s">
        <v>13</v>
      </c>
      <c r="G8127" s="34" t="str">
        <f>IF(ISNUMBER(F8127),E8127*F8127,"")</f>
        <v/>
      </c>
      <c r="H8127" s="35"/>
      <c r="I8127" s="36"/>
      <c r="J8127" s="37">
        <v>0</v>
      </c>
    </row>
    <row r="8128" spans="1:10" hidden="1" x14ac:dyDescent="0.25">
      <c r="A8128" s="179"/>
      <c r="B8128" s="177"/>
      <c r="C8128" s="39"/>
      <c r="D8128" s="39"/>
      <c r="E8128" s="40"/>
      <c r="F8128" s="55" t="s">
        <v>13</v>
      </c>
      <c r="G8128" s="41" t="str">
        <f>IF(ISNUMBER(F8128),E8128*F8128,"")</f>
        <v/>
      </c>
      <c r="H8128" s="42"/>
      <c r="I8128" s="38"/>
      <c r="J8128" s="37">
        <v>0</v>
      </c>
    </row>
    <row r="8129" spans="1:10" ht="25.5" hidden="1" x14ac:dyDescent="0.25">
      <c r="A8129" s="179"/>
      <c r="B8129" s="177"/>
      <c r="C8129" s="43" t="s">
        <v>11562</v>
      </c>
      <c r="D8129" s="43" t="s">
        <v>83</v>
      </c>
      <c r="E8129" s="44">
        <v>1</v>
      </c>
      <c r="F8129" s="38">
        <v>60.942500000000003</v>
      </c>
      <c r="G8129" s="41">
        <f>IF(ISNUMBER(F8129),E8129*F8129,"")</f>
        <v>60.942500000000003</v>
      </c>
      <c r="H8129" s="46">
        <f>SUM(G8129:G8129)</f>
        <v>60.942500000000003</v>
      </c>
      <c r="I8129" s="47"/>
      <c r="J8129" s="37">
        <v>0</v>
      </c>
    </row>
    <row r="8130" spans="1:10" ht="15.75" hidden="1" thickBot="1" x14ac:dyDescent="0.3">
      <c r="A8130" s="180"/>
      <c r="B8130" s="178"/>
      <c r="C8130" s="49"/>
      <c r="D8130" s="49"/>
      <c r="E8130" s="50"/>
      <c r="F8130" s="51" t="s">
        <v>13</v>
      </c>
      <c r="G8130" s="52" t="str">
        <f>IF(ISNUMBER(F8130),E8130*F8130,"")</f>
        <v/>
      </c>
      <c r="H8130" s="53"/>
      <c r="I8130" s="38"/>
      <c r="J8130" s="37">
        <v>0</v>
      </c>
    </row>
    <row r="8131" spans="1:10" ht="15.75" hidden="1" thickBot="1" x14ac:dyDescent="0.3">
      <c r="A8131" s="173" t="s">
        <v>1947</v>
      </c>
      <c r="B8131" s="176" t="s">
        <v>8368</v>
      </c>
      <c r="C8131" s="31"/>
      <c r="D8131" s="32" t="s">
        <v>18</v>
      </c>
      <c r="E8131" s="33"/>
      <c r="F8131" s="54" t="s">
        <v>13</v>
      </c>
      <c r="G8131" s="34" t="str">
        <f>IF(ISNUMBER(F8131),E8131*F8131,"")</f>
        <v/>
      </c>
      <c r="H8131" s="35"/>
      <c r="I8131" s="36"/>
      <c r="J8131" s="37">
        <v>0</v>
      </c>
    </row>
    <row r="8132" spans="1:10" hidden="1" x14ac:dyDescent="0.25">
      <c r="A8132" s="179"/>
      <c r="B8132" s="177"/>
      <c r="C8132" s="39"/>
      <c r="D8132" s="39"/>
      <c r="E8132" s="40"/>
      <c r="F8132" s="55" t="s">
        <v>13</v>
      </c>
      <c r="G8132" s="41" t="str">
        <f>IF(ISNUMBER(F8132),E8132*F8132,"")</f>
        <v/>
      </c>
      <c r="H8132" s="42"/>
      <c r="I8132" s="38"/>
      <c r="J8132" s="37">
        <v>0</v>
      </c>
    </row>
    <row r="8133" spans="1:10" hidden="1" x14ac:dyDescent="0.25">
      <c r="A8133" s="179"/>
      <c r="B8133" s="177"/>
      <c r="C8133" s="43" t="s">
        <v>11563</v>
      </c>
      <c r="D8133" s="43" t="s">
        <v>83</v>
      </c>
      <c r="E8133" s="44">
        <v>1</v>
      </c>
      <c r="F8133" s="38">
        <v>425.19149999999996</v>
      </c>
      <c r="G8133" s="41">
        <f>IF(ISNUMBER(F8133),E8133*F8133,"")</f>
        <v>425.19149999999996</v>
      </c>
      <c r="H8133" s="46">
        <f>SUM(G8133:G8133)</f>
        <v>425.19149999999996</v>
      </c>
      <c r="I8133" s="47"/>
      <c r="J8133" s="37">
        <v>0</v>
      </c>
    </row>
    <row r="8134" spans="1:10" ht="15.75" hidden="1" thickBot="1" x14ac:dyDescent="0.3">
      <c r="A8134" s="180"/>
      <c r="B8134" s="178"/>
      <c r="C8134" s="49"/>
      <c r="D8134" s="49"/>
      <c r="E8134" s="50"/>
      <c r="F8134" s="51" t="s">
        <v>13</v>
      </c>
      <c r="G8134" s="52" t="str">
        <f>IF(ISNUMBER(F8134),E8134*F8134,"")</f>
        <v/>
      </c>
      <c r="H8134" s="53"/>
      <c r="I8134" s="38"/>
      <c r="J8134" s="37">
        <v>0</v>
      </c>
    </row>
    <row r="8135" spans="1:10" ht="15.75" hidden="1" thickBot="1" x14ac:dyDescent="0.3">
      <c r="A8135" s="173" t="s">
        <v>1948</v>
      </c>
      <c r="B8135" s="176" t="s">
        <v>8369</v>
      </c>
      <c r="C8135" s="31"/>
      <c r="D8135" s="32" t="s">
        <v>18</v>
      </c>
      <c r="E8135" s="33"/>
      <c r="F8135" s="54" t="s">
        <v>13</v>
      </c>
      <c r="G8135" s="34" t="str">
        <f>IF(ISNUMBER(F8135),E8135*F8135,"")</f>
        <v/>
      </c>
      <c r="H8135" s="35"/>
      <c r="I8135" s="36"/>
      <c r="J8135" s="37">
        <v>0</v>
      </c>
    </row>
    <row r="8136" spans="1:10" hidden="1" x14ac:dyDescent="0.25">
      <c r="A8136" s="179"/>
      <c r="B8136" s="177"/>
      <c r="C8136" s="39"/>
      <c r="D8136" s="39"/>
      <c r="E8136" s="40"/>
      <c r="F8136" s="55" t="s">
        <v>13</v>
      </c>
      <c r="G8136" s="41" t="str">
        <f>IF(ISNUMBER(F8136),E8136*F8136,"")</f>
        <v/>
      </c>
      <c r="H8136" s="42"/>
      <c r="I8136" s="38"/>
      <c r="J8136" s="37">
        <v>0</v>
      </c>
    </row>
    <row r="8137" spans="1:10" ht="25.5" hidden="1" x14ac:dyDescent="0.25">
      <c r="A8137" s="179"/>
      <c r="B8137" s="177"/>
      <c r="C8137" s="43" t="s">
        <v>11564</v>
      </c>
      <c r="D8137" s="43" t="s">
        <v>83</v>
      </c>
      <c r="E8137" s="44">
        <v>1</v>
      </c>
      <c r="F8137" s="38">
        <v>48.288499999999999</v>
      </c>
      <c r="G8137" s="41">
        <f>IF(ISNUMBER(F8137),E8137*F8137,"")</f>
        <v>48.288499999999999</v>
      </c>
      <c r="H8137" s="46">
        <f>SUM(G8137:G8137)</f>
        <v>48.288499999999999</v>
      </c>
      <c r="I8137" s="47"/>
      <c r="J8137" s="37">
        <v>0</v>
      </c>
    </row>
    <row r="8138" spans="1:10" ht="15.75" hidden="1" thickBot="1" x14ac:dyDescent="0.3">
      <c r="A8138" s="180"/>
      <c r="B8138" s="178"/>
      <c r="C8138" s="49"/>
      <c r="D8138" s="49"/>
      <c r="E8138" s="50"/>
      <c r="F8138" s="51" t="s">
        <v>13</v>
      </c>
      <c r="G8138" s="52" t="str">
        <f>IF(ISNUMBER(F8138),E8138*F8138,"")</f>
        <v/>
      </c>
      <c r="H8138" s="53"/>
      <c r="I8138" s="38"/>
      <c r="J8138" s="37">
        <v>0</v>
      </c>
    </row>
    <row r="8139" spans="1:10" ht="15.75" hidden="1" thickBot="1" x14ac:dyDescent="0.3">
      <c r="A8139" s="173" t="s">
        <v>1949</v>
      </c>
      <c r="B8139" s="176" t="s">
        <v>8370</v>
      </c>
      <c r="C8139" s="31"/>
      <c r="D8139" s="32" t="s">
        <v>18</v>
      </c>
      <c r="E8139" s="33"/>
      <c r="F8139" s="54" t="s">
        <v>13</v>
      </c>
      <c r="G8139" s="34" t="str">
        <f>IF(ISNUMBER(F8139),E8139*F8139,"")</f>
        <v/>
      </c>
      <c r="H8139" s="35"/>
      <c r="I8139" s="36"/>
      <c r="J8139" s="37">
        <v>0</v>
      </c>
    </row>
    <row r="8140" spans="1:10" hidden="1" x14ac:dyDescent="0.25">
      <c r="A8140" s="179"/>
      <c r="B8140" s="177"/>
      <c r="C8140" s="39"/>
      <c r="D8140" s="39"/>
      <c r="E8140" s="40"/>
      <c r="F8140" s="55" t="s">
        <v>13</v>
      </c>
      <c r="G8140" s="41" t="str">
        <f>IF(ISNUMBER(F8140),E8140*F8140,"")</f>
        <v/>
      </c>
      <c r="H8140" s="42"/>
      <c r="I8140" s="38"/>
      <c r="J8140" s="37">
        <v>0</v>
      </c>
    </row>
    <row r="8141" spans="1:10" ht="25.5" hidden="1" x14ac:dyDescent="0.25">
      <c r="A8141" s="179"/>
      <c r="B8141" s="177"/>
      <c r="C8141" s="43" t="s">
        <v>11565</v>
      </c>
      <c r="D8141" s="43" t="s">
        <v>83</v>
      </c>
      <c r="E8141" s="44">
        <v>1</v>
      </c>
      <c r="F8141" s="38">
        <v>298.18599999999998</v>
      </c>
      <c r="G8141" s="41">
        <f>IF(ISNUMBER(F8141),E8141*F8141,"")</f>
        <v>298.18599999999998</v>
      </c>
      <c r="H8141" s="46">
        <f>SUM(G8141:G8141)</f>
        <v>298.18599999999998</v>
      </c>
      <c r="I8141" s="47"/>
      <c r="J8141" s="37">
        <v>0</v>
      </c>
    </row>
    <row r="8142" spans="1:10" ht="15.75" hidden="1" thickBot="1" x14ac:dyDescent="0.3">
      <c r="A8142" s="180"/>
      <c r="B8142" s="178"/>
      <c r="C8142" s="49"/>
      <c r="D8142" s="49"/>
      <c r="E8142" s="50"/>
      <c r="F8142" s="51" t="s">
        <v>13</v>
      </c>
      <c r="G8142" s="52" t="str">
        <f>IF(ISNUMBER(F8142),E8142*F8142,"")</f>
        <v/>
      </c>
      <c r="H8142" s="53"/>
      <c r="I8142" s="38"/>
      <c r="J8142" s="37">
        <v>0</v>
      </c>
    </row>
    <row r="8143" spans="1:10" ht="15.75" hidden="1" thickBot="1" x14ac:dyDescent="0.3">
      <c r="A8143" s="173" t="s">
        <v>1950</v>
      </c>
      <c r="B8143" s="176" t="s">
        <v>8371</v>
      </c>
      <c r="C8143" s="31"/>
      <c r="D8143" s="32" t="s">
        <v>18</v>
      </c>
      <c r="E8143" s="33"/>
      <c r="F8143" s="54" t="s">
        <v>13</v>
      </c>
      <c r="G8143" s="34" t="str">
        <f>IF(ISNUMBER(F8143),E8143*F8143,"")</f>
        <v/>
      </c>
      <c r="H8143" s="35"/>
      <c r="I8143" s="36"/>
      <c r="J8143" s="37">
        <v>0</v>
      </c>
    </row>
    <row r="8144" spans="1:10" hidden="1" x14ac:dyDescent="0.25">
      <c r="A8144" s="179"/>
      <c r="B8144" s="177"/>
      <c r="C8144" s="39"/>
      <c r="D8144" s="39"/>
      <c r="E8144" s="40"/>
      <c r="F8144" s="55" t="s">
        <v>13</v>
      </c>
      <c r="G8144" s="41" t="str">
        <f>IF(ISNUMBER(F8144),E8144*F8144,"")</f>
        <v/>
      </c>
      <c r="H8144" s="42"/>
      <c r="I8144" s="38"/>
      <c r="J8144" s="37">
        <v>0</v>
      </c>
    </row>
    <row r="8145" spans="1:10" hidden="1" x14ac:dyDescent="0.25">
      <c r="A8145" s="179"/>
      <c r="B8145" s="177"/>
      <c r="C8145" s="43" t="s">
        <v>11521</v>
      </c>
      <c r="D8145" s="43" t="s">
        <v>83</v>
      </c>
      <c r="E8145" s="44">
        <v>1</v>
      </c>
      <c r="F8145" s="38">
        <v>4.75</v>
      </c>
      <c r="G8145" s="41">
        <f>IF(ISNUMBER(F8145),E8145*F8145,"")</f>
        <v>4.75</v>
      </c>
      <c r="H8145" s="46">
        <f>SUM(G8145:G8145)</f>
        <v>4.75</v>
      </c>
      <c r="I8145" s="47"/>
      <c r="J8145" s="37">
        <v>0</v>
      </c>
    </row>
    <row r="8146" spans="1:10" ht="15.75" hidden="1" thickBot="1" x14ac:dyDescent="0.3">
      <c r="A8146" s="180"/>
      <c r="B8146" s="178"/>
      <c r="C8146" s="49"/>
      <c r="D8146" s="49"/>
      <c r="E8146" s="50"/>
      <c r="F8146" s="51" t="s">
        <v>13</v>
      </c>
      <c r="G8146" s="52" t="str">
        <f>IF(ISNUMBER(F8146),E8146*F8146,"")</f>
        <v/>
      </c>
      <c r="H8146" s="53"/>
      <c r="I8146" s="38"/>
      <c r="J8146" s="37">
        <v>0</v>
      </c>
    </row>
    <row r="8147" spans="1:10" ht="15.75" hidden="1" thickBot="1" x14ac:dyDescent="0.3">
      <c r="A8147" s="173" t="s">
        <v>1951</v>
      </c>
      <c r="B8147" s="176" t="s">
        <v>1952</v>
      </c>
      <c r="C8147" s="31"/>
      <c r="D8147" s="32" t="s">
        <v>18</v>
      </c>
      <c r="E8147" s="33"/>
      <c r="F8147" s="54" t="s">
        <v>13</v>
      </c>
      <c r="G8147" s="34" t="str">
        <f>IF(ISNUMBER(F8147),E8147*F8147,"")</f>
        <v/>
      </c>
      <c r="H8147" s="35"/>
      <c r="I8147" s="36"/>
      <c r="J8147" s="37">
        <v>0</v>
      </c>
    </row>
    <row r="8148" spans="1:10" hidden="1" x14ac:dyDescent="0.25">
      <c r="A8148" s="179"/>
      <c r="B8148" s="177"/>
      <c r="C8148" s="39"/>
      <c r="D8148" s="39"/>
      <c r="E8148" s="40"/>
      <c r="F8148" s="55" t="s">
        <v>13</v>
      </c>
      <c r="G8148" s="41" t="str">
        <f>IF(ISNUMBER(F8148),E8148*F8148,"")</f>
        <v/>
      </c>
      <c r="H8148" s="42"/>
      <c r="I8148" s="38"/>
      <c r="J8148" s="37">
        <v>0</v>
      </c>
    </row>
    <row r="8149" spans="1:10" hidden="1" x14ac:dyDescent="0.25">
      <c r="A8149" s="179"/>
      <c r="B8149" s="177"/>
      <c r="C8149" s="43" t="s">
        <v>1952</v>
      </c>
      <c r="D8149" s="43" t="s">
        <v>18</v>
      </c>
      <c r="E8149" s="44">
        <v>1</v>
      </c>
      <c r="F8149" s="38" t="s">
        <v>13</v>
      </c>
      <c r="G8149" s="41" t="str">
        <f>IF(ISNUMBER(F8149),E8149*F8149,"")</f>
        <v/>
      </c>
      <c r="H8149" s="46">
        <f>SUM(G8149:G8149)</f>
        <v>0</v>
      </c>
      <c r="I8149" s="47"/>
      <c r="J8149" s="37">
        <v>0</v>
      </c>
    </row>
    <row r="8150" spans="1:10" ht="15.75" hidden="1" thickBot="1" x14ac:dyDescent="0.3">
      <c r="A8150" s="180"/>
      <c r="B8150" s="178"/>
      <c r="C8150" s="49"/>
      <c r="D8150" s="49"/>
      <c r="E8150" s="50"/>
      <c r="F8150" s="51" t="s">
        <v>13</v>
      </c>
      <c r="G8150" s="52" t="str">
        <f>IF(ISNUMBER(F8150),E8150*F8150,"")</f>
        <v/>
      </c>
      <c r="H8150" s="53"/>
      <c r="I8150" s="38"/>
      <c r="J8150" s="37">
        <v>0</v>
      </c>
    </row>
    <row r="8151" spans="1:10" ht="15.75" hidden="1" thickBot="1" x14ac:dyDescent="0.3">
      <c r="A8151" s="173" t="s">
        <v>1953</v>
      </c>
      <c r="B8151" s="176" t="s">
        <v>8372</v>
      </c>
      <c r="C8151" s="31"/>
      <c r="D8151" s="32" t="s">
        <v>18</v>
      </c>
      <c r="E8151" s="33"/>
      <c r="F8151" s="54" t="s">
        <v>13</v>
      </c>
      <c r="G8151" s="34" t="str">
        <f>IF(ISNUMBER(F8151),E8151*F8151,"")</f>
        <v/>
      </c>
      <c r="H8151" s="35"/>
      <c r="I8151" s="36"/>
      <c r="J8151" s="37">
        <v>0</v>
      </c>
    </row>
    <row r="8152" spans="1:10" hidden="1" x14ac:dyDescent="0.25">
      <c r="A8152" s="179"/>
      <c r="B8152" s="177"/>
      <c r="C8152" s="39"/>
      <c r="D8152" s="39"/>
      <c r="E8152" s="40"/>
      <c r="F8152" s="55" t="s">
        <v>13</v>
      </c>
      <c r="G8152" s="41" t="str">
        <f>IF(ISNUMBER(F8152),E8152*F8152,"")</f>
        <v/>
      </c>
      <c r="H8152" s="42"/>
      <c r="I8152" s="38"/>
      <c r="J8152" s="37">
        <v>0</v>
      </c>
    </row>
    <row r="8153" spans="1:10" ht="25.5" hidden="1" x14ac:dyDescent="0.25">
      <c r="A8153" s="179"/>
      <c r="B8153" s="177"/>
      <c r="C8153" s="43" t="s">
        <v>11566</v>
      </c>
      <c r="D8153" s="43" t="s">
        <v>83</v>
      </c>
      <c r="E8153" s="44">
        <v>1</v>
      </c>
      <c r="F8153" s="38">
        <v>3.9045000000000001</v>
      </c>
      <c r="G8153" s="41">
        <f>IF(ISNUMBER(F8153),E8153*F8153,"")</f>
        <v>3.9045000000000001</v>
      </c>
      <c r="H8153" s="46">
        <f>SUM(G8153:G8153)</f>
        <v>3.9045000000000001</v>
      </c>
      <c r="I8153" s="47"/>
      <c r="J8153" s="37">
        <v>0</v>
      </c>
    </row>
    <row r="8154" spans="1:10" ht="15.75" hidden="1" thickBot="1" x14ac:dyDescent="0.3">
      <c r="A8154" s="180"/>
      <c r="B8154" s="178"/>
      <c r="C8154" s="49"/>
      <c r="D8154" s="49"/>
      <c r="E8154" s="50"/>
      <c r="F8154" s="51" t="s">
        <v>13</v>
      </c>
      <c r="G8154" s="52" t="str">
        <f>IF(ISNUMBER(F8154),E8154*F8154,"")</f>
        <v/>
      </c>
      <c r="H8154" s="53"/>
      <c r="I8154" s="38"/>
      <c r="J8154" s="37">
        <v>0</v>
      </c>
    </row>
    <row r="8155" spans="1:10" ht="15.75" hidden="1" thickBot="1" x14ac:dyDescent="0.3">
      <c r="A8155" s="173" t="s">
        <v>1954</v>
      </c>
      <c r="B8155" s="176" t="s">
        <v>8373</v>
      </c>
      <c r="C8155" s="31"/>
      <c r="D8155" s="32" t="s">
        <v>18</v>
      </c>
      <c r="E8155" s="33"/>
      <c r="F8155" s="54" t="s">
        <v>13</v>
      </c>
      <c r="G8155" s="34" t="str">
        <f>IF(ISNUMBER(F8155),E8155*F8155,"")</f>
        <v/>
      </c>
      <c r="H8155" s="35"/>
      <c r="I8155" s="36"/>
      <c r="J8155" s="37">
        <v>0</v>
      </c>
    </row>
    <row r="8156" spans="1:10" hidden="1" x14ac:dyDescent="0.25">
      <c r="A8156" s="179"/>
      <c r="B8156" s="177"/>
      <c r="C8156" s="39"/>
      <c r="D8156" s="39"/>
      <c r="E8156" s="40"/>
      <c r="F8156" s="55" t="s">
        <v>13</v>
      </c>
      <c r="G8156" s="41" t="str">
        <f>IF(ISNUMBER(F8156),E8156*F8156,"")</f>
        <v/>
      </c>
      <c r="H8156" s="42"/>
      <c r="I8156" s="38"/>
      <c r="J8156" s="37">
        <v>0</v>
      </c>
    </row>
    <row r="8157" spans="1:10" ht="25.5" hidden="1" x14ac:dyDescent="0.25">
      <c r="A8157" s="179"/>
      <c r="B8157" s="177"/>
      <c r="C8157" s="43" t="s">
        <v>11567</v>
      </c>
      <c r="D8157" s="43" t="s">
        <v>83</v>
      </c>
      <c r="E8157" s="44">
        <v>1</v>
      </c>
      <c r="F8157" s="38">
        <v>3.8</v>
      </c>
      <c r="G8157" s="41">
        <f>IF(ISNUMBER(F8157),E8157*F8157,"")</f>
        <v>3.8</v>
      </c>
      <c r="H8157" s="46">
        <f>SUM(G8157:G8157)</f>
        <v>3.8</v>
      </c>
      <c r="I8157" s="47"/>
      <c r="J8157" s="37">
        <v>0</v>
      </c>
    </row>
    <row r="8158" spans="1:10" ht="15.75" hidden="1" thickBot="1" x14ac:dyDescent="0.3">
      <c r="A8158" s="180"/>
      <c r="B8158" s="178"/>
      <c r="C8158" s="49"/>
      <c r="D8158" s="49"/>
      <c r="E8158" s="50"/>
      <c r="F8158" s="51" t="s">
        <v>13</v>
      </c>
      <c r="G8158" s="52" t="str">
        <f>IF(ISNUMBER(F8158),E8158*F8158,"")</f>
        <v/>
      </c>
      <c r="H8158" s="53"/>
      <c r="I8158" s="38"/>
      <c r="J8158" s="37">
        <v>0</v>
      </c>
    </row>
    <row r="8159" spans="1:10" ht="15.75" hidden="1" thickBot="1" x14ac:dyDescent="0.3">
      <c r="A8159" s="173" t="s">
        <v>1955</v>
      </c>
      <c r="B8159" s="176" t="s">
        <v>8374</v>
      </c>
      <c r="C8159" s="31"/>
      <c r="D8159" s="32" t="s">
        <v>18</v>
      </c>
      <c r="E8159" s="33"/>
      <c r="F8159" s="54" t="s">
        <v>13</v>
      </c>
      <c r="G8159" s="34" t="str">
        <f>IF(ISNUMBER(F8159),E8159*F8159,"")</f>
        <v/>
      </c>
      <c r="H8159" s="35"/>
      <c r="I8159" s="36"/>
      <c r="J8159" s="37">
        <v>0</v>
      </c>
    </row>
    <row r="8160" spans="1:10" hidden="1" x14ac:dyDescent="0.25">
      <c r="A8160" s="179"/>
      <c r="B8160" s="177"/>
      <c r="C8160" s="39"/>
      <c r="D8160" s="39"/>
      <c r="E8160" s="40"/>
      <c r="F8160" s="55" t="s">
        <v>13</v>
      </c>
      <c r="G8160" s="41" t="str">
        <f>IF(ISNUMBER(F8160),E8160*F8160,"")</f>
        <v/>
      </c>
      <c r="H8160" s="42"/>
      <c r="I8160" s="38"/>
      <c r="J8160" s="37">
        <v>0</v>
      </c>
    </row>
    <row r="8161" spans="1:10" hidden="1" x14ac:dyDescent="0.25">
      <c r="A8161" s="179"/>
      <c r="B8161" s="177"/>
      <c r="C8161" s="43" t="s">
        <v>11517</v>
      </c>
      <c r="D8161" s="43" t="s">
        <v>83</v>
      </c>
      <c r="E8161" s="44">
        <v>1</v>
      </c>
      <c r="F8161" s="38">
        <v>4.3890000000000002</v>
      </c>
      <c r="G8161" s="41">
        <f>IF(ISNUMBER(F8161),E8161*F8161,"")</f>
        <v>4.3890000000000002</v>
      </c>
      <c r="H8161" s="46">
        <f>SUM(G8161:G8161)</f>
        <v>4.3890000000000002</v>
      </c>
      <c r="I8161" s="47"/>
      <c r="J8161" s="37">
        <v>0</v>
      </c>
    </row>
    <row r="8162" spans="1:10" ht="15.75" hidden="1" thickBot="1" x14ac:dyDescent="0.3">
      <c r="A8162" s="180"/>
      <c r="B8162" s="178"/>
      <c r="C8162" s="49"/>
      <c r="D8162" s="49"/>
      <c r="E8162" s="50"/>
      <c r="F8162" s="51" t="s">
        <v>13</v>
      </c>
      <c r="G8162" s="52" t="str">
        <f>IF(ISNUMBER(F8162),E8162*F8162,"")</f>
        <v/>
      </c>
      <c r="H8162" s="53"/>
      <c r="I8162" s="38"/>
      <c r="J8162" s="37">
        <v>0</v>
      </c>
    </row>
    <row r="8163" spans="1:10" ht="15.75" hidden="1" thickBot="1" x14ac:dyDescent="0.3">
      <c r="A8163" s="173" t="s">
        <v>1956</v>
      </c>
      <c r="B8163" s="176" t="s">
        <v>8375</v>
      </c>
      <c r="C8163" s="31"/>
      <c r="D8163" s="32" t="s">
        <v>18</v>
      </c>
      <c r="E8163" s="33"/>
      <c r="F8163" s="54" t="s">
        <v>13</v>
      </c>
      <c r="G8163" s="34" t="str">
        <f>IF(ISNUMBER(F8163),E8163*F8163,"")</f>
        <v/>
      </c>
      <c r="H8163" s="35"/>
      <c r="I8163" s="36"/>
      <c r="J8163" s="37">
        <v>0</v>
      </c>
    </row>
    <row r="8164" spans="1:10" hidden="1" x14ac:dyDescent="0.25">
      <c r="A8164" s="179"/>
      <c r="B8164" s="177"/>
      <c r="C8164" s="39"/>
      <c r="D8164" s="39"/>
      <c r="E8164" s="40"/>
      <c r="F8164" s="55" t="s">
        <v>13</v>
      </c>
      <c r="G8164" s="41" t="str">
        <f>IF(ISNUMBER(F8164),E8164*F8164,"")</f>
        <v/>
      </c>
      <c r="H8164" s="42"/>
      <c r="I8164" s="38"/>
      <c r="J8164" s="37">
        <v>0</v>
      </c>
    </row>
    <row r="8165" spans="1:10" ht="25.5" hidden="1" x14ac:dyDescent="0.25">
      <c r="A8165" s="179"/>
      <c r="B8165" s="177"/>
      <c r="C8165" s="43" t="s">
        <v>11568</v>
      </c>
      <c r="D8165" s="43" t="s">
        <v>83</v>
      </c>
      <c r="E8165" s="44">
        <v>1</v>
      </c>
      <c r="F8165" s="38">
        <v>5.8519999999999994</v>
      </c>
      <c r="G8165" s="41">
        <f>IF(ISNUMBER(F8165),E8165*F8165,"")</f>
        <v>5.8519999999999994</v>
      </c>
      <c r="H8165" s="46">
        <f>SUM(G8165:G8165)</f>
        <v>5.8519999999999994</v>
      </c>
      <c r="I8165" s="47"/>
      <c r="J8165" s="37">
        <v>0</v>
      </c>
    </row>
    <row r="8166" spans="1:10" ht="15.75" hidden="1" thickBot="1" x14ac:dyDescent="0.3">
      <c r="A8166" s="180"/>
      <c r="B8166" s="178"/>
      <c r="C8166" s="49"/>
      <c r="D8166" s="49"/>
      <c r="E8166" s="50"/>
      <c r="F8166" s="51" t="s">
        <v>13</v>
      </c>
      <c r="G8166" s="52" t="str">
        <f>IF(ISNUMBER(F8166),E8166*F8166,"")</f>
        <v/>
      </c>
      <c r="H8166" s="53"/>
      <c r="I8166" s="38"/>
      <c r="J8166" s="37">
        <v>0</v>
      </c>
    </row>
    <row r="8167" spans="1:10" ht="15.75" hidden="1" thickBot="1" x14ac:dyDescent="0.3">
      <c r="A8167" s="173" t="s">
        <v>1957</v>
      </c>
      <c r="B8167" s="176" t="s">
        <v>8376</v>
      </c>
      <c r="C8167" s="31"/>
      <c r="D8167" s="32" t="s">
        <v>18</v>
      </c>
      <c r="E8167" s="33"/>
      <c r="F8167" s="54" t="s">
        <v>13</v>
      </c>
      <c r="G8167" s="34" t="str">
        <f>IF(ISNUMBER(F8167),E8167*F8167,"")</f>
        <v/>
      </c>
      <c r="H8167" s="35"/>
      <c r="I8167" s="36"/>
      <c r="J8167" s="37">
        <v>0</v>
      </c>
    </row>
    <row r="8168" spans="1:10" hidden="1" x14ac:dyDescent="0.25">
      <c r="A8168" s="179"/>
      <c r="B8168" s="177"/>
      <c r="C8168" s="39"/>
      <c r="D8168" s="39"/>
      <c r="E8168" s="40"/>
      <c r="F8168" s="55" t="s">
        <v>13</v>
      </c>
      <c r="G8168" s="41" t="str">
        <f>IF(ISNUMBER(F8168),E8168*F8168,"")</f>
        <v/>
      </c>
      <c r="H8168" s="42"/>
      <c r="I8168" s="38"/>
      <c r="J8168" s="37">
        <v>0</v>
      </c>
    </row>
    <row r="8169" spans="1:10" ht="25.5" hidden="1" x14ac:dyDescent="0.25">
      <c r="A8169" s="179"/>
      <c r="B8169" s="177"/>
      <c r="C8169" s="43" t="s">
        <v>11569</v>
      </c>
      <c r="D8169" s="43" t="s">
        <v>83</v>
      </c>
      <c r="E8169" s="44">
        <v>1</v>
      </c>
      <c r="F8169" s="38">
        <v>2.2989999999999999</v>
      </c>
      <c r="G8169" s="41">
        <f>IF(ISNUMBER(F8169),E8169*F8169,"")</f>
        <v>2.2989999999999999</v>
      </c>
      <c r="H8169" s="46">
        <f>SUM(G8169:G8169)</f>
        <v>2.2989999999999999</v>
      </c>
      <c r="I8169" s="47"/>
      <c r="J8169" s="37">
        <v>0</v>
      </c>
    </row>
    <row r="8170" spans="1:10" ht="15.75" hidden="1" thickBot="1" x14ac:dyDescent="0.3">
      <c r="A8170" s="180"/>
      <c r="B8170" s="178"/>
      <c r="C8170" s="49"/>
      <c r="D8170" s="49"/>
      <c r="E8170" s="50"/>
      <c r="F8170" s="51" t="s">
        <v>13</v>
      </c>
      <c r="G8170" s="52" t="str">
        <f>IF(ISNUMBER(F8170),E8170*F8170,"")</f>
        <v/>
      </c>
      <c r="H8170" s="53"/>
      <c r="I8170" s="38"/>
      <c r="J8170" s="37">
        <v>0</v>
      </c>
    </row>
    <row r="8171" spans="1:10" ht="15.75" hidden="1" thickBot="1" x14ac:dyDescent="0.3">
      <c r="A8171" s="173" t="s">
        <v>1958</v>
      </c>
      <c r="B8171" s="176" t="s">
        <v>8377</v>
      </c>
      <c r="C8171" s="31"/>
      <c r="D8171" s="32" t="s">
        <v>18</v>
      </c>
      <c r="E8171" s="33"/>
      <c r="F8171" s="54" t="s">
        <v>13</v>
      </c>
      <c r="G8171" s="34" t="str">
        <f>IF(ISNUMBER(F8171),E8171*F8171,"")</f>
        <v/>
      </c>
      <c r="H8171" s="35"/>
      <c r="I8171" s="36"/>
      <c r="J8171" s="37">
        <v>0</v>
      </c>
    </row>
    <row r="8172" spans="1:10" hidden="1" x14ac:dyDescent="0.25">
      <c r="A8172" s="179"/>
      <c r="B8172" s="177"/>
      <c r="C8172" s="39"/>
      <c r="D8172" s="39"/>
      <c r="E8172" s="40"/>
      <c r="F8172" s="55" t="s">
        <v>13</v>
      </c>
      <c r="G8172" s="41" t="str">
        <f>IF(ISNUMBER(F8172),E8172*F8172,"")</f>
        <v/>
      </c>
      <c r="H8172" s="42"/>
      <c r="I8172" s="38"/>
      <c r="J8172" s="37">
        <v>0</v>
      </c>
    </row>
    <row r="8173" spans="1:10" ht="25.5" hidden="1" x14ac:dyDescent="0.25">
      <c r="A8173" s="179"/>
      <c r="B8173" s="177"/>
      <c r="C8173" s="43" t="s">
        <v>11570</v>
      </c>
      <c r="D8173" s="43" t="s">
        <v>83</v>
      </c>
      <c r="E8173" s="44">
        <v>1</v>
      </c>
      <c r="F8173" s="38">
        <v>2.5459999999999998</v>
      </c>
      <c r="G8173" s="41">
        <f>IF(ISNUMBER(F8173),E8173*F8173,"")</f>
        <v>2.5459999999999998</v>
      </c>
      <c r="H8173" s="46">
        <f>SUM(G8173:G8173)</f>
        <v>2.5459999999999998</v>
      </c>
      <c r="I8173" s="47"/>
      <c r="J8173" s="37">
        <v>0</v>
      </c>
    </row>
    <row r="8174" spans="1:10" ht="15.75" hidden="1" thickBot="1" x14ac:dyDescent="0.3">
      <c r="A8174" s="180"/>
      <c r="B8174" s="178"/>
      <c r="C8174" s="49"/>
      <c r="D8174" s="49"/>
      <c r="E8174" s="50"/>
      <c r="F8174" s="51" t="s">
        <v>13</v>
      </c>
      <c r="G8174" s="52" t="str">
        <f>IF(ISNUMBER(F8174),E8174*F8174,"")</f>
        <v/>
      </c>
      <c r="H8174" s="53"/>
      <c r="I8174" s="38"/>
      <c r="J8174" s="37">
        <v>0</v>
      </c>
    </row>
    <row r="8175" spans="1:10" ht="15.75" hidden="1" thickBot="1" x14ac:dyDescent="0.3">
      <c r="A8175" s="173" t="s">
        <v>1959</v>
      </c>
      <c r="B8175" s="176" t="s">
        <v>8378</v>
      </c>
      <c r="C8175" s="31"/>
      <c r="D8175" s="32" t="s">
        <v>18</v>
      </c>
      <c r="E8175" s="33"/>
      <c r="F8175" s="54" t="s">
        <v>13</v>
      </c>
      <c r="G8175" s="34" t="str">
        <f>IF(ISNUMBER(F8175),E8175*F8175,"")</f>
        <v/>
      </c>
      <c r="H8175" s="35"/>
      <c r="I8175" s="36"/>
      <c r="J8175" s="37">
        <v>0</v>
      </c>
    </row>
    <row r="8176" spans="1:10" hidden="1" x14ac:dyDescent="0.25">
      <c r="A8176" s="179"/>
      <c r="B8176" s="177"/>
      <c r="C8176" s="39"/>
      <c r="D8176" s="39"/>
      <c r="E8176" s="40"/>
      <c r="F8176" s="55" t="s">
        <v>13</v>
      </c>
      <c r="G8176" s="41" t="str">
        <f>IF(ISNUMBER(F8176),E8176*F8176,"")</f>
        <v/>
      </c>
      <c r="H8176" s="42"/>
      <c r="I8176" s="38"/>
      <c r="J8176" s="37">
        <v>0</v>
      </c>
    </row>
    <row r="8177" spans="1:10" hidden="1" x14ac:dyDescent="0.25">
      <c r="A8177" s="179"/>
      <c r="B8177" s="177"/>
      <c r="C8177" s="43" t="s">
        <v>11571</v>
      </c>
      <c r="D8177" s="43" t="s">
        <v>83</v>
      </c>
      <c r="E8177" s="44">
        <v>1</v>
      </c>
      <c r="F8177" s="38">
        <v>7.1439999999999992</v>
      </c>
      <c r="G8177" s="41">
        <f>IF(ISNUMBER(F8177),E8177*F8177,"")</f>
        <v>7.1439999999999992</v>
      </c>
      <c r="H8177" s="46">
        <f>SUM(G8177:G8177)</f>
        <v>7.1439999999999992</v>
      </c>
      <c r="I8177" s="47"/>
      <c r="J8177" s="37">
        <v>0</v>
      </c>
    </row>
    <row r="8178" spans="1:10" ht="15.75" hidden="1" thickBot="1" x14ac:dyDescent="0.3">
      <c r="A8178" s="180"/>
      <c r="B8178" s="178"/>
      <c r="C8178" s="49"/>
      <c r="D8178" s="49"/>
      <c r="E8178" s="50"/>
      <c r="F8178" s="51" t="s">
        <v>13</v>
      </c>
      <c r="G8178" s="52" t="str">
        <f>IF(ISNUMBER(F8178),E8178*F8178,"")</f>
        <v/>
      </c>
      <c r="H8178" s="53"/>
      <c r="I8178" s="38"/>
      <c r="J8178" s="37">
        <v>0</v>
      </c>
    </row>
    <row r="8179" spans="1:10" ht="15.75" hidden="1" thickBot="1" x14ac:dyDescent="0.3">
      <c r="A8179" s="173" t="s">
        <v>1960</v>
      </c>
      <c r="B8179" s="176" t="s">
        <v>8379</v>
      </c>
      <c r="C8179" s="31"/>
      <c r="D8179" s="32" t="s">
        <v>18</v>
      </c>
      <c r="E8179" s="33"/>
      <c r="F8179" s="54" t="s">
        <v>13</v>
      </c>
      <c r="G8179" s="34" t="str">
        <f>IF(ISNUMBER(F8179),E8179*F8179,"")</f>
        <v/>
      </c>
      <c r="H8179" s="35"/>
      <c r="I8179" s="36"/>
      <c r="J8179" s="37">
        <v>0</v>
      </c>
    </row>
    <row r="8180" spans="1:10" hidden="1" x14ac:dyDescent="0.25">
      <c r="A8180" s="179"/>
      <c r="B8180" s="177"/>
      <c r="C8180" s="39"/>
      <c r="D8180" s="39"/>
      <c r="E8180" s="40"/>
      <c r="F8180" s="55" t="s">
        <v>13</v>
      </c>
      <c r="G8180" s="41" t="str">
        <f>IF(ISNUMBER(F8180),E8180*F8180,"")</f>
        <v/>
      </c>
      <c r="H8180" s="42"/>
      <c r="I8180" s="38"/>
      <c r="J8180" s="37">
        <v>0</v>
      </c>
    </row>
    <row r="8181" spans="1:10" ht="25.5" hidden="1" x14ac:dyDescent="0.25">
      <c r="A8181" s="179"/>
      <c r="B8181" s="177"/>
      <c r="C8181" s="43" t="s">
        <v>11572</v>
      </c>
      <c r="D8181" s="43" t="s">
        <v>83</v>
      </c>
      <c r="E8181" s="44">
        <v>1</v>
      </c>
      <c r="F8181" s="38">
        <v>3.4104999999999999</v>
      </c>
      <c r="G8181" s="41">
        <f>IF(ISNUMBER(F8181),E8181*F8181,"")</f>
        <v>3.4104999999999999</v>
      </c>
      <c r="H8181" s="46">
        <f>SUM(G8181:G8181)</f>
        <v>3.4104999999999999</v>
      </c>
      <c r="I8181" s="47"/>
      <c r="J8181" s="37">
        <v>0</v>
      </c>
    </row>
    <row r="8182" spans="1:10" ht="15.75" hidden="1" thickBot="1" x14ac:dyDescent="0.3">
      <c r="A8182" s="180"/>
      <c r="B8182" s="178"/>
      <c r="C8182" s="49"/>
      <c r="D8182" s="49"/>
      <c r="E8182" s="50"/>
      <c r="F8182" s="51" t="s">
        <v>13</v>
      </c>
      <c r="G8182" s="52" t="str">
        <f>IF(ISNUMBER(F8182),E8182*F8182,"")</f>
        <v/>
      </c>
      <c r="H8182" s="53"/>
      <c r="I8182" s="38"/>
      <c r="J8182" s="37">
        <v>0</v>
      </c>
    </row>
    <row r="8183" spans="1:10" ht="15.75" hidden="1" thickBot="1" x14ac:dyDescent="0.3">
      <c r="A8183" s="173" t="s">
        <v>1961</v>
      </c>
      <c r="B8183" s="176" t="s">
        <v>8380</v>
      </c>
      <c r="C8183" s="31"/>
      <c r="D8183" s="32" t="s">
        <v>18</v>
      </c>
      <c r="E8183" s="33"/>
      <c r="F8183" s="54" t="s">
        <v>13</v>
      </c>
      <c r="G8183" s="34" t="str">
        <f>IF(ISNUMBER(F8183),E8183*F8183,"")</f>
        <v/>
      </c>
      <c r="H8183" s="35"/>
      <c r="I8183" s="36"/>
      <c r="J8183" s="37">
        <v>0</v>
      </c>
    </row>
    <row r="8184" spans="1:10" hidden="1" x14ac:dyDescent="0.25">
      <c r="A8184" s="179"/>
      <c r="B8184" s="177"/>
      <c r="C8184" s="39"/>
      <c r="D8184" s="39"/>
      <c r="E8184" s="40"/>
      <c r="F8184" s="55" t="s">
        <v>13</v>
      </c>
      <c r="G8184" s="41" t="str">
        <f>IF(ISNUMBER(F8184),E8184*F8184,"")</f>
        <v/>
      </c>
      <c r="H8184" s="42"/>
      <c r="I8184" s="38"/>
      <c r="J8184" s="37">
        <v>0</v>
      </c>
    </row>
    <row r="8185" spans="1:10" hidden="1" x14ac:dyDescent="0.25">
      <c r="A8185" s="179"/>
      <c r="B8185" s="177"/>
      <c r="C8185" s="43" t="s">
        <v>11573</v>
      </c>
      <c r="D8185" s="43" t="s">
        <v>83</v>
      </c>
      <c r="E8185" s="44">
        <v>1</v>
      </c>
      <c r="F8185" s="38">
        <v>11.618499999999999</v>
      </c>
      <c r="G8185" s="41">
        <f>IF(ISNUMBER(F8185),E8185*F8185,"")</f>
        <v>11.618499999999999</v>
      </c>
      <c r="H8185" s="46">
        <f>SUM(G8185:G8185)</f>
        <v>11.618499999999999</v>
      </c>
      <c r="I8185" s="47"/>
      <c r="J8185" s="37">
        <v>0</v>
      </c>
    </row>
    <row r="8186" spans="1:10" ht="15.75" hidden="1" thickBot="1" x14ac:dyDescent="0.3">
      <c r="A8186" s="180"/>
      <c r="B8186" s="178"/>
      <c r="C8186" s="49"/>
      <c r="D8186" s="49"/>
      <c r="E8186" s="50"/>
      <c r="F8186" s="51" t="s">
        <v>13</v>
      </c>
      <c r="G8186" s="52" t="str">
        <f>IF(ISNUMBER(F8186),E8186*F8186,"")</f>
        <v/>
      </c>
      <c r="H8186" s="53"/>
      <c r="I8186" s="38"/>
      <c r="J8186" s="37">
        <v>0</v>
      </c>
    </row>
    <row r="8187" spans="1:10" ht="15.75" hidden="1" thickBot="1" x14ac:dyDescent="0.3">
      <c r="A8187" s="173" t="s">
        <v>1962</v>
      </c>
      <c r="B8187" s="176" t="s">
        <v>8381</v>
      </c>
      <c r="C8187" s="31"/>
      <c r="D8187" s="32" t="s">
        <v>18</v>
      </c>
      <c r="E8187" s="33"/>
      <c r="F8187" s="54" t="s">
        <v>13</v>
      </c>
      <c r="G8187" s="34" t="str">
        <f>IF(ISNUMBER(F8187),E8187*F8187,"")</f>
        <v/>
      </c>
      <c r="H8187" s="35"/>
      <c r="I8187" s="36"/>
      <c r="J8187" s="37">
        <v>0</v>
      </c>
    </row>
    <row r="8188" spans="1:10" hidden="1" x14ac:dyDescent="0.25">
      <c r="A8188" s="179"/>
      <c r="B8188" s="177"/>
      <c r="C8188" s="39"/>
      <c r="D8188" s="39"/>
      <c r="E8188" s="40"/>
      <c r="F8188" s="55" t="s">
        <v>13</v>
      </c>
      <c r="G8188" s="41" t="str">
        <f>IF(ISNUMBER(F8188),E8188*F8188,"")</f>
        <v/>
      </c>
      <c r="H8188" s="42"/>
      <c r="I8188" s="38"/>
      <c r="J8188" s="37">
        <v>0</v>
      </c>
    </row>
    <row r="8189" spans="1:10" ht="25.5" hidden="1" x14ac:dyDescent="0.25">
      <c r="A8189" s="179"/>
      <c r="B8189" s="177"/>
      <c r="C8189" s="43" t="s">
        <v>11574</v>
      </c>
      <c r="D8189" s="43" t="s">
        <v>83</v>
      </c>
      <c r="E8189" s="44">
        <v>1</v>
      </c>
      <c r="F8189" s="38">
        <v>10.183999999999999</v>
      </c>
      <c r="G8189" s="41">
        <f>IF(ISNUMBER(F8189),E8189*F8189,"")</f>
        <v>10.183999999999999</v>
      </c>
      <c r="H8189" s="46">
        <f>SUM(G8189:G8189)</f>
        <v>10.183999999999999</v>
      </c>
      <c r="I8189" s="47"/>
      <c r="J8189" s="37">
        <v>0</v>
      </c>
    </row>
    <row r="8190" spans="1:10" ht="15.75" hidden="1" thickBot="1" x14ac:dyDescent="0.3">
      <c r="A8190" s="180"/>
      <c r="B8190" s="178"/>
      <c r="C8190" s="49"/>
      <c r="D8190" s="49"/>
      <c r="E8190" s="50"/>
      <c r="F8190" s="51" t="s">
        <v>13</v>
      </c>
      <c r="G8190" s="52" t="str">
        <f>IF(ISNUMBER(F8190),E8190*F8190,"")</f>
        <v/>
      </c>
      <c r="H8190" s="53"/>
      <c r="I8190" s="38"/>
      <c r="J8190" s="37">
        <v>0</v>
      </c>
    </row>
    <row r="8191" spans="1:10" ht="15.75" hidden="1" thickBot="1" x14ac:dyDescent="0.3">
      <c r="A8191" s="173" t="s">
        <v>1963</v>
      </c>
      <c r="B8191" s="176" t="s">
        <v>8382</v>
      </c>
      <c r="C8191" s="31"/>
      <c r="D8191" s="32" t="s">
        <v>18</v>
      </c>
      <c r="E8191" s="33"/>
      <c r="F8191" s="54" t="s">
        <v>13</v>
      </c>
      <c r="G8191" s="34" t="str">
        <f>IF(ISNUMBER(F8191),E8191*F8191,"")</f>
        <v/>
      </c>
      <c r="H8191" s="35"/>
      <c r="I8191" s="36"/>
      <c r="J8191" s="37">
        <v>0</v>
      </c>
    </row>
    <row r="8192" spans="1:10" hidden="1" x14ac:dyDescent="0.25">
      <c r="A8192" s="179"/>
      <c r="B8192" s="177"/>
      <c r="C8192" s="39"/>
      <c r="D8192" s="39"/>
      <c r="E8192" s="40"/>
      <c r="F8192" s="55" t="s">
        <v>13</v>
      </c>
      <c r="G8192" s="41" t="str">
        <f>IF(ISNUMBER(F8192),E8192*F8192,"")</f>
        <v/>
      </c>
      <c r="H8192" s="42"/>
      <c r="I8192" s="38"/>
      <c r="J8192" s="37">
        <v>0</v>
      </c>
    </row>
    <row r="8193" spans="1:10" ht="25.5" hidden="1" x14ac:dyDescent="0.25">
      <c r="A8193" s="179"/>
      <c r="B8193" s="177"/>
      <c r="C8193" s="43" t="s">
        <v>11575</v>
      </c>
      <c r="D8193" s="43" t="s">
        <v>83</v>
      </c>
      <c r="E8193" s="44">
        <v>1</v>
      </c>
      <c r="F8193" s="38">
        <v>7.7614999999999998</v>
      </c>
      <c r="G8193" s="41">
        <f>IF(ISNUMBER(F8193),E8193*F8193,"")</f>
        <v>7.7614999999999998</v>
      </c>
      <c r="H8193" s="46">
        <f>SUM(G8193:G8193)</f>
        <v>7.7614999999999998</v>
      </c>
      <c r="I8193" s="47"/>
      <c r="J8193" s="37">
        <v>0</v>
      </c>
    </row>
    <row r="8194" spans="1:10" ht="15.75" hidden="1" thickBot="1" x14ac:dyDescent="0.3">
      <c r="A8194" s="180"/>
      <c r="B8194" s="178"/>
      <c r="C8194" s="49"/>
      <c r="D8194" s="49"/>
      <c r="E8194" s="50"/>
      <c r="F8194" s="51" t="s">
        <v>13</v>
      </c>
      <c r="G8194" s="52" t="str">
        <f>IF(ISNUMBER(F8194),E8194*F8194,"")</f>
        <v/>
      </c>
      <c r="H8194" s="53"/>
      <c r="I8194" s="38"/>
      <c r="J8194" s="37">
        <v>0</v>
      </c>
    </row>
    <row r="8195" spans="1:10" ht="15.75" hidden="1" thickBot="1" x14ac:dyDescent="0.3">
      <c r="A8195" s="173" t="s">
        <v>1964</v>
      </c>
      <c r="B8195" s="176" t="s">
        <v>8383</v>
      </c>
      <c r="C8195" s="31"/>
      <c r="D8195" s="32" t="s">
        <v>18</v>
      </c>
      <c r="E8195" s="33"/>
      <c r="F8195" s="54" t="s">
        <v>13</v>
      </c>
      <c r="G8195" s="34" t="str">
        <f>IF(ISNUMBER(F8195),E8195*F8195,"")</f>
        <v/>
      </c>
      <c r="H8195" s="35"/>
      <c r="I8195" s="36"/>
      <c r="J8195" s="37">
        <v>0</v>
      </c>
    </row>
    <row r="8196" spans="1:10" hidden="1" x14ac:dyDescent="0.25">
      <c r="A8196" s="179"/>
      <c r="B8196" s="177"/>
      <c r="C8196" s="39"/>
      <c r="D8196" s="39"/>
      <c r="E8196" s="40"/>
      <c r="F8196" s="55" t="s">
        <v>13</v>
      </c>
      <c r="G8196" s="41" t="str">
        <f>IF(ISNUMBER(F8196),E8196*F8196,"")</f>
        <v/>
      </c>
      <c r="H8196" s="42"/>
      <c r="I8196" s="38"/>
      <c r="J8196" s="37">
        <v>0</v>
      </c>
    </row>
    <row r="8197" spans="1:10" hidden="1" x14ac:dyDescent="0.25">
      <c r="A8197" s="179"/>
      <c r="B8197" s="177"/>
      <c r="C8197" s="43" t="s">
        <v>1965</v>
      </c>
      <c r="D8197" s="43" t="s">
        <v>18</v>
      </c>
      <c r="E8197" s="44">
        <v>1</v>
      </c>
      <c r="F8197" s="38" t="s">
        <v>13</v>
      </c>
      <c r="G8197" s="41" t="str">
        <f>IF(ISNUMBER(F8197),E8197*F8197,"")</f>
        <v/>
      </c>
      <c r="H8197" s="46">
        <f>SUM(G8197:G8197)</f>
        <v>0</v>
      </c>
      <c r="I8197" s="47"/>
      <c r="J8197" s="37">
        <v>0</v>
      </c>
    </row>
    <row r="8198" spans="1:10" ht="15.75" hidden="1" thickBot="1" x14ac:dyDescent="0.3">
      <c r="A8198" s="180"/>
      <c r="B8198" s="178"/>
      <c r="C8198" s="49"/>
      <c r="D8198" s="49"/>
      <c r="E8198" s="50"/>
      <c r="F8198" s="51" t="s">
        <v>13</v>
      </c>
      <c r="G8198" s="52" t="str">
        <f>IF(ISNUMBER(F8198),E8198*F8198,"")</f>
        <v/>
      </c>
      <c r="H8198" s="53"/>
      <c r="I8198" s="38"/>
      <c r="J8198" s="37">
        <v>0</v>
      </c>
    </row>
    <row r="8199" spans="1:10" ht="15.75" hidden="1" thickBot="1" x14ac:dyDescent="0.3">
      <c r="A8199" s="173" t="s">
        <v>1966</v>
      </c>
      <c r="B8199" s="176" t="s">
        <v>8384</v>
      </c>
      <c r="C8199" s="31"/>
      <c r="D8199" s="32" t="s">
        <v>18</v>
      </c>
      <c r="E8199" s="33"/>
      <c r="F8199" s="54" t="s">
        <v>13</v>
      </c>
      <c r="G8199" s="34" t="str">
        <f>IF(ISNUMBER(F8199),E8199*F8199,"")</f>
        <v/>
      </c>
      <c r="H8199" s="35"/>
      <c r="I8199" s="36"/>
      <c r="J8199" s="37">
        <v>0</v>
      </c>
    </row>
    <row r="8200" spans="1:10" hidden="1" x14ac:dyDescent="0.25">
      <c r="A8200" s="179"/>
      <c r="B8200" s="177"/>
      <c r="C8200" s="39"/>
      <c r="D8200" s="39"/>
      <c r="E8200" s="40"/>
      <c r="F8200" s="55" t="s">
        <v>13</v>
      </c>
      <c r="G8200" s="41" t="str">
        <f>IF(ISNUMBER(F8200),E8200*F8200,"")</f>
        <v/>
      </c>
      <c r="H8200" s="42"/>
      <c r="I8200" s="38"/>
      <c r="J8200" s="37">
        <v>0</v>
      </c>
    </row>
    <row r="8201" spans="1:10" ht="25.5" hidden="1" x14ac:dyDescent="0.25">
      <c r="A8201" s="179"/>
      <c r="B8201" s="177"/>
      <c r="C8201" s="43" t="s">
        <v>11576</v>
      </c>
      <c r="D8201" s="43" t="s">
        <v>83</v>
      </c>
      <c r="E8201" s="44">
        <v>1</v>
      </c>
      <c r="F8201" s="38">
        <v>3.1635</v>
      </c>
      <c r="G8201" s="41">
        <f>IF(ISNUMBER(F8201),E8201*F8201,"")</f>
        <v>3.1635</v>
      </c>
      <c r="H8201" s="46">
        <f>SUM(G8201:G8201)</f>
        <v>3.1635</v>
      </c>
      <c r="I8201" s="47"/>
      <c r="J8201" s="37">
        <v>0</v>
      </c>
    </row>
    <row r="8202" spans="1:10" ht="15.75" hidden="1" thickBot="1" x14ac:dyDescent="0.3">
      <c r="A8202" s="180"/>
      <c r="B8202" s="178"/>
      <c r="C8202" s="49"/>
      <c r="D8202" s="49"/>
      <c r="E8202" s="50"/>
      <c r="F8202" s="51" t="s">
        <v>13</v>
      </c>
      <c r="G8202" s="52" t="str">
        <f>IF(ISNUMBER(F8202),E8202*F8202,"")</f>
        <v/>
      </c>
      <c r="H8202" s="53"/>
      <c r="I8202" s="38"/>
      <c r="J8202" s="37">
        <v>0</v>
      </c>
    </row>
    <row r="8203" spans="1:10" ht="15.75" hidden="1" thickBot="1" x14ac:dyDescent="0.3">
      <c r="A8203" s="173" t="s">
        <v>1967</v>
      </c>
      <c r="B8203" s="176" t="s">
        <v>8385</v>
      </c>
      <c r="C8203" s="31"/>
      <c r="D8203" s="32" t="s">
        <v>18</v>
      </c>
      <c r="E8203" s="33"/>
      <c r="F8203" s="54" t="s">
        <v>13</v>
      </c>
      <c r="G8203" s="34" t="str">
        <f>IF(ISNUMBER(F8203),E8203*F8203,"")</f>
        <v/>
      </c>
      <c r="H8203" s="35"/>
      <c r="I8203" s="36"/>
      <c r="J8203" s="37">
        <v>0</v>
      </c>
    </row>
    <row r="8204" spans="1:10" hidden="1" x14ac:dyDescent="0.25">
      <c r="A8204" s="179"/>
      <c r="B8204" s="177"/>
      <c r="C8204" s="39"/>
      <c r="D8204" s="39"/>
      <c r="E8204" s="40"/>
      <c r="F8204" s="55" t="s">
        <v>13</v>
      </c>
      <c r="G8204" s="41" t="str">
        <f>IF(ISNUMBER(F8204),E8204*F8204,"")</f>
        <v/>
      </c>
      <c r="H8204" s="42"/>
      <c r="I8204" s="38"/>
      <c r="J8204" s="37">
        <v>0</v>
      </c>
    </row>
    <row r="8205" spans="1:10" ht="25.5" hidden="1" x14ac:dyDescent="0.25">
      <c r="A8205" s="179"/>
      <c r="B8205" s="177"/>
      <c r="C8205" s="43" t="s">
        <v>11577</v>
      </c>
      <c r="D8205" s="43" t="s">
        <v>83</v>
      </c>
      <c r="E8205" s="44">
        <v>1</v>
      </c>
      <c r="F8205" s="38">
        <v>4.6265000000000001</v>
      </c>
      <c r="G8205" s="41">
        <f>IF(ISNUMBER(F8205),E8205*F8205,"")</f>
        <v>4.6265000000000001</v>
      </c>
      <c r="H8205" s="46">
        <f>SUM(G8205:G8205)</f>
        <v>4.6265000000000001</v>
      </c>
      <c r="I8205" s="47"/>
      <c r="J8205" s="37">
        <v>0</v>
      </c>
    </row>
    <row r="8206" spans="1:10" ht="15.75" hidden="1" thickBot="1" x14ac:dyDescent="0.3">
      <c r="A8206" s="180"/>
      <c r="B8206" s="178"/>
      <c r="C8206" s="49"/>
      <c r="D8206" s="49"/>
      <c r="E8206" s="50"/>
      <c r="F8206" s="51" t="s">
        <v>13</v>
      </c>
      <c r="G8206" s="52" t="str">
        <f>IF(ISNUMBER(F8206),E8206*F8206,"")</f>
        <v/>
      </c>
      <c r="H8206" s="53"/>
      <c r="I8206" s="38"/>
      <c r="J8206" s="37">
        <v>0</v>
      </c>
    </row>
    <row r="8207" spans="1:10" ht="15.75" hidden="1" thickBot="1" x14ac:dyDescent="0.3">
      <c r="A8207" s="173" t="s">
        <v>1968</v>
      </c>
      <c r="B8207" s="176" t="s">
        <v>8386</v>
      </c>
      <c r="C8207" s="31"/>
      <c r="D8207" s="32" t="s">
        <v>18</v>
      </c>
      <c r="E8207" s="33"/>
      <c r="F8207" s="54" t="s">
        <v>13</v>
      </c>
      <c r="G8207" s="34" t="str">
        <f>IF(ISNUMBER(F8207),E8207*F8207,"")</f>
        <v/>
      </c>
      <c r="H8207" s="35"/>
      <c r="I8207" s="36"/>
      <c r="J8207" s="37">
        <v>0</v>
      </c>
    </row>
    <row r="8208" spans="1:10" hidden="1" x14ac:dyDescent="0.25">
      <c r="A8208" s="179"/>
      <c r="B8208" s="177"/>
      <c r="C8208" s="39"/>
      <c r="D8208" s="39"/>
      <c r="E8208" s="40"/>
      <c r="F8208" s="55" t="s">
        <v>13</v>
      </c>
      <c r="G8208" s="41" t="str">
        <f>IF(ISNUMBER(F8208),E8208*F8208,"")</f>
        <v/>
      </c>
      <c r="H8208" s="42"/>
      <c r="I8208" s="38"/>
      <c r="J8208" s="37">
        <v>0</v>
      </c>
    </row>
    <row r="8209" spans="1:10" ht="25.5" hidden="1" x14ac:dyDescent="0.25">
      <c r="A8209" s="179"/>
      <c r="B8209" s="177"/>
      <c r="C8209" s="43" t="s">
        <v>11578</v>
      </c>
      <c r="D8209" s="43" t="s">
        <v>83</v>
      </c>
      <c r="E8209" s="44">
        <v>1</v>
      </c>
      <c r="F8209" s="38">
        <v>5.4719999999999995</v>
      </c>
      <c r="G8209" s="41">
        <f>IF(ISNUMBER(F8209),E8209*F8209,"")</f>
        <v>5.4719999999999995</v>
      </c>
      <c r="H8209" s="46">
        <f>SUM(G8209:G8209)</f>
        <v>5.4719999999999995</v>
      </c>
      <c r="I8209" s="47"/>
      <c r="J8209" s="37">
        <v>0</v>
      </c>
    </row>
    <row r="8210" spans="1:10" ht="15.75" hidden="1" thickBot="1" x14ac:dyDescent="0.3">
      <c r="A8210" s="180"/>
      <c r="B8210" s="178"/>
      <c r="C8210" s="49"/>
      <c r="D8210" s="49"/>
      <c r="E8210" s="50"/>
      <c r="F8210" s="51" t="s">
        <v>13</v>
      </c>
      <c r="G8210" s="52" t="str">
        <f>IF(ISNUMBER(F8210),E8210*F8210,"")</f>
        <v/>
      </c>
      <c r="H8210" s="53"/>
      <c r="I8210" s="38"/>
      <c r="J8210" s="37">
        <v>0</v>
      </c>
    </row>
    <row r="8211" spans="1:10" ht="15.75" hidden="1" thickBot="1" x14ac:dyDescent="0.3">
      <c r="A8211" s="173" t="s">
        <v>1969</v>
      </c>
      <c r="B8211" s="176" t="s">
        <v>8387</v>
      </c>
      <c r="C8211" s="31"/>
      <c r="D8211" s="32" t="s">
        <v>18</v>
      </c>
      <c r="E8211" s="33"/>
      <c r="F8211" s="54" t="s">
        <v>13</v>
      </c>
      <c r="G8211" s="34" t="str">
        <f>IF(ISNUMBER(F8211),E8211*F8211,"")</f>
        <v/>
      </c>
      <c r="H8211" s="35"/>
      <c r="I8211" s="36"/>
      <c r="J8211" s="37">
        <v>0</v>
      </c>
    </row>
    <row r="8212" spans="1:10" hidden="1" x14ac:dyDescent="0.25">
      <c r="A8212" s="179"/>
      <c r="B8212" s="177"/>
      <c r="C8212" s="39"/>
      <c r="D8212" s="39"/>
      <c r="E8212" s="40"/>
      <c r="F8212" s="55" t="s">
        <v>13</v>
      </c>
      <c r="G8212" s="41" t="str">
        <f>IF(ISNUMBER(F8212),E8212*F8212,"")</f>
        <v/>
      </c>
      <c r="H8212" s="42"/>
      <c r="I8212" s="38"/>
      <c r="J8212" s="37">
        <v>0</v>
      </c>
    </row>
    <row r="8213" spans="1:10" hidden="1" x14ac:dyDescent="0.25">
      <c r="A8213" s="179"/>
      <c r="B8213" s="177"/>
      <c r="C8213" s="43" t="s">
        <v>11579</v>
      </c>
      <c r="D8213" s="43" t="s">
        <v>83</v>
      </c>
      <c r="E8213" s="44">
        <v>1</v>
      </c>
      <c r="F8213" s="38">
        <v>14.126499999999998</v>
      </c>
      <c r="G8213" s="41">
        <f>IF(ISNUMBER(F8213),E8213*F8213,"")</f>
        <v>14.126499999999998</v>
      </c>
      <c r="H8213" s="46">
        <f>SUM(G8213:G8213)</f>
        <v>14.126499999999998</v>
      </c>
      <c r="I8213" s="47"/>
      <c r="J8213" s="37">
        <v>0</v>
      </c>
    </row>
    <row r="8214" spans="1:10" ht="15.75" hidden="1" thickBot="1" x14ac:dyDescent="0.3">
      <c r="A8214" s="180"/>
      <c r="B8214" s="178"/>
      <c r="C8214" s="49"/>
      <c r="D8214" s="49"/>
      <c r="E8214" s="50"/>
      <c r="F8214" s="51" t="s">
        <v>13</v>
      </c>
      <c r="G8214" s="52" t="str">
        <f>IF(ISNUMBER(F8214),E8214*F8214,"")</f>
        <v/>
      </c>
      <c r="H8214" s="53"/>
      <c r="I8214" s="38"/>
      <c r="J8214" s="37">
        <v>0</v>
      </c>
    </row>
    <row r="8215" spans="1:10" ht="15.75" hidden="1" thickBot="1" x14ac:dyDescent="0.3">
      <c r="A8215" s="173" t="s">
        <v>1970</v>
      </c>
      <c r="B8215" s="176" t="s">
        <v>8388</v>
      </c>
      <c r="C8215" s="31"/>
      <c r="D8215" s="32" t="s">
        <v>18</v>
      </c>
      <c r="E8215" s="33"/>
      <c r="F8215" s="54" t="s">
        <v>13</v>
      </c>
      <c r="G8215" s="34" t="str">
        <f>IF(ISNUMBER(F8215),E8215*F8215,"")</f>
        <v/>
      </c>
      <c r="H8215" s="35"/>
      <c r="I8215" s="36"/>
      <c r="J8215" s="37">
        <v>0</v>
      </c>
    </row>
    <row r="8216" spans="1:10" hidden="1" x14ac:dyDescent="0.25">
      <c r="A8216" s="179"/>
      <c r="B8216" s="177"/>
      <c r="C8216" s="39"/>
      <c r="D8216" s="39"/>
      <c r="E8216" s="40"/>
      <c r="F8216" s="55" t="s">
        <v>13</v>
      </c>
      <c r="G8216" s="41" t="str">
        <f>IF(ISNUMBER(F8216),E8216*F8216,"")</f>
        <v/>
      </c>
      <c r="H8216" s="42"/>
      <c r="I8216" s="38"/>
      <c r="J8216" s="37">
        <v>0</v>
      </c>
    </row>
    <row r="8217" spans="1:10" ht="25.5" hidden="1" x14ac:dyDescent="0.25">
      <c r="A8217" s="179"/>
      <c r="B8217" s="177"/>
      <c r="C8217" s="43" t="s">
        <v>11580</v>
      </c>
      <c r="D8217" s="43" t="s">
        <v>83</v>
      </c>
      <c r="E8217" s="44">
        <v>1</v>
      </c>
      <c r="F8217" s="38">
        <v>6.9254999999999995</v>
      </c>
      <c r="G8217" s="41">
        <f>IF(ISNUMBER(F8217),E8217*F8217,"")</f>
        <v>6.9254999999999995</v>
      </c>
      <c r="H8217" s="46">
        <f>SUM(G8217:G8217)</f>
        <v>6.9254999999999995</v>
      </c>
      <c r="I8217" s="47"/>
      <c r="J8217" s="37">
        <v>0</v>
      </c>
    </row>
    <row r="8218" spans="1:10" ht="15.75" hidden="1" thickBot="1" x14ac:dyDescent="0.3">
      <c r="A8218" s="180"/>
      <c r="B8218" s="178"/>
      <c r="C8218" s="49"/>
      <c r="D8218" s="49"/>
      <c r="E8218" s="50"/>
      <c r="F8218" s="51" t="s">
        <v>13</v>
      </c>
      <c r="G8218" s="52" t="str">
        <f>IF(ISNUMBER(F8218),E8218*F8218,"")</f>
        <v/>
      </c>
      <c r="H8218" s="53"/>
      <c r="I8218" s="38"/>
      <c r="J8218" s="37">
        <v>0</v>
      </c>
    </row>
    <row r="8219" spans="1:10" ht="15.75" hidden="1" thickBot="1" x14ac:dyDescent="0.3">
      <c r="A8219" s="173" t="s">
        <v>1971</v>
      </c>
      <c r="B8219" s="176" t="s">
        <v>8389</v>
      </c>
      <c r="C8219" s="31"/>
      <c r="D8219" s="32" t="s">
        <v>18</v>
      </c>
      <c r="E8219" s="33"/>
      <c r="F8219" s="54" t="s">
        <v>13</v>
      </c>
      <c r="G8219" s="34" t="str">
        <f>IF(ISNUMBER(F8219),E8219*F8219,"")</f>
        <v/>
      </c>
      <c r="H8219" s="35"/>
      <c r="I8219" s="36"/>
      <c r="J8219" s="37">
        <v>0</v>
      </c>
    </row>
    <row r="8220" spans="1:10" hidden="1" x14ac:dyDescent="0.25">
      <c r="A8220" s="179"/>
      <c r="B8220" s="177"/>
      <c r="C8220" s="39"/>
      <c r="D8220" s="39"/>
      <c r="E8220" s="40"/>
      <c r="F8220" s="55" t="s">
        <v>13</v>
      </c>
      <c r="G8220" s="41" t="str">
        <f>IF(ISNUMBER(F8220),E8220*F8220,"")</f>
        <v/>
      </c>
      <c r="H8220" s="42"/>
      <c r="I8220" s="38"/>
      <c r="J8220" s="37">
        <v>0</v>
      </c>
    </row>
    <row r="8221" spans="1:10" ht="25.5" hidden="1" x14ac:dyDescent="0.25">
      <c r="A8221" s="179"/>
      <c r="B8221" s="177"/>
      <c r="C8221" s="43" t="s">
        <v>11581</v>
      </c>
      <c r="D8221" s="43" t="s">
        <v>83</v>
      </c>
      <c r="E8221" s="44">
        <v>1</v>
      </c>
      <c r="F8221" s="38">
        <v>7.1819999999999995</v>
      </c>
      <c r="G8221" s="41">
        <f>IF(ISNUMBER(F8221),E8221*F8221,"")</f>
        <v>7.1819999999999995</v>
      </c>
      <c r="H8221" s="46">
        <f>SUM(G8221:G8221)</f>
        <v>7.1819999999999995</v>
      </c>
      <c r="I8221" s="47"/>
      <c r="J8221" s="37">
        <v>0</v>
      </c>
    </row>
    <row r="8222" spans="1:10" ht="15.75" hidden="1" thickBot="1" x14ac:dyDescent="0.3">
      <c r="A8222" s="180"/>
      <c r="B8222" s="178"/>
      <c r="C8222" s="49"/>
      <c r="D8222" s="49"/>
      <c r="E8222" s="50"/>
      <c r="F8222" s="51" t="s">
        <v>13</v>
      </c>
      <c r="G8222" s="52" t="str">
        <f>IF(ISNUMBER(F8222),E8222*F8222,"")</f>
        <v/>
      </c>
      <c r="H8222" s="53"/>
      <c r="I8222" s="38"/>
      <c r="J8222" s="37">
        <v>0</v>
      </c>
    </row>
    <row r="8223" spans="1:10" ht="15.75" hidden="1" thickBot="1" x14ac:dyDescent="0.3">
      <c r="A8223" s="173" t="s">
        <v>1972</v>
      </c>
      <c r="B8223" s="176" t="s">
        <v>8390</v>
      </c>
      <c r="C8223" s="31"/>
      <c r="D8223" s="32" t="s">
        <v>18</v>
      </c>
      <c r="E8223" s="33"/>
      <c r="F8223" s="54" t="s">
        <v>13</v>
      </c>
      <c r="G8223" s="34" t="str">
        <f>IF(ISNUMBER(F8223),E8223*F8223,"")</f>
        <v/>
      </c>
      <c r="H8223" s="35"/>
      <c r="I8223" s="36"/>
      <c r="J8223" s="37">
        <v>0</v>
      </c>
    </row>
    <row r="8224" spans="1:10" hidden="1" x14ac:dyDescent="0.25">
      <c r="A8224" s="179"/>
      <c r="B8224" s="177"/>
      <c r="C8224" s="39"/>
      <c r="D8224" s="39"/>
      <c r="E8224" s="40"/>
      <c r="F8224" s="55" t="s">
        <v>13</v>
      </c>
      <c r="G8224" s="41" t="str">
        <f>IF(ISNUMBER(F8224),E8224*F8224,"")</f>
        <v/>
      </c>
      <c r="H8224" s="42"/>
      <c r="I8224" s="38"/>
      <c r="J8224" s="37">
        <v>0</v>
      </c>
    </row>
    <row r="8225" spans="1:10" hidden="1" x14ac:dyDescent="0.25">
      <c r="A8225" s="179"/>
      <c r="B8225" s="177"/>
      <c r="C8225" s="43" t="s">
        <v>11582</v>
      </c>
      <c r="D8225" s="43" t="s">
        <v>83</v>
      </c>
      <c r="E8225" s="44">
        <v>1</v>
      </c>
      <c r="F8225" s="38">
        <v>45.989499999999992</v>
      </c>
      <c r="G8225" s="41">
        <f>IF(ISNUMBER(F8225),E8225*F8225,"")</f>
        <v>45.989499999999992</v>
      </c>
      <c r="H8225" s="46">
        <f>SUM(G8225:G8225)</f>
        <v>45.989499999999992</v>
      </c>
      <c r="I8225" s="47"/>
      <c r="J8225" s="37">
        <v>0</v>
      </c>
    </row>
    <row r="8226" spans="1:10" ht="15.75" hidden="1" thickBot="1" x14ac:dyDescent="0.3">
      <c r="A8226" s="180"/>
      <c r="B8226" s="178"/>
      <c r="C8226" s="49"/>
      <c r="D8226" s="49"/>
      <c r="E8226" s="50"/>
      <c r="F8226" s="51" t="s">
        <v>13</v>
      </c>
      <c r="G8226" s="52" t="str">
        <f>IF(ISNUMBER(F8226),E8226*F8226,"")</f>
        <v/>
      </c>
      <c r="H8226" s="53"/>
      <c r="I8226" s="38"/>
      <c r="J8226" s="37">
        <v>0</v>
      </c>
    </row>
    <row r="8227" spans="1:10" ht="15.75" hidden="1" thickBot="1" x14ac:dyDescent="0.3">
      <c r="A8227" s="173" t="s">
        <v>1973</v>
      </c>
      <c r="B8227" s="176" t="s">
        <v>8391</v>
      </c>
      <c r="C8227" s="31"/>
      <c r="D8227" s="32" t="s">
        <v>18</v>
      </c>
      <c r="E8227" s="33"/>
      <c r="F8227" s="54" t="s">
        <v>13</v>
      </c>
      <c r="G8227" s="34" t="str">
        <f>IF(ISNUMBER(F8227),E8227*F8227,"")</f>
        <v/>
      </c>
      <c r="H8227" s="35"/>
      <c r="I8227" s="36"/>
      <c r="J8227" s="37">
        <v>0</v>
      </c>
    </row>
    <row r="8228" spans="1:10" hidden="1" x14ac:dyDescent="0.25">
      <c r="A8228" s="179"/>
      <c r="B8228" s="177"/>
      <c r="C8228" s="39"/>
      <c r="D8228" s="39"/>
      <c r="E8228" s="40"/>
      <c r="F8228" s="55" t="s">
        <v>13</v>
      </c>
      <c r="G8228" s="41" t="str">
        <f>IF(ISNUMBER(F8228),E8228*F8228,"")</f>
        <v/>
      </c>
      <c r="H8228" s="42"/>
      <c r="I8228" s="38"/>
      <c r="J8228" s="37">
        <v>0</v>
      </c>
    </row>
    <row r="8229" spans="1:10" ht="25.5" hidden="1" x14ac:dyDescent="0.25">
      <c r="A8229" s="179"/>
      <c r="B8229" s="177"/>
      <c r="C8229" s="43" t="s">
        <v>11583</v>
      </c>
      <c r="D8229" s="43" t="s">
        <v>83</v>
      </c>
      <c r="E8229" s="44">
        <v>1</v>
      </c>
      <c r="F8229" s="38">
        <v>8.1889999999999983</v>
      </c>
      <c r="G8229" s="41">
        <f>IF(ISNUMBER(F8229),E8229*F8229,"")</f>
        <v>8.1889999999999983</v>
      </c>
      <c r="H8229" s="46">
        <f>SUM(G8229:G8229)</f>
        <v>8.1889999999999983</v>
      </c>
      <c r="I8229" s="47"/>
      <c r="J8229" s="37">
        <v>0</v>
      </c>
    </row>
    <row r="8230" spans="1:10" ht="15.75" hidden="1" thickBot="1" x14ac:dyDescent="0.3">
      <c r="A8230" s="180"/>
      <c r="B8230" s="178"/>
      <c r="C8230" s="49"/>
      <c r="D8230" s="49"/>
      <c r="E8230" s="50"/>
      <c r="F8230" s="51" t="s">
        <v>13</v>
      </c>
      <c r="G8230" s="52" t="str">
        <f>IF(ISNUMBER(F8230),E8230*F8230,"")</f>
        <v/>
      </c>
      <c r="H8230" s="53"/>
      <c r="I8230" s="38"/>
      <c r="J8230" s="37">
        <v>0</v>
      </c>
    </row>
    <row r="8231" spans="1:10" ht="15.75" hidden="1" thickBot="1" x14ac:dyDescent="0.3">
      <c r="A8231" s="173" t="s">
        <v>1974</v>
      </c>
      <c r="B8231" s="176" t="s">
        <v>8392</v>
      </c>
      <c r="C8231" s="31"/>
      <c r="D8231" s="32" t="s">
        <v>18</v>
      </c>
      <c r="E8231" s="33"/>
      <c r="F8231" s="54" t="s">
        <v>13</v>
      </c>
      <c r="G8231" s="34" t="str">
        <f>IF(ISNUMBER(F8231),E8231*F8231,"")</f>
        <v/>
      </c>
      <c r="H8231" s="35"/>
      <c r="I8231" s="36"/>
      <c r="J8231" s="37">
        <v>0</v>
      </c>
    </row>
    <row r="8232" spans="1:10" hidden="1" x14ac:dyDescent="0.25">
      <c r="A8232" s="179"/>
      <c r="B8232" s="177"/>
      <c r="C8232" s="39"/>
      <c r="D8232" s="39"/>
      <c r="E8232" s="40"/>
      <c r="F8232" s="55" t="s">
        <v>13</v>
      </c>
      <c r="G8232" s="41" t="str">
        <f>IF(ISNUMBER(F8232),E8232*F8232,"")</f>
        <v/>
      </c>
      <c r="H8232" s="42"/>
      <c r="I8232" s="38"/>
      <c r="J8232" s="37">
        <v>0</v>
      </c>
    </row>
    <row r="8233" spans="1:10" hidden="1" x14ac:dyDescent="0.25">
      <c r="A8233" s="179"/>
      <c r="B8233" s="177"/>
      <c r="C8233" s="43" t="s">
        <v>11584</v>
      </c>
      <c r="D8233" s="43" t="s">
        <v>83</v>
      </c>
      <c r="E8233" s="44">
        <v>1</v>
      </c>
      <c r="F8233" s="38">
        <v>12.901</v>
      </c>
      <c r="G8233" s="41">
        <f>IF(ISNUMBER(F8233),E8233*F8233,"")</f>
        <v>12.901</v>
      </c>
      <c r="H8233" s="46">
        <f>SUM(G8233:G8233)</f>
        <v>12.901</v>
      </c>
      <c r="I8233" s="47"/>
      <c r="J8233" s="37">
        <v>0</v>
      </c>
    </row>
    <row r="8234" spans="1:10" ht="15.75" hidden="1" thickBot="1" x14ac:dyDescent="0.3">
      <c r="A8234" s="180"/>
      <c r="B8234" s="178"/>
      <c r="C8234" s="49"/>
      <c r="D8234" s="49"/>
      <c r="E8234" s="50"/>
      <c r="F8234" s="51" t="s">
        <v>13</v>
      </c>
      <c r="G8234" s="52" t="str">
        <f>IF(ISNUMBER(F8234),E8234*F8234,"")</f>
        <v/>
      </c>
      <c r="H8234" s="53"/>
      <c r="I8234" s="38"/>
      <c r="J8234" s="37">
        <v>0</v>
      </c>
    </row>
    <row r="8235" spans="1:10" ht="15.75" hidden="1" thickBot="1" x14ac:dyDescent="0.3">
      <c r="A8235" s="173" t="s">
        <v>1975</v>
      </c>
      <c r="B8235" s="176" t="s">
        <v>8393</v>
      </c>
      <c r="C8235" s="31"/>
      <c r="D8235" s="32" t="s">
        <v>18</v>
      </c>
      <c r="E8235" s="33"/>
      <c r="F8235" s="54" t="s">
        <v>13</v>
      </c>
      <c r="G8235" s="34" t="str">
        <f>IF(ISNUMBER(F8235),E8235*F8235,"")</f>
        <v/>
      </c>
      <c r="H8235" s="35"/>
      <c r="I8235" s="36"/>
      <c r="J8235" s="37">
        <v>0</v>
      </c>
    </row>
    <row r="8236" spans="1:10" hidden="1" x14ac:dyDescent="0.25">
      <c r="A8236" s="179"/>
      <c r="B8236" s="177"/>
      <c r="C8236" s="39"/>
      <c r="D8236" s="39"/>
      <c r="E8236" s="40"/>
      <c r="F8236" s="55" t="s">
        <v>13</v>
      </c>
      <c r="G8236" s="41" t="str">
        <f>IF(ISNUMBER(F8236),E8236*F8236,"")</f>
        <v/>
      </c>
      <c r="H8236" s="42"/>
      <c r="I8236" s="38"/>
      <c r="J8236" s="37">
        <v>0</v>
      </c>
    </row>
    <row r="8237" spans="1:10" hidden="1" x14ac:dyDescent="0.25">
      <c r="A8237" s="179"/>
      <c r="B8237" s="177"/>
      <c r="C8237" s="43" t="s">
        <v>11585</v>
      </c>
      <c r="D8237" s="43" t="s">
        <v>83</v>
      </c>
      <c r="E8237" s="44">
        <v>1</v>
      </c>
      <c r="F8237" s="38">
        <v>29.611499999999999</v>
      </c>
      <c r="G8237" s="41">
        <f>IF(ISNUMBER(F8237),E8237*F8237,"")</f>
        <v>29.611499999999999</v>
      </c>
      <c r="H8237" s="46">
        <f>SUM(G8237:G8237)</f>
        <v>29.611499999999999</v>
      </c>
      <c r="I8237" s="47"/>
      <c r="J8237" s="37">
        <v>0</v>
      </c>
    </row>
    <row r="8238" spans="1:10" ht="15.75" hidden="1" thickBot="1" x14ac:dyDescent="0.3">
      <c r="A8238" s="180"/>
      <c r="B8238" s="178"/>
      <c r="C8238" s="49"/>
      <c r="D8238" s="49"/>
      <c r="E8238" s="50"/>
      <c r="F8238" s="51" t="s">
        <v>13</v>
      </c>
      <c r="G8238" s="52" t="str">
        <f>IF(ISNUMBER(F8238),E8238*F8238,"")</f>
        <v/>
      </c>
      <c r="H8238" s="53"/>
      <c r="I8238" s="38"/>
      <c r="J8238" s="37">
        <v>0</v>
      </c>
    </row>
    <row r="8239" spans="1:10" ht="15.75" hidden="1" thickBot="1" x14ac:dyDescent="0.3">
      <c r="A8239" s="173" t="s">
        <v>1976</v>
      </c>
      <c r="B8239" s="176" t="s">
        <v>8394</v>
      </c>
      <c r="C8239" s="31"/>
      <c r="D8239" s="32" t="s">
        <v>18</v>
      </c>
      <c r="E8239" s="33"/>
      <c r="F8239" s="54" t="s">
        <v>13</v>
      </c>
      <c r="G8239" s="34" t="str">
        <f>IF(ISNUMBER(F8239),E8239*F8239,"")</f>
        <v/>
      </c>
      <c r="H8239" s="35"/>
      <c r="I8239" s="36"/>
      <c r="J8239" s="37">
        <v>0</v>
      </c>
    </row>
    <row r="8240" spans="1:10" hidden="1" x14ac:dyDescent="0.25">
      <c r="A8240" s="179"/>
      <c r="B8240" s="177"/>
      <c r="C8240" s="39"/>
      <c r="D8240" s="39"/>
      <c r="E8240" s="40"/>
      <c r="F8240" s="55" t="s">
        <v>13</v>
      </c>
      <c r="G8240" s="41" t="str">
        <f>IF(ISNUMBER(F8240),E8240*F8240,"")</f>
        <v/>
      </c>
      <c r="H8240" s="42"/>
      <c r="I8240" s="38"/>
      <c r="J8240" s="37">
        <v>0</v>
      </c>
    </row>
    <row r="8241" spans="1:10" hidden="1" x14ac:dyDescent="0.25">
      <c r="A8241" s="179"/>
      <c r="B8241" s="177"/>
      <c r="C8241" s="43" t="s">
        <v>11586</v>
      </c>
      <c r="D8241" s="43" t="s">
        <v>83</v>
      </c>
      <c r="E8241" s="44">
        <v>1</v>
      </c>
      <c r="F8241" s="38">
        <v>10.9725</v>
      </c>
      <c r="G8241" s="41">
        <f>IF(ISNUMBER(F8241),E8241*F8241,"")</f>
        <v>10.9725</v>
      </c>
      <c r="H8241" s="46">
        <f>SUM(G8241:G8241)</f>
        <v>10.9725</v>
      </c>
      <c r="I8241" s="47"/>
      <c r="J8241" s="37">
        <v>0</v>
      </c>
    </row>
    <row r="8242" spans="1:10" ht="15.75" hidden="1" thickBot="1" x14ac:dyDescent="0.3">
      <c r="A8242" s="180"/>
      <c r="B8242" s="178"/>
      <c r="C8242" s="49"/>
      <c r="D8242" s="49"/>
      <c r="E8242" s="50"/>
      <c r="F8242" s="51" t="s">
        <v>13</v>
      </c>
      <c r="G8242" s="52" t="str">
        <f>IF(ISNUMBER(F8242),E8242*F8242,"")</f>
        <v/>
      </c>
      <c r="H8242" s="53"/>
      <c r="I8242" s="38"/>
      <c r="J8242" s="37">
        <v>0</v>
      </c>
    </row>
    <row r="8243" spans="1:10" ht="15.75" hidden="1" thickBot="1" x14ac:dyDescent="0.3">
      <c r="A8243" s="173" t="s">
        <v>1977</v>
      </c>
      <c r="B8243" s="176" t="s">
        <v>8395</v>
      </c>
      <c r="C8243" s="31"/>
      <c r="D8243" s="32" t="s">
        <v>18</v>
      </c>
      <c r="E8243" s="33"/>
      <c r="F8243" s="54" t="s">
        <v>13</v>
      </c>
      <c r="G8243" s="34" t="str">
        <f>IF(ISNUMBER(F8243),E8243*F8243,"")</f>
        <v/>
      </c>
      <c r="H8243" s="35"/>
      <c r="I8243" s="36"/>
      <c r="J8243" s="37">
        <v>0</v>
      </c>
    </row>
    <row r="8244" spans="1:10" hidden="1" x14ac:dyDescent="0.25">
      <c r="A8244" s="179"/>
      <c r="B8244" s="177"/>
      <c r="C8244" s="39"/>
      <c r="D8244" s="39"/>
      <c r="E8244" s="40"/>
      <c r="F8244" s="55" t="s">
        <v>13</v>
      </c>
      <c r="G8244" s="41" t="str">
        <f>IF(ISNUMBER(F8244),E8244*F8244,"")</f>
        <v/>
      </c>
      <c r="H8244" s="42"/>
      <c r="I8244" s="38"/>
      <c r="J8244" s="37">
        <v>0</v>
      </c>
    </row>
    <row r="8245" spans="1:10" ht="25.5" hidden="1" x14ac:dyDescent="0.25">
      <c r="A8245" s="179"/>
      <c r="B8245" s="177"/>
      <c r="C8245" s="43" t="s">
        <v>11587</v>
      </c>
      <c r="D8245" s="43" t="s">
        <v>83</v>
      </c>
      <c r="E8245" s="44">
        <v>1</v>
      </c>
      <c r="F8245" s="38">
        <v>8.0370000000000008</v>
      </c>
      <c r="G8245" s="41">
        <f>IF(ISNUMBER(F8245),E8245*F8245,"")</f>
        <v>8.0370000000000008</v>
      </c>
      <c r="H8245" s="46">
        <f>SUM(G8245:G8245)</f>
        <v>8.0370000000000008</v>
      </c>
      <c r="I8245" s="47"/>
      <c r="J8245" s="37">
        <v>0</v>
      </c>
    </row>
    <row r="8246" spans="1:10" ht="15.75" hidden="1" thickBot="1" x14ac:dyDescent="0.3">
      <c r="A8246" s="180"/>
      <c r="B8246" s="178"/>
      <c r="C8246" s="49"/>
      <c r="D8246" s="49"/>
      <c r="E8246" s="50"/>
      <c r="F8246" s="51" t="s">
        <v>13</v>
      </c>
      <c r="G8246" s="52" t="str">
        <f>IF(ISNUMBER(F8246),E8246*F8246,"")</f>
        <v/>
      </c>
      <c r="H8246" s="53"/>
      <c r="I8246" s="38"/>
      <c r="J8246" s="37">
        <v>0</v>
      </c>
    </row>
    <row r="8247" spans="1:10" ht="15.75" hidden="1" thickBot="1" x14ac:dyDescent="0.3">
      <c r="A8247" s="173" t="s">
        <v>1978</v>
      </c>
      <c r="B8247" s="176" t="s">
        <v>8396</v>
      </c>
      <c r="C8247" s="31"/>
      <c r="D8247" s="32" t="s">
        <v>18</v>
      </c>
      <c r="E8247" s="33"/>
      <c r="F8247" s="54" t="s">
        <v>13</v>
      </c>
      <c r="G8247" s="34" t="str">
        <f>IF(ISNUMBER(F8247),E8247*F8247,"")</f>
        <v/>
      </c>
      <c r="H8247" s="35"/>
      <c r="I8247" s="36"/>
      <c r="J8247" s="37">
        <v>0</v>
      </c>
    </row>
    <row r="8248" spans="1:10" hidden="1" x14ac:dyDescent="0.25">
      <c r="A8248" s="179"/>
      <c r="B8248" s="177"/>
      <c r="C8248" s="39"/>
      <c r="D8248" s="39"/>
      <c r="E8248" s="40"/>
      <c r="F8248" s="55" t="s">
        <v>13</v>
      </c>
      <c r="G8248" s="41" t="str">
        <f>IF(ISNUMBER(F8248),E8248*F8248,"")</f>
        <v/>
      </c>
      <c r="H8248" s="42"/>
      <c r="I8248" s="38"/>
      <c r="J8248" s="37">
        <v>0</v>
      </c>
    </row>
    <row r="8249" spans="1:10" ht="25.5" hidden="1" x14ac:dyDescent="0.25">
      <c r="A8249" s="179"/>
      <c r="B8249" s="177"/>
      <c r="C8249" s="43" t="s">
        <v>11588</v>
      </c>
      <c r="D8249" s="43" t="s">
        <v>83</v>
      </c>
      <c r="E8249" s="44">
        <v>1</v>
      </c>
      <c r="F8249" s="38">
        <v>6.7734999999999994</v>
      </c>
      <c r="G8249" s="41">
        <f>IF(ISNUMBER(F8249),E8249*F8249,"")</f>
        <v>6.7734999999999994</v>
      </c>
      <c r="H8249" s="46">
        <f>SUM(G8249:G8249)</f>
        <v>6.7734999999999994</v>
      </c>
      <c r="I8249" s="47"/>
      <c r="J8249" s="37">
        <v>0</v>
      </c>
    </row>
    <row r="8250" spans="1:10" ht="15.75" hidden="1" thickBot="1" x14ac:dyDescent="0.3">
      <c r="A8250" s="180"/>
      <c r="B8250" s="178"/>
      <c r="C8250" s="49"/>
      <c r="D8250" s="49"/>
      <c r="E8250" s="50"/>
      <c r="F8250" s="51" t="s">
        <v>13</v>
      </c>
      <c r="G8250" s="52" t="str">
        <f>IF(ISNUMBER(F8250),E8250*F8250,"")</f>
        <v/>
      </c>
      <c r="H8250" s="53"/>
      <c r="I8250" s="38"/>
      <c r="J8250" s="37">
        <v>0</v>
      </c>
    </row>
    <row r="8251" spans="1:10" ht="15.75" hidden="1" thickBot="1" x14ac:dyDescent="0.3">
      <c r="A8251" s="173" t="s">
        <v>1979</v>
      </c>
      <c r="B8251" s="176" t="s">
        <v>8397</v>
      </c>
      <c r="C8251" s="31"/>
      <c r="D8251" s="32" t="s">
        <v>18</v>
      </c>
      <c r="E8251" s="33"/>
      <c r="F8251" s="54" t="s">
        <v>13</v>
      </c>
      <c r="G8251" s="34" t="str">
        <f>IF(ISNUMBER(F8251),E8251*F8251,"")</f>
        <v/>
      </c>
      <c r="H8251" s="35"/>
      <c r="I8251" s="36"/>
      <c r="J8251" s="37">
        <v>0</v>
      </c>
    </row>
    <row r="8252" spans="1:10" hidden="1" x14ac:dyDescent="0.25">
      <c r="A8252" s="179"/>
      <c r="B8252" s="177"/>
      <c r="C8252" s="39"/>
      <c r="D8252" s="39"/>
      <c r="E8252" s="40"/>
      <c r="F8252" s="55" t="s">
        <v>13</v>
      </c>
      <c r="G8252" s="41" t="str">
        <f>IF(ISNUMBER(F8252),E8252*F8252,"")</f>
        <v/>
      </c>
      <c r="H8252" s="42"/>
      <c r="I8252" s="38"/>
      <c r="J8252" s="37">
        <v>0</v>
      </c>
    </row>
    <row r="8253" spans="1:10" ht="25.5" hidden="1" x14ac:dyDescent="0.25">
      <c r="A8253" s="179"/>
      <c r="B8253" s="177"/>
      <c r="C8253" s="43" t="s">
        <v>11589</v>
      </c>
      <c r="D8253" s="43" t="s">
        <v>83</v>
      </c>
      <c r="E8253" s="44">
        <v>1</v>
      </c>
      <c r="F8253" s="38">
        <v>8.5784999999999982</v>
      </c>
      <c r="G8253" s="41">
        <f>IF(ISNUMBER(F8253),E8253*F8253,"")</f>
        <v>8.5784999999999982</v>
      </c>
      <c r="H8253" s="46">
        <f>SUM(G8253:G8253)</f>
        <v>8.5784999999999982</v>
      </c>
      <c r="I8253" s="47"/>
      <c r="J8253" s="37">
        <v>0</v>
      </c>
    </row>
    <row r="8254" spans="1:10" ht="15.75" hidden="1" thickBot="1" x14ac:dyDescent="0.3">
      <c r="A8254" s="180"/>
      <c r="B8254" s="178"/>
      <c r="C8254" s="49"/>
      <c r="D8254" s="49"/>
      <c r="E8254" s="50"/>
      <c r="F8254" s="51" t="s">
        <v>13</v>
      </c>
      <c r="G8254" s="52" t="str">
        <f>IF(ISNUMBER(F8254),E8254*F8254,"")</f>
        <v/>
      </c>
      <c r="H8254" s="53"/>
      <c r="I8254" s="38"/>
      <c r="J8254" s="37">
        <v>0</v>
      </c>
    </row>
    <row r="8255" spans="1:10" ht="15.75" hidden="1" thickBot="1" x14ac:dyDescent="0.3">
      <c r="A8255" s="173" t="s">
        <v>1980</v>
      </c>
      <c r="B8255" s="176" t="s">
        <v>8398</v>
      </c>
      <c r="C8255" s="31"/>
      <c r="D8255" s="32" t="s">
        <v>18</v>
      </c>
      <c r="E8255" s="33"/>
      <c r="F8255" s="54" t="s">
        <v>13</v>
      </c>
      <c r="G8255" s="34" t="str">
        <f>IF(ISNUMBER(F8255),E8255*F8255,"")</f>
        <v/>
      </c>
      <c r="H8255" s="35"/>
      <c r="I8255" s="36"/>
      <c r="J8255" s="37">
        <v>0</v>
      </c>
    </row>
    <row r="8256" spans="1:10" hidden="1" x14ac:dyDescent="0.25">
      <c r="A8256" s="179"/>
      <c r="B8256" s="177"/>
      <c r="C8256" s="39"/>
      <c r="D8256" s="39"/>
      <c r="E8256" s="40"/>
      <c r="F8256" s="55" t="s">
        <v>13</v>
      </c>
      <c r="G8256" s="41" t="str">
        <f>IF(ISNUMBER(F8256),E8256*F8256,"")</f>
        <v/>
      </c>
      <c r="H8256" s="42"/>
      <c r="I8256" s="38"/>
      <c r="J8256" s="37">
        <v>0</v>
      </c>
    </row>
    <row r="8257" spans="1:10" hidden="1" x14ac:dyDescent="0.25">
      <c r="A8257" s="179"/>
      <c r="B8257" s="177"/>
      <c r="C8257" s="43" t="s">
        <v>11590</v>
      </c>
      <c r="D8257" s="43" t="s">
        <v>83</v>
      </c>
      <c r="E8257" s="44">
        <v>1</v>
      </c>
      <c r="F8257" s="38">
        <v>60.192</v>
      </c>
      <c r="G8257" s="41">
        <f>IF(ISNUMBER(F8257),E8257*F8257,"")</f>
        <v>60.192</v>
      </c>
      <c r="H8257" s="46">
        <f>SUM(G8257:G8257)</f>
        <v>60.192</v>
      </c>
      <c r="I8257" s="47"/>
      <c r="J8257" s="37">
        <v>0</v>
      </c>
    </row>
    <row r="8258" spans="1:10" ht="15.75" hidden="1" thickBot="1" x14ac:dyDescent="0.3">
      <c r="A8258" s="180"/>
      <c r="B8258" s="178"/>
      <c r="C8258" s="49"/>
      <c r="D8258" s="49"/>
      <c r="E8258" s="50"/>
      <c r="F8258" s="51" t="s">
        <v>13</v>
      </c>
      <c r="G8258" s="52" t="str">
        <f>IF(ISNUMBER(F8258),E8258*F8258,"")</f>
        <v/>
      </c>
      <c r="H8258" s="53"/>
      <c r="I8258" s="38"/>
      <c r="J8258" s="37">
        <v>0</v>
      </c>
    </row>
    <row r="8259" spans="1:10" ht="15.75" hidden="1" thickBot="1" x14ac:dyDescent="0.3">
      <c r="A8259" s="173" t="s">
        <v>1981</v>
      </c>
      <c r="B8259" s="176" t="s">
        <v>8399</v>
      </c>
      <c r="C8259" s="31"/>
      <c r="D8259" s="32" t="s">
        <v>18</v>
      </c>
      <c r="E8259" s="33"/>
      <c r="F8259" s="54" t="s">
        <v>13</v>
      </c>
      <c r="G8259" s="34" t="str">
        <f>IF(ISNUMBER(F8259),E8259*F8259,"")</f>
        <v/>
      </c>
      <c r="H8259" s="35"/>
      <c r="I8259" s="36"/>
      <c r="J8259" s="37">
        <v>0</v>
      </c>
    </row>
    <row r="8260" spans="1:10" hidden="1" x14ac:dyDescent="0.25">
      <c r="A8260" s="179"/>
      <c r="B8260" s="177"/>
      <c r="C8260" s="39"/>
      <c r="D8260" s="39"/>
      <c r="E8260" s="40"/>
      <c r="F8260" s="55" t="s">
        <v>13</v>
      </c>
      <c r="G8260" s="41" t="str">
        <f>IF(ISNUMBER(F8260),E8260*F8260,"")</f>
        <v/>
      </c>
      <c r="H8260" s="42"/>
      <c r="I8260" s="38"/>
      <c r="J8260" s="37">
        <v>0</v>
      </c>
    </row>
    <row r="8261" spans="1:10" ht="25.5" hidden="1" x14ac:dyDescent="0.25">
      <c r="A8261" s="179"/>
      <c r="B8261" s="177"/>
      <c r="C8261" s="43" t="s">
        <v>11591</v>
      </c>
      <c r="D8261" s="43" t="s">
        <v>83</v>
      </c>
      <c r="E8261" s="44">
        <v>1</v>
      </c>
      <c r="F8261" s="38">
        <v>9.4429999999999996</v>
      </c>
      <c r="G8261" s="41">
        <f>IF(ISNUMBER(F8261),E8261*F8261,"")</f>
        <v>9.4429999999999996</v>
      </c>
      <c r="H8261" s="46">
        <f>SUM(G8261:G8261)</f>
        <v>9.4429999999999996</v>
      </c>
      <c r="I8261" s="47"/>
      <c r="J8261" s="37">
        <v>0</v>
      </c>
    </row>
    <row r="8262" spans="1:10" ht="15.75" hidden="1" thickBot="1" x14ac:dyDescent="0.3">
      <c r="A8262" s="180"/>
      <c r="B8262" s="178"/>
      <c r="C8262" s="49"/>
      <c r="D8262" s="49"/>
      <c r="E8262" s="50"/>
      <c r="F8262" s="51" t="s">
        <v>13</v>
      </c>
      <c r="G8262" s="52" t="str">
        <f>IF(ISNUMBER(F8262),E8262*F8262,"")</f>
        <v/>
      </c>
      <c r="H8262" s="53"/>
      <c r="I8262" s="38"/>
      <c r="J8262" s="37">
        <v>0</v>
      </c>
    </row>
    <row r="8263" spans="1:10" ht="15.75" hidden="1" thickBot="1" x14ac:dyDescent="0.3">
      <c r="A8263" s="173" t="s">
        <v>1982</v>
      </c>
      <c r="B8263" s="176" t="s">
        <v>8400</v>
      </c>
      <c r="C8263" s="31"/>
      <c r="D8263" s="32" t="s">
        <v>18</v>
      </c>
      <c r="E8263" s="33"/>
      <c r="F8263" s="54" t="s">
        <v>13</v>
      </c>
      <c r="G8263" s="34" t="str">
        <f>IF(ISNUMBER(F8263),E8263*F8263,"")</f>
        <v/>
      </c>
      <c r="H8263" s="35"/>
      <c r="I8263" s="36"/>
      <c r="J8263" s="37">
        <v>0</v>
      </c>
    </row>
    <row r="8264" spans="1:10" hidden="1" x14ac:dyDescent="0.25">
      <c r="A8264" s="179"/>
      <c r="B8264" s="177"/>
      <c r="C8264" s="39"/>
      <c r="D8264" s="39"/>
      <c r="E8264" s="40"/>
      <c r="F8264" s="55" t="s">
        <v>13</v>
      </c>
      <c r="G8264" s="41" t="str">
        <f>IF(ISNUMBER(F8264),E8264*F8264,"")</f>
        <v/>
      </c>
      <c r="H8264" s="42"/>
      <c r="I8264" s="38"/>
      <c r="J8264" s="37">
        <v>0</v>
      </c>
    </row>
    <row r="8265" spans="1:10" ht="25.5" hidden="1" x14ac:dyDescent="0.25">
      <c r="A8265" s="179"/>
      <c r="B8265" s="177"/>
      <c r="C8265" s="43" t="s">
        <v>11592</v>
      </c>
      <c r="D8265" s="43" t="s">
        <v>83</v>
      </c>
      <c r="E8265" s="44">
        <v>1</v>
      </c>
      <c r="F8265" s="38">
        <v>43.253500000000003</v>
      </c>
      <c r="G8265" s="41">
        <f>IF(ISNUMBER(F8265),E8265*F8265,"")</f>
        <v>43.253500000000003</v>
      </c>
      <c r="H8265" s="46">
        <f>SUM(G8265:G8265)</f>
        <v>43.253500000000003</v>
      </c>
      <c r="I8265" s="47"/>
      <c r="J8265" s="37">
        <v>0</v>
      </c>
    </row>
    <row r="8266" spans="1:10" ht="15.75" hidden="1" thickBot="1" x14ac:dyDescent="0.3">
      <c r="A8266" s="180"/>
      <c r="B8266" s="178"/>
      <c r="C8266" s="49"/>
      <c r="D8266" s="49"/>
      <c r="E8266" s="50"/>
      <c r="F8266" s="51" t="s">
        <v>13</v>
      </c>
      <c r="G8266" s="52" t="str">
        <f>IF(ISNUMBER(F8266),E8266*F8266,"")</f>
        <v/>
      </c>
      <c r="H8266" s="53"/>
      <c r="I8266" s="38"/>
      <c r="J8266" s="37">
        <v>0</v>
      </c>
    </row>
    <row r="8267" spans="1:10" ht="15.75" hidden="1" thickBot="1" x14ac:dyDescent="0.3">
      <c r="A8267" s="173" t="s">
        <v>1983</v>
      </c>
      <c r="B8267" s="176" t="s">
        <v>8401</v>
      </c>
      <c r="C8267" s="31"/>
      <c r="D8267" s="32" t="s">
        <v>18</v>
      </c>
      <c r="E8267" s="33"/>
      <c r="F8267" s="54" t="s">
        <v>13</v>
      </c>
      <c r="G8267" s="34" t="str">
        <f>IF(ISNUMBER(F8267),E8267*F8267,"")</f>
        <v/>
      </c>
      <c r="H8267" s="35"/>
      <c r="I8267" s="36"/>
      <c r="J8267" s="37">
        <v>0</v>
      </c>
    </row>
    <row r="8268" spans="1:10" hidden="1" x14ac:dyDescent="0.25">
      <c r="A8268" s="179"/>
      <c r="B8268" s="177"/>
      <c r="C8268" s="39"/>
      <c r="D8268" s="39"/>
      <c r="E8268" s="40"/>
      <c r="F8268" s="55" t="s">
        <v>13</v>
      </c>
      <c r="G8268" s="41" t="str">
        <f>IF(ISNUMBER(F8268),E8268*F8268,"")</f>
        <v/>
      </c>
      <c r="H8268" s="42"/>
      <c r="I8268" s="38"/>
      <c r="J8268" s="37">
        <v>0</v>
      </c>
    </row>
    <row r="8269" spans="1:10" ht="25.5" hidden="1" x14ac:dyDescent="0.25">
      <c r="A8269" s="179"/>
      <c r="B8269" s="177"/>
      <c r="C8269" s="43" t="s">
        <v>11593</v>
      </c>
      <c r="D8269" s="43" t="s">
        <v>83</v>
      </c>
      <c r="E8269" s="44">
        <v>1</v>
      </c>
      <c r="F8269" s="38">
        <v>24.804499999999997</v>
      </c>
      <c r="G8269" s="41">
        <f>IF(ISNUMBER(F8269),E8269*F8269,"")</f>
        <v>24.804499999999997</v>
      </c>
      <c r="H8269" s="46">
        <f>SUM(G8269:G8269)</f>
        <v>24.804499999999997</v>
      </c>
      <c r="I8269" s="47"/>
      <c r="J8269" s="37">
        <v>0</v>
      </c>
    </row>
    <row r="8270" spans="1:10" ht="15.75" hidden="1" thickBot="1" x14ac:dyDescent="0.3">
      <c r="A8270" s="180"/>
      <c r="B8270" s="178"/>
      <c r="C8270" s="49"/>
      <c r="D8270" s="49"/>
      <c r="E8270" s="50"/>
      <c r="F8270" s="51" t="s">
        <v>13</v>
      </c>
      <c r="G8270" s="52" t="str">
        <f>IF(ISNUMBER(F8270),E8270*F8270,"")</f>
        <v/>
      </c>
      <c r="H8270" s="53"/>
      <c r="I8270" s="38"/>
      <c r="J8270" s="37">
        <v>0</v>
      </c>
    </row>
    <row r="8271" spans="1:10" ht="15.75" hidden="1" thickBot="1" x14ac:dyDescent="0.3">
      <c r="A8271" s="173" t="s">
        <v>1984</v>
      </c>
      <c r="B8271" s="176" t="s">
        <v>8402</v>
      </c>
      <c r="C8271" s="31"/>
      <c r="D8271" s="32" t="s">
        <v>18</v>
      </c>
      <c r="E8271" s="33"/>
      <c r="F8271" s="54" t="s">
        <v>13</v>
      </c>
      <c r="G8271" s="34" t="str">
        <f>IF(ISNUMBER(F8271),E8271*F8271,"")</f>
        <v/>
      </c>
      <c r="H8271" s="35"/>
      <c r="I8271" s="36"/>
      <c r="J8271" s="37">
        <v>0</v>
      </c>
    </row>
    <row r="8272" spans="1:10" hidden="1" x14ac:dyDescent="0.25">
      <c r="A8272" s="179"/>
      <c r="B8272" s="177"/>
      <c r="C8272" s="39"/>
      <c r="D8272" s="39"/>
      <c r="E8272" s="40"/>
      <c r="F8272" s="55" t="s">
        <v>13</v>
      </c>
      <c r="G8272" s="41" t="str">
        <f>IF(ISNUMBER(F8272),E8272*F8272,"")</f>
        <v/>
      </c>
      <c r="H8272" s="42"/>
      <c r="I8272" s="38"/>
      <c r="J8272" s="37">
        <v>0</v>
      </c>
    </row>
    <row r="8273" spans="1:10" hidden="1" x14ac:dyDescent="0.25">
      <c r="A8273" s="179"/>
      <c r="B8273" s="177"/>
      <c r="C8273" s="43" t="s">
        <v>11594</v>
      </c>
      <c r="D8273" s="43" t="s">
        <v>83</v>
      </c>
      <c r="E8273" s="44">
        <v>1</v>
      </c>
      <c r="F8273" s="38">
        <v>13.262</v>
      </c>
      <c r="G8273" s="41">
        <f>IF(ISNUMBER(F8273),E8273*F8273,"")</f>
        <v>13.262</v>
      </c>
      <c r="H8273" s="46">
        <f>SUM(G8273:G8273)</f>
        <v>13.262</v>
      </c>
      <c r="I8273" s="47"/>
      <c r="J8273" s="37">
        <v>0</v>
      </c>
    </row>
    <row r="8274" spans="1:10" ht="15.75" hidden="1" thickBot="1" x14ac:dyDescent="0.3">
      <c r="A8274" s="180"/>
      <c r="B8274" s="178"/>
      <c r="C8274" s="49"/>
      <c r="D8274" s="49"/>
      <c r="E8274" s="50"/>
      <c r="F8274" s="51" t="s">
        <v>13</v>
      </c>
      <c r="G8274" s="52" t="str">
        <f>IF(ISNUMBER(F8274),E8274*F8274,"")</f>
        <v/>
      </c>
      <c r="H8274" s="53"/>
      <c r="I8274" s="38"/>
      <c r="J8274" s="37">
        <v>0</v>
      </c>
    </row>
    <row r="8275" spans="1:10" ht="15.75" hidden="1" thickBot="1" x14ac:dyDescent="0.3">
      <c r="A8275" s="173" t="s">
        <v>1985</v>
      </c>
      <c r="B8275" s="176" t="s">
        <v>8403</v>
      </c>
      <c r="C8275" s="31"/>
      <c r="D8275" s="32" t="s">
        <v>18</v>
      </c>
      <c r="E8275" s="33"/>
      <c r="F8275" s="54" t="s">
        <v>13</v>
      </c>
      <c r="G8275" s="34" t="str">
        <f>IF(ISNUMBER(F8275),E8275*F8275,"")</f>
        <v/>
      </c>
      <c r="H8275" s="35"/>
      <c r="I8275" s="36"/>
      <c r="J8275" s="37">
        <v>0</v>
      </c>
    </row>
    <row r="8276" spans="1:10" hidden="1" x14ac:dyDescent="0.25">
      <c r="A8276" s="179"/>
      <c r="B8276" s="177"/>
      <c r="C8276" s="39"/>
      <c r="D8276" s="39"/>
      <c r="E8276" s="40"/>
      <c r="F8276" s="55" t="s">
        <v>13</v>
      </c>
      <c r="G8276" s="41" t="str">
        <f>IF(ISNUMBER(F8276),E8276*F8276,"")</f>
        <v/>
      </c>
      <c r="H8276" s="42"/>
      <c r="I8276" s="38"/>
      <c r="J8276" s="37">
        <v>0</v>
      </c>
    </row>
    <row r="8277" spans="1:10" hidden="1" x14ac:dyDescent="0.25">
      <c r="A8277" s="179"/>
      <c r="B8277" s="177"/>
      <c r="C8277" s="43" t="s">
        <v>11595</v>
      </c>
      <c r="D8277" s="43" t="s">
        <v>83</v>
      </c>
      <c r="E8277" s="44">
        <v>1</v>
      </c>
      <c r="F8277" s="38">
        <v>45.200999999999993</v>
      </c>
      <c r="G8277" s="41">
        <f>IF(ISNUMBER(F8277),E8277*F8277,"")</f>
        <v>45.200999999999993</v>
      </c>
      <c r="H8277" s="46">
        <f>SUM(G8277:G8277)</f>
        <v>45.200999999999993</v>
      </c>
      <c r="I8277" s="47"/>
      <c r="J8277" s="37">
        <v>0</v>
      </c>
    </row>
    <row r="8278" spans="1:10" ht="15.75" hidden="1" thickBot="1" x14ac:dyDescent="0.3">
      <c r="A8278" s="180"/>
      <c r="B8278" s="178"/>
      <c r="C8278" s="49"/>
      <c r="D8278" s="49"/>
      <c r="E8278" s="50"/>
      <c r="F8278" s="51" t="s">
        <v>13</v>
      </c>
      <c r="G8278" s="52" t="str">
        <f>IF(ISNUMBER(F8278),E8278*F8278,"")</f>
        <v/>
      </c>
      <c r="H8278" s="53"/>
      <c r="I8278" s="38"/>
      <c r="J8278" s="37">
        <v>0</v>
      </c>
    </row>
    <row r="8279" spans="1:10" ht="15.75" hidden="1" thickBot="1" x14ac:dyDescent="0.3">
      <c r="A8279" s="173" t="s">
        <v>1986</v>
      </c>
      <c r="B8279" s="176" t="s">
        <v>8404</v>
      </c>
      <c r="C8279" s="31"/>
      <c r="D8279" s="32" t="s">
        <v>18</v>
      </c>
      <c r="E8279" s="33"/>
      <c r="F8279" s="54" t="s">
        <v>13</v>
      </c>
      <c r="G8279" s="34" t="str">
        <f>IF(ISNUMBER(F8279),E8279*F8279,"")</f>
        <v/>
      </c>
      <c r="H8279" s="35"/>
      <c r="I8279" s="36"/>
      <c r="J8279" s="37">
        <v>0</v>
      </c>
    </row>
    <row r="8280" spans="1:10" hidden="1" x14ac:dyDescent="0.25">
      <c r="A8280" s="179"/>
      <c r="B8280" s="177"/>
      <c r="C8280" s="39"/>
      <c r="D8280" s="39"/>
      <c r="E8280" s="40"/>
      <c r="F8280" s="55" t="s">
        <v>13</v>
      </c>
      <c r="G8280" s="41" t="str">
        <f>IF(ISNUMBER(F8280),E8280*F8280,"")</f>
        <v/>
      </c>
      <c r="H8280" s="42"/>
      <c r="I8280" s="38"/>
      <c r="J8280" s="37">
        <v>0</v>
      </c>
    </row>
    <row r="8281" spans="1:10" ht="25.5" hidden="1" x14ac:dyDescent="0.25">
      <c r="A8281" s="179"/>
      <c r="B8281" s="177"/>
      <c r="C8281" s="43" t="s">
        <v>11596</v>
      </c>
      <c r="D8281" s="43" t="s">
        <v>83</v>
      </c>
      <c r="E8281" s="44">
        <v>1</v>
      </c>
      <c r="F8281" s="38">
        <v>42.3795</v>
      </c>
      <c r="G8281" s="41">
        <f>IF(ISNUMBER(F8281),E8281*F8281,"")</f>
        <v>42.3795</v>
      </c>
      <c r="H8281" s="46">
        <f>SUM(G8281:G8281)</f>
        <v>42.3795</v>
      </c>
      <c r="I8281" s="47"/>
      <c r="J8281" s="37">
        <v>0</v>
      </c>
    </row>
    <row r="8282" spans="1:10" ht="15.75" hidden="1" thickBot="1" x14ac:dyDescent="0.3">
      <c r="A8282" s="180"/>
      <c r="B8282" s="178"/>
      <c r="C8282" s="49"/>
      <c r="D8282" s="49"/>
      <c r="E8282" s="50"/>
      <c r="F8282" s="51" t="s">
        <v>13</v>
      </c>
      <c r="G8282" s="52" t="str">
        <f>IF(ISNUMBER(F8282),E8282*F8282,"")</f>
        <v/>
      </c>
      <c r="H8282" s="53"/>
      <c r="I8282" s="38"/>
      <c r="J8282" s="37">
        <v>0</v>
      </c>
    </row>
    <row r="8283" spans="1:10" ht="15.75" hidden="1" thickBot="1" x14ac:dyDescent="0.3">
      <c r="A8283" s="173" t="s">
        <v>1987</v>
      </c>
      <c r="B8283" s="176" t="s">
        <v>8405</v>
      </c>
      <c r="C8283" s="31"/>
      <c r="D8283" s="32" t="s">
        <v>18</v>
      </c>
      <c r="E8283" s="33"/>
      <c r="F8283" s="54" t="s">
        <v>13</v>
      </c>
      <c r="G8283" s="34" t="str">
        <f>IF(ISNUMBER(F8283),E8283*F8283,"")</f>
        <v/>
      </c>
      <c r="H8283" s="35"/>
      <c r="I8283" s="36"/>
      <c r="J8283" s="37">
        <v>0</v>
      </c>
    </row>
    <row r="8284" spans="1:10" hidden="1" x14ac:dyDescent="0.25">
      <c r="A8284" s="179"/>
      <c r="B8284" s="177"/>
      <c r="C8284" s="39"/>
      <c r="D8284" s="39"/>
      <c r="E8284" s="40"/>
      <c r="F8284" s="55" t="s">
        <v>13</v>
      </c>
      <c r="G8284" s="41" t="str">
        <f>IF(ISNUMBER(F8284),E8284*F8284,"")</f>
        <v/>
      </c>
      <c r="H8284" s="42"/>
      <c r="I8284" s="38"/>
      <c r="J8284" s="37">
        <v>0</v>
      </c>
    </row>
    <row r="8285" spans="1:10" ht="25.5" hidden="1" x14ac:dyDescent="0.25">
      <c r="A8285" s="179"/>
      <c r="B8285" s="177"/>
      <c r="C8285" s="43" t="s">
        <v>11597</v>
      </c>
      <c r="D8285" s="43" t="s">
        <v>83</v>
      </c>
      <c r="E8285" s="44">
        <v>1</v>
      </c>
      <c r="F8285" s="38">
        <v>20.9665</v>
      </c>
      <c r="G8285" s="41">
        <f>IF(ISNUMBER(F8285),E8285*F8285,"")</f>
        <v>20.9665</v>
      </c>
      <c r="H8285" s="46">
        <f>SUM(G8285:G8285)</f>
        <v>20.9665</v>
      </c>
      <c r="I8285" s="47"/>
      <c r="J8285" s="37">
        <v>0</v>
      </c>
    </row>
    <row r="8286" spans="1:10" ht="15.75" hidden="1" thickBot="1" x14ac:dyDescent="0.3">
      <c r="A8286" s="180"/>
      <c r="B8286" s="178"/>
      <c r="C8286" s="49"/>
      <c r="D8286" s="49"/>
      <c r="E8286" s="50"/>
      <c r="F8286" s="51" t="s">
        <v>13</v>
      </c>
      <c r="G8286" s="52" t="str">
        <f>IF(ISNUMBER(F8286),E8286*F8286,"")</f>
        <v/>
      </c>
      <c r="H8286" s="53"/>
      <c r="I8286" s="38"/>
      <c r="J8286" s="37">
        <v>0</v>
      </c>
    </row>
    <row r="8287" spans="1:10" ht="15.75" hidden="1" thickBot="1" x14ac:dyDescent="0.3">
      <c r="A8287" s="173" t="s">
        <v>1988</v>
      </c>
      <c r="B8287" s="176" t="s">
        <v>8406</v>
      </c>
      <c r="C8287" s="31"/>
      <c r="D8287" s="32" t="s">
        <v>18</v>
      </c>
      <c r="E8287" s="33"/>
      <c r="F8287" s="54" t="s">
        <v>13</v>
      </c>
      <c r="G8287" s="34" t="str">
        <f>IF(ISNUMBER(F8287),E8287*F8287,"")</f>
        <v/>
      </c>
      <c r="H8287" s="35"/>
      <c r="I8287" s="36"/>
      <c r="J8287" s="37">
        <v>0</v>
      </c>
    </row>
    <row r="8288" spans="1:10" hidden="1" x14ac:dyDescent="0.25">
      <c r="A8288" s="179"/>
      <c r="B8288" s="177"/>
      <c r="C8288" s="39"/>
      <c r="D8288" s="39"/>
      <c r="E8288" s="40"/>
      <c r="F8288" s="55" t="s">
        <v>13</v>
      </c>
      <c r="G8288" s="41" t="str">
        <f>IF(ISNUMBER(F8288),E8288*F8288,"")</f>
        <v/>
      </c>
      <c r="H8288" s="42"/>
      <c r="I8288" s="38"/>
      <c r="J8288" s="37">
        <v>0</v>
      </c>
    </row>
    <row r="8289" spans="1:10" ht="25.5" hidden="1" x14ac:dyDescent="0.25">
      <c r="A8289" s="179"/>
      <c r="B8289" s="177"/>
      <c r="C8289" s="43" t="s">
        <v>11598</v>
      </c>
      <c r="D8289" s="43" t="s">
        <v>83</v>
      </c>
      <c r="E8289" s="44">
        <v>1</v>
      </c>
      <c r="F8289" s="38">
        <v>10.7445</v>
      </c>
      <c r="G8289" s="41">
        <f>IF(ISNUMBER(F8289),E8289*F8289,"")</f>
        <v>10.7445</v>
      </c>
      <c r="H8289" s="46">
        <f>SUM(G8289:G8289)</f>
        <v>10.7445</v>
      </c>
      <c r="I8289" s="47"/>
      <c r="J8289" s="37">
        <v>0</v>
      </c>
    </row>
    <row r="8290" spans="1:10" ht="15.75" hidden="1" thickBot="1" x14ac:dyDescent="0.3">
      <c r="A8290" s="180"/>
      <c r="B8290" s="178"/>
      <c r="C8290" s="49"/>
      <c r="D8290" s="49"/>
      <c r="E8290" s="50"/>
      <c r="F8290" s="51" t="s">
        <v>13</v>
      </c>
      <c r="G8290" s="52" t="str">
        <f>IF(ISNUMBER(F8290),E8290*F8290,"")</f>
        <v/>
      </c>
      <c r="H8290" s="53"/>
      <c r="I8290" s="38"/>
      <c r="J8290" s="37">
        <v>0</v>
      </c>
    </row>
    <row r="8291" spans="1:10" ht="15.75" hidden="1" thickBot="1" x14ac:dyDescent="0.3">
      <c r="A8291" s="173" t="s">
        <v>1989</v>
      </c>
      <c r="B8291" s="176" t="s">
        <v>8407</v>
      </c>
      <c r="C8291" s="31"/>
      <c r="D8291" s="32" t="s">
        <v>18</v>
      </c>
      <c r="E8291" s="33"/>
      <c r="F8291" s="54" t="s">
        <v>13</v>
      </c>
      <c r="G8291" s="34" t="str">
        <f>IF(ISNUMBER(F8291),E8291*F8291,"")</f>
        <v/>
      </c>
      <c r="H8291" s="35"/>
      <c r="I8291" s="36"/>
      <c r="J8291" s="37">
        <v>0</v>
      </c>
    </row>
    <row r="8292" spans="1:10" hidden="1" x14ac:dyDescent="0.25">
      <c r="A8292" s="179"/>
      <c r="B8292" s="177"/>
      <c r="C8292" s="39"/>
      <c r="D8292" s="39"/>
      <c r="E8292" s="40"/>
      <c r="F8292" s="55" t="s">
        <v>13</v>
      </c>
      <c r="G8292" s="41" t="str">
        <f>IF(ISNUMBER(F8292),E8292*F8292,"")</f>
        <v/>
      </c>
      <c r="H8292" s="42"/>
      <c r="I8292" s="38"/>
      <c r="J8292" s="37">
        <v>0</v>
      </c>
    </row>
    <row r="8293" spans="1:10" ht="25.5" hidden="1" x14ac:dyDescent="0.25">
      <c r="A8293" s="179"/>
      <c r="B8293" s="177"/>
      <c r="C8293" s="43" t="s">
        <v>11599</v>
      </c>
      <c r="D8293" s="43" t="s">
        <v>83</v>
      </c>
      <c r="E8293" s="44">
        <v>1</v>
      </c>
      <c r="F8293" s="38">
        <v>33.8675</v>
      </c>
      <c r="G8293" s="41">
        <f>IF(ISNUMBER(F8293),E8293*F8293,"")</f>
        <v>33.8675</v>
      </c>
      <c r="H8293" s="46">
        <f>SUM(G8293:G8293)</f>
        <v>33.8675</v>
      </c>
      <c r="I8293" s="47"/>
      <c r="J8293" s="37">
        <v>0</v>
      </c>
    </row>
    <row r="8294" spans="1:10" ht="15.75" hidden="1" thickBot="1" x14ac:dyDescent="0.3">
      <c r="A8294" s="180"/>
      <c r="B8294" s="178"/>
      <c r="C8294" s="49"/>
      <c r="D8294" s="49"/>
      <c r="E8294" s="50"/>
      <c r="F8294" s="51" t="s">
        <v>13</v>
      </c>
      <c r="G8294" s="52" t="str">
        <f>IF(ISNUMBER(F8294),E8294*F8294,"")</f>
        <v/>
      </c>
      <c r="H8294" s="53"/>
      <c r="I8294" s="38"/>
      <c r="J8294" s="37">
        <v>0</v>
      </c>
    </row>
    <row r="8295" spans="1:10" ht="15.75" hidden="1" thickBot="1" x14ac:dyDescent="0.3">
      <c r="A8295" s="173" t="s">
        <v>1990</v>
      </c>
      <c r="B8295" s="176" t="s">
        <v>8408</v>
      </c>
      <c r="C8295" s="31"/>
      <c r="D8295" s="32" t="s">
        <v>18</v>
      </c>
      <c r="E8295" s="33"/>
      <c r="F8295" s="54" t="s">
        <v>13</v>
      </c>
      <c r="G8295" s="34" t="str">
        <f>IF(ISNUMBER(F8295),E8295*F8295,"")</f>
        <v/>
      </c>
      <c r="H8295" s="35"/>
      <c r="I8295" s="36"/>
      <c r="J8295" s="37">
        <v>0</v>
      </c>
    </row>
    <row r="8296" spans="1:10" hidden="1" x14ac:dyDescent="0.25">
      <c r="A8296" s="179"/>
      <c r="B8296" s="177"/>
      <c r="C8296" s="39"/>
      <c r="D8296" s="39"/>
      <c r="E8296" s="40"/>
      <c r="F8296" s="55" t="s">
        <v>13</v>
      </c>
      <c r="G8296" s="41" t="str">
        <f>IF(ISNUMBER(F8296),E8296*F8296,"")</f>
        <v/>
      </c>
      <c r="H8296" s="42"/>
      <c r="I8296" s="38"/>
      <c r="J8296" s="37">
        <v>0</v>
      </c>
    </row>
    <row r="8297" spans="1:10" hidden="1" x14ac:dyDescent="0.25">
      <c r="A8297" s="179"/>
      <c r="B8297" s="177"/>
      <c r="C8297" s="43" t="s">
        <v>11600</v>
      </c>
      <c r="D8297" s="43" t="s">
        <v>83</v>
      </c>
      <c r="E8297" s="44">
        <v>1</v>
      </c>
      <c r="F8297" s="38">
        <v>77.282499999999985</v>
      </c>
      <c r="G8297" s="41">
        <f>IF(ISNUMBER(F8297),E8297*F8297,"")</f>
        <v>77.282499999999985</v>
      </c>
      <c r="H8297" s="46">
        <f>SUM(G8297:G8297)</f>
        <v>77.282499999999985</v>
      </c>
      <c r="I8297" s="47"/>
      <c r="J8297" s="37">
        <v>0</v>
      </c>
    </row>
    <row r="8298" spans="1:10" ht="15.75" hidden="1" thickBot="1" x14ac:dyDescent="0.3">
      <c r="A8298" s="180"/>
      <c r="B8298" s="178"/>
      <c r="C8298" s="49"/>
      <c r="D8298" s="49"/>
      <c r="E8298" s="50"/>
      <c r="F8298" s="51" t="s">
        <v>13</v>
      </c>
      <c r="G8298" s="52" t="str">
        <f>IF(ISNUMBER(F8298),E8298*F8298,"")</f>
        <v/>
      </c>
      <c r="H8298" s="53"/>
      <c r="I8298" s="38"/>
      <c r="J8298" s="37">
        <v>0</v>
      </c>
    </row>
    <row r="8299" spans="1:10" ht="15.75" hidden="1" thickBot="1" x14ac:dyDescent="0.3">
      <c r="A8299" s="173" t="s">
        <v>1991</v>
      </c>
      <c r="B8299" s="176" t="s">
        <v>8409</v>
      </c>
      <c r="C8299" s="31"/>
      <c r="D8299" s="32" t="s">
        <v>18</v>
      </c>
      <c r="E8299" s="33"/>
      <c r="F8299" s="54" t="s">
        <v>13</v>
      </c>
      <c r="G8299" s="34" t="str">
        <f>IF(ISNUMBER(F8299),E8299*F8299,"")</f>
        <v/>
      </c>
      <c r="H8299" s="35"/>
      <c r="I8299" s="36"/>
      <c r="J8299" s="37">
        <v>0</v>
      </c>
    </row>
    <row r="8300" spans="1:10" hidden="1" x14ac:dyDescent="0.25">
      <c r="A8300" s="179"/>
      <c r="B8300" s="177"/>
      <c r="C8300" s="39"/>
      <c r="D8300" s="39"/>
      <c r="E8300" s="40"/>
      <c r="F8300" s="55" t="s">
        <v>13</v>
      </c>
      <c r="G8300" s="41" t="str">
        <f>IF(ISNUMBER(F8300),E8300*F8300,"")</f>
        <v/>
      </c>
      <c r="H8300" s="42"/>
      <c r="I8300" s="38"/>
      <c r="J8300" s="37">
        <v>0</v>
      </c>
    </row>
    <row r="8301" spans="1:10" ht="25.5" hidden="1" x14ac:dyDescent="0.25">
      <c r="A8301" s="179"/>
      <c r="B8301" s="177"/>
      <c r="C8301" s="43" t="s">
        <v>11601</v>
      </c>
      <c r="D8301" s="43" t="s">
        <v>83</v>
      </c>
      <c r="E8301" s="44">
        <v>1</v>
      </c>
      <c r="F8301" s="38">
        <v>188.72699999999998</v>
      </c>
      <c r="G8301" s="41">
        <f>IF(ISNUMBER(F8301),E8301*F8301,"")</f>
        <v>188.72699999999998</v>
      </c>
      <c r="H8301" s="46">
        <f>SUM(G8301:G8301)</f>
        <v>188.72699999999998</v>
      </c>
      <c r="I8301" s="47"/>
      <c r="J8301" s="37">
        <v>0</v>
      </c>
    </row>
    <row r="8302" spans="1:10" ht="15.75" hidden="1" thickBot="1" x14ac:dyDescent="0.3">
      <c r="A8302" s="180"/>
      <c r="B8302" s="178"/>
      <c r="C8302" s="49"/>
      <c r="D8302" s="49"/>
      <c r="E8302" s="50"/>
      <c r="F8302" s="51" t="s">
        <v>13</v>
      </c>
      <c r="G8302" s="52" t="str">
        <f>IF(ISNUMBER(F8302),E8302*F8302,"")</f>
        <v/>
      </c>
      <c r="H8302" s="53"/>
      <c r="I8302" s="38"/>
      <c r="J8302" s="37">
        <v>0</v>
      </c>
    </row>
    <row r="8303" spans="1:10" ht="15.75" hidden="1" thickBot="1" x14ac:dyDescent="0.3">
      <c r="A8303" s="173" t="s">
        <v>1992</v>
      </c>
      <c r="B8303" s="176" t="s">
        <v>8410</v>
      </c>
      <c r="C8303" s="31"/>
      <c r="D8303" s="32" t="s">
        <v>18</v>
      </c>
      <c r="E8303" s="33"/>
      <c r="F8303" s="54" t="s">
        <v>13</v>
      </c>
      <c r="G8303" s="34" t="str">
        <f>IF(ISNUMBER(F8303),E8303*F8303,"")</f>
        <v/>
      </c>
      <c r="H8303" s="35"/>
      <c r="I8303" s="36"/>
      <c r="J8303" s="37">
        <v>0</v>
      </c>
    </row>
    <row r="8304" spans="1:10" hidden="1" x14ac:dyDescent="0.25">
      <c r="A8304" s="179"/>
      <c r="B8304" s="177"/>
      <c r="C8304" s="39"/>
      <c r="D8304" s="39"/>
      <c r="E8304" s="40"/>
      <c r="F8304" s="55" t="s">
        <v>13</v>
      </c>
      <c r="G8304" s="41" t="str">
        <f>IF(ISNUMBER(F8304),E8304*F8304,"")</f>
        <v/>
      </c>
      <c r="H8304" s="42"/>
      <c r="I8304" s="38"/>
      <c r="J8304" s="37">
        <v>0</v>
      </c>
    </row>
    <row r="8305" spans="1:10" hidden="1" x14ac:dyDescent="0.25">
      <c r="A8305" s="179"/>
      <c r="B8305" s="177"/>
      <c r="C8305" s="43" t="s">
        <v>11602</v>
      </c>
      <c r="D8305" s="43" t="s">
        <v>83</v>
      </c>
      <c r="E8305" s="44">
        <v>1</v>
      </c>
      <c r="F8305" s="38">
        <v>119.71899999999999</v>
      </c>
      <c r="G8305" s="41">
        <f>IF(ISNUMBER(F8305),E8305*F8305,"")</f>
        <v>119.71899999999999</v>
      </c>
      <c r="H8305" s="46">
        <f>SUM(G8305:G8305)</f>
        <v>119.71899999999999</v>
      </c>
      <c r="I8305" s="47"/>
      <c r="J8305" s="37">
        <v>0</v>
      </c>
    </row>
    <row r="8306" spans="1:10" ht="15.75" hidden="1" thickBot="1" x14ac:dyDescent="0.3">
      <c r="A8306" s="180"/>
      <c r="B8306" s="178"/>
      <c r="C8306" s="49"/>
      <c r="D8306" s="49"/>
      <c r="E8306" s="50"/>
      <c r="F8306" s="51" t="s">
        <v>13</v>
      </c>
      <c r="G8306" s="52" t="str">
        <f>IF(ISNUMBER(F8306),E8306*F8306,"")</f>
        <v/>
      </c>
      <c r="H8306" s="53"/>
      <c r="I8306" s="38"/>
      <c r="J8306" s="37">
        <v>0</v>
      </c>
    </row>
    <row r="8307" spans="1:10" ht="15.75" hidden="1" thickBot="1" x14ac:dyDescent="0.3">
      <c r="A8307" s="173" t="s">
        <v>1993</v>
      </c>
      <c r="B8307" s="176" t="s">
        <v>8411</v>
      </c>
      <c r="C8307" s="31"/>
      <c r="D8307" s="32" t="s">
        <v>18</v>
      </c>
      <c r="E8307" s="33"/>
      <c r="F8307" s="54" t="s">
        <v>13</v>
      </c>
      <c r="G8307" s="34" t="str">
        <f>IF(ISNUMBER(F8307),E8307*F8307,"")</f>
        <v/>
      </c>
      <c r="H8307" s="35"/>
      <c r="I8307" s="36"/>
      <c r="J8307" s="37">
        <v>0</v>
      </c>
    </row>
    <row r="8308" spans="1:10" hidden="1" x14ac:dyDescent="0.25">
      <c r="A8308" s="179"/>
      <c r="B8308" s="177"/>
      <c r="C8308" s="39"/>
      <c r="D8308" s="39"/>
      <c r="E8308" s="40"/>
      <c r="F8308" s="55" t="s">
        <v>13</v>
      </c>
      <c r="G8308" s="41" t="str">
        <f>IF(ISNUMBER(F8308),E8308*F8308,"")</f>
        <v/>
      </c>
      <c r="H8308" s="42"/>
      <c r="I8308" s="38"/>
      <c r="J8308" s="37">
        <v>0</v>
      </c>
    </row>
    <row r="8309" spans="1:10" ht="25.5" hidden="1" x14ac:dyDescent="0.25">
      <c r="A8309" s="179"/>
      <c r="B8309" s="177"/>
      <c r="C8309" s="43" t="s">
        <v>11603</v>
      </c>
      <c r="D8309" s="43" t="s">
        <v>83</v>
      </c>
      <c r="E8309" s="44">
        <v>1</v>
      </c>
      <c r="F8309" s="38">
        <v>62.281999999999996</v>
      </c>
      <c r="G8309" s="41">
        <f>IF(ISNUMBER(F8309),E8309*F8309,"")</f>
        <v>62.281999999999996</v>
      </c>
      <c r="H8309" s="46">
        <f>SUM(G8309:G8309)</f>
        <v>62.281999999999996</v>
      </c>
      <c r="I8309" s="47"/>
      <c r="J8309" s="37">
        <v>0</v>
      </c>
    </row>
    <row r="8310" spans="1:10" ht="15.75" hidden="1" thickBot="1" x14ac:dyDescent="0.3">
      <c r="A8310" s="180"/>
      <c r="B8310" s="178"/>
      <c r="C8310" s="49"/>
      <c r="D8310" s="49"/>
      <c r="E8310" s="50"/>
      <c r="F8310" s="51" t="s">
        <v>13</v>
      </c>
      <c r="G8310" s="52" t="str">
        <f>IF(ISNUMBER(F8310),E8310*F8310,"")</f>
        <v/>
      </c>
      <c r="H8310" s="53"/>
      <c r="I8310" s="38"/>
      <c r="J8310" s="37">
        <v>0</v>
      </c>
    </row>
    <row r="8311" spans="1:10" ht="15.75" hidden="1" thickBot="1" x14ac:dyDescent="0.3">
      <c r="A8311" s="173" t="s">
        <v>1994</v>
      </c>
      <c r="B8311" s="176" t="s">
        <v>8412</v>
      </c>
      <c r="C8311" s="31"/>
      <c r="D8311" s="32" t="s">
        <v>18</v>
      </c>
      <c r="E8311" s="33"/>
      <c r="F8311" s="54" t="s">
        <v>13</v>
      </c>
      <c r="G8311" s="34" t="str">
        <f>IF(ISNUMBER(F8311),E8311*F8311,"")</f>
        <v/>
      </c>
      <c r="H8311" s="35"/>
      <c r="I8311" s="36"/>
      <c r="J8311" s="37">
        <v>0</v>
      </c>
    </row>
    <row r="8312" spans="1:10" hidden="1" x14ac:dyDescent="0.25">
      <c r="A8312" s="179"/>
      <c r="B8312" s="177"/>
      <c r="C8312" s="39"/>
      <c r="D8312" s="39"/>
      <c r="E8312" s="40"/>
      <c r="F8312" s="55" t="s">
        <v>13</v>
      </c>
      <c r="G8312" s="41" t="str">
        <f>IF(ISNUMBER(F8312),E8312*F8312,"")</f>
        <v/>
      </c>
      <c r="H8312" s="42"/>
      <c r="I8312" s="38"/>
      <c r="J8312" s="37">
        <v>0</v>
      </c>
    </row>
    <row r="8313" spans="1:10" ht="25.5" hidden="1" x14ac:dyDescent="0.25">
      <c r="A8313" s="179"/>
      <c r="B8313" s="177"/>
      <c r="C8313" s="43" t="s">
        <v>11604</v>
      </c>
      <c r="D8313" s="43" t="s">
        <v>83</v>
      </c>
      <c r="E8313" s="44">
        <v>1</v>
      </c>
      <c r="F8313" s="38">
        <v>67.658999999999992</v>
      </c>
      <c r="G8313" s="41">
        <f>IF(ISNUMBER(F8313),E8313*F8313,"")</f>
        <v>67.658999999999992</v>
      </c>
      <c r="H8313" s="46">
        <f>SUM(G8313:G8313)</f>
        <v>67.658999999999992</v>
      </c>
      <c r="I8313" s="47"/>
      <c r="J8313" s="37">
        <v>0</v>
      </c>
    </row>
    <row r="8314" spans="1:10" ht="15.75" hidden="1" thickBot="1" x14ac:dyDescent="0.3">
      <c r="A8314" s="180"/>
      <c r="B8314" s="178"/>
      <c r="C8314" s="49"/>
      <c r="D8314" s="49"/>
      <c r="E8314" s="50"/>
      <c r="F8314" s="51" t="s">
        <v>13</v>
      </c>
      <c r="G8314" s="52" t="str">
        <f>IF(ISNUMBER(F8314),E8314*F8314,"")</f>
        <v/>
      </c>
      <c r="H8314" s="53"/>
      <c r="I8314" s="38"/>
      <c r="J8314" s="37">
        <v>0</v>
      </c>
    </row>
    <row r="8315" spans="1:10" ht="15.75" hidden="1" thickBot="1" x14ac:dyDescent="0.3">
      <c r="A8315" s="173" t="s">
        <v>1995</v>
      </c>
      <c r="B8315" s="176" t="s">
        <v>8413</v>
      </c>
      <c r="C8315" s="31"/>
      <c r="D8315" s="32" t="s">
        <v>18</v>
      </c>
      <c r="E8315" s="33"/>
      <c r="F8315" s="54" t="s">
        <v>13</v>
      </c>
      <c r="G8315" s="34" t="str">
        <f>IF(ISNUMBER(F8315),E8315*F8315,"")</f>
        <v/>
      </c>
      <c r="H8315" s="35"/>
      <c r="I8315" s="36"/>
      <c r="J8315" s="37">
        <v>0</v>
      </c>
    </row>
    <row r="8316" spans="1:10" hidden="1" x14ac:dyDescent="0.25">
      <c r="A8316" s="179"/>
      <c r="B8316" s="177"/>
      <c r="C8316" s="39"/>
      <c r="D8316" s="39"/>
      <c r="E8316" s="40"/>
      <c r="F8316" s="55" t="s">
        <v>13</v>
      </c>
      <c r="G8316" s="41" t="str">
        <f>IF(ISNUMBER(F8316),E8316*F8316,"")</f>
        <v/>
      </c>
      <c r="H8316" s="42"/>
      <c r="I8316" s="38"/>
      <c r="J8316" s="37">
        <v>0</v>
      </c>
    </row>
    <row r="8317" spans="1:10" ht="25.5" hidden="1" x14ac:dyDescent="0.25">
      <c r="A8317" s="179"/>
      <c r="B8317" s="177"/>
      <c r="C8317" s="43" t="s">
        <v>11605</v>
      </c>
      <c r="D8317" s="43" t="s">
        <v>83</v>
      </c>
      <c r="E8317" s="44">
        <v>1</v>
      </c>
      <c r="F8317" s="38">
        <v>157.3295</v>
      </c>
      <c r="G8317" s="41">
        <f>IF(ISNUMBER(F8317),E8317*F8317,"")</f>
        <v>157.3295</v>
      </c>
      <c r="H8317" s="46">
        <f>SUM(G8317:G8317)</f>
        <v>157.3295</v>
      </c>
      <c r="I8317" s="47"/>
      <c r="J8317" s="37">
        <v>0</v>
      </c>
    </row>
    <row r="8318" spans="1:10" ht="15.75" hidden="1" thickBot="1" x14ac:dyDescent="0.3">
      <c r="A8318" s="180"/>
      <c r="B8318" s="178"/>
      <c r="C8318" s="49"/>
      <c r="D8318" s="49"/>
      <c r="E8318" s="50"/>
      <c r="F8318" s="51" t="s">
        <v>13</v>
      </c>
      <c r="G8318" s="52" t="str">
        <f>IF(ISNUMBER(F8318),E8318*F8318,"")</f>
        <v/>
      </c>
      <c r="H8318" s="53"/>
      <c r="I8318" s="38"/>
      <c r="J8318" s="37">
        <v>0</v>
      </c>
    </row>
    <row r="8319" spans="1:10" ht="15.75" hidden="1" thickBot="1" x14ac:dyDescent="0.3">
      <c r="A8319" s="173" t="s">
        <v>1996</v>
      </c>
      <c r="B8319" s="176" t="s">
        <v>8414</v>
      </c>
      <c r="C8319" s="31"/>
      <c r="D8319" s="32" t="s">
        <v>18</v>
      </c>
      <c r="E8319" s="33"/>
      <c r="F8319" s="54" t="s">
        <v>13</v>
      </c>
      <c r="G8319" s="34" t="str">
        <f>IF(ISNUMBER(F8319),E8319*F8319,"")</f>
        <v/>
      </c>
      <c r="H8319" s="35"/>
      <c r="I8319" s="36"/>
      <c r="J8319" s="37">
        <v>0</v>
      </c>
    </row>
    <row r="8320" spans="1:10" hidden="1" x14ac:dyDescent="0.25">
      <c r="A8320" s="179"/>
      <c r="B8320" s="177"/>
      <c r="C8320" s="39"/>
      <c r="D8320" s="39"/>
      <c r="E8320" s="40"/>
      <c r="F8320" s="55" t="s">
        <v>13</v>
      </c>
      <c r="G8320" s="41" t="str">
        <f>IF(ISNUMBER(F8320),E8320*F8320,"")</f>
        <v/>
      </c>
      <c r="H8320" s="42"/>
      <c r="I8320" s="38"/>
      <c r="J8320" s="37">
        <v>0</v>
      </c>
    </row>
    <row r="8321" spans="1:10" hidden="1" x14ac:dyDescent="0.25">
      <c r="A8321" s="179"/>
      <c r="B8321" s="177"/>
      <c r="C8321" s="43" t="s">
        <v>11606</v>
      </c>
      <c r="D8321" s="43" t="s">
        <v>83</v>
      </c>
      <c r="E8321" s="44">
        <v>1</v>
      </c>
      <c r="F8321" s="38">
        <v>65.036999999999992</v>
      </c>
      <c r="G8321" s="41">
        <f>IF(ISNUMBER(F8321),E8321*F8321,"")</f>
        <v>65.036999999999992</v>
      </c>
      <c r="H8321" s="46">
        <f>SUM(G8321:G8321)</f>
        <v>65.036999999999992</v>
      </c>
      <c r="I8321" s="47"/>
      <c r="J8321" s="37">
        <v>0</v>
      </c>
    </row>
    <row r="8322" spans="1:10" ht="15.75" hidden="1" thickBot="1" x14ac:dyDescent="0.3">
      <c r="A8322" s="180"/>
      <c r="B8322" s="178"/>
      <c r="C8322" s="49"/>
      <c r="D8322" s="49"/>
      <c r="E8322" s="50"/>
      <c r="F8322" s="51" t="s">
        <v>13</v>
      </c>
      <c r="G8322" s="52" t="str">
        <f>IF(ISNUMBER(F8322),E8322*F8322,"")</f>
        <v/>
      </c>
      <c r="H8322" s="53"/>
      <c r="I8322" s="38"/>
      <c r="J8322" s="37">
        <v>0</v>
      </c>
    </row>
    <row r="8323" spans="1:10" ht="15.75" hidden="1" thickBot="1" x14ac:dyDescent="0.3">
      <c r="A8323" s="173" t="s">
        <v>1997</v>
      </c>
      <c r="B8323" s="176" t="s">
        <v>8415</v>
      </c>
      <c r="C8323" s="31"/>
      <c r="D8323" s="32" t="s">
        <v>18</v>
      </c>
      <c r="E8323" s="33"/>
      <c r="F8323" s="54" t="s">
        <v>13</v>
      </c>
      <c r="G8323" s="34" t="str">
        <f>IF(ISNUMBER(F8323),E8323*F8323,"")</f>
        <v/>
      </c>
      <c r="H8323" s="35"/>
      <c r="I8323" s="36"/>
      <c r="J8323" s="37">
        <v>0</v>
      </c>
    </row>
    <row r="8324" spans="1:10" hidden="1" x14ac:dyDescent="0.25">
      <c r="A8324" s="179"/>
      <c r="B8324" s="177"/>
      <c r="C8324" s="39"/>
      <c r="D8324" s="39"/>
      <c r="E8324" s="40"/>
      <c r="F8324" s="55" t="s">
        <v>13</v>
      </c>
      <c r="G8324" s="41" t="str">
        <f>IF(ISNUMBER(F8324),E8324*F8324,"")</f>
        <v/>
      </c>
      <c r="H8324" s="42"/>
      <c r="I8324" s="38"/>
      <c r="J8324" s="37">
        <v>0</v>
      </c>
    </row>
    <row r="8325" spans="1:10" ht="25.5" hidden="1" x14ac:dyDescent="0.25">
      <c r="A8325" s="179"/>
      <c r="B8325" s="177"/>
      <c r="C8325" s="43" t="s">
        <v>11159</v>
      </c>
      <c r="D8325" s="43" t="s">
        <v>83</v>
      </c>
      <c r="E8325" s="44">
        <v>1</v>
      </c>
      <c r="F8325" s="38">
        <v>57.057000000000002</v>
      </c>
      <c r="G8325" s="41">
        <f>IF(ISNUMBER(F8325),E8325*F8325,"")</f>
        <v>57.057000000000002</v>
      </c>
      <c r="H8325" s="46">
        <f>SUM(G8325:G8325)</f>
        <v>57.057000000000002</v>
      </c>
      <c r="I8325" s="47"/>
      <c r="J8325" s="37">
        <v>0</v>
      </c>
    </row>
    <row r="8326" spans="1:10" ht="15.75" hidden="1" thickBot="1" x14ac:dyDescent="0.3">
      <c r="A8326" s="180"/>
      <c r="B8326" s="178"/>
      <c r="C8326" s="49"/>
      <c r="D8326" s="49"/>
      <c r="E8326" s="50"/>
      <c r="F8326" s="51" t="s">
        <v>13</v>
      </c>
      <c r="G8326" s="52" t="str">
        <f>IF(ISNUMBER(F8326),E8326*F8326,"")</f>
        <v/>
      </c>
      <c r="H8326" s="53"/>
      <c r="I8326" s="38"/>
      <c r="J8326" s="37">
        <v>0</v>
      </c>
    </row>
    <row r="8327" spans="1:10" ht="15.75" hidden="1" thickBot="1" x14ac:dyDescent="0.3">
      <c r="A8327" s="173" t="s">
        <v>1998</v>
      </c>
      <c r="B8327" s="176" t="s">
        <v>8418</v>
      </c>
      <c r="C8327" s="31"/>
      <c r="D8327" s="32" t="s">
        <v>18</v>
      </c>
      <c r="E8327" s="33"/>
      <c r="F8327" s="54" t="s">
        <v>13</v>
      </c>
      <c r="G8327" s="34" t="str">
        <f>IF(ISNUMBER(F8327),E8327*F8327,"")</f>
        <v/>
      </c>
      <c r="H8327" s="35"/>
      <c r="I8327" s="36"/>
      <c r="J8327" s="37">
        <v>0</v>
      </c>
    </row>
    <row r="8328" spans="1:10" hidden="1" x14ac:dyDescent="0.25">
      <c r="A8328" s="179"/>
      <c r="B8328" s="177"/>
      <c r="C8328" s="39"/>
      <c r="D8328" s="39"/>
      <c r="E8328" s="40"/>
      <c r="F8328" s="55" t="s">
        <v>13</v>
      </c>
      <c r="G8328" s="41" t="str">
        <f>IF(ISNUMBER(F8328),E8328*F8328,"")</f>
        <v/>
      </c>
      <c r="H8328" s="42"/>
      <c r="I8328" s="38"/>
      <c r="J8328" s="37">
        <v>0</v>
      </c>
    </row>
    <row r="8329" spans="1:10" ht="25.5" hidden="1" x14ac:dyDescent="0.25">
      <c r="A8329" s="179"/>
      <c r="B8329" s="177"/>
      <c r="C8329" s="43" t="s">
        <v>11103</v>
      </c>
      <c r="D8329" s="43" t="s">
        <v>83</v>
      </c>
      <c r="E8329" s="44">
        <v>1</v>
      </c>
      <c r="F8329" s="38">
        <v>63.374499999999991</v>
      </c>
      <c r="G8329" s="41">
        <f>IF(ISNUMBER(F8329),E8329*F8329,"")</f>
        <v>63.374499999999991</v>
      </c>
      <c r="H8329" s="46">
        <f>SUM(G8329:G8329)</f>
        <v>63.374499999999991</v>
      </c>
      <c r="I8329" s="47"/>
      <c r="J8329" s="37">
        <v>0</v>
      </c>
    </row>
    <row r="8330" spans="1:10" ht="15.75" hidden="1" thickBot="1" x14ac:dyDescent="0.3">
      <c r="A8330" s="180"/>
      <c r="B8330" s="178"/>
      <c r="C8330" s="49"/>
      <c r="D8330" s="49"/>
      <c r="E8330" s="50"/>
      <c r="F8330" s="51" t="s">
        <v>13</v>
      </c>
      <c r="G8330" s="52" t="str">
        <f>IF(ISNUMBER(F8330),E8330*F8330,"")</f>
        <v/>
      </c>
      <c r="H8330" s="53"/>
      <c r="I8330" s="38"/>
      <c r="J8330" s="37">
        <v>0</v>
      </c>
    </row>
    <row r="8331" spans="1:10" ht="15.75" hidden="1" thickBot="1" x14ac:dyDescent="0.3">
      <c r="A8331" s="173" t="s">
        <v>1999</v>
      </c>
      <c r="B8331" s="176" t="s">
        <v>8419</v>
      </c>
      <c r="C8331" s="31"/>
      <c r="D8331" s="32" t="s">
        <v>18</v>
      </c>
      <c r="E8331" s="33"/>
      <c r="F8331" s="54" t="s">
        <v>13</v>
      </c>
      <c r="G8331" s="34" t="str">
        <f>IF(ISNUMBER(F8331),E8331*F8331,"")</f>
        <v/>
      </c>
      <c r="H8331" s="35"/>
      <c r="I8331" s="36"/>
      <c r="J8331" s="37">
        <v>0</v>
      </c>
    </row>
    <row r="8332" spans="1:10" hidden="1" x14ac:dyDescent="0.25">
      <c r="A8332" s="179"/>
      <c r="B8332" s="177"/>
      <c r="C8332" s="39"/>
      <c r="D8332" s="39"/>
      <c r="E8332" s="40"/>
      <c r="F8332" s="55" t="s">
        <v>13</v>
      </c>
      <c r="G8332" s="41" t="str">
        <f>IF(ISNUMBER(F8332),E8332*F8332,"")</f>
        <v/>
      </c>
      <c r="H8332" s="42"/>
      <c r="I8332" s="38"/>
      <c r="J8332" s="37">
        <v>0</v>
      </c>
    </row>
    <row r="8333" spans="1:10" hidden="1" x14ac:dyDescent="0.25">
      <c r="A8333" s="179"/>
      <c r="B8333" s="177"/>
      <c r="C8333" s="43" t="s">
        <v>11108</v>
      </c>
      <c r="D8333" s="43" t="s">
        <v>83</v>
      </c>
      <c r="E8333" s="44">
        <v>1</v>
      </c>
      <c r="F8333" s="38">
        <v>39.367999999999995</v>
      </c>
      <c r="G8333" s="41">
        <f>IF(ISNUMBER(F8333),E8333*F8333,"")</f>
        <v>39.367999999999995</v>
      </c>
      <c r="H8333" s="46">
        <f>SUM(G8333:G8333)</f>
        <v>39.367999999999995</v>
      </c>
      <c r="I8333" s="47"/>
      <c r="J8333" s="37">
        <v>0</v>
      </c>
    </row>
    <row r="8334" spans="1:10" ht="15.75" hidden="1" thickBot="1" x14ac:dyDescent="0.3">
      <c r="A8334" s="180"/>
      <c r="B8334" s="178"/>
      <c r="C8334" s="49"/>
      <c r="D8334" s="49"/>
      <c r="E8334" s="50"/>
      <c r="F8334" s="51" t="s">
        <v>13</v>
      </c>
      <c r="G8334" s="52" t="str">
        <f>IF(ISNUMBER(F8334),E8334*F8334,"")</f>
        <v/>
      </c>
      <c r="H8334" s="53"/>
      <c r="I8334" s="38"/>
      <c r="J8334" s="37">
        <v>0</v>
      </c>
    </row>
    <row r="8335" spans="1:10" ht="15.75" hidden="1" thickBot="1" x14ac:dyDescent="0.3">
      <c r="A8335" s="173" t="s">
        <v>2000</v>
      </c>
      <c r="B8335" s="176" t="s">
        <v>8420</v>
      </c>
      <c r="C8335" s="31"/>
      <c r="D8335" s="32" t="s">
        <v>18</v>
      </c>
      <c r="E8335" s="33"/>
      <c r="F8335" s="54" t="s">
        <v>13</v>
      </c>
      <c r="G8335" s="34" t="str">
        <f>IF(ISNUMBER(F8335),E8335*F8335,"")</f>
        <v/>
      </c>
      <c r="H8335" s="35"/>
      <c r="I8335" s="36"/>
      <c r="J8335" s="37">
        <v>0</v>
      </c>
    </row>
    <row r="8336" spans="1:10" hidden="1" x14ac:dyDescent="0.25">
      <c r="A8336" s="179"/>
      <c r="B8336" s="177"/>
      <c r="C8336" s="39"/>
      <c r="D8336" s="39"/>
      <c r="E8336" s="40"/>
      <c r="F8336" s="55" t="s">
        <v>13</v>
      </c>
      <c r="G8336" s="41" t="str">
        <f>IF(ISNUMBER(F8336),E8336*F8336,"")</f>
        <v/>
      </c>
      <c r="H8336" s="42"/>
      <c r="I8336" s="38"/>
      <c r="J8336" s="37">
        <v>0</v>
      </c>
    </row>
    <row r="8337" spans="1:10" ht="25.5" hidden="1" x14ac:dyDescent="0.25">
      <c r="A8337" s="179"/>
      <c r="B8337" s="177"/>
      <c r="C8337" s="43" t="s">
        <v>11607</v>
      </c>
      <c r="D8337" s="43" t="s">
        <v>83</v>
      </c>
      <c r="E8337" s="44">
        <v>1</v>
      </c>
      <c r="F8337" s="38">
        <v>90.658500000000004</v>
      </c>
      <c r="G8337" s="41">
        <f>IF(ISNUMBER(F8337),E8337*F8337,"")</f>
        <v>90.658500000000004</v>
      </c>
      <c r="H8337" s="46">
        <f>SUM(G8337:G8337)</f>
        <v>90.658500000000004</v>
      </c>
      <c r="I8337" s="47"/>
      <c r="J8337" s="37">
        <v>0</v>
      </c>
    </row>
    <row r="8338" spans="1:10" ht="15.75" hidden="1" thickBot="1" x14ac:dyDescent="0.3">
      <c r="A8338" s="180"/>
      <c r="B8338" s="178"/>
      <c r="C8338" s="49"/>
      <c r="D8338" s="49"/>
      <c r="E8338" s="50"/>
      <c r="F8338" s="51" t="s">
        <v>13</v>
      </c>
      <c r="G8338" s="52" t="str">
        <f>IF(ISNUMBER(F8338),E8338*F8338,"")</f>
        <v/>
      </c>
      <c r="H8338" s="53"/>
      <c r="I8338" s="38"/>
      <c r="J8338" s="37">
        <v>0</v>
      </c>
    </row>
    <row r="8339" spans="1:10" ht="15.75" hidden="1" thickBot="1" x14ac:dyDescent="0.3">
      <c r="A8339" s="173" t="s">
        <v>2001</v>
      </c>
      <c r="B8339" s="176" t="s">
        <v>8429</v>
      </c>
      <c r="C8339" s="31"/>
      <c r="D8339" s="32" t="s">
        <v>18</v>
      </c>
      <c r="E8339" s="33"/>
      <c r="F8339" s="54" t="s">
        <v>13</v>
      </c>
      <c r="G8339" s="34" t="str">
        <f>IF(ISNUMBER(F8339),E8339*F8339,"")</f>
        <v/>
      </c>
      <c r="H8339" s="35"/>
      <c r="I8339" s="36"/>
      <c r="J8339" s="37">
        <v>0</v>
      </c>
    </row>
    <row r="8340" spans="1:10" hidden="1" x14ac:dyDescent="0.25">
      <c r="A8340" s="179"/>
      <c r="B8340" s="177"/>
      <c r="C8340" s="39"/>
      <c r="D8340" s="39"/>
      <c r="E8340" s="40"/>
      <c r="F8340" s="55" t="s">
        <v>13</v>
      </c>
      <c r="G8340" s="41" t="str">
        <f>IF(ISNUMBER(F8340),E8340*F8340,"")</f>
        <v/>
      </c>
      <c r="H8340" s="42"/>
      <c r="I8340" s="38"/>
      <c r="J8340" s="37">
        <v>0</v>
      </c>
    </row>
    <row r="8341" spans="1:10" ht="25.5" hidden="1" x14ac:dyDescent="0.25">
      <c r="A8341" s="179"/>
      <c r="B8341" s="177"/>
      <c r="C8341" s="43" t="s">
        <v>11106</v>
      </c>
      <c r="D8341" s="43" t="s">
        <v>83</v>
      </c>
      <c r="E8341" s="44">
        <v>1</v>
      </c>
      <c r="F8341" s="38">
        <v>97.260999999999996</v>
      </c>
      <c r="G8341" s="41">
        <f>IF(ISNUMBER(F8341),E8341*F8341,"")</f>
        <v>97.260999999999996</v>
      </c>
      <c r="H8341" s="46">
        <f>SUM(G8341:G8341)</f>
        <v>97.260999999999996</v>
      </c>
      <c r="I8341" s="47"/>
      <c r="J8341" s="37">
        <v>0</v>
      </c>
    </row>
    <row r="8342" spans="1:10" ht="15.75" hidden="1" thickBot="1" x14ac:dyDescent="0.3">
      <c r="A8342" s="180"/>
      <c r="B8342" s="178"/>
      <c r="C8342" s="49"/>
      <c r="D8342" s="49"/>
      <c r="E8342" s="50"/>
      <c r="F8342" s="51" t="s">
        <v>13</v>
      </c>
      <c r="G8342" s="52" t="str">
        <f>IF(ISNUMBER(F8342),E8342*F8342,"")</f>
        <v/>
      </c>
      <c r="H8342" s="53"/>
      <c r="I8342" s="38"/>
      <c r="J8342" s="37">
        <v>0</v>
      </c>
    </row>
    <row r="8343" spans="1:10" ht="15.75" hidden="1" thickBot="1" x14ac:dyDescent="0.3">
      <c r="A8343" s="173" t="s">
        <v>2002</v>
      </c>
      <c r="B8343" s="176" t="s">
        <v>8430</v>
      </c>
      <c r="C8343" s="31"/>
      <c r="D8343" s="32" t="s">
        <v>18</v>
      </c>
      <c r="E8343" s="33"/>
      <c r="F8343" s="54" t="s">
        <v>13</v>
      </c>
      <c r="G8343" s="34" t="str">
        <f>IF(ISNUMBER(F8343),E8343*F8343,"")</f>
        <v/>
      </c>
      <c r="H8343" s="35"/>
      <c r="I8343" s="36"/>
      <c r="J8343" s="37">
        <v>0</v>
      </c>
    </row>
    <row r="8344" spans="1:10" hidden="1" x14ac:dyDescent="0.25">
      <c r="A8344" s="179"/>
      <c r="B8344" s="177"/>
      <c r="C8344" s="39"/>
      <c r="D8344" s="39"/>
      <c r="E8344" s="40"/>
      <c r="F8344" s="55" t="s">
        <v>13</v>
      </c>
      <c r="G8344" s="41" t="str">
        <f>IF(ISNUMBER(F8344),E8344*F8344,"")</f>
        <v/>
      </c>
      <c r="H8344" s="42"/>
      <c r="I8344" s="38"/>
      <c r="J8344" s="37">
        <v>0</v>
      </c>
    </row>
    <row r="8345" spans="1:10" hidden="1" x14ac:dyDescent="0.25">
      <c r="A8345" s="179"/>
      <c r="B8345" s="177"/>
      <c r="C8345" s="43" t="s">
        <v>11109</v>
      </c>
      <c r="D8345" s="43" t="s">
        <v>83</v>
      </c>
      <c r="E8345" s="44">
        <v>1</v>
      </c>
      <c r="F8345" s="38">
        <v>49.932000000000002</v>
      </c>
      <c r="G8345" s="41">
        <f>IF(ISNUMBER(F8345),E8345*F8345,"")</f>
        <v>49.932000000000002</v>
      </c>
      <c r="H8345" s="46">
        <f>SUM(G8345:G8345)</f>
        <v>49.932000000000002</v>
      </c>
      <c r="I8345" s="47"/>
      <c r="J8345" s="37">
        <v>0</v>
      </c>
    </row>
    <row r="8346" spans="1:10" ht="15.75" hidden="1" thickBot="1" x14ac:dyDescent="0.3">
      <c r="A8346" s="180"/>
      <c r="B8346" s="178"/>
      <c r="C8346" s="49"/>
      <c r="D8346" s="49"/>
      <c r="E8346" s="50"/>
      <c r="F8346" s="51" t="s">
        <v>13</v>
      </c>
      <c r="G8346" s="52" t="str">
        <f>IF(ISNUMBER(F8346),E8346*F8346,"")</f>
        <v/>
      </c>
      <c r="H8346" s="53"/>
      <c r="I8346" s="38"/>
      <c r="J8346" s="37">
        <v>0</v>
      </c>
    </row>
    <row r="8347" spans="1:10" ht="15.75" hidden="1" thickBot="1" x14ac:dyDescent="0.3">
      <c r="A8347" s="173" t="s">
        <v>2003</v>
      </c>
      <c r="B8347" s="176" t="s">
        <v>8431</v>
      </c>
      <c r="C8347" s="31"/>
      <c r="D8347" s="32" t="s">
        <v>18</v>
      </c>
      <c r="E8347" s="33"/>
      <c r="F8347" s="54" t="s">
        <v>13</v>
      </c>
      <c r="G8347" s="34" t="str">
        <f>IF(ISNUMBER(F8347),E8347*F8347,"")</f>
        <v/>
      </c>
      <c r="H8347" s="35"/>
      <c r="I8347" s="36"/>
      <c r="J8347" s="37">
        <v>0</v>
      </c>
    </row>
    <row r="8348" spans="1:10" hidden="1" x14ac:dyDescent="0.25">
      <c r="A8348" s="179"/>
      <c r="B8348" s="177"/>
      <c r="C8348" s="39"/>
      <c r="D8348" s="39"/>
      <c r="E8348" s="40"/>
      <c r="F8348" s="55" t="s">
        <v>13</v>
      </c>
      <c r="G8348" s="41" t="str">
        <f>IF(ISNUMBER(F8348),E8348*F8348,"")</f>
        <v/>
      </c>
      <c r="H8348" s="42"/>
      <c r="I8348" s="38"/>
      <c r="J8348" s="37">
        <v>0</v>
      </c>
    </row>
    <row r="8349" spans="1:10" ht="25.5" hidden="1" x14ac:dyDescent="0.25">
      <c r="A8349" s="179"/>
      <c r="B8349" s="177"/>
      <c r="C8349" s="43" t="s">
        <v>11608</v>
      </c>
      <c r="D8349" s="43" t="s">
        <v>83</v>
      </c>
      <c r="E8349" s="44">
        <v>1</v>
      </c>
      <c r="F8349" s="38">
        <v>116.79299999999999</v>
      </c>
      <c r="G8349" s="41">
        <f>IF(ISNUMBER(F8349),E8349*F8349,"")</f>
        <v>116.79299999999999</v>
      </c>
      <c r="H8349" s="46">
        <f>SUM(G8349:G8349)</f>
        <v>116.79299999999999</v>
      </c>
      <c r="I8349" s="47"/>
      <c r="J8349" s="37">
        <v>0</v>
      </c>
    </row>
    <row r="8350" spans="1:10" ht="15.75" hidden="1" thickBot="1" x14ac:dyDescent="0.3">
      <c r="A8350" s="180"/>
      <c r="B8350" s="178"/>
      <c r="C8350" s="49"/>
      <c r="D8350" s="49"/>
      <c r="E8350" s="50"/>
      <c r="F8350" s="51" t="s">
        <v>13</v>
      </c>
      <c r="G8350" s="52" t="str">
        <f>IF(ISNUMBER(F8350),E8350*F8350,"")</f>
        <v/>
      </c>
      <c r="H8350" s="53"/>
      <c r="I8350" s="38"/>
      <c r="J8350" s="37">
        <v>0</v>
      </c>
    </row>
    <row r="8351" spans="1:10" ht="15.75" hidden="1" thickBot="1" x14ac:dyDescent="0.3">
      <c r="A8351" s="173" t="s">
        <v>2004</v>
      </c>
      <c r="B8351" s="176" t="s">
        <v>8434</v>
      </c>
      <c r="C8351" s="31"/>
      <c r="D8351" s="32" t="s">
        <v>18</v>
      </c>
      <c r="E8351" s="33"/>
      <c r="F8351" s="54" t="s">
        <v>13</v>
      </c>
      <c r="G8351" s="34" t="str">
        <f>IF(ISNUMBER(F8351),E8351*F8351,"")</f>
        <v/>
      </c>
      <c r="H8351" s="35"/>
      <c r="I8351" s="36"/>
      <c r="J8351" s="37">
        <v>0</v>
      </c>
    </row>
    <row r="8352" spans="1:10" hidden="1" x14ac:dyDescent="0.25">
      <c r="A8352" s="179"/>
      <c r="B8352" s="177"/>
      <c r="C8352" s="39"/>
      <c r="D8352" s="39"/>
      <c r="E8352" s="40"/>
      <c r="F8352" s="55" t="s">
        <v>13</v>
      </c>
      <c r="G8352" s="41" t="str">
        <f>IF(ISNUMBER(F8352),E8352*F8352,"")</f>
        <v/>
      </c>
      <c r="H8352" s="42"/>
      <c r="I8352" s="38"/>
      <c r="J8352" s="37">
        <v>0</v>
      </c>
    </row>
    <row r="8353" spans="1:10" ht="25.5" hidden="1" x14ac:dyDescent="0.25">
      <c r="A8353" s="179"/>
      <c r="B8353" s="177"/>
      <c r="C8353" s="43" t="s">
        <v>11609</v>
      </c>
      <c r="D8353" s="43" t="s">
        <v>83</v>
      </c>
      <c r="E8353" s="44">
        <v>1</v>
      </c>
      <c r="F8353" s="38">
        <v>56.012</v>
      </c>
      <c r="G8353" s="41">
        <f>IF(ISNUMBER(F8353),E8353*F8353,"")</f>
        <v>56.012</v>
      </c>
      <c r="H8353" s="46">
        <f>SUM(G8353:G8353)</f>
        <v>56.012</v>
      </c>
      <c r="I8353" s="47"/>
      <c r="J8353" s="37">
        <v>0</v>
      </c>
    </row>
    <row r="8354" spans="1:10" ht="15.75" hidden="1" thickBot="1" x14ac:dyDescent="0.3">
      <c r="A8354" s="180"/>
      <c r="B8354" s="178"/>
      <c r="C8354" s="49"/>
      <c r="D8354" s="49"/>
      <c r="E8354" s="50"/>
      <c r="F8354" s="51" t="s">
        <v>13</v>
      </c>
      <c r="G8354" s="52" t="str">
        <f>IF(ISNUMBER(F8354),E8354*F8354,"")</f>
        <v/>
      </c>
      <c r="H8354" s="53"/>
      <c r="I8354" s="38"/>
      <c r="J8354" s="37">
        <v>0</v>
      </c>
    </row>
    <row r="8355" spans="1:10" ht="15.75" hidden="1" thickBot="1" x14ac:dyDescent="0.3">
      <c r="A8355" s="173" t="s">
        <v>2005</v>
      </c>
      <c r="B8355" s="176" t="s">
        <v>8437</v>
      </c>
      <c r="C8355" s="31"/>
      <c r="D8355" s="32" t="s">
        <v>18</v>
      </c>
      <c r="E8355" s="33"/>
      <c r="F8355" s="54" t="s">
        <v>13</v>
      </c>
      <c r="G8355" s="34" t="str">
        <f>IF(ISNUMBER(F8355),E8355*F8355,"")</f>
        <v/>
      </c>
      <c r="H8355" s="35"/>
      <c r="I8355" s="36"/>
      <c r="J8355" s="37">
        <v>0</v>
      </c>
    </row>
    <row r="8356" spans="1:10" hidden="1" x14ac:dyDescent="0.25">
      <c r="A8356" s="179"/>
      <c r="B8356" s="177"/>
      <c r="C8356" s="39"/>
      <c r="D8356" s="39"/>
      <c r="E8356" s="40"/>
      <c r="F8356" s="55" t="s">
        <v>13</v>
      </c>
      <c r="G8356" s="41" t="str">
        <f>IF(ISNUMBER(F8356),E8356*F8356,"")</f>
        <v/>
      </c>
      <c r="H8356" s="42"/>
      <c r="I8356" s="38"/>
      <c r="J8356" s="37">
        <v>0</v>
      </c>
    </row>
    <row r="8357" spans="1:10" ht="25.5" hidden="1" x14ac:dyDescent="0.25">
      <c r="A8357" s="179"/>
      <c r="B8357" s="177"/>
      <c r="C8357" s="43" t="s">
        <v>11610</v>
      </c>
      <c r="D8357" s="43" t="s">
        <v>83</v>
      </c>
      <c r="E8357" s="44">
        <v>1</v>
      </c>
      <c r="F8357" s="38">
        <v>154.40349999999998</v>
      </c>
      <c r="G8357" s="41">
        <f>IF(ISNUMBER(F8357),E8357*F8357,"")</f>
        <v>154.40349999999998</v>
      </c>
      <c r="H8357" s="46">
        <f>SUM(G8357:G8357)</f>
        <v>154.40349999999998</v>
      </c>
      <c r="I8357" s="47"/>
      <c r="J8357" s="37">
        <v>0</v>
      </c>
    </row>
    <row r="8358" spans="1:10" ht="15.75" hidden="1" thickBot="1" x14ac:dyDescent="0.3">
      <c r="A8358" s="180"/>
      <c r="B8358" s="178"/>
      <c r="C8358" s="49"/>
      <c r="D8358" s="49"/>
      <c r="E8358" s="50"/>
      <c r="F8358" s="51" t="s">
        <v>13</v>
      </c>
      <c r="G8358" s="52" t="str">
        <f>IF(ISNUMBER(F8358),E8358*F8358,"")</f>
        <v/>
      </c>
      <c r="H8358" s="53"/>
      <c r="I8358" s="38"/>
      <c r="J8358" s="37">
        <v>0</v>
      </c>
    </row>
    <row r="8359" spans="1:10" ht="15.75" hidden="1" thickBot="1" x14ac:dyDescent="0.3">
      <c r="A8359" s="173" t="s">
        <v>2006</v>
      </c>
      <c r="B8359" s="176" t="s">
        <v>8440</v>
      </c>
      <c r="C8359" s="31"/>
      <c r="D8359" s="32" t="s">
        <v>18</v>
      </c>
      <c r="E8359" s="33"/>
      <c r="F8359" s="54" t="s">
        <v>13</v>
      </c>
      <c r="G8359" s="34" t="str">
        <f>IF(ISNUMBER(F8359),E8359*F8359,"")</f>
        <v/>
      </c>
      <c r="H8359" s="35"/>
      <c r="I8359" s="36"/>
      <c r="J8359" s="37">
        <v>0</v>
      </c>
    </row>
    <row r="8360" spans="1:10" hidden="1" x14ac:dyDescent="0.25">
      <c r="A8360" s="179"/>
      <c r="B8360" s="177"/>
      <c r="C8360" s="39"/>
      <c r="D8360" s="39"/>
      <c r="E8360" s="40"/>
      <c r="F8360" s="55" t="s">
        <v>13</v>
      </c>
      <c r="G8360" s="41" t="str">
        <f>IF(ISNUMBER(F8360),E8360*F8360,"")</f>
        <v/>
      </c>
      <c r="H8360" s="42"/>
      <c r="I8360" s="38"/>
      <c r="J8360" s="37">
        <v>0</v>
      </c>
    </row>
    <row r="8361" spans="1:10" hidden="1" x14ac:dyDescent="0.25">
      <c r="A8361" s="179"/>
      <c r="B8361" s="177"/>
      <c r="C8361" s="43" t="s">
        <v>11611</v>
      </c>
      <c r="D8361" s="43" t="s">
        <v>83</v>
      </c>
      <c r="E8361" s="44">
        <v>1</v>
      </c>
      <c r="F8361" s="38">
        <v>81.55749999999999</v>
      </c>
      <c r="G8361" s="41">
        <f>IF(ISNUMBER(F8361),E8361*F8361,"")</f>
        <v>81.55749999999999</v>
      </c>
      <c r="H8361" s="46">
        <f>SUM(G8361:G8361)</f>
        <v>81.55749999999999</v>
      </c>
      <c r="I8361" s="47"/>
      <c r="J8361" s="37">
        <v>0</v>
      </c>
    </row>
    <row r="8362" spans="1:10" ht="15.75" hidden="1" thickBot="1" x14ac:dyDescent="0.3">
      <c r="A8362" s="180"/>
      <c r="B8362" s="178"/>
      <c r="C8362" s="49"/>
      <c r="D8362" s="49"/>
      <c r="E8362" s="50"/>
      <c r="F8362" s="51" t="s">
        <v>13</v>
      </c>
      <c r="G8362" s="52" t="str">
        <f>IF(ISNUMBER(F8362),E8362*F8362,"")</f>
        <v/>
      </c>
      <c r="H8362" s="53"/>
      <c r="I8362" s="38"/>
      <c r="J8362" s="37">
        <v>0</v>
      </c>
    </row>
    <row r="8363" spans="1:10" ht="15.75" hidden="1" thickBot="1" x14ac:dyDescent="0.3">
      <c r="A8363" s="173" t="s">
        <v>2007</v>
      </c>
      <c r="B8363" s="176" t="s">
        <v>8441</v>
      </c>
      <c r="C8363" s="31"/>
      <c r="D8363" s="32" t="s">
        <v>18</v>
      </c>
      <c r="E8363" s="33"/>
      <c r="F8363" s="54" t="s">
        <v>13</v>
      </c>
      <c r="G8363" s="34" t="str">
        <f>IF(ISNUMBER(F8363),E8363*F8363,"")</f>
        <v/>
      </c>
      <c r="H8363" s="35"/>
      <c r="I8363" s="36"/>
      <c r="J8363" s="37">
        <v>0</v>
      </c>
    </row>
    <row r="8364" spans="1:10" hidden="1" x14ac:dyDescent="0.25">
      <c r="A8364" s="179"/>
      <c r="B8364" s="177"/>
      <c r="C8364" s="39"/>
      <c r="D8364" s="39"/>
      <c r="E8364" s="40"/>
      <c r="F8364" s="55" t="s">
        <v>13</v>
      </c>
      <c r="G8364" s="41" t="str">
        <f>IF(ISNUMBER(F8364),E8364*F8364,"")</f>
        <v/>
      </c>
      <c r="H8364" s="42"/>
      <c r="I8364" s="38"/>
      <c r="J8364" s="37">
        <v>0</v>
      </c>
    </row>
    <row r="8365" spans="1:10" ht="25.5" hidden="1" x14ac:dyDescent="0.25">
      <c r="A8365" s="179"/>
      <c r="B8365" s="177"/>
      <c r="C8365" s="43" t="s">
        <v>11612</v>
      </c>
      <c r="D8365" s="43" t="s">
        <v>83</v>
      </c>
      <c r="E8365" s="44">
        <v>1</v>
      </c>
      <c r="F8365" s="38">
        <v>230.84049999999999</v>
      </c>
      <c r="G8365" s="41">
        <f>IF(ISNUMBER(F8365),E8365*F8365,"")</f>
        <v>230.84049999999999</v>
      </c>
      <c r="H8365" s="46">
        <f>SUM(G8365:G8365)</f>
        <v>230.84049999999999</v>
      </c>
      <c r="I8365" s="47"/>
      <c r="J8365" s="37">
        <v>0</v>
      </c>
    </row>
    <row r="8366" spans="1:10" ht="15.75" hidden="1" thickBot="1" x14ac:dyDescent="0.3">
      <c r="A8366" s="180"/>
      <c r="B8366" s="178"/>
      <c r="C8366" s="49"/>
      <c r="D8366" s="49"/>
      <c r="E8366" s="50"/>
      <c r="F8366" s="51" t="s">
        <v>13</v>
      </c>
      <c r="G8366" s="52" t="str">
        <f>IF(ISNUMBER(F8366),E8366*F8366,"")</f>
        <v/>
      </c>
      <c r="H8366" s="53"/>
      <c r="I8366" s="38"/>
      <c r="J8366" s="37">
        <v>0</v>
      </c>
    </row>
    <row r="8367" spans="1:10" ht="15.75" hidden="1" thickBot="1" x14ac:dyDescent="0.3">
      <c r="A8367" s="173" t="s">
        <v>2008</v>
      </c>
      <c r="B8367" s="176" t="s">
        <v>8442</v>
      </c>
      <c r="C8367" s="31"/>
      <c r="D8367" s="32" t="s">
        <v>18</v>
      </c>
      <c r="E8367" s="33"/>
      <c r="F8367" s="54" t="s">
        <v>13</v>
      </c>
      <c r="G8367" s="34" t="str">
        <f>IF(ISNUMBER(F8367),E8367*F8367,"")</f>
        <v/>
      </c>
      <c r="H8367" s="35"/>
      <c r="I8367" s="36"/>
      <c r="J8367" s="37">
        <v>0</v>
      </c>
    </row>
    <row r="8368" spans="1:10" hidden="1" x14ac:dyDescent="0.25">
      <c r="A8368" s="179"/>
      <c r="B8368" s="177"/>
      <c r="C8368" s="39"/>
      <c r="D8368" s="39"/>
      <c r="E8368" s="40"/>
      <c r="F8368" s="55" t="s">
        <v>13</v>
      </c>
      <c r="G8368" s="41" t="str">
        <f>IF(ISNUMBER(F8368),E8368*F8368,"")</f>
        <v/>
      </c>
      <c r="H8368" s="42"/>
      <c r="I8368" s="38"/>
      <c r="J8368" s="37">
        <v>0</v>
      </c>
    </row>
    <row r="8369" spans="1:10" hidden="1" x14ac:dyDescent="0.25">
      <c r="A8369" s="179"/>
      <c r="B8369" s="177"/>
      <c r="C8369" s="43" t="s">
        <v>2009</v>
      </c>
      <c r="D8369" s="43" t="s">
        <v>18</v>
      </c>
      <c r="E8369" s="44">
        <v>1</v>
      </c>
      <c r="F8369" s="38" t="s">
        <v>13</v>
      </c>
      <c r="G8369" s="41" t="str">
        <f>IF(ISNUMBER(F8369),E8369*F8369,"")</f>
        <v/>
      </c>
      <c r="H8369" s="46">
        <f>SUM(G8369:G8369)</f>
        <v>0</v>
      </c>
      <c r="I8369" s="47"/>
      <c r="J8369" s="37">
        <v>0</v>
      </c>
    </row>
    <row r="8370" spans="1:10" ht="15.75" hidden="1" thickBot="1" x14ac:dyDescent="0.3">
      <c r="A8370" s="180"/>
      <c r="B8370" s="178"/>
      <c r="C8370" s="49"/>
      <c r="D8370" s="49"/>
      <c r="E8370" s="50"/>
      <c r="F8370" s="51" t="s">
        <v>13</v>
      </c>
      <c r="G8370" s="52" t="str">
        <f>IF(ISNUMBER(F8370),E8370*F8370,"")</f>
        <v/>
      </c>
      <c r="H8370" s="53"/>
      <c r="I8370" s="38"/>
      <c r="J8370" s="37">
        <v>0</v>
      </c>
    </row>
    <row r="8371" spans="1:10" ht="15.75" hidden="1" thickBot="1" x14ac:dyDescent="0.3">
      <c r="A8371" s="173" t="s">
        <v>2010</v>
      </c>
      <c r="B8371" s="176" t="s">
        <v>8443</v>
      </c>
      <c r="C8371" s="31"/>
      <c r="D8371" s="32" t="s">
        <v>18</v>
      </c>
      <c r="E8371" s="33"/>
      <c r="F8371" s="54" t="s">
        <v>13</v>
      </c>
      <c r="G8371" s="34" t="str">
        <f>IF(ISNUMBER(F8371),E8371*F8371,"")</f>
        <v/>
      </c>
      <c r="H8371" s="35"/>
      <c r="I8371" s="36"/>
      <c r="J8371" s="37">
        <v>0</v>
      </c>
    </row>
    <row r="8372" spans="1:10" hidden="1" x14ac:dyDescent="0.25">
      <c r="A8372" s="179"/>
      <c r="B8372" s="177"/>
      <c r="C8372" s="39"/>
      <c r="D8372" s="39"/>
      <c r="E8372" s="40"/>
      <c r="F8372" s="55" t="s">
        <v>13</v>
      </c>
      <c r="G8372" s="41" t="str">
        <f>IF(ISNUMBER(F8372),E8372*F8372,"")</f>
        <v/>
      </c>
      <c r="H8372" s="42"/>
      <c r="I8372" s="38"/>
      <c r="J8372" s="37">
        <v>0</v>
      </c>
    </row>
    <row r="8373" spans="1:10" ht="25.5" hidden="1" x14ac:dyDescent="0.25">
      <c r="A8373" s="179"/>
      <c r="B8373" s="177"/>
      <c r="C8373" s="43" t="s">
        <v>11613</v>
      </c>
      <c r="D8373" s="43" t="s">
        <v>83</v>
      </c>
      <c r="E8373" s="44">
        <v>1</v>
      </c>
      <c r="F8373" s="38">
        <v>78.98299999999999</v>
      </c>
      <c r="G8373" s="41">
        <f>IF(ISNUMBER(F8373),E8373*F8373,"")</f>
        <v>78.98299999999999</v>
      </c>
      <c r="H8373" s="46">
        <f>SUM(G8373:G8373)</f>
        <v>78.98299999999999</v>
      </c>
      <c r="I8373" s="47"/>
      <c r="J8373" s="37">
        <v>0</v>
      </c>
    </row>
    <row r="8374" spans="1:10" ht="15.75" hidden="1" thickBot="1" x14ac:dyDescent="0.3">
      <c r="A8374" s="180"/>
      <c r="B8374" s="178"/>
      <c r="C8374" s="49"/>
      <c r="D8374" s="49"/>
      <c r="E8374" s="50"/>
      <c r="F8374" s="51" t="s">
        <v>13</v>
      </c>
      <c r="G8374" s="52" t="str">
        <f>IF(ISNUMBER(F8374),E8374*F8374,"")</f>
        <v/>
      </c>
      <c r="H8374" s="53"/>
      <c r="I8374" s="38"/>
      <c r="J8374" s="37">
        <v>0</v>
      </c>
    </row>
    <row r="8375" spans="1:10" ht="15.75" hidden="1" thickBot="1" x14ac:dyDescent="0.3">
      <c r="A8375" s="173" t="s">
        <v>2011</v>
      </c>
      <c r="B8375" s="176" t="s">
        <v>8444</v>
      </c>
      <c r="C8375" s="31"/>
      <c r="D8375" s="32" t="s">
        <v>18</v>
      </c>
      <c r="E8375" s="33"/>
      <c r="F8375" s="54" t="s">
        <v>13</v>
      </c>
      <c r="G8375" s="34" t="str">
        <f>IF(ISNUMBER(F8375),E8375*F8375,"")</f>
        <v/>
      </c>
      <c r="H8375" s="35"/>
      <c r="I8375" s="36"/>
      <c r="J8375" s="37">
        <v>0</v>
      </c>
    </row>
    <row r="8376" spans="1:10" hidden="1" x14ac:dyDescent="0.25">
      <c r="A8376" s="179"/>
      <c r="B8376" s="177"/>
      <c r="C8376" s="39"/>
      <c r="D8376" s="39"/>
      <c r="E8376" s="40"/>
      <c r="F8376" s="55" t="s">
        <v>13</v>
      </c>
      <c r="G8376" s="41" t="str">
        <f>IF(ISNUMBER(F8376),E8376*F8376,"")</f>
        <v/>
      </c>
      <c r="H8376" s="42"/>
      <c r="I8376" s="38"/>
      <c r="J8376" s="37">
        <v>0</v>
      </c>
    </row>
    <row r="8377" spans="1:10" hidden="1" x14ac:dyDescent="0.25">
      <c r="A8377" s="179"/>
      <c r="B8377" s="177"/>
      <c r="C8377" s="43" t="s">
        <v>2012</v>
      </c>
      <c r="D8377" s="43" t="s">
        <v>18</v>
      </c>
      <c r="E8377" s="44">
        <v>1</v>
      </c>
      <c r="F8377" s="38" t="s">
        <v>13</v>
      </c>
      <c r="G8377" s="41" t="str">
        <f>IF(ISNUMBER(F8377),E8377*F8377,"")</f>
        <v/>
      </c>
      <c r="H8377" s="46">
        <f>SUM(G8377:G8377)</f>
        <v>0</v>
      </c>
      <c r="I8377" s="47"/>
      <c r="J8377" s="37">
        <v>0</v>
      </c>
    </row>
    <row r="8378" spans="1:10" ht="15.75" hidden="1" thickBot="1" x14ac:dyDescent="0.3">
      <c r="A8378" s="180"/>
      <c r="B8378" s="178"/>
      <c r="C8378" s="49"/>
      <c r="D8378" s="49"/>
      <c r="E8378" s="50"/>
      <c r="F8378" s="51" t="s">
        <v>13</v>
      </c>
      <c r="G8378" s="52" t="str">
        <f>IF(ISNUMBER(F8378),E8378*F8378,"")</f>
        <v/>
      </c>
      <c r="H8378" s="53"/>
      <c r="I8378" s="38"/>
      <c r="J8378" s="37">
        <v>0</v>
      </c>
    </row>
    <row r="8379" spans="1:10" ht="15.75" hidden="1" thickBot="1" x14ac:dyDescent="0.3">
      <c r="A8379" s="173" t="s">
        <v>2013</v>
      </c>
      <c r="B8379" s="176" t="s">
        <v>8445</v>
      </c>
      <c r="C8379" s="31"/>
      <c r="D8379" s="32" t="s">
        <v>18</v>
      </c>
      <c r="E8379" s="33"/>
      <c r="F8379" s="54" t="s">
        <v>13</v>
      </c>
      <c r="G8379" s="34" t="str">
        <f>IF(ISNUMBER(F8379),E8379*F8379,"")</f>
        <v/>
      </c>
      <c r="H8379" s="35"/>
      <c r="I8379" s="36"/>
      <c r="J8379" s="37">
        <v>0</v>
      </c>
    </row>
    <row r="8380" spans="1:10" hidden="1" x14ac:dyDescent="0.25">
      <c r="A8380" s="179"/>
      <c r="B8380" s="177"/>
      <c r="C8380" s="39"/>
      <c r="D8380" s="39"/>
      <c r="E8380" s="40"/>
      <c r="F8380" s="55" t="s">
        <v>13</v>
      </c>
      <c r="G8380" s="41" t="str">
        <f>IF(ISNUMBER(F8380),E8380*F8380,"")</f>
        <v/>
      </c>
      <c r="H8380" s="42"/>
      <c r="I8380" s="38"/>
      <c r="J8380" s="37">
        <v>0</v>
      </c>
    </row>
    <row r="8381" spans="1:10" ht="25.5" hidden="1" x14ac:dyDescent="0.25">
      <c r="A8381" s="179"/>
      <c r="B8381" s="177"/>
      <c r="C8381" s="43" t="s">
        <v>11614</v>
      </c>
      <c r="D8381" s="43" t="s">
        <v>83</v>
      </c>
      <c r="E8381" s="44">
        <v>1</v>
      </c>
      <c r="F8381" s="38">
        <v>537.63349999999991</v>
      </c>
      <c r="G8381" s="41">
        <f>IF(ISNUMBER(F8381),E8381*F8381,"")</f>
        <v>537.63349999999991</v>
      </c>
      <c r="H8381" s="46">
        <f>SUM(G8381:G8381)</f>
        <v>537.63349999999991</v>
      </c>
      <c r="I8381" s="47"/>
      <c r="J8381" s="37">
        <v>0</v>
      </c>
    </row>
    <row r="8382" spans="1:10" ht="15.75" hidden="1" thickBot="1" x14ac:dyDescent="0.3">
      <c r="A8382" s="180"/>
      <c r="B8382" s="178"/>
      <c r="C8382" s="49"/>
      <c r="D8382" s="49"/>
      <c r="E8382" s="50"/>
      <c r="F8382" s="51" t="s">
        <v>13</v>
      </c>
      <c r="G8382" s="52" t="str">
        <f>IF(ISNUMBER(F8382),E8382*F8382,"")</f>
        <v/>
      </c>
      <c r="H8382" s="53"/>
      <c r="I8382" s="38"/>
      <c r="J8382" s="37">
        <v>0</v>
      </c>
    </row>
    <row r="8383" spans="1:10" ht="15.75" hidden="1" thickBot="1" x14ac:dyDescent="0.3">
      <c r="A8383" s="173" t="s">
        <v>2014</v>
      </c>
      <c r="B8383" s="176" t="s">
        <v>8448</v>
      </c>
      <c r="C8383" s="31"/>
      <c r="D8383" s="32" t="s">
        <v>18</v>
      </c>
      <c r="E8383" s="33"/>
      <c r="F8383" s="54" t="s">
        <v>13</v>
      </c>
      <c r="G8383" s="34" t="str">
        <f>IF(ISNUMBER(F8383),E8383*F8383,"")</f>
        <v/>
      </c>
      <c r="H8383" s="35"/>
      <c r="I8383" s="36"/>
      <c r="J8383" s="37">
        <v>0</v>
      </c>
    </row>
    <row r="8384" spans="1:10" hidden="1" x14ac:dyDescent="0.25">
      <c r="A8384" s="179"/>
      <c r="B8384" s="177"/>
      <c r="C8384" s="39"/>
      <c r="D8384" s="39"/>
      <c r="E8384" s="40"/>
      <c r="F8384" s="55" t="s">
        <v>13</v>
      </c>
      <c r="G8384" s="41" t="str">
        <f>IF(ISNUMBER(F8384),E8384*F8384,"")</f>
        <v/>
      </c>
      <c r="H8384" s="42"/>
      <c r="I8384" s="38"/>
      <c r="J8384" s="37">
        <v>0</v>
      </c>
    </row>
    <row r="8385" spans="1:10" hidden="1" x14ac:dyDescent="0.25">
      <c r="A8385" s="179"/>
      <c r="B8385" s="177"/>
      <c r="C8385" s="43" t="s">
        <v>11615</v>
      </c>
      <c r="D8385" s="43" t="s">
        <v>83</v>
      </c>
      <c r="E8385" s="44">
        <v>1</v>
      </c>
      <c r="F8385" s="38">
        <v>267.30149999999998</v>
      </c>
      <c r="G8385" s="41">
        <f>IF(ISNUMBER(F8385),E8385*F8385,"")</f>
        <v>267.30149999999998</v>
      </c>
      <c r="H8385" s="46">
        <f>SUM(G8385:G8385)</f>
        <v>267.30149999999998</v>
      </c>
      <c r="I8385" s="47"/>
      <c r="J8385" s="37">
        <v>0</v>
      </c>
    </row>
    <row r="8386" spans="1:10" ht="15.75" hidden="1" thickBot="1" x14ac:dyDescent="0.3">
      <c r="A8386" s="180"/>
      <c r="B8386" s="178"/>
      <c r="C8386" s="49"/>
      <c r="D8386" s="49"/>
      <c r="E8386" s="50"/>
      <c r="F8386" s="51" t="s">
        <v>13</v>
      </c>
      <c r="G8386" s="52" t="str">
        <f>IF(ISNUMBER(F8386),E8386*F8386,"")</f>
        <v/>
      </c>
      <c r="H8386" s="53"/>
      <c r="I8386" s="38"/>
      <c r="J8386" s="37">
        <v>0</v>
      </c>
    </row>
    <row r="8387" spans="1:10" ht="15.75" hidden="1" thickBot="1" x14ac:dyDescent="0.3">
      <c r="A8387" s="173" t="s">
        <v>2015</v>
      </c>
      <c r="B8387" s="176" t="s">
        <v>8449</v>
      </c>
      <c r="C8387" s="31"/>
      <c r="D8387" s="32" t="s">
        <v>18</v>
      </c>
      <c r="E8387" s="33"/>
      <c r="F8387" s="54" t="s">
        <v>13</v>
      </c>
      <c r="G8387" s="34" t="str">
        <f>IF(ISNUMBER(F8387),E8387*F8387,"")</f>
        <v/>
      </c>
      <c r="H8387" s="35"/>
      <c r="I8387" s="36"/>
      <c r="J8387" s="37">
        <v>0</v>
      </c>
    </row>
    <row r="8388" spans="1:10" hidden="1" x14ac:dyDescent="0.25">
      <c r="A8388" s="179"/>
      <c r="B8388" s="177"/>
      <c r="C8388" s="39"/>
      <c r="D8388" s="39"/>
      <c r="E8388" s="40"/>
      <c r="F8388" s="55" t="s">
        <v>13</v>
      </c>
      <c r="G8388" s="41" t="str">
        <f>IF(ISNUMBER(F8388),E8388*F8388,"")</f>
        <v/>
      </c>
      <c r="H8388" s="42"/>
      <c r="I8388" s="38"/>
      <c r="J8388" s="37">
        <v>0</v>
      </c>
    </row>
    <row r="8389" spans="1:10" ht="25.5" hidden="1" x14ac:dyDescent="0.25">
      <c r="A8389" s="179"/>
      <c r="B8389" s="177"/>
      <c r="C8389" s="43" t="s">
        <v>11616</v>
      </c>
      <c r="D8389" s="43" t="s">
        <v>83</v>
      </c>
      <c r="E8389" s="44">
        <v>1</v>
      </c>
      <c r="F8389" s="38">
        <v>657.11500000000001</v>
      </c>
      <c r="G8389" s="41">
        <f>IF(ISNUMBER(F8389),E8389*F8389,"")</f>
        <v>657.11500000000001</v>
      </c>
      <c r="H8389" s="46">
        <f>SUM(G8389:G8389)</f>
        <v>657.11500000000001</v>
      </c>
      <c r="I8389" s="47"/>
      <c r="J8389" s="37">
        <v>0</v>
      </c>
    </row>
    <row r="8390" spans="1:10" ht="15.75" hidden="1" thickBot="1" x14ac:dyDescent="0.3">
      <c r="A8390" s="180"/>
      <c r="B8390" s="178"/>
      <c r="C8390" s="49"/>
      <c r="D8390" s="49"/>
      <c r="E8390" s="50"/>
      <c r="F8390" s="51" t="s">
        <v>13</v>
      </c>
      <c r="G8390" s="52" t="str">
        <f>IF(ISNUMBER(F8390),E8390*F8390,"")</f>
        <v/>
      </c>
      <c r="H8390" s="53"/>
      <c r="I8390" s="38"/>
      <c r="J8390" s="37">
        <v>0</v>
      </c>
    </row>
    <row r="8391" spans="1:10" ht="15.75" hidden="1" thickBot="1" x14ac:dyDescent="0.3">
      <c r="A8391" s="173" t="s">
        <v>2016</v>
      </c>
      <c r="B8391" s="176" t="s">
        <v>8452</v>
      </c>
      <c r="C8391" s="31"/>
      <c r="D8391" s="32" t="s">
        <v>18</v>
      </c>
      <c r="E8391" s="33"/>
      <c r="F8391" s="54" t="s">
        <v>13</v>
      </c>
      <c r="G8391" s="34" t="str">
        <f>IF(ISNUMBER(F8391),E8391*F8391,"")</f>
        <v/>
      </c>
      <c r="H8391" s="35"/>
      <c r="I8391" s="36"/>
      <c r="J8391" s="37">
        <v>0</v>
      </c>
    </row>
    <row r="8392" spans="1:10" hidden="1" x14ac:dyDescent="0.25">
      <c r="A8392" s="179"/>
      <c r="B8392" s="177"/>
      <c r="C8392" s="39"/>
      <c r="D8392" s="39"/>
      <c r="E8392" s="40"/>
      <c r="F8392" s="55" t="s">
        <v>13</v>
      </c>
      <c r="G8392" s="41" t="str">
        <f>IF(ISNUMBER(F8392),E8392*F8392,"")</f>
        <v/>
      </c>
      <c r="H8392" s="42"/>
      <c r="I8392" s="38"/>
      <c r="J8392" s="37">
        <v>0</v>
      </c>
    </row>
    <row r="8393" spans="1:10" ht="25.5" hidden="1" x14ac:dyDescent="0.25">
      <c r="A8393" s="179"/>
      <c r="B8393" s="177"/>
      <c r="C8393" s="43" t="s">
        <v>11617</v>
      </c>
      <c r="D8393" s="43" t="s">
        <v>83</v>
      </c>
      <c r="E8393" s="44">
        <v>1</v>
      </c>
      <c r="F8393" s="38">
        <v>246.18299999999996</v>
      </c>
      <c r="G8393" s="41">
        <f>IF(ISNUMBER(F8393),E8393*F8393,"")</f>
        <v>246.18299999999996</v>
      </c>
      <c r="H8393" s="46">
        <f>SUM(G8393:G8393)</f>
        <v>246.18299999999996</v>
      </c>
      <c r="I8393" s="47"/>
      <c r="J8393" s="37">
        <v>0</v>
      </c>
    </row>
    <row r="8394" spans="1:10" ht="15.75" hidden="1" thickBot="1" x14ac:dyDescent="0.3">
      <c r="A8394" s="180"/>
      <c r="B8394" s="178"/>
      <c r="C8394" s="49"/>
      <c r="D8394" s="49"/>
      <c r="E8394" s="50"/>
      <c r="F8394" s="51" t="s">
        <v>13</v>
      </c>
      <c r="G8394" s="52" t="str">
        <f>IF(ISNUMBER(F8394),E8394*F8394,"")</f>
        <v/>
      </c>
      <c r="H8394" s="53"/>
      <c r="I8394" s="38"/>
      <c r="J8394" s="37">
        <v>0</v>
      </c>
    </row>
    <row r="8395" spans="1:10" ht="15.75" hidden="1" thickBot="1" x14ac:dyDescent="0.3">
      <c r="A8395" s="173" t="s">
        <v>2017</v>
      </c>
      <c r="B8395" s="176" t="s">
        <v>8455</v>
      </c>
      <c r="C8395" s="31"/>
      <c r="D8395" s="32" t="s">
        <v>18</v>
      </c>
      <c r="E8395" s="33"/>
      <c r="F8395" s="54" t="s">
        <v>13</v>
      </c>
      <c r="G8395" s="34" t="str">
        <f>IF(ISNUMBER(F8395),E8395*F8395,"")</f>
        <v/>
      </c>
      <c r="H8395" s="35"/>
      <c r="I8395" s="36"/>
      <c r="J8395" s="37">
        <v>0</v>
      </c>
    </row>
    <row r="8396" spans="1:10" hidden="1" x14ac:dyDescent="0.25">
      <c r="A8396" s="179"/>
      <c r="B8396" s="177"/>
      <c r="C8396" s="39"/>
      <c r="D8396" s="39"/>
      <c r="E8396" s="40"/>
      <c r="F8396" s="55" t="s">
        <v>13</v>
      </c>
      <c r="G8396" s="41" t="str">
        <f>IF(ISNUMBER(F8396),E8396*F8396,"")</f>
        <v/>
      </c>
      <c r="H8396" s="42"/>
      <c r="I8396" s="38"/>
      <c r="J8396" s="37">
        <v>0</v>
      </c>
    </row>
    <row r="8397" spans="1:10" ht="25.5" hidden="1" x14ac:dyDescent="0.25">
      <c r="A8397" s="179"/>
      <c r="B8397" s="177"/>
      <c r="C8397" s="43" t="s">
        <v>11618</v>
      </c>
      <c r="D8397" s="43" t="s">
        <v>83</v>
      </c>
      <c r="E8397" s="44">
        <v>1</v>
      </c>
      <c r="F8397" s="38">
        <v>515.55550000000005</v>
      </c>
      <c r="G8397" s="41">
        <f>IF(ISNUMBER(F8397),E8397*F8397,"")</f>
        <v>515.55550000000005</v>
      </c>
      <c r="H8397" s="46">
        <f>SUM(G8397:G8397)</f>
        <v>515.55550000000005</v>
      </c>
      <c r="I8397" s="47"/>
      <c r="J8397" s="37">
        <v>0</v>
      </c>
    </row>
    <row r="8398" spans="1:10" ht="15.75" hidden="1" thickBot="1" x14ac:dyDescent="0.3">
      <c r="A8398" s="180"/>
      <c r="B8398" s="178"/>
      <c r="C8398" s="49"/>
      <c r="D8398" s="49"/>
      <c r="E8398" s="50"/>
      <c r="F8398" s="51" t="s">
        <v>13</v>
      </c>
      <c r="G8398" s="52" t="str">
        <f>IF(ISNUMBER(F8398),E8398*F8398,"")</f>
        <v/>
      </c>
      <c r="H8398" s="53"/>
      <c r="I8398" s="38"/>
      <c r="J8398" s="37">
        <v>0</v>
      </c>
    </row>
    <row r="8399" spans="1:10" ht="15.75" hidden="1" thickBot="1" x14ac:dyDescent="0.3">
      <c r="A8399" s="173" t="s">
        <v>2018</v>
      </c>
      <c r="B8399" s="176" t="s">
        <v>8458</v>
      </c>
      <c r="C8399" s="31"/>
      <c r="D8399" s="32" t="s">
        <v>18</v>
      </c>
      <c r="E8399" s="33"/>
      <c r="F8399" s="54" t="s">
        <v>13</v>
      </c>
      <c r="G8399" s="34" t="str">
        <f>IF(ISNUMBER(F8399),E8399*F8399,"")</f>
        <v/>
      </c>
      <c r="H8399" s="35"/>
      <c r="I8399" s="36"/>
      <c r="J8399" s="37">
        <v>0</v>
      </c>
    </row>
    <row r="8400" spans="1:10" hidden="1" x14ac:dyDescent="0.25">
      <c r="A8400" s="179"/>
      <c r="B8400" s="177"/>
      <c r="C8400" s="39"/>
      <c r="D8400" s="39"/>
      <c r="E8400" s="40"/>
      <c r="F8400" s="55" t="s">
        <v>13</v>
      </c>
      <c r="G8400" s="41" t="str">
        <f>IF(ISNUMBER(F8400),E8400*F8400,"")</f>
        <v/>
      </c>
      <c r="H8400" s="42"/>
      <c r="I8400" s="38"/>
      <c r="J8400" s="37">
        <v>0</v>
      </c>
    </row>
    <row r="8401" spans="1:10" hidden="1" x14ac:dyDescent="0.25">
      <c r="A8401" s="179"/>
      <c r="B8401" s="177"/>
      <c r="C8401" s="43" t="s">
        <v>11619</v>
      </c>
      <c r="D8401" s="43" t="s">
        <v>83</v>
      </c>
      <c r="E8401" s="44">
        <v>1</v>
      </c>
      <c r="F8401" s="38">
        <v>409.26</v>
      </c>
      <c r="G8401" s="41">
        <f>IF(ISNUMBER(F8401),E8401*F8401,"")</f>
        <v>409.26</v>
      </c>
      <c r="H8401" s="46">
        <f>SUM(G8401:G8401)</f>
        <v>409.26</v>
      </c>
      <c r="I8401" s="47"/>
      <c r="J8401" s="37">
        <v>0</v>
      </c>
    </row>
    <row r="8402" spans="1:10" ht="15.75" hidden="1" thickBot="1" x14ac:dyDescent="0.3">
      <c r="A8402" s="180"/>
      <c r="B8402" s="178"/>
      <c r="C8402" s="49"/>
      <c r="D8402" s="49"/>
      <c r="E8402" s="50"/>
      <c r="F8402" s="51" t="s">
        <v>13</v>
      </c>
      <c r="G8402" s="52" t="str">
        <f>IF(ISNUMBER(F8402),E8402*F8402,"")</f>
        <v/>
      </c>
      <c r="H8402" s="53"/>
      <c r="I8402" s="38"/>
      <c r="J8402" s="37">
        <v>0</v>
      </c>
    </row>
    <row r="8403" spans="1:10" ht="15.75" hidden="1" thickBot="1" x14ac:dyDescent="0.3">
      <c r="A8403" s="173" t="s">
        <v>2019</v>
      </c>
      <c r="B8403" s="176" t="s">
        <v>8459</v>
      </c>
      <c r="C8403" s="31"/>
      <c r="D8403" s="32" t="s">
        <v>18</v>
      </c>
      <c r="E8403" s="33"/>
      <c r="F8403" s="54" t="s">
        <v>13</v>
      </c>
      <c r="G8403" s="34" t="str">
        <f>IF(ISNUMBER(F8403),E8403*F8403,"")</f>
        <v/>
      </c>
      <c r="H8403" s="35"/>
      <c r="I8403" s="36"/>
      <c r="J8403" s="37">
        <v>0</v>
      </c>
    </row>
    <row r="8404" spans="1:10" hidden="1" x14ac:dyDescent="0.25">
      <c r="A8404" s="179"/>
      <c r="B8404" s="177"/>
      <c r="C8404" s="39"/>
      <c r="D8404" s="39"/>
      <c r="E8404" s="40"/>
      <c r="F8404" s="55" t="s">
        <v>13</v>
      </c>
      <c r="G8404" s="41" t="str">
        <f>IF(ISNUMBER(F8404),E8404*F8404,"")</f>
        <v/>
      </c>
      <c r="H8404" s="42"/>
      <c r="I8404" s="38"/>
      <c r="J8404" s="37">
        <v>0</v>
      </c>
    </row>
    <row r="8405" spans="1:10" ht="25.5" hidden="1" x14ac:dyDescent="0.25">
      <c r="A8405" s="179"/>
      <c r="B8405" s="177"/>
      <c r="C8405" s="43" t="s">
        <v>11620</v>
      </c>
      <c r="D8405" s="43" t="s">
        <v>83</v>
      </c>
      <c r="E8405" s="44">
        <v>1</v>
      </c>
      <c r="F8405" s="38">
        <v>1028.0899999999999</v>
      </c>
      <c r="G8405" s="41">
        <f>IF(ISNUMBER(F8405),E8405*F8405,"")</f>
        <v>1028.0899999999999</v>
      </c>
      <c r="H8405" s="46">
        <f>SUM(G8405:G8405)</f>
        <v>1028.0899999999999</v>
      </c>
      <c r="I8405" s="47"/>
      <c r="J8405" s="37">
        <v>0</v>
      </c>
    </row>
    <row r="8406" spans="1:10" ht="15.75" hidden="1" thickBot="1" x14ac:dyDescent="0.3">
      <c r="A8406" s="180"/>
      <c r="B8406" s="178"/>
      <c r="C8406" s="49"/>
      <c r="D8406" s="49"/>
      <c r="E8406" s="50"/>
      <c r="F8406" s="51" t="s">
        <v>13</v>
      </c>
      <c r="G8406" s="52" t="str">
        <f>IF(ISNUMBER(F8406),E8406*F8406,"")</f>
        <v/>
      </c>
      <c r="H8406" s="53"/>
      <c r="I8406" s="38"/>
      <c r="J8406" s="37">
        <v>0</v>
      </c>
    </row>
    <row r="8407" spans="1:10" ht="15.75" hidden="1" thickBot="1" x14ac:dyDescent="0.3">
      <c r="A8407" s="173" t="s">
        <v>2020</v>
      </c>
      <c r="B8407" s="176" t="s">
        <v>8466</v>
      </c>
      <c r="C8407" s="31"/>
      <c r="D8407" s="32" t="s">
        <v>18</v>
      </c>
      <c r="E8407" s="33"/>
      <c r="F8407" s="54" t="s">
        <v>13</v>
      </c>
      <c r="G8407" s="34" t="str">
        <f>IF(ISNUMBER(F8407),E8407*F8407,"")</f>
        <v/>
      </c>
      <c r="H8407" s="35"/>
      <c r="I8407" s="36"/>
      <c r="J8407" s="37">
        <v>0</v>
      </c>
    </row>
    <row r="8408" spans="1:10" hidden="1" x14ac:dyDescent="0.25">
      <c r="A8408" s="179"/>
      <c r="B8408" s="177"/>
      <c r="C8408" s="39"/>
      <c r="D8408" s="39"/>
      <c r="E8408" s="40"/>
      <c r="F8408" s="55" t="s">
        <v>13</v>
      </c>
      <c r="G8408" s="41" t="str">
        <f>IF(ISNUMBER(F8408),E8408*F8408,"")</f>
        <v/>
      </c>
      <c r="H8408" s="42"/>
      <c r="I8408" s="38"/>
      <c r="J8408" s="37">
        <v>0</v>
      </c>
    </row>
    <row r="8409" spans="1:10" ht="38.25" hidden="1" x14ac:dyDescent="0.25">
      <c r="A8409" s="179"/>
      <c r="B8409" s="177"/>
      <c r="C8409" s="43" t="s">
        <v>10923</v>
      </c>
      <c r="D8409" s="43" t="s">
        <v>83</v>
      </c>
      <c r="E8409" s="44">
        <v>1</v>
      </c>
      <c r="F8409" s="38">
        <v>61.645499999999998</v>
      </c>
      <c r="G8409" s="41">
        <f>IF(ISNUMBER(F8409),E8409*F8409,"")</f>
        <v>61.645499999999998</v>
      </c>
      <c r="H8409" s="46">
        <f>SUM(G8409:G8409)</f>
        <v>61.645499999999998</v>
      </c>
      <c r="I8409" s="47"/>
      <c r="J8409" s="37">
        <v>0</v>
      </c>
    </row>
    <row r="8410" spans="1:10" ht="15.75" hidden="1" thickBot="1" x14ac:dyDescent="0.3">
      <c r="A8410" s="180"/>
      <c r="B8410" s="178"/>
      <c r="C8410" s="49"/>
      <c r="D8410" s="49"/>
      <c r="E8410" s="50"/>
      <c r="F8410" s="51" t="s">
        <v>13</v>
      </c>
      <c r="G8410" s="52" t="str">
        <f>IF(ISNUMBER(F8410),E8410*F8410,"")</f>
        <v/>
      </c>
      <c r="H8410" s="53"/>
      <c r="I8410" s="38"/>
      <c r="J8410" s="37">
        <v>0</v>
      </c>
    </row>
    <row r="8411" spans="1:10" ht="15.75" hidden="1" thickBot="1" x14ac:dyDescent="0.3">
      <c r="A8411" s="173" t="s">
        <v>2021</v>
      </c>
      <c r="B8411" s="176" t="s">
        <v>8467</v>
      </c>
      <c r="C8411" s="31"/>
      <c r="D8411" s="32" t="s">
        <v>18</v>
      </c>
      <c r="E8411" s="33"/>
      <c r="F8411" s="54" t="s">
        <v>13</v>
      </c>
      <c r="G8411" s="34" t="str">
        <f>IF(ISNUMBER(F8411),E8411*F8411,"")</f>
        <v/>
      </c>
      <c r="H8411" s="35"/>
      <c r="I8411" s="36"/>
      <c r="J8411" s="37">
        <v>0</v>
      </c>
    </row>
    <row r="8412" spans="1:10" hidden="1" x14ac:dyDescent="0.25">
      <c r="A8412" s="179"/>
      <c r="B8412" s="177"/>
      <c r="C8412" s="39"/>
      <c r="D8412" s="39"/>
      <c r="E8412" s="40"/>
      <c r="F8412" s="55" t="s">
        <v>13</v>
      </c>
      <c r="G8412" s="41" t="str">
        <f>IF(ISNUMBER(F8412),E8412*F8412,"")</f>
        <v/>
      </c>
      <c r="H8412" s="42"/>
      <c r="I8412" s="38"/>
      <c r="J8412" s="37">
        <v>0</v>
      </c>
    </row>
    <row r="8413" spans="1:10" ht="25.5" hidden="1" x14ac:dyDescent="0.25">
      <c r="A8413" s="179"/>
      <c r="B8413" s="177"/>
      <c r="C8413" s="43" t="s">
        <v>11621</v>
      </c>
      <c r="D8413" s="43" t="s">
        <v>83</v>
      </c>
      <c r="E8413" s="44">
        <v>1</v>
      </c>
      <c r="F8413" s="38">
        <v>12.4735</v>
      </c>
      <c r="G8413" s="41">
        <f>IF(ISNUMBER(F8413),E8413*F8413,"")</f>
        <v>12.4735</v>
      </c>
      <c r="H8413" s="46">
        <f>SUM(G8413:G8413)</f>
        <v>12.4735</v>
      </c>
      <c r="I8413" s="47"/>
      <c r="J8413" s="37">
        <v>0</v>
      </c>
    </row>
    <row r="8414" spans="1:10" ht="15.75" hidden="1" thickBot="1" x14ac:dyDescent="0.3">
      <c r="A8414" s="180"/>
      <c r="B8414" s="178"/>
      <c r="C8414" s="49"/>
      <c r="D8414" s="49"/>
      <c r="E8414" s="50"/>
      <c r="F8414" s="51" t="s">
        <v>13</v>
      </c>
      <c r="G8414" s="52" t="str">
        <f>IF(ISNUMBER(F8414),E8414*F8414,"")</f>
        <v/>
      </c>
      <c r="H8414" s="53"/>
      <c r="I8414" s="38"/>
      <c r="J8414" s="37">
        <v>0</v>
      </c>
    </row>
    <row r="8415" spans="1:10" ht="15.75" hidden="1" thickBot="1" x14ac:dyDescent="0.3">
      <c r="A8415" s="173" t="s">
        <v>2022</v>
      </c>
      <c r="B8415" s="176" t="s">
        <v>8468</v>
      </c>
      <c r="C8415" s="31"/>
      <c r="D8415" s="32" t="s">
        <v>18</v>
      </c>
      <c r="E8415" s="33"/>
      <c r="F8415" s="54" t="s">
        <v>13</v>
      </c>
      <c r="G8415" s="34" t="str">
        <f>IF(ISNUMBER(F8415),E8415*F8415,"")</f>
        <v/>
      </c>
      <c r="H8415" s="35"/>
      <c r="I8415" s="36"/>
      <c r="J8415" s="37">
        <v>0</v>
      </c>
    </row>
    <row r="8416" spans="1:10" hidden="1" x14ac:dyDescent="0.25">
      <c r="A8416" s="179"/>
      <c r="B8416" s="177"/>
      <c r="C8416" s="39"/>
      <c r="D8416" s="39"/>
      <c r="E8416" s="40"/>
      <c r="F8416" s="55" t="s">
        <v>13</v>
      </c>
      <c r="G8416" s="41" t="str">
        <f>IF(ISNUMBER(F8416),E8416*F8416,"")</f>
        <v/>
      </c>
      <c r="H8416" s="42"/>
      <c r="I8416" s="38"/>
      <c r="J8416" s="37">
        <v>0</v>
      </c>
    </row>
    <row r="8417" spans="1:10" ht="25.5" hidden="1" x14ac:dyDescent="0.25">
      <c r="A8417" s="179"/>
      <c r="B8417" s="177"/>
      <c r="C8417" s="43" t="s">
        <v>11622</v>
      </c>
      <c r="D8417" s="43" t="s">
        <v>83</v>
      </c>
      <c r="E8417" s="44">
        <v>1</v>
      </c>
      <c r="F8417" s="38">
        <v>16.111999999999998</v>
      </c>
      <c r="G8417" s="41">
        <f>IF(ISNUMBER(F8417),E8417*F8417,"")</f>
        <v>16.111999999999998</v>
      </c>
      <c r="H8417" s="46">
        <f>SUM(G8417:G8417)</f>
        <v>16.111999999999998</v>
      </c>
      <c r="I8417" s="47"/>
      <c r="J8417" s="37">
        <v>0</v>
      </c>
    </row>
    <row r="8418" spans="1:10" ht="15.75" hidden="1" thickBot="1" x14ac:dyDescent="0.3">
      <c r="A8418" s="180"/>
      <c r="B8418" s="178"/>
      <c r="C8418" s="49"/>
      <c r="D8418" s="49"/>
      <c r="E8418" s="50"/>
      <c r="F8418" s="51" t="s">
        <v>13</v>
      </c>
      <c r="G8418" s="52" t="str">
        <f>IF(ISNUMBER(F8418),E8418*F8418,"")</f>
        <v/>
      </c>
      <c r="H8418" s="53"/>
      <c r="I8418" s="38"/>
      <c r="J8418" s="37">
        <v>0</v>
      </c>
    </row>
    <row r="8419" spans="1:10" ht="15.75" hidden="1" thickBot="1" x14ac:dyDescent="0.3">
      <c r="A8419" s="173" t="s">
        <v>2023</v>
      </c>
      <c r="B8419" s="176" t="s">
        <v>8469</v>
      </c>
      <c r="C8419" s="31"/>
      <c r="D8419" s="32" t="s">
        <v>18</v>
      </c>
      <c r="E8419" s="33"/>
      <c r="F8419" s="54" t="s">
        <v>13</v>
      </c>
      <c r="G8419" s="34" t="str">
        <f>IF(ISNUMBER(F8419),E8419*F8419,"")</f>
        <v/>
      </c>
      <c r="H8419" s="35"/>
      <c r="I8419" s="36"/>
      <c r="J8419" s="37">
        <v>0</v>
      </c>
    </row>
    <row r="8420" spans="1:10" hidden="1" x14ac:dyDescent="0.25">
      <c r="A8420" s="179"/>
      <c r="B8420" s="177"/>
      <c r="C8420" s="39"/>
      <c r="D8420" s="39"/>
      <c r="E8420" s="40"/>
      <c r="F8420" s="55" t="s">
        <v>13</v>
      </c>
      <c r="G8420" s="41" t="str">
        <f>IF(ISNUMBER(F8420),E8420*F8420,"")</f>
        <v/>
      </c>
      <c r="H8420" s="42"/>
      <c r="I8420" s="38"/>
      <c r="J8420" s="37">
        <v>0</v>
      </c>
    </row>
    <row r="8421" spans="1:10" ht="25.5" hidden="1" x14ac:dyDescent="0.25">
      <c r="A8421" s="179"/>
      <c r="B8421" s="177"/>
      <c r="C8421" s="43" t="s">
        <v>11623</v>
      </c>
      <c r="D8421" s="43" t="s">
        <v>83</v>
      </c>
      <c r="E8421" s="44">
        <v>1</v>
      </c>
      <c r="F8421" s="38">
        <v>6.84</v>
      </c>
      <c r="G8421" s="41">
        <f>IF(ISNUMBER(F8421),E8421*F8421,"")</f>
        <v>6.84</v>
      </c>
      <c r="H8421" s="46">
        <f>SUM(G8421:G8421)</f>
        <v>6.84</v>
      </c>
      <c r="I8421" s="47"/>
      <c r="J8421" s="37">
        <v>0</v>
      </c>
    </row>
    <row r="8422" spans="1:10" ht="15.75" hidden="1" thickBot="1" x14ac:dyDescent="0.3">
      <c r="A8422" s="180"/>
      <c r="B8422" s="178"/>
      <c r="C8422" s="49"/>
      <c r="D8422" s="49"/>
      <c r="E8422" s="50"/>
      <c r="F8422" s="51" t="s">
        <v>13</v>
      </c>
      <c r="G8422" s="52" t="str">
        <f>IF(ISNUMBER(F8422),E8422*F8422,"")</f>
        <v/>
      </c>
      <c r="H8422" s="53"/>
      <c r="I8422" s="38"/>
      <c r="J8422" s="37">
        <v>0</v>
      </c>
    </row>
    <row r="8423" spans="1:10" ht="15.75" hidden="1" thickBot="1" x14ac:dyDescent="0.3">
      <c r="A8423" s="173" t="s">
        <v>2024</v>
      </c>
      <c r="B8423" s="176" t="s">
        <v>8470</v>
      </c>
      <c r="C8423" s="31"/>
      <c r="D8423" s="32" t="s">
        <v>18</v>
      </c>
      <c r="E8423" s="33"/>
      <c r="F8423" s="54" t="s">
        <v>13</v>
      </c>
      <c r="G8423" s="34" t="str">
        <f>IF(ISNUMBER(F8423),E8423*F8423,"")</f>
        <v/>
      </c>
      <c r="H8423" s="35"/>
      <c r="I8423" s="36"/>
      <c r="J8423" s="37">
        <v>0</v>
      </c>
    </row>
    <row r="8424" spans="1:10" hidden="1" x14ac:dyDescent="0.25">
      <c r="A8424" s="179"/>
      <c r="B8424" s="177"/>
      <c r="C8424" s="39"/>
      <c r="D8424" s="39"/>
      <c r="E8424" s="40"/>
      <c r="F8424" s="55" t="s">
        <v>13</v>
      </c>
      <c r="G8424" s="41" t="str">
        <f>IF(ISNUMBER(F8424),E8424*F8424,"")</f>
        <v/>
      </c>
      <c r="H8424" s="42"/>
      <c r="I8424" s="38"/>
      <c r="J8424" s="37">
        <v>0</v>
      </c>
    </row>
    <row r="8425" spans="1:10" hidden="1" x14ac:dyDescent="0.25">
      <c r="A8425" s="179"/>
      <c r="B8425" s="177"/>
      <c r="C8425" s="43" t="s">
        <v>11624</v>
      </c>
      <c r="D8425" s="43" t="s">
        <v>83</v>
      </c>
      <c r="E8425" s="44">
        <v>1</v>
      </c>
      <c r="F8425" s="38">
        <v>1.3109999999999999</v>
      </c>
      <c r="G8425" s="41">
        <f>IF(ISNUMBER(F8425),E8425*F8425,"")</f>
        <v>1.3109999999999999</v>
      </c>
      <c r="H8425" s="46">
        <f>SUM(G8425:G8425)</f>
        <v>1.3109999999999999</v>
      </c>
      <c r="I8425" s="47"/>
      <c r="J8425" s="37">
        <v>0</v>
      </c>
    </row>
    <row r="8426" spans="1:10" ht="15.75" hidden="1" thickBot="1" x14ac:dyDescent="0.3">
      <c r="A8426" s="180"/>
      <c r="B8426" s="178"/>
      <c r="C8426" s="49"/>
      <c r="D8426" s="49"/>
      <c r="E8426" s="50"/>
      <c r="F8426" s="51" t="s">
        <v>13</v>
      </c>
      <c r="G8426" s="52" t="str">
        <f>IF(ISNUMBER(F8426),E8426*F8426,"")</f>
        <v/>
      </c>
      <c r="H8426" s="53"/>
      <c r="I8426" s="38"/>
      <c r="J8426" s="37">
        <v>0</v>
      </c>
    </row>
    <row r="8427" spans="1:10" ht="15.75" hidden="1" thickBot="1" x14ac:dyDescent="0.3">
      <c r="A8427" s="173" t="s">
        <v>2025</v>
      </c>
      <c r="B8427" s="176" t="s">
        <v>8471</v>
      </c>
      <c r="C8427" s="31"/>
      <c r="D8427" s="32" t="s">
        <v>18</v>
      </c>
      <c r="E8427" s="33"/>
      <c r="F8427" s="54" t="s">
        <v>13</v>
      </c>
      <c r="G8427" s="34" t="str">
        <f>IF(ISNUMBER(F8427),E8427*F8427,"")</f>
        <v/>
      </c>
      <c r="H8427" s="35"/>
      <c r="I8427" s="36"/>
      <c r="J8427" s="37">
        <v>0</v>
      </c>
    </row>
    <row r="8428" spans="1:10" hidden="1" x14ac:dyDescent="0.25">
      <c r="A8428" s="179"/>
      <c r="B8428" s="177"/>
      <c r="C8428" s="39"/>
      <c r="D8428" s="39"/>
      <c r="E8428" s="40"/>
      <c r="F8428" s="55" t="s">
        <v>13</v>
      </c>
      <c r="G8428" s="41" t="str">
        <f>IF(ISNUMBER(F8428),E8428*F8428,"")</f>
        <v/>
      </c>
      <c r="H8428" s="42"/>
      <c r="I8428" s="38"/>
      <c r="J8428" s="37">
        <v>0</v>
      </c>
    </row>
    <row r="8429" spans="1:10" ht="25.5" hidden="1" x14ac:dyDescent="0.25">
      <c r="A8429" s="179"/>
      <c r="B8429" s="177"/>
      <c r="C8429" s="43" t="s">
        <v>11625</v>
      </c>
      <c r="D8429" s="43" t="s">
        <v>83</v>
      </c>
      <c r="E8429" s="44">
        <v>1</v>
      </c>
      <c r="F8429" s="38">
        <v>20.7575</v>
      </c>
      <c r="G8429" s="41">
        <f>IF(ISNUMBER(F8429),E8429*F8429,"")</f>
        <v>20.7575</v>
      </c>
      <c r="H8429" s="46">
        <f>SUM(G8429:G8429)</f>
        <v>20.7575</v>
      </c>
      <c r="I8429" s="47"/>
      <c r="J8429" s="37">
        <v>0</v>
      </c>
    </row>
    <row r="8430" spans="1:10" ht="15.75" hidden="1" thickBot="1" x14ac:dyDescent="0.3">
      <c r="A8430" s="180"/>
      <c r="B8430" s="178"/>
      <c r="C8430" s="49"/>
      <c r="D8430" s="49"/>
      <c r="E8430" s="50"/>
      <c r="F8430" s="51" t="s">
        <v>13</v>
      </c>
      <c r="G8430" s="52" t="str">
        <f>IF(ISNUMBER(F8430),E8430*F8430,"")</f>
        <v/>
      </c>
      <c r="H8430" s="53"/>
      <c r="I8430" s="38"/>
      <c r="J8430" s="37">
        <v>0</v>
      </c>
    </row>
    <row r="8431" spans="1:10" ht="15.75" hidden="1" thickBot="1" x14ac:dyDescent="0.3">
      <c r="A8431" s="173" t="s">
        <v>2026</v>
      </c>
      <c r="B8431" s="176" t="s">
        <v>8472</v>
      </c>
      <c r="C8431" s="31"/>
      <c r="D8431" s="32" t="s">
        <v>18</v>
      </c>
      <c r="E8431" s="33"/>
      <c r="F8431" s="54" t="s">
        <v>13</v>
      </c>
      <c r="G8431" s="34" t="str">
        <f>IF(ISNUMBER(F8431),E8431*F8431,"")</f>
        <v/>
      </c>
      <c r="H8431" s="35"/>
      <c r="I8431" s="36"/>
      <c r="J8431" s="37">
        <v>0</v>
      </c>
    </row>
    <row r="8432" spans="1:10" hidden="1" x14ac:dyDescent="0.25">
      <c r="A8432" s="179"/>
      <c r="B8432" s="177"/>
      <c r="C8432" s="39"/>
      <c r="D8432" s="39"/>
      <c r="E8432" s="40"/>
      <c r="F8432" s="55" t="s">
        <v>13</v>
      </c>
      <c r="G8432" s="41" t="str">
        <f>IF(ISNUMBER(F8432),E8432*F8432,"")</f>
        <v/>
      </c>
      <c r="H8432" s="42"/>
      <c r="I8432" s="38"/>
      <c r="J8432" s="37">
        <v>0</v>
      </c>
    </row>
    <row r="8433" spans="1:10" ht="25.5" hidden="1" x14ac:dyDescent="0.25">
      <c r="A8433" s="179"/>
      <c r="B8433" s="177"/>
      <c r="C8433" s="43" t="s">
        <v>11626</v>
      </c>
      <c r="D8433" s="43" t="s">
        <v>83</v>
      </c>
      <c r="E8433" s="44">
        <v>1</v>
      </c>
      <c r="F8433" s="38">
        <v>52.0505</v>
      </c>
      <c r="G8433" s="41">
        <f>IF(ISNUMBER(F8433),E8433*F8433,"")</f>
        <v>52.0505</v>
      </c>
      <c r="H8433" s="46">
        <f>SUM(G8433:G8433)</f>
        <v>52.0505</v>
      </c>
      <c r="I8433" s="47"/>
      <c r="J8433" s="37">
        <v>0</v>
      </c>
    </row>
    <row r="8434" spans="1:10" ht="15.75" hidden="1" thickBot="1" x14ac:dyDescent="0.3">
      <c r="A8434" s="180"/>
      <c r="B8434" s="178"/>
      <c r="C8434" s="49"/>
      <c r="D8434" s="49"/>
      <c r="E8434" s="50"/>
      <c r="F8434" s="51" t="s">
        <v>13</v>
      </c>
      <c r="G8434" s="52" t="str">
        <f>IF(ISNUMBER(F8434),E8434*F8434,"")</f>
        <v/>
      </c>
      <c r="H8434" s="53"/>
      <c r="I8434" s="38"/>
      <c r="J8434" s="37">
        <v>0</v>
      </c>
    </row>
    <row r="8435" spans="1:10" ht="15.75" hidden="1" thickBot="1" x14ac:dyDescent="0.3">
      <c r="A8435" s="173" t="s">
        <v>2027</v>
      </c>
      <c r="B8435" s="176" t="s">
        <v>8475</v>
      </c>
      <c r="C8435" s="31"/>
      <c r="D8435" s="32" t="s">
        <v>18</v>
      </c>
      <c r="E8435" s="33"/>
      <c r="F8435" s="54" t="s">
        <v>13</v>
      </c>
      <c r="G8435" s="34" t="str">
        <f>IF(ISNUMBER(F8435),E8435*F8435,"")</f>
        <v/>
      </c>
      <c r="H8435" s="35"/>
      <c r="I8435" s="36"/>
      <c r="J8435" s="37">
        <v>0</v>
      </c>
    </row>
    <row r="8436" spans="1:10" hidden="1" x14ac:dyDescent="0.25">
      <c r="A8436" s="179"/>
      <c r="B8436" s="177"/>
      <c r="C8436" s="39"/>
      <c r="D8436" s="39"/>
      <c r="E8436" s="40"/>
      <c r="F8436" s="55" t="s">
        <v>13</v>
      </c>
      <c r="G8436" s="41" t="str">
        <f>IF(ISNUMBER(F8436),E8436*F8436,"")</f>
        <v/>
      </c>
      <c r="H8436" s="42"/>
      <c r="I8436" s="38"/>
      <c r="J8436" s="37">
        <v>0</v>
      </c>
    </row>
    <row r="8437" spans="1:10" ht="25.5" hidden="1" x14ac:dyDescent="0.25">
      <c r="A8437" s="179"/>
      <c r="B8437" s="177"/>
      <c r="C8437" s="43" t="s">
        <v>11627</v>
      </c>
      <c r="D8437" s="43" t="s">
        <v>83</v>
      </c>
      <c r="E8437" s="44">
        <v>1</v>
      </c>
      <c r="F8437" s="38">
        <v>9.6044999999999998</v>
      </c>
      <c r="G8437" s="41">
        <f>IF(ISNUMBER(F8437),E8437*F8437,"")</f>
        <v>9.6044999999999998</v>
      </c>
      <c r="H8437" s="46">
        <f>SUM(G8437:G8437)</f>
        <v>9.6044999999999998</v>
      </c>
      <c r="I8437" s="47"/>
      <c r="J8437" s="37">
        <v>0</v>
      </c>
    </row>
    <row r="8438" spans="1:10" ht="15.75" hidden="1" thickBot="1" x14ac:dyDescent="0.3">
      <c r="A8438" s="180"/>
      <c r="B8438" s="178"/>
      <c r="C8438" s="49"/>
      <c r="D8438" s="49"/>
      <c r="E8438" s="50"/>
      <c r="F8438" s="51" t="s">
        <v>13</v>
      </c>
      <c r="G8438" s="52" t="str">
        <f>IF(ISNUMBER(F8438),E8438*F8438,"")</f>
        <v/>
      </c>
      <c r="H8438" s="53"/>
      <c r="I8438" s="38"/>
      <c r="J8438" s="37">
        <v>0</v>
      </c>
    </row>
    <row r="8439" spans="1:10" ht="15.75" hidden="1" thickBot="1" x14ac:dyDescent="0.3">
      <c r="A8439" s="173" t="s">
        <v>2028</v>
      </c>
      <c r="B8439" s="176" t="s">
        <v>8476</v>
      </c>
      <c r="C8439" s="31"/>
      <c r="D8439" s="32" t="s">
        <v>18</v>
      </c>
      <c r="E8439" s="33"/>
      <c r="F8439" s="54" t="s">
        <v>13</v>
      </c>
      <c r="G8439" s="34" t="str">
        <f>IF(ISNUMBER(F8439),E8439*F8439,"")</f>
        <v/>
      </c>
      <c r="H8439" s="35"/>
      <c r="I8439" s="36"/>
      <c r="J8439" s="37">
        <v>0</v>
      </c>
    </row>
    <row r="8440" spans="1:10" hidden="1" x14ac:dyDescent="0.25">
      <c r="A8440" s="179"/>
      <c r="B8440" s="177"/>
      <c r="C8440" s="39"/>
      <c r="D8440" s="39"/>
      <c r="E8440" s="40"/>
      <c r="F8440" s="55" t="s">
        <v>13</v>
      </c>
      <c r="G8440" s="41" t="str">
        <f>IF(ISNUMBER(F8440),E8440*F8440,"")</f>
        <v/>
      </c>
      <c r="H8440" s="42"/>
      <c r="I8440" s="38"/>
      <c r="J8440" s="37">
        <v>0</v>
      </c>
    </row>
    <row r="8441" spans="1:10" ht="25.5" hidden="1" x14ac:dyDescent="0.25">
      <c r="A8441" s="179"/>
      <c r="B8441" s="177"/>
      <c r="C8441" s="43" t="s">
        <v>11628</v>
      </c>
      <c r="D8441" s="43" t="s">
        <v>83</v>
      </c>
      <c r="E8441" s="44">
        <v>1</v>
      </c>
      <c r="F8441" s="38">
        <v>14.193</v>
      </c>
      <c r="G8441" s="41">
        <f>IF(ISNUMBER(F8441),E8441*F8441,"")</f>
        <v>14.193</v>
      </c>
      <c r="H8441" s="46">
        <f>SUM(G8441:G8441)</f>
        <v>14.193</v>
      </c>
      <c r="I8441" s="47"/>
      <c r="J8441" s="37">
        <v>0</v>
      </c>
    </row>
    <row r="8442" spans="1:10" ht="15.75" hidden="1" thickBot="1" x14ac:dyDescent="0.3">
      <c r="A8442" s="180"/>
      <c r="B8442" s="178"/>
      <c r="C8442" s="49"/>
      <c r="D8442" s="49"/>
      <c r="E8442" s="50"/>
      <c r="F8442" s="51" t="s">
        <v>13</v>
      </c>
      <c r="G8442" s="52" t="str">
        <f>IF(ISNUMBER(F8442),E8442*F8442,"")</f>
        <v/>
      </c>
      <c r="H8442" s="53"/>
      <c r="I8442" s="38"/>
      <c r="J8442" s="37">
        <v>0</v>
      </c>
    </row>
    <row r="8443" spans="1:10" ht="15.75" hidden="1" thickBot="1" x14ac:dyDescent="0.3">
      <c r="A8443" s="173" t="s">
        <v>2029</v>
      </c>
      <c r="B8443" s="176" t="s">
        <v>8477</v>
      </c>
      <c r="C8443" s="31"/>
      <c r="D8443" s="32" t="s">
        <v>18</v>
      </c>
      <c r="E8443" s="33"/>
      <c r="F8443" s="54" t="s">
        <v>13</v>
      </c>
      <c r="G8443" s="34" t="str">
        <f>IF(ISNUMBER(F8443),E8443*F8443,"")</f>
        <v/>
      </c>
      <c r="H8443" s="35"/>
      <c r="I8443" s="36"/>
      <c r="J8443" s="37">
        <v>0</v>
      </c>
    </row>
    <row r="8444" spans="1:10" hidden="1" x14ac:dyDescent="0.25">
      <c r="A8444" s="179"/>
      <c r="B8444" s="177"/>
      <c r="C8444" s="39"/>
      <c r="D8444" s="39"/>
      <c r="E8444" s="40"/>
      <c r="F8444" s="55" t="s">
        <v>13</v>
      </c>
      <c r="G8444" s="41" t="str">
        <f>IF(ISNUMBER(F8444),E8444*F8444,"")</f>
        <v/>
      </c>
      <c r="H8444" s="42"/>
      <c r="I8444" s="38"/>
      <c r="J8444" s="37">
        <v>0</v>
      </c>
    </row>
    <row r="8445" spans="1:10" hidden="1" x14ac:dyDescent="0.25">
      <c r="A8445" s="179"/>
      <c r="B8445" s="177"/>
      <c r="C8445" s="43" t="s">
        <v>2030</v>
      </c>
      <c r="D8445" s="43" t="s">
        <v>18</v>
      </c>
      <c r="E8445" s="44">
        <v>1</v>
      </c>
      <c r="F8445" s="38" t="s">
        <v>13</v>
      </c>
      <c r="G8445" s="41" t="str">
        <f>IF(ISNUMBER(F8445),E8445*F8445,"")</f>
        <v/>
      </c>
      <c r="H8445" s="46">
        <f>SUM(G8445:G8445)</f>
        <v>0</v>
      </c>
      <c r="I8445" s="47"/>
      <c r="J8445" s="37">
        <v>0</v>
      </c>
    </row>
    <row r="8446" spans="1:10" ht="15.75" hidden="1" thickBot="1" x14ac:dyDescent="0.3">
      <c r="A8446" s="180"/>
      <c r="B8446" s="178"/>
      <c r="C8446" s="49"/>
      <c r="D8446" s="49"/>
      <c r="E8446" s="50"/>
      <c r="F8446" s="51" t="s">
        <v>13</v>
      </c>
      <c r="G8446" s="52" t="str">
        <f>IF(ISNUMBER(F8446),E8446*F8446,"")</f>
        <v/>
      </c>
      <c r="H8446" s="53"/>
      <c r="I8446" s="38"/>
      <c r="J8446" s="37">
        <v>0</v>
      </c>
    </row>
    <row r="8447" spans="1:10" ht="15.75" hidden="1" thickBot="1" x14ac:dyDescent="0.3">
      <c r="A8447" s="173" t="s">
        <v>2031</v>
      </c>
      <c r="B8447" s="176" t="s">
        <v>8478</v>
      </c>
      <c r="C8447" s="31"/>
      <c r="D8447" s="32" t="s">
        <v>18</v>
      </c>
      <c r="E8447" s="33"/>
      <c r="F8447" s="54" t="s">
        <v>13</v>
      </c>
      <c r="G8447" s="34" t="str">
        <f>IF(ISNUMBER(F8447),E8447*F8447,"")</f>
        <v/>
      </c>
      <c r="H8447" s="35"/>
      <c r="I8447" s="36"/>
      <c r="J8447" s="37">
        <v>0</v>
      </c>
    </row>
    <row r="8448" spans="1:10" hidden="1" x14ac:dyDescent="0.25">
      <c r="A8448" s="179"/>
      <c r="B8448" s="177"/>
      <c r="C8448" s="39"/>
      <c r="D8448" s="39"/>
      <c r="E8448" s="40"/>
      <c r="F8448" s="55" t="s">
        <v>13</v>
      </c>
      <c r="G8448" s="41" t="str">
        <f>IF(ISNUMBER(F8448),E8448*F8448,"")</f>
        <v/>
      </c>
      <c r="H8448" s="42"/>
      <c r="I8448" s="38"/>
      <c r="J8448" s="37">
        <v>0</v>
      </c>
    </row>
    <row r="8449" spans="1:10" hidden="1" x14ac:dyDescent="0.25">
      <c r="A8449" s="179"/>
      <c r="B8449" s="177"/>
      <c r="C8449" s="43" t="s">
        <v>2032</v>
      </c>
      <c r="D8449" s="43" t="s">
        <v>18</v>
      </c>
      <c r="E8449" s="44">
        <v>1</v>
      </c>
      <c r="F8449" s="38" t="s">
        <v>13</v>
      </c>
      <c r="G8449" s="41" t="str">
        <f>IF(ISNUMBER(F8449),E8449*F8449,"")</f>
        <v/>
      </c>
      <c r="H8449" s="46">
        <f>SUM(G8449:G8449)</f>
        <v>0</v>
      </c>
      <c r="I8449" s="47"/>
      <c r="J8449" s="37">
        <v>0</v>
      </c>
    </row>
    <row r="8450" spans="1:10" ht="15.75" hidden="1" thickBot="1" x14ac:dyDescent="0.3">
      <c r="A8450" s="180"/>
      <c r="B8450" s="178"/>
      <c r="C8450" s="49"/>
      <c r="D8450" s="49"/>
      <c r="E8450" s="50"/>
      <c r="F8450" s="51" t="s">
        <v>13</v>
      </c>
      <c r="G8450" s="52" t="str">
        <f>IF(ISNUMBER(F8450),E8450*F8450,"")</f>
        <v/>
      </c>
      <c r="H8450" s="53"/>
      <c r="I8450" s="38"/>
      <c r="J8450" s="37">
        <v>0</v>
      </c>
    </row>
    <row r="8451" spans="1:10" ht="15.75" hidden="1" thickBot="1" x14ac:dyDescent="0.3">
      <c r="A8451" s="173" t="s">
        <v>2033</v>
      </c>
      <c r="B8451" s="176" t="s">
        <v>2034</v>
      </c>
      <c r="C8451" s="31"/>
      <c r="D8451" s="32" t="s">
        <v>106</v>
      </c>
      <c r="E8451" s="33"/>
      <c r="F8451" s="60" t="s">
        <v>13</v>
      </c>
      <c r="G8451" s="34" t="str">
        <f>IF(ISNUMBER(F8451),E8451*F8451,"")</f>
        <v/>
      </c>
      <c r="H8451" s="35"/>
      <c r="I8451" s="36"/>
      <c r="J8451" s="37">
        <v>0</v>
      </c>
    </row>
    <row r="8452" spans="1:10" hidden="1" x14ac:dyDescent="0.25">
      <c r="A8452" s="179"/>
      <c r="B8452" s="177"/>
      <c r="C8452" s="39"/>
      <c r="D8452" s="39"/>
      <c r="E8452" s="40"/>
      <c r="F8452" s="70" t="s">
        <v>13</v>
      </c>
      <c r="G8452" s="70" t="str">
        <f>IF(ISNUMBER(F8452),E8452*F8452,"")</f>
        <v/>
      </c>
      <c r="H8452" s="71"/>
      <c r="I8452" s="72"/>
      <c r="J8452" s="37">
        <v>0</v>
      </c>
    </row>
    <row r="8453" spans="1:10" hidden="1" x14ac:dyDescent="0.25">
      <c r="A8453" s="179"/>
      <c r="B8453" s="177"/>
      <c r="C8453" s="43" t="s">
        <v>2034</v>
      </c>
      <c r="D8453" s="62" t="s">
        <v>106</v>
      </c>
      <c r="E8453" s="44">
        <v>1</v>
      </c>
      <c r="F8453" s="70" t="s">
        <v>13</v>
      </c>
      <c r="G8453" s="70" t="str">
        <f>IF(ISNUMBER(F8453),E8453*F8453,"")</f>
        <v/>
      </c>
      <c r="H8453" s="46">
        <f>SUM(G8453:G8454)</f>
        <v>6.1735328199999993</v>
      </c>
      <c r="I8453" s="47"/>
      <c r="J8453" s="37">
        <v>0</v>
      </c>
    </row>
    <row r="8454" spans="1:10" hidden="1" x14ac:dyDescent="0.25">
      <c r="A8454" s="179"/>
      <c r="B8454" s="177"/>
      <c r="C8454" s="43" t="s">
        <v>10613</v>
      </c>
      <c r="D8454" s="43" t="s">
        <v>2800</v>
      </c>
      <c r="E8454" s="44">
        <f>0.5759*0.7/2</f>
        <v>0.20156499999999997</v>
      </c>
      <c r="F8454" s="70">
        <v>30.628</v>
      </c>
      <c r="G8454" s="70">
        <f>IF(ISNUMBER(F8454),E8454*F8454,"")</f>
        <v>6.1735328199999993</v>
      </c>
      <c r="H8454" s="71"/>
      <c r="I8454" s="72"/>
      <c r="J8454" s="37">
        <v>0</v>
      </c>
    </row>
    <row r="8455" spans="1:10" ht="15.75" hidden="1" thickBot="1" x14ac:dyDescent="0.3">
      <c r="A8455" s="180"/>
      <c r="B8455" s="178"/>
      <c r="C8455" s="49"/>
      <c r="D8455" s="49"/>
      <c r="E8455" s="50"/>
      <c r="F8455" s="83" t="s">
        <v>13</v>
      </c>
      <c r="G8455" s="83" t="str">
        <f>IF(ISNUMBER(F8455),E8455*F8455,"")</f>
        <v/>
      </c>
      <c r="H8455" s="84"/>
      <c r="I8455" s="72"/>
      <c r="J8455" s="37">
        <v>0</v>
      </c>
    </row>
    <row r="8456" spans="1:10" ht="15.75" hidden="1" thickBot="1" x14ac:dyDescent="0.3">
      <c r="A8456" s="173" t="s">
        <v>2035</v>
      </c>
      <c r="B8456" s="176" t="s">
        <v>8487</v>
      </c>
      <c r="C8456" s="31"/>
      <c r="D8456" s="32" t="s">
        <v>3982</v>
      </c>
      <c r="E8456" s="33"/>
      <c r="F8456" s="54" t="s">
        <v>13</v>
      </c>
      <c r="G8456" s="34" t="str">
        <f>IF(ISNUMBER(F8456),E8456*F8456,"")</f>
        <v/>
      </c>
      <c r="H8456" s="35"/>
      <c r="I8456" s="36"/>
      <c r="J8456" s="37">
        <v>0</v>
      </c>
    </row>
    <row r="8457" spans="1:10" hidden="1" x14ac:dyDescent="0.25">
      <c r="A8457" s="179"/>
      <c r="B8457" s="177"/>
      <c r="C8457" s="39"/>
      <c r="D8457" s="39"/>
      <c r="E8457" s="40"/>
      <c r="F8457" s="55" t="s">
        <v>13</v>
      </c>
      <c r="G8457" s="41" t="str">
        <f>IF(ISNUMBER(F8457),E8457*F8457,"")</f>
        <v/>
      </c>
      <c r="H8457" s="42"/>
      <c r="I8457" s="38"/>
      <c r="J8457" s="37">
        <v>0</v>
      </c>
    </row>
    <row r="8458" spans="1:10" ht="25.5" hidden="1" x14ac:dyDescent="0.25">
      <c r="A8458" s="179"/>
      <c r="B8458" s="177"/>
      <c r="C8458" s="43" t="s">
        <v>10611</v>
      </c>
      <c r="D8458" s="43" t="s">
        <v>2800</v>
      </c>
      <c r="E8458" s="44" t="e">
        <f>IF(#REF!="Desonerado",ROUND(220/(1+'[1]Serviços SINAPI'!$E$6),4),ROUND(220/(1+'[1]Serviços SINAPI'!$F$6),4))</f>
        <v>#REF!</v>
      </c>
      <c r="F8458" s="38">
        <v>142.75650000000002</v>
      </c>
      <c r="G8458" s="38" t="e">
        <f>IF(ISNUMBER(F8458),E8458*F8458,"")</f>
        <v>#REF!</v>
      </c>
      <c r="H8458" s="46" t="e">
        <f>SUM(G8458:G8458)</f>
        <v>#REF!</v>
      </c>
      <c r="I8458" s="47"/>
      <c r="J8458" s="37">
        <v>0</v>
      </c>
    </row>
    <row r="8459" spans="1:10" ht="15.75" hidden="1" thickBot="1" x14ac:dyDescent="0.3">
      <c r="A8459" s="180"/>
      <c r="B8459" s="178"/>
      <c r="C8459" s="49"/>
      <c r="D8459" s="49"/>
      <c r="E8459" s="50"/>
      <c r="F8459" s="51" t="s">
        <v>13</v>
      </c>
      <c r="G8459" s="52" t="str">
        <f>IF(ISNUMBER(F8459),E8459*F8459,"")</f>
        <v/>
      </c>
      <c r="H8459" s="53"/>
      <c r="I8459" s="38"/>
      <c r="J8459" s="37">
        <v>0</v>
      </c>
    </row>
    <row r="8460" spans="1:10" ht="15.75" hidden="1" thickBot="1" x14ac:dyDescent="0.3">
      <c r="A8460" s="173" t="s">
        <v>2036</v>
      </c>
      <c r="B8460" s="176" t="s">
        <v>8490</v>
      </c>
      <c r="C8460" s="31"/>
      <c r="D8460" s="32" t="s">
        <v>68</v>
      </c>
      <c r="E8460" s="33"/>
      <c r="F8460" s="54" t="s">
        <v>13</v>
      </c>
      <c r="G8460" s="34" t="str">
        <f>IF(ISNUMBER(F8460),E8460*F8460,"")</f>
        <v/>
      </c>
      <c r="H8460" s="35"/>
      <c r="I8460" s="36"/>
      <c r="J8460" s="37">
        <v>0</v>
      </c>
    </row>
    <row r="8461" spans="1:10" hidden="1" x14ac:dyDescent="0.25">
      <c r="A8461" s="179"/>
      <c r="B8461" s="177"/>
      <c r="C8461" s="39"/>
      <c r="D8461" s="39"/>
      <c r="E8461" s="40"/>
      <c r="F8461" s="55" t="s">
        <v>13</v>
      </c>
      <c r="G8461" s="41" t="str">
        <f>IF(ISNUMBER(F8461),E8461*F8461,"")</f>
        <v/>
      </c>
      <c r="H8461" s="42"/>
      <c r="I8461" s="38"/>
      <c r="J8461" s="37">
        <v>0</v>
      </c>
    </row>
    <row r="8462" spans="1:10" hidden="1" x14ac:dyDescent="0.25">
      <c r="A8462" s="179"/>
      <c r="B8462" s="177"/>
      <c r="C8462" s="43" t="s">
        <v>11629</v>
      </c>
      <c r="D8462" s="43" t="s">
        <v>162</v>
      </c>
      <c r="E8462" s="44">
        <v>1</v>
      </c>
      <c r="F8462" s="38">
        <v>171.54149999999998</v>
      </c>
      <c r="G8462" s="41">
        <f>IF(ISNUMBER(F8462),E8462*F8462,"")</f>
        <v>171.54149999999998</v>
      </c>
      <c r="H8462" s="46">
        <f>SUM(G8462:G8468)</f>
        <v>312.53655750000001</v>
      </c>
      <c r="I8462" s="47"/>
      <c r="J8462" s="37">
        <v>0</v>
      </c>
    </row>
    <row r="8463" spans="1:10" ht="38.25" hidden="1" x14ac:dyDescent="0.25">
      <c r="A8463" s="179"/>
      <c r="B8463" s="177"/>
      <c r="C8463" s="43" t="s">
        <v>10931</v>
      </c>
      <c r="D8463" s="43" t="s">
        <v>83</v>
      </c>
      <c r="E8463" s="44">
        <v>2.1960000000000002</v>
      </c>
      <c r="F8463" s="38">
        <v>0.38949999999999996</v>
      </c>
      <c r="G8463" s="41">
        <f>IF(ISNUMBER(F8463),E8463*F8463,"")</f>
        <v>0.85534199999999994</v>
      </c>
      <c r="H8463" s="42"/>
      <c r="I8463" s="47"/>
      <c r="J8463" s="37">
        <v>0</v>
      </c>
    </row>
    <row r="8464" spans="1:10" hidden="1" x14ac:dyDescent="0.25">
      <c r="A8464" s="179"/>
      <c r="B8464" s="177"/>
      <c r="C8464" s="43" t="s">
        <v>11030</v>
      </c>
      <c r="D8464" s="43" t="s">
        <v>1044</v>
      </c>
      <c r="E8464" s="44">
        <v>0.96399999999999997</v>
      </c>
      <c r="F8464" s="38">
        <v>41.001999999999995</v>
      </c>
      <c r="G8464" s="41">
        <f>IF(ISNUMBER(F8464),E8464*F8464,"")</f>
        <v>39.525927999999993</v>
      </c>
      <c r="H8464" s="42"/>
      <c r="I8464" s="47"/>
      <c r="J8464" s="37">
        <v>0</v>
      </c>
    </row>
    <row r="8465" spans="1:10" ht="25.5" hidden="1" x14ac:dyDescent="0.25">
      <c r="A8465" s="179"/>
      <c r="B8465" s="177"/>
      <c r="C8465" s="43" t="s">
        <v>10857</v>
      </c>
      <c r="D8465" s="43" t="s">
        <v>1302</v>
      </c>
      <c r="E8465" s="44">
        <v>2.992</v>
      </c>
      <c r="F8465" s="38">
        <v>2.4889999999999999</v>
      </c>
      <c r="G8465" s="41">
        <f>IF(ISNUMBER(F8465),E8465*F8465,"")</f>
        <v>7.4470879999999999</v>
      </c>
      <c r="H8465" s="42"/>
      <c r="I8465" s="47"/>
      <c r="J8465" s="37">
        <v>0</v>
      </c>
    </row>
    <row r="8466" spans="1:10" hidden="1" x14ac:dyDescent="0.25">
      <c r="A8466" s="179"/>
      <c r="B8466" s="177"/>
      <c r="C8466" s="43" t="s">
        <v>10893</v>
      </c>
      <c r="D8466" s="43" t="s">
        <v>83</v>
      </c>
      <c r="E8466" s="44">
        <v>0.39700000000000002</v>
      </c>
      <c r="F8466" s="38">
        <v>28.148499999999999</v>
      </c>
      <c r="G8466" s="41">
        <f>IF(ISNUMBER(F8466),E8466*F8466,"")</f>
        <v>11.1749545</v>
      </c>
      <c r="H8466" s="42"/>
      <c r="I8466" s="47"/>
      <c r="J8466" s="37">
        <v>0</v>
      </c>
    </row>
    <row r="8467" spans="1:10" hidden="1" x14ac:dyDescent="0.25">
      <c r="A8467" s="179"/>
      <c r="B8467" s="177"/>
      <c r="C8467" s="43" t="s">
        <v>10614</v>
      </c>
      <c r="D8467" s="43" t="s">
        <v>2800</v>
      </c>
      <c r="E8467" s="44">
        <v>1.542</v>
      </c>
      <c r="F8467" s="38">
        <v>23.693000000000001</v>
      </c>
      <c r="G8467" s="41">
        <f>IF(ISNUMBER(F8467),E8467*F8467,"")</f>
        <v>36.534606000000004</v>
      </c>
      <c r="H8467" s="42"/>
      <c r="I8467" s="47"/>
      <c r="J8467" s="37">
        <v>0</v>
      </c>
    </row>
    <row r="8468" spans="1:10" hidden="1" x14ac:dyDescent="0.25">
      <c r="A8468" s="179"/>
      <c r="B8468" s="177"/>
      <c r="C8468" s="43" t="s">
        <v>10831</v>
      </c>
      <c r="D8468" s="43" t="s">
        <v>2800</v>
      </c>
      <c r="E8468" s="44">
        <v>1.5860000000000001</v>
      </c>
      <c r="F8468" s="38">
        <v>28.6615</v>
      </c>
      <c r="G8468" s="41">
        <f>IF(ISNUMBER(F8468),E8468*F8468,"")</f>
        <v>45.457139000000005</v>
      </c>
      <c r="H8468" s="42"/>
      <c r="I8468" s="47"/>
      <c r="J8468" s="37">
        <v>0</v>
      </c>
    </row>
    <row r="8469" spans="1:10" ht="15.75" hidden="1" thickBot="1" x14ac:dyDescent="0.3">
      <c r="A8469" s="180"/>
      <c r="B8469" s="178"/>
      <c r="C8469" s="49"/>
      <c r="D8469" s="49"/>
      <c r="E8469" s="50"/>
      <c r="F8469" s="51" t="s">
        <v>13</v>
      </c>
      <c r="G8469" s="52" t="str">
        <f>IF(ISNUMBER(F8469),E8469*F8469,"")</f>
        <v/>
      </c>
      <c r="H8469" s="53"/>
      <c r="I8469" s="38"/>
      <c r="J8469" s="37">
        <v>0</v>
      </c>
    </row>
    <row r="8470" spans="1:10" ht="15.75" hidden="1" thickBot="1" x14ac:dyDescent="0.3">
      <c r="A8470" s="173" t="s">
        <v>2037</v>
      </c>
      <c r="B8470" s="176" t="s">
        <v>8491</v>
      </c>
      <c r="C8470" s="31"/>
      <c r="D8470" s="32" t="s">
        <v>68</v>
      </c>
      <c r="E8470" s="33"/>
      <c r="F8470" s="54" t="s">
        <v>13</v>
      </c>
      <c r="G8470" s="34" t="str">
        <f>IF(ISNUMBER(F8470),E8470*F8470,"")</f>
        <v/>
      </c>
      <c r="H8470" s="35"/>
      <c r="I8470" s="36"/>
      <c r="J8470" s="37">
        <v>0</v>
      </c>
    </row>
    <row r="8471" spans="1:10" hidden="1" x14ac:dyDescent="0.25">
      <c r="A8471" s="179"/>
      <c r="B8471" s="177"/>
      <c r="C8471" s="39"/>
      <c r="D8471" s="39"/>
      <c r="E8471" s="40"/>
      <c r="F8471" s="55" t="s">
        <v>13</v>
      </c>
      <c r="G8471" s="41" t="str">
        <f>IF(ISNUMBER(F8471),E8471*F8471,"")</f>
        <v/>
      </c>
      <c r="H8471" s="42"/>
      <c r="I8471" s="38"/>
      <c r="J8471" s="37">
        <v>0</v>
      </c>
    </row>
    <row r="8472" spans="1:10" hidden="1" x14ac:dyDescent="0.25">
      <c r="A8472" s="179"/>
      <c r="B8472" s="177"/>
      <c r="C8472" s="43" t="s">
        <v>11629</v>
      </c>
      <c r="D8472" s="43" t="s">
        <v>162</v>
      </c>
      <c r="E8472" s="44">
        <v>1</v>
      </c>
      <c r="F8472" s="38">
        <v>171.54149999999998</v>
      </c>
      <c r="G8472" s="41">
        <f>IF(ISNUMBER(F8472),E8472*F8472,"")</f>
        <v>171.54149999999998</v>
      </c>
      <c r="H8472" s="46">
        <f>SUM(G8472:G8478)</f>
        <v>312.53655750000001</v>
      </c>
      <c r="I8472" s="47"/>
      <c r="J8472" s="37">
        <v>0</v>
      </c>
    </row>
    <row r="8473" spans="1:10" ht="38.25" hidden="1" x14ac:dyDescent="0.25">
      <c r="A8473" s="179"/>
      <c r="B8473" s="177"/>
      <c r="C8473" s="43" t="s">
        <v>10931</v>
      </c>
      <c r="D8473" s="43" t="s">
        <v>83</v>
      </c>
      <c r="E8473" s="44">
        <v>2.1960000000000002</v>
      </c>
      <c r="F8473" s="38">
        <v>0.38949999999999996</v>
      </c>
      <c r="G8473" s="41">
        <f>IF(ISNUMBER(F8473),E8473*F8473,"")</f>
        <v>0.85534199999999994</v>
      </c>
      <c r="H8473" s="42"/>
      <c r="I8473" s="47"/>
      <c r="J8473" s="37">
        <v>0</v>
      </c>
    </row>
    <row r="8474" spans="1:10" hidden="1" x14ac:dyDescent="0.25">
      <c r="A8474" s="179"/>
      <c r="B8474" s="177"/>
      <c r="C8474" s="43" t="s">
        <v>11030</v>
      </c>
      <c r="D8474" s="43" t="s">
        <v>1044</v>
      </c>
      <c r="E8474" s="44">
        <v>0.96399999999999997</v>
      </c>
      <c r="F8474" s="38">
        <v>41.001999999999995</v>
      </c>
      <c r="G8474" s="41">
        <f>IF(ISNUMBER(F8474),E8474*F8474,"")</f>
        <v>39.525927999999993</v>
      </c>
      <c r="H8474" s="42"/>
      <c r="I8474" s="47"/>
      <c r="J8474" s="37">
        <v>0</v>
      </c>
    </row>
    <row r="8475" spans="1:10" ht="25.5" hidden="1" x14ac:dyDescent="0.25">
      <c r="A8475" s="179"/>
      <c r="B8475" s="177"/>
      <c r="C8475" s="43" t="s">
        <v>10857</v>
      </c>
      <c r="D8475" s="43" t="s">
        <v>1302</v>
      </c>
      <c r="E8475" s="44">
        <v>2.992</v>
      </c>
      <c r="F8475" s="38">
        <v>2.4889999999999999</v>
      </c>
      <c r="G8475" s="41">
        <f>IF(ISNUMBER(F8475),E8475*F8475,"")</f>
        <v>7.4470879999999999</v>
      </c>
      <c r="H8475" s="42"/>
      <c r="I8475" s="47"/>
      <c r="J8475" s="37">
        <v>0</v>
      </c>
    </row>
    <row r="8476" spans="1:10" hidden="1" x14ac:dyDescent="0.25">
      <c r="A8476" s="179"/>
      <c r="B8476" s="177"/>
      <c r="C8476" s="43" t="s">
        <v>10893</v>
      </c>
      <c r="D8476" s="43" t="s">
        <v>83</v>
      </c>
      <c r="E8476" s="44">
        <v>0.39700000000000002</v>
      </c>
      <c r="F8476" s="38">
        <v>28.148499999999999</v>
      </c>
      <c r="G8476" s="41">
        <f>IF(ISNUMBER(F8476),E8476*F8476,"")</f>
        <v>11.1749545</v>
      </c>
      <c r="H8476" s="42"/>
      <c r="I8476" s="47"/>
      <c r="J8476" s="37">
        <v>0</v>
      </c>
    </row>
    <row r="8477" spans="1:10" hidden="1" x14ac:dyDescent="0.25">
      <c r="A8477" s="179"/>
      <c r="B8477" s="177"/>
      <c r="C8477" s="43" t="s">
        <v>10614</v>
      </c>
      <c r="D8477" s="43" t="s">
        <v>2800</v>
      </c>
      <c r="E8477" s="44">
        <v>1.542</v>
      </c>
      <c r="F8477" s="38">
        <v>23.693000000000001</v>
      </c>
      <c r="G8477" s="41">
        <f>IF(ISNUMBER(F8477),E8477*F8477,"")</f>
        <v>36.534606000000004</v>
      </c>
      <c r="H8477" s="42"/>
      <c r="I8477" s="47"/>
      <c r="J8477" s="37">
        <v>0</v>
      </c>
    </row>
    <row r="8478" spans="1:10" hidden="1" x14ac:dyDescent="0.25">
      <c r="A8478" s="179"/>
      <c r="B8478" s="177"/>
      <c r="C8478" s="43" t="s">
        <v>10831</v>
      </c>
      <c r="D8478" s="43" t="s">
        <v>2800</v>
      </c>
      <c r="E8478" s="44">
        <v>1.5860000000000001</v>
      </c>
      <c r="F8478" s="38">
        <v>28.6615</v>
      </c>
      <c r="G8478" s="41">
        <f>IF(ISNUMBER(F8478),E8478*F8478,"")</f>
        <v>45.457139000000005</v>
      </c>
      <c r="H8478" s="42"/>
      <c r="I8478" s="47"/>
      <c r="J8478" s="37">
        <v>0</v>
      </c>
    </row>
    <row r="8479" spans="1:10" ht="15.75" hidden="1" thickBot="1" x14ac:dyDescent="0.3">
      <c r="A8479" s="180"/>
      <c r="B8479" s="178"/>
      <c r="C8479" s="49"/>
      <c r="D8479" s="49"/>
      <c r="E8479" s="50"/>
      <c r="F8479" s="51" t="s">
        <v>13</v>
      </c>
      <c r="G8479" s="52" t="str">
        <f>IF(ISNUMBER(F8479),E8479*F8479,"")</f>
        <v/>
      </c>
      <c r="H8479" s="53"/>
      <c r="I8479" s="38"/>
      <c r="J8479" s="37">
        <v>0</v>
      </c>
    </row>
    <row r="8480" spans="1:10" ht="15.75" hidden="1" thickBot="1" x14ac:dyDescent="0.3">
      <c r="A8480" s="173" t="s">
        <v>2038</v>
      </c>
      <c r="B8480" s="176" t="s">
        <v>8494</v>
      </c>
      <c r="C8480" s="31"/>
      <c r="D8480" s="32" t="s">
        <v>68</v>
      </c>
      <c r="E8480" s="33"/>
      <c r="F8480" s="54" t="s">
        <v>13</v>
      </c>
      <c r="G8480" s="34" t="str">
        <f>IF(ISNUMBER(F8480),E8480*F8480,"")</f>
        <v/>
      </c>
      <c r="H8480" s="35"/>
      <c r="I8480" s="36"/>
      <c r="J8480" s="37">
        <v>0</v>
      </c>
    </row>
    <row r="8481" spans="1:10" hidden="1" x14ac:dyDescent="0.25">
      <c r="A8481" s="174"/>
      <c r="B8481" s="177"/>
      <c r="C8481" s="39"/>
      <c r="D8481" s="39"/>
      <c r="E8481" s="40"/>
      <c r="F8481" s="55" t="s">
        <v>13</v>
      </c>
      <c r="G8481" s="38" t="str">
        <f>IF(ISNUMBER(F8481),E8481*F8481,"")</f>
        <v/>
      </c>
      <c r="H8481" s="42"/>
      <c r="I8481" s="38"/>
      <c r="J8481" s="37">
        <v>0</v>
      </c>
    </row>
    <row r="8482" spans="1:10" hidden="1" x14ac:dyDescent="0.25">
      <c r="A8482" s="174"/>
      <c r="B8482" s="177"/>
      <c r="C8482" s="43" t="s">
        <v>10757</v>
      </c>
      <c r="D8482" s="43" t="s">
        <v>2800</v>
      </c>
      <c r="E8482" s="44">
        <f>0.09*0.7</f>
        <v>6.3E-2</v>
      </c>
      <c r="F8482" s="38">
        <v>31.055499999999995</v>
      </c>
      <c r="G8482" s="41">
        <f>IF(ISNUMBER(F8482),E8482*F8482,"")</f>
        <v>1.9564964999999996</v>
      </c>
      <c r="H8482" s="46">
        <f>SUM(G8482:G8483)</f>
        <v>16.883086500000001</v>
      </c>
      <c r="I8482" s="47"/>
      <c r="J8482" s="37">
        <v>0</v>
      </c>
    </row>
    <row r="8483" spans="1:10" hidden="1" x14ac:dyDescent="0.25">
      <c r="A8483" s="174"/>
      <c r="B8483" s="177"/>
      <c r="C8483" s="43" t="s">
        <v>10614</v>
      </c>
      <c r="D8483" s="43" t="s">
        <v>2800</v>
      </c>
      <c r="E8483" s="44">
        <f>0.9*0.7</f>
        <v>0.63</v>
      </c>
      <c r="F8483" s="38">
        <v>23.693000000000001</v>
      </c>
      <c r="G8483" s="41">
        <f>IF(ISNUMBER(F8483),E8483*F8483,"")</f>
        <v>14.926590000000001</v>
      </c>
      <c r="H8483" s="42"/>
      <c r="I8483" s="38"/>
      <c r="J8483" s="37">
        <v>0</v>
      </c>
    </row>
    <row r="8484" spans="1:10" ht="15.75" hidden="1" thickBot="1" x14ac:dyDescent="0.3">
      <c r="A8484" s="175"/>
      <c r="B8484" s="178"/>
      <c r="C8484" s="49"/>
      <c r="D8484" s="49"/>
      <c r="E8484" s="50"/>
      <c r="F8484" s="51" t="s">
        <v>13</v>
      </c>
      <c r="G8484" s="51" t="str">
        <f>IF(ISNUMBER(F8484),E8484*F8484,"")</f>
        <v/>
      </c>
      <c r="H8484" s="53"/>
      <c r="I8484" s="38"/>
      <c r="J8484" s="37">
        <v>0</v>
      </c>
    </row>
    <row r="8485" spans="1:10" ht="15.75" hidden="1" thickBot="1" x14ac:dyDescent="0.3">
      <c r="A8485" s="173" t="s">
        <v>2039</v>
      </c>
      <c r="B8485" s="176" t="s">
        <v>8495</v>
      </c>
      <c r="C8485" s="31"/>
      <c r="D8485" s="32" t="s">
        <v>68</v>
      </c>
      <c r="E8485" s="33"/>
      <c r="F8485" s="54" t="s">
        <v>13</v>
      </c>
      <c r="G8485" s="34" t="str">
        <f>IF(ISNUMBER(F8485),E8485*F8485,"")</f>
        <v/>
      </c>
      <c r="H8485" s="35"/>
      <c r="I8485" s="36"/>
      <c r="J8485" s="37">
        <v>0</v>
      </c>
    </row>
    <row r="8486" spans="1:10" hidden="1" x14ac:dyDescent="0.25">
      <c r="A8486" s="179"/>
      <c r="B8486" s="177"/>
      <c r="C8486" s="39"/>
      <c r="D8486" s="39"/>
      <c r="E8486" s="40"/>
      <c r="F8486" s="55" t="s">
        <v>13</v>
      </c>
      <c r="G8486" s="41" t="str">
        <f>IF(ISNUMBER(F8486),E8486*F8486,"")</f>
        <v/>
      </c>
      <c r="H8486" s="42"/>
      <c r="I8486" s="38"/>
      <c r="J8486" s="37">
        <v>0</v>
      </c>
    </row>
    <row r="8487" spans="1:10" ht="25.5" hidden="1" x14ac:dyDescent="0.25">
      <c r="A8487" s="179"/>
      <c r="B8487" s="177"/>
      <c r="C8487" s="43" t="s">
        <v>10612</v>
      </c>
      <c r="D8487" s="43" t="s">
        <v>1302</v>
      </c>
      <c r="E8487" s="44">
        <v>1.2273000000000001</v>
      </c>
      <c r="F8487" s="38">
        <v>7.3055000000000003</v>
      </c>
      <c r="G8487" s="41">
        <f>IF(ISNUMBER(F8487),E8487*F8487,"")</f>
        <v>8.9660401500000013</v>
      </c>
      <c r="H8487" s="46">
        <f>SUM(G8487:G8495)</f>
        <v>85.469444408510995</v>
      </c>
      <c r="I8487" s="47"/>
      <c r="J8487" s="37">
        <v>0</v>
      </c>
    </row>
    <row r="8488" spans="1:10" hidden="1" x14ac:dyDescent="0.25">
      <c r="A8488" s="179"/>
      <c r="B8488" s="177"/>
      <c r="C8488" s="43" t="s">
        <v>10618</v>
      </c>
      <c r="D8488" s="43" t="s">
        <v>1044</v>
      </c>
      <c r="E8488" s="44">
        <v>6.8000000000000005E-2</v>
      </c>
      <c r="F8488" s="38">
        <v>18.087999999999997</v>
      </c>
      <c r="G8488" s="41">
        <f>IF(ISNUMBER(F8488),E8488*F8488,"")</f>
        <v>1.229984</v>
      </c>
      <c r="H8488" s="42"/>
      <c r="I8488" s="47"/>
      <c r="J8488" s="37">
        <v>0</v>
      </c>
    </row>
    <row r="8489" spans="1:10" ht="25.5" hidden="1" x14ac:dyDescent="0.25">
      <c r="A8489" s="179"/>
      <c r="B8489" s="177"/>
      <c r="C8489" s="43" t="s">
        <v>11630</v>
      </c>
      <c r="D8489" s="43" t="s">
        <v>1302</v>
      </c>
      <c r="E8489" s="44">
        <v>2</v>
      </c>
      <c r="F8489" s="38">
        <v>5.2154999999999996</v>
      </c>
      <c r="G8489" s="41">
        <f>IF(ISNUMBER(F8489),E8489*F8489,"")</f>
        <v>10.430999999999999</v>
      </c>
      <c r="H8489" s="42"/>
      <c r="I8489" s="47"/>
      <c r="J8489" s="37">
        <v>0</v>
      </c>
    </row>
    <row r="8490" spans="1:10" ht="38.25" hidden="1" x14ac:dyDescent="0.25">
      <c r="A8490" s="179"/>
      <c r="B8490" s="177"/>
      <c r="C8490" s="43" t="s">
        <v>11153</v>
      </c>
      <c r="D8490" s="43" t="s">
        <v>162</v>
      </c>
      <c r="E8490" s="44">
        <v>0.58530000000000004</v>
      </c>
      <c r="F8490" s="38">
        <v>43.348500000000001</v>
      </c>
      <c r="G8490" s="41">
        <f>IF(ISNUMBER(F8490),E8490*F8490,"")</f>
        <v>25.371877050000002</v>
      </c>
      <c r="H8490" s="42"/>
      <c r="I8490" s="47"/>
      <c r="J8490" s="37">
        <v>0</v>
      </c>
    </row>
    <row r="8491" spans="1:10" hidden="1" x14ac:dyDescent="0.25">
      <c r="A8491" s="179"/>
      <c r="B8491" s="177"/>
      <c r="C8491" s="43" t="s">
        <v>10655</v>
      </c>
      <c r="D8491" s="43" t="s">
        <v>2800</v>
      </c>
      <c r="E8491" s="44">
        <v>0.49199999999999999</v>
      </c>
      <c r="F8491" s="38">
        <v>24.358000000000001</v>
      </c>
      <c r="G8491" s="41">
        <f>IF(ISNUMBER(F8491),E8491*F8491,"")</f>
        <v>11.984135999999999</v>
      </c>
      <c r="H8491" s="42"/>
      <c r="I8491" s="47"/>
      <c r="J8491" s="37">
        <v>0</v>
      </c>
    </row>
    <row r="8492" spans="1:10" hidden="1" x14ac:dyDescent="0.25">
      <c r="A8492" s="179"/>
      <c r="B8492" s="177"/>
      <c r="C8492" s="43" t="s">
        <v>10613</v>
      </c>
      <c r="D8492" s="43" t="s">
        <v>2800</v>
      </c>
      <c r="E8492" s="44">
        <v>0.73499999999999999</v>
      </c>
      <c r="F8492" s="38">
        <v>30.628</v>
      </c>
      <c r="G8492" s="41">
        <f>IF(ISNUMBER(F8492),E8492*F8492,"")</f>
        <v>22.511579999999999</v>
      </c>
      <c r="H8492" s="42"/>
      <c r="I8492" s="47"/>
      <c r="J8492" s="37">
        <v>0</v>
      </c>
    </row>
    <row r="8493" spans="1:10" ht="25.5" hidden="1" x14ac:dyDescent="0.25">
      <c r="A8493" s="179"/>
      <c r="B8493" s="177"/>
      <c r="C8493" s="43" t="s">
        <v>10656</v>
      </c>
      <c r="D8493" s="43" t="s">
        <v>1050</v>
      </c>
      <c r="E8493" s="44">
        <v>6.6E-3</v>
      </c>
      <c r="F8493" s="38">
        <v>26.884999999999998</v>
      </c>
      <c r="G8493" s="41">
        <f>IF(ISNUMBER(F8493),E8493*F8493,"")</f>
        <v>0.17744099999999999</v>
      </c>
      <c r="H8493" s="42"/>
      <c r="I8493" s="47"/>
      <c r="J8493" s="37">
        <v>0</v>
      </c>
    </row>
    <row r="8494" spans="1:10" ht="25.5" hidden="1" x14ac:dyDescent="0.25">
      <c r="A8494" s="179"/>
      <c r="B8494" s="177"/>
      <c r="C8494" s="43" t="s">
        <v>10657</v>
      </c>
      <c r="D8494" s="43" t="s">
        <v>10677</v>
      </c>
      <c r="E8494" s="44">
        <v>2.64E-2</v>
      </c>
      <c r="F8494" s="38">
        <v>25.906499999999998</v>
      </c>
      <c r="G8494" s="41">
        <f>IF(ISNUMBER(F8494),E8494*F8494,"")</f>
        <v>0.68393159999999997</v>
      </c>
      <c r="H8494" s="42"/>
      <c r="I8494" s="47"/>
      <c r="J8494" s="37">
        <v>0</v>
      </c>
    </row>
    <row r="8495" spans="1:10" ht="38.25" hidden="1" x14ac:dyDescent="0.25">
      <c r="A8495" s="179"/>
      <c r="B8495" s="177"/>
      <c r="C8495" s="43" t="s">
        <v>10718</v>
      </c>
      <c r="D8495" s="43" t="s">
        <v>2880</v>
      </c>
      <c r="E8495" s="44">
        <v>6.1000000000000004E-3</v>
      </c>
      <c r="F8495" s="38">
        <v>674.33682106737501</v>
      </c>
      <c r="G8495" s="41">
        <f>IF(ISNUMBER(F8495),E8495*F8495,"")</f>
        <v>4.1134546085109882</v>
      </c>
      <c r="H8495" s="42"/>
      <c r="I8495" s="47"/>
      <c r="J8495" s="37">
        <v>0</v>
      </c>
    </row>
    <row r="8496" spans="1:10" ht="15.75" hidden="1" thickBot="1" x14ac:dyDescent="0.3">
      <c r="A8496" s="180"/>
      <c r="B8496" s="178"/>
      <c r="C8496" s="49"/>
      <c r="D8496" s="49"/>
      <c r="E8496" s="50"/>
      <c r="F8496" s="51" t="s">
        <v>13</v>
      </c>
      <c r="G8496" s="52" t="str">
        <f>IF(ISNUMBER(F8496),E8496*F8496,"")</f>
        <v/>
      </c>
      <c r="H8496" s="53"/>
      <c r="I8496" s="38"/>
      <c r="J8496" s="37">
        <v>0</v>
      </c>
    </row>
    <row r="8497" spans="1:10" ht="15.75" hidden="1" thickBot="1" x14ac:dyDescent="0.3">
      <c r="A8497" s="173" t="s">
        <v>2040</v>
      </c>
      <c r="B8497" s="176" t="s">
        <v>8498</v>
      </c>
      <c r="C8497" s="31"/>
      <c r="D8497" s="32" t="s">
        <v>1788</v>
      </c>
      <c r="E8497" s="33"/>
      <c r="F8497" s="54" t="s">
        <v>13</v>
      </c>
      <c r="G8497" s="34" t="str">
        <f>IF(ISNUMBER(F8497),E8497*F8497,"")</f>
        <v/>
      </c>
      <c r="H8497" s="35"/>
      <c r="I8497" s="36"/>
      <c r="J8497" s="37">
        <v>0</v>
      </c>
    </row>
    <row r="8498" spans="1:10" hidden="1" x14ac:dyDescent="0.25">
      <c r="A8498" s="179"/>
      <c r="B8498" s="177"/>
      <c r="C8498" s="39"/>
      <c r="D8498" s="39"/>
      <c r="E8498" s="40"/>
      <c r="F8498" s="55" t="s">
        <v>13</v>
      </c>
      <c r="G8498" s="41" t="str">
        <f>IF(ISNUMBER(F8498),E8498*F8498,"")</f>
        <v/>
      </c>
      <c r="H8498" s="42"/>
      <c r="I8498" s="38"/>
      <c r="J8498" s="37">
        <v>0</v>
      </c>
    </row>
    <row r="8499" spans="1:10" ht="25.5" hidden="1" x14ac:dyDescent="0.25">
      <c r="A8499" s="179"/>
      <c r="B8499" s="177"/>
      <c r="C8499" s="43" t="s">
        <v>11631</v>
      </c>
      <c r="D8499" s="43" t="s">
        <v>2880</v>
      </c>
      <c r="E8499" s="44">
        <v>1</v>
      </c>
      <c r="F8499" s="38">
        <v>51.546999999999997</v>
      </c>
      <c r="G8499" s="41">
        <f>IF(ISNUMBER(F8499),E8499*F8499,"")</f>
        <v>51.546999999999997</v>
      </c>
      <c r="H8499" s="46">
        <f>SUM(G8499:G8499)</f>
        <v>51.546999999999997</v>
      </c>
      <c r="I8499" s="47"/>
      <c r="J8499" s="37">
        <v>0</v>
      </c>
    </row>
    <row r="8500" spans="1:10" ht="15.75" hidden="1" thickBot="1" x14ac:dyDescent="0.3">
      <c r="A8500" s="180"/>
      <c r="B8500" s="178"/>
      <c r="C8500" s="49"/>
      <c r="D8500" s="49"/>
      <c r="E8500" s="50"/>
      <c r="F8500" s="51" t="s">
        <v>13</v>
      </c>
      <c r="G8500" s="52" t="str">
        <f>IF(ISNUMBER(F8500),E8500*F8500,"")</f>
        <v/>
      </c>
      <c r="H8500" s="53"/>
      <c r="I8500" s="38"/>
      <c r="J8500" s="37">
        <v>0</v>
      </c>
    </row>
    <row r="8501" spans="1:10" ht="15.75" hidden="1" thickBot="1" x14ac:dyDescent="0.3">
      <c r="A8501" s="173" t="s">
        <v>2041</v>
      </c>
      <c r="B8501" s="176" t="s">
        <v>8501</v>
      </c>
      <c r="C8501" s="31"/>
      <c r="D8501" s="32" t="s">
        <v>72</v>
      </c>
      <c r="E8501" s="33"/>
      <c r="F8501" s="60" t="s">
        <v>13</v>
      </c>
      <c r="G8501" s="34" t="str">
        <f>IF(ISNUMBER(F8501),E8501*F8501,"")</f>
        <v/>
      </c>
      <c r="H8501" s="35"/>
      <c r="I8501" s="36"/>
      <c r="J8501" s="37">
        <v>0</v>
      </c>
    </row>
    <row r="8502" spans="1:10" hidden="1" x14ac:dyDescent="0.25">
      <c r="A8502" s="179"/>
      <c r="B8502" s="177"/>
      <c r="C8502" s="39"/>
      <c r="D8502" s="39"/>
      <c r="E8502" s="40"/>
      <c r="F8502" s="70" t="s">
        <v>13</v>
      </c>
      <c r="G8502" s="70" t="str">
        <f>IF(ISNUMBER(F8502),E8502*F8502,"")</f>
        <v/>
      </c>
      <c r="H8502" s="71"/>
      <c r="I8502" s="72"/>
      <c r="J8502" s="37">
        <v>0</v>
      </c>
    </row>
    <row r="8503" spans="1:10" hidden="1" x14ac:dyDescent="0.25">
      <c r="A8503" s="179"/>
      <c r="B8503" s="177"/>
      <c r="C8503" s="43" t="s">
        <v>2042</v>
      </c>
      <c r="D8503" s="43" t="s">
        <v>1044</v>
      </c>
      <c r="E8503" s="44">
        <v>1</v>
      </c>
      <c r="F8503" s="70" t="s">
        <v>13</v>
      </c>
      <c r="G8503" s="70" t="str">
        <f>IF(ISNUMBER(F8503),E8503*F8503,"")</f>
        <v/>
      </c>
      <c r="H8503" s="46">
        <f>SUM(G8503:G8504)</f>
        <v>11.197069943289225</v>
      </c>
      <c r="I8503" s="47"/>
      <c r="J8503" s="37">
        <v>0</v>
      </c>
    </row>
    <row r="8504" spans="1:10" hidden="1" x14ac:dyDescent="0.25">
      <c r="A8504" s="179"/>
      <c r="B8504" s="177"/>
      <c r="C8504" s="43" t="s">
        <v>10614</v>
      </c>
      <c r="D8504" s="43" t="s">
        <v>2800</v>
      </c>
      <c r="E8504" s="44">
        <f>0.25/0.529</f>
        <v>0.47258979206049145</v>
      </c>
      <c r="F8504" s="70">
        <v>23.693000000000001</v>
      </c>
      <c r="G8504" s="70">
        <f>IF(ISNUMBER(F8504),E8504*F8504,"")</f>
        <v>11.197069943289225</v>
      </c>
      <c r="H8504" s="71"/>
      <c r="I8504" s="72"/>
      <c r="J8504" s="37">
        <v>0</v>
      </c>
    </row>
    <row r="8505" spans="1:10" ht="15.75" hidden="1" thickBot="1" x14ac:dyDescent="0.3">
      <c r="A8505" s="180"/>
      <c r="B8505" s="178"/>
      <c r="C8505" s="49"/>
      <c r="D8505" s="49"/>
      <c r="E8505" s="50"/>
      <c r="F8505" s="83" t="s">
        <v>13</v>
      </c>
      <c r="G8505" s="83" t="str">
        <f>IF(ISNUMBER(F8505),E8505*F8505,"")</f>
        <v/>
      </c>
      <c r="H8505" s="84"/>
      <c r="I8505" s="72"/>
      <c r="J8505" s="37">
        <v>0</v>
      </c>
    </row>
    <row r="8506" spans="1:10" ht="15.75" hidden="1" thickBot="1" x14ac:dyDescent="0.3">
      <c r="A8506" s="173" t="s">
        <v>2043</v>
      </c>
      <c r="B8506" s="176" t="s">
        <v>8502</v>
      </c>
      <c r="C8506" s="31"/>
      <c r="D8506" s="32" t="s">
        <v>18</v>
      </c>
      <c r="E8506" s="33"/>
      <c r="F8506" s="54" t="s">
        <v>13</v>
      </c>
      <c r="G8506" s="34" t="str">
        <f>IF(ISNUMBER(F8506),E8506*F8506,"")</f>
        <v/>
      </c>
      <c r="H8506" s="35"/>
      <c r="I8506" s="36"/>
      <c r="J8506" s="37">
        <v>0</v>
      </c>
    </row>
    <row r="8507" spans="1:10" hidden="1" x14ac:dyDescent="0.25">
      <c r="A8507" s="179"/>
      <c r="B8507" s="177"/>
      <c r="C8507" s="39"/>
      <c r="D8507" s="39"/>
      <c r="E8507" s="40"/>
      <c r="F8507" s="55" t="s">
        <v>13</v>
      </c>
      <c r="G8507" s="41" t="str">
        <f>IF(ISNUMBER(F8507),E8507*F8507,"")</f>
        <v/>
      </c>
      <c r="H8507" s="42"/>
      <c r="I8507" s="38"/>
      <c r="J8507" s="37">
        <v>0</v>
      </c>
    </row>
    <row r="8508" spans="1:10" hidden="1" x14ac:dyDescent="0.25">
      <c r="A8508" s="179"/>
      <c r="B8508" s="177"/>
      <c r="C8508" s="43" t="s">
        <v>10614</v>
      </c>
      <c r="D8508" s="43" t="s">
        <v>2800</v>
      </c>
      <c r="E8508" s="44">
        <v>19.401</v>
      </c>
      <c r="F8508" s="38">
        <v>23.693000000000001</v>
      </c>
      <c r="G8508" s="41">
        <f>IF(ISNUMBER(F8508),E8508*F8508,"")</f>
        <v>459.66789300000005</v>
      </c>
      <c r="H8508" s="46">
        <f>SUM(G8508:G8509)</f>
        <v>634.04677700000002</v>
      </c>
      <c r="I8508" s="47"/>
      <c r="J8508" s="37">
        <v>0</v>
      </c>
    </row>
    <row r="8509" spans="1:10" ht="25.5" hidden="1" x14ac:dyDescent="0.25">
      <c r="A8509" s="179"/>
      <c r="B8509" s="177"/>
      <c r="C8509" s="43" t="s">
        <v>11632</v>
      </c>
      <c r="D8509" s="43" t="s">
        <v>2800</v>
      </c>
      <c r="E8509" s="44">
        <v>4.9039999999999999</v>
      </c>
      <c r="F8509" s="38">
        <v>35.558499999999995</v>
      </c>
      <c r="G8509" s="41">
        <f>IF(ISNUMBER(F8509),E8509*F8509,"")</f>
        <v>174.37888399999997</v>
      </c>
      <c r="H8509" s="42"/>
      <c r="I8509" s="47"/>
      <c r="J8509" s="37">
        <v>0</v>
      </c>
    </row>
    <row r="8510" spans="1:10" ht="15.75" hidden="1" thickBot="1" x14ac:dyDescent="0.3">
      <c r="A8510" s="180"/>
      <c r="B8510" s="178"/>
      <c r="C8510" s="49"/>
      <c r="D8510" s="49"/>
      <c r="E8510" s="50"/>
      <c r="F8510" s="51" t="s">
        <v>13</v>
      </c>
      <c r="G8510" s="52" t="str">
        <f>IF(ISNUMBER(F8510),E8510*F8510,"")</f>
        <v/>
      </c>
      <c r="H8510" s="53"/>
      <c r="I8510" s="38"/>
      <c r="J8510" s="37">
        <v>0</v>
      </c>
    </row>
    <row r="8511" spans="1:10" ht="15.75" hidden="1" thickBot="1" x14ac:dyDescent="0.3">
      <c r="A8511" s="173" t="s">
        <v>2044</v>
      </c>
      <c r="B8511" s="176" t="s">
        <v>8503</v>
      </c>
      <c r="C8511" s="31"/>
      <c r="D8511" s="32" t="s">
        <v>68</v>
      </c>
      <c r="E8511" s="33"/>
      <c r="F8511" s="54" t="s">
        <v>13</v>
      </c>
      <c r="G8511" s="34" t="str">
        <f>IF(ISNUMBER(F8511),E8511*F8511,"")</f>
        <v/>
      </c>
      <c r="H8511" s="35"/>
      <c r="I8511" s="36"/>
      <c r="J8511" s="37">
        <v>0</v>
      </c>
    </row>
    <row r="8512" spans="1:10" hidden="1" x14ac:dyDescent="0.25">
      <c r="A8512" s="179"/>
      <c r="B8512" s="177"/>
      <c r="C8512" s="39"/>
      <c r="D8512" s="39"/>
      <c r="E8512" s="40"/>
      <c r="F8512" s="55" t="s">
        <v>13</v>
      </c>
      <c r="G8512" s="41" t="str">
        <f>IF(ISNUMBER(F8512),E8512*F8512,"")</f>
        <v/>
      </c>
      <c r="H8512" s="42"/>
      <c r="I8512" s="38"/>
      <c r="J8512" s="37">
        <v>0</v>
      </c>
    </row>
    <row r="8513" spans="1:10" ht="25.5" hidden="1" x14ac:dyDescent="0.25">
      <c r="A8513" s="179"/>
      <c r="B8513" s="177"/>
      <c r="C8513" s="43" t="s">
        <v>10829</v>
      </c>
      <c r="D8513" s="43" t="s">
        <v>2800</v>
      </c>
      <c r="E8513" s="44">
        <v>0.5</v>
      </c>
      <c r="F8513" s="41">
        <v>24.4435</v>
      </c>
      <c r="G8513" s="38">
        <f>IF(ISNUMBER(F8513),E8513*F8513,"")</f>
        <v>12.22175</v>
      </c>
      <c r="H8513" s="46">
        <f>SUM(G8513:G8516)</f>
        <v>24.91375</v>
      </c>
      <c r="I8513" s="47"/>
      <c r="J8513" s="37">
        <v>0</v>
      </c>
    </row>
    <row r="8514" spans="1:10" ht="25.5" hidden="1" x14ac:dyDescent="0.25">
      <c r="A8514" s="179"/>
      <c r="B8514" s="177"/>
      <c r="C8514" s="43" t="s">
        <v>10825</v>
      </c>
      <c r="D8514" s="43" t="s">
        <v>2800</v>
      </c>
      <c r="E8514" s="44">
        <v>0.5</v>
      </c>
      <c r="F8514" s="41">
        <v>25.383999999999997</v>
      </c>
      <c r="G8514" s="38">
        <f>IF(ISNUMBER(F8514),E8514*F8514,"")</f>
        <v>12.691999999999998</v>
      </c>
      <c r="H8514" s="42"/>
      <c r="I8514" s="38"/>
      <c r="J8514" s="37">
        <v>0</v>
      </c>
    </row>
    <row r="8515" spans="1:10" ht="25.5" hidden="1" x14ac:dyDescent="0.25">
      <c r="A8515" s="179"/>
      <c r="B8515" s="177"/>
      <c r="C8515" s="43" t="s">
        <v>2045</v>
      </c>
      <c r="D8515" s="43" t="s">
        <v>162</v>
      </c>
      <c r="E8515" s="44">
        <v>1</v>
      </c>
      <c r="F8515" s="38" t="s">
        <v>13</v>
      </c>
      <c r="G8515" s="41" t="str">
        <f>IF(ISNUMBER(F8515),E8515*F8515,"")</f>
        <v/>
      </c>
      <c r="H8515" s="42"/>
      <c r="I8515" s="47"/>
      <c r="J8515" s="37">
        <v>0</v>
      </c>
    </row>
    <row r="8516" spans="1:10" ht="15.75" hidden="1" thickBot="1" x14ac:dyDescent="0.3">
      <c r="A8516" s="180"/>
      <c r="B8516" s="178"/>
      <c r="C8516" s="49"/>
      <c r="D8516" s="49"/>
      <c r="E8516" s="50"/>
      <c r="F8516" s="51" t="s">
        <v>13</v>
      </c>
      <c r="G8516" s="52" t="str">
        <f>IF(ISNUMBER(F8516),E8516*F8516,"")</f>
        <v/>
      </c>
      <c r="H8516" s="53"/>
      <c r="I8516" s="38"/>
      <c r="J8516" s="37">
        <v>0</v>
      </c>
    </row>
    <row r="8517" spans="1:10" ht="15.75" hidden="1" thickBot="1" x14ac:dyDescent="0.3">
      <c r="A8517" s="173" t="s">
        <v>2046</v>
      </c>
      <c r="B8517" s="176" t="s">
        <v>8504</v>
      </c>
      <c r="C8517" s="31"/>
      <c r="D8517" s="32" t="s">
        <v>18</v>
      </c>
      <c r="E8517" s="33"/>
      <c r="F8517" s="54" t="s">
        <v>13</v>
      </c>
      <c r="G8517" s="34" t="str">
        <f>IF(ISNUMBER(F8517),E8517*F8517,"")</f>
        <v/>
      </c>
      <c r="H8517" s="35"/>
      <c r="I8517" s="36"/>
      <c r="J8517" s="37">
        <v>0</v>
      </c>
    </row>
    <row r="8518" spans="1:10" hidden="1" x14ac:dyDescent="0.25">
      <c r="A8518" s="179"/>
      <c r="B8518" s="177"/>
      <c r="C8518" s="39"/>
      <c r="D8518" s="39"/>
      <c r="E8518" s="40"/>
      <c r="F8518" s="55" t="s">
        <v>13</v>
      </c>
      <c r="G8518" s="41" t="str">
        <f>IF(ISNUMBER(F8518),E8518*F8518,"")</f>
        <v/>
      </c>
      <c r="H8518" s="42"/>
      <c r="I8518" s="38"/>
      <c r="J8518" s="37">
        <v>0</v>
      </c>
    </row>
    <row r="8519" spans="1:10" ht="25.5" hidden="1" x14ac:dyDescent="0.25">
      <c r="A8519" s="179"/>
      <c r="B8519" s="177"/>
      <c r="C8519" s="43" t="s">
        <v>10611</v>
      </c>
      <c r="D8519" s="43" t="s">
        <v>2800</v>
      </c>
      <c r="E8519" s="44">
        <v>40</v>
      </c>
      <c r="F8519" s="38">
        <v>142.75650000000002</v>
      </c>
      <c r="G8519" s="41">
        <f>IF(ISNUMBER(F8519),E8519*F8519,"")</f>
        <v>5710.26</v>
      </c>
      <c r="H8519" s="46">
        <f>SUM(G8519:G8521)</f>
        <v>6348.6200000000008</v>
      </c>
      <c r="I8519" s="47"/>
      <c r="J8519" s="37">
        <v>0</v>
      </c>
    </row>
    <row r="8520" spans="1:10" hidden="1" x14ac:dyDescent="0.25">
      <c r="A8520" s="179"/>
      <c r="B8520" s="177"/>
      <c r="C8520" s="43" t="s">
        <v>11202</v>
      </c>
      <c r="D8520" s="43" t="s">
        <v>2800</v>
      </c>
      <c r="E8520" s="44">
        <v>20</v>
      </c>
      <c r="F8520" s="38">
        <v>18.344499999999996</v>
      </c>
      <c r="G8520" s="41">
        <f>IF(ISNUMBER(F8520),E8520*F8520,"")</f>
        <v>366.88999999999993</v>
      </c>
      <c r="H8520" s="42"/>
      <c r="I8520" s="47"/>
      <c r="J8520" s="37">
        <v>0</v>
      </c>
    </row>
    <row r="8521" spans="1:10" hidden="1" x14ac:dyDescent="0.25">
      <c r="A8521" s="179"/>
      <c r="B8521" s="177"/>
      <c r="C8521" s="43" t="s">
        <v>17</v>
      </c>
      <c r="D8521" s="62" t="s">
        <v>18</v>
      </c>
      <c r="E8521" s="44">
        <v>1</v>
      </c>
      <c r="F8521" s="38">
        <v>271.47000000000003</v>
      </c>
      <c r="G8521" s="41">
        <f>IF(ISNUMBER(F8521),E8521*F8521,"")</f>
        <v>271.47000000000003</v>
      </c>
      <c r="H8521" s="42"/>
      <c r="I8521" s="47"/>
      <c r="J8521" s="37">
        <v>0</v>
      </c>
    </row>
    <row r="8522" spans="1:10" ht="15.75" hidden="1" thickBot="1" x14ac:dyDescent="0.3">
      <c r="A8522" s="180"/>
      <c r="B8522" s="178"/>
      <c r="C8522" s="49"/>
      <c r="D8522" s="49"/>
      <c r="E8522" s="50"/>
      <c r="F8522" s="51" t="s">
        <v>13</v>
      </c>
      <c r="G8522" s="52" t="str">
        <f>IF(ISNUMBER(F8522),E8522*F8522,"")</f>
        <v/>
      </c>
      <c r="H8522" s="53"/>
      <c r="I8522" s="38"/>
      <c r="J8522" s="37">
        <v>0</v>
      </c>
    </row>
    <row r="8523" spans="1:10" ht="15.75" hidden="1" thickBot="1" x14ac:dyDescent="0.3">
      <c r="A8523" s="173" t="s">
        <v>2047</v>
      </c>
      <c r="B8523" s="176" t="s">
        <v>8505</v>
      </c>
      <c r="C8523" s="31"/>
      <c r="D8523" s="32" t="s">
        <v>18</v>
      </c>
      <c r="E8523" s="33"/>
      <c r="F8523" s="54" t="s">
        <v>13</v>
      </c>
      <c r="G8523" s="34" t="str">
        <f>IF(ISNUMBER(F8523),E8523*F8523,"")</f>
        <v/>
      </c>
      <c r="H8523" s="35"/>
      <c r="I8523" s="36"/>
      <c r="J8523" s="37">
        <v>0</v>
      </c>
    </row>
    <row r="8524" spans="1:10" hidden="1" x14ac:dyDescent="0.25">
      <c r="A8524" s="174"/>
      <c r="B8524" s="177"/>
      <c r="C8524" s="39"/>
      <c r="D8524" s="39"/>
      <c r="E8524" s="40"/>
      <c r="F8524" s="55" t="s">
        <v>13</v>
      </c>
      <c r="G8524" s="38" t="str">
        <f>IF(ISNUMBER(F8524),E8524*F8524,"")</f>
        <v/>
      </c>
      <c r="H8524" s="42"/>
      <c r="I8524" s="38"/>
      <c r="J8524" s="37">
        <v>0</v>
      </c>
    </row>
    <row r="8525" spans="1:10" ht="38.25" hidden="1" x14ac:dyDescent="0.25">
      <c r="A8525" s="174"/>
      <c r="B8525" s="177"/>
      <c r="C8525" s="43" t="s">
        <v>2048</v>
      </c>
      <c r="D8525" s="62" t="s">
        <v>18</v>
      </c>
      <c r="E8525" s="44">
        <v>1</v>
      </c>
      <c r="F8525" s="41" t="s">
        <v>13</v>
      </c>
      <c r="G8525" s="38" t="str">
        <f>IF(ISNUMBER(F8525),E8525*F8525,"")</f>
        <v/>
      </c>
      <c r="H8525" s="46">
        <f>SUM(G8525:G8528)</f>
        <v>243.11673368864001</v>
      </c>
      <c r="I8525" s="47"/>
      <c r="J8525" s="37">
        <v>0</v>
      </c>
    </row>
    <row r="8526" spans="1:10" ht="38.25" hidden="1" x14ac:dyDescent="0.25">
      <c r="A8526" s="174"/>
      <c r="B8526" s="177"/>
      <c r="C8526" s="43" t="s">
        <v>10712</v>
      </c>
      <c r="D8526" s="43" t="s">
        <v>2880</v>
      </c>
      <c r="E8526" s="44">
        <v>1.9199999999999998E-2</v>
      </c>
      <c r="F8526" s="38">
        <v>915.97571295</v>
      </c>
      <c r="G8526" s="38">
        <f>IF(ISNUMBER(F8526),E8526*F8526,"")</f>
        <v>17.586733688639999</v>
      </c>
      <c r="H8526" s="42"/>
      <c r="I8526" s="38"/>
      <c r="J8526" s="37">
        <v>0</v>
      </c>
    </row>
    <row r="8527" spans="1:10" hidden="1" x14ac:dyDescent="0.25">
      <c r="A8527" s="174"/>
      <c r="B8527" s="177"/>
      <c r="C8527" s="43" t="s">
        <v>10762</v>
      </c>
      <c r="D8527" s="43" t="s">
        <v>2800</v>
      </c>
      <c r="E8527" s="44">
        <v>4</v>
      </c>
      <c r="F8527" s="38">
        <v>24.946999999999999</v>
      </c>
      <c r="G8527" s="38">
        <f>IF(ISNUMBER(F8527),E8527*F8527,"")</f>
        <v>99.787999999999997</v>
      </c>
      <c r="H8527" s="42"/>
      <c r="I8527" s="38"/>
      <c r="J8527" s="37">
        <v>0</v>
      </c>
    </row>
    <row r="8528" spans="1:10" hidden="1" x14ac:dyDescent="0.25">
      <c r="A8528" s="174"/>
      <c r="B8528" s="177"/>
      <c r="C8528" s="43" t="s">
        <v>10763</v>
      </c>
      <c r="D8528" s="43" t="s">
        <v>2800</v>
      </c>
      <c r="E8528" s="44">
        <v>4</v>
      </c>
      <c r="F8528" s="38">
        <v>31.435500000000001</v>
      </c>
      <c r="G8528" s="41">
        <f>IF(ISNUMBER(F8528),E8528*F8528,"")</f>
        <v>125.742</v>
      </c>
      <c r="H8528" s="42"/>
      <c r="I8528" s="38"/>
      <c r="J8528" s="37">
        <v>0</v>
      </c>
    </row>
    <row r="8529" spans="1:10" ht="15.75" hidden="1" thickBot="1" x14ac:dyDescent="0.3">
      <c r="A8529" s="175"/>
      <c r="B8529" s="178"/>
      <c r="C8529" s="49"/>
      <c r="D8529" s="49"/>
      <c r="E8529" s="50"/>
      <c r="F8529" s="51" t="s">
        <v>13</v>
      </c>
      <c r="G8529" s="51" t="str">
        <f>IF(ISNUMBER(F8529),E8529*F8529,"")</f>
        <v/>
      </c>
      <c r="H8529" s="53"/>
      <c r="I8529" s="38"/>
      <c r="J8529" s="37">
        <v>0</v>
      </c>
    </row>
    <row r="8530" spans="1:10" ht="15.75" hidden="1" thickBot="1" x14ac:dyDescent="0.3">
      <c r="A8530" s="173" t="s">
        <v>2049</v>
      </c>
      <c r="B8530" s="176" t="s">
        <v>8506</v>
      </c>
      <c r="C8530" s="31"/>
      <c r="D8530" s="32" t="s">
        <v>3982</v>
      </c>
      <c r="E8530" s="33"/>
      <c r="F8530" s="54" t="s">
        <v>13</v>
      </c>
      <c r="G8530" s="34" t="str">
        <f>IF(ISNUMBER(F8530),E8530*F8530,"")</f>
        <v/>
      </c>
      <c r="H8530" s="35"/>
      <c r="I8530" s="36"/>
      <c r="J8530" s="37">
        <v>0</v>
      </c>
    </row>
    <row r="8531" spans="1:10" hidden="1" x14ac:dyDescent="0.25">
      <c r="A8531" s="179"/>
      <c r="B8531" s="177"/>
      <c r="C8531" s="39"/>
      <c r="D8531" s="39"/>
      <c r="E8531" s="40"/>
      <c r="F8531" s="55" t="s">
        <v>13</v>
      </c>
      <c r="G8531" s="41" t="str">
        <f>IF(ISNUMBER(F8531),E8531*F8531,"")</f>
        <v/>
      </c>
      <c r="H8531" s="42"/>
      <c r="I8531" s="38"/>
      <c r="J8531" s="37">
        <v>0</v>
      </c>
    </row>
    <row r="8532" spans="1:10" ht="25.5" hidden="1" x14ac:dyDescent="0.25">
      <c r="A8532" s="179"/>
      <c r="B8532" s="177"/>
      <c r="C8532" s="43" t="s">
        <v>11082</v>
      </c>
      <c r="D8532" s="43" t="s">
        <v>2800</v>
      </c>
      <c r="E8532" s="44" t="e">
        <f>IF(#REF!="Desonerado",ROUND(220/(1+'[1]Serviços SINAPI'!$E$6),4),ROUND(220/(1+'[1]Serviços SINAPI'!$F$6),4))</f>
        <v>#REF!</v>
      </c>
      <c r="F8532" s="38">
        <v>55.261499999999998</v>
      </c>
      <c r="G8532" s="41" t="e">
        <f>IF(ISNUMBER(F8532),E8532*F8532,"")</f>
        <v>#REF!</v>
      </c>
      <c r="H8532" s="46" t="e">
        <f>SUM(G8532:G8532)</f>
        <v>#REF!</v>
      </c>
      <c r="I8532" s="47"/>
      <c r="J8532" s="37">
        <v>0</v>
      </c>
    </row>
    <row r="8533" spans="1:10" ht="15.75" hidden="1" thickBot="1" x14ac:dyDescent="0.3">
      <c r="A8533" s="179"/>
      <c r="B8533" s="177"/>
      <c r="C8533" s="43"/>
      <c r="D8533" s="43"/>
      <c r="E8533" s="44"/>
      <c r="F8533" s="38"/>
      <c r="G8533" s="41" t="str">
        <f>IF(ISNUMBER(F8533),E8533*F8533,"")</f>
        <v/>
      </c>
      <c r="H8533" s="53"/>
      <c r="I8533" s="47"/>
      <c r="J8533" s="37">
        <v>0</v>
      </c>
    </row>
    <row r="8534" spans="1:10" ht="26.25" hidden="1" thickBot="1" x14ac:dyDescent="0.3">
      <c r="A8534" s="179"/>
      <c r="B8534" s="177"/>
      <c r="C8534" s="4" t="s">
        <v>668</v>
      </c>
      <c r="D8534" s="43"/>
      <c r="E8534" s="44"/>
      <c r="F8534" s="38"/>
      <c r="G8534" s="41" t="str">
        <f>IF(ISNUMBER(F8534),E8534*F8534,"")</f>
        <v/>
      </c>
      <c r="H8534" s="53"/>
      <c r="I8534" s="47"/>
      <c r="J8534" s="37">
        <v>0</v>
      </c>
    </row>
    <row r="8535" spans="1:10" ht="15.75" hidden="1" thickBot="1" x14ac:dyDescent="0.3">
      <c r="A8535" s="180"/>
      <c r="B8535" s="178"/>
      <c r="C8535" s="49"/>
      <c r="D8535" s="49"/>
      <c r="E8535" s="50"/>
      <c r="F8535" s="51" t="s">
        <v>13</v>
      </c>
      <c r="G8535" s="52" t="str">
        <f>IF(ISNUMBER(F8535),E8535*F8535,"")</f>
        <v/>
      </c>
      <c r="H8535" s="53"/>
      <c r="I8535" s="38"/>
      <c r="J8535" s="37">
        <v>0</v>
      </c>
    </row>
    <row r="8536" spans="1:10" ht="15.75" hidden="1" thickBot="1" x14ac:dyDescent="0.3">
      <c r="A8536" s="173" t="s">
        <v>2050</v>
      </c>
      <c r="B8536" s="176" t="s">
        <v>2051</v>
      </c>
      <c r="C8536" s="31"/>
      <c r="D8536" s="32" t="s">
        <v>68</v>
      </c>
      <c r="E8536" s="33"/>
      <c r="F8536" s="54" t="s">
        <v>13</v>
      </c>
      <c r="G8536" s="34" t="str">
        <f>IF(ISNUMBER(F8536),E8536*F8536,"")</f>
        <v/>
      </c>
      <c r="H8536" s="35"/>
      <c r="I8536" s="36"/>
      <c r="J8536" s="37">
        <v>0</v>
      </c>
    </row>
    <row r="8537" spans="1:10" hidden="1" x14ac:dyDescent="0.25">
      <c r="A8537" s="174"/>
      <c r="B8537" s="177"/>
      <c r="C8537" s="39"/>
      <c r="D8537" s="39"/>
      <c r="E8537" s="40"/>
      <c r="F8537" s="55" t="s">
        <v>13</v>
      </c>
      <c r="G8537" s="38" t="str">
        <f>IF(ISNUMBER(F8537),E8537*F8537,"")</f>
        <v/>
      </c>
      <c r="H8537" s="42"/>
      <c r="I8537" s="38"/>
      <c r="J8537" s="37">
        <v>0</v>
      </c>
    </row>
    <row r="8538" spans="1:10" hidden="1" x14ac:dyDescent="0.25">
      <c r="A8538" s="174"/>
      <c r="B8538" s="177"/>
      <c r="C8538" s="43" t="s">
        <v>10831</v>
      </c>
      <c r="D8538" s="43" t="s">
        <v>2800</v>
      </c>
      <c r="E8538" s="44">
        <v>0.15</v>
      </c>
      <c r="F8538" s="38">
        <v>28.6615</v>
      </c>
      <c r="G8538" s="41">
        <f>IF(ISNUMBER(F8538),E8538*F8538,"")</f>
        <v>4.2992249999999999</v>
      </c>
      <c r="H8538" s="46">
        <f>SUM(G8538:G8539)</f>
        <v>4.2992249999999999</v>
      </c>
      <c r="I8538" s="47"/>
      <c r="J8538" s="37">
        <v>0</v>
      </c>
    </row>
    <row r="8539" spans="1:10" hidden="1" x14ac:dyDescent="0.25">
      <c r="A8539" s="174"/>
      <c r="B8539" s="177"/>
      <c r="C8539" s="43" t="s">
        <v>2051</v>
      </c>
      <c r="D8539" s="43" t="s">
        <v>68</v>
      </c>
      <c r="E8539" s="44">
        <v>1</v>
      </c>
      <c r="F8539" s="41" t="s">
        <v>13</v>
      </c>
      <c r="G8539" s="38" t="str">
        <f>IF(ISNUMBER(F8539),E8539*F8539,"")</f>
        <v/>
      </c>
      <c r="H8539" s="42"/>
      <c r="I8539" s="38"/>
      <c r="J8539" s="37">
        <v>0</v>
      </c>
    </row>
    <row r="8540" spans="1:10" ht="15.75" hidden="1" thickBot="1" x14ac:dyDescent="0.3">
      <c r="A8540" s="175"/>
      <c r="B8540" s="178"/>
      <c r="C8540" s="49"/>
      <c r="D8540" s="49"/>
      <c r="E8540" s="50"/>
      <c r="F8540" s="51" t="s">
        <v>13</v>
      </c>
      <c r="G8540" s="51" t="str">
        <f>IF(ISNUMBER(F8540),E8540*F8540,"")</f>
        <v/>
      </c>
      <c r="H8540" s="53"/>
      <c r="I8540" s="38"/>
      <c r="J8540" s="37">
        <v>0</v>
      </c>
    </row>
    <row r="8541" spans="1:10" ht="15.75" hidden="1" thickBot="1" x14ac:dyDescent="0.3">
      <c r="A8541" s="173" t="s">
        <v>2052</v>
      </c>
      <c r="B8541" s="176" t="s">
        <v>8509</v>
      </c>
      <c r="C8541" s="31"/>
      <c r="D8541" s="32" t="s">
        <v>68</v>
      </c>
      <c r="E8541" s="33"/>
      <c r="F8541" s="60" t="s">
        <v>13</v>
      </c>
      <c r="G8541" s="34" t="str">
        <f>IF(ISNUMBER(F8541),E8541*F8541,"")</f>
        <v/>
      </c>
      <c r="H8541" s="35"/>
      <c r="I8541" s="36"/>
      <c r="J8541" s="37">
        <v>0</v>
      </c>
    </row>
    <row r="8542" spans="1:10" hidden="1" x14ac:dyDescent="0.25">
      <c r="A8542" s="179"/>
      <c r="B8542" s="177"/>
      <c r="C8542" s="39"/>
      <c r="D8542" s="39"/>
      <c r="E8542" s="40"/>
      <c r="F8542" s="70" t="s">
        <v>13</v>
      </c>
      <c r="G8542" s="70" t="str">
        <f>IF(ISNUMBER(F8542),E8542*F8542,"")</f>
        <v/>
      </c>
      <c r="H8542" s="71"/>
      <c r="I8542" s="72"/>
      <c r="J8542" s="37">
        <v>0</v>
      </c>
    </row>
    <row r="8543" spans="1:10" ht="38.25" hidden="1" x14ac:dyDescent="0.25">
      <c r="A8543" s="179"/>
      <c r="B8543" s="177"/>
      <c r="C8543" s="43" t="s">
        <v>10797</v>
      </c>
      <c r="D8543" s="43" t="s">
        <v>10819</v>
      </c>
      <c r="E8543" s="44">
        <v>1.27</v>
      </c>
      <c r="F8543" s="70">
        <v>0.26600000000000001</v>
      </c>
      <c r="G8543" s="70">
        <f>IF(ISNUMBER(F8543),E8543*F8543,"")</f>
        <v>0.33782000000000001</v>
      </c>
      <c r="H8543" s="46">
        <f>SUM(G8543:G8548)</f>
        <v>12.788284399999997</v>
      </c>
      <c r="I8543" s="47"/>
      <c r="J8543" s="37">
        <v>0</v>
      </c>
    </row>
    <row r="8544" spans="1:10" ht="25.5" hidden="1" x14ac:dyDescent="0.25">
      <c r="A8544" s="179"/>
      <c r="B8544" s="177"/>
      <c r="C8544" s="43" t="s">
        <v>10798</v>
      </c>
      <c r="D8544" s="43" t="s">
        <v>83</v>
      </c>
      <c r="E8544" s="44">
        <v>1.27</v>
      </c>
      <c r="F8544" s="70">
        <v>4.0089999999999995</v>
      </c>
      <c r="G8544" s="70">
        <f>IF(ISNUMBER(F8544),E8544*F8544,"")</f>
        <v>5.091429999999999</v>
      </c>
      <c r="H8544" s="71"/>
      <c r="I8544" s="72"/>
      <c r="J8544" s="37">
        <v>0</v>
      </c>
    </row>
    <row r="8545" spans="1:10" hidden="1" x14ac:dyDescent="0.25">
      <c r="A8545" s="179"/>
      <c r="B8545" s="177"/>
      <c r="C8545" s="43" t="s">
        <v>10614</v>
      </c>
      <c r="D8545" s="43" t="s">
        <v>2800</v>
      </c>
      <c r="E8545" s="44">
        <v>0.15</v>
      </c>
      <c r="F8545" s="70">
        <v>23.693000000000001</v>
      </c>
      <c r="G8545" s="70">
        <f>IF(ISNUMBER(F8545),E8545*F8545,"")</f>
        <v>3.5539499999999999</v>
      </c>
      <c r="H8545" s="71"/>
      <c r="I8545" s="72"/>
      <c r="J8545" s="37">
        <v>0</v>
      </c>
    </row>
    <row r="8546" spans="1:10" hidden="1" x14ac:dyDescent="0.25">
      <c r="A8546" s="179"/>
      <c r="B8546" s="177"/>
      <c r="C8546" s="43" t="s">
        <v>10800</v>
      </c>
      <c r="D8546" s="43" t="s">
        <v>2800</v>
      </c>
      <c r="E8546" s="44">
        <v>0.115</v>
      </c>
      <c r="F8546" s="70">
        <v>30.343</v>
      </c>
      <c r="G8546" s="70">
        <f>IF(ISNUMBER(F8546),E8546*F8546,"")</f>
        <v>3.4894450000000004</v>
      </c>
      <c r="H8546" s="71"/>
      <c r="I8546" s="72"/>
      <c r="J8546" s="37">
        <v>0</v>
      </c>
    </row>
    <row r="8547" spans="1:10" ht="25.5" hidden="1" x14ac:dyDescent="0.25">
      <c r="A8547" s="179"/>
      <c r="B8547" s="177"/>
      <c r="C8547" s="43" t="s">
        <v>10801</v>
      </c>
      <c r="D8547" s="43" t="s">
        <v>1050</v>
      </c>
      <c r="E8547" s="44">
        <v>5.0000000000000001E-3</v>
      </c>
      <c r="F8547" s="70">
        <v>26.970499999999998</v>
      </c>
      <c r="G8547" s="70">
        <f>IF(ISNUMBER(F8547),E8547*F8547,"")</f>
        <v>0.13485249999999999</v>
      </c>
      <c r="H8547" s="71"/>
      <c r="I8547" s="72"/>
      <c r="J8547" s="37">
        <v>0</v>
      </c>
    </row>
    <row r="8548" spans="1:10" ht="25.5" hidden="1" x14ac:dyDescent="0.25">
      <c r="A8548" s="179"/>
      <c r="B8548" s="177"/>
      <c r="C8548" s="43" t="s">
        <v>10802</v>
      </c>
      <c r="D8548" s="43" t="s">
        <v>10677</v>
      </c>
      <c r="E8548" s="44">
        <v>6.8999999999999999E-3</v>
      </c>
      <c r="F8548" s="70">
        <v>26.200999999999997</v>
      </c>
      <c r="G8548" s="70">
        <f>IF(ISNUMBER(F8548),E8548*F8548,"")</f>
        <v>0.18078689999999997</v>
      </c>
      <c r="H8548" s="71"/>
      <c r="I8548" s="72"/>
      <c r="J8548" s="37">
        <v>0</v>
      </c>
    </row>
    <row r="8549" spans="1:10" ht="15.75" hidden="1" thickBot="1" x14ac:dyDescent="0.3">
      <c r="A8549" s="180"/>
      <c r="B8549" s="178"/>
      <c r="C8549" s="49"/>
      <c r="D8549" s="49"/>
      <c r="E8549" s="50"/>
      <c r="F8549" s="83" t="s">
        <v>13</v>
      </c>
      <c r="G8549" s="83" t="str">
        <f>IF(ISNUMBER(F8549),E8549*F8549,"")</f>
        <v/>
      </c>
      <c r="H8549" s="84"/>
      <c r="I8549" s="72"/>
      <c r="J8549" s="37">
        <v>0</v>
      </c>
    </row>
    <row r="8550" spans="1:10" ht="15.75" hidden="1" thickBot="1" x14ac:dyDescent="0.3">
      <c r="A8550" s="173" t="s">
        <v>2053</v>
      </c>
      <c r="B8550" s="176" t="s">
        <v>8510</v>
      </c>
      <c r="C8550" s="31"/>
      <c r="D8550" s="32" t="s">
        <v>106</v>
      </c>
      <c r="E8550" s="33"/>
      <c r="F8550" s="54" t="s">
        <v>13</v>
      </c>
      <c r="G8550" s="34" t="str">
        <f>IF(ISNUMBER(F8550),E8550*F8550,"")</f>
        <v/>
      </c>
      <c r="H8550" s="35"/>
      <c r="I8550" s="36"/>
      <c r="J8550" s="37">
        <v>0</v>
      </c>
    </row>
    <row r="8551" spans="1:10" hidden="1" x14ac:dyDescent="0.25">
      <c r="A8551" s="179"/>
      <c r="B8551" s="177"/>
      <c r="C8551" s="39"/>
      <c r="D8551" s="39"/>
      <c r="E8551" s="40"/>
      <c r="F8551" s="55" t="s">
        <v>13</v>
      </c>
      <c r="G8551" s="41" t="str">
        <f>IF(ISNUMBER(F8551),E8551*F8551,"")</f>
        <v/>
      </c>
      <c r="H8551" s="42"/>
      <c r="I8551" s="38"/>
      <c r="J8551" s="37">
        <v>0</v>
      </c>
    </row>
    <row r="8552" spans="1:10" hidden="1" x14ac:dyDescent="0.25">
      <c r="A8552" s="179"/>
      <c r="B8552" s="177"/>
      <c r="C8552" s="43" t="s">
        <v>10667</v>
      </c>
      <c r="D8552" s="43" t="s">
        <v>1044</v>
      </c>
      <c r="E8552" s="44">
        <v>1.5780000000000001</v>
      </c>
      <c r="F8552" s="38">
        <v>6.3839999999999995</v>
      </c>
      <c r="G8552" s="41">
        <f>IF(ISNUMBER(F8552),E8552*F8552,"")</f>
        <v>10.073952</v>
      </c>
      <c r="H8552" s="46">
        <f>SUM(G8552:G8552)</f>
        <v>10.073952</v>
      </c>
      <c r="I8552" s="47"/>
      <c r="J8552" s="37">
        <v>0</v>
      </c>
    </row>
    <row r="8553" spans="1:10" ht="15.75" hidden="1" thickBot="1" x14ac:dyDescent="0.3">
      <c r="A8553" s="180"/>
      <c r="B8553" s="178"/>
      <c r="C8553" s="49"/>
      <c r="D8553" s="49"/>
      <c r="E8553" s="50"/>
      <c r="F8553" s="51" t="s">
        <v>13</v>
      </c>
      <c r="G8553" s="52" t="str">
        <f>IF(ISNUMBER(F8553),E8553*F8553,"")</f>
        <v/>
      </c>
      <c r="H8553" s="53"/>
      <c r="I8553" s="38"/>
      <c r="J8553" s="37">
        <v>0</v>
      </c>
    </row>
    <row r="8554" spans="1:10" ht="15.75" hidden="1" thickBot="1" x14ac:dyDescent="0.3">
      <c r="A8554" s="173" t="s">
        <v>2054</v>
      </c>
      <c r="B8554" s="176" t="s">
        <v>8511</v>
      </c>
      <c r="C8554" s="31"/>
      <c r="D8554" s="32" t="s">
        <v>18</v>
      </c>
      <c r="E8554" s="33"/>
      <c r="F8554" s="54" t="s">
        <v>13</v>
      </c>
      <c r="G8554" s="34" t="str">
        <f>IF(ISNUMBER(F8554),E8554*F8554,"")</f>
        <v/>
      </c>
      <c r="H8554" s="35"/>
      <c r="I8554" s="36"/>
      <c r="J8554" s="37">
        <v>0</v>
      </c>
    </row>
    <row r="8555" spans="1:10" hidden="1" x14ac:dyDescent="0.25">
      <c r="A8555" s="179"/>
      <c r="B8555" s="177"/>
      <c r="C8555" s="39"/>
      <c r="D8555" s="39"/>
      <c r="E8555" s="40"/>
      <c r="F8555" s="55" t="s">
        <v>13</v>
      </c>
      <c r="G8555" s="41" t="str">
        <f>IF(ISNUMBER(F8555),E8555*F8555,"")</f>
        <v/>
      </c>
      <c r="H8555" s="42"/>
      <c r="I8555" s="38"/>
      <c r="J8555" s="37">
        <v>0</v>
      </c>
    </row>
    <row r="8556" spans="1:10" ht="38.25" hidden="1" x14ac:dyDescent="0.25">
      <c r="A8556" s="179"/>
      <c r="B8556" s="177"/>
      <c r="C8556" s="43" t="s">
        <v>2055</v>
      </c>
      <c r="D8556" s="43" t="s">
        <v>18</v>
      </c>
      <c r="E8556" s="44">
        <v>1</v>
      </c>
      <c r="F8556" s="38" t="s">
        <v>13</v>
      </c>
      <c r="G8556" s="41" t="str">
        <f>IF(ISNUMBER(F8556),E8556*F8556,"")</f>
        <v/>
      </c>
      <c r="H8556" s="46">
        <f>SUM(G8556:G8556)</f>
        <v>0</v>
      </c>
      <c r="I8556" s="47"/>
      <c r="J8556" s="37">
        <v>0</v>
      </c>
    </row>
    <row r="8557" spans="1:10" ht="15.75" hidden="1" thickBot="1" x14ac:dyDescent="0.3">
      <c r="A8557" s="180"/>
      <c r="B8557" s="178"/>
      <c r="C8557" s="49"/>
      <c r="D8557" s="49"/>
      <c r="E8557" s="50"/>
      <c r="F8557" s="51" t="s">
        <v>13</v>
      </c>
      <c r="G8557" s="52" t="str">
        <f>IF(ISNUMBER(F8557),E8557*F8557,"")</f>
        <v/>
      </c>
      <c r="H8557" s="53"/>
      <c r="I8557" s="38"/>
      <c r="J8557" s="37">
        <v>0</v>
      </c>
    </row>
    <row r="8558" spans="1:10" ht="15.75" hidden="1" thickBot="1" x14ac:dyDescent="0.3">
      <c r="A8558" s="173" t="s">
        <v>2056</v>
      </c>
      <c r="B8558" s="176" t="s">
        <v>8514</v>
      </c>
      <c r="C8558" s="31"/>
      <c r="D8558" s="32" t="s">
        <v>68</v>
      </c>
      <c r="E8558" s="33"/>
      <c r="F8558" s="60" t="s">
        <v>13</v>
      </c>
      <c r="G8558" s="34" t="str">
        <f>IF(ISNUMBER(F8558),E8558*F8558,"")</f>
        <v/>
      </c>
      <c r="H8558" s="35"/>
      <c r="I8558" s="36"/>
      <c r="J8558" s="37">
        <v>0</v>
      </c>
    </row>
    <row r="8559" spans="1:10" hidden="1" x14ac:dyDescent="0.25">
      <c r="A8559" s="179"/>
      <c r="B8559" s="177"/>
      <c r="C8559" s="39"/>
      <c r="D8559" s="39"/>
      <c r="E8559" s="40"/>
      <c r="F8559" s="70" t="s">
        <v>13</v>
      </c>
      <c r="G8559" s="70" t="str">
        <f>IF(ISNUMBER(F8559),E8559*F8559,"")</f>
        <v/>
      </c>
      <c r="H8559" s="71"/>
      <c r="I8559" s="72"/>
      <c r="J8559" s="37">
        <v>0</v>
      </c>
    </row>
    <row r="8560" spans="1:10" hidden="1" x14ac:dyDescent="0.25">
      <c r="A8560" s="179"/>
      <c r="B8560" s="177"/>
      <c r="C8560" s="43" t="s">
        <v>10831</v>
      </c>
      <c r="D8560" s="43" t="s">
        <v>2800</v>
      </c>
      <c r="E8560" s="44">
        <v>2.5579999999999998</v>
      </c>
      <c r="F8560" s="70">
        <v>28.6615</v>
      </c>
      <c r="G8560" s="70">
        <f>IF(ISNUMBER(F8560),E8560*F8560,"")</f>
        <v>73.316116999999991</v>
      </c>
      <c r="H8560" s="46">
        <f>SUM(G8560:G8562)</f>
        <v>756.65788099999997</v>
      </c>
      <c r="I8560" s="47"/>
      <c r="J8560" s="37">
        <v>0</v>
      </c>
    </row>
    <row r="8561" spans="1:10" hidden="1" x14ac:dyDescent="0.25">
      <c r="A8561" s="179"/>
      <c r="B8561" s="177"/>
      <c r="C8561" s="43" t="s">
        <v>10750</v>
      </c>
      <c r="D8561" s="43" t="s">
        <v>2800</v>
      </c>
      <c r="E8561" s="44">
        <v>2.5579999999999998</v>
      </c>
      <c r="F8561" s="70">
        <v>24.358000000000001</v>
      </c>
      <c r="G8561" s="70">
        <f>IF(ISNUMBER(F8561),E8561*F8561,"")</f>
        <v>62.307763999999999</v>
      </c>
      <c r="H8561" s="71"/>
      <c r="I8561" s="72"/>
      <c r="J8561" s="37">
        <v>0</v>
      </c>
    </row>
    <row r="8562" spans="1:10" ht="25.5" hidden="1" x14ac:dyDescent="0.25">
      <c r="A8562" s="179"/>
      <c r="B8562" s="177"/>
      <c r="C8562" s="43" t="s">
        <v>11633</v>
      </c>
      <c r="D8562" s="43" t="s">
        <v>83</v>
      </c>
      <c r="E8562" s="44">
        <v>1</v>
      </c>
      <c r="F8562" s="70">
        <v>621.03399999999999</v>
      </c>
      <c r="G8562" s="70">
        <f>IF(ISNUMBER(F8562),E8562*F8562,"")</f>
        <v>621.03399999999999</v>
      </c>
      <c r="H8562" s="71"/>
      <c r="I8562" s="72"/>
      <c r="J8562" s="37">
        <v>0</v>
      </c>
    </row>
    <row r="8563" spans="1:10" ht="15.75" hidden="1" thickBot="1" x14ac:dyDescent="0.3">
      <c r="A8563" s="180"/>
      <c r="B8563" s="178"/>
      <c r="C8563" s="49"/>
      <c r="D8563" s="49"/>
      <c r="E8563" s="50"/>
      <c r="F8563" s="83" t="s">
        <v>13</v>
      </c>
      <c r="G8563" s="83" t="str">
        <f>IF(ISNUMBER(F8563),E8563*F8563,"")</f>
        <v/>
      </c>
      <c r="H8563" s="84"/>
      <c r="I8563" s="72"/>
      <c r="J8563" s="37">
        <v>0</v>
      </c>
    </row>
    <row r="8564" spans="1:10" ht="15.75" hidden="1" thickBot="1" x14ac:dyDescent="0.3">
      <c r="A8564" s="173" t="s">
        <v>2057</v>
      </c>
      <c r="B8564" s="176" t="s">
        <v>8515</v>
      </c>
      <c r="C8564" s="31"/>
      <c r="D8564" s="32" t="s">
        <v>68</v>
      </c>
      <c r="E8564" s="33"/>
      <c r="F8564" s="60" t="s">
        <v>13</v>
      </c>
      <c r="G8564" s="34" t="str">
        <f>IF(ISNUMBER(F8564),E8564*F8564,"")</f>
        <v/>
      </c>
      <c r="H8564" s="35"/>
      <c r="I8564" s="36"/>
      <c r="J8564" s="37">
        <v>0</v>
      </c>
    </row>
    <row r="8565" spans="1:10" hidden="1" x14ac:dyDescent="0.25">
      <c r="A8565" s="179"/>
      <c r="B8565" s="177"/>
      <c r="C8565" s="39"/>
      <c r="D8565" s="39"/>
      <c r="E8565" s="40"/>
      <c r="F8565" s="70" t="s">
        <v>13</v>
      </c>
      <c r="G8565" s="70" t="str">
        <f>IF(ISNUMBER(F8565),E8565*F8565,"")</f>
        <v/>
      </c>
      <c r="H8565" s="71"/>
      <c r="I8565" s="72"/>
      <c r="J8565" s="37">
        <v>0</v>
      </c>
    </row>
    <row r="8566" spans="1:10" ht="25.5" hidden="1" x14ac:dyDescent="0.25">
      <c r="A8566" s="179"/>
      <c r="B8566" s="177"/>
      <c r="C8566" s="43" t="s">
        <v>11634</v>
      </c>
      <c r="D8566" s="43" t="s">
        <v>2880</v>
      </c>
      <c r="E8566" s="44">
        <v>4.0000000000000001E-3</v>
      </c>
      <c r="F8566" s="70">
        <v>199.71849999999998</v>
      </c>
      <c r="G8566" s="70">
        <f>IF(ISNUMBER(F8566),E8566*F8566,"")</f>
        <v>0.79887399999999997</v>
      </c>
      <c r="H8566" s="46">
        <f>SUM(G8566:G8571)</f>
        <v>231.328971</v>
      </c>
      <c r="I8566" s="47"/>
      <c r="J8566" s="37">
        <v>0</v>
      </c>
    </row>
    <row r="8567" spans="1:10" ht="25.5" hidden="1" x14ac:dyDescent="0.25">
      <c r="A8567" s="179"/>
      <c r="B8567" s="177"/>
      <c r="C8567" s="43" t="s">
        <v>10658</v>
      </c>
      <c r="D8567" s="43" t="s">
        <v>2880</v>
      </c>
      <c r="E8567" s="44">
        <v>8.5999999999999993E-2</v>
      </c>
      <c r="F8567" s="70">
        <v>202.32149999999999</v>
      </c>
      <c r="G8567" s="70">
        <f>IF(ISNUMBER(F8567),E8567*F8567,"")</f>
        <v>17.399648999999997</v>
      </c>
      <c r="H8567" s="71"/>
      <c r="I8567" s="72"/>
      <c r="J8567" s="37">
        <v>0</v>
      </c>
    </row>
    <row r="8568" spans="1:10" hidden="1" x14ac:dyDescent="0.25">
      <c r="A8568" s="179"/>
      <c r="B8568" s="177"/>
      <c r="C8568" s="43" t="s">
        <v>10648</v>
      </c>
      <c r="D8568" s="43" t="s">
        <v>1044</v>
      </c>
      <c r="E8568" s="44">
        <v>37.07</v>
      </c>
      <c r="F8568" s="70">
        <v>0.64600000000000002</v>
      </c>
      <c r="G8568" s="70">
        <f>IF(ISNUMBER(F8568),E8568*F8568,"")</f>
        <v>23.947220000000002</v>
      </c>
      <c r="H8568" s="71"/>
      <c r="I8568" s="72"/>
      <c r="J8568" s="37">
        <v>0</v>
      </c>
    </row>
    <row r="8569" spans="1:10" hidden="1" x14ac:dyDescent="0.25">
      <c r="A8569" s="179"/>
      <c r="B8569" s="177"/>
      <c r="C8569" s="43" t="s">
        <v>11635</v>
      </c>
      <c r="D8569" s="43" t="s">
        <v>162</v>
      </c>
      <c r="E8569" s="44">
        <v>1</v>
      </c>
      <c r="F8569" s="70">
        <v>155.01149999999998</v>
      </c>
      <c r="G8569" s="70">
        <f>IF(ISNUMBER(F8569),E8569*F8569,"")</f>
        <v>155.01149999999998</v>
      </c>
      <c r="H8569" s="71"/>
      <c r="I8569" s="72"/>
      <c r="J8569" s="37">
        <v>0</v>
      </c>
    </row>
    <row r="8570" spans="1:10" hidden="1" x14ac:dyDescent="0.25">
      <c r="A8570" s="179"/>
      <c r="B8570" s="177"/>
      <c r="C8570" s="43" t="s">
        <v>11132</v>
      </c>
      <c r="D8570" s="43" t="s">
        <v>2800</v>
      </c>
      <c r="E8570" s="44">
        <v>0.84199999999999997</v>
      </c>
      <c r="F8570" s="70">
        <v>28.737499999999997</v>
      </c>
      <c r="G8570" s="70">
        <f>IF(ISNUMBER(F8570),E8570*F8570,"")</f>
        <v>24.196974999999998</v>
      </c>
      <c r="H8570" s="71"/>
      <c r="I8570" s="72"/>
      <c r="J8570" s="37">
        <v>0</v>
      </c>
    </row>
    <row r="8571" spans="1:10" hidden="1" x14ac:dyDescent="0.25">
      <c r="A8571" s="179"/>
      <c r="B8571" s="177"/>
      <c r="C8571" s="43" t="s">
        <v>10614</v>
      </c>
      <c r="D8571" s="43" t="s">
        <v>2800</v>
      </c>
      <c r="E8571" s="44">
        <v>0.42099999999999999</v>
      </c>
      <c r="F8571" s="70">
        <v>23.693000000000001</v>
      </c>
      <c r="G8571" s="70">
        <f>IF(ISNUMBER(F8571),E8571*F8571,"")</f>
        <v>9.9747529999999998</v>
      </c>
      <c r="H8571" s="71"/>
      <c r="I8571" s="72"/>
      <c r="J8571" s="37">
        <v>0</v>
      </c>
    </row>
    <row r="8572" spans="1:10" ht="15.75" hidden="1" thickBot="1" x14ac:dyDescent="0.3">
      <c r="A8572" s="180"/>
      <c r="B8572" s="178"/>
      <c r="C8572" s="49"/>
      <c r="D8572" s="49"/>
      <c r="E8572" s="50"/>
      <c r="F8572" s="83" t="s">
        <v>13</v>
      </c>
      <c r="G8572" s="83" t="str">
        <f>IF(ISNUMBER(F8572),E8572*F8572,"")</f>
        <v/>
      </c>
      <c r="H8572" s="84"/>
      <c r="I8572" s="72"/>
      <c r="J8572" s="37">
        <v>0</v>
      </c>
    </row>
    <row r="8573" spans="1:10" ht="15.75" hidden="1" thickBot="1" x14ac:dyDescent="0.3">
      <c r="A8573" s="173" t="s">
        <v>2058</v>
      </c>
      <c r="B8573" s="176" t="s">
        <v>8516</v>
      </c>
      <c r="C8573" s="31"/>
      <c r="D8573" s="32" t="s">
        <v>68</v>
      </c>
      <c r="E8573" s="33"/>
      <c r="F8573" s="60" t="s">
        <v>13</v>
      </c>
      <c r="G8573" s="34" t="str">
        <f>IF(ISNUMBER(F8573),E8573*F8573,"")</f>
        <v/>
      </c>
      <c r="H8573" s="35"/>
      <c r="I8573" s="36"/>
      <c r="J8573" s="37">
        <v>0</v>
      </c>
    </row>
    <row r="8574" spans="1:10" hidden="1" x14ac:dyDescent="0.25">
      <c r="A8574" s="179"/>
      <c r="B8574" s="177"/>
      <c r="C8574" s="39"/>
      <c r="D8574" s="39"/>
      <c r="E8574" s="40"/>
      <c r="F8574" s="70" t="s">
        <v>13</v>
      </c>
      <c r="G8574" s="70" t="str">
        <f>IF(ISNUMBER(F8574),E8574*F8574,"")</f>
        <v/>
      </c>
      <c r="H8574" s="71"/>
      <c r="I8574" s="72"/>
      <c r="J8574" s="37">
        <v>0</v>
      </c>
    </row>
    <row r="8575" spans="1:10" ht="25.5" hidden="1" x14ac:dyDescent="0.25">
      <c r="A8575" s="179"/>
      <c r="B8575" s="177"/>
      <c r="C8575" s="43" t="s">
        <v>11634</v>
      </c>
      <c r="D8575" s="43" t="s">
        <v>2880</v>
      </c>
      <c r="E8575" s="44">
        <v>4.0000000000000001E-3</v>
      </c>
      <c r="F8575" s="70">
        <v>199.71849999999998</v>
      </c>
      <c r="G8575" s="70">
        <f>IF(ISNUMBER(F8575),E8575*F8575,"")</f>
        <v>0.79887399999999997</v>
      </c>
      <c r="H8575" s="46">
        <f>SUM(G8575:G8579)</f>
        <v>76.317470999999983</v>
      </c>
      <c r="I8575" s="47"/>
      <c r="J8575" s="37">
        <v>0</v>
      </c>
    </row>
    <row r="8576" spans="1:10" ht="25.5" hidden="1" x14ac:dyDescent="0.25">
      <c r="A8576" s="179"/>
      <c r="B8576" s="177"/>
      <c r="C8576" s="43" t="s">
        <v>10658</v>
      </c>
      <c r="D8576" s="43" t="s">
        <v>2880</v>
      </c>
      <c r="E8576" s="44">
        <v>8.5999999999999993E-2</v>
      </c>
      <c r="F8576" s="70">
        <v>202.32149999999999</v>
      </c>
      <c r="G8576" s="70">
        <f>IF(ISNUMBER(F8576),E8576*F8576,"")</f>
        <v>17.399648999999997</v>
      </c>
      <c r="H8576" s="71"/>
      <c r="I8576" s="72"/>
      <c r="J8576" s="37">
        <v>0</v>
      </c>
    </row>
    <row r="8577" spans="1:10" hidden="1" x14ac:dyDescent="0.25">
      <c r="A8577" s="179"/>
      <c r="B8577" s="177"/>
      <c r="C8577" s="43" t="s">
        <v>10648</v>
      </c>
      <c r="D8577" s="43" t="s">
        <v>1044</v>
      </c>
      <c r="E8577" s="44">
        <v>37.07</v>
      </c>
      <c r="F8577" s="70">
        <v>0.64600000000000002</v>
      </c>
      <c r="G8577" s="70">
        <f>IF(ISNUMBER(F8577),E8577*F8577,"")</f>
        <v>23.947220000000002</v>
      </c>
      <c r="H8577" s="71"/>
      <c r="I8577" s="72"/>
      <c r="J8577" s="37">
        <v>0</v>
      </c>
    </row>
    <row r="8578" spans="1:10" hidden="1" x14ac:dyDescent="0.25">
      <c r="A8578" s="179"/>
      <c r="B8578" s="177"/>
      <c r="C8578" s="43" t="s">
        <v>11132</v>
      </c>
      <c r="D8578" s="43" t="s">
        <v>2800</v>
      </c>
      <c r="E8578" s="44">
        <v>0.84199999999999997</v>
      </c>
      <c r="F8578" s="70">
        <v>28.737499999999997</v>
      </c>
      <c r="G8578" s="70">
        <f>IF(ISNUMBER(F8578),E8578*F8578,"")</f>
        <v>24.196974999999998</v>
      </c>
      <c r="H8578" s="71"/>
      <c r="I8578" s="72"/>
      <c r="J8578" s="37">
        <v>0</v>
      </c>
    </row>
    <row r="8579" spans="1:10" hidden="1" x14ac:dyDescent="0.25">
      <c r="A8579" s="179"/>
      <c r="B8579" s="177"/>
      <c r="C8579" s="43" t="s">
        <v>10614</v>
      </c>
      <c r="D8579" s="43" t="s">
        <v>2800</v>
      </c>
      <c r="E8579" s="44">
        <v>0.42099999999999999</v>
      </c>
      <c r="F8579" s="70">
        <v>23.693000000000001</v>
      </c>
      <c r="G8579" s="70">
        <f>IF(ISNUMBER(F8579),E8579*F8579,"")</f>
        <v>9.9747529999999998</v>
      </c>
      <c r="H8579" s="71"/>
      <c r="I8579" s="72"/>
      <c r="J8579" s="37">
        <v>0</v>
      </c>
    </row>
    <row r="8580" spans="1:10" ht="15.75" hidden="1" thickBot="1" x14ac:dyDescent="0.3">
      <c r="A8580" s="180"/>
      <c r="B8580" s="178"/>
      <c r="C8580" s="49"/>
      <c r="D8580" s="49"/>
      <c r="E8580" s="50"/>
      <c r="F8580" s="83" t="s">
        <v>13</v>
      </c>
      <c r="G8580" s="83" t="str">
        <f>IF(ISNUMBER(F8580),E8580*F8580,"")</f>
        <v/>
      </c>
      <c r="H8580" s="84"/>
      <c r="I8580" s="72"/>
      <c r="J8580" s="37">
        <v>0</v>
      </c>
    </row>
    <row r="8581" spans="1:10" ht="15.75" hidden="1" thickBot="1" x14ac:dyDescent="0.3">
      <c r="A8581" s="173" t="s">
        <v>2059</v>
      </c>
      <c r="B8581" s="176" t="s">
        <v>8525</v>
      </c>
      <c r="C8581" s="31"/>
      <c r="D8581" s="32" t="s">
        <v>68</v>
      </c>
      <c r="E8581" s="33"/>
      <c r="F8581" s="54" t="s">
        <v>13</v>
      </c>
      <c r="G8581" s="34" t="str">
        <f>IF(ISNUMBER(F8581),E8581*F8581,"")</f>
        <v/>
      </c>
      <c r="H8581" s="35"/>
      <c r="I8581" s="36"/>
      <c r="J8581" s="37">
        <v>0</v>
      </c>
    </row>
    <row r="8582" spans="1:10" hidden="1" x14ac:dyDescent="0.25">
      <c r="A8582" s="179"/>
      <c r="B8582" s="177"/>
      <c r="C8582" s="39"/>
      <c r="D8582" s="39"/>
      <c r="E8582" s="40"/>
      <c r="F8582" s="55" t="s">
        <v>13</v>
      </c>
      <c r="G8582" s="41" t="str">
        <f>IF(ISNUMBER(F8582),E8582*F8582,"")</f>
        <v/>
      </c>
      <c r="H8582" s="42"/>
      <c r="I8582" s="38"/>
      <c r="J8582" s="37">
        <v>0</v>
      </c>
    </row>
    <row r="8583" spans="1:10" hidden="1" x14ac:dyDescent="0.25">
      <c r="A8583" s="179"/>
      <c r="B8583" s="177"/>
      <c r="C8583" s="43" t="s">
        <v>11053</v>
      </c>
      <c r="D8583" s="43" t="s">
        <v>162</v>
      </c>
      <c r="E8583" s="44">
        <v>0.40539999999999998</v>
      </c>
      <c r="F8583" s="38">
        <v>6.6310000000000002</v>
      </c>
      <c r="G8583" s="41">
        <f>IF(ISNUMBER(F8583),E8583*F8583,"")</f>
        <v>2.6882074</v>
      </c>
      <c r="H8583" s="46">
        <f>SUM(G8583:G8585)</f>
        <v>4.8952283999999997</v>
      </c>
      <c r="I8583" s="47"/>
      <c r="J8583" s="37">
        <v>0</v>
      </c>
    </row>
    <row r="8584" spans="1:10" hidden="1" x14ac:dyDescent="0.25">
      <c r="A8584" s="179"/>
      <c r="B8584" s="177"/>
      <c r="C8584" s="43" t="s">
        <v>10750</v>
      </c>
      <c r="D8584" s="43" t="s">
        <v>2800</v>
      </c>
      <c r="E8584" s="44">
        <v>1.3599999999999999E-2</v>
      </c>
      <c r="F8584" s="38">
        <v>24.358000000000001</v>
      </c>
      <c r="G8584" s="41">
        <f>IF(ISNUMBER(F8584),E8584*F8584,"")</f>
        <v>0.33126879999999997</v>
      </c>
      <c r="H8584" s="42"/>
      <c r="I8584" s="47"/>
      <c r="J8584" s="37">
        <v>0</v>
      </c>
    </row>
    <row r="8585" spans="1:10" hidden="1" x14ac:dyDescent="0.25">
      <c r="A8585" s="179"/>
      <c r="B8585" s="177"/>
      <c r="C8585" s="43" t="s">
        <v>10850</v>
      </c>
      <c r="D8585" s="43" t="s">
        <v>2800</v>
      </c>
      <c r="E8585" s="44">
        <v>6.0400000000000002E-2</v>
      </c>
      <c r="F8585" s="38">
        <v>31.055499999999995</v>
      </c>
      <c r="G8585" s="41">
        <f>IF(ISNUMBER(F8585),E8585*F8585,"")</f>
        <v>1.8757521999999998</v>
      </c>
      <c r="H8585" s="42"/>
      <c r="I8585" s="47"/>
      <c r="J8585" s="37">
        <v>0</v>
      </c>
    </row>
    <row r="8586" spans="1:10" ht="15.75" hidden="1" thickBot="1" x14ac:dyDescent="0.3">
      <c r="A8586" s="180"/>
      <c r="B8586" s="178"/>
      <c r="C8586" s="49"/>
      <c r="D8586" s="49"/>
      <c r="E8586" s="50"/>
      <c r="F8586" s="51" t="s">
        <v>13</v>
      </c>
      <c r="G8586" s="52" t="str">
        <f>IF(ISNUMBER(F8586),E8586*F8586,"")</f>
        <v/>
      </c>
      <c r="H8586" s="53"/>
      <c r="I8586" s="38"/>
      <c r="J8586" s="37">
        <v>0</v>
      </c>
    </row>
    <row r="8587" spans="1:10" ht="15.75" hidden="1" thickBot="1" x14ac:dyDescent="0.3">
      <c r="A8587" s="173" t="s">
        <v>2060</v>
      </c>
      <c r="B8587" s="176" t="s">
        <v>8526</v>
      </c>
      <c r="C8587" s="31"/>
      <c r="D8587" s="32" t="s">
        <v>106</v>
      </c>
      <c r="E8587" s="33"/>
      <c r="F8587" s="54" t="s">
        <v>13</v>
      </c>
      <c r="G8587" s="34" t="str">
        <f>IF(ISNUMBER(F8587),E8587*F8587,"")</f>
        <v/>
      </c>
      <c r="H8587" s="35"/>
      <c r="I8587" s="36"/>
      <c r="J8587" s="37">
        <v>0</v>
      </c>
    </row>
    <row r="8588" spans="1:10" hidden="1" x14ac:dyDescent="0.25">
      <c r="A8588" s="179"/>
      <c r="B8588" s="177"/>
      <c r="C8588" s="39"/>
      <c r="D8588" s="39"/>
      <c r="E8588" s="40"/>
      <c r="F8588" s="55" t="s">
        <v>13</v>
      </c>
      <c r="G8588" s="41" t="str">
        <f>IF(ISNUMBER(F8588),E8588*F8588,"")</f>
        <v/>
      </c>
      <c r="H8588" s="42"/>
      <c r="I8588" s="38"/>
      <c r="J8588" s="37">
        <v>0</v>
      </c>
    </row>
    <row r="8589" spans="1:10" hidden="1" x14ac:dyDescent="0.25">
      <c r="A8589" s="179"/>
      <c r="B8589" s="177"/>
      <c r="C8589" s="43" t="s">
        <v>10826</v>
      </c>
      <c r="D8589" s="43" t="s">
        <v>2800</v>
      </c>
      <c r="E8589" s="44">
        <v>0.6</v>
      </c>
      <c r="F8589" s="38">
        <v>30.912999999999997</v>
      </c>
      <c r="G8589" s="41">
        <f>IF(ISNUMBER(F8589),E8589*F8589,"")</f>
        <v>18.547799999999999</v>
      </c>
      <c r="H8589" s="46">
        <f>SUM(G8589:G8591)</f>
        <v>28.024999999999999</v>
      </c>
      <c r="I8589" s="47"/>
      <c r="J8589" s="37">
        <v>0</v>
      </c>
    </row>
    <row r="8590" spans="1:10" hidden="1" x14ac:dyDescent="0.25">
      <c r="A8590" s="179"/>
      <c r="B8590" s="177"/>
      <c r="C8590" s="43" t="s">
        <v>10614</v>
      </c>
      <c r="D8590" s="43" t="s">
        <v>2800</v>
      </c>
      <c r="E8590" s="44">
        <v>0.4</v>
      </c>
      <c r="F8590" s="38">
        <v>23.693000000000001</v>
      </c>
      <c r="G8590" s="41">
        <f>IF(ISNUMBER(F8590),E8590*F8590,"")</f>
        <v>9.4772000000000016</v>
      </c>
      <c r="H8590" s="42"/>
      <c r="I8590" s="47"/>
      <c r="J8590" s="37">
        <v>0</v>
      </c>
    </row>
    <row r="8591" spans="1:10" ht="25.5" hidden="1" x14ac:dyDescent="0.25">
      <c r="A8591" s="179"/>
      <c r="B8591" s="177"/>
      <c r="C8591" s="43" t="s">
        <v>2061</v>
      </c>
      <c r="D8591" s="43" t="s">
        <v>106</v>
      </c>
      <c r="E8591" s="44">
        <v>1</v>
      </c>
      <c r="F8591" s="38" t="s">
        <v>13</v>
      </c>
      <c r="G8591" s="41" t="str">
        <f>IF(ISNUMBER(F8591),E8591*F8591,"")</f>
        <v/>
      </c>
      <c r="H8591" s="42"/>
      <c r="I8591" s="47"/>
      <c r="J8591" s="37">
        <v>0</v>
      </c>
    </row>
    <row r="8592" spans="1:10" ht="15.75" hidden="1" thickBot="1" x14ac:dyDescent="0.3">
      <c r="A8592" s="180"/>
      <c r="B8592" s="178"/>
      <c r="C8592" s="49"/>
      <c r="D8592" s="49"/>
      <c r="E8592" s="50"/>
      <c r="F8592" s="51" t="s">
        <v>13</v>
      </c>
      <c r="G8592" s="52" t="str">
        <f>IF(ISNUMBER(F8592),E8592*F8592,"")</f>
        <v/>
      </c>
      <c r="H8592" s="53"/>
      <c r="I8592" s="38"/>
      <c r="J8592" s="37">
        <v>0</v>
      </c>
    </row>
    <row r="8593" spans="1:10" ht="15.75" hidden="1" thickBot="1" x14ac:dyDescent="0.3">
      <c r="A8593" s="173" t="s">
        <v>2062</v>
      </c>
      <c r="B8593" s="176" t="s">
        <v>8527</v>
      </c>
      <c r="C8593" s="31"/>
      <c r="D8593" s="32" t="s">
        <v>18</v>
      </c>
      <c r="E8593" s="33"/>
      <c r="F8593" s="54" t="s">
        <v>13</v>
      </c>
      <c r="G8593" s="34" t="str">
        <f>IF(ISNUMBER(F8593),E8593*F8593,"")</f>
        <v/>
      </c>
      <c r="H8593" s="35"/>
      <c r="I8593" s="36"/>
      <c r="J8593" s="37">
        <v>0</v>
      </c>
    </row>
    <row r="8594" spans="1:10" hidden="1" x14ac:dyDescent="0.25">
      <c r="A8594" s="179"/>
      <c r="B8594" s="177"/>
      <c r="C8594" s="39"/>
      <c r="D8594" s="39"/>
      <c r="E8594" s="40"/>
      <c r="F8594" s="55" t="s">
        <v>13</v>
      </c>
      <c r="G8594" s="41" t="str">
        <f>IF(ISNUMBER(F8594),E8594*F8594,"")</f>
        <v/>
      </c>
      <c r="H8594" s="42"/>
      <c r="I8594" s="38"/>
      <c r="J8594" s="37">
        <v>0</v>
      </c>
    </row>
    <row r="8595" spans="1:10" hidden="1" x14ac:dyDescent="0.25">
      <c r="A8595" s="179"/>
      <c r="B8595" s="177"/>
      <c r="C8595" s="43" t="s">
        <v>2063</v>
      </c>
      <c r="D8595" s="43" t="s">
        <v>18</v>
      </c>
      <c r="E8595" s="44">
        <v>1</v>
      </c>
      <c r="F8595" s="38" t="s">
        <v>13</v>
      </c>
      <c r="G8595" s="41" t="str">
        <f>IF(ISNUMBER(F8595),E8595*F8595,"")</f>
        <v/>
      </c>
      <c r="H8595" s="46">
        <f>SUM(G8595:G8595)</f>
        <v>0</v>
      </c>
      <c r="I8595" s="47"/>
      <c r="J8595" s="37">
        <v>0</v>
      </c>
    </row>
    <row r="8596" spans="1:10" ht="15.75" hidden="1" thickBot="1" x14ac:dyDescent="0.3">
      <c r="A8596" s="180"/>
      <c r="B8596" s="178"/>
      <c r="C8596" s="49"/>
      <c r="D8596" s="49"/>
      <c r="E8596" s="50"/>
      <c r="F8596" s="51" t="s">
        <v>13</v>
      </c>
      <c r="G8596" s="52" t="str">
        <f>IF(ISNUMBER(F8596),E8596*F8596,"")</f>
        <v/>
      </c>
      <c r="H8596" s="53"/>
      <c r="I8596" s="38"/>
      <c r="J8596" s="37">
        <v>0</v>
      </c>
    </row>
    <row r="8597" spans="1:10" ht="15.75" hidden="1" thickBot="1" x14ac:dyDescent="0.3">
      <c r="A8597" s="173" t="s">
        <v>2064</v>
      </c>
      <c r="B8597" s="176" t="s">
        <v>8528</v>
      </c>
      <c r="C8597" s="31"/>
      <c r="D8597" s="32" t="s">
        <v>68</v>
      </c>
      <c r="E8597" s="33"/>
      <c r="F8597" s="60" t="s">
        <v>13</v>
      </c>
      <c r="G8597" s="34" t="str">
        <f>IF(ISNUMBER(F8597),E8597*F8597,"")</f>
        <v/>
      </c>
      <c r="H8597" s="35"/>
      <c r="I8597" s="36"/>
      <c r="J8597" s="37">
        <v>0</v>
      </c>
    </row>
    <row r="8598" spans="1:10" hidden="1" x14ac:dyDescent="0.25">
      <c r="A8598" s="179"/>
      <c r="B8598" s="177"/>
      <c r="C8598" s="39"/>
      <c r="D8598" s="39"/>
      <c r="E8598" s="40"/>
      <c r="F8598" s="70" t="s">
        <v>13</v>
      </c>
      <c r="G8598" s="70" t="str">
        <f>IF(ISNUMBER(F8598),E8598*F8598,"")</f>
        <v/>
      </c>
      <c r="H8598" s="71"/>
      <c r="I8598" s="72"/>
      <c r="J8598" s="37">
        <v>0</v>
      </c>
    </row>
    <row r="8599" spans="1:10" ht="25.5" hidden="1" x14ac:dyDescent="0.25">
      <c r="A8599" s="179"/>
      <c r="B8599" s="177"/>
      <c r="C8599" s="43" t="s">
        <v>11636</v>
      </c>
      <c r="D8599" s="43" t="s">
        <v>2800</v>
      </c>
      <c r="E8599" s="44">
        <v>1.972</v>
      </c>
      <c r="F8599" s="70">
        <v>24.870999999999999</v>
      </c>
      <c r="G8599" s="70">
        <f>IF(ISNUMBER(F8599),E8599*F8599,"")</f>
        <v>49.045611999999998</v>
      </c>
      <c r="H8599" s="46">
        <f>SUM(G8599:G8602)</f>
        <v>70.535162999999997</v>
      </c>
      <c r="I8599" s="47"/>
      <c r="J8599" s="37">
        <v>0</v>
      </c>
    </row>
    <row r="8600" spans="1:10" hidden="1" x14ac:dyDescent="0.25">
      <c r="A8600" s="179"/>
      <c r="B8600" s="177"/>
      <c r="C8600" s="43" t="s">
        <v>10614</v>
      </c>
      <c r="D8600" s="43" t="s">
        <v>2800</v>
      </c>
      <c r="E8600" s="44">
        <v>0.90700000000000003</v>
      </c>
      <c r="F8600" s="70">
        <v>23.693000000000001</v>
      </c>
      <c r="G8600" s="70">
        <f>IF(ISNUMBER(F8600),E8600*F8600,"")</f>
        <v>21.489551000000002</v>
      </c>
      <c r="H8600" s="71"/>
      <c r="I8600" s="72"/>
      <c r="J8600" s="37">
        <v>0</v>
      </c>
    </row>
    <row r="8601" spans="1:10" hidden="1" x14ac:dyDescent="0.25">
      <c r="A8601" s="179"/>
      <c r="B8601" s="177"/>
      <c r="C8601" s="43" t="s">
        <v>2065</v>
      </c>
      <c r="D8601" s="43" t="s">
        <v>162</v>
      </c>
      <c r="E8601" s="44">
        <v>1</v>
      </c>
      <c r="F8601" s="70" t="s">
        <v>13</v>
      </c>
      <c r="G8601" s="70" t="str">
        <f>IF(ISNUMBER(F8601),E8601*F8601,"")</f>
        <v/>
      </c>
      <c r="H8601" s="71"/>
      <c r="I8601" s="72"/>
      <c r="J8601" s="37">
        <v>0</v>
      </c>
    </row>
    <row r="8602" spans="1:10" hidden="1" x14ac:dyDescent="0.25">
      <c r="A8602" s="179"/>
      <c r="B8602" s="177"/>
      <c r="C8602" s="43" t="s">
        <v>2066</v>
      </c>
      <c r="D8602" s="43" t="s">
        <v>162</v>
      </c>
      <c r="E8602" s="44">
        <v>1</v>
      </c>
      <c r="F8602" s="70" t="s">
        <v>13</v>
      </c>
      <c r="G8602" s="70" t="str">
        <f>IF(ISNUMBER(F8602),E8602*F8602,"")</f>
        <v/>
      </c>
      <c r="H8602" s="71"/>
      <c r="I8602" s="72"/>
      <c r="J8602" s="37">
        <v>0</v>
      </c>
    </row>
    <row r="8603" spans="1:10" ht="15.75" hidden="1" thickBot="1" x14ac:dyDescent="0.3">
      <c r="A8603" s="180"/>
      <c r="B8603" s="178"/>
      <c r="C8603" s="49"/>
      <c r="D8603" s="49"/>
      <c r="E8603" s="50"/>
      <c r="F8603" s="83" t="s">
        <v>13</v>
      </c>
      <c r="G8603" s="83" t="str">
        <f>IF(ISNUMBER(F8603),E8603*F8603,"")</f>
        <v/>
      </c>
      <c r="H8603" s="84"/>
      <c r="I8603" s="72"/>
      <c r="J8603" s="37">
        <v>0</v>
      </c>
    </row>
    <row r="8604" spans="1:10" ht="15.75" hidden="1" thickBot="1" x14ac:dyDescent="0.3">
      <c r="A8604" s="173" t="s">
        <v>2067</v>
      </c>
      <c r="B8604" s="176" t="s">
        <v>8531</v>
      </c>
      <c r="C8604" s="31"/>
      <c r="D8604" s="32" t="s">
        <v>68</v>
      </c>
      <c r="E8604" s="33"/>
      <c r="F8604" s="60" t="s">
        <v>13</v>
      </c>
      <c r="G8604" s="34" t="str">
        <f>IF(ISNUMBER(F8604),E8604*F8604,"")</f>
        <v/>
      </c>
      <c r="H8604" s="35"/>
      <c r="I8604" s="36"/>
      <c r="J8604" s="37">
        <v>0</v>
      </c>
    </row>
    <row r="8605" spans="1:10" hidden="1" x14ac:dyDescent="0.25">
      <c r="A8605" s="179"/>
      <c r="B8605" s="177"/>
      <c r="C8605" s="39"/>
      <c r="D8605" s="39"/>
      <c r="E8605" s="40"/>
      <c r="F8605" s="70" t="s">
        <v>13</v>
      </c>
      <c r="G8605" s="70" t="str">
        <f>IF(ISNUMBER(F8605),E8605*F8605,"")</f>
        <v/>
      </c>
      <c r="H8605" s="71"/>
      <c r="I8605" s="72"/>
      <c r="J8605" s="37">
        <v>0</v>
      </c>
    </row>
    <row r="8606" spans="1:10" ht="38.25" hidden="1" x14ac:dyDescent="0.25">
      <c r="A8606" s="179"/>
      <c r="B8606" s="177"/>
      <c r="C8606" s="43" t="s">
        <v>11637</v>
      </c>
      <c r="D8606" s="43" t="s">
        <v>1302</v>
      </c>
      <c r="E8606" s="44">
        <v>0.1467</v>
      </c>
      <c r="F8606" s="70">
        <v>33.259499999999996</v>
      </c>
      <c r="G8606" s="70">
        <f>IF(ISNUMBER(F8606),E8606*F8606,"")</f>
        <v>4.8791686499999996</v>
      </c>
      <c r="H8606" s="46">
        <f>SUM(G8606:G8611)</f>
        <v>47.200190450000001</v>
      </c>
      <c r="I8606" s="47"/>
      <c r="J8606" s="37">
        <v>0</v>
      </c>
    </row>
    <row r="8607" spans="1:10" hidden="1" x14ac:dyDescent="0.25">
      <c r="A8607" s="179"/>
      <c r="B8607" s="177"/>
      <c r="C8607" s="43" t="s">
        <v>10618</v>
      </c>
      <c r="D8607" s="43" t="s">
        <v>1044</v>
      </c>
      <c r="E8607" s="44">
        <v>2.58E-2</v>
      </c>
      <c r="F8607" s="70">
        <v>18.087999999999997</v>
      </c>
      <c r="G8607" s="70">
        <f>IF(ISNUMBER(F8607),E8607*F8607,"")</f>
        <v>0.46667039999999993</v>
      </c>
      <c r="H8607" s="71"/>
      <c r="I8607" s="72"/>
      <c r="J8607" s="37">
        <v>0</v>
      </c>
    </row>
    <row r="8608" spans="1:10" ht="38.25" hidden="1" x14ac:dyDescent="0.25">
      <c r="A8608" s="179"/>
      <c r="B8608" s="177"/>
      <c r="C8608" s="43" t="s">
        <v>10835</v>
      </c>
      <c r="D8608" s="43" t="s">
        <v>1302</v>
      </c>
      <c r="E8608" s="44">
        <v>0.42780000000000001</v>
      </c>
      <c r="F8608" s="70">
        <v>25.963499999999996</v>
      </c>
      <c r="G8608" s="70">
        <f>IF(ISNUMBER(F8608),E8608*F8608,"")</f>
        <v>11.107185299999999</v>
      </c>
      <c r="H8608" s="71"/>
      <c r="I8608" s="72"/>
      <c r="J8608" s="37">
        <v>0</v>
      </c>
    </row>
    <row r="8609" spans="1:10" ht="25.5" hidden="1" x14ac:dyDescent="0.25">
      <c r="A8609" s="179"/>
      <c r="B8609" s="177"/>
      <c r="C8609" s="43" t="s">
        <v>11638</v>
      </c>
      <c r="D8609" s="43" t="s">
        <v>1302</v>
      </c>
      <c r="E8609" s="44">
        <v>0.1086</v>
      </c>
      <c r="F8609" s="70">
        <v>9.69</v>
      </c>
      <c r="G8609" s="70">
        <f>IF(ISNUMBER(F8609),E8609*F8609,"")</f>
        <v>1.0523339999999999</v>
      </c>
      <c r="H8609" s="71"/>
      <c r="I8609" s="72"/>
      <c r="J8609" s="37">
        <v>0</v>
      </c>
    </row>
    <row r="8610" spans="1:10" hidden="1" x14ac:dyDescent="0.25">
      <c r="A8610" s="179"/>
      <c r="B8610" s="177"/>
      <c r="C8610" s="43" t="s">
        <v>10613</v>
      </c>
      <c r="D8610" s="43" t="s">
        <v>2800</v>
      </c>
      <c r="E8610" s="44">
        <v>0.72809999999999997</v>
      </c>
      <c r="F8610" s="70">
        <v>30.628</v>
      </c>
      <c r="G8610" s="70">
        <f>IF(ISNUMBER(F8610),E8610*F8610,"")</f>
        <v>22.3002468</v>
      </c>
      <c r="H8610" s="71"/>
      <c r="I8610" s="72"/>
      <c r="J8610" s="37">
        <v>0</v>
      </c>
    </row>
    <row r="8611" spans="1:10" hidden="1" x14ac:dyDescent="0.25">
      <c r="A8611" s="179"/>
      <c r="B8611" s="177"/>
      <c r="C8611" s="43" t="s">
        <v>10614</v>
      </c>
      <c r="D8611" s="43" t="s">
        <v>2800</v>
      </c>
      <c r="E8611" s="44">
        <v>0.31209999999999999</v>
      </c>
      <c r="F8611" s="70">
        <v>23.693000000000001</v>
      </c>
      <c r="G8611" s="70">
        <f>IF(ISNUMBER(F8611),E8611*F8611,"")</f>
        <v>7.3945853000000001</v>
      </c>
      <c r="H8611" s="71"/>
      <c r="I8611" s="72"/>
      <c r="J8611" s="37">
        <v>0</v>
      </c>
    </row>
    <row r="8612" spans="1:10" ht="15.75" hidden="1" thickBot="1" x14ac:dyDescent="0.3">
      <c r="A8612" s="180"/>
      <c r="B8612" s="178"/>
      <c r="C8612" s="49"/>
      <c r="D8612" s="49"/>
      <c r="E8612" s="50"/>
      <c r="F8612" s="83" t="s">
        <v>13</v>
      </c>
      <c r="G8612" s="83" t="str">
        <f>IF(ISNUMBER(F8612),E8612*F8612,"")</f>
        <v/>
      </c>
      <c r="H8612" s="84"/>
      <c r="I8612" s="72"/>
      <c r="J8612" s="37">
        <v>0</v>
      </c>
    </row>
    <row r="8613" spans="1:10" ht="15.75" hidden="1" thickBot="1" x14ac:dyDescent="0.3">
      <c r="A8613" s="173" t="s">
        <v>2068</v>
      </c>
      <c r="B8613" s="176" t="s">
        <v>8532</v>
      </c>
      <c r="C8613" s="31"/>
      <c r="D8613" s="32" t="s">
        <v>18</v>
      </c>
      <c r="E8613" s="33"/>
      <c r="F8613" s="54" t="s">
        <v>13</v>
      </c>
      <c r="G8613" s="34" t="str">
        <f>IF(ISNUMBER(F8613),E8613*F8613,"")</f>
        <v/>
      </c>
      <c r="H8613" s="35"/>
      <c r="I8613" s="36"/>
      <c r="J8613" s="37">
        <v>0</v>
      </c>
    </row>
    <row r="8614" spans="1:10" hidden="1" x14ac:dyDescent="0.25">
      <c r="A8614" s="174"/>
      <c r="B8614" s="177"/>
      <c r="C8614" s="39"/>
      <c r="D8614" s="39"/>
      <c r="E8614" s="40"/>
      <c r="F8614" s="55" t="s">
        <v>13</v>
      </c>
      <c r="G8614" s="38" t="str">
        <f>IF(ISNUMBER(F8614),E8614*F8614,"")</f>
        <v/>
      </c>
      <c r="H8614" s="42"/>
      <c r="I8614" s="38"/>
      <c r="J8614" s="37">
        <v>0</v>
      </c>
    </row>
    <row r="8615" spans="1:10" ht="38.25" hidden="1" x14ac:dyDescent="0.25">
      <c r="A8615" s="174"/>
      <c r="B8615" s="177"/>
      <c r="C8615" s="43" t="s">
        <v>2069</v>
      </c>
      <c r="D8615" s="43" t="s">
        <v>87</v>
      </c>
      <c r="E8615" s="44">
        <v>1</v>
      </c>
      <c r="F8615" s="41" t="s">
        <v>13</v>
      </c>
      <c r="G8615" s="38" t="str">
        <f>IF(ISNUMBER(F8615),E8615*F8615,"")</f>
        <v/>
      </c>
      <c r="H8615" s="46">
        <f>SUM(G8615:G8621)</f>
        <v>18.211233287500001</v>
      </c>
      <c r="I8615" s="47"/>
      <c r="J8615" s="37">
        <v>0</v>
      </c>
    </row>
    <row r="8616" spans="1:10" ht="38.25" hidden="1" x14ac:dyDescent="0.25">
      <c r="A8616" s="174"/>
      <c r="B8616" s="177"/>
      <c r="C8616" s="43" t="s">
        <v>2070</v>
      </c>
      <c r="D8616" s="43" t="s">
        <v>87</v>
      </c>
      <c r="E8616" s="44">
        <v>2</v>
      </c>
      <c r="F8616" s="41" t="s">
        <v>13</v>
      </c>
      <c r="G8616" s="38" t="str">
        <f>IF(ISNUMBER(F8616),E8616*F8616,"")</f>
        <v/>
      </c>
      <c r="H8616" s="58"/>
      <c r="I8616" s="59"/>
      <c r="J8616" s="37">
        <v>0</v>
      </c>
    </row>
    <row r="8617" spans="1:10" ht="25.5" hidden="1" x14ac:dyDescent="0.25">
      <c r="A8617" s="174"/>
      <c r="B8617" s="177"/>
      <c r="C8617" s="43" t="s">
        <v>410</v>
      </c>
      <c r="D8617" s="43" t="s">
        <v>106</v>
      </c>
      <c r="E8617" s="44">
        <v>1.5</v>
      </c>
      <c r="F8617" s="41" t="s">
        <v>13</v>
      </c>
      <c r="G8617" s="38" t="str">
        <f>IF(ISNUMBER(F8617),E8617*F8617,"")</f>
        <v/>
      </c>
      <c r="H8617" s="42"/>
      <c r="I8617" s="38"/>
      <c r="J8617" s="37">
        <v>0</v>
      </c>
    </row>
    <row r="8618" spans="1:10" hidden="1" x14ac:dyDescent="0.25">
      <c r="A8618" s="174"/>
      <c r="B8618" s="177"/>
      <c r="C8618" s="43" t="s">
        <v>411</v>
      </c>
      <c r="D8618" s="43" t="s">
        <v>87</v>
      </c>
      <c r="E8618" s="44">
        <v>1</v>
      </c>
      <c r="F8618" s="41" t="s">
        <v>13</v>
      </c>
      <c r="G8618" s="38" t="str">
        <f>IF(ISNUMBER(F8618),E8618*F8618,"")</f>
        <v/>
      </c>
      <c r="H8618" s="42"/>
      <c r="I8618" s="38"/>
      <c r="J8618" s="37">
        <v>0</v>
      </c>
    </row>
    <row r="8619" spans="1:10" hidden="1" x14ac:dyDescent="0.25">
      <c r="A8619" s="174"/>
      <c r="B8619" s="177"/>
      <c r="C8619" s="43" t="s">
        <v>412</v>
      </c>
      <c r="D8619" s="43" t="s">
        <v>87</v>
      </c>
      <c r="E8619" s="44">
        <v>1</v>
      </c>
      <c r="F8619" s="41" t="s">
        <v>13</v>
      </c>
      <c r="G8619" s="38" t="str">
        <f>IF(ISNUMBER(F8619),E8619*F8619,"")</f>
        <v/>
      </c>
      <c r="H8619" s="42"/>
      <c r="I8619" s="38"/>
      <c r="J8619" s="37">
        <v>0</v>
      </c>
    </row>
    <row r="8620" spans="1:10" hidden="1" x14ac:dyDescent="0.25">
      <c r="A8620" s="174"/>
      <c r="B8620" s="177"/>
      <c r="C8620" s="43" t="s">
        <v>10762</v>
      </c>
      <c r="D8620" s="43" t="s">
        <v>2800</v>
      </c>
      <c r="E8620" s="44">
        <v>0.14506250000000001</v>
      </c>
      <c r="F8620" s="38">
        <v>24.946999999999999</v>
      </c>
      <c r="G8620" s="41">
        <f>IF(ISNUMBER(F8620),E8620*F8620,"")</f>
        <v>3.6188741875000003</v>
      </c>
      <c r="H8620" s="42"/>
      <c r="I8620" s="38"/>
      <c r="J8620" s="37">
        <v>0</v>
      </c>
    </row>
    <row r="8621" spans="1:10" hidden="1" x14ac:dyDescent="0.25">
      <c r="A8621" s="174"/>
      <c r="B8621" s="177"/>
      <c r="C8621" s="43" t="s">
        <v>10763</v>
      </c>
      <c r="D8621" s="43" t="s">
        <v>2800</v>
      </c>
      <c r="E8621" s="44">
        <v>0.4642</v>
      </c>
      <c r="F8621" s="38">
        <v>31.435500000000001</v>
      </c>
      <c r="G8621" s="38">
        <f>IF(ISNUMBER(F8621),E8621*F8621,"")</f>
        <v>14.592359100000001</v>
      </c>
      <c r="H8621" s="42"/>
      <c r="I8621" s="38"/>
      <c r="J8621" s="37">
        <v>0</v>
      </c>
    </row>
    <row r="8622" spans="1:10" ht="15.75" hidden="1" thickBot="1" x14ac:dyDescent="0.3">
      <c r="A8622" s="175"/>
      <c r="B8622" s="178"/>
      <c r="C8622" s="49"/>
      <c r="D8622" s="49"/>
      <c r="E8622" s="50"/>
      <c r="F8622" s="51" t="s">
        <v>13</v>
      </c>
      <c r="G8622" s="51" t="str">
        <f>IF(ISNUMBER(F8622),E8622*F8622,"")</f>
        <v/>
      </c>
      <c r="H8622" s="53"/>
      <c r="I8622" s="38"/>
      <c r="J8622" s="37">
        <v>0</v>
      </c>
    </row>
    <row r="8623" spans="1:10" ht="15.75" hidden="1" thickBot="1" x14ac:dyDescent="0.3">
      <c r="A8623" s="173" t="s">
        <v>2071</v>
      </c>
      <c r="B8623" s="176" t="s">
        <v>8533</v>
      </c>
      <c r="C8623" s="31"/>
      <c r="D8623" s="32" t="s">
        <v>18</v>
      </c>
      <c r="E8623" s="33"/>
      <c r="F8623" s="54" t="s">
        <v>13</v>
      </c>
      <c r="G8623" s="34" t="str">
        <f>IF(ISNUMBER(F8623),E8623*F8623,"")</f>
        <v/>
      </c>
      <c r="H8623" s="35"/>
      <c r="I8623" s="36"/>
      <c r="J8623" s="37">
        <v>0</v>
      </c>
    </row>
    <row r="8624" spans="1:10" hidden="1" x14ac:dyDescent="0.25">
      <c r="A8624" s="174"/>
      <c r="B8624" s="177"/>
      <c r="C8624" s="39"/>
      <c r="D8624" s="39"/>
      <c r="E8624" s="40"/>
      <c r="F8624" s="55" t="s">
        <v>13</v>
      </c>
      <c r="G8624" s="38" t="str">
        <f>IF(ISNUMBER(F8624),E8624*F8624,"")</f>
        <v/>
      </c>
      <c r="H8624" s="42"/>
      <c r="I8624" s="38"/>
      <c r="J8624" s="37">
        <v>0</v>
      </c>
    </row>
    <row r="8625" spans="1:10" ht="38.25" hidden="1" x14ac:dyDescent="0.25">
      <c r="A8625" s="174"/>
      <c r="B8625" s="177"/>
      <c r="C8625" s="43" t="s">
        <v>2072</v>
      </c>
      <c r="D8625" s="43" t="s">
        <v>87</v>
      </c>
      <c r="E8625" s="44">
        <v>1</v>
      </c>
      <c r="F8625" s="41" t="s">
        <v>13</v>
      </c>
      <c r="G8625" s="38" t="str">
        <f>IF(ISNUMBER(F8625),E8625*F8625,"")</f>
        <v/>
      </c>
      <c r="H8625" s="46">
        <f>SUM(G8625:G8631)</f>
        <v>18.211233287500001</v>
      </c>
      <c r="I8625" s="47"/>
      <c r="J8625" s="37">
        <v>0</v>
      </c>
    </row>
    <row r="8626" spans="1:10" ht="38.25" hidden="1" x14ac:dyDescent="0.25">
      <c r="A8626" s="174"/>
      <c r="B8626" s="177"/>
      <c r="C8626" s="43" t="s">
        <v>2070</v>
      </c>
      <c r="D8626" s="43" t="s">
        <v>87</v>
      </c>
      <c r="E8626" s="44">
        <v>2</v>
      </c>
      <c r="F8626" s="41" t="s">
        <v>13</v>
      </c>
      <c r="G8626" s="38" t="str">
        <f>IF(ISNUMBER(F8626),E8626*F8626,"")</f>
        <v/>
      </c>
      <c r="H8626" s="58"/>
      <c r="I8626" s="59"/>
      <c r="J8626" s="37">
        <v>0</v>
      </c>
    </row>
    <row r="8627" spans="1:10" ht="25.5" hidden="1" x14ac:dyDescent="0.25">
      <c r="A8627" s="174"/>
      <c r="B8627" s="177"/>
      <c r="C8627" s="43" t="s">
        <v>410</v>
      </c>
      <c r="D8627" s="43" t="s">
        <v>106</v>
      </c>
      <c r="E8627" s="44">
        <v>1.5</v>
      </c>
      <c r="F8627" s="41" t="s">
        <v>13</v>
      </c>
      <c r="G8627" s="38" t="str">
        <f>IF(ISNUMBER(F8627),E8627*F8627,"")</f>
        <v/>
      </c>
      <c r="H8627" s="42"/>
      <c r="I8627" s="38"/>
      <c r="J8627" s="37">
        <v>0</v>
      </c>
    </row>
    <row r="8628" spans="1:10" hidden="1" x14ac:dyDescent="0.25">
      <c r="A8628" s="174"/>
      <c r="B8628" s="177"/>
      <c r="C8628" s="43" t="s">
        <v>411</v>
      </c>
      <c r="D8628" s="43" t="s">
        <v>87</v>
      </c>
      <c r="E8628" s="44">
        <v>1</v>
      </c>
      <c r="F8628" s="41" t="s">
        <v>13</v>
      </c>
      <c r="G8628" s="38" t="str">
        <f>IF(ISNUMBER(F8628),E8628*F8628,"")</f>
        <v/>
      </c>
      <c r="H8628" s="42"/>
      <c r="I8628" s="38"/>
      <c r="J8628" s="37">
        <v>0</v>
      </c>
    </row>
    <row r="8629" spans="1:10" hidden="1" x14ac:dyDescent="0.25">
      <c r="A8629" s="174"/>
      <c r="B8629" s="177"/>
      <c r="C8629" s="43" t="s">
        <v>412</v>
      </c>
      <c r="D8629" s="43" t="s">
        <v>87</v>
      </c>
      <c r="E8629" s="44">
        <v>1</v>
      </c>
      <c r="F8629" s="41" t="s">
        <v>13</v>
      </c>
      <c r="G8629" s="38" t="str">
        <f>IF(ISNUMBER(F8629),E8629*F8629,"")</f>
        <v/>
      </c>
      <c r="H8629" s="42"/>
      <c r="I8629" s="38"/>
      <c r="J8629" s="37">
        <v>0</v>
      </c>
    </row>
    <row r="8630" spans="1:10" hidden="1" x14ac:dyDescent="0.25">
      <c r="A8630" s="174"/>
      <c r="B8630" s="177"/>
      <c r="C8630" s="43" t="s">
        <v>10762</v>
      </c>
      <c r="D8630" s="43" t="s">
        <v>2800</v>
      </c>
      <c r="E8630" s="44">
        <v>0.14506250000000001</v>
      </c>
      <c r="F8630" s="38">
        <v>24.946999999999999</v>
      </c>
      <c r="G8630" s="38">
        <f>IF(ISNUMBER(F8630),E8630*F8630,"")</f>
        <v>3.6188741875000003</v>
      </c>
      <c r="H8630" s="42"/>
      <c r="I8630" s="38"/>
      <c r="J8630" s="37">
        <v>0</v>
      </c>
    </row>
    <row r="8631" spans="1:10" hidden="1" x14ac:dyDescent="0.25">
      <c r="A8631" s="174"/>
      <c r="B8631" s="177"/>
      <c r="C8631" s="43" t="s">
        <v>10763</v>
      </c>
      <c r="D8631" s="43" t="s">
        <v>2800</v>
      </c>
      <c r="E8631" s="44">
        <v>0.4642</v>
      </c>
      <c r="F8631" s="38">
        <v>31.435500000000001</v>
      </c>
      <c r="G8631" s="38">
        <f>IF(ISNUMBER(F8631),E8631*F8631,"")</f>
        <v>14.592359100000001</v>
      </c>
      <c r="H8631" s="42"/>
      <c r="I8631" s="38"/>
      <c r="J8631" s="37">
        <v>0</v>
      </c>
    </row>
    <row r="8632" spans="1:10" ht="15.75" hidden="1" thickBot="1" x14ac:dyDescent="0.3">
      <c r="A8632" s="175"/>
      <c r="B8632" s="178"/>
      <c r="C8632" s="49"/>
      <c r="D8632" s="49"/>
      <c r="E8632" s="50"/>
      <c r="F8632" s="51" t="s">
        <v>13</v>
      </c>
      <c r="G8632" s="51" t="str">
        <f>IF(ISNUMBER(F8632),E8632*F8632,"")</f>
        <v/>
      </c>
      <c r="H8632" s="53"/>
      <c r="I8632" s="38"/>
      <c r="J8632" s="37">
        <v>0</v>
      </c>
    </row>
    <row r="8633" spans="1:10" ht="15.75" hidden="1" thickBot="1" x14ac:dyDescent="0.3">
      <c r="A8633" s="173" t="s">
        <v>2073</v>
      </c>
      <c r="B8633" s="176" t="s">
        <v>8534</v>
      </c>
      <c r="C8633" s="31"/>
      <c r="D8633" s="32" t="s">
        <v>3982</v>
      </c>
      <c r="E8633" s="33"/>
      <c r="F8633" s="54" t="s">
        <v>13</v>
      </c>
      <c r="G8633" s="34" t="str">
        <f>IF(ISNUMBER(F8633),E8633*F8633,"")</f>
        <v/>
      </c>
      <c r="H8633" s="35"/>
      <c r="I8633" s="36"/>
      <c r="J8633" s="37">
        <v>0</v>
      </c>
    </row>
    <row r="8634" spans="1:10" hidden="1" x14ac:dyDescent="0.25">
      <c r="A8634" s="179"/>
      <c r="B8634" s="177"/>
      <c r="C8634" s="39"/>
      <c r="D8634" s="39"/>
      <c r="E8634" s="40"/>
      <c r="F8634" s="55" t="s">
        <v>13</v>
      </c>
      <c r="G8634" s="41" t="str">
        <f>IF(ISNUMBER(F8634),E8634*F8634,"")</f>
        <v/>
      </c>
      <c r="H8634" s="42"/>
      <c r="I8634" s="38"/>
      <c r="J8634" s="37">
        <v>0</v>
      </c>
    </row>
    <row r="8635" spans="1:10" hidden="1" x14ac:dyDescent="0.25">
      <c r="A8635" s="179"/>
      <c r="B8635" s="177"/>
      <c r="C8635" s="43" t="s">
        <v>11081</v>
      </c>
      <c r="D8635" s="43" t="s">
        <v>2800</v>
      </c>
      <c r="E8635" s="44" t="e">
        <f>IF(#REF!="Desonerado",ROUND(220/(1+'[1]Serviços SINAPI'!$E$6),4),ROUND(220/(1+'[1]Serviços SINAPI'!$F$6),4))</f>
        <v>#REF!</v>
      </c>
      <c r="F8635" s="38">
        <v>19.845500000000001</v>
      </c>
      <c r="G8635" s="41" t="e">
        <f>IF(ISNUMBER(F8635),E8635*F8635,"")</f>
        <v>#REF!</v>
      </c>
      <c r="H8635" s="46" t="e">
        <f>SUM(G8635:G8635)</f>
        <v>#REF!</v>
      </c>
      <c r="I8635" s="47"/>
      <c r="J8635" s="37">
        <v>0</v>
      </c>
    </row>
    <row r="8636" spans="1:10" hidden="1" x14ac:dyDescent="0.25">
      <c r="A8636" s="179"/>
      <c r="B8636" s="177"/>
      <c r="C8636" s="43"/>
      <c r="D8636" s="43"/>
      <c r="E8636" s="44"/>
      <c r="F8636" s="38"/>
      <c r="G8636" s="41" t="str">
        <f>IF(ISNUMBER(F8636),E8636*F8636,"")</f>
        <v/>
      </c>
      <c r="H8636" s="42"/>
      <c r="I8636" s="47"/>
      <c r="J8636" s="37">
        <v>0</v>
      </c>
    </row>
    <row r="8637" spans="1:10" ht="25.5" hidden="1" x14ac:dyDescent="0.25">
      <c r="A8637" s="179"/>
      <c r="B8637" s="177"/>
      <c r="C8637" s="4" t="s">
        <v>668</v>
      </c>
      <c r="D8637" s="43"/>
      <c r="E8637" s="44"/>
      <c r="F8637" s="38"/>
      <c r="G8637" s="41" t="str">
        <f>IF(ISNUMBER(F8637),E8637*F8637,"")</f>
        <v/>
      </c>
      <c r="H8637" s="42"/>
      <c r="I8637" s="47"/>
      <c r="J8637" s="37">
        <v>0</v>
      </c>
    </row>
    <row r="8638" spans="1:10" ht="15.75" hidden="1" thickBot="1" x14ac:dyDescent="0.3">
      <c r="A8638" s="180"/>
      <c r="B8638" s="178"/>
      <c r="C8638" s="49"/>
      <c r="D8638" s="49"/>
      <c r="E8638" s="50"/>
      <c r="F8638" s="51" t="s">
        <v>13</v>
      </c>
      <c r="G8638" s="52" t="str">
        <f>IF(ISNUMBER(F8638),E8638*F8638,"")</f>
        <v/>
      </c>
      <c r="H8638" s="53"/>
      <c r="I8638" s="38"/>
      <c r="J8638" s="37">
        <v>0</v>
      </c>
    </row>
    <row r="8639" spans="1:10" ht="15.75" hidden="1" thickBot="1" x14ac:dyDescent="0.3">
      <c r="A8639" s="173" t="s">
        <v>2074</v>
      </c>
      <c r="B8639" s="176" t="s">
        <v>8535</v>
      </c>
      <c r="C8639" s="31"/>
      <c r="D8639" s="32" t="s">
        <v>68</v>
      </c>
      <c r="E8639" s="33"/>
      <c r="F8639" s="54" t="s">
        <v>13</v>
      </c>
      <c r="G8639" s="34" t="str">
        <f>IF(ISNUMBER(F8639),E8639*F8639,"")</f>
        <v/>
      </c>
      <c r="H8639" s="35"/>
      <c r="I8639" s="36"/>
      <c r="J8639" s="37">
        <v>0</v>
      </c>
    </row>
    <row r="8640" spans="1:10" hidden="1" x14ac:dyDescent="0.25">
      <c r="A8640" s="179"/>
      <c r="B8640" s="177"/>
      <c r="C8640" s="39"/>
      <c r="D8640" s="39"/>
      <c r="E8640" s="40"/>
      <c r="F8640" s="55" t="s">
        <v>13</v>
      </c>
      <c r="G8640" s="41" t="str">
        <f>IF(ISNUMBER(F8640),E8640*F8640,"")</f>
        <v/>
      </c>
      <c r="H8640" s="42"/>
      <c r="I8640" s="38"/>
      <c r="J8640" s="37">
        <v>0</v>
      </c>
    </row>
    <row r="8641" spans="1:10" hidden="1" x14ac:dyDescent="0.25">
      <c r="A8641" s="179"/>
      <c r="B8641" s="177"/>
      <c r="C8641" s="43" t="s">
        <v>10757</v>
      </c>
      <c r="D8641" s="43" t="s">
        <v>2800</v>
      </c>
      <c r="E8641" s="44">
        <v>0.7</v>
      </c>
      <c r="F8641" s="38">
        <v>31.055499999999995</v>
      </c>
      <c r="G8641" s="41">
        <f>IF(ISNUMBER(F8641),E8641*F8641,"")</f>
        <v>21.738849999999996</v>
      </c>
      <c r="H8641" s="46">
        <f>SUM(G8641:G8643)</f>
        <v>75.582949999999997</v>
      </c>
      <c r="I8641" s="47"/>
      <c r="J8641" s="37">
        <v>0</v>
      </c>
    </row>
    <row r="8642" spans="1:10" hidden="1" x14ac:dyDescent="0.25">
      <c r="A8642" s="179"/>
      <c r="B8642" s="177"/>
      <c r="C8642" s="43" t="s">
        <v>10614</v>
      </c>
      <c r="D8642" s="43" t="s">
        <v>2800</v>
      </c>
      <c r="E8642" s="44">
        <v>0.7</v>
      </c>
      <c r="F8642" s="38">
        <v>23.693000000000001</v>
      </c>
      <c r="G8642" s="41">
        <f>IF(ISNUMBER(F8642),E8642*F8642,"")</f>
        <v>16.585100000000001</v>
      </c>
      <c r="H8642" s="42"/>
      <c r="I8642" s="47"/>
      <c r="J8642" s="37">
        <v>0</v>
      </c>
    </row>
    <row r="8643" spans="1:10" ht="25.5" hidden="1" x14ac:dyDescent="0.25">
      <c r="A8643" s="179"/>
      <c r="B8643" s="177"/>
      <c r="C8643" s="43" t="s">
        <v>11639</v>
      </c>
      <c r="D8643" s="43" t="s">
        <v>162</v>
      </c>
      <c r="E8643" s="44">
        <v>1</v>
      </c>
      <c r="F8643" s="38">
        <v>37.259</v>
      </c>
      <c r="G8643" s="41">
        <f>IF(ISNUMBER(F8643),E8643*F8643,"")</f>
        <v>37.259</v>
      </c>
      <c r="H8643" s="42"/>
      <c r="I8643" s="47"/>
      <c r="J8643" s="37">
        <v>0</v>
      </c>
    </row>
    <row r="8644" spans="1:10" ht="15.75" hidden="1" thickBot="1" x14ac:dyDescent="0.3">
      <c r="A8644" s="180"/>
      <c r="B8644" s="178"/>
      <c r="C8644" s="49"/>
      <c r="D8644" s="49"/>
      <c r="E8644" s="50"/>
      <c r="F8644" s="51" t="s">
        <v>13</v>
      </c>
      <c r="G8644" s="52" t="str">
        <f>IF(ISNUMBER(F8644),E8644*F8644,"")</f>
        <v/>
      </c>
      <c r="H8644" s="53"/>
      <c r="I8644" s="38"/>
      <c r="J8644" s="37">
        <v>0</v>
      </c>
    </row>
    <row r="8645" spans="1:10" ht="15.75" hidden="1" thickBot="1" x14ac:dyDescent="0.3">
      <c r="A8645" s="173" t="s">
        <v>2075</v>
      </c>
      <c r="B8645" s="176" t="s">
        <v>8540</v>
      </c>
      <c r="C8645" s="31"/>
      <c r="D8645" s="32" t="s">
        <v>18</v>
      </c>
      <c r="E8645" s="33"/>
      <c r="F8645" s="54" t="s">
        <v>13</v>
      </c>
      <c r="G8645" s="34" t="str">
        <f>IF(ISNUMBER(F8645),E8645*F8645,"")</f>
        <v/>
      </c>
      <c r="H8645" s="35"/>
      <c r="I8645" s="36"/>
      <c r="J8645" s="37">
        <v>0</v>
      </c>
    </row>
    <row r="8646" spans="1:10" hidden="1" x14ac:dyDescent="0.25">
      <c r="A8646" s="179"/>
      <c r="B8646" s="177"/>
      <c r="C8646" s="39"/>
      <c r="D8646" s="39"/>
      <c r="E8646" s="40"/>
      <c r="F8646" s="55" t="s">
        <v>13</v>
      </c>
      <c r="G8646" s="41" t="str">
        <f>IF(ISNUMBER(F8646),E8646*F8646,"")</f>
        <v/>
      </c>
      <c r="H8646" s="42"/>
      <c r="I8646" s="38"/>
      <c r="J8646" s="37">
        <v>0</v>
      </c>
    </row>
    <row r="8647" spans="1:10" hidden="1" x14ac:dyDescent="0.25">
      <c r="A8647" s="179"/>
      <c r="B8647" s="177"/>
      <c r="C8647" s="43" t="s">
        <v>2076</v>
      </c>
      <c r="D8647" s="43" t="s">
        <v>18</v>
      </c>
      <c r="E8647" s="44">
        <v>1</v>
      </c>
      <c r="F8647" s="38" t="s">
        <v>13</v>
      </c>
      <c r="G8647" s="41" t="str">
        <f>IF(ISNUMBER(F8647),E8647*F8647,"")</f>
        <v/>
      </c>
      <c r="H8647" s="46">
        <f>SUM(G8647:G8647)</f>
        <v>0</v>
      </c>
      <c r="I8647" s="47"/>
      <c r="J8647" s="37">
        <v>0</v>
      </c>
    </row>
    <row r="8648" spans="1:10" ht="15.75" hidden="1" thickBot="1" x14ac:dyDescent="0.3">
      <c r="A8648" s="180"/>
      <c r="B8648" s="178"/>
      <c r="C8648" s="49"/>
      <c r="D8648" s="49"/>
      <c r="E8648" s="50"/>
      <c r="F8648" s="51"/>
      <c r="G8648" s="52" t="str">
        <f>IF(ISNUMBER(F8648),E8648*F8648,"")</f>
        <v/>
      </c>
      <c r="H8648" s="53"/>
      <c r="I8648" s="47"/>
      <c r="J8648" s="37">
        <v>0</v>
      </c>
    </row>
    <row r="8649" spans="1:10" ht="15.75" hidden="1" thickBot="1" x14ac:dyDescent="0.3">
      <c r="A8649" s="173" t="s">
        <v>2077</v>
      </c>
      <c r="B8649" s="176" t="s">
        <v>8555</v>
      </c>
      <c r="C8649" s="31"/>
      <c r="D8649" s="32" t="s">
        <v>3982</v>
      </c>
      <c r="E8649" s="33"/>
      <c r="F8649" s="54" t="s">
        <v>13</v>
      </c>
      <c r="G8649" s="34" t="str">
        <f>IF(ISNUMBER(F8649),E8649*F8649,"")</f>
        <v/>
      </c>
      <c r="H8649" s="35"/>
      <c r="I8649" s="36"/>
      <c r="J8649" s="37">
        <v>0</v>
      </c>
    </row>
    <row r="8650" spans="1:10" hidden="1" x14ac:dyDescent="0.25">
      <c r="A8650" s="179"/>
      <c r="B8650" s="177"/>
      <c r="C8650" s="39"/>
      <c r="D8650" s="39"/>
      <c r="E8650" s="40"/>
      <c r="F8650" s="55" t="s">
        <v>13</v>
      </c>
      <c r="G8650" s="41" t="str">
        <f>IF(ISNUMBER(F8650),E8650*F8650,"")</f>
        <v/>
      </c>
      <c r="H8650" s="42"/>
      <c r="I8650" s="38"/>
      <c r="J8650" s="37">
        <v>0</v>
      </c>
    </row>
    <row r="8651" spans="1:10" hidden="1" x14ac:dyDescent="0.25">
      <c r="A8651" s="179"/>
      <c r="B8651" s="177"/>
      <c r="C8651" s="43" t="s">
        <v>11081</v>
      </c>
      <c r="D8651" s="43" t="s">
        <v>2800</v>
      </c>
      <c r="E8651" s="44" t="e">
        <f>IF(#REF!="Desonerado",ROUND(220/(1+'[1]Serviços SINAPI'!$E$6),4),ROUND(220/(1+'[1]Serviços SINAPI'!$F$6),4))</f>
        <v>#REF!</v>
      </c>
      <c r="F8651" s="38">
        <v>19.845500000000001</v>
      </c>
      <c r="G8651" s="41" t="e">
        <f>IF(ISNUMBER(F8651),E8651*F8651,"")</f>
        <v>#REF!</v>
      </c>
      <c r="H8651" s="46" t="e">
        <f>SUM(G8651:G8651)</f>
        <v>#REF!</v>
      </c>
      <c r="I8651" s="47"/>
      <c r="J8651" s="37">
        <v>0</v>
      </c>
    </row>
    <row r="8652" spans="1:10" hidden="1" x14ac:dyDescent="0.25">
      <c r="A8652" s="179"/>
      <c r="B8652" s="177"/>
      <c r="C8652" s="43"/>
      <c r="D8652" s="43"/>
      <c r="E8652" s="44"/>
      <c r="F8652" s="38"/>
      <c r="G8652" s="41" t="str">
        <f>IF(ISNUMBER(F8652),E8652*F8652,"")</f>
        <v/>
      </c>
      <c r="H8652" s="42"/>
      <c r="I8652" s="47"/>
      <c r="J8652" s="37">
        <v>0</v>
      </c>
    </row>
    <row r="8653" spans="1:10" ht="25.5" hidden="1" x14ac:dyDescent="0.25">
      <c r="A8653" s="179"/>
      <c r="B8653" s="177"/>
      <c r="C8653" s="4" t="s">
        <v>668</v>
      </c>
      <c r="D8653" s="43"/>
      <c r="E8653" s="44"/>
      <c r="F8653" s="38"/>
      <c r="G8653" s="41" t="str">
        <f>IF(ISNUMBER(F8653),E8653*F8653,"")</f>
        <v/>
      </c>
      <c r="H8653" s="42"/>
      <c r="I8653" s="47"/>
      <c r="J8653" s="37">
        <v>0</v>
      </c>
    </row>
    <row r="8654" spans="1:10" ht="15.75" hidden="1" thickBot="1" x14ac:dyDescent="0.3">
      <c r="A8654" s="180"/>
      <c r="B8654" s="178"/>
      <c r="C8654" s="49"/>
      <c r="D8654" s="49"/>
      <c r="E8654" s="50"/>
      <c r="F8654" s="51" t="s">
        <v>13</v>
      </c>
      <c r="G8654" s="52" t="str">
        <f>IF(ISNUMBER(F8654),E8654*F8654,"")</f>
        <v/>
      </c>
      <c r="H8654" s="53"/>
      <c r="I8654" s="38"/>
      <c r="J8654" s="37">
        <v>0</v>
      </c>
    </row>
    <row r="8655" spans="1:10" ht="15.75" hidden="1" thickBot="1" x14ac:dyDescent="0.3">
      <c r="A8655" s="173" t="s">
        <v>2078</v>
      </c>
      <c r="B8655" s="176" t="s">
        <v>8574</v>
      </c>
      <c r="C8655" s="31"/>
      <c r="D8655" s="32" t="s">
        <v>18</v>
      </c>
      <c r="E8655" s="33"/>
      <c r="F8655" s="60" t="s">
        <v>13</v>
      </c>
      <c r="G8655" s="34" t="str">
        <f>IF(ISNUMBER(F8655),E8655*F8655,"")</f>
        <v/>
      </c>
      <c r="H8655" s="35"/>
      <c r="I8655" s="36"/>
      <c r="J8655" s="37">
        <v>0</v>
      </c>
    </row>
    <row r="8656" spans="1:10" hidden="1" x14ac:dyDescent="0.25">
      <c r="A8656" s="179"/>
      <c r="B8656" s="177"/>
      <c r="C8656" s="39"/>
      <c r="D8656" s="39"/>
      <c r="E8656" s="40"/>
      <c r="F8656" s="70" t="s">
        <v>13</v>
      </c>
      <c r="G8656" s="70" t="str">
        <f>IF(ISNUMBER(F8656),E8656*F8656,"")</f>
        <v/>
      </c>
      <c r="H8656" s="71"/>
      <c r="I8656" s="72"/>
      <c r="J8656" s="37">
        <v>0</v>
      </c>
    </row>
    <row r="8657" spans="1:10" hidden="1" x14ac:dyDescent="0.25">
      <c r="A8657" s="179"/>
      <c r="B8657" s="177"/>
      <c r="C8657" s="43" t="s">
        <v>2079</v>
      </c>
      <c r="D8657" s="43" t="s">
        <v>83</v>
      </c>
      <c r="E8657" s="44">
        <v>1</v>
      </c>
      <c r="F8657" s="38" t="s">
        <v>13</v>
      </c>
      <c r="G8657" s="70" t="str">
        <f>IF(ISNUMBER(F8657),E8657*F8657,"")</f>
        <v/>
      </c>
      <c r="H8657" s="46">
        <f>SUM(G8657:G8660)</f>
        <v>87.445462250000006</v>
      </c>
      <c r="I8657" s="47"/>
      <c r="J8657" s="37">
        <v>0</v>
      </c>
    </row>
    <row r="8658" spans="1:10" ht="38.25" hidden="1" x14ac:dyDescent="0.25">
      <c r="A8658" s="179"/>
      <c r="B8658" s="177"/>
      <c r="C8658" s="43" t="s">
        <v>10931</v>
      </c>
      <c r="D8658" s="43" t="s">
        <v>83</v>
      </c>
      <c r="E8658" s="44">
        <v>4</v>
      </c>
      <c r="F8658" s="38">
        <v>0.38949999999999996</v>
      </c>
      <c r="G8658" s="70">
        <f>IF(ISNUMBER(F8658),E8658*F8658,"")</f>
        <v>1.5579999999999998</v>
      </c>
      <c r="H8658" s="71"/>
      <c r="I8658" s="72"/>
      <c r="J8658" s="37">
        <v>0</v>
      </c>
    </row>
    <row r="8659" spans="1:10" hidden="1" x14ac:dyDescent="0.25">
      <c r="A8659" s="179"/>
      <c r="B8659" s="177"/>
      <c r="C8659" s="43" t="s">
        <v>10762</v>
      </c>
      <c r="D8659" s="43" t="s">
        <v>2800</v>
      </c>
      <c r="E8659" s="44">
        <v>1.5233000000000001</v>
      </c>
      <c r="F8659" s="38">
        <v>24.946999999999999</v>
      </c>
      <c r="G8659" s="70">
        <f>IF(ISNUMBER(F8659),E8659*F8659,"")</f>
        <v>38.0017651</v>
      </c>
      <c r="H8659" s="71"/>
      <c r="I8659" s="72"/>
      <c r="J8659" s="37">
        <v>0</v>
      </c>
    </row>
    <row r="8660" spans="1:10" hidden="1" x14ac:dyDescent="0.25">
      <c r="A8660" s="179"/>
      <c r="B8660" s="177"/>
      <c r="C8660" s="43" t="s">
        <v>10763</v>
      </c>
      <c r="D8660" s="43" t="s">
        <v>2800</v>
      </c>
      <c r="E8660" s="44">
        <v>1.5233000000000001</v>
      </c>
      <c r="F8660" s="38">
        <v>31.435500000000001</v>
      </c>
      <c r="G8660" s="70">
        <f>IF(ISNUMBER(F8660),E8660*F8660,"")</f>
        <v>47.885697150000006</v>
      </c>
      <c r="H8660" s="71"/>
      <c r="I8660" s="72"/>
      <c r="J8660" s="37">
        <v>0</v>
      </c>
    </row>
    <row r="8661" spans="1:10" ht="15.75" hidden="1" thickBot="1" x14ac:dyDescent="0.3">
      <c r="A8661" s="180"/>
      <c r="B8661" s="178"/>
      <c r="C8661" s="49"/>
      <c r="D8661" s="63"/>
      <c r="E8661" s="50"/>
      <c r="F8661" s="83" t="s">
        <v>13</v>
      </c>
      <c r="G8661" s="83" t="str">
        <f>IF(ISNUMBER(F8661),E8661*F8661,"")</f>
        <v/>
      </c>
      <c r="H8661" s="84"/>
      <c r="I8661" s="72"/>
      <c r="J8661" s="37">
        <v>0</v>
      </c>
    </row>
    <row r="8662" spans="1:10" ht="15.75" hidden="1" thickBot="1" x14ac:dyDescent="0.3">
      <c r="A8662" s="173" t="s">
        <v>2080</v>
      </c>
      <c r="B8662" s="176" t="s">
        <v>8575</v>
      </c>
      <c r="C8662" s="31"/>
      <c r="D8662" s="32" t="s">
        <v>2975</v>
      </c>
      <c r="E8662" s="33"/>
      <c r="F8662" s="54" t="s">
        <v>13</v>
      </c>
      <c r="G8662" s="34" t="str">
        <f>IF(ISNUMBER(F8662),E8662*F8662,"")</f>
        <v/>
      </c>
      <c r="H8662" s="35"/>
      <c r="I8662" s="36"/>
      <c r="J8662" s="37">
        <v>0</v>
      </c>
    </row>
    <row r="8663" spans="1:10" hidden="1" x14ac:dyDescent="0.25">
      <c r="A8663" s="179"/>
      <c r="B8663" s="177"/>
      <c r="C8663" s="39"/>
      <c r="D8663" s="39"/>
      <c r="E8663" s="40"/>
      <c r="F8663" s="55" t="s">
        <v>13</v>
      </c>
      <c r="G8663" s="41" t="str">
        <f>IF(ISNUMBER(F8663),E8663*F8663,"")</f>
        <v/>
      </c>
      <c r="H8663" s="42"/>
      <c r="I8663" s="38"/>
      <c r="J8663" s="37">
        <v>0</v>
      </c>
    </row>
    <row r="8664" spans="1:10" ht="25.5" hidden="1" x14ac:dyDescent="0.25">
      <c r="A8664" s="179"/>
      <c r="B8664" s="177"/>
      <c r="C8664" s="43" t="s">
        <v>10611</v>
      </c>
      <c r="D8664" s="43" t="s">
        <v>2800</v>
      </c>
      <c r="E8664" s="44">
        <v>1</v>
      </c>
      <c r="F8664" s="38">
        <v>142.75650000000002</v>
      </c>
      <c r="G8664" s="41">
        <f>IF(ISNUMBER(F8664),E8664*F8664,"")</f>
        <v>142.75650000000002</v>
      </c>
      <c r="H8664" s="46">
        <f>SUM(G8664:G8664)</f>
        <v>142.75650000000002</v>
      </c>
      <c r="I8664" s="47"/>
      <c r="J8664" s="37">
        <v>0</v>
      </c>
    </row>
    <row r="8665" spans="1:10" ht="15.75" hidden="1" thickBot="1" x14ac:dyDescent="0.3">
      <c r="A8665" s="180"/>
      <c r="B8665" s="178"/>
      <c r="C8665" s="49"/>
      <c r="D8665" s="49"/>
      <c r="E8665" s="50"/>
      <c r="F8665" s="51"/>
      <c r="G8665" s="52" t="str">
        <f>IF(ISNUMBER(F8665),E8665*F8665,"")</f>
        <v/>
      </c>
      <c r="H8665" s="53"/>
      <c r="I8665" s="47"/>
      <c r="J8665" s="37">
        <v>0</v>
      </c>
    </row>
    <row r="8666" spans="1:10" ht="15.75" hidden="1" thickBot="1" x14ac:dyDescent="0.3">
      <c r="A8666" s="173" t="s">
        <v>2081</v>
      </c>
      <c r="B8666" s="176" t="s">
        <v>8582</v>
      </c>
      <c r="C8666" s="31"/>
      <c r="D8666" s="32" t="s">
        <v>18</v>
      </c>
      <c r="E8666" s="33"/>
      <c r="F8666" s="60" t="s">
        <v>13</v>
      </c>
      <c r="G8666" s="34" t="str">
        <f>IF(ISNUMBER(F8666),E8666*F8666,"")</f>
        <v/>
      </c>
      <c r="H8666" s="35"/>
      <c r="I8666" s="36"/>
      <c r="J8666" s="37">
        <v>0</v>
      </c>
    </row>
    <row r="8667" spans="1:10" hidden="1" x14ac:dyDescent="0.25">
      <c r="A8667" s="179"/>
      <c r="B8667" s="177"/>
      <c r="C8667" s="39"/>
      <c r="D8667" s="39"/>
      <c r="E8667" s="40"/>
      <c r="F8667" s="70" t="s">
        <v>13</v>
      </c>
      <c r="G8667" s="70" t="str">
        <f>IF(ISNUMBER(F8667),E8667*F8667,"")</f>
        <v/>
      </c>
      <c r="H8667" s="71"/>
      <c r="I8667" s="72"/>
      <c r="J8667" s="37">
        <v>0</v>
      </c>
    </row>
    <row r="8668" spans="1:10" hidden="1" x14ac:dyDescent="0.25">
      <c r="A8668" s="179"/>
      <c r="B8668" s="177"/>
      <c r="C8668" s="43" t="s">
        <v>2082</v>
      </c>
      <c r="D8668" s="43" t="s">
        <v>83</v>
      </c>
      <c r="E8668" s="44">
        <v>1</v>
      </c>
      <c r="F8668" s="38" t="s">
        <v>13</v>
      </c>
      <c r="G8668" s="70" t="str">
        <f>IF(ISNUMBER(F8668),E8668*F8668,"")</f>
        <v/>
      </c>
      <c r="H8668" s="46">
        <f>SUM(G8668:G8670)</f>
        <v>6.9243474714000008</v>
      </c>
      <c r="I8668" s="47"/>
      <c r="J8668" s="37">
        <v>0</v>
      </c>
    </row>
    <row r="8669" spans="1:10" hidden="1" x14ac:dyDescent="0.25">
      <c r="A8669" s="179"/>
      <c r="B8669" s="177"/>
      <c r="C8669" s="43" t="s">
        <v>10762</v>
      </c>
      <c r="D8669" s="43" t="s">
        <v>2800</v>
      </c>
      <c r="E8669" s="44">
        <v>5.5156200000000002E-2</v>
      </c>
      <c r="F8669" s="38">
        <v>24.946999999999999</v>
      </c>
      <c r="G8669" s="70">
        <f>IF(ISNUMBER(F8669),E8669*F8669,"")</f>
        <v>1.3759817214000001</v>
      </c>
      <c r="H8669" s="71"/>
      <c r="I8669" s="72"/>
      <c r="J8669" s="37">
        <v>0</v>
      </c>
    </row>
    <row r="8670" spans="1:10" hidden="1" x14ac:dyDescent="0.25">
      <c r="A8670" s="179"/>
      <c r="B8670" s="177"/>
      <c r="C8670" s="43" t="s">
        <v>10763</v>
      </c>
      <c r="D8670" s="43" t="s">
        <v>2800</v>
      </c>
      <c r="E8670" s="44">
        <v>0.17649999999999999</v>
      </c>
      <c r="F8670" s="38">
        <v>31.435500000000001</v>
      </c>
      <c r="G8670" s="70">
        <f>IF(ISNUMBER(F8670),E8670*F8670,"")</f>
        <v>5.5483657500000003</v>
      </c>
      <c r="H8670" s="71"/>
      <c r="I8670" s="72"/>
      <c r="J8670" s="37">
        <v>0</v>
      </c>
    </row>
    <row r="8671" spans="1:10" ht="15.75" hidden="1" thickBot="1" x14ac:dyDescent="0.3">
      <c r="A8671" s="180"/>
      <c r="B8671" s="178"/>
      <c r="C8671" s="49"/>
      <c r="D8671" s="63"/>
      <c r="E8671" s="50"/>
      <c r="F8671" s="83" t="s">
        <v>13</v>
      </c>
      <c r="G8671" s="83" t="str">
        <f>IF(ISNUMBER(F8671),E8671*F8671,"")</f>
        <v/>
      </c>
      <c r="H8671" s="84"/>
      <c r="I8671" s="72"/>
      <c r="J8671" s="37">
        <v>0</v>
      </c>
    </row>
    <row r="8672" spans="1:10" ht="15.75" hidden="1" thickBot="1" x14ac:dyDescent="0.3">
      <c r="A8672" s="173" t="s">
        <v>2083</v>
      </c>
      <c r="B8672" s="176" t="s">
        <v>8583</v>
      </c>
      <c r="C8672" s="31"/>
      <c r="D8672" s="32" t="s">
        <v>18</v>
      </c>
      <c r="E8672" s="33"/>
      <c r="F8672" s="54" t="s">
        <v>13</v>
      </c>
      <c r="G8672" s="34" t="str">
        <f>IF(ISNUMBER(F8672),E8672*F8672,"")</f>
        <v/>
      </c>
      <c r="H8672" s="35"/>
      <c r="I8672" s="36"/>
      <c r="J8672" s="37">
        <v>0</v>
      </c>
    </row>
    <row r="8673" spans="1:10" hidden="1" x14ac:dyDescent="0.25">
      <c r="A8673" s="174"/>
      <c r="B8673" s="177"/>
      <c r="C8673" s="39"/>
      <c r="D8673" s="39"/>
      <c r="E8673" s="40"/>
      <c r="F8673" s="55" t="s">
        <v>13</v>
      </c>
      <c r="G8673" s="38" t="str">
        <f>IF(ISNUMBER(F8673),E8673*F8673,"")</f>
        <v/>
      </c>
      <c r="H8673" s="42"/>
      <c r="I8673" s="38"/>
      <c r="J8673" s="37">
        <v>0</v>
      </c>
    </row>
    <row r="8674" spans="1:10" ht="51" hidden="1" x14ac:dyDescent="0.25">
      <c r="A8674" s="174"/>
      <c r="B8674" s="177"/>
      <c r="C8674" s="43" t="s">
        <v>2084</v>
      </c>
      <c r="D8674" s="43" t="s">
        <v>87</v>
      </c>
      <c r="E8674" s="44">
        <v>1</v>
      </c>
      <c r="F8674" s="41" t="s">
        <v>13</v>
      </c>
      <c r="G8674" s="38" t="str">
        <f>IF(ISNUMBER(F8674),E8674*F8674,"")</f>
        <v/>
      </c>
      <c r="H8674" s="46">
        <f>SUM(G8674:G8679)</f>
        <v>15.041333137500001</v>
      </c>
      <c r="I8674" s="47"/>
      <c r="J8674" s="37">
        <v>0</v>
      </c>
    </row>
    <row r="8675" spans="1:10" ht="25.5" hidden="1" x14ac:dyDescent="0.25">
      <c r="A8675" s="174"/>
      <c r="B8675" s="177"/>
      <c r="C8675" s="43" t="s">
        <v>410</v>
      </c>
      <c r="D8675" s="43" t="s">
        <v>106</v>
      </c>
      <c r="E8675" s="44">
        <v>1.5</v>
      </c>
      <c r="F8675" s="41" t="s">
        <v>13</v>
      </c>
      <c r="G8675" s="38" t="str">
        <f>IF(ISNUMBER(F8675),E8675*F8675,"")</f>
        <v/>
      </c>
      <c r="H8675" s="42"/>
      <c r="I8675" s="38"/>
      <c r="J8675" s="37">
        <v>0</v>
      </c>
    </row>
    <row r="8676" spans="1:10" hidden="1" x14ac:dyDescent="0.25">
      <c r="A8676" s="174"/>
      <c r="B8676" s="177"/>
      <c r="C8676" s="43" t="s">
        <v>411</v>
      </c>
      <c r="D8676" s="43" t="s">
        <v>87</v>
      </c>
      <c r="E8676" s="44">
        <v>1</v>
      </c>
      <c r="F8676" s="41" t="s">
        <v>13</v>
      </c>
      <c r="G8676" s="38" t="str">
        <f>IF(ISNUMBER(F8676),E8676*F8676,"")</f>
        <v/>
      </c>
      <c r="H8676" s="42"/>
      <c r="I8676" s="38"/>
      <c r="J8676" s="37">
        <v>0</v>
      </c>
    </row>
    <row r="8677" spans="1:10" hidden="1" x14ac:dyDescent="0.25">
      <c r="A8677" s="174"/>
      <c r="B8677" s="177"/>
      <c r="C8677" s="43" t="s">
        <v>412</v>
      </c>
      <c r="D8677" s="43" t="s">
        <v>87</v>
      </c>
      <c r="E8677" s="44">
        <v>1</v>
      </c>
      <c r="F8677" s="41" t="s">
        <v>13</v>
      </c>
      <c r="G8677" s="38" t="str">
        <f>IF(ISNUMBER(F8677),E8677*F8677,"")</f>
        <v/>
      </c>
      <c r="H8677" s="42"/>
      <c r="I8677" s="38"/>
      <c r="J8677" s="37">
        <v>0</v>
      </c>
    </row>
    <row r="8678" spans="1:10" hidden="1" x14ac:dyDescent="0.25">
      <c r="A8678" s="174"/>
      <c r="B8678" s="177"/>
      <c r="C8678" s="43" t="s">
        <v>10762</v>
      </c>
      <c r="D8678" s="43" t="s">
        <v>2800</v>
      </c>
      <c r="E8678" s="44">
        <v>0.1198125</v>
      </c>
      <c r="F8678" s="38">
        <v>24.946999999999999</v>
      </c>
      <c r="G8678" s="41">
        <f>IF(ISNUMBER(F8678),E8678*F8678,"")</f>
        <v>2.9889624375000001</v>
      </c>
      <c r="H8678" s="42"/>
      <c r="I8678" s="38"/>
      <c r="J8678" s="37">
        <v>0</v>
      </c>
    </row>
    <row r="8679" spans="1:10" hidden="1" x14ac:dyDescent="0.25">
      <c r="A8679" s="174"/>
      <c r="B8679" s="177"/>
      <c r="C8679" s="43" t="s">
        <v>10763</v>
      </c>
      <c r="D8679" s="43" t="s">
        <v>2800</v>
      </c>
      <c r="E8679" s="44">
        <v>0.38340000000000002</v>
      </c>
      <c r="F8679" s="38">
        <v>31.435500000000001</v>
      </c>
      <c r="G8679" s="38">
        <f>IF(ISNUMBER(F8679),E8679*F8679,"")</f>
        <v>12.052370700000001</v>
      </c>
      <c r="H8679" s="42"/>
      <c r="I8679" s="38"/>
      <c r="J8679" s="37">
        <v>0</v>
      </c>
    </row>
    <row r="8680" spans="1:10" ht="15.75" hidden="1" thickBot="1" x14ac:dyDescent="0.3">
      <c r="A8680" s="175"/>
      <c r="B8680" s="178"/>
      <c r="C8680" s="49"/>
      <c r="D8680" s="49"/>
      <c r="E8680" s="50"/>
      <c r="F8680" s="51" t="s">
        <v>13</v>
      </c>
      <c r="G8680" s="51" t="str">
        <f>IF(ISNUMBER(F8680),E8680*F8680,"")</f>
        <v/>
      </c>
      <c r="H8680" s="53"/>
      <c r="I8680" s="38"/>
      <c r="J8680" s="37">
        <v>0</v>
      </c>
    </row>
    <row r="8681" spans="1:10" ht="15.75" hidden="1" thickBot="1" x14ac:dyDescent="0.3">
      <c r="A8681" s="173" t="s">
        <v>2085</v>
      </c>
      <c r="B8681" s="176" t="s">
        <v>8584</v>
      </c>
      <c r="C8681" s="31"/>
      <c r="D8681" s="32" t="s">
        <v>68</v>
      </c>
      <c r="E8681" s="33"/>
      <c r="F8681" s="54" t="s">
        <v>13</v>
      </c>
      <c r="G8681" s="34" t="str">
        <f>IF(ISNUMBER(F8681),E8681*F8681,"")</f>
        <v/>
      </c>
      <c r="H8681" s="35"/>
      <c r="I8681" s="36"/>
      <c r="J8681" s="37">
        <v>0</v>
      </c>
    </row>
    <row r="8682" spans="1:10" hidden="1" x14ac:dyDescent="0.25">
      <c r="A8682" s="179"/>
      <c r="B8682" s="177"/>
      <c r="C8682" s="39"/>
      <c r="D8682" s="39"/>
      <c r="E8682" s="40"/>
      <c r="F8682" s="55" t="s">
        <v>13</v>
      </c>
      <c r="G8682" s="41" t="str">
        <f>IF(ISNUMBER(F8682),E8682*F8682,"")</f>
        <v/>
      </c>
      <c r="H8682" s="42"/>
      <c r="I8682" s="38"/>
      <c r="J8682" s="37">
        <v>0</v>
      </c>
    </row>
    <row r="8683" spans="1:10" ht="51" hidden="1" x14ac:dyDescent="0.25">
      <c r="A8683" s="179"/>
      <c r="B8683" s="177"/>
      <c r="C8683" s="43" t="s">
        <v>2086</v>
      </c>
      <c r="D8683" s="43" t="s">
        <v>1044</v>
      </c>
      <c r="E8683" s="44">
        <v>4</v>
      </c>
      <c r="F8683" s="38" t="s">
        <v>13</v>
      </c>
      <c r="G8683" s="41" t="str">
        <f>IF(ISNUMBER(F8683),E8683*F8683,"")</f>
        <v/>
      </c>
      <c r="H8683" s="46">
        <f>SUM(G8683:G8685)</f>
        <v>22.071976049999996</v>
      </c>
      <c r="I8683" s="47"/>
      <c r="J8683" s="37">
        <v>0</v>
      </c>
    </row>
    <row r="8684" spans="1:10" hidden="1" x14ac:dyDescent="0.25">
      <c r="A8684" s="179"/>
      <c r="B8684" s="177"/>
      <c r="C8684" s="43" t="s">
        <v>10750</v>
      </c>
      <c r="D8684" s="43" t="s">
        <v>2800</v>
      </c>
      <c r="E8684" s="44">
        <v>0.13619999999999999</v>
      </c>
      <c r="F8684" s="38">
        <v>24.358000000000001</v>
      </c>
      <c r="G8684" s="41">
        <f>IF(ISNUMBER(F8684),E8684*F8684,"")</f>
        <v>3.3175595999999996</v>
      </c>
      <c r="H8684" s="42"/>
      <c r="I8684" s="47"/>
      <c r="J8684" s="37">
        <v>0</v>
      </c>
    </row>
    <row r="8685" spans="1:10" hidden="1" x14ac:dyDescent="0.25">
      <c r="A8685" s="179"/>
      <c r="B8685" s="177"/>
      <c r="C8685" s="43" t="s">
        <v>10850</v>
      </c>
      <c r="D8685" s="43" t="s">
        <v>2800</v>
      </c>
      <c r="E8685" s="44">
        <v>0.60389999999999999</v>
      </c>
      <c r="F8685" s="38">
        <v>31.055499999999995</v>
      </c>
      <c r="G8685" s="41">
        <f>IF(ISNUMBER(F8685),E8685*F8685,"")</f>
        <v>18.754416449999997</v>
      </c>
      <c r="H8685" s="42"/>
      <c r="I8685" s="47"/>
      <c r="J8685" s="37">
        <v>0</v>
      </c>
    </row>
    <row r="8686" spans="1:10" ht="15.75" hidden="1" thickBot="1" x14ac:dyDescent="0.3">
      <c r="A8686" s="180"/>
      <c r="B8686" s="178"/>
      <c r="C8686" s="49"/>
      <c r="D8686" s="49"/>
      <c r="E8686" s="50"/>
      <c r="F8686" s="51" t="s">
        <v>13</v>
      </c>
      <c r="G8686" s="52" t="str">
        <f>IF(ISNUMBER(F8686),E8686*F8686,"")</f>
        <v/>
      </c>
      <c r="H8686" s="53"/>
      <c r="I8686" s="38"/>
      <c r="J8686" s="37">
        <v>0</v>
      </c>
    </row>
    <row r="8687" spans="1:10" ht="15.75" hidden="1" thickBot="1" x14ac:dyDescent="0.3">
      <c r="A8687" s="173" t="s">
        <v>2087</v>
      </c>
      <c r="B8687" s="176" t="s">
        <v>8587</v>
      </c>
      <c r="C8687" s="31"/>
      <c r="D8687" s="32" t="s">
        <v>18</v>
      </c>
      <c r="E8687" s="33"/>
      <c r="F8687" s="54" t="s">
        <v>13</v>
      </c>
      <c r="G8687" s="34" t="str">
        <f>IF(ISNUMBER(F8687),E8687*F8687,"")</f>
        <v/>
      </c>
      <c r="H8687" s="35"/>
      <c r="I8687" s="36"/>
      <c r="J8687" s="37">
        <v>0</v>
      </c>
    </row>
    <row r="8688" spans="1:10" hidden="1" x14ac:dyDescent="0.25">
      <c r="A8688" s="174"/>
      <c r="B8688" s="177"/>
      <c r="C8688" s="39"/>
      <c r="D8688" s="39"/>
      <c r="E8688" s="40"/>
      <c r="F8688" s="55" t="s">
        <v>13</v>
      </c>
      <c r="G8688" s="38" t="str">
        <f>IF(ISNUMBER(F8688),E8688*F8688,"")</f>
        <v/>
      </c>
      <c r="H8688" s="42"/>
      <c r="I8688" s="38"/>
      <c r="J8688" s="37">
        <v>0</v>
      </c>
    </row>
    <row r="8689" spans="1:10" hidden="1" x14ac:dyDescent="0.25">
      <c r="A8689" s="174"/>
      <c r="B8689" s="177"/>
      <c r="C8689" s="43" t="s">
        <v>10762</v>
      </c>
      <c r="D8689" s="43" t="s">
        <v>2800</v>
      </c>
      <c r="E8689" s="44">
        <v>0.32</v>
      </c>
      <c r="F8689" s="38">
        <v>24.946999999999999</v>
      </c>
      <c r="G8689" s="41">
        <f>IF(ISNUMBER(F8689),E8689*F8689,"")</f>
        <v>7.9830399999999999</v>
      </c>
      <c r="H8689" s="46">
        <f>SUM(G8689:G8691)</f>
        <v>18.042400000000001</v>
      </c>
      <c r="I8689" s="47"/>
      <c r="J8689" s="37">
        <v>0</v>
      </c>
    </row>
    <row r="8690" spans="1:10" hidden="1" x14ac:dyDescent="0.25">
      <c r="A8690" s="174"/>
      <c r="B8690" s="177"/>
      <c r="C8690" s="43" t="s">
        <v>10763</v>
      </c>
      <c r="D8690" s="43" t="s">
        <v>2800</v>
      </c>
      <c r="E8690" s="44">
        <v>0.32</v>
      </c>
      <c r="F8690" s="38">
        <v>31.435500000000001</v>
      </c>
      <c r="G8690" s="41">
        <f>IF(ISNUMBER(F8690),E8690*F8690,"")</f>
        <v>10.05936</v>
      </c>
      <c r="H8690" s="42"/>
      <c r="I8690" s="38"/>
      <c r="J8690" s="37">
        <v>0</v>
      </c>
    </row>
    <row r="8691" spans="1:10" hidden="1" x14ac:dyDescent="0.25">
      <c r="A8691" s="174"/>
      <c r="B8691" s="177"/>
      <c r="C8691" s="43" t="s">
        <v>2088</v>
      </c>
      <c r="D8691" s="43" t="s">
        <v>87</v>
      </c>
      <c r="E8691" s="44">
        <v>1</v>
      </c>
      <c r="F8691" s="41" t="s">
        <v>13</v>
      </c>
      <c r="G8691" s="41" t="str">
        <f>IF(ISNUMBER(F8691),E8691*F8691,"")</f>
        <v/>
      </c>
      <c r="H8691" s="42"/>
      <c r="I8691" s="38"/>
      <c r="J8691" s="37">
        <v>0</v>
      </c>
    </row>
    <row r="8692" spans="1:10" ht="15.75" hidden="1" thickBot="1" x14ac:dyDescent="0.3">
      <c r="A8692" s="175"/>
      <c r="B8692" s="178"/>
      <c r="C8692" s="49"/>
      <c r="D8692" s="49"/>
      <c r="E8692" s="50"/>
      <c r="F8692" s="51" t="s">
        <v>13</v>
      </c>
      <c r="G8692" s="51" t="str">
        <f>IF(ISNUMBER(F8692),E8692*F8692,"")</f>
        <v/>
      </c>
      <c r="H8692" s="53"/>
      <c r="I8692" s="38"/>
      <c r="J8692" s="37">
        <v>0</v>
      </c>
    </row>
    <row r="8693" spans="1:10" ht="15.75" hidden="1" thickBot="1" x14ac:dyDescent="0.3">
      <c r="A8693" s="173" t="s">
        <v>2089</v>
      </c>
      <c r="B8693" s="176" t="s">
        <v>8588</v>
      </c>
      <c r="C8693" s="31"/>
      <c r="D8693" s="32" t="s">
        <v>106</v>
      </c>
      <c r="E8693" s="33"/>
      <c r="F8693" s="54" t="s">
        <v>13</v>
      </c>
      <c r="G8693" s="34" t="str">
        <f>IF(ISNUMBER(F8693),E8693*F8693,"")</f>
        <v/>
      </c>
      <c r="H8693" s="35"/>
      <c r="I8693" s="36"/>
      <c r="J8693" s="37">
        <v>0</v>
      </c>
    </row>
    <row r="8694" spans="1:10" hidden="1" x14ac:dyDescent="0.25">
      <c r="A8694" s="174"/>
      <c r="B8694" s="177"/>
      <c r="C8694" s="39"/>
      <c r="D8694" s="39"/>
      <c r="E8694" s="40"/>
      <c r="F8694" s="55" t="s">
        <v>13</v>
      </c>
      <c r="G8694" s="38" t="str">
        <f>IF(ISNUMBER(F8694),E8694*F8694,"")</f>
        <v/>
      </c>
      <c r="H8694" s="42"/>
      <c r="I8694" s="38"/>
      <c r="J8694" s="37">
        <v>0</v>
      </c>
    </row>
    <row r="8695" spans="1:10" hidden="1" x14ac:dyDescent="0.25">
      <c r="A8695" s="174"/>
      <c r="B8695" s="177"/>
      <c r="C8695" s="43" t="s">
        <v>10762</v>
      </c>
      <c r="D8695" s="43" t="s">
        <v>2800</v>
      </c>
      <c r="E8695" s="44">
        <v>2.9000000000000001E-2</v>
      </c>
      <c r="F8695" s="38">
        <v>24.946999999999999</v>
      </c>
      <c r="G8695" s="41">
        <f>IF(ISNUMBER(F8695),E8695*F8695,"")</f>
        <v>0.72346299999999997</v>
      </c>
      <c r="H8695" s="46">
        <f>SUM(G8695:G8698)</f>
        <v>1.6760812</v>
      </c>
      <c r="I8695" s="47"/>
      <c r="J8695" s="37">
        <v>0</v>
      </c>
    </row>
    <row r="8696" spans="1:10" hidden="1" x14ac:dyDescent="0.25">
      <c r="A8696" s="174"/>
      <c r="B8696" s="177"/>
      <c r="C8696" s="43" t="s">
        <v>10763</v>
      </c>
      <c r="D8696" s="43" t="s">
        <v>2800</v>
      </c>
      <c r="E8696" s="44">
        <v>2.9000000000000001E-2</v>
      </c>
      <c r="F8696" s="38">
        <v>31.435500000000001</v>
      </c>
      <c r="G8696" s="41">
        <f>IF(ISNUMBER(F8696),E8696*F8696,"")</f>
        <v>0.91162950000000009</v>
      </c>
      <c r="H8696" s="42"/>
      <c r="I8696" s="38"/>
      <c r="J8696" s="37">
        <v>0</v>
      </c>
    </row>
    <row r="8697" spans="1:10" ht="25.5" hidden="1" x14ac:dyDescent="0.25">
      <c r="A8697" s="174"/>
      <c r="B8697" s="177"/>
      <c r="C8697" s="43" t="s">
        <v>2090</v>
      </c>
      <c r="D8697" s="43" t="s">
        <v>106</v>
      </c>
      <c r="E8697" s="44">
        <v>1.2434000000000001</v>
      </c>
      <c r="F8697" s="41" t="s">
        <v>13</v>
      </c>
      <c r="G8697" s="41" t="str">
        <f>IF(ISNUMBER(F8697),E8697*F8697,"")</f>
        <v/>
      </c>
      <c r="H8697" s="42"/>
      <c r="I8697" s="38"/>
      <c r="J8697" s="37">
        <v>0</v>
      </c>
    </row>
    <row r="8698" spans="1:10" ht="25.5" hidden="1" x14ac:dyDescent="0.25">
      <c r="A8698" s="174"/>
      <c r="B8698" s="177"/>
      <c r="C8698" s="43" t="s">
        <v>10946</v>
      </c>
      <c r="D8698" s="43" t="s">
        <v>83</v>
      </c>
      <c r="E8698" s="44">
        <v>9.4000000000000004E-3</v>
      </c>
      <c r="F8698" s="41">
        <v>4.3605</v>
      </c>
      <c r="G8698" s="41">
        <f>IF(ISNUMBER(F8698),E8698*F8698,"")</f>
        <v>4.0988700000000003E-2</v>
      </c>
      <c r="H8698" s="42"/>
      <c r="I8698" s="38"/>
      <c r="J8698" s="37">
        <v>0</v>
      </c>
    </row>
    <row r="8699" spans="1:10" ht="15.75" hidden="1" thickBot="1" x14ac:dyDescent="0.3">
      <c r="A8699" s="175"/>
      <c r="B8699" s="178"/>
      <c r="C8699" s="49"/>
      <c r="D8699" s="49"/>
      <c r="E8699" s="50"/>
      <c r="F8699" s="51" t="s">
        <v>13</v>
      </c>
      <c r="G8699" s="51" t="str">
        <f>IF(ISNUMBER(F8699),E8699*F8699,"")</f>
        <v/>
      </c>
      <c r="H8699" s="53"/>
      <c r="I8699" s="38"/>
      <c r="J8699" s="37">
        <v>0</v>
      </c>
    </row>
    <row r="8700" spans="1:10" ht="15.75" hidden="1" thickBot="1" x14ac:dyDescent="0.3">
      <c r="A8700" s="173" t="s">
        <v>2091</v>
      </c>
      <c r="B8700" s="176" t="s">
        <v>8589</v>
      </c>
      <c r="C8700" s="31"/>
      <c r="D8700" s="32" t="s">
        <v>18</v>
      </c>
      <c r="E8700" s="33"/>
      <c r="F8700" s="54" t="s">
        <v>13</v>
      </c>
      <c r="G8700" s="34" t="str">
        <f>IF(ISNUMBER(F8700),E8700*F8700,"")</f>
        <v/>
      </c>
      <c r="H8700" s="35"/>
      <c r="I8700" s="36"/>
      <c r="J8700" s="37">
        <v>0</v>
      </c>
    </row>
    <row r="8701" spans="1:10" hidden="1" x14ac:dyDescent="0.25">
      <c r="A8701" s="174"/>
      <c r="B8701" s="177"/>
      <c r="C8701" s="39"/>
      <c r="D8701" s="39"/>
      <c r="E8701" s="40"/>
      <c r="F8701" s="55" t="s">
        <v>13</v>
      </c>
      <c r="G8701" s="38" t="str">
        <f>IF(ISNUMBER(F8701),E8701*F8701,"")</f>
        <v/>
      </c>
      <c r="H8701" s="42"/>
      <c r="I8701" s="38"/>
      <c r="J8701" s="37">
        <v>0</v>
      </c>
    </row>
    <row r="8702" spans="1:10" hidden="1" x14ac:dyDescent="0.25">
      <c r="A8702" s="174"/>
      <c r="B8702" s="177"/>
      <c r="C8702" s="43" t="s">
        <v>10762</v>
      </c>
      <c r="D8702" s="43" t="s">
        <v>2800</v>
      </c>
      <c r="E8702" s="44">
        <v>2</v>
      </c>
      <c r="F8702" s="38">
        <v>24.946999999999999</v>
      </c>
      <c r="G8702" s="41">
        <f>IF(ISNUMBER(F8702),E8702*F8702,"")</f>
        <v>49.893999999999998</v>
      </c>
      <c r="H8702" s="46">
        <f>SUM(G8702:G8704)</f>
        <v>112.765</v>
      </c>
      <c r="I8702" s="47"/>
      <c r="J8702" s="37">
        <v>0</v>
      </c>
    </row>
    <row r="8703" spans="1:10" hidden="1" x14ac:dyDescent="0.25">
      <c r="A8703" s="174"/>
      <c r="B8703" s="177"/>
      <c r="C8703" s="43" t="s">
        <v>10763</v>
      </c>
      <c r="D8703" s="43" t="s">
        <v>2800</v>
      </c>
      <c r="E8703" s="44">
        <v>2</v>
      </c>
      <c r="F8703" s="38">
        <v>31.435500000000001</v>
      </c>
      <c r="G8703" s="41">
        <f>IF(ISNUMBER(F8703),E8703*F8703,"")</f>
        <v>62.871000000000002</v>
      </c>
      <c r="H8703" s="42"/>
      <c r="I8703" s="38"/>
      <c r="J8703" s="37">
        <v>0</v>
      </c>
    </row>
    <row r="8704" spans="1:10" hidden="1" x14ac:dyDescent="0.25">
      <c r="A8704" s="174"/>
      <c r="B8704" s="177"/>
      <c r="C8704" s="43" t="s">
        <v>2092</v>
      </c>
      <c r="D8704" s="43" t="s">
        <v>87</v>
      </c>
      <c r="E8704" s="44">
        <v>1</v>
      </c>
      <c r="F8704" s="41" t="s">
        <v>13</v>
      </c>
      <c r="G8704" s="41" t="str">
        <f>IF(ISNUMBER(F8704),E8704*F8704,"")</f>
        <v/>
      </c>
      <c r="H8704" s="42"/>
      <c r="I8704" s="38"/>
      <c r="J8704" s="37">
        <v>0</v>
      </c>
    </row>
    <row r="8705" spans="1:10" ht="15.75" hidden="1" thickBot="1" x14ac:dyDescent="0.3">
      <c r="A8705" s="175"/>
      <c r="B8705" s="178"/>
      <c r="C8705" s="49"/>
      <c r="D8705" s="49"/>
      <c r="E8705" s="50"/>
      <c r="F8705" s="51" t="s">
        <v>13</v>
      </c>
      <c r="G8705" s="51" t="str">
        <f>IF(ISNUMBER(F8705),E8705*F8705,"")</f>
        <v/>
      </c>
      <c r="H8705" s="53"/>
      <c r="I8705" s="38"/>
      <c r="J8705" s="37">
        <v>0</v>
      </c>
    </row>
    <row r="8706" spans="1:10" ht="15.75" hidden="1" thickBot="1" x14ac:dyDescent="0.3">
      <c r="A8706" s="173" t="s">
        <v>2093</v>
      </c>
      <c r="B8706" s="176" t="s">
        <v>8590</v>
      </c>
      <c r="C8706" s="31"/>
      <c r="D8706" s="32" t="s">
        <v>106</v>
      </c>
      <c r="E8706" s="33"/>
      <c r="F8706" s="54" t="s">
        <v>13</v>
      </c>
      <c r="G8706" s="34" t="str">
        <f>IF(ISNUMBER(F8706),E8706*F8706,"")</f>
        <v/>
      </c>
      <c r="H8706" s="35"/>
      <c r="I8706" s="36"/>
      <c r="J8706" s="37">
        <v>0</v>
      </c>
    </row>
    <row r="8707" spans="1:10" hidden="1" x14ac:dyDescent="0.25">
      <c r="A8707" s="174"/>
      <c r="B8707" s="177"/>
      <c r="C8707" s="39"/>
      <c r="D8707" s="39"/>
      <c r="E8707" s="40"/>
      <c r="F8707" s="55" t="s">
        <v>13</v>
      </c>
      <c r="G8707" s="38" t="str">
        <f>IF(ISNUMBER(F8707),E8707*F8707,"")</f>
        <v/>
      </c>
      <c r="H8707" s="42"/>
      <c r="I8707" s="38"/>
      <c r="J8707" s="37">
        <v>0</v>
      </c>
    </row>
    <row r="8708" spans="1:10" hidden="1" x14ac:dyDescent="0.25">
      <c r="A8708" s="174"/>
      <c r="B8708" s="177"/>
      <c r="C8708" s="43" t="s">
        <v>11237</v>
      </c>
      <c r="D8708" s="43" t="s">
        <v>1302</v>
      </c>
      <c r="E8708" s="44">
        <v>1.05</v>
      </c>
      <c r="F8708" s="38">
        <v>43.595500000000001</v>
      </c>
      <c r="G8708" s="41">
        <f>IF(ISNUMBER(F8708),E8708*F8708,"")</f>
        <v>45.775275000000001</v>
      </c>
      <c r="H8708" s="46">
        <f>SUM(G8708:G8710)</f>
        <v>47.641535750000003</v>
      </c>
      <c r="I8708" s="47"/>
      <c r="J8708" s="37">
        <v>0</v>
      </c>
    </row>
    <row r="8709" spans="1:10" hidden="1" x14ac:dyDescent="0.25">
      <c r="A8709" s="174"/>
      <c r="B8709" s="177"/>
      <c r="C8709" s="43" t="s">
        <v>10762</v>
      </c>
      <c r="D8709" s="43" t="s">
        <v>2800</v>
      </c>
      <c r="E8709" s="44">
        <v>3.3099999999999997E-2</v>
      </c>
      <c r="F8709" s="38">
        <v>24.946999999999999</v>
      </c>
      <c r="G8709" s="41">
        <f>IF(ISNUMBER(F8709),E8709*F8709,"")</f>
        <v>0.82574569999999992</v>
      </c>
      <c r="H8709" s="42"/>
      <c r="I8709" s="38"/>
      <c r="J8709" s="37">
        <v>0</v>
      </c>
    </row>
    <row r="8710" spans="1:10" hidden="1" x14ac:dyDescent="0.25">
      <c r="A8710" s="174"/>
      <c r="B8710" s="177"/>
      <c r="C8710" s="43" t="s">
        <v>10763</v>
      </c>
      <c r="D8710" s="43" t="s">
        <v>2800</v>
      </c>
      <c r="E8710" s="44">
        <v>3.3099999999999997E-2</v>
      </c>
      <c r="F8710" s="41">
        <v>31.435500000000001</v>
      </c>
      <c r="G8710" s="41">
        <f>IF(ISNUMBER(F8710),E8710*F8710,"")</f>
        <v>1.04051505</v>
      </c>
      <c r="H8710" s="42"/>
      <c r="I8710" s="38"/>
      <c r="J8710" s="37">
        <v>0</v>
      </c>
    </row>
    <row r="8711" spans="1:10" ht="15.75" hidden="1" thickBot="1" x14ac:dyDescent="0.3">
      <c r="A8711" s="175"/>
      <c r="B8711" s="178"/>
      <c r="C8711" s="49"/>
      <c r="D8711" s="49"/>
      <c r="E8711" s="50"/>
      <c r="F8711" s="51" t="s">
        <v>13</v>
      </c>
      <c r="G8711" s="51" t="str">
        <f>IF(ISNUMBER(F8711),E8711*F8711,"")</f>
        <v/>
      </c>
      <c r="H8711" s="53"/>
      <c r="I8711" s="38"/>
      <c r="J8711" s="37">
        <v>0</v>
      </c>
    </row>
    <row r="8712" spans="1:10" ht="15.75" hidden="1" thickBot="1" x14ac:dyDescent="0.3">
      <c r="A8712" s="173" t="s">
        <v>2094</v>
      </c>
      <c r="B8712" s="176" t="s">
        <v>8591</v>
      </c>
      <c r="C8712" s="31"/>
      <c r="D8712" s="32" t="s">
        <v>18</v>
      </c>
      <c r="E8712" s="33"/>
      <c r="F8712" s="54" t="s">
        <v>13</v>
      </c>
      <c r="G8712" s="34" t="str">
        <f>IF(ISNUMBER(F8712),E8712*F8712,"")</f>
        <v/>
      </c>
      <c r="H8712" s="35"/>
      <c r="I8712" s="36"/>
      <c r="J8712" s="37">
        <v>0</v>
      </c>
    </row>
    <row r="8713" spans="1:10" hidden="1" x14ac:dyDescent="0.25">
      <c r="A8713" s="174"/>
      <c r="B8713" s="177"/>
      <c r="C8713" s="39"/>
      <c r="D8713" s="39"/>
      <c r="E8713" s="40"/>
      <c r="F8713" s="55" t="s">
        <v>13</v>
      </c>
      <c r="G8713" s="38" t="str">
        <f>IF(ISNUMBER(F8713),E8713*F8713,"")</f>
        <v/>
      </c>
      <c r="H8713" s="42"/>
      <c r="I8713" s="38"/>
      <c r="J8713" s="37">
        <v>0</v>
      </c>
    </row>
    <row r="8714" spans="1:10" ht="38.25" hidden="1" x14ac:dyDescent="0.25">
      <c r="A8714" s="174"/>
      <c r="B8714" s="177"/>
      <c r="C8714" s="43" t="s">
        <v>11303</v>
      </c>
      <c r="D8714" s="43" t="s">
        <v>83</v>
      </c>
      <c r="E8714" s="44">
        <v>1</v>
      </c>
      <c r="F8714" s="38">
        <v>57.683999999999997</v>
      </c>
      <c r="G8714" s="41">
        <f>IF(ISNUMBER(F8714),E8714*F8714,"")</f>
        <v>57.683999999999997</v>
      </c>
      <c r="H8714" s="46">
        <f>SUM(G8714:G8717)</f>
        <v>70.654327946367502</v>
      </c>
      <c r="I8714" s="47"/>
      <c r="J8714" s="37">
        <v>0</v>
      </c>
    </row>
    <row r="8715" spans="1:10" hidden="1" x14ac:dyDescent="0.25">
      <c r="A8715" s="174"/>
      <c r="B8715" s="177"/>
      <c r="C8715" s="43" t="s">
        <v>10757</v>
      </c>
      <c r="D8715" s="43" t="s">
        <v>2800</v>
      </c>
      <c r="E8715" s="44">
        <v>0.1384</v>
      </c>
      <c r="F8715" s="38">
        <v>31.055499999999995</v>
      </c>
      <c r="G8715" s="41">
        <f>IF(ISNUMBER(F8715),E8715*F8715,"")</f>
        <v>4.2980811999999995</v>
      </c>
      <c r="H8715" s="42"/>
      <c r="I8715" s="38"/>
      <c r="J8715" s="37">
        <v>0</v>
      </c>
    </row>
    <row r="8716" spans="1:10" hidden="1" x14ac:dyDescent="0.25">
      <c r="A8716" s="174"/>
      <c r="B8716" s="177"/>
      <c r="C8716" s="43" t="s">
        <v>10614</v>
      </c>
      <c r="D8716" s="43" t="s">
        <v>2800</v>
      </c>
      <c r="E8716" s="44">
        <v>0.10879999999999999</v>
      </c>
      <c r="F8716" s="41">
        <v>23.693000000000001</v>
      </c>
      <c r="G8716" s="41">
        <f>IF(ISNUMBER(F8716),E8716*F8716,"")</f>
        <v>2.5777983999999998</v>
      </c>
      <c r="H8716" s="42"/>
      <c r="I8716" s="38"/>
      <c r="J8716" s="37">
        <v>0</v>
      </c>
    </row>
    <row r="8717" spans="1:10" ht="25.5" hidden="1" x14ac:dyDescent="0.25">
      <c r="A8717" s="174"/>
      <c r="B8717" s="177"/>
      <c r="C8717" s="43" t="s">
        <v>10739</v>
      </c>
      <c r="D8717" s="43" t="s">
        <v>2880</v>
      </c>
      <c r="E8717" s="44">
        <v>1.41E-2</v>
      </c>
      <c r="F8717" s="41">
        <v>432.23037917500005</v>
      </c>
      <c r="G8717" s="41">
        <f>IF(ISNUMBER(F8717),E8717*F8717,"")</f>
        <v>6.0944483463675008</v>
      </c>
      <c r="H8717" s="42"/>
      <c r="I8717" s="38"/>
      <c r="J8717" s="37">
        <v>0</v>
      </c>
    </row>
    <row r="8718" spans="1:10" ht="15.75" hidden="1" thickBot="1" x14ac:dyDescent="0.3">
      <c r="A8718" s="175"/>
      <c r="B8718" s="178"/>
      <c r="C8718" s="49"/>
      <c r="D8718" s="49"/>
      <c r="E8718" s="50"/>
      <c r="F8718" s="51" t="s">
        <v>13</v>
      </c>
      <c r="G8718" s="51" t="str">
        <f>IF(ISNUMBER(F8718),E8718*F8718,"")</f>
        <v/>
      </c>
      <c r="H8718" s="53"/>
      <c r="I8718" s="38"/>
      <c r="J8718" s="37">
        <v>0</v>
      </c>
    </row>
    <row r="8719" spans="1:10" ht="15.75" hidden="1" thickBot="1" x14ac:dyDescent="0.3">
      <c r="A8719" s="173" t="s">
        <v>2095</v>
      </c>
      <c r="B8719" s="176" t="s">
        <v>8592</v>
      </c>
      <c r="C8719" s="31"/>
      <c r="D8719" s="32" t="s">
        <v>18</v>
      </c>
      <c r="E8719" s="33"/>
      <c r="F8719" s="54" t="s">
        <v>13</v>
      </c>
      <c r="G8719" s="34" t="str">
        <f>IF(ISNUMBER(F8719),E8719*F8719,"")</f>
        <v/>
      </c>
      <c r="H8719" s="35"/>
      <c r="I8719" s="36"/>
      <c r="J8719" s="37">
        <v>0</v>
      </c>
    </row>
    <row r="8720" spans="1:10" hidden="1" x14ac:dyDescent="0.25">
      <c r="A8720" s="174"/>
      <c r="B8720" s="177"/>
      <c r="C8720" s="39"/>
      <c r="D8720" s="39"/>
      <c r="E8720" s="40"/>
      <c r="F8720" s="55" t="s">
        <v>13</v>
      </c>
      <c r="G8720" s="38" t="str">
        <f>IF(ISNUMBER(F8720),E8720*F8720,"")</f>
        <v/>
      </c>
      <c r="H8720" s="42"/>
      <c r="I8720" s="38"/>
      <c r="J8720" s="37">
        <v>0</v>
      </c>
    </row>
    <row r="8721" spans="1:10" ht="25.5" hidden="1" x14ac:dyDescent="0.25">
      <c r="A8721" s="174"/>
      <c r="B8721" s="177"/>
      <c r="C8721" s="43" t="s">
        <v>11306</v>
      </c>
      <c r="D8721" s="43" t="s">
        <v>83</v>
      </c>
      <c r="E8721" s="44">
        <v>1</v>
      </c>
      <c r="F8721" s="38">
        <v>10.231499999999999</v>
      </c>
      <c r="G8721" s="41">
        <f>IF(ISNUMBER(F8721),E8721*F8721,"")</f>
        <v>10.231499999999999</v>
      </c>
      <c r="H8721" s="46">
        <f>SUM(G8721:G8723)</f>
        <v>17.820584499999999</v>
      </c>
      <c r="I8721" s="47"/>
      <c r="J8721" s="37">
        <v>0</v>
      </c>
    </row>
    <row r="8722" spans="1:10" hidden="1" x14ac:dyDescent="0.25">
      <c r="A8722" s="174"/>
      <c r="B8722" s="177"/>
      <c r="C8722" s="43" t="s">
        <v>10762</v>
      </c>
      <c r="D8722" s="43" t="s">
        <v>2800</v>
      </c>
      <c r="E8722" s="44">
        <v>0.1346</v>
      </c>
      <c r="F8722" s="38">
        <v>24.946999999999999</v>
      </c>
      <c r="G8722" s="41">
        <f>IF(ISNUMBER(F8722),E8722*F8722,"")</f>
        <v>3.3578661999999997</v>
      </c>
      <c r="H8722" s="42"/>
      <c r="I8722" s="38"/>
      <c r="J8722" s="37">
        <v>0</v>
      </c>
    </row>
    <row r="8723" spans="1:10" hidden="1" x14ac:dyDescent="0.25">
      <c r="A8723" s="174"/>
      <c r="B8723" s="177"/>
      <c r="C8723" s="43" t="s">
        <v>10763</v>
      </c>
      <c r="D8723" s="43" t="s">
        <v>2800</v>
      </c>
      <c r="E8723" s="44">
        <v>0.1346</v>
      </c>
      <c r="F8723" s="41">
        <v>31.435500000000001</v>
      </c>
      <c r="G8723" s="41">
        <f>IF(ISNUMBER(F8723),E8723*F8723,"")</f>
        <v>4.2312183000000001</v>
      </c>
      <c r="H8723" s="42"/>
      <c r="I8723" s="38"/>
      <c r="J8723" s="37">
        <v>0</v>
      </c>
    </row>
    <row r="8724" spans="1:10" ht="15.75" hidden="1" thickBot="1" x14ac:dyDescent="0.3">
      <c r="A8724" s="175"/>
      <c r="B8724" s="178"/>
      <c r="C8724" s="49"/>
      <c r="D8724" s="49"/>
      <c r="E8724" s="50"/>
      <c r="F8724" s="51" t="s">
        <v>13</v>
      </c>
      <c r="G8724" s="51" t="str">
        <f>IF(ISNUMBER(F8724),E8724*F8724,"")</f>
        <v/>
      </c>
      <c r="H8724" s="53"/>
      <c r="I8724" s="38"/>
      <c r="J8724" s="37">
        <v>0</v>
      </c>
    </row>
    <row r="8725" spans="1:10" ht="15.75" hidden="1" thickBot="1" x14ac:dyDescent="0.3">
      <c r="A8725" s="173" t="s">
        <v>2096</v>
      </c>
      <c r="B8725" s="176" t="s">
        <v>8593</v>
      </c>
      <c r="C8725" s="31"/>
      <c r="D8725" s="32" t="s">
        <v>18</v>
      </c>
      <c r="E8725" s="33"/>
      <c r="F8725" s="54" t="s">
        <v>13</v>
      </c>
      <c r="G8725" s="34" t="str">
        <f>IF(ISNUMBER(F8725),E8725*F8725,"")</f>
        <v/>
      </c>
      <c r="H8725" s="35"/>
      <c r="I8725" s="36"/>
      <c r="J8725" s="37">
        <v>0</v>
      </c>
    </row>
    <row r="8726" spans="1:10" hidden="1" x14ac:dyDescent="0.25">
      <c r="A8726" s="179"/>
      <c r="B8726" s="177"/>
      <c r="C8726" s="39"/>
      <c r="D8726" s="39"/>
      <c r="E8726" s="40"/>
      <c r="F8726" s="55" t="s">
        <v>13</v>
      </c>
      <c r="G8726" s="41" t="str">
        <f>IF(ISNUMBER(F8726),E8726*F8726,"")</f>
        <v/>
      </c>
      <c r="H8726" s="42"/>
      <c r="I8726" s="38"/>
      <c r="J8726" s="37">
        <v>0</v>
      </c>
    </row>
    <row r="8727" spans="1:10" ht="25.5" hidden="1" x14ac:dyDescent="0.25">
      <c r="A8727" s="179"/>
      <c r="B8727" s="177"/>
      <c r="C8727" s="43" t="s">
        <v>10753</v>
      </c>
      <c r="D8727" s="43" t="s">
        <v>2800</v>
      </c>
      <c r="E8727" s="44">
        <v>0.4</v>
      </c>
      <c r="F8727" s="38">
        <v>23.997</v>
      </c>
      <c r="G8727" s="41">
        <f>IF(ISNUMBER(F8727),E8727*F8727,"")</f>
        <v>9.5988000000000007</v>
      </c>
      <c r="H8727" s="46">
        <f>SUM(G8727:G8729)</f>
        <v>155.1046</v>
      </c>
      <c r="I8727" s="47"/>
      <c r="J8727" s="37">
        <v>0</v>
      </c>
    </row>
    <row r="8728" spans="1:10" ht="25.5" hidden="1" x14ac:dyDescent="0.25">
      <c r="A8728" s="179"/>
      <c r="B8728" s="177"/>
      <c r="C8728" s="43" t="s">
        <v>10754</v>
      </c>
      <c r="D8728" s="43" t="s">
        <v>2800</v>
      </c>
      <c r="E8728" s="44">
        <v>0.4</v>
      </c>
      <c r="F8728" s="38">
        <v>30.361999999999998</v>
      </c>
      <c r="G8728" s="41">
        <f>IF(ISNUMBER(F8728),E8728*F8728,"")</f>
        <v>12.1448</v>
      </c>
      <c r="H8728" s="42"/>
      <c r="I8728" s="38"/>
      <c r="J8728" s="37">
        <v>0</v>
      </c>
    </row>
    <row r="8729" spans="1:10" ht="25.5" hidden="1" x14ac:dyDescent="0.25">
      <c r="A8729" s="179"/>
      <c r="B8729" s="177"/>
      <c r="C8729" s="43" t="s">
        <v>10911</v>
      </c>
      <c r="D8729" s="43" t="s">
        <v>83</v>
      </c>
      <c r="E8729" s="44">
        <v>1</v>
      </c>
      <c r="F8729" s="41">
        <v>133.36099999999999</v>
      </c>
      <c r="G8729" s="41">
        <f>IF(ISNUMBER(F8729),E8729*F8729,"")</f>
        <v>133.36099999999999</v>
      </c>
      <c r="H8729" s="42"/>
      <c r="I8729" s="38"/>
      <c r="J8729" s="37">
        <v>0</v>
      </c>
    </row>
    <row r="8730" spans="1:10" ht="15.75" hidden="1" thickBot="1" x14ac:dyDescent="0.3">
      <c r="A8730" s="180"/>
      <c r="B8730" s="178"/>
      <c r="C8730" s="49"/>
      <c r="D8730" s="49"/>
      <c r="E8730" s="50"/>
      <c r="F8730" s="51"/>
      <c r="G8730" s="52" t="str">
        <f>IF(ISNUMBER(F8730),E8730*F8730,"")</f>
        <v/>
      </c>
      <c r="H8730" s="53"/>
      <c r="I8730" s="47"/>
      <c r="J8730" s="37">
        <v>0</v>
      </c>
    </row>
    <row r="8731" spans="1:10" ht="15.75" hidden="1" thickBot="1" x14ac:dyDescent="0.3">
      <c r="A8731" s="173" t="s">
        <v>2097</v>
      </c>
      <c r="B8731" s="176" t="s">
        <v>8596</v>
      </c>
      <c r="C8731" s="31"/>
      <c r="D8731" s="32" t="s">
        <v>106</v>
      </c>
      <c r="E8731" s="33"/>
      <c r="F8731" s="54" t="s">
        <v>13</v>
      </c>
      <c r="G8731" s="34" t="str">
        <f>IF(ISNUMBER(F8731),E8731*F8731,"")</f>
        <v/>
      </c>
      <c r="H8731" s="35"/>
      <c r="I8731" s="36"/>
      <c r="J8731" s="37">
        <v>0</v>
      </c>
    </row>
    <row r="8732" spans="1:10" hidden="1" x14ac:dyDescent="0.25">
      <c r="A8732" s="179"/>
      <c r="B8732" s="177"/>
      <c r="C8732" s="39"/>
      <c r="D8732" s="39"/>
      <c r="E8732" s="40"/>
      <c r="F8732" s="55" t="s">
        <v>13</v>
      </c>
      <c r="G8732" s="41" t="str">
        <f>IF(ISNUMBER(F8732),E8732*F8732,"")</f>
        <v/>
      </c>
      <c r="H8732" s="42"/>
      <c r="I8732" s="38"/>
      <c r="J8732" s="37">
        <v>0</v>
      </c>
    </row>
    <row r="8733" spans="1:10" hidden="1" x14ac:dyDescent="0.25">
      <c r="A8733" s="179"/>
      <c r="B8733" s="177"/>
      <c r="C8733" s="43" t="s">
        <v>11001</v>
      </c>
      <c r="D8733" s="43" t="s">
        <v>1044</v>
      </c>
      <c r="E8733" s="44">
        <v>9.2240000000000002</v>
      </c>
      <c r="F8733" s="38">
        <v>10.041499999999999</v>
      </c>
      <c r="G8733" s="41">
        <f>IF(ISNUMBER(F8733),E8733*F8733,"")</f>
        <v>92.622795999999994</v>
      </c>
      <c r="H8733" s="46">
        <f>SUM(G8733:G8746)</f>
        <v>624.98930599999994</v>
      </c>
      <c r="I8733" s="47"/>
      <c r="J8733" s="37">
        <v>0</v>
      </c>
    </row>
    <row r="8734" spans="1:10" hidden="1" x14ac:dyDescent="0.25">
      <c r="A8734" s="179"/>
      <c r="B8734" s="177"/>
      <c r="C8734" s="43" t="s">
        <v>11099</v>
      </c>
      <c r="D8734" s="43" t="s">
        <v>1044</v>
      </c>
      <c r="E8734" s="44">
        <v>0.89600000000000002</v>
      </c>
      <c r="F8734" s="41">
        <v>8.4359999999999999</v>
      </c>
      <c r="G8734" s="41">
        <f>IF(ISNUMBER(F8734),E8734*F8734,"")</f>
        <v>7.558656</v>
      </c>
      <c r="H8734" s="42"/>
      <c r="I8734" s="38"/>
      <c r="J8734" s="37">
        <v>0</v>
      </c>
    </row>
    <row r="8735" spans="1:10" hidden="1" x14ac:dyDescent="0.25">
      <c r="A8735" s="179"/>
      <c r="B8735" s="177"/>
      <c r="C8735" s="43" t="s">
        <v>11100</v>
      </c>
      <c r="D8735" s="43" t="s">
        <v>1044</v>
      </c>
      <c r="E8735" s="44">
        <v>7.0999999999999994E-2</v>
      </c>
      <c r="F8735" s="41">
        <v>40.137499999999996</v>
      </c>
      <c r="G8735" s="41">
        <f>IF(ISNUMBER(F8735),E8735*F8735,"")</f>
        <v>2.8497624999999993</v>
      </c>
      <c r="H8735" s="42"/>
      <c r="I8735" s="38"/>
      <c r="J8735" s="37">
        <v>0</v>
      </c>
    </row>
    <row r="8736" spans="1:10" ht="25.5" hidden="1" x14ac:dyDescent="0.25">
      <c r="A8736" s="179"/>
      <c r="B8736" s="177"/>
      <c r="C8736" s="43" t="s">
        <v>11057</v>
      </c>
      <c r="D8736" s="43" t="s">
        <v>83</v>
      </c>
      <c r="E8736" s="44">
        <v>3.3330000000000002</v>
      </c>
      <c r="F8736" s="41">
        <v>2.09</v>
      </c>
      <c r="G8736" s="41">
        <f>IF(ISNUMBER(F8736),E8736*F8736,"")</f>
        <v>6.9659699999999996</v>
      </c>
      <c r="H8736" s="42"/>
      <c r="I8736" s="38"/>
      <c r="J8736" s="37">
        <v>0</v>
      </c>
    </row>
    <row r="8737" spans="1:10" ht="25.5" hidden="1" x14ac:dyDescent="0.25">
      <c r="A8737" s="179"/>
      <c r="B8737" s="177"/>
      <c r="C8737" s="43" t="s">
        <v>11472</v>
      </c>
      <c r="D8737" s="43" t="s">
        <v>1302</v>
      </c>
      <c r="E8737" s="44">
        <v>0.9</v>
      </c>
      <c r="F8737" s="41">
        <v>48.915500000000002</v>
      </c>
      <c r="G8737" s="41">
        <f>IF(ISNUMBER(F8737),E8737*F8737,"")</f>
        <v>44.023949999999999</v>
      </c>
      <c r="H8737" s="42"/>
      <c r="I8737" s="38"/>
      <c r="J8737" s="37">
        <v>0</v>
      </c>
    </row>
    <row r="8738" spans="1:10" ht="25.5" hidden="1" x14ac:dyDescent="0.25">
      <c r="A8738" s="179"/>
      <c r="B8738" s="177"/>
      <c r="C8738" s="43" t="s">
        <v>11383</v>
      </c>
      <c r="D8738" s="43" t="s">
        <v>1302</v>
      </c>
      <c r="E8738" s="44">
        <v>1.0289999999999999</v>
      </c>
      <c r="F8738" s="41">
        <v>63.830499999999994</v>
      </c>
      <c r="G8738" s="41">
        <f>IF(ISNUMBER(F8738),E8738*F8738,"")</f>
        <v>65.681584499999985</v>
      </c>
      <c r="H8738" s="42"/>
      <c r="I8738" s="38"/>
      <c r="J8738" s="37">
        <v>0</v>
      </c>
    </row>
    <row r="8739" spans="1:10" hidden="1" x14ac:dyDescent="0.25">
      <c r="A8739" s="179"/>
      <c r="B8739" s="177"/>
      <c r="C8739" s="43" t="s">
        <v>11013</v>
      </c>
      <c r="D8739" s="43" t="s">
        <v>2800</v>
      </c>
      <c r="E8739" s="44">
        <v>4.7480000000000002</v>
      </c>
      <c r="F8739" s="41">
        <v>24.519499999999997</v>
      </c>
      <c r="G8739" s="41">
        <f>IF(ISNUMBER(F8739),E8739*F8739,"")</f>
        <v>116.41858599999999</v>
      </c>
      <c r="H8739" s="42"/>
      <c r="I8739" s="38"/>
      <c r="J8739" s="37">
        <v>0</v>
      </c>
    </row>
    <row r="8740" spans="1:10" hidden="1" x14ac:dyDescent="0.25">
      <c r="A8740" s="179"/>
      <c r="B8740" s="177"/>
      <c r="C8740" s="43" t="s">
        <v>11014</v>
      </c>
      <c r="D8740" s="43" t="s">
        <v>2800</v>
      </c>
      <c r="E8740" s="44">
        <v>5.78</v>
      </c>
      <c r="F8740" s="41">
        <v>30.837</v>
      </c>
      <c r="G8740" s="41">
        <f>IF(ISNUMBER(F8740),E8740*F8740,"")</f>
        <v>178.23786000000001</v>
      </c>
      <c r="H8740" s="42"/>
      <c r="I8740" s="38"/>
      <c r="J8740" s="37">
        <v>0</v>
      </c>
    </row>
    <row r="8741" spans="1:10" ht="38.25" hidden="1" x14ac:dyDescent="0.25">
      <c r="A8741" s="179"/>
      <c r="B8741" s="177"/>
      <c r="C8741" s="43" t="s">
        <v>10876</v>
      </c>
      <c r="D8741" s="43" t="s">
        <v>83</v>
      </c>
      <c r="E8741" s="44">
        <v>3.2730000000000001</v>
      </c>
      <c r="F8741" s="41">
        <v>1.159</v>
      </c>
      <c r="G8741" s="41">
        <f>IF(ISNUMBER(F8741),E8741*F8741,"")</f>
        <v>3.7934070000000002</v>
      </c>
      <c r="H8741" s="42"/>
      <c r="I8741" s="38"/>
      <c r="J8741" s="37">
        <v>0</v>
      </c>
    </row>
    <row r="8742" spans="1:10" hidden="1" x14ac:dyDescent="0.25">
      <c r="A8742" s="179"/>
      <c r="B8742" s="177"/>
      <c r="C8742" s="43" t="s">
        <v>11100</v>
      </c>
      <c r="D8742" s="43" t="s">
        <v>1044</v>
      </c>
      <c r="E8742" s="44">
        <v>4.0000000000000001E-3</v>
      </c>
      <c r="F8742" s="41">
        <v>40.137499999999996</v>
      </c>
      <c r="G8742" s="41">
        <f>IF(ISNUMBER(F8742),E8742*F8742,"")</f>
        <v>0.16055</v>
      </c>
      <c r="H8742" s="42"/>
      <c r="I8742" s="38"/>
      <c r="J8742" s="37">
        <v>0</v>
      </c>
    </row>
    <row r="8743" spans="1:10" hidden="1" x14ac:dyDescent="0.25">
      <c r="A8743" s="179"/>
      <c r="B8743" s="177"/>
      <c r="C8743" s="43" t="s">
        <v>11640</v>
      </c>
      <c r="D8743" s="43" t="s">
        <v>83</v>
      </c>
      <c r="E8743" s="44">
        <v>1.091</v>
      </c>
      <c r="F8743" s="41">
        <v>7.3624999999999998</v>
      </c>
      <c r="G8743" s="41">
        <f>IF(ISNUMBER(F8743),E8743*F8743,"")</f>
        <v>8.0324875000000002</v>
      </c>
      <c r="H8743" s="42"/>
      <c r="I8743" s="38"/>
      <c r="J8743" s="37">
        <v>0</v>
      </c>
    </row>
    <row r="8744" spans="1:10" ht="25.5" hidden="1" x14ac:dyDescent="0.25">
      <c r="A8744" s="179"/>
      <c r="B8744" s="177"/>
      <c r="C8744" s="43" t="s">
        <v>11472</v>
      </c>
      <c r="D8744" s="43" t="s">
        <v>1302</v>
      </c>
      <c r="E8744" s="44">
        <v>1.0289999999999999</v>
      </c>
      <c r="F8744" s="41">
        <v>48.915500000000002</v>
      </c>
      <c r="G8744" s="41">
        <f>IF(ISNUMBER(F8744),E8744*F8744,"")</f>
        <v>50.334049499999999</v>
      </c>
      <c r="H8744" s="42"/>
      <c r="I8744" s="38"/>
      <c r="J8744" s="37">
        <v>0</v>
      </c>
    </row>
    <row r="8745" spans="1:10" hidden="1" x14ac:dyDescent="0.25">
      <c r="A8745" s="179"/>
      <c r="B8745" s="177"/>
      <c r="C8745" s="43" t="s">
        <v>11013</v>
      </c>
      <c r="D8745" s="43" t="s">
        <v>2800</v>
      </c>
      <c r="E8745" s="44">
        <v>0.77800000000000002</v>
      </c>
      <c r="F8745" s="41">
        <v>24.519499999999997</v>
      </c>
      <c r="G8745" s="41">
        <f>IF(ISNUMBER(F8745),E8745*F8745,"")</f>
        <v>19.076170999999999</v>
      </c>
      <c r="H8745" s="42"/>
      <c r="I8745" s="38"/>
      <c r="J8745" s="37">
        <v>0</v>
      </c>
    </row>
    <row r="8746" spans="1:10" hidden="1" x14ac:dyDescent="0.25">
      <c r="A8746" s="179"/>
      <c r="B8746" s="177"/>
      <c r="C8746" s="43" t="s">
        <v>11014</v>
      </c>
      <c r="D8746" s="43" t="s">
        <v>2800</v>
      </c>
      <c r="E8746" s="44">
        <v>0.94799999999999995</v>
      </c>
      <c r="F8746" s="41">
        <v>30.837</v>
      </c>
      <c r="G8746" s="41">
        <f>IF(ISNUMBER(F8746),E8746*F8746,"")</f>
        <v>29.233476</v>
      </c>
      <c r="H8746" s="42"/>
      <c r="I8746" s="38"/>
      <c r="J8746" s="37">
        <v>0</v>
      </c>
    </row>
    <row r="8747" spans="1:10" ht="15.75" hidden="1" thickBot="1" x14ac:dyDescent="0.3">
      <c r="A8747" s="180"/>
      <c r="B8747" s="178"/>
      <c r="C8747" s="49"/>
      <c r="D8747" s="49"/>
      <c r="E8747" s="50"/>
      <c r="F8747" s="51"/>
      <c r="G8747" s="52" t="str">
        <f>IF(ISNUMBER(F8747),E8747*F8747,"")</f>
        <v/>
      </c>
      <c r="H8747" s="53"/>
      <c r="I8747" s="47"/>
      <c r="J8747" s="37">
        <v>0</v>
      </c>
    </row>
    <row r="8748" spans="1:10" ht="15.75" hidden="1" thickBot="1" x14ac:dyDescent="0.3">
      <c r="A8748" s="173" t="s">
        <v>2098</v>
      </c>
      <c r="B8748" s="176" t="s">
        <v>8597</v>
      </c>
      <c r="C8748" s="31"/>
      <c r="D8748" s="32" t="s">
        <v>18</v>
      </c>
      <c r="E8748" s="33"/>
      <c r="F8748" s="54" t="s">
        <v>13</v>
      </c>
      <c r="G8748" s="34" t="str">
        <f>IF(ISNUMBER(F8748),E8748*F8748,"")</f>
        <v/>
      </c>
      <c r="H8748" s="35"/>
      <c r="I8748" s="36"/>
      <c r="J8748" s="37">
        <v>0</v>
      </c>
    </row>
    <row r="8749" spans="1:10" hidden="1" x14ac:dyDescent="0.25">
      <c r="A8749" s="179"/>
      <c r="B8749" s="177"/>
      <c r="C8749" s="39"/>
      <c r="D8749" s="39"/>
      <c r="E8749" s="40"/>
      <c r="F8749" s="55" t="s">
        <v>13</v>
      </c>
      <c r="G8749" s="41" t="str">
        <f>IF(ISNUMBER(F8749),E8749*F8749,"")</f>
        <v/>
      </c>
      <c r="H8749" s="42"/>
      <c r="I8749" s="38"/>
      <c r="J8749" s="37">
        <v>0</v>
      </c>
    </row>
    <row r="8750" spans="1:10" ht="25.5" hidden="1" x14ac:dyDescent="0.25">
      <c r="A8750" s="179"/>
      <c r="B8750" s="177"/>
      <c r="C8750" s="43" t="s">
        <v>10754</v>
      </c>
      <c r="D8750" s="43" t="s">
        <v>2800</v>
      </c>
      <c r="E8750" s="44">
        <v>5.1499999999999997E-2</v>
      </c>
      <c r="F8750" s="38">
        <v>30.361999999999998</v>
      </c>
      <c r="G8750" s="41">
        <f>IF(ISNUMBER(F8750),E8750*F8750,"")</f>
        <v>1.5636429999999999</v>
      </c>
      <c r="H8750" s="46">
        <f>SUM(G8750:G8752)</f>
        <v>2.7838324999999999</v>
      </c>
      <c r="I8750" s="47"/>
      <c r="J8750" s="37">
        <v>0</v>
      </c>
    </row>
    <row r="8751" spans="1:10" hidden="1" x14ac:dyDescent="0.25">
      <c r="A8751" s="179"/>
      <c r="B8751" s="177"/>
      <c r="C8751" s="43" t="s">
        <v>10614</v>
      </c>
      <c r="D8751" s="43" t="s">
        <v>2800</v>
      </c>
      <c r="E8751" s="44">
        <v>5.1499999999999997E-2</v>
      </c>
      <c r="F8751" s="41">
        <v>23.693000000000001</v>
      </c>
      <c r="G8751" s="41">
        <f>IF(ISNUMBER(F8751),E8751*F8751,"")</f>
        <v>1.2201895</v>
      </c>
      <c r="H8751" s="42"/>
      <c r="I8751" s="38"/>
      <c r="J8751" s="37">
        <v>0</v>
      </c>
    </row>
    <row r="8752" spans="1:10" ht="25.5" hidden="1" x14ac:dyDescent="0.25">
      <c r="A8752" s="179"/>
      <c r="B8752" s="177"/>
      <c r="C8752" s="43" t="s">
        <v>2099</v>
      </c>
      <c r="D8752" s="43" t="s">
        <v>83</v>
      </c>
      <c r="E8752" s="44">
        <v>1</v>
      </c>
      <c r="F8752" s="41" t="s">
        <v>13</v>
      </c>
      <c r="G8752" s="41" t="str">
        <f>IF(ISNUMBER(F8752),E8752*F8752,"")</f>
        <v/>
      </c>
      <c r="H8752" s="42"/>
      <c r="I8752" s="38"/>
      <c r="J8752" s="37">
        <v>0</v>
      </c>
    </row>
    <row r="8753" spans="1:10" ht="15.75" hidden="1" thickBot="1" x14ac:dyDescent="0.3">
      <c r="A8753" s="180"/>
      <c r="B8753" s="178"/>
      <c r="C8753" s="49"/>
      <c r="D8753" s="49"/>
      <c r="E8753" s="50"/>
      <c r="F8753" s="51"/>
      <c r="G8753" s="52" t="str">
        <f>IF(ISNUMBER(F8753),E8753*F8753,"")</f>
        <v/>
      </c>
      <c r="H8753" s="53"/>
      <c r="I8753" s="47"/>
      <c r="J8753" s="37">
        <v>0</v>
      </c>
    </row>
    <row r="8754" spans="1:10" ht="15.75" hidden="1" thickBot="1" x14ac:dyDescent="0.3">
      <c r="A8754" s="173" t="s">
        <v>2100</v>
      </c>
      <c r="B8754" s="176" t="s">
        <v>8598</v>
      </c>
      <c r="C8754" s="31"/>
      <c r="D8754" s="32" t="s">
        <v>18</v>
      </c>
      <c r="E8754" s="33"/>
      <c r="F8754" s="54" t="s">
        <v>13</v>
      </c>
      <c r="G8754" s="34" t="str">
        <f>IF(ISNUMBER(F8754),E8754*F8754,"")</f>
        <v/>
      </c>
      <c r="H8754" s="35"/>
      <c r="I8754" s="36"/>
      <c r="J8754" s="37">
        <v>0</v>
      </c>
    </row>
    <row r="8755" spans="1:10" hidden="1" x14ac:dyDescent="0.25">
      <c r="A8755" s="179"/>
      <c r="B8755" s="177"/>
      <c r="C8755" s="39"/>
      <c r="D8755" s="39"/>
      <c r="E8755" s="40"/>
      <c r="F8755" s="55" t="s">
        <v>13</v>
      </c>
      <c r="G8755" s="41" t="str">
        <f>IF(ISNUMBER(F8755),E8755*F8755,"")</f>
        <v/>
      </c>
      <c r="H8755" s="42"/>
      <c r="I8755" s="38"/>
      <c r="J8755" s="37">
        <v>0</v>
      </c>
    </row>
    <row r="8756" spans="1:10" hidden="1" x14ac:dyDescent="0.25">
      <c r="A8756" s="179"/>
      <c r="B8756" s="177"/>
      <c r="C8756" s="43" t="s">
        <v>11641</v>
      </c>
      <c r="D8756" s="43" t="s">
        <v>83</v>
      </c>
      <c r="E8756" s="44">
        <v>1</v>
      </c>
      <c r="F8756" s="38">
        <v>27.331499999999998</v>
      </c>
      <c r="G8756" s="41">
        <f>IF(ISNUMBER(F8756),E8756*F8756,"")</f>
        <v>27.331499999999998</v>
      </c>
      <c r="H8756" s="46">
        <f>SUM(G8756:G8756)</f>
        <v>27.331499999999998</v>
      </c>
      <c r="I8756" s="47"/>
      <c r="J8756" s="37">
        <v>0</v>
      </c>
    </row>
    <row r="8757" spans="1:10" ht="15.75" hidden="1" thickBot="1" x14ac:dyDescent="0.3">
      <c r="A8757" s="180"/>
      <c r="B8757" s="178"/>
      <c r="C8757" s="49"/>
      <c r="D8757" s="49"/>
      <c r="E8757" s="50"/>
      <c r="F8757" s="51"/>
      <c r="G8757" s="52" t="str">
        <f>IF(ISNUMBER(F8757),E8757*F8757,"")</f>
        <v/>
      </c>
      <c r="H8757" s="53"/>
      <c r="I8757" s="47"/>
      <c r="J8757" s="37">
        <v>0</v>
      </c>
    </row>
    <row r="8758" spans="1:10" ht="15.75" hidden="1" thickBot="1" x14ac:dyDescent="0.3">
      <c r="A8758" s="173" t="s">
        <v>2101</v>
      </c>
      <c r="B8758" s="176" t="s">
        <v>8599</v>
      </c>
      <c r="C8758" s="31"/>
      <c r="D8758" s="32" t="s">
        <v>18</v>
      </c>
      <c r="E8758" s="33"/>
      <c r="F8758" s="54" t="s">
        <v>13</v>
      </c>
      <c r="G8758" s="34" t="str">
        <f>IF(ISNUMBER(F8758),E8758*F8758,"")</f>
        <v/>
      </c>
      <c r="H8758" s="35"/>
      <c r="I8758" s="36"/>
      <c r="J8758" s="37">
        <v>0</v>
      </c>
    </row>
    <row r="8759" spans="1:10" hidden="1" x14ac:dyDescent="0.25">
      <c r="A8759" s="179"/>
      <c r="B8759" s="177"/>
      <c r="C8759" s="39"/>
      <c r="D8759" s="39"/>
      <c r="E8759" s="40"/>
      <c r="F8759" s="55" t="s">
        <v>13</v>
      </c>
      <c r="G8759" s="41" t="str">
        <f>IF(ISNUMBER(F8759),E8759*F8759,"")</f>
        <v/>
      </c>
      <c r="H8759" s="42"/>
      <c r="I8759" s="38"/>
      <c r="J8759" s="37">
        <v>0</v>
      </c>
    </row>
    <row r="8760" spans="1:10" hidden="1" x14ac:dyDescent="0.25">
      <c r="A8760" s="179"/>
      <c r="B8760" s="177"/>
      <c r="C8760" s="43" t="s">
        <v>11110</v>
      </c>
      <c r="D8760" s="43" t="s">
        <v>83</v>
      </c>
      <c r="E8760" s="44">
        <v>1</v>
      </c>
      <c r="F8760" s="38">
        <v>8.8919999999999995</v>
      </c>
      <c r="G8760" s="41">
        <f>IF(ISNUMBER(F8760),E8760*F8760,"")</f>
        <v>8.8919999999999995</v>
      </c>
      <c r="H8760" s="46">
        <f>SUM(G8760:G8760)</f>
        <v>8.8919999999999995</v>
      </c>
      <c r="I8760" s="47"/>
      <c r="J8760" s="37">
        <v>0</v>
      </c>
    </row>
    <row r="8761" spans="1:10" ht="15.75" hidden="1" thickBot="1" x14ac:dyDescent="0.3">
      <c r="A8761" s="180"/>
      <c r="B8761" s="178"/>
      <c r="C8761" s="49"/>
      <c r="D8761" s="49"/>
      <c r="E8761" s="50"/>
      <c r="F8761" s="51"/>
      <c r="G8761" s="52" t="str">
        <f>IF(ISNUMBER(F8761),E8761*F8761,"")</f>
        <v/>
      </c>
      <c r="H8761" s="53"/>
      <c r="I8761" s="47"/>
      <c r="J8761" s="37">
        <v>0</v>
      </c>
    </row>
    <row r="8762" spans="1:10" ht="15.75" hidden="1" thickBot="1" x14ac:dyDescent="0.3">
      <c r="A8762" s="173" t="s">
        <v>2102</v>
      </c>
      <c r="B8762" s="176" t="s">
        <v>8600</v>
      </c>
      <c r="C8762" s="31"/>
      <c r="D8762" s="32" t="s">
        <v>18</v>
      </c>
      <c r="E8762" s="33"/>
      <c r="F8762" s="54" t="s">
        <v>13</v>
      </c>
      <c r="G8762" s="34" t="str">
        <f>IF(ISNUMBER(F8762),E8762*F8762,"")</f>
        <v/>
      </c>
      <c r="H8762" s="35"/>
      <c r="I8762" s="36"/>
      <c r="J8762" s="37">
        <v>0</v>
      </c>
    </row>
    <row r="8763" spans="1:10" hidden="1" x14ac:dyDescent="0.25">
      <c r="A8763" s="174"/>
      <c r="B8763" s="177"/>
      <c r="C8763" s="39"/>
      <c r="D8763" s="39"/>
      <c r="E8763" s="40"/>
      <c r="F8763" s="55" t="s">
        <v>13</v>
      </c>
      <c r="G8763" s="38" t="str">
        <f>IF(ISNUMBER(F8763),E8763*F8763,"")</f>
        <v/>
      </c>
      <c r="H8763" s="42"/>
      <c r="I8763" s="38"/>
      <c r="J8763" s="37">
        <v>0</v>
      </c>
    </row>
    <row r="8764" spans="1:10" hidden="1" x14ac:dyDescent="0.25">
      <c r="A8764" s="174"/>
      <c r="B8764" s="177"/>
      <c r="C8764" s="43" t="s">
        <v>2103</v>
      </c>
      <c r="D8764" s="43" t="s">
        <v>87</v>
      </c>
      <c r="E8764" s="44">
        <v>1</v>
      </c>
      <c r="F8764" s="41" t="s">
        <v>13</v>
      </c>
      <c r="G8764" s="41" t="str">
        <f>IF(ISNUMBER(F8764),E8764*F8764,"")</f>
        <v/>
      </c>
      <c r="H8764" s="46">
        <f>SUM(G8764:G8769)</f>
        <v>18.948781168949999</v>
      </c>
      <c r="I8764" s="47"/>
      <c r="J8764" s="37">
        <v>0</v>
      </c>
    </row>
    <row r="8765" spans="1:10" ht="25.5" hidden="1" x14ac:dyDescent="0.25">
      <c r="A8765" s="174"/>
      <c r="B8765" s="177"/>
      <c r="C8765" s="43" t="s">
        <v>410</v>
      </c>
      <c r="D8765" s="43" t="s">
        <v>106</v>
      </c>
      <c r="E8765" s="44">
        <v>1.5</v>
      </c>
      <c r="F8765" s="41" t="s">
        <v>13</v>
      </c>
      <c r="G8765" s="38" t="str">
        <f>IF(ISNUMBER(F8765),E8765*F8765,"")</f>
        <v/>
      </c>
      <c r="H8765" s="42"/>
      <c r="I8765" s="38"/>
      <c r="J8765" s="37">
        <v>0</v>
      </c>
    </row>
    <row r="8766" spans="1:10" hidden="1" x14ac:dyDescent="0.25">
      <c r="A8766" s="174"/>
      <c r="B8766" s="177"/>
      <c r="C8766" s="43" t="s">
        <v>411</v>
      </c>
      <c r="D8766" s="43" t="s">
        <v>87</v>
      </c>
      <c r="E8766" s="44">
        <v>1</v>
      </c>
      <c r="F8766" s="41" t="s">
        <v>13</v>
      </c>
      <c r="G8766" s="38" t="str">
        <f>IF(ISNUMBER(F8766),E8766*F8766,"")</f>
        <v/>
      </c>
      <c r="H8766" s="42"/>
      <c r="I8766" s="38"/>
      <c r="J8766" s="37">
        <v>0</v>
      </c>
    </row>
    <row r="8767" spans="1:10" hidden="1" x14ac:dyDescent="0.25">
      <c r="A8767" s="174"/>
      <c r="B8767" s="177"/>
      <c r="C8767" s="43" t="s">
        <v>412</v>
      </c>
      <c r="D8767" s="43" t="s">
        <v>87</v>
      </c>
      <c r="E8767" s="44">
        <v>1</v>
      </c>
      <c r="F8767" s="41" t="s">
        <v>13</v>
      </c>
      <c r="G8767" s="38" t="str">
        <f>IF(ISNUMBER(F8767),E8767*F8767,"")</f>
        <v/>
      </c>
      <c r="H8767" s="42"/>
      <c r="I8767" s="38"/>
      <c r="J8767" s="37">
        <v>0</v>
      </c>
    </row>
    <row r="8768" spans="1:10" hidden="1" x14ac:dyDescent="0.25">
      <c r="A8768" s="174"/>
      <c r="B8768" s="177"/>
      <c r="C8768" s="43" t="s">
        <v>10762</v>
      </c>
      <c r="D8768" s="43" t="s">
        <v>2800</v>
      </c>
      <c r="E8768" s="44">
        <v>0.1509375</v>
      </c>
      <c r="F8768" s="38">
        <v>24.946999999999999</v>
      </c>
      <c r="G8768" s="41">
        <f>IF(ISNUMBER(F8768),E8768*F8768,"")</f>
        <v>3.7654378125000001</v>
      </c>
      <c r="H8768" s="42"/>
      <c r="I8768" s="38"/>
      <c r="J8768" s="37">
        <v>0</v>
      </c>
    </row>
    <row r="8769" spans="1:10" hidden="1" x14ac:dyDescent="0.25">
      <c r="A8769" s="174"/>
      <c r="B8769" s="177"/>
      <c r="C8769" s="43" t="s">
        <v>10763</v>
      </c>
      <c r="D8769" s="43" t="s">
        <v>2800</v>
      </c>
      <c r="E8769" s="44">
        <v>0.48299989999999998</v>
      </c>
      <c r="F8769" s="38">
        <v>31.435500000000001</v>
      </c>
      <c r="G8769" s="38">
        <f>IF(ISNUMBER(F8769),E8769*F8769,"")</f>
        <v>15.183343356449999</v>
      </c>
      <c r="H8769" s="42"/>
      <c r="I8769" s="38"/>
      <c r="J8769" s="37">
        <v>0</v>
      </c>
    </row>
    <row r="8770" spans="1:10" ht="15.75" hidden="1" thickBot="1" x14ac:dyDescent="0.3">
      <c r="A8770" s="175"/>
      <c r="B8770" s="178"/>
      <c r="C8770" s="49"/>
      <c r="D8770" s="49"/>
      <c r="E8770" s="50"/>
      <c r="F8770" s="51" t="s">
        <v>13</v>
      </c>
      <c r="G8770" s="51" t="str">
        <f>IF(ISNUMBER(F8770),E8770*F8770,"")</f>
        <v/>
      </c>
      <c r="H8770" s="53"/>
      <c r="I8770" s="38"/>
      <c r="J8770" s="37">
        <v>0</v>
      </c>
    </row>
    <row r="8771" spans="1:10" ht="15.75" hidden="1" thickBot="1" x14ac:dyDescent="0.3">
      <c r="A8771" s="173" t="s">
        <v>2104</v>
      </c>
      <c r="B8771" s="176" t="s">
        <v>8601</v>
      </c>
      <c r="C8771" s="31"/>
      <c r="D8771" s="32" t="s">
        <v>18</v>
      </c>
      <c r="E8771" s="33"/>
      <c r="F8771" s="54" t="s">
        <v>13</v>
      </c>
      <c r="G8771" s="34" t="str">
        <f>IF(ISNUMBER(F8771),E8771*F8771,"")</f>
        <v/>
      </c>
      <c r="H8771" s="35"/>
      <c r="I8771" s="36"/>
      <c r="J8771" s="37">
        <v>0</v>
      </c>
    </row>
    <row r="8772" spans="1:10" hidden="1" x14ac:dyDescent="0.25">
      <c r="A8772" s="174"/>
      <c r="B8772" s="177"/>
      <c r="C8772" s="39"/>
      <c r="D8772" s="39"/>
      <c r="E8772" s="40"/>
      <c r="F8772" s="55" t="s">
        <v>13</v>
      </c>
      <c r="G8772" s="38" t="str">
        <f>IF(ISNUMBER(F8772),E8772*F8772,"")</f>
        <v/>
      </c>
      <c r="H8772" s="42"/>
      <c r="I8772" s="38"/>
      <c r="J8772" s="37">
        <v>0</v>
      </c>
    </row>
    <row r="8773" spans="1:10" hidden="1" x14ac:dyDescent="0.25">
      <c r="A8773" s="174"/>
      <c r="B8773" s="177"/>
      <c r="C8773" s="43" t="s">
        <v>2105</v>
      </c>
      <c r="D8773" s="43" t="s">
        <v>87</v>
      </c>
      <c r="E8773" s="44">
        <v>1</v>
      </c>
      <c r="F8773" s="41" t="s">
        <v>13</v>
      </c>
      <c r="G8773" s="41" t="str">
        <f>IF(ISNUMBER(F8773),E8773*F8773,"")</f>
        <v/>
      </c>
      <c r="H8773" s="46">
        <f>SUM(G8773:G8778)</f>
        <v>18.948781168949999</v>
      </c>
      <c r="I8773" s="47"/>
      <c r="J8773" s="37">
        <v>0</v>
      </c>
    </row>
    <row r="8774" spans="1:10" ht="25.5" hidden="1" x14ac:dyDescent="0.25">
      <c r="A8774" s="174"/>
      <c r="B8774" s="177"/>
      <c r="C8774" s="43" t="s">
        <v>410</v>
      </c>
      <c r="D8774" s="43" t="s">
        <v>106</v>
      </c>
      <c r="E8774" s="44">
        <v>1.5</v>
      </c>
      <c r="F8774" s="41" t="s">
        <v>13</v>
      </c>
      <c r="G8774" s="38" t="str">
        <f>IF(ISNUMBER(F8774),E8774*F8774,"")</f>
        <v/>
      </c>
      <c r="H8774" s="42"/>
      <c r="I8774" s="38"/>
      <c r="J8774" s="37">
        <v>0</v>
      </c>
    </row>
    <row r="8775" spans="1:10" hidden="1" x14ac:dyDescent="0.25">
      <c r="A8775" s="174"/>
      <c r="B8775" s="177"/>
      <c r="C8775" s="43" t="s">
        <v>411</v>
      </c>
      <c r="D8775" s="43" t="s">
        <v>87</v>
      </c>
      <c r="E8775" s="44">
        <v>1</v>
      </c>
      <c r="F8775" s="41" t="s">
        <v>13</v>
      </c>
      <c r="G8775" s="38" t="str">
        <f>IF(ISNUMBER(F8775),E8775*F8775,"")</f>
        <v/>
      </c>
      <c r="H8775" s="42"/>
      <c r="I8775" s="38"/>
      <c r="J8775" s="37">
        <v>0</v>
      </c>
    </row>
    <row r="8776" spans="1:10" hidden="1" x14ac:dyDescent="0.25">
      <c r="A8776" s="174"/>
      <c r="B8776" s="177"/>
      <c r="C8776" s="43" t="s">
        <v>412</v>
      </c>
      <c r="D8776" s="43" t="s">
        <v>87</v>
      </c>
      <c r="E8776" s="44">
        <v>1</v>
      </c>
      <c r="F8776" s="41" t="s">
        <v>13</v>
      </c>
      <c r="G8776" s="38" t="str">
        <f>IF(ISNUMBER(F8776),E8776*F8776,"")</f>
        <v/>
      </c>
      <c r="H8776" s="42"/>
      <c r="I8776" s="38"/>
      <c r="J8776" s="37">
        <v>0</v>
      </c>
    </row>
    <row r="8777" spans="1:10" hidden="1" x14ac:dyDescent="0.25">
      <c r="A8777" s="174"/>
      <c r="B8777" s="177"/>
      <c r="C8777" s="43" t="s">
        <v>10762</v>
      </c>
      <c r="D8777" s="43" t="s">
        <v>2800</v>
      </c>
      <c r="E8777" s="44">
        <v>0.1509375</v>
      </c>
      <c r="F8777" s="38">
        <v>24.946999999999999</v>
      </c>
      <c r="G8777" s="41">
        <f>IF(ISNUMBER(F8777),E8777*F8777,"")</f>
        <v>3.7654378125000001</v>
      </c>
      <c r="H8777" s="42"/>
      <c r="I8777" s="38"/>
      <c r="J8777" s="37">
        <v>0</v>
      </c>
    </row>
    <row r="8778" spans="1:10" hidden="1" x14ac:dyDescent="0.25">
      <c r="A8778" s="174"/>
      <c r="B8778" s="177"/>
      <c r="C8778" s="43" t="s">
        <v>10763</v>
      </c>
      <c r="D8778" s="43" t="s">
        <v>2800</v>
      </c>
      <c r="E8778" s="44">
        <v>0.48299989999999998</v>
      </c>
      <c r="F8778" s="38">
        <v>31.435500000000001</v>
      </c>
      <c r="G8778" s="38">
        <f>IF(ISNUMBER(F8778),E8778*F8778,"")</f>
        <v>15.183343356449999</v>
      </c>
      <c r="H8778" s="42"/>
      <c r="I8778" s="38"/>
      <c r="J8778" s="37">
        <v>0</v>
      </c>
    </row>
    <row r="8779" spans="1:10" ht="15.75" hidden="1" thickBot="1" x14ac:dyDescent="0.3">
      <c r="A8779" s="175"/>
      <c r="B8779" s="178"/>
      <c r="C8779" s="49"/>
      <c r="D8779" s="49"/>
      <c r="E8779" s="50"/>
      <c r="F8779" s="51" t="s">
        <v>13</v>
      </c>
      <c r="G8779" s="51" t="str">
        <f>IF(ISNUMBER(F8779),E8779*F8779,"")</f>
        <v/>
      </c>
      <c r="H8779" s="53"/>
      <c r="I8779" s="38"/>
      <c r="J8779" s="37">
        <v>0</v>
      </c>
    </row>
    <row r="8780" spans="1:10" ht="15.75" hidden="1" thickBot="1" x14ac:dyDescent="0.3">
      <c r="A8780" s="173" t="s">
        <v>2106</v>
      </c>
      <c r="B8780" s="176" t="s">
        <v>8602</v>
      </c>
      <c r="C8780" s="31"/>
      <c r="D8780" s="32" t="s">
        <v>18</v>
      </c>
      <c r="E8780" s="33"/>
      <c r="F8780" s="54" t="s">
        <v>13</v>
      </c>
      <c r="G8780" s="34" t="str">
        <f>IF(ISNUMBER(F8780),E8780*F8780,"")</f>
        <v/>
      </c>
      <c r="H8780" s="35"/>
      <c r="I8780" s="36"/>
      <c r="J8780" s="37">
        <v>0</v>
      </c>
    </row>
    <row r="8781" spans="1:10" hidden="1" x14ac:dyDescent="0.25">
      <c r="A8781" s="174"/>
      <c r="B8781" s="177"/>
      <c r="C8781" s="39"/>
      <c r="D8781" s="39"/>
      <c r="E8781" s="40"/>
      <c r="F8781" s="55" t="s">
        <v>13</v>
      </c>
      <c r="G8781" s="38" t="str">
        <f>IF(ISNUMBER(F8781),E8781*F8781,"")</f>
        <v/>
      </c>
      <c r="H8781" s="42"/>
      <c r="I8781" s="38"/>
      <c r="J8781" s="37">
        <v>0</v>
      </c>
    </row>
    <row r="8782" spans="1:10" hidden="1" x14ac:dyDescent="0.25">
      <c r="A8782" s="174"/>
      <c r="B8782" s="177"/>
      <c r="C8782" s="43" t="s">
        <v>10762</v>
      </c>
      <c r="D8782" s="43" t="s">
        <v>2800</v>
      </c>
      <c r="E8782" s="44">
        <v>0.1</v>
      </c>
      <c r="F8782" s="38">
        <v>24.946999999999999</v>
      </c>
      <c r="G8782" s="38">
        <f>IF(ISNUMBER(F8782),E8782*F8782,"")</f>
        <v>2.4946999999999999</v>
      </c>
      <c r="H8782" s="46">
        <f>SUM(G8782:G8783)</f>
        <v>2.4946999999999999</v>
      </c>
      <c r="I8782" s="47"/>
      <c r="J8782" s="37">
        <v>0</v>
      </c>
    </row>
    <row r="8783" spans="1:10" hidden="1" x14ac:dyDescent="0.25">
      <c r="A8783" s="174"/>
      <c r="B8783" s="177"/>
      <c r="C8783" s="43" t="s">
        <v>2107</v>
      </c>
      <c r="D8783" s="43" t="s">
        <v>18</v>
      </c>
      <c r="E8783" s="44">
        <v>1</v>
      </c>
      <c r="F8783" s="41" t="s">
        <v>13</v>
      </c>
      <c r="G8783" s="38" t="str">
        <f>IF(ISNUMBER(F8783),E8783*F8783,"")</f>
        <v/>
      </c>
      <c r="H8783" s="42"/>
      <c r="I8783" s="38"/>
      <c r="J8783" s="37">
        <v>0</v>
      </c>
    </row>
    <row r="8784" spans="1:10" ht="15.75" hidden="1" thickBot="1" x14ac:dyDescent="0.3">
      <c r="A8784" s="175"/>
      <c r="B8784" s="178"/>
      <c r="C8784" s="49"/>
      <c r="D8784" s="49"/>
      <c r="E8784" s="50"/>
      <c r="F8784" s="51" t="s">
        <v>13</v>
      </c>
      <c r="G8784" s="51" t="str">
        <f>IF(ISNUMBER(F8784),E8784*F8784,"")</f>
        <v/>
      </c>
      <c r="H8784" s="53"/>
      <c r="I8784" s="38"/>
      <c r="J8784" s="37">
        <v>0</v>
      </c>
    </row>
    <row r="8785" spans="1:10" ht="15.75" hidden="1" thickBot="1" x14ac:dyDescent="0.3">
      <c r="A8785" s="173" t="s">
        <v>2108</v>
      </c>
      <c r="B8785" s="176" t="s">
        <v>8603</v>
      </c>
      <c r="C8785" s="31"/>
      <c r="D8785" s="32" t="s">
        <v>18</v>
      </c>
      <c r="E8785" s="33"/>
      <c r="F8785" s="54" t="s">
        <v>13</v>
      </c>
      <c r="G8785" s="34" t="str">
        <f>IF(ISNUMBER(F8785),E8785*F8785,"")</f>
        <v/>
      </c>
      <c r="H8785" s="35"/>
      <c r="I8785" s="36"/>
      <c r="J8785" s="37">
        <v>0</v>
      </c>
    </row>
    <row r="8786" spans="1:10" hidden="1" x14ac:dyDescent="0.25">
      <c r="A8786" s="174"/>
      <c r="B8786" s="177"/>
      <c r="C8786" s="39"/>
      <c r="D8786" s="39"/>
      <c r="E8786" s="40"/>
      <c r="F8786" s="55" t="s">
        <v>13</v>
      </c>
      <c r="G8786" s="38" t="str">
        <f>IF(ISNUMBER(F8786),E8786*F8786,"")</f>
        <v/>
      </c>
      <c r="H8786" s="42"/>
      <c r="I8786" s="38"/>
      <c r="J8786" s="37">
        <v>0</v>
      </c>
    </row>
    <row r="8787" spans="1:10" hidden="1" x14ac:dyDescent="0.25">
      <c r="A8787" s="174"/>
      <c r="B8787" s="177"/>
      <c r="C8787" s="43" t="s">
        <v>10762</v>
      </c>
      <c r="D8787" s="43" t="s">
        <v>2800</v>
      </c>
      <c r="E8787" s="44">
        <v>0.1</v>
      </c>
      <c r="F8787" s="38">
        <v>24.946999999999999</v>
      </c>
      <c r="G8787" s="38">
        <f>IF(ISNUMBER(F8787),E8787*F8787,"")</f>
        <v>2.4946999999999999</v>
      </c>
      <c r="H8787" s="46">
        <f>SUM(G8787:G8788)</f>
        <v>2.4946999999999999</v>
      </c>
      <c r="I8787" s="47"/>
      <c r="J8787" s="37">
        <v>0</v>
      </c>
    </row>
    <row r="8788" spans="1:10" hidden="1" x14ac:dyDescent="0.25">
      <c r="A8788" s="174"/>
      <c r="B8788" s="177"/>
      <c r="C8788" s="43" t="s">
        <v>2109</v>
      </c>
      <c r="D8788" s="43" t="s">
        <v>18</v>
      </c>
      <c r="E8788" s="44">
        <v>1</v>
      </c>
      <c r="F8788" s="41" t="s">
        <v>13</v>
      </c>
      <c r="G8788" s="38" t="str">
        <f>IF(ISNUMBER(F8788),E8788*F8788,"")</f>
        <v/>
      </c>
      <c r="H8788" s="42"/>
      <c r="I8788" s="38"/>
      <c r="J8788" s="37">
        <v>0</v>
      </c>
    </row>
    <row r="8789" spans="1:10" ht="15.75" hidden="1" thickBot="1" x14ac:dyDescent="0.3">
      <c r="A8789" s="175"/>
      <c r="B8789" s="178"/>
      <c r="C8789" s="49"/>
      <c r="D8789" s="49"/>
      <c r="E8789" s="50"/>
      <c r="F8789" s="51" t="s">
        <v>13</v>
      </c>
      <c r="G8789" s="51" t="str">
        <f>IF(ISNUMBER(F8789),E8789*F8789,"")</f>
        <v/>
      </c>
      <c r="H8789" s="53"/>
      <c r="I8789" s="38"/>
      <c r="J8789" s="37">
        <v>0</v>
      </c>
    </row>
    <row r="8790" spans="1:10" ht="15.75" hidden="1" thickBot="1" x14ac:dyDescent="0.3">
      <c r="A8790" s="173" t="s">
        <v>2110</v>
      </c>
      <c r="B8790" s="176" t="s">
        <v>8604</v>
      </c>
      <c r="C8790" s="31"/>
      <c r="D8790" s="32" t="s">
        <v>18</v>
      </c>
      <c r="E8790" s="33"/>
      <c r="F8790" s="54" t="s">
        <v>13</v>
      </c>
      <c r="G8790" s="34" t="str">
        <f>IF(ISNUMBER(F8790),E8790*F8790,"")</f>
        <v/>
      </c>
      <c r="H8790" s="35"/>
      <c r="I8790" s="36"/>
      <c r="J8790" s="37">
        <v>0</v>
      </c>
    </row>
    <row r="8791" spans="1:10" hidden="1" x14ac:dyDescent="0.25">
      <c r="A8791" s="174"/>
      <c r="B8791" s="177"/>
      <c r="C8791" s="39"/>
      <c r="D8791" s="39"/>
      <c r="E8791" s="40"/>
      <c r="F8791" s="55" t="s">
        <v>13</v>
      </c>
      <c r="G8791" s="38" t="str">
        <f>IF(ISNUMBER(F8791),E8791*F8791,"")</f>
        <v/>
      </c>
      <c r="H8791" s="42"/>
      <c r="I8791" s="38"/>
      <c r="J8791" s="37">
        <v>0</v>
      </c>
    </row>
    <row r="8792" spans="1:10" hidden="1" x14ac:dyDescent="0.25">
      <c r="A8792" s="174"/>
      <c r="B8792" s="177"/>
      <c r="C8792" s="43" t="s">
        <v>10762</v>
      </c>
      <c r="D8792" s="43" t="s">
        <v>2800</v>
      </c>
      <c r="E8792" s="44">
        <v>0.1</v>
      </c>
      <c r="F8792" s="38">
        <v>24.946999999999999</v>
      </c>
      <c r="G8792" s="38">
        <f>IF(ISNUMBER(F8792),E8792*F8792,"")</f>
        <v>2.4946999999999999</v>
      </c>
      <c r="H8792" s="46">
        <f>SUM(G8792:G8793)</f>
        <v>2.4946999999999999</v>
      </c>
      <c r="I8792" s="47"/>
      <c r="J8792" s="37">
        <v>0</v>
      </c>
    </row>
    <row r="8793" spans="1:10" hidden="1" x14ac:dyDescent="0.25">
      <c r="A8793" s="174"/>
      <c r="B8793" s="177"/>
      <c r="C8793" s="43" t="s">
        <v>2111</v>
      </c>
      <c r="D8793" s="43" t="s">
        <v>18</v>
      </c>
      <c r="E8793" s="44">
        <v>1</v>
      </c>
      <c r="F8793" s="41" t="s">
        <v>13</v>
      </c>
      <c r="G8793" s="38" t="str">
        <f>IF(ISNUMBER(F8793),E8793*F8793,"")</f>
        <v/>
      </c>
      <c r="H8793" s="42"/>
      <c r="I8793" s="38"/>
      <c r="J8793" s="37">
        <v>0</v>
      </c>
    </row>
    <row r="8794" spans="1:10" ht="15.75" hidden="1" thickBot="1" x14ac:dyDescent="0.3">
      <c r="A8794" s="175"/>
      <c r="B8794" s="178"/>
      <c r="C8794" s="49"/>
      <c r="D8794" s="49"/>
      <c r="E8794" s="50"/>
      <c r="F8794" s="51" t="s">
        <v>13</v>
      </c>
      <c r="G8794" s="51" t="str">
        <f>IF(ISNUMBER(F8794),E8794*F8794,"")</f>
        <v/>
      </c>
      <c r="H8794" s="53"/>
      <c r="I8794" s="38"/>
      <c r="J8794" s="37">
        <v>0</v>
      </c>
    </row>
    <row r="8795" spans="1:10" ht="15.75" hidden="1" thickBot="1" x14ac:dyDescent="0.3">
      <c r="A8795" s="173" t="s">
        <v>2112</v>
      </c>
      <c r="B8795" s="176" t="s">
        <v>8605</v>
      </c>
      <c r="C8795" s="31"/>
      <c r="D8795" s="32" t="s">
        <v>18</v>
      </c>
      <c r="E8795" s="33"/>
      <c r="F8795" s="54" t="s">
        <v>13</v>
      </c>
      <c r="G8795" s="34" t="str">
        <f>IF(ISNUMBER(F8795),E8795*F8795,"")</f>
        <v/>
      </c>
      <c r="H8795" s="35"/>
      <c r="I8795" s="36"/>
      <c r="J8795" s="37">
        <v>0</v>
      </c>
    </row>
    <row r="8796" spans="1:10" hidden="1" x14ac:dyDescent="0.25">
      <c r="A8796" s="174"/>
      <c r="B8796" s="177"/>
      <c r="C8796" s="39"/>
      <c r="D8796" s="39"/>
      <c r="E8796" s="40"/>
      <c r="F8796" s="55" t="s">
        <v>13</v>
      </c>
      <c r="G8796" s="38" t="str">
        <f>IF(ISNUMBER(F8796),E8796*F8796,"")</f>
        <v/>
      </c>
      <c r="H8796" s="42"/>
      <c r="I8796" s="38"/>
      <c r="J8796" s="37">
        <v>0</v>
      </c>
    </row>
    <row r="8797" spans="1:10" hidden="1" x14ac:dyDescent="0.25">
      <c r="A8797" s="174"/>
      <c r="B8797" s="177"/>
      <c r="C8797" s="43" t="s">
        <v>10763</v>
      </c>
      <c r="D8797" s="43" t="s">
        <v>2800</v>
      </c>
      <c r="E8797" s="44">
        <v>0.317</v>
      </c>
      <c r="F8797" s="38">
        <v>31.435500000000001</v>
      </c>
      <c r="G8797" s="41">
        <f>IF(ISNUMBER(F8797),E8797*F8797,"")</f>
        <v>9.9650534999999998</v>
      </c>
      <c r="H8797" s="46">
        <f>SUM(G8797:G8799)</f>
        <v>17.8732525</v>
      </c>
      <c r="I8797" s="47"/>
      <c r="J8797" s="37">
        <v>0</v>
      </c>
    </row>
    <row r="8798" spans="1:10" hidden="1" x14ac:dyDescent="0.25">
      <c r="A8798" s="174"/>
      <c r="B8798" s="177"/>
      <c r="C8798" s="43" t="s">
        <v>10762</v>
      </c>
      <c r="D8798" s="43" t="s">
        <v>2800</v>
      </c>
      <c r="E8798" s="44">
        <v>0.317</v>
      </c>
      <c r="F8798" s="38">
        <v>24.946999999999999</v>
      </c>
      <c r="G8798" s="41">
        <f>IF(ISNUMBER(F8798),E8798*F8798,"")</f>
        <v>7.9081989999999998</v>
      </c>
      <c r="H8798" s="42"/>
      <c r="I8798" s="38"/>
      <c r="J8798" s="37">
        <v>0</v>
      </c>
    </row>
    <row r="8799" spans="1:10" hidden="1" x14ac:dyDescent="0.25">
      <c r="A8799" s="174"/>
      <c r="B8799" s="177"/>
      <c r="C8799" s="43" t="s">
        <v>2113</v>
      </c>
      <c r="D8799" s="43" t="s">
        <v>18</v>
      </c>
      <c r="E8799" s="44">
        <v>1</v>
      </c>
      <c r="F8799" s="41" t="s">
        <v>13</v>
      </c>
      <c r="G8799" s="38" t="str">
        <f>IF(ISNUMBER(F8799),E8799*F8799,"")</f>
        <v/>
      </c>
      <c r="H8799" s="42"/>
      <c r="I8799" s="38"/>
      <c r="J8799" s="37">
        <v>0</v>
      </c>
    </row>
    <row r="8800" spans="1:10" ht="15.75" hidden="1" thickBot="1" x14ac:dyDescent="0.3">
      <c r="A8800" s="175"/>
      <c r="B8800" s="178"/>
      <c r="C8800" s="49"/>
      <c r="D8800" s="49"/>
      <c r="E8800" s="50"/>
      <c r="F8800" s="51" t="s">
        <v>13</v>
      </c>
      <c r="G8800" s="51" t="str">
        <f>IF(ISNUMBER(F8800),E8800*F8800,"")</f>
        <v/>
      </c>
      <c r="H8800" s="53"/>
      <c r="I8800" s="38"/>
      <c r="J8800" s="37">
        <v>0</v>
      </c>
    </row>
    <row r="8801" spans="1:10" ht="15.75" hidden="1" thickBot="1" x14ac:dyDescent="0.3">
      <c r="A8801" s="173" t="s">
        <v>2114</v>
      </c>
      <c r="B8801" s="176" t="s">
        <v>8606</v>
      </c>
      <c r="C8801" s="31"/>
      <c r="D8801" s="32" t="s">
        <v>18</v>
      </c>
      <c r="E8801" s="33"/>
      <c r="F8801" s="54" t="s">
        <v>13</v>
      </c>
      <c r="G8801" s="34" t="str">
        <f>IF(ISNUMBER(F8801),E8801*F8801,"")</f>
        <v/>
      </c>
      <c r="H8801" s="35"/>
      <c r="I8801" s="36"/>
      <c r="J8801" s="37">
        <v>0</v>
      </c>
    </row>
    <row r="8802" spans="1:10" hidden="1" x14ac:dyDescent="0.25">
      <c r="A8802" s="174"/>
      <c r="B8802" s="177"/>
      <c r="C8802" s="39"/>
      <c r="D8802" s="39"/>
      <c r="E8802" s="40"/>
      <c r="F8802" s="55" t="s">
        <v>13</v>
      </c>
      <c r="G8802" s="38" t="str">
        <f>IF(ISNUMBER(F8802),E8802*F8802,"")</f>
        <v/>
      </c>
      <c r="H8802" s="42"/>
      <c r="I8802" s="38"/>
      <c r="J8802" s="37">
        <v>0</v>
      </c>
    </row>
    <row r="8803" spans="1:10" hidden="1" x14ac:dyDescent="0.25">
      <c r="A8803" s="174"/>
      <c r="B8803" s="177"/>
      <c r="C8803" s="43" t="s">
        <v>10762</v>
      </c>
      <c r="D8803" s="43" t="s">
        <v>2800</v>
      </c>
      <c r="E8803" s="44">
        <v>0.34599999999999997</v>
      </c>
      <c r="F8803" s="38">
        <v>24.946999999999999</v>
      </c>
      <c r="G8803" s="41">
        <f>IF(ISNUMBER(F8803),E8803*F8803,"")</f>
        <v>8.6316619999999986</v>
      </c>
      <c r="H8803" s="46">
        <f>SUM(G8803:G8805)</f>
        <v>19.508344999999998</v>
      </c>
      <c r="I8803" s="47"/>
      <c r="J8803" s="37">
        <v>0</v>
      </c>
    </row>
    <row r="8804" spans="1:10" hidden="1" x14ac:dyDescent="0.25">
      <c r="A8804" s="174"/>
      <c r="B8804" s="177"/>
      <c r="C8804" s="43" t="s">
        <v>10763</v>
      </c>
      <c r="D8804" s="43" t="s">
        <v>2800</v>
      </c>
      <c r="E8804" s="44">
        <v>0.34599999999999997</v>
      </c>
      <c r="F8804" s="38">
        <v>31.435500000000001</v>
      </c>
      <c r="G8804" s="41">
        <f>IF(ISNUMBER(F8804),E8804*F8804,"")</f>
        <v>10.876683</v>
      </c>
      <c r="H8804" s="42"/>
      <c r="I8804" s="38"/>
      <c r="J8804" s="37">
        <v>0</v>
      </c>
    </row>
    <row r="8805" spans="1:10" hidden="1" x14ac:dyDescent="0.25">
      <c r="A8805" s="174"/>
      <c r="B8805" s="177"/>
      <c r="C8805" s="43" t="s">
        <v>2115</v>
      </c>
      <c r="D8805" s="43" t="s">
        <v>106</v>
      </c>
      <c r="E8805" s="44">
        <v>1</v>
      </c>
      <c r="F8805" s="41" t="s">
        <v>13</v>
      </c>
      <c r="G8805" s="41" t="str">
        <f>IF(ISNUMBER(F8805),E8805*F8805,"")</f>
        <v/>
      </c>
      <c r="H8805" s="42"/>
      <c r="I8805" s="38"/>
      <c r="J8805" s="37">
        <v>0</v>
      </c>
    </row>
    <row r="8806" spans="1:10" ht="15.75" hidden="1" thickBot="1" x14ac:dyDescent="0.3">
      <c r="A8806" s="175"/>
      <c r="B8806" s="178"/>
      <c r="C8806" s="49"/>
      <c r="D8806" s="49"/>
      <c r="E8806" s="50"/>
      <c r="F8806" s="51" t="s">
        <v>13</v>
      </c>
      <c r="G8806" s="51" t="str">
        <f>IF(ISNUMBER(F8806),E8806*F8806,"")</f>
        <v/>
      </c>
      <c r="H8806" s="53"/>
      <c r="I8806" s="38"/>
      <c r="J8806" s="37">
        <v>0</v>
      </c>
    </row>
    <row r="8807" spans="1:10" ht="15.75" hidden="1" thickBot="1" x14ac:dyDescent="0.3">
      <c r="A8807" s="173" t="s">
        <v>2116</v>
      </c>
      <c r="B8807" s="176" t="s">
        <v>8607</v>
      </c>
      <c r="C8807" s="31"/>
      <c r="D8807" s="32" t="s">
        <v>18</v>
      </c>
      <c r="E8807" s="33"/>
      <c r="F8807" s="54" t="s">
        <v>13</v>
      </c>
      <c r="G8807" s="34" t="str">
        <f>IF(ISNUMBER(F8807),E8807*F8807,"")</f>
        <v/>
      </c>
      <c r="H8807" s="35"/>
      <c r="I8807" s="36"/>
      <c r="J8807" s="37">
        <v>0</v>
      </c>
    </row>
    <row r="8808" spans="1:10" hidden="1" x14ac:dyDescent="0.25">
      <c r="A8808" s="174"/>
      <c r="B8808" s="177"/>
      <c r="C8808" s="39"/>
      <c r="D8808" s="39"/>
      <c r="E8808" s="40"/>
      <c r="F8808" s="55" t="s">
        <v>13</v>
      </c>
      <c r="G8808" s="38" t="str">
        <f>IF(ISNUMBER(F8808),E8808*F8808,"")</f>
        <v/>
      </c>
      <c r="H8808" s="42"/>
      <c r="I8808" s="38"/>
      <c r="J8808" s="37">
        <v>0</v>
      </c>
    </row>
    <row r="8809" spans="1:10" hidden="1" x14ac:dyDescent="0.25">
      <c r="A8809" s="174"/>
      <c r="B8809" s="177"/>
      <c r="C8809" s="43" t="s">
        <v>10762</v>
      </c>
      <c r="D8809" s="43" t="s">
        <v>2800</v>
      </c>
      <c r="E8809" s="44">
        <v>0.34599999999999997</v>
      </c>
      <c r="F8809" s="38">
        <v>24.946999999999999</v>
      </c>
      <c r="G8809" s="41">
        <f>IF(ISNUMBER(F8809),E8809*F8809,"")</f>
        <v>8.6316619999999986</v>
      </c>
      <c r="H8809" s="46">
        <f>SUM(G8809:G8811)</f>
        <v>19.508344999999998</v>
      </c>
      <c r="I8809" s="47"/>
      <c r="J8809" s="37">
        <v>0</v>
      </c>
    </row>
    <row r="8810" spans="1:10" hidden="1" x14ac:dyDescent="0.25">
      <c r="A8810" s="174"/>
      <c r="B8810" s="177"/>
      <c r="C8810" s="43" t="s">
        <v>10763</v>
      </c>
      <c r="D8810" s="43" t="s">
        <v>2800</v>
      </c>
      <c r="E8810" s="44">
        <v>0.34599999999999997</v>
      </c>
      <c r="F8810" s="38">
        <v>31.435500000000001</v>
      </c>
      <c r="G8810" s="41">
        <f>IF(ISNUMBER(F8810),E8810*F8810,"")</f>
        <v>10.876683</v>
      </c>
      <c r="H8810" s="42"/>
      <c r="I8810" s="38"/>
      <c r="J8810" s="37">
        <v>0</v>
      </c>
    </row>
    <row r="8811" spans="1:10" hidden="1" x14ac:dyDescent="0.25">
      <c r="A8811" s="174"/>
      <c r="B8811" s="177"/>
      <c r="C8811" s="43" t="s">
        <v>2117</v>
      </c>
      <c r="D8811" s="43" t="s">
        <v>106</v>
      </c>
      <c r="E8811" s="44">
        <v>1</v>
      </c>
      <c r="F8811" s="41" t="s">
        <v>13</v>
      </c>
      <c r="G8811" s="41" t="str">
        <f>IF(ISNUMBER(F8811),E8811*F8811,"")</f>
        <v/>
      </c>
      <c r="H8811" s="42"/>
      <c r="I8811" s="38"/>
      <c r="J8811" s="37">
        <v>0</v>
      </c>
    </row>
    <row r="8812" spans="1:10" ht="15.75" hidden="1" thickBot="1" x14ac:dyDescent="0.3">
      <c r="A8812" s="175"/>
      <c r="B8812" s="178"/>
      <c r="C8812" s="49"/>
      <c r="D8812" s="49"/>
      <c r="E8812" s="50"/>
      <c r="F8812" s="51" t="s">
        <v>13</v>
      </c>
      <c r="G8812" s="51" t="str">
        <f>IF(ISNUMBER(F8812),E8812*F8812,"")</f>
        <v/>
      </c>
      <c r="H8812" s="53"/>
      <c r="I8812" s="38"/>
      <c r="J8812" s="37">
        <v>0</v>
      </c>
    </row>
    <row r="8813" spans="1:10" ht="15.75" hidden="1" thickBot="1" x14ac:dyDescent="0.3">
      <c r="A8813" s="173" t="s">
        <v>2118</v>
      </c>
      <c r="B8813" s="176" t="s">
        <v>8608</v>
      </c>
      <c r="C8813" s="31"/>
      <c r="D8813" s="32" t="s">
        <v>18</v>
      </c>
      <c r="E8813" s="33"/>
      <c r="F8813" s="54" t="s">
        <v>13</v>
      </c>
      <c r="G8813" s="34" t="str">
        <f>IF(ISNUMBER(F8813),E8813*F8813,"")</f>
        <v/>
      </c>
      <c r="H8813" s="35"/>
      <c r="I8813" s="36"/>
      <c r="J8813" s="37">
        <v>0</v>
      </c>
    </row>
    <row r="8814" spans="1:10" hidden="1" x14ac:dyDescent="0.25">
      <c r="A8814" s="174"/>
      <c r="B8814" s="177"/>
      <c r="C8814" s="39"/>
      <c r="D8814" s="39"/>
      <c r="E8814" s="40"/>
      <c r="F8814" s="55" t="s">
        <v>13</v>
      </c>
      <c r="G8814" s="38" t="str">
        <f>IF(ISNUMBER(F8814),E8814*F8814,"")</f>
        <v/>
      </c>
      <c r="H8814" s="42"/>
      <c r="I8814" s="38"/>
      <c r="J8814" s="37">
        <v>0</v>
      </c>
    </row>
    <row r="8815" spans="1:10" hidden="1" x14ac:dyDescent="0.25">
      <c r="A8815" s="174"/>
      <c r="B8815" s="177"/>
      <c r="C8815" s="43" t="s">
        <v>10762</v>
      </c>
      <c r="D8815" s="43" t="s">
        <v>2800</v>
      </c>
      <c r="E8815" s="44">
        <f>0.0045*2.5</f>
        <v>1.125E-2</v>
      </c>
      <c r="F8815" s="38">
        <v>24.946999999999999</v>
      </c>
      <c r="G8815" s="41">
        <f>IF(ISNUMBER(F8815),E8815*F8815,"")</f>
        <v>0.28065374999999998</v>
      </c>
      <c r="H8815" s="46">
        <f>SUM(G8815:G8817)</f>
        <v>0.63430312499999997</v>
      </c>
      <c r="I8815" s="47"/>
      <c r="J8815" s="37">
        <v>0</v>
      </c>
    </row>
    <row r="8816" spans="1:10" hidden="1" x14ac:dyDescent="0.25">
      <c r="A8816" s="174"/>
      <c r="B8816" s="177"/>
      <c r="C8816" s="43" t="s">
        <v>10763</v>
      </c>
      <c r="D8816" s="43" t="s">
        <v>2800</v>
      </c>
      <c r="E8816" s="44">
        <f>0.0045*2.5</f>
        <v>1.125E-2</v>
      </c>
      <c r="F8816" s="38">
        <v>31.435500000000001</v>
      </c>
      <c r="G8816" s="41">
        <f>IF(ISNUMBER(F8816),E8816*F8816,"")</f>
        <v>0.35364937499999999</v>
      </c>
      <c r="H8816" s="42"/>
      <c r="I8816" s="38"/>
      <c r="J8816" s="37">
        <v>0</v>
      </c>
    </row>
    <row r="8817" spans="1:10" hidden="1" x14ac:dyDescent="0.25">
      <c r="A8817" s="174"/>
      <c r="B8817" s="177"/>
      <c r="C8817" s="43" t="s">
        <v>2119</v>
      </c>
      <c r="D8817" s="43" t="s">
        <v>18</v>
      </c>
      <c r="E8817" s="44">
        <v>1</v>
      </c>
      <c r="F8817" s="41" t="s">
        <v>13</v>
      </c>
      <c r="G8817" s="41" t="str">
        <f>IF(ISNUMBER(F8817),E8817*F8817,"")</f>
        <v/>
      </c>
      <c r="H8817" s="42"/>
      <c r="I8817" s="38"/>
      <c r="J8817" s="37">
        <v>0</v>
      </c>
    </row>
    <row r="8818" spans="1:10" ht="15.75" hidden="1" thickBot="1" x14ac:dyDescent="0.3">
      <c r="A8818" s="175"/>
      <c r="B8818" s="178"/>
      <c r="C8818" s="49"/>
      <c r="D8818" s="49"/>
      <c r="E8818" s="50"/>
      <c r="F8818" s="51" t="s">
        <v>13</v>
      </c>
      <c r="G8818" s="51" t="str">
        <f>IF(ISNUMBER(F8818),E8818*F8818,"")</f>
        <v/>
      </c>
      <c r="H8818" s="53"/>
      <c r="I8818" s="38"/>
      <c r="J8818" s="37">
        <v>0</v>
      </c>
    </row>
    <row r="8819" spans="1:10" ht="15.75" hidden="1" thickBot="1" x14ac:dyDescent="0.3">
      <c r="A8819" s="173" t="s">
        <v>2120</v>
      </c>
      <c r="B8819" s="176" t="s">
        <v>8609</v>
      </c>
      <c r="C8819" s="31"/>
      <c r="D8819" s="32" t="s">
        <v>18</v>
      </c>
      <c r="E8819" s="33"/>
      <c r="F8819" s="54" t="s">
        <v>13</v>
      </c>
      <c r="G8819" s="34" t="str">
        <f>IF(ISNUMBER(F8819),E8819*F8819,"")</f>
        <v/>
      </c>
      <c r="H8819" s="35"/>
      <c r="I8819" s="36"/>
      <c r="J8819" s="37">
        <v>0</v>
      </c>
    </row>
    <row r="8820" spans="1:10" hidden="1" x14ac:dyDescent="0.25">
      <c r="A8820" s="174"/>
      <c r="B8820" s="177"/>
      <c r="C8820" s="39"/>
      <c r="D8820" s="39"/>
      <c r="E8820" s="40"/>
      <c r="F8820" s="55" t="s">
        <v>13</v>
      </c>
      <c r="G8820" s="38" t="str">
        <f>IF(ISNUMBER(F8820),E8820*F8820,"")</f>
        <v/>
      </c>
      <c r="H8820" s="42"/>
      <c r="I8820" s="38"/>
      <c r="J8820" s="37">
        <v>0</v>
      </c>
    </row>
    <row r="8821" spans="1:10" ht="25.5" hidden="1" x14ac:dyDescent="0.25">
      <c r="A8821" s="174"/>
      <c r="B8821" s="177"/>
      <c r="C8821" s="43" t="s">
        <v>11642</v>
      </c>
      <c r="D8821" s="43" t="s">
        <v>83</v>
      </c>
      <c r="E8821" s="44">
        <v>1</v>
      </c>
      <c r="F8821" s="38">
        <v>1295.0684999999999</v>
      </c>
      <c r="G8821" s="41">
        <f>IF(ISNUMBER(F8821),E8821*F8821,"")</f>
        <v>1295.0684999999999</v>
      </c>
      <c r="H8821" s="46">
        <f>SUM(G8821:G8823)</f>
        <v>1352.9169449999999</v>
      </c>
      <c r="I8821" s="47"/>
      <c r="J8821" s="37">
        <v>0</v>
      </c>
    </row>
    <row r="8822" spans="1:10" hidden="1" x14ac:dyDescent="0.25">
      <c r="A8822" s="174"/>
      <c r="B8822" s="177"/>
      <c r="C8822" s="43" t="s">
        <v>10762</v>
      </c>
      <c r="D8822" s="43" t="s">
        <v>2800</v>
      </c>
      <c r="E8822" s="44">
        <v>1.026</v>
      </c>
      <c r="F8822" s="38">
        <v>24.946999999999999</v>
      </c>
      <c r="G8822" s="41">
        <f>IF(ISNUMBER(F8822),E8822*F8822,"")</f>
        <v>25.595621999999999</v>
      </c>
      <c r="H8822" s="42"/>
      <c r="I8822" s="38"/>
      <c r="J8822" s="37">
        <v>0</v>
      </c>
    </row>
    <row r="8823" spans="1:10" hidden="1" x14ac:dyDescent="0.25">
      <c r="A8823" s="174"/>
      <c r="B8823" s="177"/>
      <c r="C8823" s="43" t="s">
        <v>10763</v>
      </c>
      <c r="D8823" s="43" t="s">
        <v>2800</v>
      </c>
      <c r="E8823" s="44">
        <v>1.026</v>
      </c>
      <c r="F8823" s="38">
        <v>31.435500000000001</v>
      </c>
      <c r="G8823" s="41">
        <f>IF(ISNUMBER(F8823),E8823*F8823,"")</f>
        <v>32.252822999999999</v>
      </c>
      <c r="H8823" s="42"/>
      <c r="I8823" s="38"/>
      <c r="J8823" s="37">
        <v>0</v>
      </c>
    </row>
    <row r="8824" spans="1:10" ht="15.75" hidden="1" thickBot="1" x14ac:dyDescent="0.3">
      <c r="A8824" s="175"/>
      <c r="B8824" s="178"/>
      <c r="C8824" s="49"/>
      <c r="D8824" s="49"/>
      <c r="E8824" s="50"/>
      <c r="F8824" s="51" t="s">
        <v>13</v>
      </c>
      <c r="G8824" s="51" t="str">
        <f>IF(ISNUMBER(F8824),E8824*F8824,"")</f>
        <v/>
      </c>
      <c r="H8824" s="53"/>
      <c r="I8824" s="38"/>
      <c r="J8824" s="37">
        <v>0</v>
      </c>
    </row>
    <row r="8825" spans="1:10" ht="15.75" hidden="1" thickBot="1" x14ac:dyDescent="0.3">
      <c r="A8825" s="173" t="s">
        <v>2121</v>
      </c>
      <c r="B8825" s="176" t="s">
        <v>2122</v>
      </c>
      <c r="C8825" s="31"/>
      <c r="D8825" s="32" t="s">
        <v>106</v>
      </c>
      <c r="E8825" s="33"/>
      <c r="F8825" s="54" t="s">
        <v>13</v>
      </c>
      <c r="G8825" s="34" t="str">
        <f>IF(ISNUMBER(F8825),E8825*F8825,"")</f>
        <v/>
      </c>
      <c r="H8825" s="35"/>
      <c r="I8825" s="36"/>
      <c r="J8825" s="37">
        <v>0</v>
      </c>
    </row>
    <row r="8826" spans="1:10" hidden="1" x14ac:dyDescent="0.25">
      <c r="A8826" s="174"/>
      <c r="B8826" s="177"/>
      <c r="C8826" s="39"/>
      <c r="D8826" s="39"/>
      <c r="E8826" s="40"/>
      <c r="F8826" s="55" t="s">
        <v>13</v>
      </c>
      <c r="G8826" s="38" t="str">
        <f>IF(ISNUMBER(F8826),E8826*F8826,"")</f>
        <v/>
      </c>
      <c r="H8826" s="42"/>
      <c r="I8826" s="38"/>
      <c r="J8826" s="37">
        <v>0</v>
      </c>
    </row>
    <row r="8827" spans="1:10" hidden="1" x14ac:dyDescent="0.25">
      <c r="A8827" s="174"/>
      <c r="B8827" s="177"/>
      <c r="C8827" s="43" t="s">
        <v>2122</v>
      </c>
      <c r="D8827" s="43" t="s">
        <v>106</v>
      </c>
      <c r="E8827" s="44">
        <v>1</v>
      </c>
      <c r="F8827" s="38" t="s">
        <v>13</v>
      </c>
      <c r="G8827" s="41" t="str">
        <f>IF(ISNUMBER(F8827),E8827*F8827,"")</f>
        <v/>
      </c>
      <c r="H8827" s="46">
        <f>SUM(G8827:G8829)</f>
        <v>5.8694182499999998</v>
      </c>
      <c r="I8827" s="47"/>
      <c r="J8827" s="37">
        <v>0</v>
      </c>
    </row>
    <row r="8828" spans="1:10" hidden="1" x14ac:dyDescent="0.25">
      <c r="A8828" s="174"/>
      <c r="B8828" s="177"/>
      <c r="C8828" s="43" t="s">
        <v>10762</v>
      </c>
      <c r="D8828" s="43" t="s">
        <v>2800</v>
      </c>
      <c r="E8828" s="44">
        <v>0.1041</v>
      </c>
      <c r="F8828" s="38">
        <v>24.946999999999999</v>
      </c>
      <c r="G8828" s="41">
        <f>IF(ISNUMBER(F8828),E8828*F8828,"")</f>
        <v>2.5969826999999999</v>
      </c>
      <c r="H8828" s="42"/>
      <c r="I8828" s="38"/>
      <c r="J8828" s="37">
        <v>0</v>
      </c>
    </row>
    <row r="8829" spans="1:10" hidden="1" x14ac:dyDescent="0.25">
      <c r="A8829" s="174"/>
      <c r="B8829" s="177"/>
      <c r="C8829" s="43" t="s">
        <v>10763</v>
      </c>
      <c r="D8829" s="43" t="s">
        <v>2800</v>
      </c>
      <c r="E8829" s="44">
        <v>0.1041</v>
      </c>
      <c r="F8829" s="38">
        <v>31.435500000000001</v>
      </c>
      <c r="G8829" s="41">
        <f>IF(ISNUMBER(F8829),E8829*F8829,"")</f>
        <v>3.27243555</v>
      </c>
      <c r="H8829" s="42"/>
      <c r="I8829" s="38"/>
      <c r="J8829" s="37">
        <v>0</v>
      </c>
    </row>
    <row r="8830" spans="1:10" ht="15.75" hidden="1" thickBot="1" x14ac:dyDescent="0.3">
      <c r="A8830" s="175"/>
      <c r="B8830" s="178"/>
      <c r="C8830" s="49"/>
      <c r="D8830" s="49"/>
      <c r="E8830" s="50"/>
      <c r="F8830" s="51" t="s">
        <v>13</v>
      </c>
      <c r="G8830" s="51" t="str">
        <f>IF(ISNUMBER(F8830),E8830*F8830,"")</f>
        <v/>
      </c>
      <c r="H8830" s="53"/>
      <c r="I8830" s="38"/>
      <c r="J8830" s="37">
        <v>0</v>
      </c>
    </row>
    <row r="8831" spans="1:10" ht="15.75" hidden="1" thickBot="1" x14ac:dyDescent="0.3">
      <c r="A8831" s="173" t="s">
        <v>2123</v>
      </c>
      <c r="B8831" s="176" t="s">
        <v>8610</v>
      </c>
      <c r="C8831" s="31"/>
      <c r="D8831" s="32" t="s">
        <v>18</v>
      </c>
      <c r="E8831" s="33"/>
      <c r="F8831" s="54" t="s">
        <v>13</v>
      </c>
      <c r="G8831" s="34" t="str">
        <f>IF(ISNUMBER(F8831),E8831*F8831,"")</f>
        <v/>
      </c>
      <c r="H8831" s="35"/>
      <c r="I8831" s="36"/>
      <c r="J8831" s="37">
        <v>0</v>
      </c>
    </row>
    <row r="8832" spans="1:10" hidden="1" x14ac:dyDescent="0.25">
      <c r="A8832" s="174"/>
      <c r="B8832" s="177"/>
      <c r="C8832" s="39"/>
      <c r="D8832" s="39"/>
      <c r="E8832" s="40"/>
      <c r="F8832" s="55" t="s">
        <v>13</v>
      </c>
      <c r="G8832" s="38" t="str">
        <f>IF(ISNUMBER(F8832),E8832*F8832,"")</f>
        <v/>
      </c>
      <c r="H8832" s="42"/>
      <c r="I8832" s="38"/>
      <c r="J8832" s="37">
        <v>0</v>
      </c>
    </row>
    <row r="8833" spans="1:10" hidden="1" x14ac:dyDescent="0.25">
      <c r="A8833" s="174"/>
      <c r="B8833" s="177"/>
      <c r="C8833" s="43" t="s">
        <v>2124</v>
      </c>
      <c r="D8833" s="43" t="s">
        <v>18</v>
      </c>
      <c r="E8833" s="44">
        <v>1</v>
      </c>
      <c r="F8833" s="38" t="s">
        <v>13</v>
      </c>
      <c r="G8833" s="41" t="str">
        <f>IF(ISNUMBER(F8833),E8833*F8833,"")</f>
        <v/>
      </c>
      <c r="H8833" s="46">
        <f>SUM(G8833:G8835)</f>
        <v>18.07059125</v>
      </c>
      <c r="I8833" s="47"/>
      <c r="J8833" s="37">
        <v>0</v>
      </c>
    </row>
    <row r="8834" spans="1:10" hidden="1" x14ac:dyDescent="0.25">
      <c r="A8834" s="174"/>
      <c r="B8834" s="177"/>
      <c r="C8834" s="43" t="s">
        <v>10762</v>
      </c>
      <c r="D8834" s="43" t="s">
        <v>2800</v>
      </c>
      <c r="E8834" s="44">
        <f>0.0641*5</f>
        <v>0.32050000000000001</v>
      </c>
      <c r="F8834" s="38">
        <v>24.946999999999999</v>
      </c>
      <c r="G8834" s="41">
        <f>IF(ISNUMBER(F8834),E8834*F8834,"")</f>
        <v>7.9955134999999995</v>
      </c>
      <c r="H8834" s="42"/>
      <c r="I8834" s="38"/>
      <c r="J8834" s="37">
        <v>0</v>
      </c>
    </row>
    <row r="8835" spans="1:10" hidden="1" x14ac:dyDescent="0.25">
      <c r="A8835" s="174"/>
      <c r="B8835" s="177"/>
      <c r="C8835" s="43" t="s">
        <v>10763</v>
      </c>
      <c r="D8835" s="43" t="s">
        <v>2800</v>
      </c>
      <c r="E8835" s="44">
        <f>0.0641*5</f>
        <v>0.32050000000000001</v>
      </c>
      <c r="F8835" s="38">
        <v>31.435500000000001</v>
      </c>
      <c r="G8835" s="41">
        <f>IF(ISNUMBER(F8835),E8835*F8835,"")</f>
        <v>10.07507775</v>
      </c>
      <c r="H8835" s="42"/>
      <c r="I8835" s="38"/>
      <c r="J8835" s="37">
        <v>0</v>
      </c>
    </row>
    <row r="8836" spans="1:10" ht="15.75" hidden="1" thickBot="1" x14ac:dyDescent="0.3">
      <c r="A8836" s="175"/>
      <c r="B8836" s="178"/>
      <c r="C8836" s="49"/>
      <c r="D8836" s="49"/>
      <c r="E8836" s="50"/>
      <c r="F8836" s="51" t="s">
        <v>13</v>
      </c>
      <c r="G8836" s="51" t="str">
        <f>IF(ISNUMBER(F8836),E8836*F8836,"")</f>
        <v/>
      </c>
      <c r="H8836" s="53"/>
      <c r="I8836" s="38"/>
      <c r="J8836" s="37">
        <v>0</v>
      </c>
    </row>
    <row r="8837" spans="1:10" ht="15.75" hidden="1" thickBot="1" x14ac:dyDescent="0.3">
      <c r="A8837" s="173" t="s">
        <v>2125</v>
      </c>
      <c r="B8837" s="176" t="s">
        <v>8611</v>
      </c>
      <c r="C8837" s="31"/>
      <c r="D8837" s="32" t="s">
        <v>18</v>
      </c>
      <c r="E8837" s="33"/>
      <c r="F8837" s="54" t="s">
        <v>13</v>
      </c>
      <c r="G8837" s="34" t="str">
        <f>IF(ISNUMBER(F8837),E8837*F8837,"")</f>
        <v/>
      </c>
      <c r="H8837" s="35"/>
      <c r="I8837" s="36"/>
      <c r="J8837" s="37">
        <v>0</v>
      </c>
    </row>
    <row r="8838" spans="1:10" hidden="1" x14ac:dyDescent="0.25">
      <c r="A8838" s="174"/>
      <c r="B8838" s="177"/>
      <c r="C8838" s="39"/>
      <c r="D8838" s="39"/>
      <c r="E8838" s="40"/>
      <c r="F8838" s="55" t="s">
        <v>13</v>
      </c>
      <c r="G8838" s="38" t="str">
        <f>IF(ISNUMBER(F8838),E8838*F8838,"")</f>
        <v/>
      </c>
      <c r="H8838" s="42"/>
      <c r="I8838" s="38"/>
      <c r="J8838" s="37">
        <v>0</v>
      </c>
    </row>
    <row r="8839" spans="1:10" hidden="1" x14ac:dyDescent="0.25">
      <c r="A8839" s="174"/>
      <c r="B8839" s="177"/>
      <c r="C8839" s="43" t="s">
        <v>2126</v>
      </c>
      <c r="D8839" s="43" t="s">
        <v>18</v>
      </c>
      <c r="E8839" s="44">
        <v>1</v>
      </c>
      <c r="F8839" s="38" t="s">
        <v>13</v>
      </c>
      <c r="G8839" s="41" t="str">
        <f>IF(ISNUMBER(F8839),E8839*F8839,"")</f>
        <v/>
      </c>
      <c r="H8839" s="46">
        <f>SUM(G8839:G8841)</f>
        <v>139.704644</v>
      </c>
      <c r="I8839" s="47"/>
      <c r="J8839" s="37">
        <v>0</v>
      </c>
    </row>
    <row r="8840" spans="1:10" hidden="1" x14ac:dyDescent="0.25">
      <c r="A8840" s="174"/>
      <c r="B8840" s="177"/>
      <c r="C8840" s="43" t="s">
        <v>10750</v>
      </c>
      <c r="D8840" s="43" t="s">
        <v>2800</v>
      </c>
      <c r="E8840" s="44">
        <v>2.2389999999999999</v>
      </c>
      <c r="F8840" s="38">
        <v>24.358000000000001</v>
      </c>
      <c r="G8840" s="41">
        <f>IF(ISNUMBER(F8840),E8840*F8840,"")</f>
        <v>54.537562000000001</v>
      </c>
      <c r="H8840" s="42"/>
      <c r="I8840" s="38"/>
      <c r="J8840" s="37">
        <v>0</v>
      </c>
    </row>
    <row r="8841" spans="1:10" hidden="1" x14ac:dyDescent="0.25">
      <c r="A8841" s="174"/>
      <c r="B8841" s="177"/>
      <c r="C8841" s="43" t="s">
        <v>11216</v>
      </c>
      <c r="D8841" s="43" t="s">
        <v>2800</v>
      </c>
      <c r="E8841" s="44">
        <v>2.2389999999999999</v>
      </c>
      <c r="F8841" s="38">
        <v>38.037999999999997</v>
      </c>
      <c r="G8841" s="41">
        <f>IF(ISNUMBER(F8841),E8841*F8841,"")</f>
        <v>85.167081999999994</v>
      </c>
      <c r="H8841" s="42"/>
      <c r="I8841" s="38"/>
      <c r="J8841" s="37">
        <v>0</v>
      </c>
    </row>
    <row r="8842" spans="1:10" ht="15.75" hidden="1" thickBot="1" x14ac:dyDescent="0.3">
      <c r="A8842" s="175"/>
      <c r="B8842" s="178"/>
      <c r="C8842" s="49"/>
      <c r="D8842" s="49"/>
      <c r="E8842" s="50"/>
      <c r="F8842" s="51" t="s">
        <v>13</v>
      </c>
      <c r="G8842" s="51" t="str">
        <f>IF(ISNUMBER(F8842),E8842*F8842,"")</f>
        <v/>
      </c>
      <c r="H8842" s="53"/>
      <c r="I8842" s="38"/>
      <c r="J8842" s="37">
        <v>0</v>
      </c>
    </row>
    <row r="8843" spans="1:10" ht="15.75" hidden="1" thickBot="1" x14ac:dyDescent="0.3">
      <c r="A8843" s="173" t="s">
        <v>2127</v>
      </c>
      <c r="B8843" s="176" t="s">
        <v>8612</v>
      </c>
      <c r="C8843" s="31"/>
      <c r="D8843" s="32" t="s">
        <v>18</v>
      </c>
      <c r="E8843" s="33"/>
      <c r="F8843" s="54" t="s">
        <v>13</v>
      </c>
      <c r="G8843" s="34" t="str">
        <f>IF(ISNUMBER(F8843),E8843*F8843,"")</f>
        <v/>
      </c>
      <c r="H8843" s="35"/>
      <c r="I8843" s="36"/>
      <c r="J8843" s="37">
        <v>0</v>
      </c>
    </row>
    <row r="8844" spans="1:10" hidden="1" x14ac:dyDescent="0.25">
      <c r="A8844" s="174"/>
      <c r="B8844" s="177"/>
      <c r="C8844" s="39"/>
      <c r="D8844" s="39"/>
      <c r="E8844" s="40"/>
      <c r="F8844" s="55" t="s">
        <v>13</v>
      </c>
      <c r="G8844" s="38" t="str">
        <f>IF(ISNUMBER(F8844),E8844*F8844,"")</f>
        <v/>
      </c>
      <c r="H8844" s="42"/>
      <c r="I8844" s="38"/>
      <c r="J8844" s="37">
        <v>0</v>
      </c>
    </row>
    <row r="8845" spans="1:10" hidden="1" x14ac:dyDescent="0.25">
      <c r="A8845" s="174"/>
      <c r="B8845" s="177"/>
      <c r="C8845" s="43" t="s">
        <v>2128</v>
      </c>
      <c r="D8845" s="43" t="s">
        <v>18</v>
      </c>
      <c r="E8845" s="44">
        <v>1</v>
      </c>
      <c r="F8845" s="38" t="s">
        <v>13</v>
      </c>
      <c r="G8845" s="41" t="str">
        <f>IF(ISNUMBER(F8845),E8845*F8845,"")</f>
        <v/>
      </c>
      <c r="H8845" s="46">
        <f>SUM(G8845:G8847)</f>
        <v>27.940928799999995</v>
      </c>
      <c r="I8845" s="47"/>
      <c r="J8845" s="37">
        <v>0</v>
      </c>
    </row>
    <row r="8846" spans="1:10" hidden="1" x14ac:dyDescent="0.25">
      <c r="A8846" s="174"/>
      <c r="B8846" s="177"/>
      <c r="C8846" s="43" t="s">
        <v>10750</v>
      </c>
      <c r="D8846" s="43" t="s">
        <v>2800</v>
      </c>
      <c r="E8846" s="44">
        <f>2.239*0.2</f>
        <v>0.44779999999999998</v>
      </c>
      <c r="F8846" s="38">
        <v>24.358000000000001</v>
      </c>
      <c r="G8846" s="41">
        <f>IF(ISNUMBER(F8846),E8846*F8846,"")</f>
        <v>10.9075124</v>
      </c>
      <c r="H8846" s="42"/>
      <c r="I8846" s="38"/>
      <c r="J8846" s="37">
        <v>0</v>
      </c>
    </row>
    <row r="8847" spans="1:10" hidden="1" x14ac:dyDescent="0.25">
      <c r="A8847" s="174"/>
      <c r="B8847" s="177"/>
      <c r="C8847" s="43" t="s">
        <v>11216</v>
      </c>
      <c r="D8847" s="43" t="s">
        <v>2800</v>
      </c>
      <c r="E8847" s="44">
        <f>2.239*0.2</f>
        <v>0.44779999999999998</v>
      </c>
      <c r="F8847" s="38">
        <v>38.037999999999997</v>
      </c>
      <c r="G8847" s="41">
        <f>IF(ISNUMBER(F8847),E8847*F8847,"")</f>
        <v>17.033416399999997</v>
      </c>
      <c r="H8847" s="42"/>
      <c r="I8847" s="38"/>
      <c r="J8847" s="37">
        <v>0</v>
      </c>
    </row>
    <row r="8848" spans="1:10" ht="15.75" hidden="1" thickBot="1" x14ac:dyDescent="0.3">
      <c r="A8848" s="175"/>
      <c r="B8848" s="178"/>
      <c r="C8848" s="49"/>
      <c r="D8848" s="49"/>
      <c r="E8848" s="50"/>
      <c r="F8848" s="51" t="s">
        <v>13</v>
      </c>
      <c r="G8848" s="51" t="str">
        <f>IF(ISNUMBER(F8848),E8848*F8848,"")</f>
        <v/>
      </c>
      <c r="H8848" s="53"/>
      <c r="I8848" s="38"/>
      <c r="J8848" s="37">
        <v>0</v>
      </c>
    </row>
    <row r="8849" spans="1:10" ht="15.75" hidden="1" thickBot="1" x14ac:dyDescent="0.3">
      <c r="A8849" s="173" t="s">
        <v>2129</v>
      </c>
      <c r="B8849" s="176" t="s">
        <v>8631</v>
      </c>
      <c r="C8849" s="31"/>
      <c r="D8849" s="32" t="s">
        <v>106</v>
      </c>
      <c r="E8849" s="33"/>
      <c r="F8849" s="54" t="s">
        <v>13</v>
      </c>
      <c r="G8849" s="34" t="str">
        <f>IF(ISNUMBER(F8849),E8849*F8849,"")</f>
        <v/>
      </c>
      <c r="H8849" s="35"/>
      <c r="I8849" s="36"/>
      <c r="J8849" s="37">
        <v>0</v>
      </c>
    </row>
    <row r="8850" spans="1:10" hidden="1" x14ac:dyDescent="0.25">
      <c r="A8850" s="174"/>
      <c r="B8850" s="177"/>
      <c r="C8850" s="39"/>
      <c r="D8850" s="39"/>
      <c r="E8850" s="40"/>
      <c r="F8850" s="55" t="s">
        <v>13</v>
      </c>
      <c r="G8850" s="38" t="str">
        <f>IF(ISNUMBER(F8850),E8850*F8850,"")</f>
        <v/>
      </c>
      <c r="H8850" s="42"/>
      <c r="I8850" s="38"/>
      <c r="J8850" s="37">
        <v>0</v>
      </c>
    </row>
    <row r="8851" spans="1:10" ht="38.25" hidden="1" x14ac:dyDescent="0.25">
      <c r="A8851" s="174"/>
      <c r="B8851" s="177"/>
      <c r="C8851" s="43" t="s">
        <v>10718</v>
      </c>
      <c r="D8851" s="43" t="s">
        <v>2880</v>
      </c>
      <c r="E8851" s="44">
        <v>1.2E-2</v>
      </c>
      <c r="F8851" s="41">
        <v>674.33682106737501</v>
      </c>
      <c r="G8851" s="38">
        <f>IF(ISNUMBER(F8851),E8851*F8851,"")</f>
        <v>8.0920418528085012</v>
      </c>
      <c r="H8851" s="46">
        <f>SUM(G8851:G8856)</f>
        <v>78.299416852808505</v>
      </c>
      <c r="I8851" s="47"/>
      <c r="J8851" s="37">
        <v>0</v>
      </c>
    </row>
    <row r="8852" spans="1:10" ht="51" hidden="1" x14ac:dyDescent="0.25">
      <c r="A8852" s="174"/>
      <c r="B8852" s="177"/>
      <c r="C8852" s="43" t="s">
        <v>2130</v>
      </c>
      <c r="D8852" s="43" t="s">
        <v>83</v>
      </c>
      <c r="E8852" s="44">
        <v>0.3906</v>
      </c>
      <c r="F8852" s="41" t="s">
        <v>13</v>
      </c>
      <c r="G8852" s="38" t="str">
        <f>IF(ISNUMBER(F8852),E8852*F8852,"")</f>
        <v/>
      </c>
      <c r="H8852" s="58"/>
      <c r="I8852" s="59"/>
      <c r="J8852" s="37">
        <v>0</v>
      </c>
    </row>
    <row r="8853" spans="1:10" hidden="1" x14ac:dyDescent="0.25">
      <c r="A8853" s="174"/>
      <c r="B8853" s="177"/>
      <c r="C8853" s="43" t="s">
        <v>11014</v>
      </c>
      <c r="D8853" s="43" t="s">
        <v>2800</v>
      </c>
      <c r="E8853" s="44">
        <v>1.2875000000000001</v>
      </c>
      <c r="F8853" s="41">
        <v>30.837</v>
      </c>
      <c r="G8853" s="38">
        <f>IF(ISNUMBER(F8853),E8853*F8853,"")</f>
        <v>39.702637500000002</v>
      </c>
      <c r="H8853" s="42"/>
      <c r="I8853" s="38"/>
      <c r="J8853" s="37">
        <v>0</v>
      </c>
    </row>
    <row r="8854" spans="1:10" hidden="1" x14ac:dyDescent="0.25">
      <c r="A8854" s="174"/>
      <c r="B8854" s="177"/>
      <c r="C8854" s="43" t="s">
        <v>10614</v>
      </c>
      <c r="D8854" s="43" t="s">
        <v>2800</v>
      </c>
      <c r="E8854" s="44">
        <v>1.2875000000000001</v>
      </c>
      <c r="F8854" s="41">
        <v>23.693000000000001</v>
      </c>
      <c r="G8854" s="38">
        <f>IF(ISNUMBER(F8854),E8854*F8854,"")</f>
        <v>30.504737500000005</v>
      </c>
      <c r="H8854" s="42"/>
      <c r="I8854" s="38"/>
      <c r="J8854" s="37">
        <v>0</v>
      </c>
    </row>
    <row r="8855" spans="1:10" ht="38.25" hidden="1" x14ac:dyDescent="0.25">
      <c r="A8855" s="174"/>
      <c r="B8855" s="177"/>
      <c r="C8855" s="43" t="s">
        <v>2131</v>
      </c>
      <c r="D8855" s="43" t="s">
        <v>162</v>
      </c>
      <c r="E8855" s="44">
        <v>1.97</v>
      </c>
      <c r="F8855" s="41" t="s">
        <v>13</v>
      </c>
      <c r="G8855" s="38" t="str">
        <f>IF(ISNUMBER(F8855),E8855*F8855,"")</f>
        <v/>
      </c>
      <c r="H8855" s="42"/>
      <c r="I8855" s="38"/>
      <c r="J8855" s="37">
        <v>0</v>
      </c>
    </row>
    <row r="8856" spans="1:10" ht="25.5" hidden="1" x14ac:dyDescent="0.25">
      <c r="A8856" s="174"/>
      <c r="B8856" s="177"/>
      <c r="C8856" s="43" t="s">
        <v>2132</v>
      </c>
      <c r="D8856" s="43" t="s">
        <v>83</v>
      </c>
      <c r="E8856" s="44">
        <v>2.3437999999999999</v>
      </c>
      <c r="F8856" s="38" t="s">
        <v>13</v>
      </c>
      <c r="G8856" s="38" t="str">
        <f>IF(ISNUMBER(F8856),E8856*F8856,"")</f>
        <v/>
      </c>
      <c r="H8856" s="42"/>
      <c r="I8856" s="38"/>
      <c r="J8856" s="37">
        <v>0</v>
      </c>
    </row>
    <row r="8857" spans="1:10" hidden="1" x14ac:dyDescent="0.25">
      <c r="A8857" s="174"/>
      <c r="B8857" s="177"/>
      <c r="C8857" s="43"/>
      <c r="D8857" s="43"/>
      <c r="E8857" s="44"/>
      <c r="F8857" s="38"/>
      <c r="G8857" s="38" t="str">
        <f>IF(ISNUMBER(F8857),E8857*F8857,"")</f>
        <v/>
      </c>
      <c r="H8857" s="42"/>
      <c r="I8857" s="38"/>
      <c r="J8857" s="37">
        <v>0</v>
      </c>
    </row>
    <row r="8858" spans="1:10" hidden="1" x14ac:dyDescent="0.25">
      <c r="A8858" s="174"/>
      <c r="B8858" s="177"/>
      <c r="C8858" s="65" t="s">
        <v>2133</v>
      </c>
      <c r="D8858" s="43"/>
      <c r="E8858" s="44"/>
      <c r="F8858" s="38"/>
      <c r="G8858" s="38" t="str">
        <f>IF(ISNUMBER(F8858),E8858*F8858,"")</f>
        <v/>
      </c>
      <c r="H8858" s="42"/>
      <c r="I8858" s="38"/>
      <c r="J8858" s="37">
        <v>0</v>
      </c>
    </row>
    <row r="8859" spans="1:10" ht="15.75" hidden="1" thickBot="1" x14ac:dyDescent="0.3">
      <c r="A8859" s="175"/>
      <c r="B8859" s="178"/>
      <c r="C8859" s="49"/>
      <c r="D8859" s="49"/>
      <c r="E8859" s="50"/>
      <c r="F8859" s="51" t="s">
        <v>13</v>
      </c>
      <c r="G8859" s="51" t="str">
        <f>IF(ISNUMBER(F8859),E8859*F8859,"")</f>
        <v/>
      </c>
      <c r="H8859" s="53"/>
      <c r="I8859" s="38"/>
      <c r="J8859" s="37">
        <v>0</v>
      </c>
    </row>
    <row r="8860" spans="1:10" ht="15.75" hidden="1" thickBot="1" x14ac:dyDescent="0.3">
      <c r="A8860" s="173" t="s">
        <v>2134</v>
      </c>
      <c r="B8860" s="176" t="s">
        <v>8632</v>
      </c>
      <c r="C8860" s="31"/>
      <c r="D8860" s="32" t="s">
        <v>68</v>
      </c>
      <c r="E8860" s="33"/>
      <c r="F8860" s="54" t="s">
        <v>13</v>
      </c>
      <c r="G8860" s="34" t="str">
        <f>IF(ISNUMBER(F8860),E8860*F8860,"")</f>
        <v/>
      </c>
      <c r="H8860" s="35"/>
      <c r="I8860" s="36"/>
      <c r="J8860" s="37">
        <v>0</v>
      </c>
    </row>
    <row r="8861" spans="1:10" hidden="1" x14ac:dyDescent="0.25">
      <c r="A8861" s="174"/>
      <c r="B8861" s="177"/>
      <c r="C8861" s="39"/>
      <c r="D8861" s="39"/>
      <c r="E8861" s="40"/>
      <c r="F8861" s="55" t="s">
        <v>13</v>
      </c>
      <c r="G8861" s="38" t="str">
        <f>IF(ISNUMBER(F8861),E8861*F8861,"")</f>
        <v/>
      </c>
      <c r="H8861" s="42"/>
      <c r="I8861" s="38"/>
      <c r="J8861" s="37">
        <v>0</v>
      </c>
    </row>
    <row r="8862" spans="1:10" ht="38.25" hidden="1" x14ac:dyDescent="0.25">
      <c r="A8862" s="174"/>
      <c r="B8862" s="177"/>
      <c r="C8862" s="43" t="s">
        <v>11154</v>
      </c>
      <c r="D8862" s="43" t="s">
        <v>10819</v>
      </c>
      <c r="E8862" s="44">
        <v>4.1500000000000004</v>
      </c>
      <c r="F8862" s="41">
        <v>1.9854999999999998</v>
      </c>
      <c r="G8862" s="41">
        <f>IF(ISNUMBER(F8862),E8862*F8862,"")</f>
        <v>8.2398249999999997</v>
      </c>
      <c r="H8862" s="46">
        <f>SUM(G8862:G8867)</f>
        <v>11.463713650000001</v>
      </c>
      <c r="I8862" s="47"/>
      <c r="J8862" s="37">
        <v>0</v>
      </c>
    </row>
    <row r="8863" spans="1:10" ht="51" hidden="1" x14ac:dyDescent="0.25">
      <c r="A8863" s="174"/>
      <c r="B8863" s="177"/>
      <c r="C8863" s="43" t="s">
        <v>2135</v>
      </c>
      <c r="D8863" s="43" t="s">
        <v>162</v>
      </c>
      <c r="E8863" s="44">
        <v>1.1459999999999999</v>
      </c>
      <c r="F8863" s="41" t="s">
        <v>13</v>
      </c>
      <c r="G8863" s="38" t="str">
        <f>IF(ISNUMBER(F8863),E8863*F8863,"")</f>
        <v/>
      </c>
      <c r="H8863" s="42"/>
      <c r="I8863" s="38"/>
      <c r="J8863" s="37">
        <v>0</v>
      </c>
    </row>
    <row r="8864" spans="1:10" hidden="1" x14ac:dyDescent="0.25">
      <c r="A8864" s="174"/>
      <c r="B8864" s="177"/>
      <c r="C8864" s="43" t="s">
        <v>10614</v>
      </c>
      <c r="D8864" s="43" t="s">
        <v>2800</v>
      </c>
      <c r="E8864" s="44">
        <v>6.2E-2</v>
      </c>
      <c r="F8864" s="41">
        <v>23.693000000000001</v>
      </c>
      <c r="G8864" s="38">
        <f>IF(ISNUMBER(F8864),E8864*F8864,"")</f>
        <v>1.468966</v>
      </c>
      <c r="H8864" s="42"/>
      <c r="I8864" s="38"/>
      <c r="J8864" s="37">
        <v>0</v>
      </c>
    </row>
    <row r="8865" spans="1:10" hidden="1" x14ac:dyDescent="0.25">
      <c r="A8865" s="174"/>
      <c r="B8865" s="177"/>
      <c r="C8865" s="43" t="s">
        <v>10800</v>
      </c>
      <c r="D8865" s="43" t="s">
        <v>2800</v>
      </c>
      <c r="E8865" s="44">
        <v>5.6000000000000001E-2</v>
      </c>
      <c r="F8865" s="41">
        <v>30.343</v>
      </c>
      <c r="G8865" s="38">
        <f>IF(ISNUMBER(F8865),E8865*F8865,"")</f>
        <v>1.6992080000000001</v>
      </c>
      <c r="H8865" s="42"/>
      <c r="I8865" s="38"/>
      <c r="J8865" s="37">
        <v>0</v>
      </c>
    </row>
    <row r="8866" spans="1:10" ht="25.5" hidden="1" x14ac:dyDescent="0.25">
      <c r="A8866" s="174"/>
      <c r="B8866" s="177"/>
      <c r="C8866" s="43" t="s">
        <v>10801</v>
      </c>
      <c r="D8866" s="43" t="s">
        <v>1050</v>
      </c>
      <c r="E8866" s="44">
        <v>8.9999999999999998E-4</v>
      </c>
      <c r="F8866" s="38">
        <v>26.970499999999998</v>
      </c>
      <c r="G8866" s="41">
        <f>IF(ISNUMBER(F8866),E8866*F8866,"")</f>
        <v>2.4273449999999998E-2</v>
      </c>
      <c r="H8866" s="42"/>
      <c r="I8866" s="38"/>
      <c r="J8866" s="37">
        <v>0</v>
      </c>
    </row>
    <row r="8867" spans="1:10" ht="25.5" hidden="1" x14ac:dyDescent="0.25">
      <c r="A8867" s="174"/>
      <c r="B8867" s="177"/>
      <c r="C8867" s="43" t="s">
        <v>10802</v>
      </c>
      <c r="D8867" s="43" t="s">
        <v>10677</v>
      </c>
      <c r="E8867" s="44">
        <v>1.1999999999999999E-3</v>
      </c>
      <c r="F8867" s="38">
        <v>26.200999999999997</v>
      </c>
      <c r="G8867" s="38">
        <f>IF(ISNUMBER(F8867),E8867*F8867,"")</f>
        <v>3.1441199999999996E-2</v>
      </c>
      <c r="H8867" s="42"/>
      <c r="I8867" s="38"/>
      <c r="J8867" s="37">
        <v>0</v>
      </c>
    </row>
    <row r="8868" spans="1:10" ht="15.75" hidden="1" thickBot="1" x14ac:dyDescent="0.3">
      <c r="A8868" s="175"/>
      <c r="B8868" s="178"/>
      <c r="C8868" s="49"/>
      <c r="D8868" s="49"/>
      <c r="E8868" s="50"/>
      <c r="F8868" s="51" t="s">
        <v>13</v>
      </c>
      <c r="G8868" s="51" t="str">
        <f>IF(ISNUMBER(F8868),E8868*F8868,"")</f>
        <v/>
      </c>
      <c r="H8868" s="53"/>
      <c r="I8868" s="38"/>
      <c r="J8868" s="37">
        <v>0</v>
      </c>
    </row>
    <row r="8869" spans="1:10" ht="15.75" hidden="1" thickBot="1" x14ac:dyDescent="0.3">
      <c r="A8869" s="173" t="s">
        <v>2136</v>
      </c>
      <c r="B8869" s="176" t="s">
        <v>8633</v>
      </c>
      <c r="C8869" s="31"/>
      <c r="D8869" s="32" t="s">
        <v>18</v>
      </c>
      <c r="E8869" s="33"/>
      <c r="F8869" s="54" t="s">
        <v>13</v>
      </c>
      <c r="G8869" s="34" t="str">
        <f>IF(ISNUMBER(F8869),E8869*F8869,"")</f>
        <v/>
      </c>
      <c r="H8869" s="35"/>
      <c r="I8869" s="36"/>
      <c r="J8869" s="37">
        <v>0</v>
      </c>
    </row>
    <row r="8870" spans="1:10" hidden="1" x14ac:dyDescent="0.25">
      <c r="A8870" s="174"/>
      <c r="B8870" s="177"/>
      <c r="C8870" s="39"/>
      <c r="D8870" s="39"/>
      <c r="E8870" s="40"/>
      <c r="F8870" s="55" t="s">
        <v>13</v>
      </c>
      <c r="G8870" s="38" t="str">
        <f>IF(ISNUMBER(F8870),E8870*F8870,"")</f>
        <v/>
      </c>
      <c r="H8870" s="42"/>
      <c r="I8870" s="38"/>
      <c r="J8870" s="37">
        <v>0</v>
      </c>
    </row>
    <row r="8871" spans="1:10" ht="38.25" hidden="1" x14ac:dyDescent="0.25">
      <c r="A8871" s="174"/>
      <c r="B8871" s="177"/>
      <c r="C8871" s="43" t="s">
        <v>10914</v>
      </c>
      <c r="D8871" s="43" t="s">
        <v>83</v>
      </c>
      <c r="E8871" s="44">
        <v>2</v>
      </c>
      <c r="F8871" s="41">
        <v>19.741</v>
      </c>
      <c r="G8871" s="38">
        <f>IF(ISNUMBER(F8871),E8871*F8871,"")</f>
        <v>39.481999999999999</v>
      </c>
      <c r="H8871" s="46">
        <f>SUM(G8871:G8877)</f>
        <v>458.95449619999994</v>
      </c>
      <c r="I8871" s="47"/>
      <c r="J8871" s="37">
        <v>0</v>
      </c>
    </row>
    <row r="8872" spans="1:10" ht="25.5" hidden="1" x14ac:dyDescent="0.25">
      <c r="A8872" s="174"/>
      <c r="B8872" s="177"/>
      <c r="C8872" s="43" t="s">
        <v>10897</v>
      </c>
      <c r="D8872" s="43" t="s">
        <v>83</v>
      </c>
      <c r="E8872" s="44">
        <v>1</v>
      </c>
      <c r="F8872" s="41">
        <v>15.266499999999999</v>
      </c>
      <c r="G8872" s="38">
        <f>IF(ISNUMBER(F8872),E8872*F8872,"")</f>
        <v>15.266499999999999</v>
      </c>
      <c r="H8872" s="58"/>
      <c r="I8872" s="59"/>
      <c r="J8872" s="37">
        <v>0</v>
      </c>
    </row>
    <row r="8873" spans="1:10" ht="25.5" hidden="1" x14ac:dyDescent="0.25">
      <c r="A8873" s="174"/>
      <c r="B8873" s="177"/>
      <c r="C8873" s="43" t="s">
        <v>11643</v>
      </c>
      <c r="D8873" s="43" t="s">
        <v>83</v>
      </c>
      <c r="E8873" s="44">
        <v>1</v>
      </c>
      <c r="F8873" s="41">
        <v>363.84999999999997</v>
      </c>
      <c r="G8873" s="38">
        <f>IF(ISNUMBER(F8873),E8873*F8873,"")</f>
        <v>363.84999999999997</v>
      </c>
      <c r="H8873" s="42"/>
      <c r="I8873" s="38"/>
      <c r="J8873" s="37">
        <v>0</v>
      </c>
    </row>
    <row r="8874" spans="1:10" hidden="1" x14ac:dyDescent="0.25">
      <c r="A8874" s="174"/>
      <c r="B8874" s="177"/>
      <c r="C8874" s="43" t="s">
        <v>10877</v>
      </c>
      <c r="D8874" s="43" t="s">
        <v>1044</v>
      </c>
      <c r="E8874" s="44">
        <v>8.8099999999999998E-2</v>
      </c>
      <c r="F8874" s="41">
        <v>71.667999999999992</v>
      </c>
      <c r="G8874" s="38">
        <f>IF(ISNUMBER(F8874),E8874*F8874,"")</f>
        <v>6.3139507999999989</v>
      </c>
      <c r="H8874" s="42"/>
      <c r="I8874" s="38"/>
      <c r="J8874" s="37">
        <v>0</v>
      </c>
    </row>
    <row r="8875" spans="1:10" ht="25.5" hidden="1" x14ac:dyDescent="0.25">
      <c r="A8875" s="174"/>
      <c r="B8875" s="177"/>
      <c r="C8875" s="43" t="s">
        <v>10754</v>
      </c>
      <c r="D8875" s="43" t="s">
        <v>2800</v>
      </c>
      <c r="E8875" s="44">
        <v>0.77910000000000001</v>
      </c>
      <c r="F8875" s="41">
        <v>30.361999999999998</v>
      </c>
      <c r="G8875" s="38">
        <f>IF(ISNUMBER(F8875),E8875*F8875,"")</f>
        <v>23.655034199999999</v>
      </c>
      <c r="H8875" s="42"/>
      <c r="I8875" s="38"/>
      <c r="J8875" s="37">
        <v>0</v>
      </c>
    </row>
    <row r="8876" spans="1:10" hidden="1" x14ac:dyDescent="0.25">
      <c r="A8876" s="174"/>
      <c r="B8876" s="177"/>
      <c r="C8876" s="43" t="s">
        <v>10614</v>
      </c>
      <c r="D8876" s="43" t="s">
        <v>2800</v>
      </c>
      <c r="E8876" s="44">
        <v>0.43840000000000001</v>
      </c>
      <c r="F8876" s="38">
        <v>23.693000000000001</v>
      </c>
      <c r="G8876" s="38">
        <f>IF(ISNUMBER(F8876),E8876*F8876,"")</f>
        <v>10.387011200000002</v>
      </c>
      <c r="H8876" s="42"/>
      <c r="I8876" s="38"/>
      <c r="J8876" s="37">
        <v>0</v>
      </c>
    </row>
    <row r="8877" spans="1:10" ht="25.5" hidden="1" x14ac:dyDescent="0.25">
      <c r="A8877" s="174"/>
      <c r="B8877" s="177"/>
      <c r="C8877" s="43" t="s">
        <v>211</v>
      </c>
      <c r="D8877" s="43" t="s">
        <v>18</v>
      </c>
      <c r="E8877" s="44">
        <v>1</v>
      </c>
      <c r="F8877" s="41" t="s">
        <v>13</v>
      </c>
      <c r="G8877" s="38" t="str">
        <f>IF(ISNUMBER(F8877),E8877*F8877,"")</f>
        <v/>
      </c>
      <c r="H8877" s="42"/>
      <c r="I8877" s="38"/>
      <c r="J8877" s="37">
        <v>0</v>
      </c>
    </row>
    <row r="8878" spans="1:10" ht="15.75" hidden="1" thickBot="1" x14ac:dyDescent="0.3">
      <c r="A8878" s="175"/>
      <c r="B8878" s="178"/>
      <c r="C8878" s="49"/>
      <c r="D8878" s="49"/>
      <c r="E8878" s="50"/>
      <c r="F8878" s="51" t="s">
        <v>13</v>
      </c>
      <c r="G8878" s="51" t="str">
        <f>IF(ISNUMBER(F8878),E8878*F8878,"")</f>
        <v/>
      </c>
      <c r="H8878" s="53"/>
      <c r="I8878" s="38"/>
      <c r="J8878" s="37">
        <v>0</v>
      </c>
    </row>
    <row r="8879" spans="1:10" ht="15.75" hidden="1" thickBot="1" x14ac:dyDescent="0.3">
      <c r="A8879" s="173" t="s">
        <v>2137</v>
      </c>
      <c r="B8879" s="176" t="s">
        <v>8634</v>
      </c>
      <c r="C8879" s="31"/>
      <c r="D8879" s="32" t="s">
        <v>18</v>
      </c>
      <c r="E8879" s="33"/>
      <c r="F8879" s="54" t="s">
        <v>13</v>
      </c>
      <c r="G8879" s="34" t="str">
        <f>IF(ISNUMBER(F8879),E8879*F8879,"")</f>
        <v/>
      </c>
      <c r="H8879" s="35"/>
      <c r="I8879" s="36"/>
      <c r="J8879" s="37">
        <v>0</v>
      </c>
    </row>
    <row r="8880" spans="1:10" hidden="1" x14ac:dyDescent="0.25">
      <c r="A8880" s="174"/>
      <c r="B8880" s="177"/>
      <c r="C8880" s="39"/>
      <c r="D8880" s="39"/>
      <c r="E8880" s="40"/>
      <c r="F8880" s="55" t="s">
        <v>13</v>
      </c>
      <c r="G8880" s="38" t="str">
        <f>IF(ISNUMBER(F8880),E8880*F8880,"")</f>
        <v/>
      </c>
      <c r="H8880" s="42"/>
      <c r="I8880" s="38"/>
      <c r="J8880" s="37">
        <v>0</v>
      </c>
    </row>
    <row r="8881" spans="1:10" ht="38.25" hidden="1" x14ac:dyDescent="0.25">
      <c r="A8881" s="174"/>
      <c r="B8881" s="177"/>
      <c r="C8881" s="43" t="s">
        <v>2138</v>
      </c>
      <c r="D8881" s="43" t="s">
        <v>18</v>
      </c>
      <c r="E8881" s="44">
        <v>1</v>
      </c>
      <c r="F8881" s="38" t="s">
        <v>13</v>
      </c>
      <c r="G8881" s="41" t="str">
        <f>IF(ISNUMBER(F8881),E8881*F8881,"")</f>
        <v/>
      </c>
      <c r="H8881" s="46">
        <f>SUM(G8881:G8883)</f>
        <v>63.763107000000005</v>
      </c>
      <c r="I8881" s="47"/>
      <c r="J8881" s="37">
        <v>0</v>
      </c>
    </row>
    <row r="8882" spans="1:10" ht="25.5" hidden="1" x14ac:dyDescent="0.25">
      <c r="A8882" s="174"/>
      <c r="B8882" s="177"/>
      <c r="C8882" s="43" t="s">
        <v>10753</v>
      </c>
      <c r="D8882" s="43" t="s">
        <v>2800</v>
      </c>
      <c r="E8882" s="44">
        <v>1.173</v>
      </c>
      <c r="F8882" s="38">
        <v>23.997</v>
      </c>
      <c r="G8882" s="41">
        <f>IF(ISNUMBER(F8882),E8882*F8882,"")</f>
        <v>28.148481</v>
      </c>
      <c r="H8882" s="42"/>
      <c r="I8882" s="38"/>
      <c r="J8882" s="37">
        <v>0</v>
      </c>
    </row>
    <row r="8883" spans="1:10" ht="25.5" hidden="1" x14ac:dyDescent="0.25">
      <c r="A8883" s="174"/>
      <c r="B8883" s="177"/>
      <c r="C8883" s="43" t="s">
        <v>10754</v>
      </c>
      <c r="D8883" s="43" t="s">
        <v>2800</v>
      </c>
      <c r="E8883" s="44">
        <v>1.173</v>
      </c>
      <c r="F8883" s="38">
        <v>30.361999999999998</v>
      </c>
      <c r="G8883" s="41">
        <f>IF(ISNUMBER(F8883),E8883*F8883,"")</f>
        <v>35.614626000000001</v>
      </c>
      <c r="H8883" s="42"/>
      <c r="I8883" s="38"/>
      <c r="J8883" s="37">
        <v>0</v>
      </c>
    </row>
    <row r="8884" spans="1:10" ht="15.75" hidden="1" thickBot="1" x14ac:dyDescent="0.3">
      <c r="A8884" s="175"/>
      <c r="B8884" s="178"/>
      <c r="C8884" s="49"/>
      <c r="D8884" s="49"/>
      <c r="E8884" s="50"/>
      <c r="F8884" s="51" t="s">
        <v>13</v>
      </c>
      <c r="G8884" s="51" t="str">
        <f>IF(ISNUMBER(F8884),E8884*F8884,"")</f>
        <v/>
      </c>
      <c r="H8884" s="53"/>
      <c r="I8884" s="38"/>
      <c r="J8884" s="37">
        <v>0</v>
      </c>
    </row>
    <row r="8885" spans="1:10" ht="15.75" hidden="1" thickBot="1" x14ac:dyDescent="0.3">
      <c r="A8885" s="173" t="s">
        <v>2139</v>
      </c>
      <c r="B8885" s="176" t="s">
        <v>8635</v>
      </c>
      <c r="C8885" s="31"/>
      <c r="D8885" s="32" t="s">
        <v>106</v>
      </c>
      <c r="E8885" s="33"/>
      <c r="F8885" s="54" t="s">
        <v>13</v>
      </c>
      <c r="G8885" s="34" t="str">
        <f>IF(ISNUMBER(F8885),E8885*F8885,"")</f>
        <v/>
      </c>
      <c r="H8885" s="35"/>
      <c r="I8885" s="36"/>
      <c r="J8885" s="37">
        <v>0</v>
      </c>
    </row>
    <row r="8886" spans="1:10" hidden="1" x14ac:dyDescent="0.25">
      <c r="A8886" s="174"/>
      <c r="B8886" s="177"/>
      <c r="C8886" s="39"/>
      <c r="D8886" s="39"/>
      <c r="E8886" s="40"/>
      <c r="F8886" s="55" t="s">
        <v>13</v>
      </c>
      <c r="G8886" s="38" t="str">
        <f>IF(ISNUMBER(F8886),E8886*F8886,"")</f>
        <v/>
      </c>
      <c r="H8886" s="42"/>
      <c r="I8886" s="38"/>
      <c r="J8886" s="37">
        <v>0</v>
      </c>
    </row>
    <row r="8887" spans="1:10" ht="25.5" hidden="1" x14ac:dyDescent="0.25">
      <c r="A8887" s="174"/>
      <c r="B8887" s="177"/>
      <c r="C8887" s="43" t="s">
        <v>11384</v>
      </c>
      <c r="D8887" s="43" t="s">
        <v>1302</v>
      </c>
      <c r="E8887" s="44">
        <v>1.0389999999999999</v>
      </c>
      <c r="F8887" s="38">
        <v>89.318999999999988</v>
      </c>
      <c r="G8887" s="41">
        <f>IF(ISNUMBER(F8887),E8887*F8887,"")</f>
        <v>92.802440999999988</v>
      </c>
      <c r="H8887" s="46">
        <f>SUM(G8887:G8889)</f>
        <v>111.55629599999999</v>
      </c>
      <c r="I8887" s="47"/>
      <c r="J8887" s="37">
        <v>0</v>
      </c>
    </row>
    <row r="8888" spans="1:10" ht="25.5" hidden="1" x14ac:dyDescent="0.25">
      <c r="A8888" s="174"/>
      <c r="B8888" s="177"/>
      <c r="C8888" s="43" t="s">
        <v>10753</v>
      </c>
      <c r="D8888" s="43" t="s">
        <v>2800</v>
      </c>
      <c r="E8888" s="44">
        <v>0.34499999999999997</v>
      </c>
      <c r="F8888" s="38">
        <v>23.997</v>
      </c>
      <c r="G8888" s="41">
        <f>IF(ISNUMBER(F8888),E8888*F8888,"")</f>
        <v>8.2789649999999995</v>
      </c>
      <c r="H8888" s="42"/>
      <c r="I8888" s="38"/>
      <c r="J8888" s="37">
        <v>0</v>
      </c>
    </row>
    <row r="8889" spans="1:10" ht="25.5" hidden="1" x14ac:dyDescent="0.25">
      <c r="A8889" s="174"/>
      <c r="B8889" s="177"/>
      <c r="C8889" s="43" t="s">
        <v>10754</v>
      </c>
      <c r="D8889" s="43" t="s">
        <v>2800</v>
      </c>
      <c r="E8889" s="44">
        <v>0.34499999999999997</v>
      </c>
      <c r="F8889" s="38">
        <v>30.361999999999998</v>
      </c>
      <c r="G8889" s="41">
        <f>IF(ISNUMBER(F8889),E8889*F8889,"")</f>
        <v>10.474889999999998</v>
      </c>
      <c r="H8889" s="42"/>
      <c r="I8889" s="38"/>
      <c r="J8889" s="37">
        <v>0</v>
      </c>
    </row>
    <row r="8890" spans="1:10" ht="15.75" hidden="1" thickBot="1" x14ac:dyDescent="0.3">
      <c r="A8890" s="175"/>
      <c r="B8890" s="178"/>
      <c r="C8890" s="49"/>
      <c r="D8890" s="49"/>
      <c r="E8890" s="50"/>
      <c r="F8890" s="51" t="s">
        <v>13</v>
      </c>
      <c r="G8890" s="51" t="str">
        <f>IF(ISNUMBER(F8890),E8890*F8890,"")</f>
        <v/>
      </c>
      <c r="H8890" s="53"/>
      <c r="I8890" s="38"/>
      <c r="J8890" s="37">
        <v>0</v>
      </c>
    </row>
    <row r="8891" spans="1:10" ht="15.75" hidden="1" thickBot="1" x14ac:dyDescent="0.3">
      <c r="A8891" s="173" t="s">
        <v>2140</v>
      </c>
      <c r="B8891" s="176" t="s">
        <v>8636</v>
      </c>
      <c r="C8891" s="31"/>
      <c r="D8891" s="32" t="s">
        <v>106</v>
      </c>
      <c r="E8891" s="33"/>
      <c r="F8891" s="54" t="s">
        <v>13</v>
      </c>
      <c r="G8891" s="34" t="str">
        <f>IF(ISNUMBER(F8891),E8891*F8891,"")</f>
        <v/>
      </c>
      <c r="H8891" s="35"/>
      <c r="I8891" s="36"/>
      <c r="J8891" s="37">
        <v>0</v>
      </c>
    </row>
    <row r="8892" spans="1:10" hidden="1" x14ac:dyDescent="0.25">
      <c r="A8892" s="174"/>
      <c r="B8892" s="177"/>
      <c r="C8892" s="39"/>
      <c r="D8892" s="39"/>
      <c r="E8892" s="40"/>
      <c r="F8892" s="55" t="s">
        <v>13</v>
      </c>
      <c r="G8892" s="38" t="str">
        <f>IF(ISNUMBER(F8892),E8892*F8892,"")</f>
        <v/>
      </c>
      <c r="H8892" s="42"/>
      <c r="I8892" s="38"/>
      <c r="J8892" s="37">
        <v>0</v>
      </c>
    </row>
    <row r="8893" spans="1:10" ht="25.5" hidden="1" x14ac:dyDescent="0.25">
      <c r="A8893" s="174"/>
      <c r="B8893" s="177"/>
      <c r="C8893" s="43" t="s">
        <v>11644</v>
      </c>
      <c r="D8893" s="43" t="s">
        <v>1302</v>
      </c>
      <c r="E8893" s="44">
        <v>1.0389999999999999</v>
      </c>
      <c r="F8893" s="38">
        <v>148.71299999999999</v>
      </c>
      <c r="G8893" s="41">
        <f>IF(ISNUMBER(F8893),E8893*F8893,"")</f>
        <v>154.51280699999998</v>
      </c>
      <c r="H8893" s="46">
        <f>SUM(G8893:G8895)</f>
        <v>174.95179099999999</v>
      </c>
      <c r="I8893" s="47"/>
      <c r="J8893" s="37">
        <v>0</v>
      </c>
    </row>
    <row r="8894" spans="1:10" ht="25.5" hidden="1" x14ac:dyDescent="0.25">
      <c r="A8894" s="174"/>
      <c r="B8894" s="177"/>
      <c r="C8894" s="43" t="s">
        <v>10753</v>
      </c>
      <c r="D8894" s="43" t="s">
        <v>2800</v>
      </c>
      <c r="E8894" s="44">
        <v>0.376</v>
      </c>
      <c r="F8894" s="38">
        <v>23.997</v>
      </c>
      <c r="G8894" s="41">
        <f>IF(ISNUMBER(F8894),E8894*F8894,"")</f>
        <v>9.0228719999999996</v>
      </c>
      <c r="H8894" s="42"/>
      <c r="I8894" s="38"/>
      <c r="J8894" s="37">
        <v>0</v>
      </c>
    </row>
    <row r="8895" spans="1:10" ht="25.5" hidden="1" x14ac:dyDescent="0.25">
      <c r="A8895" s="174"/>
      <c r="B8895" s="177"/>
      <c r="C8895" s="43" t="s">
        <v>10754</v>
      </c>
      <c r="D8895" s="43" t="s">
        <v>2800</v>
      </c>
      <c r="E8895" s="44">
        <v>0.376</v>
      </c>
      <c r="F8895" s="38">
        <v>30.361999999999998</v>
      </c>
      <c r="G8895" s="41">
        <f>IF(ISNUMBER(F8895),E8895*F8895,"")</f>
        <v>11.416112</v>
      </c>
      <c r="H8895" s="42"/>
      <c r="I8895" s="38"/>
      <c r="J8895" s="37">
        <v>0</v>
      </c>
    </row>
    <row r="8896" spans="1:10" ht="15.75" hidden="1" thickBot="1" x14ac:dyDescent="0.3">
      <c r="A8896" s="175"/>
      <c r="B8896" s="178"/>
      <c r="C8896" s="49"/>
      <c r="D8896" s="49"/>
      <c r="E8896" s="50"/>
      <c r="F8896" s="51" t="s">
        <v>13</v>
      </c>
      <c r="G8896" s="51" t="str">
        <f>IF(ISNUMBER(F8896),E8896*F8896,"")</f>
        <v/>
      </c>
      <c r="H8896" s="53"/>
      <c r="I8896" s="38"/>
      <c r="J8896" s="37">
        <v>0</v>
      </c>
    </row>
    <row r="8897" spans="1:10" ht="15.75" hidden="1" thickBot="1" x14ac:dyDescent="0.3">
      <c r="A8897" s="173" t="s">
        <v>2141</v>
      </c>
      <c r="B8897" s="176" t="s">
        <v>8637</v>
      </c>
      <c r="C8897" s="31"/>
      <c r="D8897" s="32" t="s">
        <v>18</v>
      </c>
      <c r="E8897" s="33"/>
      <c r="F8897" s="54" t="s">
        <v>13</v>
      </c>
      <c r="G8897" s="34" t="str">
        <f>IF(ISNUMBER(F8897),E8897*F8897,"")</f>
        <v/>
      </c>
      <c r="H8897" s="35"/>
      <c r="I8897" s="36"/>
      <c r="J8897" s="37">
        <v>0</v>
      </c>
    </row>
    <row r="8898" spans="1:10" hidden="1" x14ac:dyDescent="0.25">
      <c r="A8898" s="174"/>
      <c r="B8898" s="177"/>
      <c r="C8898" s="39"/>
      <c r="D8898" s="39"/>
      <c r="E8898" s="40"/>
      <c r="F8898" s="55" t="s">
        <v>13</v>
      </c>
      <c r="G8898" s="38" t="str">
        <f>IF(ISNUMBER(F8898),E8898*F8898,"")</f>
        <v/>
      </c>
      <c r="H8898" s="42"/>
      <c r="I8898" s="38"/>
      <c r="J8898" s="37">
        <v>0</v>
      </c>
    </row>
    <row r="8899" spans="1:10" ht="38.25" hidden="1" x14ac:dyDescent="0.25">
      <c r="A8899" s="174"/>
      <c r="B8899" s="177"/>
      <c r="C8899" s="43" t="s">
        <v>10927</v>
      </c>
      <c r="D8899" s="43" t="s">
        <v>83</v>
      </c>
      <c r="E8899" s="44">
        <v>2</v>
      </c>
      <c r="F8899" s="38">
        <v>0.5605</v>
      </c>
      <c r="G8899" s="41">
        <f>IF(ISNUMBER(F8899),E8899*F8899,"")</f>
        <v>1.121</v>
      </c>
      <c r="H8899" s="46">
        <f>SUM(G8899:G8902)</f>
        <v>25.984806599999999</v>
      </c>
      <c r="I8899" s="47"/>
      <c r="J8899" s="37">
        <v>0</v>
      </c>
    </row>
    <row r="8900" spans="1:10" ht="25.5" hidden="1" x14ac:dyDescent="0.25">
      <c r="A8900" s="174"/>
      <c r="B8900" s="177"/>
      <c r="C8900" s="43" t="s">
        <v>2142</v>
      </c>
      <c r="D8900" s="43" t="s">
        <v>18</v>
      </c>
      <c r="E8900" s="44">
        <v>1</v>
      </c>
      <c r="F8900" s="38" t="s">
        <v>13</v>
      </c>
      <c r="G8900" s="41" t="str">
        <f>IF(ISNUMBER(F8900),E8900*F8900,"")</f>
        <v/>
      </c>
      <c r="H8900" s="42"/>
      <c r="I8900" s="38"/>
      <c r="J8900" s="37">
        <v>0</v>
      </c>
    </row>
    <row r="8901" spans="1:10" ht="25.5" hidden="1" x14ac:dyDescent="0.25">
      <c r="A8901" s="174"/>
      <c r="B8901" s="177"/>
      <c r="C8901" s="43" t="s">
        <v>10753</v>
      </c>
      <c r="D8901" s="43" t="s">
        <v>2800</v>
      </c>
      <c r="E8901" s="44">
        <v>0.45739999999999997</v>
      </c>
      <c r="F8901" s="41">
        <v>23.997</v>
      </c>
      <c r="G8901" s="41">
        <f>IF(ISNUMBER(F8901),E8901*F8901,"")</f>
        <v>10.976227799999998</v>
      </c>
      <c r="H8901" s="42"/>
      <c r="I8901" s="38"/>
      <c r="J8901" s="37">
        <v>0</v>
      </c>
    </row>
    <row r="8902" spans="1:10" ht="25.5" hidden="1" x14ac:dyDescent="0.25">
      <c r="A8902" s="174"/>
      <c r="B8902" s="177"/>
      <c r="C8902" s="43" t="s">
        <v>10754</v>
      </c>
      <c r="D8902" s="43" t="s">
        <v>2800</v>
      </c>
      <c r="E8902" s="44">
        <v>0.45739999999999997</v>
      </c>
      <c r="F8902" s="41">
        <v>30.361999999999998</v>
      </c>
      <c r="G8902" s="41">
        <f>IF(ISNUMBER(F8902),E8902*F8902,"")</f>
        <v>13.887578799999998</v>
      </c>
      <c r="H8902" s="42"/>
      <c r="I8902" s="38"/>
      <c r="J8902" s="37">
        <v>0</v>
      </c>
    </row>
    <row r="8903" spans="1:10" ht="15.75" hidden="1" thickBot="1" x14ac:dyDescent="0.3">
      <c r="A8903" s="175"/>
      <c r="B8903" s="178"/>
      <c r="C8903" s="49"/>
      <c r="D8903" s="49"/>
      <c r="E8903" s="50"/>
      <c r="F8903" s="51" t="s">
        <v>13</v>
      </c>
      <c r="G8903" s="51" t="str">
        <f>IF(ISNUMBER(F8903),E8903*F8903,"")</f>
        <v/>
      </c>
      <c r="H8903" s="53"/>
      <c r="I8903" s="38"/>
      <c r="J8903" s="37">
        <v>0</v>
      </c>
    </row>
    <row r="8904" spans="1:10" ht="15.75" hidden="1" thickBot="1" x14ac:dyDescent="0.3">
      <c r="A8904" s="173" t="s">
        <v>2143</v>
      </c>
      <c r="B8904" s="176" t="s">
        <v>8638</v>
      </c>
      <c r="C8904" s="31"/>
      <c r="D8904" s="32" t="s">
        <v>18</v>
      </c>
      <c r="E8904" s="33"/>
      <c r="F8904" s="60" t="s">
        <v>13</v>
      </c>
      <c r="G8904" s="34" t="str">
        <f>IF(ISNUMBER(F8904),E8904*F8904,"")</f>
        <v/>
      </c>
      <c r="H8904" s="35"/>
      <c r="I8904" s="36"/>
      <c r="J8904" s="37">
        <v>0</v>
      </c>
    </row>
    <row r="8905" spans="1:10" hidden="1" x14ac:dyDescent="0.25">
      <c r="A8905" s="179"/>
      <c r="B8905" s="177"/>
      <c r="C8905" s="39"/>
      <c r="D8905" s="39"/>
      <c r="E8905" s="40"/>
      <c r="F8905" s="70" t="s">
        <v>13</v>
      </c>
      <c r="G8905" s="70" t="str">
        <f>IF(ISNUMBER(F8905),E8905*F8905,"")</f>
        <v/>
      </c>
      <c r="H8905" s="71"/>
      <c r="I8905" s="72"/>
      <c r="J8905" s="37">
        <v>0</v>
      </c>
    </row>
    <row r="8906" spans="1:10" hidden="1" x14ac:dyDescent="0.25">
      <c r="A8906" s="179"/>
      <c r="B8906" s="177"/>
      <c r="C8906" s="43" t="s">
        <v>10907</v>
      </c>
      <c r="D8906" s="43" t="s">
        <v>83</v>
      </c>
      <c r="E8906" s="44">
        <v>4.0000000000000001E-3</v>
      </c>
      <c r="F8906" s="70">
        <v>14.715499999999999</v>
      </c>
      <c r="G8906" s="70">
        <f>IF(ISNUMBER(F8906),E8906*F8906,"")</f>
        <v>5.8861999999999998E-2</v>
      </c>
      <c r="H8906" s="46">
        <f>SUM(G8906:G8910)</f>
        <v>55.838491999999995</v>
      </c>
      <c r="I8906" s="47"/>
      <c r="J8906" s="37">
        <v>0</v>
      </c>
    </row>
    <row r="8907" spans="1:10" ht="38.25" hidden="1" x14ac:dyDescent="0.25">
      <c r="A8907" s="179"/>
      <c r="B8907" s="177"/>
      <c r="C8907" s="43" t="s">
        <v>11645</v>
      </c>
      <c r="D8907" s="43" t="s">
        <v>83</v>
      </c>
      <c r="E8907" s="44">
        <v>1</v>
      </c>
      <c r="F8907" s="70">
        <v>46.540500000000002</v>
      </c>
      <c r="G8907" s="70">
        <f>IF(ISNUMBER(F8907),E8907*F8907,"")</f>
        <v>46.540500000000002</v>
      </c>
      <c r="H8907" s="71"/>
      <c r="I8907" s="72"/>
      <c r="J8907" s="37">
        <v>0</v>
      </c>
    </row>
    <row r="8908" spans="1:10" ht="25.5" hidden="1" x14ac:dyDescent="0.25">
      <c r="A8908" s="179"/>
      <c r="B8908" s="177"/>
      <c r="C8908" s="43" t="s">
        <v>11421</v>
      </c>
      <c r="D8908" s="43" t="s">
        <v>83</v>
      </c>
      <c r="E8908" s="44">
        <v>1</v>
      </c>
      <c r="F8908" s="70">
        <v>5.4339999999999993</v>
      </c>
      <c r="G8908" s="70">
        <f>IF(ISNUMBER(F8908),E8908*F8908,"")</f>
        <v>5.4339999999999993</v>
      </c>
      <c r="H8908" s="71"/>
      <c r="I8908" s="72"/>
      <c r="J8908" s="37">
        <v>0</v>
      </c>
    </row>
    <row r="8909" spans="1:10" ht="25.5" hidden="1" x14ac:dyDescent="0.25">
      <c r="A8909" s="179"/>
      <c r="B8909" s="177"/>
      <c r="C8909" s="43" t="s">
        <v>10753</v>
      </c>
      <c r="D8909" s="43" t="s">
        <v>2800</v>
      </c>
      <c r="E8909" s="44">
        <v>7.0000000000000007E-2</v>
      </c>
      <c r="F8909" s="70">
        <v>23.997</v>
      </c>
      <c r="G8909" s="70">
        <f>IF(ISNUMBER(F8909),E8909*F8909,"")</f>
        <v>1.6797900000000001</v>
      </c>
      <c r="H8909" s="71"/>
      <c r="I8909" s="72"/>
      <c r="J8909" s="37">
        <v>0</v>
      </c>
    </row>
    <row r="8910" spans="1:10" ht="25.5" hidden="1" x14ac:dyDescent="0.25">
      <c r="A8910" s="179"/>
      <c r="B8910" s="177"/>
      <c r="C8910" s="43" t="s">
        <v>10754</v>
      </c>
      <c r="D8910" s="43" t="s">
        <v>2800</v>
      </c>
      <c r="E8910" s="44">
        <v>7.0000000000000007E-2</v>
      </c>
      <c r="F8910" s="70">
        <v>30.361999999999998</v>
      </c>
      <c r="G8910" s="70">
        <f>IF(ISNUMBER(F8910),E8910*F8910,"")</f>
        <v>2.12534</v>
      </c>
      <c r="H8910" s="71"/>
      <c r="I8910" s="72"/>
      <c r="J8910" s="37">
        <v>0</v>
      </c>
    </row>
    <row r="8911" spans="1:10" ht="15.75" hidden="1" thickBot="1" x14ac:dyDescent="0.3">
      <c r="A8911" s="180"/>
      <c r="B8911" s="178"/>
      <c r="C8911" s="49"/>
      <c r="D8911" s="49"/>
      <c r="E8911" s="50"/>
      <c r="F8911" s="83" t="s">
        <v>13</v>
      </c>
      <c r="G8911" s="83" t="str">
        <f>IF(ISNUMBER(F8911),E8911*F8911,"")</f>
        <v/>
      </c>
      <c r="H8911" s="84"/>
      <c r="I8911" s="72"/>
      <c r="J8911" s="37">
        <v>0</v>
      </c>
    </row>
    <row r="8912" spans="1:10" ht="15.75" hidden="1" thickBot="1" x14ac:dyDescent="0.3">
      <c r="A8912" s="173" t="s">
        <v>2144</v>
      </c>
      <c r="B8912" s="176" t="s">
        <v>8639</v>
      </c>
      <c r="C8912" s="31"/>
      <c r="D8912" s="32" t="s">
        <v>106</v>
      </c>
      <c r="E8912" s="33"/>
      <c r="F8912" s="54" t="s">
        <v>13</v>
      </c>
      <c r="G8912" s="34" t="str">
        <f>IF(ISNUMBER(F8912),E8912*F8912,"")</f>
        <v/>
      </c>
      <c r="H8912" s="35"/>
      <c r="I8912" s="36"/>
      <c r="J8912" s="37">
        <v>0</v>
      </c>
    </row>
    <row r="8913" spans="1:10" hidden="1" x14ac:dyDescent="0.25">
      <c r="A8913" s="174"/>
      <c r="B8913" s="177"/>
      <c r="C8913" s="39"/>
      <c r="D8913" s="39"/>
      <c r="E8913" s="40"/>
      <c r="F8913" s="55" t="s">
        <v>13</v>
      </c>
      <c r="G8913" s="38" t="str">
        <f>IF(ISNUMBER(F8913),E8913*F8913,"")</f>
        <v/>
      </c>
      <c r="H8913" s="42"/>
      <c r="I8913" s="38"/>
      <c r="J8913" s="37">
        <v>0</v>
      </c>
    </row>
    <row r="8914" spans="1:10" ht="25.5" hidden="1" x14ac:dyDescent="0.25">
      <c r="A8914" s="174"/>
      <c r="B8914" s="177"/>
      <c r="C8914" s="43" t="s">
        <v>11381</v>
      </c>
      <c r="D8914" s="43" t="s">
        <v>1302</v>
      </c>
      <c r="E8914" s="44">
        <v>1.0389999999999999</v>
      </c>
      <c r="F8914" s="38">
        <v>22.619499999999999</v>
      </c>
      <c r="G8914" s="41">
        <f>IF(ISNUMBER(F8914),E8914*F8914,"")</f>
        <v>23.501660499999996</v>
      </c>
      <c r="H8914" s="46">
        <f>SUM(G8914:G8916)</f>
        <v>39.374488499999998</v>
      </c>
      <c r="I8914" s="47"/>
      <c r="J8914" s="37">
        <v>0</v>
      </c>
    </row>
    <row r="8915" spans="1:10" ht="25.5" hidden="1" x14ac:dyDescent="0.25">
      <c r="A8915" s="174"/>
      <c r="B8915" s="177"/>
      <c r="C8915" s="43" t="s">
        <v>10753</v>
      </c>
      <c r="D8915" s="43" t="s">
        <v>2800</v>
      </c>
      <c r="E8915" s="44">
        <v>0.29199999999999998</v>
      </c>
      <c r="F8915" s="38">
        <v>23.997</v>
      </c>
      <c r="G8915" s="41">
        <f>IF(ISNUMBER(F8915),E8915*F8915,"")</f>
        <v>7.0071239999999992</v>
      </c>
      <c r="H8915" s="42"/>
      <c r="I8915" s="38"/>
      <c r="J8915" s="37">
        <v>0</v>
      </c>
    </row>
    <row r="8916" spans="1:10" ht="25.5" hidden="1" x14ac:dyDescent="0.25">
      <c r="A8916" s="174"/>
      <c r="B8916" s="177"/>
      <c r="C8916" s="43" t="s">
        <v>10754</v>
      </c>
      <c r="D8916" s="43" t="s">
        <v>2800</v>
      </c>
      <c r="E8916" s="44">
        <v>0.29199999999999998</v>
      </c>
      <c r="F8916" s="38">
        <v>30.361999999999998</v>
      </c>
      <c r="G8916" s="41">
        <f>IF(ISNUMBER(F8916),E8916*F8916,"")</f>
        <v>8.8657039999999991</v>
      </c>
      <c r="H8916" s="42"/>
      <c r="I8916" s="38"/>
      <c r="J8916" s="37">
        <v>0</v>
      </c>
    </row>
    <row r="8917" spans="1:10" ht="15.75" hidden="1" thickBot="1" x14ac:dyDescent="0.3">
      <c r="A8917" s="175"/>
      <c r="B8917" s="178"/>
      <c r="C8917" s="49"/>
      <c r="D8917" s="49"/>
      <c r="E8917" s="50"/>
      <c r="F8917" s="51" t="s">
        <v>13</v>
      </c>
      <c r="G8917" s="51" t="str">
        <f>IF(ISNUMBER(F8917),E8917*F8917,"")</f>
        <v/>
      </c>
      <c r="H8917" s="53"/>
      <c r="I8917" s="38"/>
      <c r="J8917" s="37">
        <v>0</v>
      </c>
    </row>
    <row r="8918" spans="1:10" ht="15.75" hidden="1" thickBot="1" x14ac:dyDescent="0.3">
      <c r="A8918" s="173" t="s">
        <v>2145</v>
      </c>
      <c r="B8918" s="176" t="s">
        <v>8644</v>
      </c>
      <c r="C8918" s="31"/>
      <c r="D8918" s="32" t="s">
        <v>3982</v>
      </c>
      <c r="E8918" s="33"/>
      <c r="F8918" s="54" t="s">
        <v>13</v>
      </c>
      <c r="G8918" s="34" t="str">
        <f>IF(ISNUMBER(F8918),E8918*F8918,"")</f>
        <v/>
      </c>
      <c r="H8918" s="35"/>
      <c r="I8918" s="36"/>
      <c r="J8918" s="37">
        <v>0</v>
      </c>
    </row>
    <row r="8919" spans="1:10" hidden="1" x14ac:dyDescent="0.25">
      <c r="A8919" s="179"/>
      <c r="B8919" s="177"/>
      <c r="C8919" s="39"/>
      <c r="D8919" s="39"/>
      <c r="E8919" s="40"/>
      <c r="F8919" s="55" t="s">
        <v>13</v>
      </c>
      <c r="G8919" s="41" t="str">
        <f>IF(ISNUMBER(F8919),E8919*F8919,"")</f>
        <v/>
      </c>
      <c r="H8919" s="42"/>
      <c r="I8919" s="38"/>
      <c r="J8919" s="37">
        <v>0</v>
      </c>
    </row>
    <row r="8920" spans="1:10" ht="25.5" hidden="1" x14ac:dyDescent="0.25">
      <c r="A8920" s="179"/>
      <c r="B8920" s="177"/>
      <c r="C8920" s="43" t="s">
        <v>10611</v>
      </c>
      <c r="D8920" s="43" t="s">
        <v>2800</v>
      </c>
      <c r="E8920" s="44" t="e">
        <f>IF(#REF!="Desonerado",ROUND(220/(1+'[1]Serviços SINAPI'!$E$6),4),ROUND(220/(1+'[1]Serviços SINAPI'!$F$6),4))</f>
        <v>#REF!</v>
      </c>
      <c r="F8920" s="38">
        <v>142.75650000000002</v>
      </c>
      <c r="G8920" s="41" t="e">
        <f>IF(ISNUMBER(F8920),E8920*F8920,"")</f>
        <v>#REF!</v>
      </c>
      <c r="H8920" s="46" t="e">
        <f>SUM(G8920:G8920)</f>
        <v>#REF!</v>
      </c>
      <c r="I8920" s="47"/>
      <c r="J8920" s="37">
        <v>0</v>
      </c>
    </row>
    <row r="8921" spans="1:10" ht="15.75" hidden="1" thickBot="1" x14ac:dyDescent="0.3">
      <c r="A8921" s="180"/>
      <c r="B8921" s="178"/>
      <c r="C8921" s="49"/>
      <c r="D8921" s="49"/>
      <c r="E8921" s="50"/>
      <c r="F8921" s="51"/>
      <c r="G8921" s="52" t="str">
        <f>IF(ISNUMBER(F8921),E8921*F8921,"")</f>
        <v/>
      </c>
      <c r="H8921" s="53"/>
      <c r="I8921" s="47"/>
      <c r="J8921" s="37">
        <v>0</v>
      </c>
    </row>
    <row r="8922" spans="1:10" ht="15.75" hidden="1" thickBot="1" x14ac:dyDescent="0.3">
      <c r="A8922" s="173" t="s">
        <v>2146</v>
      </c>
      <c r="B8922" s="176" t="s">
        <v>8645</v>
      </c>
      <c r="C8922" s="31"/>
      <c r="D8922" s="32" t="s">
        <v>3982</v>
      </c>
      <c r="E8922" s="33"/>
      <c r="F8922" s="54" t="s">
        <v>13</v>
      </c>
      <c r="G8922" s="34" t="str">
        <f>IF(ISNUMBER(F8922),E8922*F8922,"")</f>
        <v/>
      </c>
      <c r="H8922" s="35"/>
      <c r="I8922" s="36"/>
      <c r="J8922" s="37">
        <v>0</v>
      </c>
    </row>
    <row r="8923" spans="1:10" hidden="1" x14ac:dyDescent="0.25">
      <c r="A8923" s="179"/>
      <c r="B8923" s="177"/>
      <c r="C8923" s="39"/>
      <c r="D8923" s="39"/>
      <c r="E8923" s="40"/>
      <c r="F8923" s="55" t="s">
        <v>13</v>
      </c>
      <c r="G8923" s="41" t="str">
        <f>IF(ISNUMBER(F8923),E8923*F8923,"")</f>
        <v/>
      </c>
      <c r="H8923" s="42"/>
      <c r="I8923" s="38"/>
      <c r="J8923" s="37">
        <v>0</v>
      </c>
    </row>
    <row r="8924" spans="1:10" ht="25.5" hidden="1" x14ac:dyDescent="0.25">
      <c r="A8924" s="179"/>
      <c r="B8924" s="177"/>
      <c r="C8924" s="43" t="s">
        <v>10611</v>
      </c>
      <c r="D8924" s="43" t="s">
        <v>2800</v>
      </c>
      <c r="E8924" s="44" t="e">
        <f>IF(#REF!="Desonerado",ROUND(220/(1+'[1]Serviços SINAPI'!$E$6),4),ROUND(220/(1+'[1]Serviços SINAPI'!$F$6),4))</f>
        <v>#REF!</v>
      </c>
      <c r="F8924" s="38">
        <v>142.75650000000002</v>
      </c>
      <c r="G8924" s="41" t="e">
        <f>IF(ISNUMBER(F8924),E8924*F8924,"")</f>
        <v>#REF!</v>
      </c>
      <c r="H8924" s="46" t="e">
        <f>SUM(G8924:G8924)</f>
        <v>#REF!</v>
      </c>
      <c r="I8924" s="47"/>
      <c r="J8924" s="37">
        <v>0</v>
      </c>
    </row>
    <row r="8925" spans="1:10" ht="15.75" hidden="1" thickBot="1" x14ac:dyDescent="0.3">
      <c r="A8925" s="180"/>
      <c r="B8925" s="178"/>
      <c r="C8925" s="49"/>
      <c r="D8925" s="49"/>
      <c r="E8925" s="50"/>
      <c r="F8925" s="51"/>
      <c r="G8925" s="52" t="str">
        <f>IF(ISNUMBER(F8925),E8925*F8925,"")</f>
        <v/>
      </c>
      <c r="H8925" s="53"/>
      <c r="I8925" s="47"/>
      <c r="J8925" s="37">
        <v>0</v>
      </c>
    </row>
    <row r="8926" spans="1:10" ht="15.75" hidden="1" thickBot="1" x14ac:dyDescent="0.3">
      <c r="A8926" s="173" t="s">
        <v>2147</v>
      </c>
      <c r="B8926" s="176" t="s">
        <v>8646</v>
      </c>
      <c r="C8926" s="31"/>
      <c r="D8926" s="32" t="s">
        <v>3982</v>
      </c>
      <c r="E8926" s="33"/>
      <c r="F8926" s="54" t="s">
        <v>13</v>
      </c>
      <c r="G8926" s="34" t="str">
        <f>IF(ISNUMBER(F8926),E8926*F8926,"")</f>
        <v/>
      </c>
      <c r="H8926" s="35"/>
      <c r="I8926" s="36"/>
      <c r="J8926" s="37">
        <v>0</v>
      </c>
    </row>
    <row r="8927" spans="1:10" hidden="1" x14ac:dyDescent="0.25">
      <c r="A8927" s="179"/>
      <c r="B8927" s="177"/>
      <c r="C8927" s="39"/>
      <c r="D8927" s="39"/>
      <c r="E8927" s="40"/>
      <c r="F8927" s="55" t="s">
        <v>13</v>
      </c>
      <c r="G8927" s="41" t="str">
        <f>IF(ISNUMBER(F8927),E8927*F8927,"")</f>
        <v/>
      </c>
      <c r="H8927" s="42"/>
      <c r="I8927" s="38"/>
      <c r="J8927" s="37">
        <v>0</v>
      </c>
    </row>
    <row r="8928" spans="1:10" hidden="1" x14ac:dyDescent="0.25">
      <c r="A8928" s="179"/>
      <c r="B8928" s="177"/>
      <c r="C8928" s="43" t="s">
        <v>10844</v>
      </c>
      <c r="D8928" s="43" t="s">
        <v>2800</v>
      </c>
      <c r="E8928" s="44" t="e">
        <f>IF(#REF!="Desonerado",ROUND(220/(1+'[1]Serviços SINAPI'!$E$6),4),ROUND(220/(1+'[1]Serviços SINAPI'!$F$6),4))</f>
        <v>#REF!</v>
      </c>
      <c r="F8928" s="38">
        <v>25.1845</v>
      </c>
      <c r="G8928" s="41" t="e">
        <f>IF(ISNUMBER(F8928),E8928*F8928,"")</f>
        <v>#REF!</v>
      </c>
      <c r="H8928" s="46" t="e">
        <f>SUM(G8928:G8928)</f>
        <v>#REF!</v>
      </c>
      <c r="I8928" s="47"/>
      <c r="J8928" s="37">
        <v>0</v>
      </c>
    </row>
    <row r="8929" spans="1:10" ht="15.75" hidden="1" thickBot="1" x14ac:dyDescent="0.3">
      <c r="A8929" s="180"/>
      <c r="B8929" s="178"/>
      <c r="C8929" s="49"/>
      <c r="D8929" s="49"/>
      <c r="E8929" s="50"/>
      <c r="F8929" s="51"/>
      <c r="G8929" s="52" t="str">
        <f>IF(ISNUMBER(F8929),E8929*F8929,"")</f>
        <v/>
      </c>
      <c r="H8929" s="53"/>
      <c r="I8929" s="47"/>
      <c r="J8929" s="37">
        <v>0</v>
      </c>
    </row>
    <row r="8930" spans="1:10" ht="15.75" hidden="1" thickBot="1" x14ac:dyDescent="0.3">
      <c r="A8930" s="173" t="s">
        <v>2148</v>
      </c>
      <c r="B8930" s="176" t="s">
        <v>8647</v>
      </c>
      <c r="C8930" s="31"/>
      <c r="D8930" s="32" t="s">
        <v>3982</v>
      </c>
      <c r="E8930" s="33"/>
      <c r="F8930" s="54" t="s">
        <v>13</v>
      </c>
      <c r="G8930" s="34" t="str">
        <f>IF(ISNUMBER(F8930),E8930*F8930,"")</f>
        <v/>
      </c>
      <c r="H8930" s="35"/>
      <c r="I8930" s="36"/>
      <c r="J8930" s="37">
        <v>0</v>
      </c>
    </row>
    <row r="8931" spans="1:10" hidden="1" x14ac:dyDescent="0.25">
      <c r="A8931" s="179"/>
      <c r="B8931" s="177"/>
      <c r="C8931" s="39"/>
      <c r="D8931" s="39"/>
      <c r="E8931" s="40"/>
      <c r="F8931" s="55" t="s">
        <v>13</v>
      </c>
      <c r="G8931" s="41" t="str">
        <f>IF(ISNUMBER(F8931),E8931*F8931,"")</f>
        <v/>
      </c>
      <c r="H8931" s="42"/>
      <c r="I8931" s="38"/>
      <c r="J8931" s="37">
        <v>0</v>
      </c>
    </row>
    <row r="8932" spans="1:10" hidden="1" x14ac:dyDescent="0.25">
      <c r="A8932" s="179"/>
      <c r="B8932" s="177"/>
      <c r="C8932" s="43" t="s">
        <v>11216</v>
      </c>
      <c r="D8932" s="43" t="s">
        <v>2800</v>
      </c>
      <c r="E8932" s="44" t="e">
        <f>IF(#REF!="Desonerado",ROUND(220/(1+'[1]Serviços SINAPI'!$E$6),4),ROUND(220/(1+'[1]Serviços SINAPI'!$F$6),4))</f>
        <v>#REF!</v>
      </c>
      <c r="F8932" s="38">
        <v>38.037999999999997</v>
      </c>
      <c r="G8932" s="41" t="e">
        <f>IF(ISNUMBER(F8932),E8932*F8932,"")</f>
        <v>#REF!</v>
      </c>
      <c r="H8932" s="46" t="e">
        <f>SUM(G8932:G8932)</f>
        <v>#REF!</v>
      </c>
      <c r="I8932" s="47"/>
      <c r="J8932" s="37">
        <v>0</v>
      </c>
    </row>
    <row r="8933" spans="1:10" ht="15.75" hidden="1" thickBot="1" x14ac:dyDescent="0.3">
      <c r="A8933" s="180"/>
      <c r="B8933" s="178"/>
      <c r="C8933" s="49"/>
      <c r="D8933" s="49"/>
      <c r="E8933" s="50"/>
      <c r="F8933" s="51"/>
      <c r="G8933" s="52" t="str">
        <f>IF(ISNUMBER(F8933),E8933*F8933,"")</f>
        <v/>
      </c>
      <c r="H8933" s="53"/>
      <c r="I8933" s="47"/>
      <c r="J8933" s="37">
        <v>0</v>
      </c>
    </row>
    <row r="8934" spans="1:10" ht="15.75" hidden="1" thickBot="1" x14ac:dyDescent="0.3">
      <c r="A8934" s="173" t="s">
        <v>2149</v>
      </c>
      <c r="B8934" s="176" t="s">
        <v>8648</v>
      </c>
      <c r="C8934" s="31"/>
      <c r="D8934" s="32" t="s">
        <v>3982</v>
      </c>
      <c r="E8934" s="33"/>
      <c r="F8934" s="54" t="s">
        <v>13</v>
      </c>
      <c r="G8934" s="34" t="str">
        <f>IF(ISNUMBER(F8934),E8934*F8934,"")</f>
        <v/>
      </c>
      <c r="H8934" s="35"/>
      <c r="I8934" s="36"/>
      <c r="J8934" s="37">
        <v>0</v>
      </c>
    </row>
    <row r="8935" spans="1:10" hidden="1" x14ac:dyDescent="0.25">
      <c r="A8935" s="179"/>
      <c r="B8935" s="177"/>
      <c r="C8935" s="39"/>
      <c r="D8935" s="39"/>
      <c r="E8935" s="40"/>
      <c r="F8935" s="55" t="s">
        <v>13</v>
      </c>
      <c r="G8935" s="41" t="str">
        <f>IF(ISNUMBER(F8935),E8935*F8935,"")</f>
        <v/>
      </c>
      <c r="H8935" s="42"/>
      <c r="I8935" s="38"/>
      <c r="J8935" s="37">
        <v>0</v>
      </c>
    </row>
    <row r="8936" spans="1:10" hidden="1" x14ac:dyDescent="0.25">
      <c r="A8936" s="179"/>
      <c r="B8936" s="177"/>
      <c r="C8936" s="43" t="s">
        <v>11216</v>
      </c>
      <c r="D8936" s="43" t="s">
        <v>2800</v>
      </c>
      <c r="E8936" s="44" t="e">
        <f>IF(#REF!="Desonerado",ROUND(220/(1+'[1]Serviços SINAPI'!$E$6),4),ROUND(220/(1+'[1]Serviços SINAPI'!$F$6),4))</f>
        <v>#REF!</v>
      </c>
      <c r="F8936" s="38">
        <v>38.037999999999997</v>
      </c>
      <c r="G8936" s="41" t="e">
        <f>IF(ISNUMBER(F8936),E8936*F8936,"")</f>
        <v>#REF!</v>
      </c>
      <c r="H8936" s="46" t="e">
        <f>SUM(G8936:G8936)</f>
        <v>#REF!</v>
      </c>
      <c r="I8936" s="47"/>
      <c r="J8936" s="37">
        <v>0</v>
      </c>
    </row>
    <row r="8937" spans="1:10" ht="15.75" hidden="1" thickBot="1" x14ac:dyDescent="0.3">
      <c r="A8937" s="180"/>
      <c r="B8937" s="178"/>
      <c r="C8937" s="49"/>
      <c r="D8937" s="49"/>
      <c r="E8937" s="50"/>
      <c r="F8937" s="51"/>
      <c r="G8937" s="52" t="str">
        <f>IF(ISNUMBER(F8937),E8937*F8937,"")</f>
        <v/>
      </c>
      <c r="H8937" s="53"/>
      <c r="I8937" s="47"/>
      <c r="J8937" s="37">
        <v>0</v>
      </c>
    </row>
    <row r="8938" spans="1:10" ht="15.75" hidden="1" thickBot="1" x14ac:dyDescent="0.3">
      <c r="A8938" s="173" t="s">
        <v>2150</v>
      </c>
      <c r="B8938" s="176" t="s">
        <v>8649</v>
      </c>
      <c r="C8938" s="31"/>
      <c r="D8938" s="32" t="s">
        <v>3982</v>
      </c>
      <c r="E8938" s="33"/>
      <c r="F8938" s="54" t="s">
        <v>13</v>
      </c>
      <c r="G8938" s="34" t="str">
        <f>IF(ISNUMBER(F8938),E8938*F8938,"")</f>
        <v/>
      </c>
      <c r="H8938" s="35"/>
      <c r="I8938" s="36"/>
      <c r="J8938" s="37">
        <v>0</v>
      </c>
    </row>
    <row r="8939" spans="1:10" hidden="1" x14ac:dyDescent="0.25">
      <c r="A8939" s="179"/>
      <c r="B8939" s="177"/>
      <c r="C8939" s="39"/>
      <c r="D8939" s="39"/>
      <c r="E8939" s="40"/>
      <c r="F8939" s="55" t="s">
        <v>13</v>
      </c>
      <c r="G8939" s="41" t="str">
        <f>IF(ISNUMBER(F8939),E8939*F8939,"")</f>
        <v/>
      </c>
      <c r="H8939" s="42"/>
      <c r="I8939" s="38"/>
      <c r="J8939" s="37">
        <v>0</v>
      </c>
    </row>
    <row r="8940" spans="1:10" hidden="1" x14ac:dyDescent="0.25">
      <c r="A8940" s="179"/>
      <c r="B8940" s="177"/>
      <c r="C8940" s="43" t="s">
        <v>11216</v>
      </c>
      <c r="D8940" s="43" t="s">
        <v>2800</v>
      </c>
      <c r="E8940" s="44" t="e">
        <f>IF(#REF!="Desonerado",ROUND(220/(1+'[1]Serviços SINAPI'!$E$6),4),ROUND(220/(1+'[1]Serviços SINAPI'!$F$6),4))</f>
        <v>#REF!</v>
      </c>
      <c r="F8940" s="38">
        <v>38.037999999999997</v>
      </c>
      <c r="G8940" s="41" t="e">
        <f>IF(ISNUMBER(F8940),E8940*F8940,"")</f>
        <v>#REF!</v>
      </c>
      <c r="H8940" s="46" t="e">
        <f>SUM(G8940:G8940)</f>
        <v>#REF!</v>
      </c>
      <c r="I8940" s="47"/>
      <c r="J8940" s="37">
        <v>0</v>
      </c>
    </row>
    <row r="8941" spans="1:10" ht="15.75" hidden="1" thickBot="1" x14ac:dyDescent="0.3">
      <c r="A8941" s="180"/>
      <c r="B8941" s="178"/>
      <c r="C8941" s="49"/>
      <c r="D8941" s="49"/>
      <c r="E8941" s="50"/>
      <c r="F8941" s="51"/>
      <c r="G8941" s="52" t="str">
        <f>IF(ISNUMBER(F8941),E8941*F8941,"")</f>
        <v/>
      </c>
      <c r="H8941" s="53"/>
      <c r="I8941" s="47"/>
      <c r="J8941" s="37">
        <v>0</v>
      </c>
    </row>
    <row r="8942" spans="1:10" ht="15.75" hidden="1" thickBot="1" x14ac:dyDescent="0.3">
      <c r="A8942" s="173" t="s">
        <v>2151</v>
      </c>
      <c r="B8942" s="176" t="s">
        <v>8650</v>
      </c>
      <c r="C8942" s="31"/>
      <c r="D8942" s="32" t="s">
        <v>3982</v>
      </c>
      <c r="E8942" s="33"/>
      <c r="F8942" s="54" t="s">
        <v>13</v>
      </c>
      <c r="G8942" s="34" t="str">
        <f>IF(ISNUMBER(F8942),E8942*F8942,"")</f>
        <v/>
      </c>
      <c r="H8942" s="35"/>
      <c r="I8942" s="36"/>
      <c r="J8942" s="37">
        <v>0</v>
      </c>
    </row>
    <row r="8943" spans="1:10" hidden="1" x14ac:dyDescent="0.25">
      <c r="A8943" s="179"/>
      <c r="B8943" s="177"/>
      <c r="C8943" s="39"/>
      <c r="D8943" s="39"/>
      <c r="E8943" s="40"/>
      <c r="F8943" s="55" t="s">
        <v>13</v>
      </c>
      <c r="G8943" s="41" t="str">
        <f>IF(ISNUMBER(F8943),E8943*F8943,"")</f>
        <v/>
      </c>
      <c r="H8943" s="42"/>
      <c r="I8943" s="38"/>
      <c r="J8943" s="37">
        <v>0</v>
      </c>
    </row>
    <row r="8944" spans="1:10" ht="25.5" hidden="1" x14ac:dyDescent="0.25">
      <c r="A8944" s="179"/>
      <c r="B8944" s="177"/>
      <c r="C8944" s="43" t="s">
        <v>10753</v>
      </c>
      <c r="D8944" s="43" t="s">
        <v>2800</v>
      </c>
      <c r="E8944" s="44" t="e">
        <f>IF(#REF!="Desonerado",ROUND(220/(1+'[1]Serviços SINAPI'!$E$6),4),ROUND(220/(1+'[1]Serviços SINAPI'!$F$6),4))</f>
        <v>#REF!</v>
      </c>
      <c r="F8944" s="38">
        <v>23.997</v>
      </c>
      <c r="G8944" s="41" t="e">
        <f>IF(ISNUMBER(F8944),E8944*F8944,"")</f>
        <v>#REF!</v>
      </c>
      <c r="H8944" s="46" t="e">
        <f>SUM(G8944:G8944)</f>
        <v>#REF!</v>
      </c>
      <c r="I8944" s="47"/>
      <c r="J8944" s="37">
        <v>0</v>
      </c>
    </row>
    <row r="8945" spans="1:10" ht="15.75" hidden="1" thickBot="1" x14ac:dyDescent="0.3">
      <c r="A8945" s="180"/>
      <c r="B8945" s="178"/>
      <c r="C8945" s="49"/>
      <c r="D8945" s="49"/>
      <c r="E8945" s="50"/>
      <c r="F8945" s="51"/>
      <c r="G8945" s="52" t="str">
        <f>IF(ISNUMBER(F8945),E8945*F8945,"")</f>
        <v/>
      </c>
      <c r="H8945" s="53"/>
      <c r="I8945" s="47"/>
      <c r="J8945" s="37">
        <v>0</v>
      </c>
    </row>
    <row r="8946" spans="1:10" ht="15.75" hidden="1" thickBot="1" x14ac:dyDescent="0.3">
      <c r="A8946" s="173" t="s">
        <v>2152</v>
      </c>
      <c r="B8946" s="176" t="s">
        <v>8651</v>
      </c>
      <c r="C8946" s="31"/>
      <c r="D8946" s="32" t="s">
        <v>3982</v>
      </c>
      <c r="E8946" s="33"/>
      <c r="F8946" s="54" t="s">
        <v>13</v>
      </c>
      <c r="G8946" s="34" t="str">
        <f>IF(ISNUMBER(F8946),E8946*F8946,"")</f>
        <v/>
      </c>
      <c r="H8946" s="35"/>
      <c r="I8946" s="36"/>
      <c r="J8946" s="37">
        <v>0</v>
      </c>
    </row>
    <row r="8947" spans="1:10" hidden="1" x14ac:dyDescent="0.25">
      <c r="A8947" s="179"/>
      <c r="B8947" s="177"/>
      <c r="C8947" s="39"/>
      <c r="D8947" s="39"/>
      <c r="E8947" s="40"/>
      <c r="F8947" s="55" t="s">
        <v>13</v>
      </c>
      <c r="G8947" s="41" t="str">
        <f>IF(ISNUMBER(F8947),E8947*F8947,"")</f>
        <v/>
      </c>
      <c r="H8947" s="42"/>
      <c r="I8947" s="38"/>
      <c r="J8947" s="37">
        <v>0</v>
      </c>
    </row>
    <row r="8948" spans="1:10" hidden="1" x14ac:dyDescent="0.25">
      <c r="A8948" s="179"/>
      <c r="B8948" s="177"/>
      <c r="C8948" s="43" t="s">
        <v>11215</v>
      </c>
      <c r="D8948" s="43" t="s">
        <v>2800</v>
      </c>
      <c r="E8948" s="44" t="e">
        <f>IF(#REF!="Desonerado",ROUND(220/(1+'[1]Serviços SINAPI'!$E$6),4),ROUND(220/(1+'[1]Serviços SINAPI'!$F$6),4))</f>
        <v>#REF!</v>
      </c>
      <c r="F8948" s="38">
        <v>29.734999999999999</v>
      </c>
      <c r="G8948" s="41" t="e">
        <f>IF(ISNUMBER(F8948),E8948*F8948,"")</f>
        <v>#REF!</v>
      </c>
      <c r="H8948" s="46" t="e">
        <f>SUM(G8948:G8948)</f>
        <v>#REF!</v>
      </c>
      <c r="I8948" s="47"/>
      <c r="J8948" s="37">
        <v>0</v>
      </c>
    </row>
    <row r="8949" spans="1:10" ht="15.75" hidden="1" thickBot="1" x14ac:dyDescent="0.3">
      <c r="A8949" s="180"/>
      <c r="B8949" s="178"/>
      <c r="C8949" s="49"/>
      <c r="D8949" s="49"/>
      <c r="E8949" s="50"/>
      <c r="F8949" s="51"/>
      <c r="G8949" s="52" t="str">
        <f>IF(ISNUMBER(F8949),E8949*F8949,"")</f>
        <v/>
      </c>
      <c r="H8949" s="53"/>
      <c r="I8949" s="47"/>
      <c r="J8949" s="37">
        <v>0</v>
      </c>
    </row>
    <row r="8950" spans="1:10" ht="15.75" hidden="1" thickBot="1" x14ac:dyDescent="0.3">
      <c r="A8950" s="173" t="s">
        <v>2153</v>
      </c>
      <c r="B8950" s="176" t="s">
        <v>8652</v>
      </c>
      <c r="C8950" s="31"/>
      <c r="D8950" s="32" t="s">
        <v>3982</v>
      </c>
      <c r="E8950" s="33"/>
      <c r="F8950" s="54" t="s">
        <v>13</v>
      </c>
      <c r="G8950" s="34" t="str">
        <f>IF(ISNUMBER(F8950),E8950*F8950,"")</f>
        <v/>
      </c>
      <c r="H8950" s="35"/>
      <c r="I8950" s="36"/>
      <c r="J8950" s="37">
        <v>0</v>
      </c>
    </row>
    <row r="8951" spans="1:10" hidden="1" x14ac:dyDescent="0.25">
      <c r="A8951" s="179"/>
      <c r="B8951" s="177"/>
      <c r="C8951" s="39"/>
      <c r="D8951" s="39"/>
      <c r="E8951" s="40"/>
      <c r="F8951" s="55" t="s">
        <v>13</v>
      </c>
      <c r="G8951" s="41" t="str">
        <f>IF(ISNUMBER(F8951),E8951*F8951,"")</f>
        <v/>
      </c>
      <c r="H8951" s="42"/>
      <c r="I8951" s="38"/>
      <c r="J8951" s="37">
        <v>0</v>
      </c>
    </row>
    <row r="8952" spans="1:10" hidden="1" x14ac:dyDescent="0.25">
      <c r="A8952" s="179"/>
      <c r="B8952" s="177"/>
      <c r="C8952" s="43" t="s">
        <v>11012</v>
      </c>
      <c r="D8952" s="43" t="s">
        <v>2800</v>
      </c>
      <c r="E8952" s="44" t="e">
        <f>IF(#REF!="Desonerado",ROUND(220/(1+'[1]Serviços SINAPI'!$E$6),4),ROUND(220/(1+'[1]Serviços SINAPI'!$F$6),4))</f>
        <v>#REF!</v>
      </c>
      <c r="F8952" s="38">
        <v>39.244500000000002</v>
      </c>
      <c r="G8952" s="41" t="e">
        <f>IF(ISNUMBER(F8952),E8952*F8952,"")</f>
        <v>#REF!</v>
      </c>
      <c r="H8952" s="46" t="e">
        <f>SUM(G8952:G8952)</f>
        <v>#REF!</v>
      </c>
      <c r="I8952" s="47"/>
      <c r="J8952" s="37">
        <v>0</v>
      </c>
    </row>
    <row r="8953" spans="1:10" ht="15.75" hidden="1" thickBot="1" x14ac:dyDescent="0.3">
      <c r="A8953" s="180"/>
      <c r="B8953" s="178"/>
      <c r="C8953" s="49"/>
      <c r="D8953" s="49"/>
      <c r="E8953" s="50"/>
      <c r="F8953" s="51"/>
      <c r="G8953" s="52" t="str">
        <f>IF(ISNUMBER(F8953),E8953*F8953,"")</f>
        <v/>
      </c>
      <c r="H8953" s="53"/>
      <c r="I8953" s="47"/>
      <c r="J8953" s="37">
        <v>0</v>
      </c>
    </row>
    <row r="8954" spans="1:10" ht="15.75" hidden="1" thickBot="1" x14ac:dyDescent="0.3">
      <c r="A8954" s="173" t="s">
        <v>2154</v>
      </c>
      <c r="B8954" s="176" t="s">
        <v>8653</v>
      </c>
      <c r="C8954" s="31"/>
      <c r="D8954" s="32" t="s">
        <v>3982</v>
      </c>
      <c r="E8954" s="33"/>
      <c r="F8954" s="54" t="s">
        <v>13</v>
      </c>
      <c r="G8954" s="34" t="str">
        <f>IF(ISNUMBER(F8954),E8954*F8954,"")</f>
        <v/>
      </c>
      <c r="H8954" s="35"/>
      <c r="I8954" s="36"/>
      <c r="J8954" s="37">
        <v>0</v>
      </c>
    </row>
    <row r="8955" spans="1:10" hidden="1" x14ac:dyDescent="0.25">
      <c r="A8955" s="179"/>
      <c r="B8955" s="177"/>
      <c r="C8955" s="39"/>
      <c r="D8955" s="39"/>
      <c r="E8955" s="40"/>
      <c r="F8955" s="55" t="s">
        <v>13</v>
      </c>
      <c r="G8955" s="41" t="str">
        <f>IF(ISNUMBER(F8955),E8955*F8955,"")</f>
        <v/>
      </c>
      <c r="H8955" s="42"/>
      <c r="I8955" s="38"/>
      <c r="J8955" s="37">
        <v>0</v>
      </c>
    </row>
    <row r="8956" spans="1:10" ht="25.5" hidden="1" x14ac:dyDescent="0.25">
      <c r="A8956" s="179"/>
      <c r="B8956" s="177"/>
      <c r="C8956" s="43" t="s">
        <v>10754</v>
      </c>
      <c r="D8956" s="43" t="s">
        <v>2800</v>
      </c>
      <c r="E8956" s="44" t="e">
        <f>IF(#REF!="Desonerado",ROUND(220/(1+'[1]Serviços SINAPI'!$E$6),4),ROUND(220/(1+'[1]Serviços SINAPI'!$F$6),4))</f>
        <v>#REF!</v>
      </c>
      <c r="F8956" s="38">
        <v>30.361999999999998</v>
      </c>
      <c r="G8956" s="41" t="e">
        <f>IF(ISNUMBER(F8956),E8956*F8956,"")</f>
        <v>#REF!</v>
      </c>
      <c r="H8956" s="46" t="e">
        <f>SUM(G8956:G8956)</f>
        <v>#REF!</v>
      </c>
      <c r="I8956" s="47"/>
      <c r="J8956" s="37">
        <v>0</v>
      </c>
    </row>
    <row r="8957" spans="1:10" ht="15.75" hidden="1" thickBot="1" x14ac:dyDescent="0.3">
      <c r="A8957" s="180"/>
      <c r="B8957" s="178"/>
      <c r="C8957" s="49"/>
      <c r="D8957" s="49"/>
      <c r="E8957" s="50"/>
      <c r="F8957" s="51"/>
      <c r="G8957" s="52" t="str">
        <f>IF(ISNUMBER(F8957),E8957*F8957,"")</f>
        <v/>
      </c>
      <c r="H8957" s="53"/>
      <c r="I8957" s="47"/>
      <c r="J8957" s="37">
        <v>0</v>
      </c>
    </row>
    <row r="8958" spans="1:10" ht="15.75" hidden="1" thickBot="1" x14ac:dyDescent="0.3">
      <c r="A8958" s="173" t="s">
        <v>2155</v>
      </c>
      <c r="B8958" s="176" t="s">
        <v>8654</v>
      </c>
      <c r="C8958" s="31"/>
      <c r="D8958" s="32" t="s">
        <v>3982</v>
      </c>
      <c r="E8958" s="33"/>
      <c r="F8958" s="54" t="s">
        <v>13</v>
      </c>
      <c r="G8958" s="34" t="str">
        <f>IF(ISNUMBER(F8958),E8958*F8958,"")</f>
        <v/>
      </c>
      <c r="H8958" s="35"/>
      <c r="I8958" s="36"/>
      <c r="J8958" s="37">
        <v>0</v>
      </c>
    </row>
    <row r="8959" spans="1:10" hidden="1" x14ac:dyDescent="0.25">
      <c r="A8959" s="179"/>
      <c r="B8959" s="177"/>
      <c r="C8959" s="39"/>
      <c r="D8959" s="39"/>
      <c r="E8959" s="40"/>
      <c r="F8959" s="55" t="s">
        <v>13</v>
      </c>
      <c r="G8959" s="41" t="str">
        <f>IF(ISNUMBER(F8959),E8959*F8959,"")</f>
        <v/>
      </c>
      <c r="H8959" s="42"/>
      <c r="I8959" s="38"/>
      <c r="J8959" s="37">
        <v>0</v>
      </c>
    </row>
    <row r="8960" spans="1:10" hidden="1" x14ac:dyDescent="0.25">
      <c r="A8960" s="179"/>
      <c r="B8960" s="177"/>
      <c r="C8960" s="43" t="s">
        <v>11216</v>
      </c>
      <c r="D8960" s="43" t="s">
        <v>2800</v>
      </c>
      <c r="E8960" s="44" t="e">
        <f>IF(#REF!="Desonerado",ROUND(220/(1+'[1]Serviços SINAPI'!$E$6),4),ROUND(220/(1+'[1]Serviços SINAPI'!$F$6),4))</f>
        <v>#REF!</v>
      </c>
      <c r="F8960" s="38">
        <v>38.037999999999997</v>
      </c>
      <c r="G8960" s="41" t="e">
        <f>IF(ISNUMBER(F8960),E8960*F8960,"")</f>
        <v>#REF!</v>
      </c>
      <c r="H8960" s="46" t="e">
        <f>SUM(G8960:G8960)</f>
        <v>#REF!</v>
      </c>
      <c r="I8960" s="47"/>
      <c r="J8960" s="37">
        <v>0</v>
      </c>
    </row>
    <row r="8961" spans="1:10" ht="15.75" hidden="1" thickBot="1" x14ac:dyDescent="0.3">
      <c r="A8961" s="180"/>
      <c r="B8961" s="178"/>
      <c r="C8961" s="49"/>
      <c r="D8961" s="49"/>
      <c r="E8961" s="50"/>
      <c r="F8961" s="51"/>
      <c r="G8961" s="52" t="str">
        <f>IF(ISNUMBER(F8961),E8961*F8961,"")</f>
        <v/>
      </c>
      <c r="H8961" s="53"/>
      <c r="I8961" s="47"/>
      <c r="J8961" s="37">
        <v>0</v>
      </c>
    </row>
    <row r="8962" spans="1:10" ht="15.75" hidden="1" thickBot="1" x14ac:dyDescent="0.3">
      <c r="A8962" s="173" t="s">
        <v>2156</v>
      </c>
      <c r="B8962" s="176" t="s">
        <v>8655</v>
      </c>
      <c r="C8962" s="31"/>
      <c r="D8962" s="32" t="s">
        <v>3982</v>
      </c>
      <c r="E8962" s="33"/>
      <c r="F8962" s="54" t="s">
        <v>13</v>
      </c>
      <c r="G8962" s="34" t="str">
        <f>IF(ISNUMBER(F8962),E8962*F8962,"")</f>
        <v/>
      </c>
      <c r="H8962" s="35"/>
      <c r="I8962" s="36"/>
      <c r="J8962" s="37">
        <v>0</v>
      </c>
    </row>
    <row r="8963" spans="1:10" hidden="1" x14ac:dyDescent="0.25">
      <c r="A8963" s="179"/>
      <c r="B8963" s="177"/>
      <c r="C8963" s="39"/>
      <c r="D8963" s="39"/>
      <c r="E8963" s="40"/>
      <c r="F8963" s="55" t="s">
        <v>13</v>
      </c>
      <c r="G8963" s="41" t="str">
        <f>IF(ISNUMBER(F8963),E8963*F8963,"")</f>
        <v/>
      </c>
      <c r="H8963" s="42"/>
      <c r="I8963" s="38"/>
      <c r="J8963" s="37">
        <v>0</v>
      </c>
    </row>
    <row r="8964" spans="1:10" hidden="1" x14ac:dyDescent="0.25">
      <c r="A8964" s="179"/>
      <c r="B8964" s="177"/>
      <c r="C8964" s="43" t="s">
        <v>11216</v>
      </c>
      <c r="D8964" s="43" t="s">
        <v>2800</v>
      </c>
      <c r="E8964" s="44" t="e">
        <f>IF(#REF!="Desonerado",ROUND(220/(1+'[1]Serviços SINAPI'!$E$6),4),ROUND(220/(1+'[1]Serviços SINAPI'!$F$6),4))</f>
        <v>#REF!</v>
      </c>
      <c r="F8964" s="38">
        <v>38.037999999999997</v>
      </c>
      <c r="G8964" s="41" t="e">
        <f>IF(ISNUMBER(F8964),E8964*F8964,"")</f>
        <v>#REF!</v>
      </c>
      <c r="H8964" s="46" t="e">
        <f>SUM(G8964:G8964)</f>
        <v>#REF!</v>
      </c>
      <c r="I8964" s="47"/>
      <c r="J8964" s="37">
        <v>0</v>
      </c>
    </row>
    <row r="8965" spans="1:10" ht="15.75" hidden="1" thickBot="1" x14ac:dyDescent="0.3">
      <c r="A8965" s="180"/>
      <c r="B8965" s="178"/>
      <c r="C8965" s="49"/>
      <c r="D8965" s="49"/>
      <c r="E8965" s="50"/>
      <c r="F8965" s="51"/>
      <c r="G8965" s="52" t="str">
        <f>IF(ISNUMBER(F8965),E8965*F8965,"")</f>
        <v/>
      </c>
      <c r="H8965" s="53"/>
      <c r="I8965" s="47"/>
      <c r="J8965" s="37">
        <v>0</v>
      </c>
    </row>
    <row r="8966" spans="1:10" ht="15.75" hidden="1" thickBot="1" x14ac:dyDescent="0.3">
      <c r="A8966" s="173" t="s">
        <v>2157</v>
      </c>
      <c r="B8966" s="176" t="s">
        <v>8656</v>
      </c>
      <c r="C8966" s="31"/>
      <c r="D8966" s="32" t="s">
        <v>3982</v>
      </c>
      <c r="E8966" s="33"/>
      <c r="F8966" s="54" t="s">
        <v>13</v>
      </c>
      <c r="G8966" s="34" t="str">
        <f>IF(ISNUMBER(F8966),E8966*F8966,"")</f>
        <v/>
      </c>
      <c r="H8966" s="35"/>
      <c r="I8966" s="36"/>
      <c r="J8966" s="37">
        <v>0</v>
      </c>
    </row>
    <row r="8967" spans="1:10" hidden="1" x14ac:dyDescent="0.25">
      <c r="A8967" s="179"/>
      <c r="B8967" s="177"/>
      <c r="C8967" s="39"/>
      <c r="D8967" s="39"/>
      <c r="E8967" s="40"/>
      <c r="F8967" s="55" t="s">
        <v>13</v>
      </c>
      <c r="G8967" s="41" t="str">
        <f>IF(ISNUMBER(F8967),E8967*F8967,"")</f>
        <v/>
      </c>
      <c r="H8967" s="42"/>
      <c r="I8967" s="38"/>
      <c r="J8967" s="37">
        <v>0</v>
      </c>
    </row>
    <row r="8968" spans="1:10" ht="25.5" hidden="1" x14ac:dyDescent="0.25">
      <c r="A8968" s="179"/>
      <c r="B8968" s="177"/>
      <c r="C8968" s="43" t="s">
        <v>10753</v>
      </c>
      <c r="D8968" s="43" t="s">
        <v>2800</v>
      </c>
      <c r="E8968" s="44" t="e">
        <f>IF(#REF!="Desonerado",ROUND(220/(1+'[1]Serviços SINAPI'!$E$6),4),ROUND(220/(1+'[1]Serviços SINAPI'!$F$6),4))</f>
        <v>#REF!</v>
      </c>
      <c r="F8968" s="38">
        <v>23.997</v>
      </c>
      <c r="G8968" s="41" t="e">
        <f>IF(ISNUMBER(F8968),E8968*F8968,"")</f>
        <v>#REF!</v>
      </c>
      <c r="H8968" s="46" t="e">
        <f>SUM(G8968:G8968)</f>
        <v>#REF!</v>
      </c>
      <c r="I8968" s="47"/>
      <c r="J8968" s="37">
        <v>0</v>
      </c>
    </row>
    <row r="8969" spans="1:10" ht="15.75" hidden="1" thickBot="1" x14ac:dyDescent="0.3">
      <c r="A8969" s="180"/>
      <c r="B8969" s="178"/>
      <c r="C8969" s="49"/>
      <c r="D8969" s="49"/>
      <c r="E8969" s="50"/>
      <c r="F8969" s="51"/>
      <c r="G8969" s="52" t="str">
        <f>IF(ISNUMBER(F8969),E8969*F8969,"")</f>
        <v/>
      </c>
      <c r="H8969" s="53"/>
      <c r="I8969" s="47"/>
      <c r="J8969" s="37">
        <v>0</v>
      </c>
    </row>
    <row r="8970" spans="1:10" ht="15.75" hidden="1" thickBot="1" x14ac:dyDescent="0.3">
      <c r="A8970" s="173" t="s">
        <v>2158</v>
      </c>
      <c r="B8970" s="176" t="s">
        <v>8657</v>
      </c>
      <c r="C8970" s="31"/>
      <c r="D8970" s="32" t="s">
        <v>3982</v>
      </c>
      <c r="E8970" s="33"/>
      <c r="F8970" s="54" t="s">
        <v>13</v>
      </c>
      <c r="G8970" s="34" t="str">
        <f>IF(ISNUMBER(F8970),E8970*F8970,"")</f>
        <v/>
      </c>
      <c r="H8970" s="35"/>
      <c r="I8970" s="36"/>
      <c r="J8970" s="37">
        <v>0</v>
      </c>
    </row>
    <row r="8971" spans="1:10" hidden="1" x14ac:dyDescent="0.25">
      <c r="A8971" s="179"/>
      <c r="B8971" s="177"/>
      <c r="C8971" s="39"/>
      <c r="D8971" s="39"/>
      <c r="E8971" s="40"/>
      <c r="F8971" s="55" t="s">
        <v>13</v>
      </c>
      <c r="G8971" s="41" t="str">
        <f>IF(ISNUMBER(F8971),E8971*F8971,"")</f>
        <v/>
      </c>
      <c r="H8971" s="42"/>
      <c r="I8971" s="38"/>
      <c r="J8971" s="37">
        <v>0</v>
      </c>
    </row>
    <row r="8972" spans="1:10" ht="25.5" hidden="1" x14ac:dyDescent="0.25">
      <c r="A8972" s="179"/>
      <c r="B8972" s="177"/>
      <c r="C8972" s="43" t="s">
        <v>10753</v>
      </c>
      <c r="D8972" s="43" t="s">
        <v>2800</v>
      </c>
      <c r="E8972" s="44" t="e">
        <f>IF(#REF!="Desonerado",ROUND(220/(1+'[1]Serviços SINAPI'!$E$6),4),ROUND(220/(1+'[1]Serviços SINAPI'!$F$6),4))</f>
        <v>#REF!</v>
      </c>
      <c r="F8972" s="38">
        <v>23.997</v>
      </c>
      <c r="G8972" s="41" t="e">
        <f>IF(ISNUMBER(F8972),E8972*F8972,"")</f>
        <v>#REF!</v>
      </c>
      <c r="H8972" s="46" t="e">
        <f>SUM(G8972:G8972)</f>
        <v>#REF!</v>
      </c>
      <c r="I8972" s="47"/>
      <c r="J8972" s="37">
        <v>0</v>
      </c>
    </row>
    <row r="8973" spans="1:10" ht="15.75" hidden="1" thickBot="1" x14ac:dyDescent="0.3">
      <c r="A8973" s="180"/>
      <c r="B8973" s="178"/>
      <c r="C8973" s="49"/>
      <c r="D8973" s="49"/>
      <c r="E8973" s="50"/>
      <c r="F8973" s="51"/>
      <c r="G8973" s="52" t="str">
        <f>IF(ISNUMBER(F8973),E8973*F8973,"")</f>
        <v/>
      </c>
      <c r="H8973" s="53"/>
      <c r="I8973" s="47"/>
      <c r="J8973" s="37">
        <v>0</v>
      </c>
    </row>
    <row r="8974" spans="1:10" ht="15.75" hidden="1" thickBot="1" x14ac:dyDescent="0.3">
      <c r="A8974" s="173" t="s">
        <v>2159</v>
      </c>
      <c r="B8974" s="176" t="s">
        <v>8702</v>
      </c>
      <c r="C8974" s="31"/>
      <c r="D8974" s="32" t="s">
        <v>18</v>
      </c>
      <c r="E8974" s="33"/>
      <c r="F8974" s="54" t="s">
        <v>13</v>
      </c>
      <c r="G8974" s="34" t="str">
        <f>IF(ISNUMBER(F8974),E8974*F8974,"")</f>
        <v/>
      </c>
      <c r="H8974" s="35"/>
      <c r="I8974" s="36"/>
      <c r="J8974" s="37">
        <v>0</v>
      </c>
    </row>
    <row r="8975" spans="1:10" hidden="1" x14ac:dyDescent="0.25">
      <c r="A8975" s="174"/>
      <c r="B8975" s="177"/>
      <c r="C8975" s="39"/>
      <c r="D8975" s="39"/>
      <c r="E8975" s="40"/>
      <c r="F8975" s="55" t="s">
        <v>13</v>
      </c>
      <c r="G8975" s="38" t="str">
        <f>IF(ISNUMBER(F8975),E8975*F8975,"")</f>
        <v/>
      </c>
      <c r="H8975" s="42"/>
      <c r="I8975" s="38"/>
      <c r="J8975" s="37">
        <v>0</v>
      </c>
    </row>
    <row r="8976" spans="1:10" ht="25.5" hidden="1" x14ac:dyDescent="0.25">
      <c r="A8976" s="174"/>
      <c r="B8976" s="177"/>
      <c r="C8976" s="43" t="s">
        <v>10611</v>
      </c>
      <c r="D8976" s="43" t="s">
        <v>2800</v>
      </c>
      <c r="E8976" s="44">
        <v>20</v>
      </c>
      <c r="F8976" s="38">
        <v>142.75650000000002</v>
      </c>
      <c r="G8976" s="38">
        <f>IF(ISNUMBER(F8976),E8976*F8976,"")</f>
        <v>2855.13</v>
      </c>
      <c r="H8976" s="46">
        <f>SUM(G8976:G8977)</f>
        <v>3126.6000000000004</v>
      </c>
      <c r="I8976" s="47"/>
      <c r="J8976" s="37">
        <v>0</v>
      </c>
    </row>
    <row r="8977" spans="1:10" hidden="1" x14ac:dyDescent="0.25">
      <c r="A8977" s="174"/>
      <c r="B8977" s="177"/>
      <c r="C8977" s="43" t="s">
        <v>17</v>
      </c>
      <c r="D8977" s="43" t="s">
        <v>18</v>
      </c>
      <c r="E8977" s="44">
        <v>1</v>
      </c>
      <c r="F8977" s="41">
        <v>271.47000000000003</v>
      </c>
      <c r="G8977" s="38">
        <f>IF(ISNUMBER(F8977),E8977*F8977,"")</f>
        <v>271.47000000000003</v>
      </c>
      <c r="H8977" s="42"/>
      <c r="I8977" s="38"/>
      <c r="J8977" s="37">
        <v>0</v>
      </c>
    </row>
    <row r="8978" spans="1:10" ht="15.75" hidden="1" thickBot="1" x14ac:dyDescent="0.3">
      <c r="A8978" s="175"/>
      <c r="B8978" s="178"/>
      <c r="C8978" s="49"/>
      <c r="D8978" s="49"/>
      <c r="E8978" s="50"/>
      <c r="F8978" s="51" t="s">
        <v>13</v>
      </c>
      <c r="G8978" s="51" t="str">
        <f>IF(ISNUMBER(F8978),E8978*F8978,"")</f>
        <v/>
      </c>
      <c r="H8978" s="53"/>
      <c r="I8978" s="38"/>
      <c r="J8978" s="37">
        <v>0</v>
      </c>
    </row>
    <row r="8979" spans="1:10" ht="15.75" hidden="1" thickBot="1" x14ac:dyDescent="0.3">
      <c r="A8979" s="173" t="s">
        <v>2160</v>
      </c>
      <c r="B8979" s="176" t="s">
        <v>8899</v>
      </c>
      <c r="C8979" s="31"/>
      <c r="D8979" s="32" t="s">
        <v>106</v>
      </c>
      <c r="E8979" s="33"/>
      <c r="F8979" s="54" t="s">
        <v>13</v>
      </c>
      <c r="G8979" s="34" t="str">
        <f>IF(ISNUMBER(F8979),E8979*F8979,"")</f>
        <v/>
      </c>
      <c r="H8979" s="35"/>
      <c r="I8979" s="36"/>
      <c r="J8979" s="37">
        <v>0</v>
      </c>
    </row>
    <row r="8980" spans="1:10" hidden="1" x14ac:dyDescent="0.25">
      <c r="A8980" s="174"/>
      <c r="B8980" s="177"/>
      <c r="C8980" s="39"/>
      <c r="D8980" s="39"/>
      <c r="E8980" s="40"/>
      <c r="F8980" s="55" t="s">
        <v>13</v>
      </c>
      <c r="G8980" s="38" t="str">
        <f>IF(ISNUMBER(F8980),E8980*F8980,"")</f>
        <v/>
      </c>
      <c r="H8980" s="42"/>
      <c r="I8980" s="38"/>
      <c r="J8980" s="37">
        <v>0</v>
      </c>
    </row>
    <row r="8981" spans="1:10" ht="25.5" hidden="1" x14ac:dyDescent="0.25">
      <c r="A8981" s="174"/>
      <c r="B8981" s="177"/>
      <c r="C8981" s="43" t="s">
        <v>11646</v>
      </c>
      <c r="D8981" s="43" t="s">
        <v>1302</v>
      </c>
      <c r="E8981" s="44">
        <v>1.0389999999999999</v>
      </c>
      <c r="F8981" s="38">
        <v>263.69149999999996</v>
      </c>
      <c r="G8981" s="41">
        <f>IF(ISNUMBER(F8981),E8981*F8981,"")</f>
        <v>273.97546849999992</v>
      </c>
      <c r="H8981" s="46">
        <f>SUM(G8981:G8983)</f>
        <v>294.41445249999992</v>
      </c>
      <c r="I8981" s="47"/>
      <c r="J8981" s="37">
        <v>0</v>
      </c>
    </row>
    <row r="8982" spans="1:10" ht="25.5" hidden="1" x14ac:dyDescent="0.25">
      <c r="A8982" s="174"/>
      <c r="B8982" s="177"/>
      <c r="C8982" s="43" t="s">
        <v>10753</v>
      </c>
      <c r="D8982" s="43" t="s">
        <v>2800</v>
      </c>
      <c r="E8982" s="44">
        <v>0.376</v>
      </c>
      <c r="F8982" s="38">
        <v>23.997</v>
      </c>
      <c r="G8982" s="41">
        <f>IF(ISNUMBER(F8982),E8982*F8982,"")</f>
        <v>9.0228719999999996</v>
      </c>
      <c r="H8982" s="42"/>
      <c r="I8982" s="38"/>
      <c r="J8982" s="37">
        <v>0</v>
      </c>
    </row>
    <row r="8983" spans="1:10" ht="25.5" hidden="1" x14ac:dyDescent="0.25">
      <c r="A8983" s="174"/>
      <c r="B8983" s="177"/>
      <c r="C8983" s="43" t="s">
        <v>10754</v>
      </c>
      <c r="D8983" s="43" t="s">
        <v>2800</v>
      </c>
      <c r="E8983" s="44">
        <v>0.376</v>
      </c>
      <c r="F8983" s="38">
        <v>30.361999999999998</v>
      </c>
      <c r="G8983" s="41">
        <f>IF(ISNUMBER(F8983),E8983*F8983,"")</f>
        <v>11.416112</v>
      </c>
      <c r="H8983" s="42"/>
      <c r="I8983" s="38"/>
      <c r="J8983" s="37">
        <v>0</v>
      </c>
    </row>
    <row r="8984" spans="1:10" ht="15.75" hidden="1" thickBot="1" x14ac:dyDescent="0.3">
      <c r="A8984" s="175"/>
      <c r="B8984" s="178"/>
      <c r="C8984" s="49"/>
      <c r="D8984" s="49"/>
      <c r="E8984" s="50"/>
      <c r="F8984" s="51" t="s">
        <v>13</v>
      </c>
      <c r="G8984" s="51" t="str">
        <f>IF(ISNUMBER(F8984),E8984*F8984,"")</f>
        <v/>
      </c>
      <c r="H8984" s="53"/>
      <c r="I8984" s="38"/>
      <c r="J8984" s="37">
        <v>0</v>
      </c>
    </row>
    <row r="8985" spans="1:10" ht="15.75" hidden="1" thickBot="1" x14ac:dyDescent="0.3">
      <c r="A8985" s="173" t="s">
        <v>2161</v>
      </c>
      <c r="B8985" s="176" t="s">
        <v>9180</v>
      </c>
      <c r="C8985" s="31"/>
      <c r="D8985" s="32" t="s">
        <v>18</v>
      </c>
      <c r="E8985" s="33"/>
      <c r="F8985" s="54" t="s">
        <v>13</v>
      </c>
      <c r="G8985" s="34" t="str">
        <f>IF(ISNUMBER(F8985),E8985*F8985,"")</f>
        <v/>
      </c>
      <c r="H8985" s="35"/>
      <c r="I8985" s="36"/>
      <c r="J8985" s="37">
        <v>0</v>
      </c>
    </row>
    <row r="8986" spans="1:10" hidden="1" x14ac:dyDescent="0.25">
      <c r="A8986" s="179"/>
      <c r="B8986" s="177"/>
      <c r="C8986" s="39"/>
      <c r="D8986" s="39"/>
      <c r="E8986" s="40"/>
      <c r="F8986" s="55" t="s">
        <v>13</v>
      </c>
      <c r="G8986" s="41" t="str">
        <f>IF(ISNUMBER(F8986),E8986*F8986,"")</f>
        <v/>
      </c>
      <c r="H8986" s="42"/>
      <c r="I8986" s="38"/>
      <c r="J8986" s="37">
        <v>0</v>
      </c>
    </row>
    <row r="8987" spans="1:10" hidden="1" x14ac:dyDescent="0.25">
      <c r="A8987" s="179"/>
      <c r="B8987" s="177"/>
      <c r="C8987" s="43" t="s">
        <v>11093</v>
      </c>
      <c r="D8987" s="43" t="s">
        <v>83</v>
      </c>
      <c r="E8987" s="44">
        <v>1</v>
      </c>
      <c r="F8987" s="38">
        <v>46.987000000000002</v>
      </c>
      <c r="G8987" s="41">
        <f>IF(ISNUMBER(F8987),E8987*F8987,"")</f>
        <v>46.987000000000002</v>
      </c>
      <c r="H8987" s="46">
        <f>SUM(G8987:G8987)</f>
        <v>46.987000000000002</v>
      </c>
      <c r="I8987" s="47"/>
      <c r="J8987" s="37">
        <v>0</v>
      </c>
    </row>
    <row r="8988" spans="1:10" ht="15.75" hidden="1" thickBot="1" x14ac:dyDescent="0.3">
      <c r="A8988" s="180"/>
      <c r="B8988" s="178"/>
      <c r="C8988" s="49"/>
      <c r="D8988" s="49"/>
      <c r="E8988" s="50"/>
      <c r="F8988" s="51"/>
      <c r="G8988" s="52" t="str">
        <f>IF(ISNUMBER(F8988),E8988*F8988,"")</f>
        <v/>
      </c>
      <c r="H8988" s="53"/>
      <c r="I8988" s="47"/>
      <c r="J8988" s="37">
        <v>0</v>
      </c>
    </row>
    <row r="8989" spans="1:10" ht="15.75" hidden="1" thickBot="1" x14ac:dyDescent="0.3">
      <c r="A8989" s="173" t="s">
        <v>2162</v>
      </c>
      <c r="B8989" s="176" t="s">
        <v>9181</v>
      </c>
      <c r="C8989" s="31"/>
      <c r="D8989" s="32" t="s">
        <v>18</v>
      </c>
      <c r="E8989" s="33"/>
      <c r="F8989" s="54" t="s">
        <v>13</v>
      </c>
      <c r="G8989" s="34" t="str">
        <f>IF(ISNUMBER(F8989),E8989*F8989,"")</f>
        <v/>
      </c>
      <c r="H8989" s="35"/>
      <c r="I8989" s="36"/>
      <c r="J8989" s="37">
        <v>0</v>
      </c>
    </row>
    <row r="8990" spans="1:10" hidden="1" x14ac:dyDescent="0.25">
      <c r="A8990" s="179"/>
      <c r="B8990" s="177"/>
      <c r="C8990" s="39"/>
      <c r="D8990" s="39"/>
      <c r="E8990" s="40"/>
      <c r="F8990" s="55" t="s">
        <v>13</v>
      </c>
      <c r="G8990" s="41" t="str">
        <f>IF(ISNUMBER(F8990),E8990*F8990,"")</f>
        <v/>
      </c>
      <c r="H8990" s="42"/>
      <c r="I8990" s="38"/>
      <c r="J8990" s="37">
        <v>0</v>
      </c>
    </row>
    <row r="8991" spans="1:10" hidden="1" x14ac:dyDescent="0.25">
      <c r="A8991" s="179"/>
      <c r="B8991" s="177"/>
      <c r="C8991" s="43" t="s">
        <v>10960</v>
      </c>
      <c r="D8991" s="43" t="s">
        <v>83</v>
      </c>
      <c r="E8991" s="44">
        <v>1</v>
      </c>
      <c r="F8991" s="38">
        <v>54.225999999999999</v>
      </c>
      <c r="G8991" s="41">
        <f>IF(ISNUMBER(F8991),E8991*F8991,"")</f>
        <v>54.225999999999999</v>
      </c>
      <c r="H8991" s="46">
        <f>SUM(G8991:G8991)</f>
        <v>54.225999999999999</v>
      </c>
      <c r="I8991" s="47"/>
      <c r="J8991" s="37">
        <v>0</v>
      </c>
    </row>
    <row r="8992" spans="1:10" ht="15.75" hidden="1" thickBot="1" x14ac:dyDescent="0.3">
      <c r="A8992" s="180"/>
      <c r="B8992" s="178"/>
      <c r="C8992" s="49"/>
      <c r="D8992" s="49"/>
      <c r="E8992" s="50"/>
      <c r="F8992" s="51"/>
      <c r="G8992" s="52" t="str">
        <f>IF(ISNUMBER(F8992),E8992*F8992,"")</f>
        <v/>
      </c>
      <c r="H8992" s="53"/>
      <c r="I8992" s="47"/>
      <c r="J8992" s="37">
        <v>0</v>
      </c>
    </row>
    <row r="8993" spans="1:10" ht="15.75" hidden="1" thickBot="1" x14ac:dyDescent="0.3">
      <c r="A8993" s="173" t="s">
        <v>2163</v>
      </c>
      <c r="B8993" s="176" t="s">
        <v>9182</v>
      </c>
      <c r="C8993" s="31"/>
      <c r="D8993" s="32" t="s">
        <v>18</v>
      </c>
      <c r="E8993" s="33"/>
      <c r="F8993" s="54" t="s">
        <v>13</v>
      </c>
      <c r="G8993" s="34" t="str">
        <f>IF(ISNUMBER(F8993),E8993*F8993,"")</f>
        <v/>
      </c>
      <c r="H8993" s="35"/>
      <c r="I8993" s="36"/>
      <c r="J8993" s="37">
        <v>0</v>
      </c>
    </row>
    <row r="8994" spans="1:10" hidden="1" x14ac:dyDescent="0.25">
      <c r="A8994" s="179"/>
      <c r="B8994" s="177"/>
      <c r="C8994" s="39"/>
      <c r="D8994" s="39"/>
      <c r="E8994" s="40"/>
      <c r="F8994" s="55" t="s">
        <v>13</v>
      </c>
      <c r="G8994" s="41" t="str">
        <f>IF(ISNUMBER(F8994),E8994*F8994,"")</f>
        <v/>
      </c>
      <c r="H8994" s="42"/>
      <c r="I8994" s="38"/>
      <c r="J8994" s="37">
        <v>0</v>
      </c>
    </row>
    <row r="8995" spans="1:10" hidden="1" x14ac:dyDescent="0.25">
      <c r="A8995" s="179"/>
      <c r="B8995" s="177"/>
      <c r="C8995" s="43" t="s">
        <v>10959</v>
      </c>
      <c r="D8995" s="43" t="s">
        <v>83</v>
      </c>
      <c r="E8995" s="44">
        <v>1</v>
      </c>
      <c r="F8995" s="38">
        <v>73.216499999999996</v>
      </c>
      <c r="G8995" s="41">
        <f>IF(ISNUMBER(F8995),E8995*F8995,"")</f>
        <v>73.216499999999996</v>
      </c>
      <c r="H8995" s="46">
        <f>SUM(G8995:G8995)</f>
        <v>73.216499999999996</v>
      </c>
      <c r="I8995" s="47"/>
      <c r="J8995" s="37">
        <v>0</v>
      </c>
    </row>
    <row r="8996" spans="1:10" ht="15.75" hidden="1" thickBot="1" x14ac:dyDescent="0.3">
      <c r="A8996" s="180"/>
      <c r="B8996" s="178"/>
      <c r="C8996" s="49"/>
      <c r="D8996" s="49"/>
      <c r="E8996" s="50"/>
      <c r="F8996" s="51"/>
      <c r="G8996" s="52" t="str">
        <f>IF(ISNUMBER(F8996),E8996*F8996,"")</f>
        <v/>
      </c>
      <c r="H8996" s="53"/>
      <c r="I8996" s="47"/>
      <c r="J8996" s="37">
        <v>0</v>
      </c>
    </row>
    <row r="8997" spans="1:10" ht="15.75" hidden="1" thickBot="1" x14ac:dyDescent="0.3">
      <c r="A8997" s="173" t="s">
        <v>2164</v>
      </c>
      <c r="B8997" s="176" t="s">
        <v>9183</v>
      </c>
      <c r="C8997" s="31"/>
      <c r="D8997" s="32" t="s">
        <v>18</v>
      </c>
      <c r="E8997" s="33"/>
      <c r="F8997" s="54" t="s">
        <v>13</v>
      </c>
      <c r="G8997" s="34" t="str">
        <f>IF(ISNUMBER(F8997),E8997*F8997,"")</f>
        <v/>
      </c>
      <c r="H8997" s="35"/>
      <c r="I8997" s="36"/>
      <c r="J8997" s="37">
        <v>0</v>
      </c>
    </row>
    <row r="8998" spans="1:10" hidden="1" x14ac:dyDescent="0.25">
      <c r="A8998" s="179"/>
      <c r="B8998" s="177"/>
      <c r="C8998" s="39"/>
      <c r="D8998" s="39"/>
      <c r="E8998" s="40"/>
      <c r="F8998" s="55" t="s">
        <v>13</v>
      </c>
      <c r="G8998" s="41" t="str">
        <f>IF(ISNUMBER(F8998),E8998*F8998,"")</f>
        <v/>
      </c>
      <c r="H8998" s="42"/>
      <c r="I8998" s="38"/>
      <c r="J8998" s="37">
        <v>0</v>
      </c>
    </row>
    <row r="8999" spans="1:10" hidden="1" x14ac:dyDescent="0.25">
      <c r="A8999" s="179"/>
      <c r="B8999" s="177"/>
      <c r="C8999" s="43" t="s">
        <v>10958</v>
      </c>
      <c r="D8999" s="43" t="s">
        <v>83</v>
      </c>
      <c r="E8999" s="44">
        <v>1</v>
      </c>
      <c r="F8999" s="38">
        <v>109.12649999999999</v>
      </c>
      <c r="G8999" s="41">
        <f>IF(ISNUMBER(F8999),E8999*F8999,"")</f>
        <v>109.12649999999999</v>
      </c>
      <c r="H8999" s="46">
        <f>SUM(G8999:G8999)</f>
        <v>109.12649999999999</v>
      </c>
      <c r="I8999" s="47"/>
      <c r="J8999" s="37">
        <v>0</v>
      </c>
    </row>
    <row r="9000" spans="1:10" ht="15.75" hidden="1" thickBot="1" x14ac:dyDescent="0.3">
      <c r="A9000" s="180"/>
      <c r="B9000" s="178"/>
      <c r="C9000" s="49"/>
      <c r="D9000" s="49"/>
      <c r="E9000" s="50"/>
      <c r="F9000" s="51"/>
      <c r="G9000" s="52" t="str">
        <f>IF(ISNUMBER(F9000),E9000*F9000,"")</f>
        <v/>
      </c>
      <c r="H9000" s="53"/>
      <c r="I9000" s="47"/>
      <c r="J9000" s="37">
        <v>0</v>
      </c>
    </row>
    <row r="9001" spans="1:10" ht="15.75" hidden="1" thickBot="1" x14ac:dyDescent="0.3">
      <c r="A9001" s="173" t="s">
        <v>2165</v>
      </c>
      <c r="B9001" s="176" t="s">
        <v>9184</v>
      </c>
      <c r="C9001" s="31"/>
      <c r="D9001" s="32" t="s">
        <v>18</v>
      </c>
      <c r="E9001" s="33"/>
      <c r="F9001" s="54" t="s">
        <v>13</v>
      </c>
      <c r="G9001" s="34" t="str">
        <f>IF(ISNUMBER(F9001),E9001*F9001,"")</f>
        <v/>
      </c>
      <c r="H9001" s="35"/>
      <c r="I9001" s="36"/>
      <c r="J9001" s="37">
        <v>0</v>
      </c>
    </row>
    <row r="9002" spans="1:10" hidden="1" x14ac:dyDescent="0.25">
      <c r="A9002" s="179"/>
      <c r="B9002" s="177"/>
      <c r="C9002" s="39"/>
      <c r="D9002" s="39"/>
      <c r="E9002" s="40"/>
      <c r="F9002" s="55" t="s">
        <v>13</v>
      </c>
      <c r="G9002" s="41" t="str">
        <f>IF(ISNUMBER(F9002),E9002*F9002,"")</f>
        <v/>
      </c>
      <c r="H9002" s="42"/>
      <c r="I9002" s="38"/>
      <c r="J9002" s="37">
        <v>0</v>
      </c>
    </row>
    <row r="9003" spans="1:10" hidden="1" x14ac:dyDescent="0.25">
      <c r="A9003" s="179"/>
      <c r="B9003" s="177"/>
      <c r="C9003" s="43" t="s">
        <v>10957</v>
      </c>
      <c r="D9003" s="43" t="s">
        <v>83</v>
      </c>
      <c r="E9003" s="44">
        <v>1</v>
      </c>
      <c r="F9003" s="38">
        <v>131.499</v>
      </c>
      <c r="G9003" s="41">
        <f>IF(ISNUMBER(F9003),E9003*F9003,"")</f>
        <v>131.499</v>
      </c>
      <c r="H9003" s="46">
        <f>SUM(G9003:G9003)</f>
        <v>131.499</v>
      </c>
      <c r="I9003" s="47"/>
      <c r="J9003" s="37">
        <v>0</v>
      </c>
    </row>
    <row r="9004" spans="1:10" ht="15.75" hidden="1" thickBot="1" x14ac:dyDescent="0.3">
      <c r="A9004" s="180"/>
      <c r="B9004" s="178"/>
      <c r="C9004" s="49"/>
      <c r="D9004" s="49"/>
      <c r="E9004" s="50"/>
      <c r="F9004" s="51"/>
      <c r="G9004" s="52" t="str">
        <f>IF(ISNUMBER(F9004),E9004*F9004,"")</f>
        <v/>
      </c>
      <c r="H9004" s="53"/>
      <c r="I9004" s="47"/>
      <c r="J9004" s="37">
        <v>0</v>
      </c>
    </row>
    <row r="9005" spans="1:10" ht="15.75" hidden="1" thickBot="1" x14ac:dyDescent="0.3">
      <c r="A9005" s="173" t="s">
        <v>2166</v>
      </c>
      <c r="B9005" s="176" t="s">
        <v>2167</v>
      </c>
      <c r="C9005" s="31"/>
      <c r="D9005" s="32" t="s">
        <v>18</v>
      </c>
      <c r="E9005" s="33"/>
      <c r="F9005" s="54" t="s">
        <v>13</v>
      </c>
      <c r="G9005" s="34" t="str">
        <f>IF(ISNUMBER(F9005),E9005*F9005,"")</f>
        <v/>
      </c>
      <c r="H9005" s="35"/>
      <c r="I9005" s="36"/>
      <c r="J9005" s="37">
        <v>0</v>
      </c>
    </row>
    <row r="9006" spans="1:10" hidden="1" x14ac:dyDescent="0.25">
      <c r="A9006" s="174"/>
      <c r="B9006" s="177"/>
      <c r="C9006" s="39"/>
      <c r="D9006" s="39"/>
      <c r="E9006" s="40"/>
      <c r="F9006" s="55" t="s">
        <v>13</v>
      </c>
      <c r="G9006" s="38" t="str">
        <f>IF(ISNUMBER(F9006),E9006*F9006,"")</f>
        <v/>
      </c>
      <c r="H9006" s="42"/>
      <c r="I9006" s="38"/>
      <c r="J9006" s="37">
        <v>0</v>
      </c>
    </row>
    <row r="9007" spans="1:10" hidden="1" x14ac:dyDescent="0.25">
      <c r="A9007" s="174"/>
      <c r="B9007" s="177"/>
      <c r="C9007" s="43" t="s">
        <v>10907</v>
      </c>
      <c r="D9007" s="43" t="s">
        <v>83</v>
      </c>
      <c r="E9007" s="44">
        <v>4.5199999999999997E-2</v>
      </c>
      <c r="F9007" s="38">
        <v>14.715499999999999</v>
      </c>
      <c r="G9007" s="41">
        <f>IF(ISNUMBER(F9007),E9007*F9007,"")</f>
        <v>0.66514059999999986</v>
      </c>
      <c r="H9007" s="46">
        <f>SUM(G9007:G9010)</f>
        <v>39.939518100000001</v>
      </c>
      <c r="I9007" s="47"/>
      <c r="J9007" s="37">
        <v>0</v>
      </c>
    </row>
    <row r="9008" spans="1:10" hidden="1" x14ac:dyDescent="0.25">
      <c r="A9008" s="174"/>
      <c r="B9008" s="177"/>
      <c r="C9008" s="43" t="s">
        <v>2167</v>
      </c>
      <c r="D9008" s="43" t="s">
        <v>18</v>
      </c>
      <c r="E9008" s="44">
        <v>1</v>
      </c>
      <c r="F9008" s="38" t="s">
        <v>13</v>
      </c>
      <c r="G9008" s="41" t="str">
        <f>IF(ISNUMBER(F9008),E9008*F9008,"")</f>
        <v/>
      </c>
      <c r="H9008" s="42"/>
      <c r="I9008" s="38"/>
      <c r="J9008" s="37">
        <v>0</v>
      </c>
    </row>
    <row r="9009" spans="1:10" ht="25.5" hidden="1" x14ac:dyDescent="0.25">
      <c r="A9009" s="174"/>
      <c r="B9009" s="177"/>
      <c r="C9009" s="43" t="s">
        <v>10753</v>
      </c>
      <c r="D9009" s="43" t="s">
        <v>2800</v>
      </c>
      <c r="E9009" s="44">
        <v>0.72250000000000003</v>
      </c>
      <c r="F9009" s="41">
        <v>23.997</v>
      </c>
      <c r="G9009" s="41">
        <f>IF(ISNUMBER(F9009),E9009*F9009,"")</f>
        <v>17.337832500000001</v>
      </c>
      <c r="H9009" s="42"/>
      <c r="I9009" s="38"/>
      <c r="J9009" s="37">
        <v>0</v>
      </c>
    </row>
    <row r="9010" spans="1:10" ht="25.5" hidden="1" x14ac:dyDescent="0.25">
      <c r="A9010" s="174"/>
      <c r="B9010" s="177"/>
      <c r="C9010" s="43" t="s">
        <v>10754</v>
      </c>
      <c r="D9010" s="43" t="s">
        <v>2800</v>
      </c>
      <c r="E9010" s="44">
        <v>0.72250000000000003</v>
      </c>
      <c r="F9010" s="41">
        <v>30.361999999999998</v>
      </c>
      <c r="G9010" s="41">
        <f>IF(ISNUMBER(F9010),E9010*F9010,"")</f>
        <v>21.936544999999999</v>
      </c>
      <c r="H9010" s="42"/>
      <c r="I9010" s="38"/>
      <c r="J9010" s="37">
        <v>0</v>
      </c>
    </row>
    <row r="9011" spans="1:10" ht="15.75" hidden="1" thickBot="1" x14ac:dyDescent="0.3">
      <c r="A9011" s="175"/>
      <c r="B9011" s="178"/>
      <c r="C9011" s="49"/>
      <c r="D9011" s="49"/>
      <c r="E9011" s="50"/>
      <c r="F9011" s="51" t="s">
        <v>13</v>
      </c>
      <c r="G9011" s="51" t="str">
        <f>IF(ISNUMBER(F9011),E9011*F9011,"")</f>
        <v/>
      </c>
      <c r="H9011" s="53"/>
      <c r="I9011" s="38"/>
      <c r="J9011" s="37">
        <v>0</v>
      </c>
    </row>
    <row r="9012" spans="1:10" ht="15.75" hidden="1" thickBot="1" x14ac:dyDescent="0.3">
      <c r="A9012" s="173" t="s">
        <v>2168</v>
      </c>
      <c r="B9012" s="176" t="s">
        <v>9293</v>
      </c>
      <c r="C9012" s="31"/>
      <c r="D9012" s="32" t="s">
        <v>106</v>
      </c>
      <c r="E9012" s="33"/>
      <c r="F9012" s="54" t="s">
        <v>13</v>
      </c>
      <c r="G9012" s="34" t="str">
        <f>IF(ISNUMBER(F9012),E9012*F9012,"")</f>
        <v/>
      </c>
      <c r="H9012" s="35"/>
      <c r="I9012" s="36"/>
      <c r="J9012" s="37">
        <v>0</v>
      </c>
    </row>
    <row r="9013" spans="1:10" hidden="1" x14ac:dyDescent="0.25">
      <c r="A9013" s="179"/>
      <c r="B9013" s="177"/>
      <c r="C9013" s="39"/>
      <c r="D9013" s="39"/>
      <c r="E9013" s="40"/>
      <c r="F9013" s="55" t="s">
        <v>13</v>
      </c>
      <c r="G9013" s="41" t="str">
        <f>IF(ISNUMBER(F9013),E9013*F9013,"")</f>
        <v/>
      </c>
      <c r="H9013" s="42"/>
      <c r="I9013" s="38"/>
      <c r="J9013" s="37">
        <v>0</v>
      </c>
    </row>
    <row r="9014" spans="1:10" ht="25.5" hidden="1" x14ac:dyDescent="0.25">
      <c r="A9014" s="179"/>
      <c r="B9014" s="177"/>
      <c r="C9014" s="43" t="s">
        <v>11647</v>
      </c>
      <c r="D9014" s="43" t="s">
        <v>1302</v>
      </c>
      <c r="E9014" s="44">
        <v>1</v>
      </c>
      <c r="F9014" s="38">
        <v>39.576999999999998</v>
      </c>
      <c r="G9014" s="41">
        <f>IF(ISNUMBER(F9014),E9014*F9014,"")</f>
        <v>39.576999999999998</v>
      </c>
      <c r="H9014" s="46">
        <f>SUM(G9014:G9014)</f>
        <v>39.576999999999998</v>
      </c>
      <c r="I9014" s="47"/>
      <c r="J9014" s="37">
        <v>0</v>
      </c>
    </row>
    <row r="9015" spans="1:10" ht="15.75" hidden="1" thickBot="1" x14ac:dyDescent="0.3">
      <c r="A9015" s="180"/>
      <c r="B9015" s="178"/>
      <c r="C9015" s="49"/>
      <c r="D9015" s="49"/>
      <c r="E9015" s="50"/>
      <c r="F9015" s="51"/>
      <c r="G9015" s="52" t="str">
        <f>IF(ISNUMBER(F9015),E9015*F9015,"")</f>
        <v/>
      </c>
      <c r="H9015" s="53"/>
      <c r="I9015" s="47"/>
      <c r="J9015" s="37">
        <v>0</v>
      </c>
    </row>
    <row r="9016" spans="1:10" ht="15.75" hidden="1" thickBot="1" x14ac:dyDescent="0.3">
      <c r="A9016" s="173" t="s">
        <v>2169</v>
      </c>
      <c r="B9016" s="176" t="s">
        <v>9294</v>
      </c>
      <c r="C9016" s="31"/>
      <c r="D9016" s="32" t="s">
        <v>18</v>
      </c>
      <c r="E9016" s="33"/>
      <c r="F9016" s="54" t="s">
        <v>13</v>
      </c>
      <c r="G9016" s="34" t="str">
        <f>IF(ISNUMBER(F9016),E9016*F9016,"")</f>
        <v/>
      </c>
      <c r="H9016" s="35"/>
      <c r="I9016" s="36"/>
      <c r="J9016" s="37">
        <v>0</v>
      </c>
    </row>
    <row r="9017" spans="1:10" hidden="1" x14ac:dyDescent="0.25">
      <c r="A9017" s="179"/>
      <c r="B9017" s="177"/>
      <c r="C9017" s="39"/>
      <c r="D9017" s="39"/>
      <c r="E9017" s="40"/>
      <c r="F9017" s="55" t="s">
        <v>13</v>
      </c>
      <c r="G9017" s="41" t="str">
        <f>IF(ISNUMBER(F9017),E9017*F9017,"")</f>
        <v/>
      </c>
      <c r="H9017" s="42"/>
      <c r="I9017" s="38"/>
      <c r="J9017" s="37">
        <v>0</v>
      </c>
    </row>
    <row r="9018" spans="1:10" ht="25.5" hidden="1" x14ac:dyDescent="0.25">
      <c r="A9018" s="179"/>
      <c r="B9018" s="177"/>
      <c r="C9018" s="43" t="s">
        <v>11648</v>
      </c>
      <c r="D9018" s="43" t="s">
        <v>83</v>
      </c>
      <c r="E9018" s="44">
        <v>1</v>
      </c>
      <c r="F9018" s="38">
        <v>9.5949999999999989</v>
      </c>
      <c r="G9018" s="41">
        <f>IF(ISNUMBER(F9018),E9018*F9018,"")</f>
        <v>9.5949999999999989</v>
      </c>
      <c r="H9018" s="46">
        <f>SUM(G9018:G9018)</f>
        <v>9.5949999999999989</v>
      </c>
      <c r="I9018" s="47"/>
      <c r="J9018" s="37">
        <v>0</v>
      </c>
    </row>
    <row r="9019" spans="1:10" ht="15.75" hidden="1" thickBot="1" x14ac:dyDescent="0.3">
      <c r="A9019" s="180"/>
      <c r="B9019" s="178"/>
      <c r="C9019" s="49"/>
      <c r="D9019" s="49"/>
      <c r="E9019" s="50"/>
      <c r="F9019" s="51"/>
      <c r="G9019" s="52" t="str">
        <f>IF(ISNUMBER(F9019),E9019*F9019,"")</f>
        <v/>
      </c>
      <c r="H9019" s="53"/>
      <c r="I9019" s="47"/>
      <c r="J9019" s="37">
        <v>0</v>
      </c>
    </row>
    <row r="9020" spans="1:10" ht="15.75" hidden="1" thickBot="1" x14ac:dyDescent="0.3">
      <c r="A9020" s="173" t="s">
        <v>2170</v>
      </c>
      <c r="B9020" s="176" t="s">
        <v>9295</v>
      </c>
      <c r="C9020" s="31"/>
      <c r="D9020" s="32" t="s">
        <v>18</v>
      </c>
      <c r="E9020" s="33"/>
      <c r="F9020" s="54" t="s">
        <v>13</v>
      </c>
      <c r="G9020" s="34" t="str">
        <f>IF(ISNUMBER(F9020),E9020*F9020,"")</f>
        <v/>
      </c>
      <c r="H9020" s="35"/>
      <c r="I9020" s="36"/>
      <c r="J9020" s="37">
        <v>0</v>
      </c>
    </row>
    <row r="9021" spans="1:10" hidden="1" x14ac:dyDescent="0.25">
      <c r="A9021" s="179"/>
      <c r="B9021" s="177"/>
      <c r="C9021" s="39"/>
      <c r="D9021" s="39"/>
      <c r="E9021" s="40"/>
      <c r="F9021" s="55" t="s">
        <v>13</v>
      </c>
      <c r="G9021" s="41" t="str">
        <f>IF(ISNUMBER(F9021),E9021*F9021,"")</f>
        <v/>
      </c>
      <c r="H9021" s="42"/>
      <c r="I9021" s="38"/>
      <c r="J9021" s="37">
        <v>0</v>
      </c>
    </row>
    <row r="9022" spans="1:10" ht="25.5" hidden="1" x14ac:dyDescent="0.25">
      <c r="A9022" s="179"/>
      <c r="B9022" s="177"/>
      <c r="C9022" s="43" t="s">
        <v>11649</v>
      </c>
      <c r="D9022" s="43" t="s">
        <v>83</v>
      </c>
      <c r="E9022" s="44">
        <v>1</v>
      </c>
      <c r="F9022" s="38">
        <v>24.044499999999999</v>
      </c>
      <c r="G9022" s="41">
        <f>IF(ISNUMBER(F9022),E9022*F9022,"")</f>
        <v>24.044499999999999</v>
      </c>
      <c r="H9022" s="46">
        <f>SUM(G9022:G9022)</f>
        <v>24.044499999999999</v>
      </c>
      <c r="I9022" s="47"/>
      <c r="J9022" s="37">
        <v>0</v>
      </c>
    </row>
    <row r="9023" spans="1:10" ht="15.75" hidden="1" thickBot="1" x14ac:dyDescent="0.3">
      <c r="A9023" s="180"/>
      <c r="B9023" s="178"/>
      <c r="C9023" s="49"/>
      <c r="D9023" s="49"/>
      <c r="E9023" s="50"/>
      <c r="F9023" s="51"/>
      <c r="G9023" s="52" t="str">
        <f>IF(ISNUMBER(F9023),E9023*F9023,"")</f>
        <v/>
      </c>
      <c r="H9023" s="53"/>
      <c r="I9023" s="47"/>
      <c r="J9023" s="37">
        <v>0</v>
      </c>
    </row>
    <row r="9024" spans="1:10" ht="15.75" hidden="1" thickBot="1" x14ac:dyDescent="0.3">
      <c r="A9024" s="173" t="s">
        <v>2171</v>
      </c>
      <c r="B9024" s="176" t="s">
        <v>9296</v>
      </c>
      <c r="C9024" s="31"/>
      <c r="D9024" s="32" t="s">
        <v>18</v>
      </c>
      <c r="E9024" s="33"/>
      <c r="F9024" s="54" t="s">
        <v>13</v>
      </c>
      <c r="G9024" s="34" t="str">
        <f>IF(ISNUMBER(F9024),E9024*F9024,"")</f>
        <v/>
      </c>
      <c r="H9024" s="35"/>
      <c r="I9024" s="36"/>
      <c r="J9024" s="37">
        <v>0</v>
      </c>
    </row>
    <row r="9025" spans="1:10" hidden="1" x14ac:dyDescent="0.25">
      <c r="A9025" s="179"/>
      <c r="B9025" s="177"/>
      <c r="C9025" s="39"/>
      <c r="D9025" s="39"/>
      <c r="E9025" s="40"/>
      <c r="F9025" s="55" t="s">
        <v>13</v>
      </c>
      <c r="G9025" s="41" t="str">
        <f>IF(ISNUMBER(F9025),E9025*F9025,"")</f>
        <v/>
      </c>
      <c r="H9025" s="42"/>
      <c r="I9025" s="38"/>
      <c r="J9025" s="37">
        <v>0</v>
      </c>
    </row>
    <row r="9026" spans="1:10" hidden="1" x14ac:dyDescent="0.25">
      <c r="A9026" s="179"/>
      <c r="B9026" s="177"/>
      <c r="C9026" s="43" t="s">
        <v>11650</v>
      </c>
      <c r="D9026" s="43" t="s">
        <v>83</v>
      </c>
      <c r="E9026" s="44">
        <v>1</v>
      </c>
      <c r="F9026" s="38">
        <v>5.5954999999999995</v>
      </c>
      <c r="G9026" s="41">
        <f>IF(ISNUMBER(F9026),E9026*F9026,"")</f>
        <v>5.5954999999999995</v>
      </c>
      <c r="H9026" s="46">
        <f>SUM(G9026:G9026)</f>
        <v>5.5954999999999995</v>
      </c>
      <c r="I9026" s="47"/>
      <c r="J9026" s="37">
        <v>0</v>
      </c>
    </row>
    <row r="9027" spans="1:10" ht="15.75" hidden="1" thickBot="1" x14ac:dyDescent="0.3">
      <c r="A9027" s="180"/>
      <c r="B9027" s="178"/>
      <c r="C9027" s="49"/>
      <c r="D9027" s="49"/>
      <c r="E9027" s="50"/>
      <c r="F9027" s="51"/>
      <c r="G9027" s="52" t="str">
        <f>IF(ISNUMBER(F9027),E9027*F9027,"")</f>
        <v/>
      </c>
      <c r="H9027" s="53"/>
      <c r="I9027" s="47"/>
      <c r="J9027" s="37">
        <v>0</v>
      </c>
    </row>
    <row r="9028" spans="1:10" ht="15.75" hidden="1" thickBot="1" x14ac:dyDescent="0.3">
      <c r="A9028" s="173" t="s">
        <v>2172</v>
      </c>
      <c r="B9028" s="176" t="s">
        <v>9297</v>
      </c>
      <c r="C9028" s="31"/>
      <c r="D9028" s="32" t="s">
        <v>18</v>
      </c>
      <c r="E9028" s="33"/>
      <c r="F9028" s="54" t="s">
        <v>13</v>
      </c>
      <c r="G9028" s="34" t="str">
        <f>IF(ISNUMBER(F9028),E9028*F9028,"")</f>
        <v/>
      </c>
      <c r="H9028" s="35"/>
      <c r="I9028" s="36"/>
      <c r="J9028" s="37">
        <v>0</v>
      </c>
    </row>
    <row r="9029" spans="1:10" hidden="1" x14ac:dyDescent="0.25">
      <c r="A9029" s="179"/>
      <c r="B9029" s="177"/>
      <c r="C9029" s="39"/>
      <c r="D9029" s="39"/>
      <c r="E9029" s="40"/>
      <c r="F9029" s="55" t="s">
        <v>13</v>
      </c>
      <c r="G9029" s="41" t="str">
        <f>IF(ISNUMBER(F9029),E9029*F9029,"")</f>
        <v/>
      </c>
      <c r="H9029" s="42"/>
      <c r="I9029" s="38"/>
      <c r="J9029" s="37">
        <v>0</v>
      </c>
    </row>
    <row r="9030" spans="1:10" hidden="1" x14ac:dyDescent="0.25">
      <c r="A9030" s="179"/>
      <c r="B9030" s="177"/>
      <c r="C9030" s="43" t="s">
        <v>11651</v>
      </c>
      <c r="D9030" s="43" t="s">
        <v>83</v>
      </c>
      <c r="E9030" s="44">
        <v>1</v>
      </c>
      <c r="F9030" s="38">
        <v>5.9944999999999995</v>
      </c>
      <c r="G9030" s="41">
        <f>IF(ISNUMBER(F9030),E9030*F9030,"")</f>
        <v>5.9944999999999995</v>
      </c>
      <c r="H9030" s="46">
        <f>SUM(G9030:G9030)</f>
        <v>5.9944999999999995</v>
      </c>
      <c r="I9030" s="47"/>
      <c r="J9030" s="37">
        <v>0</v>
      </c>
    </row>
    <row r="9031" spans="1:10" ht="15.75" hidden="1" thickBot="1" x14ac:dyDescent="0.3">
      <c r="A9031" s="180"/>
      <c r="B9031" s="178"/>
      <c r="C9031" s="49"/>
      <c r="D9031" s="49"/>
      <c r="E9031" s="50"/>
      <c r="F9031" s="51"/>
      <c r="G9031" s="52" t="str">
        <f>IF(ISNUMBER(F9031),E9031*F9031,"")</f>
        <v/>
      </c>
      <c r="H9031" s="53"/>
      <c r="I9031" s="47"/>
      <c r="J9031" s="37">
        <v>0</v>
      </c>
    </row>
    <row r="9032" spans="1:10" ht="15.75" hidden="1" thickBot="1" x14ac:dyDescent="0.3">
      <c r="A9032" s="173" t="s">
        <v>2173</v>
      </c>
      <c r="B9032" s="176" t="s">
        <v>9298</v>
      </c>
      <c r="C9032" s="31"/>
      <c r="D9032" s="32" t="s">
        <v>18</v>
      </c>
      <c r="E9032" s="33"/>
      <c r="F9032" s="54" t="s">
        <v>13</v>
      </c>
      <c r="G9032" s="34" t="str">
        <f>IF(ISNUMBER(F9032),E9032*F9032,"")</f>
        <v/>
      </c>
      <c r="H9032" s="35"/>
      <c r="I9032" s="36"/>
      <c r="J9032" s="37">
        <v>0</v>
      </c>
    </row>
    <row r="9033" spans="1:10" hidden="1" x14ac:dyDescent="0.25">
      <c r="A9033" s="179"/>
      <c r="B9033" s="177"/>
      <c r="C9033" s="39"/>
      <c r="D9033" s="39"/>
      <c r="E9033" s="40"/>
      <c r="F9033" s="55" t="s">
        <v>13</v>
      </c>
      <c r="G9033" s="41" t="str">
        <f>IF(ISNUMBER(F9033),E9033*F9033,"")</f>
        <v/>
      </c>
      <c r="H9033" s="42"/>
      <c r="I9033" s="38"/>
      <c r="J9033" s="37">
        <v>0</v>
      </c>
    </row>
    <row r="9034" spans="1:10" ht="25.5" hidden="1" x14ac:dyDescent="0.25">
      <c r="A9034" s="179"/>
      <c r="B9034" s="177"/>
      <c r="C9034" s="43" t="s">
        <v>11652</v>
      </c>
      <c r="D9034" s="43" t="s">
        <v>83</v>
      </c>
      <c r="E9034" s="44">
        <v>1</v>
      </c>
      <c r="F9034" s="38">
        <v>5.3484999999999996</v>
      </c>
      <c r="G9034" s="41">
        <f>IF(ISNUMBER(F9034),E9034*F9034,"")</f>
        <v>5.3484999999999996</v>
      </c>
      <c r="H9034" s="46">
        <f>SUM(G9034:G9034)</f>
        <v>5.3484999999999996</v>
      </c>
      <c r="I9034" s="47"/>
      <c r="J9034" s="37">
        <v>0</v>
      </c>
    </row>
    <row r="9035" spans="1:10" ht="15.75" hidden="1" thickBot="1" x14ac:dyDescent="0.3">
      <c r="A9035" s="180"/>
      <c r="B9035" s="178"/>
      <c r="C9035" s="49"/>
      <c r="D9035" s="49"/>
      <c r="E9035" s="50"/>
      <c r="F9035" s="51"/>
      <c r="G9035" s="52" t="str">
        <f>IF(ISNUMBER(F9035),E9035*F9035,"")</f>
        <v/>
      </c>
      <c r="H9035" s="53"/>
      <c r="I9035" s="47"/>
      <c r="J9035" s="37">
        <v>0</v>
      </c>
    </row>
    <row r="9036" spans="1:10" ht="15.75" hidden="1" thickBot="1" x14ac:dyDescent="0.3">
      <c r="A9036" s="173" t="s">
        <v>2174</v>
      </c>
      <c r="B9036" s="176" t="s">
        <v>9299</v>
      </c>
      <c r="C9036" s="31"/>
      <c r="D9036" s="32" t="s">
        <v>18</v>
      </c>
      <c r="E9036" s="33"/>
      <c r="F9036" s="54" t="s">
        <v>13</v>
      </c>
      <c r="G9036" s="34" t="str">
        <f>IF(ISNUMBER(F9036),E9036*F9036,"")</f>
        <v/>
      </c>
      <c r="H9036" s="35"/>
      <c r="I9036" s="36"/>
      <c r="J9036" s="37">
        <v>0</v>
      </c>
    </row>
    <row r="9037" spans="1:10" hidden="1" x14ac:dyDescent="0.25">
      <c r="A9037" s="179"/>
      <c r="B9037" s="177"/>
      <c r="C9037" s="39"/>
      <c r="D9037" s="39"/>
      <c r="E9037" s="40"/>
      <c r="F9037" s="55" t="s">
        <v>13</v>
      </c>
      <c r="G9037" s="41" t="str">
        <f>IF(ISNUMBER(F9037),E9037*F9037,"")</f>
        <v/>
      </c>
      <c r="H9037" s="42"/>
      <c r="I9037" s="38"/>
      <c r="J9037" s="37">
        <v>0</v>
      </c>
    </row>
    <row r="9038" spans="1:10" hidden="1" x14ac:dyDescent="0.25">
      <c r="A9038" s="179"/>
      <c r="B9038" s="177"/>
      <c r="C9038" s="43" t="s">
        <v>11456</v>
      </c>
      <c r="D9038" s="43" t="s">
        <v>83</v>
      </c>
      <c r="E9038" s="44">
        <v>1</v>
      </c>
      <c r="F9038" s="38">
        <v>9.3290000000000006</v>
      </c>
      <c r="G9038" s="41">
        <f>IF(ISNUMBER(F9038),E9038*F9038,"")</f>
        <v>9.3290000000000006</v>
      </c>
      <c r="H9038" s="46">
        <f>SUM(G9038:G9038)</f>
        <v>9.3290000000000006</v>
      </c>
      <c r="I9038" s="47"/>
      <c r="J9038" s="37">
        <v>0</v>
      </c>
    </row>
    <row r="9039" spans="1:10" ht="15.75" hidden="1" thickBot="1" x14ac:dyDescent="0.3">
      <c r="A9039" s="180"/>
      <c r="B9039" s="178"/>
      <c r="C9039" s="49"/>
      <c r="D9039" s="49"/>
      <c r="E9039" s="50"/>
      <c r="F9039" s="51"/>
      <c r="G9039" s="52" t="str">
        <f>IF(ISNUMBER(F9039),E9039*F9039,"")</f>
        <v/>
      </c>
      <c r="H9039" s="53"/>
      <c r="I9039" s="47"/>
      <c r="J9039" s="37">
        <v>0</v>
      </c>
    </row>
    <row r="9040" spans="1:10" ht="15.75" hidden="1" thickBot="1" x14ac:dyDescent="0.3">
      <c r="A9040" s="173" t="s">
        <v>2175</v>
      </c>
      <c r="B9040" s="176" t="s">
        <v>9300</v>
      </c>
      <c r="C9040" s="31"/>
      <c r="D9040" s="32" t="s">
        <v>18</v>
      </c>
      <c r="E9040" s="33"/>
      <c r="F9040" s="54" t="s">
        <v>13</v>
      </c>
      <c r="G9040" s="34" t="str">
        <f>IF(ISNUMBER(F9040),E9040*F9040,"")</f>
        <v/>
      </c>
      <c r="H9040" s="35"/>
      <c r="I9040" s="36"/>
      <c r="J9040" s="37">
        <v>0</v>
      </c>
    </row>
    <row r="9041" spans="1:10" hidden="1" x14ac:dyDescent="0.25">
      <c r="A9041" s="179"/>
      <c r="B9041" s="177"/>
      <c r="C9041" s="39"/>
      <c r="D9041" s="39"/>
      <c r="E9041" s="40"/>
      <c r="F9041" s="55" t="s">
        <v>13</v>
      </c>
      <c r="G9041" s="41" t="str">
        <f>IF(ISNUMBER(F9041),E9041*F9041,"")</f>
        <v/>
      </c>
      <c r="H9041" s="42"/>
      <c r="I9041" s="38"/>
      <c r="J9041" s="37">
        <v>0</v>
      </c>
    </row>
    <row r="9042" spans="1:10" hidden="1" x14ac:dyDescent="0.25">
      <c r="A9042" s="179"/>
      <c r="B9042" s="177"/>
      <c r="C9042" s="43" t="s">
        <v>11090</v>
      </c>
      <c r="D9042" s="43" t="s">
        <v>83</v>
      </c>
      <c r="E9042" s="44">
        <v>1</v>
      </c>
      <c r="F9042" s="38">
        <v>4.0754999999999999</v>
      </c>
      <c r="G9042" s="41">
        <f>IF(ISNUMBER(F9042),E9042*F9042,"")</f>
        <v>4.0754999999999999</v>
      </c>
      <c r="H9042" s="46">
        <f>SUM(G9042:G9042)</f>
        <v>4.0754999999999999</v>
      </c>
      <c r="I9042" s="47"/>
      <c r="J9042" s="37">
        <v>0</v>
      </c>
    </row>
    <row r="9043" spans="1:10" ht="15.75" hidden="1" thickBot="1" x14ac:dyDescent="0.3">
      <c r="A9043" s="180"/>
      <c r="B9043" s="178"/>
      <c r="C9043" s="49"/>
      <c r="D9043" s="49"/>
      <c r="E9043" s="50"/>
      <c r="F9043" s="51"/>
      <c r="G9043" s="52" t="str">
        <f>IF(ISNUMBER(F9043),E9043*F9043,"")</f>
        <v/>
      </c>
      <c r="H9043" s="53"/>
      <c r="I9043" s="47"/>
      <c r="J9043" s="37">
        <v>0</v>
      </c>
    </row>
    <row r="9044" spans="1:10" ht="15.75" hidden="1" thickBot="1" x14ac:dyDescent="0.3">
      <c r="A9044" s="173" t="s">
        <v>2176</v>
      </c>
      <c r="B9044" s="176" t="s">
        <v>9303</v>
      </c>
      <c r="C9044" s="31"/>
      <c r="D9044" s="32" t="s">
        <v>106</v>
      </c>
      <c r="E9044" s="33"/>
      <c r="F9044" s="54" t="s">
        <v>13</v>
      </c>
      <c r="G9044" s="34" t="str">
        <f>IF(ISNUMBER(F9044),E9044*F9044,"")</f>
        <v/>
      </c>
      <c r="H9044" s="35"/>
      <c r="I9044" s="36"/>
      <c r="J9044" s="37">
        <v>0</v>
      </c>
    </row>
    <row r="9045" spans="1:10" hidden="1" x14ac:dyDescent="0.25">
      <c r="A9045" s="179"/>
      <c r="B9045" s="177"/>
      <c r="C9045" s="39"/>
      <c r="D9045" s="39"/>
      <c r="E9045" s="40"/>
      <c r="F9045" s="55" t="s">
        <v>13</v>
      </c>
      <c r="G9045" s="41" t="str">
        <f>IF(ISNUMBER(F9045),E9045*F9045,"")</f>
        <v/>
      </c>
      <c r="H9045" s="42"/>
      <c r="I9045" s="38"/>
      <c r="J9045" s="37">
        <v>0</v>
      </c>
    </row>
    <row r="9046" spans="1:10" ht="25.5" hidden="1" x14ac:dyDescent="0.25">
      <c r="A9046" s="179"/>
      <c r="B9046" s="177"/>
      <c r="C9046" s="43" t="s">
        <v>10964</v>
      </c>
      <c r="D9046" s="43" t="s">
        <v>1302</v>
      </c>
      <c r="E9046" s="44">
        <v>1</v>
      </c>
      <c r="F9046" s="38">
        <v>53.997999999999998</v>
      </c>
      <c r="G9046" s="41">
        <f>IF(ISNUMBER(F9046),E9046*F9046,"")</f>
        <v>53.997999999999998</v>
      </c>
      <c r="H9046" s="46">
        <f>SUM(G9046:G9046)</f>
        <v>53.997999999999998</v>
      </c>
      <c r="I9046" s="47"/>
      <c r="J9046" s="37">
        <v>0</v>
      </c>
    </row>
    <row r="9047" spans="1:10" ht="15.75" hidden="1" thickBot="1" x14ac:dyDescent="0.3">
      <c r="A9047" s="180"/>
      <c r="B9047" s="178"/>
      <c r="C9047" s="49"/>
      <c r="D9047" s="49"/>
      <c r="E9047" s="50"/>
      <c r="F9047" s="51"/>
      <c r="G9047" s="52" t="str">
        <f>IF(ISNUMBER(F9047),E9047*F9047,"")</f>
        <v/>
      </c>
      <c r="H9047" s="53"/>
      <c r="I9047" s="47"/>
      <c r="J9047" s="37">
        <v>0</v>
      </c>
    </row>
    <row r="9048" spans="1:10" ht="15.75" hidden="1" thickBot="1" x14ac:dyDescent="0.3">
      <c r="A9048" s="173" t="s">
        <v>2177</v>
      </c>
      <c r="B9048" s="176" t="s">
        <v>9304</v>
      </c>
      <c r="C9048" s="31"/>
      <c r="D9048" s="32" t="s">
        <v>18</v>
      </c>
      <c r="E9048" s="33"/>
      <c r="F9048" s="54" t="s">
        <v>13</v>
      </c>
      <c r="G9048" s="34" t="str">
        <f>IF(ISNUMBER(F9048),E9048*F9048,"")</f>
        <v/>
      </c>
      <c r="H9048" s="35"/>
      <c r="I9048" s="36"/>
      <c r="J9048" s="37">
        <v>0</v>
      </c>
    </row>
    <row r="9049" spans="1:10" hidden="1" x14ac:dyDescent="0.25">
      <c r="A9049" s="179"/>
      <c r="B9049" s="177"/>
      <c r="C9049" s="39"/>
      <c r="D9049" s="39"/>
      <c r="E9049" s="40"/>
      <c r="F9049" s="55" t="s">
        <v>13</v>
      </c>
      <c r="G9049" s="41" t="str">
        <f>IF(ISNUMBER(F9049),E9049*F9049,"")</f>
        <v/>
      </c>
      <c r="H9049" s="42"/>
      <c r="I9049" s="38"/>
      <c r="J9049" s="37">
        <v>0</v>
      </c>
    </row>
    <row r="9050" spans="1:10" ht="25.5" hidden="1" x14ac:dyDescent="0.25">
      <c r="A9050" s="179"/>
      <c r="B9050" s="177"/>
      <c r="C9050" s="43" t="s">
        <v>11653</v>
      </c>
      <c r="D9050" s="43" t="s">
        <v>83</v>
      </c>
      <c r="E9050" s="44">
        <v>1</v>
      </c>
      <c r="F9050" s="38">
        <v>11.4855</v>
      </c>
      <c r="G9050" s="41">
        <f>IF(ISNUMBER(F9050),E9050*F9050,"")</f>
        <v>11.4855</v>
      </c>
      <c r="H9050" s="46">
        <f>SUM(G9050:G9050)</f>
        <v>11.4855</v>
      </c>
      <c r="I9050" s="47"/>
      <c r="J9050" s="37">
        <v>0</v>
      </c>
    </row>
    <row r="9051" spans="1:10" ht="15.75" hidden="1" thickBot="1" x14ac:dyDescent="0.3">
      <c r="A9051" s="180"/>
      <c r="B9051" s="178"/>
      <c r="C9051" s="49"/>
      <c r="D9051" s="49"/>
      <c r="E9051" s="50"/>
      <c r="F9051" s="51"/>
      <c r="G9051" s="52" t="str">
        <f>IF(ISNUMBER(F9051),E9051*F9051,"")</f>
        <v/>
      </c>
      <c r="H9051" s="53"/>
      <c r="I9051" s="47"/>
      <c r="J9051" s="37">
        <v>0</v>
      </c>
    </row>
    <row r="9052" spans="1:10" ht="15.75" hidden="1" thickBot="1" x14ac:dyDescent="0.3">
      <c r="A9052" s="173" t="s">
        <v>2178</v>
      </c>
      <c r="B9052" s="176" t="s">
        <v>9305</v>
      </c>
      <c r="C9052" s="31"/>
      <c r="D9052" s="32" t="s">
        <v>18</v>
      </c>
      <c r="E9052" s="33"/>
      <c r="F9052" s="54" t="s">
        <v>13</v>
      </c>
      <c r="G9052" s="34" t="str">
        <f>IF(ISNUMBER(F9052),E9052*F9052,"")</f>
        <v/>
      </c>
      <c r="H9052" s="35"/>
      <c r="I9052" s="36"/>
      <c r="J9052" s="37">
        <v>0</v>
      </c>
    </row>
    <row r="9053" spans="1:10" hidden="1" x14ac:dyDescent="0.25">
      <c r="A9053" s="179"/>
      <c r="B9053" s="177"/>
      <c r="C9053" s="39"/>
      <c r="D9053" s="39"/>
      <c r="E9053" s="40"/>
      <c r="F9053" s="55" t="s">
        <v>13</v>
      </c>
      <c r="G9053" s="41" t="str">
        <f>IF(ISNUMBER(F9053),E9053*F9053,"")</f>
        <v/>
      </c>
      <c r="H9053" s="42"/>
      <c r="I9053" s="38"/>
      <c r="J9053" s="37">
        <v>0</v>
      </c>
    </row>
    <row r="9054" spans="1:10" ht="25.5" hidden="1" x14ac:dyDescent="0.25">
      <c r="A9054" s="179"/>
      <c r="B9054" s="177"/>
      <c r="C9054" s="43" t="s">
        <v>11654</v>
      </c>
      <c r="D9054" s="43" t="s">
        <v>83</v>
      </c>
      <c r="E9054" s="44">
        <v>1</v>
      </c>
      <c r="F9054" s="38">
        <v>31.844000000000001</v>
      </c>
      <c r="G9054" s="41">
        <f>IF(ISNUMBER(F9054),E9054*F9054,"")</f>
        <v>31.844000000000001</v>
      </c>
      <c r="H9054" s="46">
        <f>SUM(G9054:G9054)</f>
        <v>31.844000000000001</v>
      </c>
      <c r="I9054" s="47"/>
      <c r="J9054" s="37">
        <v>0</v>
      </c>
    </row>
    <row r="9055" spans="1:10" ht="15.75" hidden="1" thickBot="1" x14ac:dyDescent="0.3">
      <c r="A9055" s="180"/>
      <c r="B9055" s="178"/>
      <c r="C9055" s="49"/>
      <c r="D9055" s="49"/>
      <c r="E9055" s="50"/>
      <c r="F9055" s="51"/>
      <c r="G9055" s="52" t="str">
        <f>IF(ISNUMBER(F9055),E9055*F9055,"")</f>
        <v/>
      </c>
      <c r="H9055" s="53"/>
      <c r="I9055" s="47"/>
      <c r="J9055" s="37">
        <v>0</v>
      </c>
    </row>
    <row r="9056" spans="1:10" ht="15.75" hidden="1" thickBot="1" x14ac:dyDescent="0.3">
      <c r="A9056" s="173" t="s">
        <v>2179</v>
      </c>
      <c r="B9056" s="176" t="s">
        <v>9306</v>
      </c>
      <c r="C9056" s="31"/>
      <c r="D9056" s="32" t="s">
        <v>18</v>
      </c>
      <c r="E9056" s="33"/>
      <c r="F9056" s="54" t="s">
        <v>13</v>
      </c>
      <c r="G9056" s="34" t="str">
        <f>IF(ISNUMBER(F9056),E9056*F9056,"")</f>
        <v/>
      </c>
      <c r="H9056" s="35"/>
      <c r="I9056" s="36"/>
      <c r="J9056" s="37">
        <v>0</v>
      </c>
    </row>
    <row r="9057" spans="1:10" hidden="1" x14ac:dyDescent="0.25">
      <c r="A9057" s="179"/>
      <c r="B9057" s="177"/>
      <c r="C9057" s="39"/>
      <c r="D9057" s="39"/>
      <c r="E9057" s="40"/>
      <c r="F9057" s="55" t="s">
        <v>13</v>
      </c>
      <c r="G9057" s="41" t="str">
        <f>IF(ISNUMBER(F9057),E9057*F9057,"")</f>
        <v/>
      </c>
      <c r="H9057" s="42"/>
      <c r="I9057" s="38"/>
      <c r="J9057" s="37">
        <v>0</v>
      </c>
    </row>
    <row r="9058" spans="1:10" hidden="1" x14ac:dyDescent="0.25">
      <c r="A9058" s="179"/>
      <c r="B9058" s="177"/>
      <c r="C9058" s="43" t="s">
        <v>11655</v>
      </c>
      <c r="D9058" s="43" t="s">
        <v>83</v>
      </c>
      <c r="E9058" s="44">
        <v>1</v>
      </c>
      <c r="F9058" s="38">
        <v>7.7519999999999998</v>
      </c>
      <c r="G9058" s="41">
        <f>IF(ISNUMBER(F9058),E9058*F9058,"")</f>
        <v>7.7519999999999998</v>
      </c>
      <c r="H9058" s="46">
        <f>SUM(G9058:G9058)</f>
        <v>7.7519999999999998</v>
      </c>
      <c r="I9058" s="47"/>
      <c r="J9058" s="37">
        <v>0</v>
      </c>
    </row>
    <row r="9059" spans="1:10" ht="15.75" hidden="1" thickBot="1" x14ac:dyDescent="0.3">
      <c r="A9059" s="180"/>
      <c r="B9059" s="178"/>
      <c r="C9059" s="49"/>
      <c r="D9059" s="49"/>
      <c r="E9059" s="50"/>
      <c r="F9059" s="51"/>
      <c r="G9059" s="52" t="str">
        <f>IF(ISNUMBER(F9059),E9059*F9059,"")</f>
        <v/>
      </c>
      <c r="H9059" s="53"/>
      <c r="I9059" s="47"/>
      <c r="J9059" s="37">
        <v>0</v>
      </c>
    </row>
    <row r="9060" spans="1:10" ht="15.75" hidden="1" thickBot="1" x14ac:dyDescent="0.3">
      <c r="A9060" s="173" t="s">
        <v>2180</v>
      </c>
      <c r="B9060" s="176" t="s">
        <v>9307</v>
      </c>
      <c r="C9060" s="31"/>
      <c r="D9060" s="32" t="s">
        <v>18</v>
      </c>
      <c r="E9060" s="33"/>
      <c r="F9060" s="54" t="s">
        <v>13</v>
      </c>
      <c r="G9060" s="34" t="str">
        <f>IF(ISNUMBER(F9060),E9060*F9060,"")</f>
        <v/>
      </c>
      <c r="H9060" s="35"/>
      <c r="I9060" s="36"/>
      <c r="J9060" s="37">
        <v>0</v>
      </c>
    </row>
    <row r="9061" spans="1:10" hidden="1" x14ac:dyDescent="0.25">
      <c r="A9061" s="179"/>
      <c r="B9061" s="177"/>
      <c r="C9061" s="39"/>
      <c r="D9061" s="39"/>
      <c r="E9061" s="40"/>
      <c r="F9061" s="55" t="s">
        <v>13</v>
      </c>
      <c r="G9061" s="41" t="str">
        <f>IF(ISNUMBER(F9061),E9061*F9061,"")</f>
        <v/>
      </c>
      <c r="H9061" s="42"/>
      <c r="I9061" s="38"/>
      <c r="J9061" s="37">
        <v>0</v>
      </c>
    </row>
    <row r="9062" spans="1:10" hidden="1" x14ac:dyDescent="0.25">
      <c r="A9062" s="179"/>
      <c r="B9062" s="177"/>
      <c r="C9062" s="43" t="s">
        <v>11656</v>
      </c>
      <c r="D9062" s="43" t="s">
        <v>83</v>
      </c>
      <c r="E9062" s="44">
        <v>1</v>
      </c>
      <c r="F9062" s="38">
        <v>8.160499999999999</v>
      </c>
      <c r="G9062" s="41">
        <f>IF(ISNUMBER(F9062),E9062*F9062,"")</f>
        <v>8.160499999999999</v>
      </c>
      <c r="H9062" s="46">
        <f>SUM(G9062:G9062)</f>
        <v>8.160499999999999</v>
      </c>
      <c r="I9062" s="47"/>
      <c r="J9062" s="37">
        <v>0</v>
      </c>
    </row>
    <row r="9063" spans="1:10" ht="15.75" hidden="1" thickBot="1" x14ac:dyDescent="0.3">
      <c r="A9063" s="180"/>
      <c r="B9063" s="178"/>
      <c r="C9063" s="49"/>
      <c r="D9063" s="49"/>
      <c r="E9063" s="50"/>
      <c r="F9063" s="51"/>
      <c r="G9063" s="52" t="str">
        <f>IF(ISNUMBER(F9063),E9063*F9063,"")</f>
        <v/>
      </c>
      <c r="H9063" s="53"/>
      <c r="I9063" s="47"/>
      <c r="J9063" s="37">
        <v>0</v>
      </c>
    </row>
    <row r="9064" spans="1:10" ht="15.75" hidden="1" thickBot="1" x14ac:dyDescent="0.3">
      <c r="A9064" s="173" t="s">
        <v>2181</v>
      </c>
      <c r="B9064" s="176" t="s">
        <v>9308</v>
      </c>
      <c r="C9064" s="31"/>
      <c r="D9064" s="32" t="s">
        <v>18</v>
      </c>
      <c r="E9064" s="33"/>
      <c r="F9064" s="54" t="s">
        <v>13</v>
      </c>
      <c r="G9064" s="34" t="str">
        <f>IF(ISNUMBER(F9064),E9064*F9064,"")</f>
        <v/>
      </c>
      <c r="H9064" s="35"/>
      <c r="I9064" s="36"/>
      <c r="J9064" s="37">
        <v>0</v>
      </c>
    </row>
    <row r="9065" spans="1:10" hidden="1" x14ac:dyDescent="0.25">
      <c r="A9065" s="179"/>
      <c r="B9065" s="177"/>
      <c r="C9065" s="39"/>
      <c r="D9065" s="39"/>
      <c r="E9065" s="40"/>
      <c r="F9065" s="55" t="s">
        <v>13</v>
      </c>
      <c r="G9065" s="41" t="str">
        <f>IF(ISNUMBER(F9065),E9065*F9065,"")</f>
        <v/>
      </c>
      <c r="H9065" s="42"/>
      <c r="I9065" s="38"/>
      <c r="J9065" s="37">
        <v>0</v>
      </c>
    </row>
    <row r="9066" spans="1:10" ht="25.5" hidden="1" x14ac:dyDescent="0.25">
      <c r="A9066" s="179"/>
      <c r="B9066" s="177"/>
      <c r="C9066" s="43" t="s">
        <v>11657</v>
      </c>
      <c r="D9066" s="43" t="s">
        <v>83</v>
      </c>
      <c r="E9066" s="44">
        <v>1</v>
      </c>
      <c r="F9066" s="38">
        <v>6.9159999999999995</v>
      </c>
      <c r="G9066" s="41">
        <f>IF(ISNUMBER(F9066),E9066*F9066,"")</f>
        <v>6.9159999999999995</v>
      </c>
      <c r="H9066" s="46">
        <f>SUM(G9066:G9066)</f>
        <v>6.9159999999999995</v>
      </c>
      <c r="I9066" s="47"/>
      <c r="J9066" s="37">
        <v>0</v>
      </c>
    </row>
    <row r="9067" spans="1:10" ht="15.75" hidden="1" thickBot="1" x14ac:dyDescent="0.3">
      <c r="A9067" s="180"/>
      <c r="B9067" s="178"/>
      <c r="C9067" s="49"/>
      <c r="D9067" s="49"/>
      <c r="E9067" s="50"/>
      <c r="F9067" s="51"/>
      <c r="G9067" s="52" t="str">
        <f>IF(ISNUMBER(F9067),E9067*F9067,"")</f>
        <v/>
      </c>
      <c r="H9067" s="53"/>
      <c r="I9067" s="47"/>
      <c r="J9067" s="37">
        <v>0</v>
      </c>
    </row>
    <row r="9068" spans="1:10" ht="15.75" hidden="1" thickBot="1" x14ac:dyDescent="0.3">
      <c r="A9068" s="173" t="s">
        <v>2182</v>
      </c>
      <c r="B9068" s="176" t="s">
        <v>9309</v>
      </c>
      <c r="C9068" s="31"/>
      <c r="D9068" s="32" t="s">
        <v>18</v>
      </c>
      <c r="E9068" s="33"/>
      <c r="F9068" s="54" t="s">
        <v>13</v>
      </c>
      <c r="G9068" s="34" t="str">
        <f>IF(ISNUMBER(F9068),E9068*F9068,"")</f>
        <v/>
      </c>
      <c r="H9068" s="35"/>
      <c r="I9068" s="36"/>
      <c r="J9068" s="37">
        <v>0</v>
      </c>
    </row>
    <row r="9069" spans="1:10" hidden="1" x14ac:dyDescent="0.25">
      <c r="A9069" s="179"/>
      <c r="B9069" s="177"/>
      <c r="C9069" s="39"/>
      <c r="D9069" s="39"/>
      <c r="E9069" s="40"/>
      <c r="F9069" s="55" t="s">
        <v>13</v>
      </c>
      <c r="G9069" s="41" t="str">
        <f>IF(ISNUMBER(F9069),E9069*F9069,"")</f>
        <v/>
      </c>
      <c r="H9069" s="42"/>
      <c r="I9069" s="38"/>
      <c r="J9069" s="37">
        <v>0</v>
      </c>
    </row>
    <row r="9070" spans="1:10" hidden="1" x14ac:dyDescent="0.25">
      <c r="A9070" s="179"/>
      <c r="B9070" s="177"/>
      <c r="C9070" s="43" t="s">
        <v>11658</v>
      </c>
      <c r="D9070" s="43" t="s">
        <v>83</v>
      </c>
      <c r="E9070" s="44">
        <v>1</v>
      </c>
      <c r="F9070" s="38">
        <v>13.2905</v>
      </c>
      <c r="G9070" s="41">
        <f>IF(ISNUMBER(F9070),E9070*F9070,"")</f>
        <v>13.2905</v>
      </c>
      <c r="H9070" s="46">
        <f>SUM(G9070:G9070)</f>
        <v>13.2905</v>
      </c>
      <c r="I9070" s="47"/>
      <c r="J9070" s="37">
        <v>0</v>
      </c>
    </row>
    <row r="9071" spans="1:10" hidden="1" x14ac:dyDescent="0.25">
      <c r="A9071" s="179"/>
      <c r="B9071" s="177"/>
      <c r="C9071" s="43"/>
      <c r="D9071" s="43"/>
      <c r="E9071" s="44"/>
      <c r="F9071" s="38"/>
      <c r="G9071" s="41" t="str">
        <f>IF(ISNUMBER(F9071),E9071*F9071,"")</f>
        <v/>
      </c>
      <c r="H9071" s="42"/>
      <c r="I9071" s="47"/>
      <c r="J9071" s="37">
        <v>0</v>
      </c>
    </row>
    <row r="9072" spans="1:10" ht="15.75" hidden="1" thickBot="1" x14ac:dyDescent="0.3">
      <c r="A9072" s="173" t="s">
        <v>2183</v>
      </c>
      <c r="B9072" s="176" t="s">
        <v>9310</v>
      </c>
      <c r="C9072" s="31"/>
      <c r="D9072" s="32" t="s">
        <v>18</v>
      </c>
      <c r="E9072" s="33"/>
      <c r="F9072" s="54" t="s">
        <v>13</v>
      </c>
      <c r="G9072" s="34" t="str">
        <f>IF(ISNUMBER(F9072),E9072*F9072,"")</f>
        <v/>
      </c>
      <c r="H9072" s="35"/>
      <c r="I9072" s="36"/>
      <c r="J9072" s="37">
        <v>0</v>
      </c>
    </row>
    <row r="9073" spans="1:10" hidden="1" x14ac:dyDescent="0.25">
      <c r="A9073" s="179"/>
      <c r="B9073" s="177"/>
      <c r="C9073" s="39"/>
      <c r="D9073" s="39"/>
      <c r="E9073" s="40"/>
      <c r="F9073" s="55" t="s">
        <v>13</v>
      </c>
      <c r="G9073" s="41" t="str">
        <f>IF(ISNUMBER(F9073),E9073*F9073,"")</f>
        <v/>
      </c>
      <c r="H9073" s="42"/>
      <c r="I9073" s="38"/>
      <c r="J9073" s="37">
        <v>0</v>
      </c>
    </row>
    <row r="9074" spans="1:10" hidden="1" x14ac:dyDescent="0.25">
      <c r="A9074" s="179"/>
      <c r="B9074" s="177"/>
      <c r="C9074" s="43" t="s">
        <v>11659</v>
      </c>
      <c r="D9074" s="43" t="s">
        <v>83</v>
      </c>
      <c r="E9074" s="44">
        <v>1</v>
      </c>
      <c r="F9074" s="38">
        <v>5.519499999999999</v>
      </c>
      <c r="G9074" s="41">
        <f>IF(ISNUMBER(F9074),E9074*F9074,"")</f>
        <v>5.519499999999999</v>
      </c>
      <c r="H9074" s="46">
        <f>SUM(G9074:G9074)</f>
        <v>5.519499999999999</v>
      </c>
      <c r="I9074" s="47"/>
      <c r="J9074" s="37">
        <v>0</v>
      </c>
    </row>
    <row r="9075" spans="1:10" ht="15.75" hidden="1" thickBot="1" x14ac:dyDescent="0.3">
      <c r="A9075" s="180"/>
      <c r="B9075" s="178"/>
      <c r="C9075" s="49"/>
      <c r="D9075" s="49"/>
      <c r="E9075" s="50"/>
      <c r="F9075" s="51"/>
      <c r="G9075" s="52" t="str">
        <f>IF(ISNUMBER(F9075),E9075*F9075,"")</f>
        <v/>
      </c>
      <c r="H9075" s="53"/>
      <c r="I9075" s="47"/>
      <c r="J9075" s="37">
        <v>0</v>
      </c>
    </row>
    <row r="9076" spans="1:10" ht="15.75" hidden="1" thickBot="1" x14ac:dyDescent="0.3">
      <c r="A9076" s="173" t="s">
        <v>2184</v>
      </c>
      <c r="B9076" s="176" t="s">
        <v>9313</v>
      </c>
      <c r="C9076" s="31"/>
      <c r="D9076" s="32" t="s">
        <v>18</v>
      </c>
      <c r="E9076" s="33"/>
      <c r="F9076" s="54" t="s">
        <v>13</v>
      </c>
      <c r="G9076" s="34" t="str">
        <f>IF(ISNUMBER(F9076),E9076*F9076,"")</f>
        <v/>
      </c>
      <c r="H9076" s="35"/>
      <c r="I9076" s="36"/>
      <c r="J9076" s="37">
        <v>0</v>
      </c>
    </row>
    <row r="9077" spans="1:10" hidden="1" x14ac:dyDescent="0.25">
      <c r="A9077" s="179"/>
      <c r="B9077" s="177"/>
      <c r="C9077" s="39"/>
      <c r="D9077" s="39"/>
      <c r="E9077" s="40"/>
      <c r="F9077" s="55" t="s">
        <v>13</v>
      </c>
      <c r="G9077" s="41" t="str">
        <f>IF(ISNUMBER(F9077),E9077*F9077,"")</f>
        <v/>
      </c>
      <c r="H9077" s="42"/>
      <c r="I9077" s="38"/>
      <c r="J9077" s="37">
        <v>0</v>
      </c>
    </row>
    <row r="9078" spans="1:10" ht="25.5" hidden="1" x14ac:dyDescent="0.25">
      <c r="A9078" s="179"/>
      <c r="B9078" s="177"/>
      <c r="C9078" s="43" t="s">
        <v>11623</v>
      </c>
      <c r="D9078" s="43" t="s">
        <v>83</v>
      </c>
      <c r="E9078" s="44">
        <v>1</v>
      </c>
      <c r="F9078" s="38">
        <v>6.84</v>
      </c>
      <c r="G9078" s="41">
        <f>IF(ISNUMBER(F9078),E9078*F9078,"")</f>
        <v>6.84</v>
      </c>
      <c r="H9078" s="46">
        <f>SUM(G9078:G9078)</f>
        <v>6.84</v>
      </c>
      <c r="I9078" s="47"/>
      <c r="J9078" s="37">
        <v>0</v>
      </c>
    </row>
    <row r="9079" spans="1:10" ht="15.75" hidden="1" thickBot="1" x14ac:dyDescent="0.3">
      <c r="A9079" s="180"/>
      <c r="B9079" s="178"/>
      <c r="C9079" s="49"/>
      <c r="D9079" s="49"/>
      <c r="E9079" s="50"/>
      <c r="F9079" s="51"/>
      <c r="G9079" s="52" t="str">
        <f>IF(ISNUMBER(F9079),E9079*F9079,"")</f>
        <v/>
      </c>
      <c r="H9079" s="53"/>
      <c r="I9079" s="47"/>
      <c r="J9079" s="37">
        <v>0</v>
      </c>
    </row>
    <row r="9080" spans="1:10" ht="15.75" hidden="1" thickBot="1" x14ac:dyDescent="0.3">
      <c r="A9080" s="173" t="s">
        <v>2185</v>
      </c>
      <c r="B9080" s="176" t="s">
        <v>9314</v>
      </c>
      <c r="C9080" s="31"/>
      <c r="D9080" s="32" t="s">
        <v>18</v>
      </c>
      <c r="E9080" s="33"/>
      <c r="F9080" s="54" t="s">
        <v>13</v>
      </c>
      <c r="G9080" s="34" t="str">
        <f>IF(ISNUMBER(F9080),E9080*F9080,"")</f>
        <v/>
      </c>
      <c r="H9080" s="35"/>
      <c r="I9080" s="36"/>
      <c r="J9080" s="37">
        <v>0</v>
      </c>
    </row>
    <row r="9081" spans="1:10" hidden="1" x14ac:dyDescent="0.25">
      <c r="A9081" s="179"/>
      <c r="B9081" s="177"/>
      <c r="C9081" s="39"/>
      <c r="D9081" s="39"/>
      <c r="E9081" s="40"/>
      <c r="F9081" s="55" t="s">
        <v>13</v>
      </c>
      <c r="G9081" s="41" t="str">
        <f>IF(ISNUMBER(F9081),E9081*F9081,"")</f>
        <v/>
      </c>
      <c r="H9081" s="42"/>
      <c r="I9081" s="38"/>
      <c r="J9081" s="37">
        <v>0</v>
      </c>
    </row>
    <row r="9082" spans="1:10" ht="25.5" hidden="1" x14ac:dyDescent="0.25">
      <c r="A9082" s="179"/>
      <c r="B9082" s="177"/>
      <c r="C9082" s="43" t="s">
        <v>11660</v>
      </c>
      <c r="D9082" s="43" t="s">
        <v>83</v>
      </c>
      <c r="E9082" s="44">
        <v>1</v>
      </c>
      <c r="F9082" s="38">
        <v>9.4809999999999999</v>
      </c>
      <c r="G9082" s="41">
        <f>IF(ISNUMBER(F9082),E9082*F9082,"")</f>
        <v>9.4809999999999999</v>
      </c>
      <c r="H9082" s="46">
        <f>SUM(G9082:G9082)</f>
        <v>9.4809999999999999</v>
      </c>
      <c r="I9082" s="47"/>
      <c r="J9082" s="37">
        <v>0</v>
      </c>
    </row>
    <row r="9083" spans="1:10" ht="15.75" hidden="1" thickBot="1" x14ac:dyDescent="0.3">
      <c r="A9083" s="180"/>
      <c r="B9083" s="178"/>
      <c r="C9083" s="49"/>
      <c r="D9083" s="49"/>
      <c r="E9083" s="50"/>
      <c r="F9083" s="51"/>
      <c r="G9083" s="52" t="str">
        <f>IF(ISNUMBER(F9083),E9083*F9083,"")</f>
        <v/>
      </c>
      <c r="H9083" s="53"/>
      <c r="I9083" s="47"/>
      <c r="J9083" s="37">
        <v>0</v>
      </c>
    </row>
    <row r="9084" spans="1:10" ht="15.75" hidden="1" thickBot="1" x14ac:dyDescent="0.3">
      <c r="A9084" s="173" t="s">
        <v>2186</v>
      </c>
      <c r="B9084" s="176" t="s">
        <v>9315</v>
      </c>
      <c r="C9084" s="31"/>
      <c r="D9084" s="32" t="s">
        <v>18</v>
      </c>
      <c r="E9084" s="33"/>
      <c r="F9084" s="54" t="s">
        <v>13</v>
      </c>
      <c r="G9084" s="34" t="str">
        <f>IF(ISNUMBER(F9084),E9084*F9084,"")</f>
        <v/>
      </c>
      <c r="H9084" s="35"/>
      <c r="I9084" s="36"/>
      <c r="J9084" s="37">
        <v>0</v>
      </c>
    </row>
    <row r="9085" spans="1:10" hidden="1" x14ac:dyDescent="0.25">
      <c r="A9085" s="179"/>
      <c r="B9085" s="177"/>
      <c r="C9085" s="39"/>
      <c r="D9085" s="39"/>
      <c r="E9085" s="40"/>
      <c r="F9085" s="55" t="s">
        <v>13</v>
      </c>
      <c r="G9085" s="41" t="str">
        <f>IF(ISNUMBER(F9085),E9085*F9085,"")</f>
        <v/>
      </c>
      <c r="H9085" s="42"/>
      <c r="I9085" s="38"/>
      <c r="J9085" s="37">
        <v>0</v>
      </c>
    </row>
    <row r="9086" spans="1:10" ht="25.5" hidden="1" x14ac:dyDescent="0.25">
      <c r="A9086" s="179"/>
      <c r="B9086" s="177"/>
      <c r="C9086" s="43" t="s">
        <v>11661</v>
      </c>
      <c r="D9086" s="43" t="s">
        <v>83</v>
      </c>
      <c r="E9086" s="44">
        <v>1</v>
      </c>
      <c r="F9086" s="38">
        <v>8.8824999999999985</v>
      </c>
      <c r="G9086" s="41">
        <f>IF(ISNUMBER(F9086),E9086*F9086,"")</f>
        <v>8.8824999999999985</v>
      </c>
      <c r="H9086" s="46">
        <f>SUM(G9086:G9086)</f>
        <v>8.8824999999999985</v>
      </c>
      <c r="I9086" s="47"/>
      <c r="J9086" s="37">
        <v>0</v>
      </c>
    </row>
    <row r="9087" spans="1:10" ht="15.75" hidden="1" thickBot="1" x14ac:dyDescent="0.3">
      <c r="A9087" s="180"/>
      <c r="B9087" s="178"/>
      <c r="C9087" s="49"/>
      <c r="D9087" s="49"/>
      <c r="E9087" s="50"/>
      <c r="F9087" s="51"/>
      <c r="G9087" s="52" t="str">
        <f>IF(ISNUMBER(F9087),E9087*F9087,"")</f>
        <v/>
      </c>
      <c r="H9087" s="53"/>
      <c r="I9087" s="47"/>
      <c r="J9087" s="37">
        <v>0</v>
      </c>
    </row>
    <row r="9088" spans="1:10" ht="15.75" hidden="1" thickBot="1" x14ac:dyDescent="0.3">
      <c r="A9088" s="173" t="s">
        <v>2187</v>
      </c>
      <c r="B9088" s="176" t="s">
        <v>9316</v>
      </c>
      <c r="C9088" s="31"/>
      <c r="D9088" s="32" t="s">
        <v>106</v>
      </c>
      <c r="E9088" s="33"/>
      <c r="F9088" s="54" t="s">
        <v>13</v>
      </c>
      <c r="G9088" s="34" t="str">
        <f>IF(ISNUMBER(F9088),E9088*F9088,"")</f>
        <v/>
      </c>
      <c r="H9088" s="35"/>
      <c r="I9088" s="36"/>
      <c r="J9088" s="37">
        <v>0</v>
      </c>
    </row>
    <row r="9089" spans="1:10" hidden="1" x14ac:dyDescent="0.25">
      <c r="A9089" s="179"/>
      <c r="B9089" s="177"/>
      <c r="C9089" s="39"/>
      <c r="D9089" s="39"/>
      <c r="E9089" s="40"/>
      <c r="F9089" s="55" t="s">
        <v>13</v>
      </c>
      <c r="G9089" s="41" t="str">
        <f>IF(ISNUMBER(F9089),E9089*F9089,"")</f>
        <v/>
      </c>
      <c r="H9089" s="42"/>
      <c r="I9089" s="38"/>
      <c r="J9089" s="37">
        <v>0</v>
      </c>
    </row>
    <row r="9090" spans="1:10" ht="25.5" hidden="1" x14ac:dyDescent="0.25">
      <c r="A9090" s="179"/>
      <c r="B9090" s="177"/>
      <c r="C9090" s="43" t="s">
        <v>10963</v>
      </c>
      <c r="D9090" s="43" t="s">
        <v>1302</v>
      </c>
      <c r="E9090" s="44">
        <v>1</v>
      </c>
      <c r="F9090" s="38">
        <v>60.771499999999996</v>
      </c>
      <c r="G9090" s="41">
        <f>IF(ISNUMBER(F9090),E9090*F9090,"")</f>
        <v>60.771499999999996</v>
      </c>
      <c r="H9090" s="46">
        <f>SUM(G9090:G9090)</f>
        <v>60.771499999999996</v>
      </c>
      <c r="I9090" s="47"/>
      <c r="J9090" s="37">
        <v>0</v>
      </c>
    </row>
    <row r="9091" spans="1:10" ht="15.75" hidden="1" thickBot="1" x14ac:dyDescent="0.3">
      <c r="A9091" s="180"/>
      <c r="B9091" s="178"/>
      <c r="C9091" s="49"/>
      <c r="D9091" s="49"/>
      <c r="E9091" s="50"/>
      <c r="F9091" s="51"/>
      <c r="G9091" s="52" t="str">
        <f>IF(ISNUMBER(F9091),E9091*F9091,"")</f>
        <v/>
      </c>
      <c r="H9091" s="53"/>
      <c r="I9091" s="47"/>
      <c r="J9091" s="37">
        <v>0</v>
      </c>
    </row>
    <row r="9092" spans="1:10" ht="15.75" hidden="1" thickBot="1" x14ac:dyDescent="0.3">
      <c r="A9092" s="173" t="s">
        <v>2188</v>
      </c>
      <c r="B9092" s="176" t="s">
        <v>9317</v>
      </c>
      <c r="C9092" s="31"/>
      <c r="D9092" s="32" t="s">
        <v>18</v>
      </c>
      <c r="E9092" s="33"/>
      <c r="F9092" s="54" t="s">
        <v>13</v>
      </c>
      <c r="G9092" s="34" t="str">
        <f>IF(ISNUMBER(F9092),E9092*F9092,"")</f>
        <v/>
      </c>
      <c r="H9092" s="35"/>
      <c r="I9092" s="36"/>
      <c r="J9092" s="37">
        <v>0</v>
      </c>
    </row>
    <row r="9093" spans="1:10" hidden="1" x14ac:dyDescent="0.25">
      <c r="A9093" s="179"/>
      <c r="B9093" s="177"/>
      <c r="C9093" s="39"/>
      <c r="D9093" s="39"/>
      <c r="E9093" s="40"/>
      <c r="F9093" s="55" t="s">
        <v>13</v>
      </c>
      <c r="G9093" s="41" t="str">
        <f>IF(ISNUMBER(F9093),E9093*F9093,"")</f>
        <v/>
      </c>
      <c r="H9093" s="42"/>
      <c r="I9093" s="38"/>
      <c r="J9093" s="37">
        <v>0</v>
      </c>
    </row>
    <row r="9094" spans="1:10" ht="25.5" hidden="1" x14ac:dyDescent="0.25">
      <c r="A9094" s="179"/>
      <c r="B9094" s="177"/>
      <c r="C9094" s="43" t="s">
        <v>11662</v>
      </c>
      <c r="D9094" s="43" t="s">
        <v>83</v>
      </c>
      <c r="E9094" s="44">
        <v>1</v>
      </c>
      <c r="F9094" s="38">
        <v>20.605499999999999</v>
      </c>
      <c r="G9094" s="41">
        <f>IF(ISNUMBER(F9094),E9094*F9094,"")</f>
        <v>20.605499999999999</v>
      </c>
      <c r="H9094" s="46">
        <f>SUM(G9094:G9094)</f>
        <v>20.605499999999999</v>
      </c>
      <c r="I9094" s="47"/>
      <c r="J9094" s="37">
        <v>0</v>
      </c>
    </row>
    <row r="9095" spans="1:10" ht="15.75" hidden="1" thickBot="1" x14ac:dyDescent="0.3">
      <c r="A9095" s="180"/>
      <c r="B9095" s="178"/>
      <c r="C9095" s="49"/>
      <c r="D9095" s="49"/>
      <c r="E9095" s="50"/>
      <c r="F9095" s="51"/>
      <c r="G9095" s="52" t="str">
        <f>IF(ISNUMBER(F9095),E9095*F9095,"")</f>
        <v/>
      </c>
      <c r="H9095" s="53"/>
      <c r="I9095" s="47"/>
      <c r="J9095" s="37">
        <v>0</v>
      </c>
    </row>
    <row r="9096" spans="1:10" ht="15.75" hidden="1" thickBot="1" x14ac:dyDescent="0.3">
      <c r="A9096" s="173" t="s">
        <v>2189</v>
      </c>
      <c r="B9096" s="176" t="s">
        <v>9318</v>
      </c>
      <c r="C9096" s="31"/>
      <c r="D9096" s="32" t="s">
        <v>18</v>
      </c>
      <c r="E9096" s="33"/>
      <c r="F9096" s="54" t="s">
        <v>13</v>
      </c>
      <c r="G9096" s="34" t="str">
        <f>IF(ISNUMBER(F9096),E9096*F9096,"")</f>
        <v/>
      </c>
      <c r="H9096" s="35"/>
      <c r="I9096" s="36"/>
      <c r="J9096" s="37">
        <v>0</v>
      </c>
    </row>
    <row r="9097" spans="1:10" hidden="1" x14ac:dyDescent="0.25">
      <c r="A9097" s="179"/>
      <c r="B9097" s="177"/>
      <c r="C9097" s="39"/>
      <c r="D9097" s="39"/>
      <c r="E9097" s="40"/>
      <c r="F9097" s="55" t="s">
        <v>13</v>
      </c>
      <c r="G9097" s="41" t="str">
        <f>IF(ISNUMBER(F9097),E9097*F9097,"")</f>
        <v/>
      </c>
      <c r="H9097" s="42"/>
      <c r="I9097" s="38"/>
      <c r="J9097" s="37">
        <v>0</v>
      </c>
    </row>
    <row r="9098" spans="1:10" ht="25.5" hidden="1" x14ac:dyDescent="0.25">
      <c r="A9098" s="179"/>
      <c r="B9098" s="177"/>
      <c r="C9098" s="43" t="s">
        <v>11092</v>
      </c>
      <c r="D9098" s="43" t="s">
        <v>83</v>
      </c>
      <c r="E9098" s="44">
        <v>1</v>
      </c>
      <c r="F9098" s="38">
        <v>32.936500000000002</v>
      </c>
      <c r="G9098" s="41">
        <f>IF(ISNUMBER(F9098),E9098*F9098,"")</f>
        <v>32.936500000000002</v>
      </c>
      <c r="H9098" s="46">
        <f>SUM(G9098:G9098)</f>
        <v>32.936500000000002</v>
      </c>
      <c r="I9098" s="47"/>
      <c r="J9098" s="37">
        <v>0</v>
      </c>
    </row>
    <row r="9099" spans="1:10" ht="15.75" hidden="1" thickBot="1" x14ac:dyDescent="0.3">
      <c r="A9099" s="180"/>
      <c r="B9099" s="178"/>
      <c r="C9099" s="49"/>
      <c r="D9099" s="49"/>
      <c r="E9099" s="50"/>
      <c r="F9099" s="51"/>
      <c r="G9099" s="52" t="str">
        <f>IF(ISNUMBER(F9099),E9099*F9099,"")</f>
        <v/>
      </c>
      <c r="H9099" s="53"/>
      <c r="I9099" s="47"/>
      <c r="J9099" s="37">
        <v>0</v>
      </c>
    </row>
    <row r="9100" spans="1:10" ht="15.75" hidden="1" thickBot="1" x14ac:dyDescent="0.3">
      <c r="A9100" s="173" t="s">
        <v>2190</v>
      </c>
      <c r="B9100" s="176" t="s">
        <v>9319</v>
      </c>
      <c r="C9100" s="31"/>
      <c r="D9100" s="32" t="s">
        <v>18</v>
      </c>
      <c r="E9100" s="33"/>
      <c r="F9100" s="54" t="s">
        <v>13</v>
      </c>
      <c r="G9100" s="34" t="str">
        <f>IF(ISNUMBER(F9100),E9100*F9100,"")</f>
        <v/>
      </c>
      <c r="H9100" s="35"/>
      <c r="I9100" s="36"/>
      <c r="J9100" s="37">
        <v>0</v>
      </c>
    </row>
    <row r="9101" spans="1:10" hidden="1" x14ac:dyDescent="0.25">
      <c r="A9101" s="179"/>
      <c r="B9101" s="177"/>
      <c r="C9101" s="39"/>
      <c r="D9101" s="39"/>
      <c r="E9101" s="40"/>
      <c r="F9101" s="55" t="s">
        <v>13</v>
      </c>
      <c r="G9101" s="41" t="str">
        <f>IF(ISNUMBER(F9101),E9101*F9101,"")</f>
        <v/>
      </c>
      <c r="H9101" s="42"/>
      <c r="I9101" s="38"/>
      <c r="J9101" s="37">
        <v>0</v>
      </c>
    </row>
    <row r="9102" spans="1:10" hidden="1" x14ac:dyDescent="0.25">
      <c r="A9102" s="179"/>
      <c r="B9102" s="177"/>
      <c r="C9102" s="43" t="s">
        <v>11089</v>
      </c>
      <c r="D9102" s="43" t="s">
        <v>83</v>
      </c>
      <c r="E9102" s="44">
        <v>1</v>
      </c>
      <c r="F9102" s="38">
        <v>11.4475</v>
      </c>
      <c r="G9102" s="41">
        <f>IF(ISNUMBER(F9102),E9102*F9102,"")</f>
        <v>11.4475</v>
      </c>
      <c r="H9102" s="46">
        <f>SUM(G9102:G9102)</f>
        <v>11.4475</v>
      </c>
      <c r="I9102" s="47"/>
      <c r="J9102" s="37">
        <v>0</v>
      </c>
    </row>
    <row r="9103" spans="1:10" ht="15.75" hidden="1" thickBot="1" x14ac:dyDescent="0.3">
      <c r="A9103" s="180"/>
      <c r="B9103" s="178"/>
      <c r="C9103" s="49"/>
      <c r="D9103" s="49"/>
      <c r="E9103" s="50"/>
      <c r="F9103" s="51"/>
      <c r="G9103" s="52" t="str">
        <f>IF(ISNUMBER(F9103),E9103*F9103,"")</f>
        <v/>
      </c>
      <c r="H9103" s="53"/>
      <c r="I9103" s="47"/>
      <c r="J9103" s="37">
        <v>0</v>
      </c>
    </row>
    <row r="9104" spans="1:10" ht="15.75" hidden="1" thickBot="1" x14ac:dyDescent="0.3">
      <c r="A9104" s="173" t="s">
        <v>2191</v>
      </c>
      <c r="B9104" s="176" t="s">
        <v>9320</v>
      </c>
      <c r="C9104" s="31"/>
      <c r="D9104" s="32" t="s">
        <v>18</v>
      </c>
      <c r="E9104" s="33"/>
      <c r="F9104" s="54" t="s">
        <v>13</v>
      </c>
      <c r="G9104" s="34" t="str">
        <f>IF(ISNUMBER(F9104),E9104*F9104,"")</f>
        <v/>
      </c>
      <c r="H9104" s="35"/>
      <c r="I9104" s="36"/>
      <c r="J9104" s="37">
        <v>0</v>
      </c>
    </row>
    <row r="9105" spans="1:10" hidden="1" x14ac:dyDescent="0.25">
      <c r="A9105" s="179"/>
      <c r="B9105" s="177"/>
      <c r="C9105" s="39"/>
      <c r="D9105" s="39"/>
      <c r="E9105" s="40"/>
      <c r="F9105" s="55" t="s">
        <v>13</v>
      </c>
      <c r="G9105" s="41" t="str">
        <f>IF(ISNUMBER(F9105),E9105*F9105,"")</f>
        <v/>
      </c>
      <c r="H9105" s="42"/>
      <c r="I9105" s="38"/>
      <c r="J9105" s="37">
        <v>0</v>
      </c>
    </row>
    <row r="9106" spans="1:10" hidden="1" x14ac:dyDescent="0.25">
      <c r="A9106" s="179"/>
      <c r="B9106" s="177"/>
      <c r="C9106" s="43" t="s">
        <v>11663</v>
      </c>
      <c r="D9106" s="43" t="s">
        <v>83</v>
      </c>
      <c r="E9106" s="44">
        <v>1</v>
      </c>
      <c r="F9106" s="38">
        <v>13.2715</v>
      </c>
      <c r="G9106" s="41">
        <f>IF(ISNUMBER(F9106),E9106*F9106,"")</f>
        <v>13.2715</v>
      </c>
      <c r="H9106" s="46">
        <f>SUM(G9106:G9106)</f>
        <v>13.2715</v>
      </c>
      <c r="I9106" s="47"/>
      <c r="J9106" s="37">
        <v>0</v>
      </c>
    </row>
    <row r="9107" spans="1:10" ht="15.75" hidden="1" thickBot="1" x14ac:dyDescent="0.3">
      <c r="A9107" s="180"/>
      <c r="B9107" s="178"/>
      <c r="C9107" s="49"/>
      <c r="D9107" s="49"/>
      <c r="E9107" s="50"/>
      <c r="F9107" s="51"/>
      <c r="G9107" s="52" t="str">
        <f>IF(ISNUMBER(F9107),E9107*F9107,"")</f>
        <v/>
      </c>
      <c r="H9107" s="53"/>
      <c r="I9107" s="47"/>
      <c r="J9107" s="37">
        <v>0</v>
      </c>
    </row>
    <row r="9108" spans="1:10" ht="15.75" hidden="1" thickBot="1" x14ac:dyDescent="0.3">
      <c r="A9108" s="173" t="s">
        <v>2192</v>
      </c>
      <c r="B9108" s="176" t="s">
        <v>9321</v>
      </c>
      <c r="C9108" s="31"/>
      <c r="D9108" s="32" t="s">
        <v>18</v>
      </c>
      <c r="E9108" s="33"/>
      <c r="F9108" s="54" t="s">
        <v>13</v>
      </c>
      <c r="G9108" s="34" t="str">
        <f>IF(ISNUMBER(F9108),E9108*F9108,"")</f>
        <v/>
      </c>
      <c r="H9108" s="35"/>
      <c r="I9108" s="36"/>
      <c r="J9108" s="37">
        <v>0</v>
      </c>
    </row>
    <row r="9109" spans="1:10" hidden="1" x14ac:dyDescent="0.25">
      <c r="A9109" s="179"/>
      <c r="B9109" s="177"/>
      <c r="C9109" s="39"/>
      <c r="D9109" s="39"/>
      <c r="E9109" s="40"/>
      <c r="F9109" s="55" t="s">
        <v>13</v>
      </c>
      <c r="G9109" s="41" t="str">
        <f>IF(ISNUMBER(F9109),E9109*F9109,"")</f>
        <v/>
      </c>
      <c r="H9109" s="42"/>
      <c r="I9109" s="38"/>
      <c r="J9109" s="37">
        <v>0</v>
      </c>
    </row>
    <row r="9110" spans="1:10" hidden="1" x14ac:dyDescent="0.25">
      <c r="A9110" s="179"/>
      <c r="B9110" s="177"/>
      <c r="C9110" s="43" t="s">
        <v>11664</v>
      </c>
      <c r="D9110" s="43" t="s">
        <v>83</v>
      </c>
      <c r="E9110" s="44">
        <v>1</v>
      </c>
      <c r="F9110" s="38">
        <v>10.079499999999999</v>
      </c>
      <c r="G9110" s="41">
        <f>IF(ISNUMBER(F9110),E9110*F9110,"")</f>
        <v>10.079499999999999</v>
      </c>
      <c r="H9110" s="46">
        <f>SUM(G9110:G9110)</f>
        <v>10.079499999999999</v>
      </c>
      <c r="I9110" s="47"/>
      <c r="J9110" s="37">
        <v>0</v>
      </c>
    </row>
    <row r="9111" spans="1:10" ht="15.75" hidden="1" thickBot="1" x14ac:dyDescent="0.3">
      <c r="A9111" s="180"/>
      <c r="B9111" s="178"/>
      <c r="C9111" s="49"/>
      <c r="D9111" s="49"/>
      <c r="E9111" s="50"/>
      <c r="F9111" s="51"/>
      <c r="G9111" s="52" t="str">
        <f>IF(ISNUMBER(F9111),E9111*F9111,"")</f>
        <v/>
      </c>
      <c r="H9111" s="53"/>
      <c r="I9111" s="47"/>
      <c r="J9111" s="37">
        <v>0</v>
      </c>
    </row>
    <row r="9112" spans="1:10" ht="15.75" hidden="1" thickBot="1" x14ac:dyDescent="0.3">
      <c r="A9112" s="173" t="s">
        <v>2193</v>
      </c>
      <c r="B9112" s="176" t="s">
        <v>9322</v>
      </c>
      <c r="C9112" s="31"/>
      <c r="D9112" s="32" t="s">
        <v>18</v>
      </c>
      <c r="E9112" s="33"/>
      <c r="F9112" s="54" t="s">
        <v>13</v>
      </c>
      <c r="G9112" s="34" t="str">
        <f>IF(ISNUMBER(F9112),E9112*F9112,"")</f>
        <v/>
      </c>
      <c r="H9112" s="35"/>
      <c r="I9112" s="36"/>
      <c r="J9112" s="37">
        <v>0</v>
      </c>
    </row>
    <row r="9113" spans="1:10" hidden="1" x14ac:dyDescent="0.25">
      <c r="A9113" s="179"/>
      <c r="B9113" s="177"/>
      <c r="C9113" s="39"/>
      <c r="D9113" s="39"/>
      <c r="E9113" s="40"/>
      <c r="F9113" s="55" t="s">
        <v>13</v>
      </c>
      <c r="G9113" s="41" t="str">
        <f>IF(ISNUMBER(F9113),E9113*F9113,"")</f>
        <v/>
      </c>
      <c r="H9113" s="42"/>
      <c r="I9113" s="38"/>
      <c r="J9113" s="37">
        <v>0</v>
      </c>
    </row>
    <row r="9114" spans="1:10" hidden="1" x14ac:dyDescent="0.25">
      <c r="A9114" s="179"/>
      <c r="B9114" s="177"/>
      <c r="C9114" s="43" t="s">
        <v>11665</v>
      </c>
      <c r="D9114" s="43" t="s">
        <v>83</v>
      </c>
      <c r="E9114" s="44">
        <v>1</v>
      </c>
      <c r="F9114" s="38">
        <v>21.393999999999998</v>
      </c>
      <c r="G9114" s="41">
        <f>IF(ISNUMBER(F9114),E9114*F9114,"")</f>
        <v>21.393999999999998</v>
      </c>
      <c r="H9114" s="46">
        <f>SUM(G9114:G9114)</f>
        <v>21.393999999999998</v>
      </c>
      <c r="I9114" s="47"/>
      <c r="J9114" s="37">
        <v>0</v>
      </c>
    </row>
    <row r="9115" spans="1:10" ht="15.75" hidden="1" thickBot="1" x14ac:dyDescent="0.3">
      <c r="A9115" s="180"/>
      <c r="B9115" s="178"/>
      <c r="C9115" s="49"/>
      <c r="D9115" s="49"/>
      <c r="E9115" s="50"/>
      <c r="F9115" s="51"/>
      <c r="G9115" s="52" t="str">
        <f>IF(ISNUMBER(F9115),E9115*F9115,"")</f>
        <v/>
      </c>
      <c r="H9115" s="53"/>
      <c r="I9115" s="47"/>
      <c r="J9115" s="37">
        <v>0</v>
      </c>
    </row>
    <row r="9116" spans="1:10" ht="15.75" hidden="1" thickBot="1" x14ac:dyDescent="0.3">
      <c r="A9116" s="173" t="s">
        <v>2194</v>
      </c>
      <c r="B9116" s="176" t="s">
        <v>9323</v>
      </c>
      <c r="C9116" s="31"/>
      <c r="D9116" s="32" t="s">
        <v>18</v>
      </c>
      <c r="E9116" s="33"/>
      <c r="F9116" s="54" t="s">
        <v>13</v>
      </c>
      <c r="G9116" s="34" t="str">
        <f>IF(ISNUMBER(F9116),E9116*F9116,"")</f>
        <v/>
      </c>
      <c r="H9116" s="35"/>
      <c r="I9116" s="36"/>
      <c r="J9116" s="37">
        <v>0</v>
      </c>
    </row>
    <row r="9117" spans="1:10" hidden="1" x14ac:dyDescent="0.25">
      <c r="A9117" s="179"/>
      <c r="B9117" s="177"/>
      <c r="C9117" s="39"/>
      <c r="D9117" s="39"/>
      <c r="E9117" s="40"/>
      <c r="F9117" s="55" t="s">
        <v>13</v>
      </c>
      <c r="G9117" s="41" t="str">
        <f>IF(ISNUMBER(F9117),E9117*F9117,"")</f>
        <v/>
      </c>
      <c r="H9117" s="42"/>
      <c r="I9117" s="38"/>
      <c r="J9117" s="37">
        <v>0</v>
      </c>
    </row>
    <row r="9118" spans="1:10" hidden="1" x14ac:dyDescent="0.25">
      <c r="A9118" s="179"/>
      <c r="B9118" s="177"/>
      <c r="C9118" s="43" t="s">
        <v>11666</v>
      </c>
      <c r="D9118" s="43" t="s">
        <v>83</v>
      </c>
      <c r="E9118" s="44">
        <v>1</v>
      </c>
      <c r="F9118" s="38">
        <v>7.6665000000000001</v>
      </c>
      <c r="G9118" s="41">
        <f>IF(ISNUMBER(F9118),E9118*F9118,"")</f>
        <v>7.6665000000000001</v>
      </c>
      <c r="H9118" s="46">
        <f>SUM(G9118:G9118)</f>
        <v>7.6665000000000001</v>
      </c>
      <c r="I9118" s="47"/>
      <c r="J9118" s="37">
        <v>0</v>
      </c>
    </row>
    <row r="9119" spans="1:10" ht="15.75" hidden="1" thickBot="1" x14ac:dyDescent="0.3">
      <c r="A9119" s="180"/>
      <c r="B9119" s="178"/>
      <c r="C9119" s="49"/>
      <c r="D9119" s="49"/>
      <c r="E9119" s="50"/>
      <c r="F9119" s="51"/>
      <c r="G9119" s="52" t="str">
        <f>IF(ISNUMBER(F9119),E9119*F9119,"")</f>
        <v/>
      </c>
      <c r="H9119" s="53"/>
      <c r="I9119" s="47"/>
      <c r="J9119" s="37">
        <v>0</v>
      </c>
    </row>
    <row r="9120" spans="1:10" ht="15.75" hidden="1" thickBot="1" x14ac:dyDescent="0.3">
      <c r="A9120" s="173" t="s">
        <v>2195</v>
      </c>
      <c r="B9120" s="176" t="s">
        <v>9326</v>
      </c>
      <c r="C9120" s="31"/>
      <c r="D9120" s="32" t="s">
        <v>18</v>
      </c>
      <c r="E9120" s="33"/>
      <c r="F9120" s="54" t="s">
        <v>13</v>
      </c>
      <c r="G9120" s="34" t="str">
        <f>IF(ISNUMBER(F9120),E9120*F9120,"")</f>
        <v/>
      </c>
      <c r="H9120" s="35"/>
      <c r="I9120" s="36"/>
      <c r="J9120" s="37">
        <v>0</v>
      </c>
    </row>
    <row r="9121" spans="1:10" hidden="1" x14ac:dyDescent="0.25">
      <c r="A9121" s="179"/>
      <c r="B9121" s="177"/>
      <c r="C9121" s="39"/>
      <c r="D9121" s="39"/>
      <c r="E9121" s="40"/>
      <c r="F9121" s="55" t="s">
        <v>13</v>
      </c>
      <c r="G9121" s="41" t="str">
        <f>IF(ISNUMBER(F9121),E9121*F9121,"")</f>
        <v/>
      </c>
      <c r="H9121" s="42"/>
      <c r="I9121" s="38"/>
      <c r="J9121" s="37">
        <v>0</v>
      </c>
    </row>
    <row r="9122" spans="1:10" ht="25.5" hidden="1" x14ac:dyDescent="0.25">
      <c r="A9122" s="179"/>
      <c r="B9122" s="177"/>
      <c r="C9122" s="43" t="s">
        <v>11667</v>
      </c>
      <c r="D9122" s="43" t="s">
        <v>83</v>
      </c>
      <c r="E9122" s="44">
        <v>1</v>
      </c>
      <c r="F9122" s="38">
        <v>9.9085000000000001</v>
      </c>
      <c r="G9122" s="41">
        <f>IF(ISNUMBER(F9122),E9122*F9122,"")</f>
        <v>9.9085000000000001</v>
      </c>
      <c r="H9122" s="46">
        <f>SUM(G9122:G9122)</f>
        <v>9.9085000000000001</v>
      </c>
      <c r="I9122" s="47"/>
      <c r="J9122" s="37">
        <v>0</v>
      </c>
    </row>
    <row r="9123" spans="1:10" ht="15.75" hidden="1" thickBot="1" x14ac:dyDescent="0.3">
      <c r="A9123" s="180"/>
      <c r="B9123" s="178"/>
      <c r="C9123" s="49"/>
      <c r="D9123" s="49"/>
      <c r="E9123" s="50"/>
      <c r="F9123" s="51"/>
      <c r="G9123" s="52" t="str">
        <f>IF(ISNUMBER(F9123),E9123*F9123,"")</f>
        <v/>
      </c>
      <c r="H9123" s="53"/>
      <c r="I9123" s="47"/>
      <c r="J9123" s="37">
        <v>0</v>
      </c>
    </row>
    <row r="9124" spans="1:10" ht="15.75" hidden="1" thickBot="1" x14ac:dyDescent="0.3">
      <c r="A9124" s="173" t="s">
        <v>2196</v>
      </c>
      <c r="B9124" s="176" t="s">
        <v>9327</v>
      </c>
      <c r="C9124" s="31"/>
      <c r="D9124" s="32" t="s">
        <v>18</v>
      </c>
      <c r="E9124" s="33"/>
      <c r="F9124" s="54" t="s">
        <v>13</v>
      </c>
      <c r="G9124" s="34" t="str">
        <f>IF(ISNUMBER(F9124),E9124*F9124,"")</f>
        <v/>
      </c>
      <c r="H9124" s="35"/>
      <c r="I9124" s="36"/>
      <c r="J9124" s="37">
        <v>0</v>
      </c>
    </row>
    <row r="9125" spans="1:10" hidden="1" x14ac:dyDescent="0.25">
      <c r="A9125" s="179"/>
      <c r="B9125" s="177"/>
      <c r="C9125" s="39"/>
      <c r="D9125" s="39"/>
      <c r="E9125" s="40"/>
      <c r="F9125" s="55" t="s">
        <v>13</v>
      </c>
      <c r="G9125" s="41" t="str">
        <f>IF(ISNUMBER(F9125),E9125*F9125,"")</f>
        <v/>
      </c>
      <c r="H9125" s="42"/>
      <c r="I9125" s="38"/>
      <c r="J9125" s="37">
        <v>0</v>
      </c>
    </row>
    <row r="9126" spans="1:10" ht="25.5" hidden="1" x14ac:dyDescent="0.25">
      <c r="A9126" s="179"/>
      <c r="B9126" s="177"/>
      <c r="C9126" s="43" t="s">
        <v>11668</v>
      </c>
      <c r="D9126" s="43" t="s">
        <v>83</v>
      </c>
      <c r="E9126" s="44">
        <v>1</v>
      </c>
      <c r="F9126" s="38">
        <v>13.375999999999999</v>
      </c>
      <c r="G9126" s="41">
        <f>IF(ISNUMBER(F9126),E9126*F9126,"")</f>
        <v>13.375999999999999</v>
      </c>
      <c r="H9126" s="46">
        <f>SUM(G9126:G9126)</f>
        <v>13.375999999999999</v>
      </c>
      <c r="I9126" s="47"/>
      <c r="J9126" s="37">
        <v>0</v>
      </c>
    </row>
    <row r="9127" spans="1:10" ht="15.75" hidden="1" thickBot="1" x14ac:dyDescent="0.3">
      <c r="A9127" s="180"/>
      <c r="B9127" s="178"/>
      <c r="C9127" s="49"/>
      <c r="D9127" s="49"/>
      <c r="E9127" s="50"/>
      <c r="F9127" s="51"/>
      <c r="G9127" s="52" t="str">
        <f>IF(ISNUMBER(F9127),E9127*F9127,"")</f>
        <v/>
      </c>
      <c r="H9127" s="53"/>
      <c r="I9127" s="47"/>
      <c r="J9127" s="37">
        <v>0</v>
      </c>
    </row>
    <row r="9128" spans="1:10" ht="15.75" hidden="1" thickBot="1" x14ac:dyDescent="0.3">
      <c r="A9128" s="173" t="s">
        <v>2197</v>
      </c>
      <c r="B9128" s="176" t="s">
        <v>9328</v>
      </c>
      <c r="C9128" s="31"/>
      <c r="D9128" s="32" t="s">
        <v>18</v>
      </c>
      <c r="E9128" s="33"/>
      <c r="F9128" s="54" t="s">
        <v>13</v>
      </c>
      <c r="G9128" s="34" t="str">
        <f>IF(ISNUMBER(F9128),E9128*F9128,"")</f>
        <v/>
      </c>
      <c r="H9128" s="35"/>
      <c r="I9128" s="36"/>
      <c r="J9128" s="37">
        <v>0</v>
      </c>
    </row>
    <row r="9129" spans="1:10" hidden="1" x14ac:dyDescent="0.25">
      <c r="A9129" s="179"/>
      <c r="B9129" s="177"/>
      <c r="C9129" s="39"/>
      <c r="D9129" s="39"/>
      <c r="E9129" s="40"/>
      <c r="F9129" s="55" t="s">
        <v>13</v>
      </c>
      <c r="G9129" s="41" t="str">
        <f>IF(ISNUMBER(F9129),E9129*F9129,"")</f>
        <v/>
      </c>
      <c r="H9129" s="42"/>
      <c r="I9129" s="38"/>
      <c r="J9129" s="37">
        <v>0</v>
      </c>
    </row>
    <row r="9130" spans="1:10" ht="25.5" hidden="1" x14ac:dyDescent="0.25">
      <c r="A9130" s="179"/>
      <c r="B9130" s="177"/>
      <c r="C9130" s="43" t="s">
        <v>11669</v>
      </c>
      <c r="D9130" s="43" t="s">
        <v>83</v>
      </c>
      <c r="E9130" s="44">
        <v>1</v>
      </c>
      <c r="F9130" s="38">
        <v>13.936499999999999</v>
      </c>
      <c r="G9130" s="41">
        <f>IF(ISNUMBER(F9130),E9130*F9130,"")</f>
        <v>13.936499999999999</v>
      </c>
      <c r="H9130" s="46">
        <f>SUM(G9130:G9130)</f>
        <v>13.936499999999999</v>
      </c>
      <c r="I9130" s="47"/>
      <c r="J9130" s="37">
        <v>0</v>
      </c>
    </row>
    <row r="9131" spans="1:10" ht="15.75" hidden="1" thickBot="1" x14ac:dyDescent="0.3">
      <c r="A9131" s="180"/>
      <c r="B9131" s="178"/>
      <c r="C9131" s="49"/>
      <c r="D9131" s="49"/>
      <c r="E9131" s="50"/>
      <c r="F9131" s="51"/>
      <c r="G9131" s="52" t="str">
        <f>IF(ISNUMBER(F9131),E9131*F9131,"")</f>
        <v/>
      </c>
      <c r="H9131" s="53"/>
      <c r="I9131" s="47"/>
      <c r="J9131" s="37">
        <v>0</v>
      </c>
    </row>
    <row r="9132" spans="1:10" ht="15.75" hidden="1" thickBot="1" x14ac:dyDescent="0.3">
      <c r="A9132" s="173" t="s">
        <v>2198</v>
      </c>
      <c r="B9132" s="176" t="s">
        <v>9329</v>
      </c>
      <c r="C9132" s="31"/>
      <c r="D9132" s="32" t="s">
        <v>106</v>
      </c>
      <c r="E9132" s="33"/>
      <c r="F9132" s="54" t="s">
        <v>13</v>
      </c>
      <c r="G9132" s="34" t="str">
        <f>IF(ISNUMBER(F9132),E9132*F9132,"")</f>
        <v/>
      </c>
      <c r="H9132" s="35"/>
      <c r="I9132" s="36"/>
      <c r="J9132" s="37">
        <v>0</v>
      </c>
    </row>
    <row r="9133" spans="1:10" hidden="1" x14ac:dyDescent="0.25">
      <c r="A9133" s="179"/>
      <c r="B9133" s="177"/>
      <c r="C9133" s="39"/>
      <c r="D9133" s="39"/>
      <c r="E9133" s="40"/>
      <c r="F9133" s="55" t="s">
        <v>13</v>
      </c>
      <c r="G9133" s="41" t="str">
        <f>IF(ISNUMBER(F9133),E9133*F9133,"")</f>
        <v/>
      </c>
      <c r="H9133" s="42"/>
      <c r="I9133" s="38"/>
      <c r="J9133" s="37">
        <v>0</v>
      </c>
    </row>
    <row r="9134" spans="1:10" ht="25.5" hidden="1" x14ac:dyDescent="0.25">
      <c r="A9134" s="179"/>
      <c r="B9134" s="177"/>
      <c r="C9134" s="43" t="s">
        <v>10962</v>
      </c>
      <c r="D9134" s="43" t="s">
        <v>1302</v>
      </c>
      <c r="E9134" s="44">
        <v>1</v>
      </c>
      <c r="F9134" s="38">
        <v>81.433999999999997</v>
      </c>
      <c r="G9134" s="41">
        <f>IF(ISNUMBER(F9134),E9134*F9134,"")</f>
        <v>81.433999999999997</v>
      </c>
      <c r="H9134" s="46">
        <f>SUM(G9134:G9134)</f>
        <v>81.433999999999997</v>
      </c>
      <c r="I9134" s="47"/>
      <c r="J9134" s="37">
        <v>0</v>
      </c>
    </row>
    <row r="9135" spans="1:10" ht="15.75" hidden="1" thickBot="1" x14ac:dyDescent="0.3">
      <c r="A9135" s="180"/>
      <c r="B9135" s="178"/>
      <c r="C9135" s="49"/>
      <c r="D9135" s="49"/>
      <c r="E9135" s="50"/>
      <c r="F9135" s="51"/>
      <c r="G9135" s="52" t="str">
        <f>IF(ISNUMBER(F9135),E9135*F9135,"")</f>
        <v/>
      </c>
      <c r="H9135" s="53"/>
      <c r="I9135" s="47"/>
      <c r="J9135" s="37">
        <v>0</v>
      </c>
    </row>
    <row r="9136" spans="1:10" ht="15.75" hidden="1" thickBot="1" x14ac:dyDescent="0.3">
      <c r="A9136" s="173" t="s">
        <v>2199</v>
      </c>
      <c r="B9136" s="176" t="s">
        <v>9330</v>
      </c>
      <c r="C9136" s="31"/>
      <c r="D9136" s="32" t="s">
        <v>18</v>
      </c>
      <c r="E9136" s="33"/>
      <c r="F9136" s="54" t="s">
        <v>13</v>
      </c>
      <c r="G9136" s="34" t="str">
        <f>IF(ISNUMBER(F9136),E9136*F9136,"")</f>
        <v/>
      </c>
      <c r="H9136" s="35"/>
      <c r="I9136" s="36"/>
      <c r="J9136" s="37">
        <v>0</v>
      </c>
    </row>
    <row r="9137" spans="1:10" hidden="1" x14ac:dyDescent="0.25">
      <c r="A9137" s="179"/>
      <c r="B9137" s="177"/>
      <c r="C9137" s="39"/>
      <c r="D9137" s="39"/>
      <c r="E9137" s="40"/>
      <c r="F9137" s="55" t="s">
        <v>13</v>
      </c>
      <c r="G9137" s="41" t="str">
        <f>IF(ISNUMBER(F9137),E9137*F9137,"")</f>
        <v/>
      </c>
      <c r="H9137" s="42"/>
      <c r="I9137" s="38"/>
      <c r="J9137" s="37">
        <v>0</v>
      </c>
    </row>
    <row r="9138" spans="1:10" ht="25.5" hidden="1" x14ac:dyDescent="0.25">
      <c r="A9138" s="179"/>
      <c r="B9138" s="177"/>
      <c r="C9138" s="43" t="s">
        <v>11670</v>
      </c>
      <c r="D9138" s="43" t="s">
        <v>83</v>
      </c>
      <c r="E9138" s="44">
        <v>1</v>
      </c>
      <c r="F9138" s="38">
        <v>33.116999999999997</v>
      </c>
      <c r="G9138" s="41">
        <f>IF(ISNUMBER(F9138),E9138*F9138,"")</f>
        <v>33.116999999999997</v>
      </c>
      <c r="H9138" s="46">
        <f>SUM(G9138:G9138)</f>
        <v>33.116999999999997</v>
      </c>
      <c r="I9138" s="47"/>
      <c r="J9138" s="37">
        <v>0</v>
      </c>
    </row>
    <row r="9139" spans="1:10" ht="15.75" hidden="1" thickBot="1" x14ac:dyDescent="0.3">
      <c r="A9139" s="180"/>
      <c r="B9139" s="178"/>
      <c r="C9139" s="49"/>
      <c r="D9139" s="49"/>
      <c r="E9139" s="50"/>
      <c r="F9139" s="51"/>
      <c r="G9139" s="52" t="str">
        <f>IF(ISNUMBER(F9139),E9139*F9139,"")</f>
        <v/>
      </c>
      <c r="H9139" s="53"/>
      <c r="I9139" s="47"/>
      <c r="J9139" s="37">
        <v>0</v>
      </c>
    </row>
    <row r="9140" spans="1:10" ht="15.75" hidden="1" thickBot="1" x14ac:dyDescent="0.3">
      <c r="A9140" s="173" t="s">
        <v>2200</v>
      </c>
      <c r="B9140" s="176" t="s">
        <v>9331</v>
      </c>
      <c r="C9140" s="31"/>
      <c r="D9140" s="32" t="s">
        <v>18</v>
      </c>
      <c r="E9140" s="33"/>
      <c r="F9140" s="54" t="s">
        <v>13</v>
      </c>
      <c r="G9140" s="34" t="str">
        <f>IF(ISNUMBER(F9140),E9140*F9140,"")</f>
        <v/>
      </c>
      <c r="H9140" s="35"/>
      <c r="I9140" s="36"/>
      <c r="J9140" s="37">
        <v>0</v>
      </c>
    </row>
    <row r="9141" spans="1:10" hidden="1" x14ac:dyDescent="0.25">
      <c r="A9141" s="179"/>
      <c r="B9141" s="177"/>
      <c r="C9141" s="39"/>
      <c r="D9141" s="39"/>
      <c r="E9141" s="40"/>
      <c r="F9141" s="55" t="s">
        <v>13</v>
      </c>
      <c r="G9141" s="41" t="str">
        <f>IF(ISNUMBER(F9141),E9141*F9141,"")</f>
        <v/>
      </c>
      <c r="H9141" s="42"/>
      <c r="I9141" s="38"/>
      <c r="J9141" s="37">
        <v>0</v>
      </c>
    </row>
    <row r="9142" spans="1:10" ht="25.5" hidden="1" x14ac:dyDescent="0.25">
      <c r="A9142" s="179"/>
      <c r="B9142" s="177"/>
      <c r="C9142" s="43" t="s">
        <v>11671</v>
      </c>
      <c r="D9142" s="43" t="s">
        <v>83</v>
      </c>
      <c r="E9142" s="44">
        <v>1</v>
      </c>
      <c r="F9142" s="38">
        <v>55.109499999999997</v>
      </c>
      <c r="G9142" s="41">
        <f>IF(ISNUMBER(F9142),E9142*F9142,"")</f>
        <v>55.109499999999997</v>
      </c>
      <c r="H9142" s="46">
        <f>SUM(G9142:G9142)</f>
        <v>55.109499999999997</v>
      </c>
      <c r="I9142" s="47"/>
      <c r="J9142" s="37">
        <v>0</v>
      </c>
    </row>
    <row r="9143" spans="1:10" ht="15.75" hidden="1" thickBot="1" x14ac:dyDescent="0.3">
      <c r="A9143" s="180"/>
      <c r="B9143" s="178"/>
      <c r="C9143" s="49"/>
      <c r="D9143" s="49"/>
      <c r="E9143" s="50"/>
      <c r="F9143" s="51"/>
      <c r="G9143" s="52" t="str">
        <f>IF(ISNUMBER(F9143),E9143*F9143,"")</f>
        <v/>
      </c>
      <c r="H9143" s="53"/>
      <c r="I9143" s="47"/>
      <c r="J9143" s="37">
        <v>0</v>
      </c>
    </row>
    <row r="9144" spans="1:10" ht="15.75" hidden="1" thickBot="1" x14ac:dyDescent="0.3">
      <c r="A9144" s="173" t="s">
        <v>2201</v>
      </c>
      <c r="B9144" s="176" t="s">
        <v>9332</v>
      </c>
      <c r="C9144" s="31"/>
      <c r="D9144" s="32" t="s">
        <v>18</v>
      </c>
      <c r="E9144" s="33"/>
      <c r="F9144" s="54" t="s">
        <v>13</v>
      </c>
      <c r="G9144" s="34" t="str">
        <f>IF(ISNUMBER(F9144),E9144*F9144,"")</f>
        <v/>
      </c>
      <c r="H9144" s="35"/>
      <c r="I9144" s="36"/>
      <c r="J9144" s="37">
        <v>0</v>
      </c>
    </row>
    <row r="9145" spans="1:10" hidden="1" x14ac:dyDescent="0.25">
      <c r="A9145" s="179"/>
      <c r="B9145" s="177"/>
      <c r="C9145" s="39"/>
      <c r="D9145" s="39"/>
      <c r="E9145" s="40"/>
      <c r="F9145" s="55" t="s">
        <v>13</v>
      </c>
      <c r="G9145" s="41" t="str">
        <f>IF(ISNUMBER(F9145),E9145*F9145,"")</f>
        <v/>
      </c>
      <c r="H9145" s="42"/>
      <c r="I9145" s="38"/>
      <c r="J9145" s="37">
        <v>0</v>
      </c>
    </row>
    <row r="9146" spans="1:10" hidden="1" x14ac:dyDescent="0.25">
      <c r="A9146" s="179"/>
      <c r="B9146" s="177"/>
      <c r="C9146" s="43" t="s">
        <v>11672</v>
      </c>
      <c r="D9146" s="43" t="s">
        <v>83</v>
      </c>
      <c r="E9146" s="44">
        <v>1</v>
      </c>
      <c r="F9146" s="38">
        <v>16.852999999999998</v>
      </c>
      <c r="G9146" s="41">
        <f>IF(ISNUMBER(F9146),E9146*F9146,"")</f>
        <v>16.852999999999998</v>
      </c>
      <c r="H9146" s="46">
        <f>SUM(G9146:G9146)</f>
        <v>16.852999999999998</v>
      </c>
      <c r="I9146" s="47"/>
      <c r="J9146" s="37">
        <v>0</v>
      </c>
    </row>
    <row r="9147" spans="1:10" ht="15.75" hidden="1" thickBot="1" x14ac:dyDescent="0.3">
      <c r="A9147" s="180"/>
      <c r="B9147" s="178"/>
      <c r="C9147" s="49"/>
      <c r="D9147" s="49"/>
      <c r="E9147" s="50"/>
      <c r="F9147" s="51"/>
      <c r="G9147" s="52" t="str">
        <f>IF(ISNUMBER(F9147),E9147*F9147,"")</f>
        <v/>
      </c>
      <c r="H9147" s="53"/>
      <c r="I9147" s="47"/>
      <c r="J9147" s="37">
        <v>0</v>
      </c>
    </row>
    <row r="9148" spans="1:10" ht="15.75" hidden="1" thickBot="1" x14ac:dyDescent="0.3">
      <c r="A9148" s="173" t="s">
        <v>2202</v>
      </c>
      <c r="B9148" s="176" t="s">
        <v>9333</v>
      </c>
      <c r="C9148" s="31"/>
      <c r="D9148" s="32" t="s">
        <v>18</v>
      </c>
      <c r="E9148" s="33"/>
      <c r="F9148" s="54" t="s">
        <v>13</v>
      </c>
      <c r="G9148" s="34" t="str">
        <f>IF(ISNUMBER(F9148),E9148*F9148,"")</f>
        <v/>
      </c>
      <c r="H9148" s="35"/>
      <c r="I9148" s="36"/>
      <c r="J9148" s="37">
        <v>0</v>
      </c>
    </row>
    <row r="9149" spans="1:10" hidden="1" x14ac:dyDescent="0.25">
      <c r="A9149" s="179"/>
      <c r="B9149" s="177"/>
      <c r="C9149" s="39"/>
      <c r="D9149" s="39"/>
      <c r="E9149" s="40"/>
      <c r="F9149" s="55" t="s">
        <v>13</v>
      </c>
      <c r="G9149" s="41" t="str">
        <f>IF(ISNUMBER(F9149),E9149*F9149,"")</f>
        <v/>
      </c>
      <c r="H9149" s="42"/>
      <c r="I9149" s="38"/>
      <c r="J9149" s="37">
        <v>0</v>
      </c>
    </row>
    <row r="9150" spans="1:10" hidden="1" x14ac:dyDescent="0.25">
      <c r="A9150" s="179"/>
      <c r="B9150" s="177"/>
      <c r="C9150" s="43" t="s">
        <v>11673</v>
      </c>
      <c r="D9150" s="43" t="s">
        <v>83</v>
      </c>
      <c r="E9150" s="44">
        <v>1</v>
      </c>
      <c r="F9150" s="38">
        <v>18.5535</v>
      </c>
      <c r="G9150" s="41">
        <f>IF(ISNUMBER(F9150),E9150*F9150,"")</f>
        <v>18.5535</v>
      </c>
      <c r="H9150" s="46">
        <f>SUM(G9150:G9150)</f>
        <v>18.5535</v>
      </c>
      <c r="I9150" s="47"/>
      <c r="J9150" s="37">
        <v>0</v>
      </c>
    </row>
    <row r="9151" spans="1:10" ht="15.75" hidden="1" thickBot="1" x14ac:dyDescent="0.3">
      <c r="A9151" s="180"/>
      <c r="B9151" s="178"/>
      <c r="C9151" s="49"/>
      <c r="D9151" s="49"/>
      <c r="E9151" s="50"/>
      <c r="F9151" s="51"/>
      <c r="G9151" s="52" t="str">
        <f>IF(ISNUMBER(F9151),E9151*F9151,"")</f>
        <v/>
      </c>
      <c r="H9151" s="53"/>
      <c r="I9151" s="47"/>
      <c r="J9151" s="37">
        <v>0</v>
      </c>
    </row>
    <row r="9152" spans="1:10" ht="15.75" hidden="1" thickBot="1" x14ac:dyDescent="0.3">
      <c r="A9152" s="173" t="s">
        <v>2203</v>
      </c>
      <c r="B9152" s="176" t="s">
        <v>9334</v>
      </c>
      <c r="C9152" s="31"/>
      <c r="D9152" s="32" t="s">
        <v>18</v>
      </c>
      <c r="E9152" s="33"/>
      <c r="F9152" s="54" t="s">
        <v>13</v>
      </c>
      <c r="G9152" s="34" t="str">
        <f>IF(ISNUMBER(F9152),E9152*F9152,"")</f>
        <v/>
      </c>
      <c r="H9152" s="35"/>
      <c r="I9152" s="36"/>
      <c r="J9152" s="37">
        <v>0</v>
      </c>
    </row>
    <row r="9153" spans="1:10" hidden="1" x14ac:dyDescent="0.25">
      <c r="A9153" s="179"/>
      <c r="B9153" s="177"/>
      <c r="C9153" s="39"/>
      <c r="D9153" s="39"/>
      <c r="E9153" s="40"/>
      <c r="F9153" s="55" t="s">
        <v>13</v>
      </c>
      <c r="G9153" s="41" t="str">
        <f>IF(ISNUMBER(F9153),E9153*F9153,"")</f>
        <v/>
      </c>
      <c r="H9153" s="42"/>
      <c r="I9153" s="38"/>
      <c r="J9153" s="37">
        <v>0</v>
      </c>
    </row>
    <row r="9154" spans="1:10" ht="25.5" hidden="1" x14ac:dyDescent="0.25">
      <c r="A9154" s="179"/>
      <c r="B9154" s="177"/>
      <c r="C9154" s="43" t="s">
        <v>11674</v>
      </c>
      <c r="D9154" s="43" t="s">
        <v>83</v>
      </c>
      <c r="E9154" s="44">
        <v>1</v>
      </c>
      <c r="F9154" s="38">
        <v>15.389999999999999</v>
      </c>
      <c r="G9154" s="41">
        <f>IF(ISNUMBER(F9154),E9154*F9154,"")</f>
        <v>15.389999999999999</v>
      </c>
      <c r="H9154" s="46">
        <f>SUM(G9154:G9154)</f>
        <v>15.389999999999999</v>
      </c>
      <c r="I9154" s="47"/>
      <c r="J9154" s="37">
        <v>0</v>
      </c>
    </row>
    <row r="9155" spans="1:10" ht="15.75" hidden="1" thickBot="1" x14ac:dyDescent="0.3">
      <c r="A9155" s="180"/>
      <c r="B9155" s="178"/>
      <c r="C9155" s="49"/>
      <c r="D9155" s="49"/>
      <c r="E9155" s="50"/>
      <c r="F9155" s="51"/>
      <c r="G9155" s="52" t="str">
        <f>IF(ISNUMBER(F9155),E9155*F9155,"")</f>
        <v/>
      </c>
      <c r="H9155" s="53"/>
      <c r="I9155" s="47"/>
      <c r="J9155" s="37">
        <v>0</v>
      </c>
    </row>
    <row r="9156" spans="1:10" ht="15.75" hidden="1" thickBot="1" x14ac:dyDescent="0.3">
      <c r="A9156" s="173" t="s">
        <v>2204</v>
      </c>
      <c r="B9156" s="176" t="s">
        <v>9335</v>
      </c>
      <c r="C9156" s="31"/>
      <c r="D9156" s="32" t="s">
        <v>18</v>
      </c>
      <c r="E9156" s="33"/>
      <c r="F9156" s="54" t="s">
        <v>13</v>
      </c>
      <c r="G9156" s="34" t="str">
        <f>IF(ISNUMBER(F9156),E9156*F9156,"")</f>
        <v/>
      </c>
      <c r="H9156" s="35"/>
      <c r="I9156" s="36"/>
      <c r="J9156" s="37">
        <v>0</v>
      </c>
    </row>
    <row r="9157" spans="1:10" hidden="1" x14ac:dyDescent="0.25">
      <c r="A9157" s="179"/>
      <c r="B9157" s="177"/>
      <c r="C9157" s="39"/>
      <c r="D9157" s="39"/>
      <c r="E9157" s="40"/>
      <c r="F9157" s="55" t="s">
        <v>13</v>
      </c>
      <c r="G9157" s="41" t="str">
        <f>IF(ISNUMBER(F9157),E9157*F9157,"")</f>
        <v/>
      </c>
      <c r="H9157" s="42"/>
      <c r="I9157" s="38"/>
      <c r="J9157" s="37">
        <v>0</v>
      </c>
    </row>
    <row r="9158" spans="1:10" hidden="1" x14ac:dyDescent="0.25">
      <c r="A9158" s="179"/>
      <c r="B9158" s="177"/>
      <c r="C9158" s="43" t="s">
        <v>11675</v>
      </c>
      <c r="D9158" s="43" t="s">
        <v>83</v>
      </c>
      <c r="E9158" s="44">
        <v>1</v>
      </c>
      <c r="F9158" s="38">
        <v>32.737000000000002</v>
      </c>
      <c r="G9158" s="41">
        <f>IF(ISNUMBER(F9158),E9158*F9158,"")</f>
        <v>32.737000000000002</v>
      </c>
      <c r="H9158" s="46">
        <f>SUM(G9158:G9158)</f>
        <v>32.737000000000002</v>
      </c>
      <c r="I9158" s="47"/>
      <c r="J9158" s="37">
        <v>0</v>
      </c>
    </row>
    <row r="9159" spans="1:10" ht="15.75" hidden="1" thickBot="1" x14ac:dyDescent="0.3">
      <c r="A9159" s="180"/>
      <c r="B9159" s="178"/>
      <c r="C9159" s="49"/>
      <c r="D9159" s="49"/>
      <c r="E9159" s="50"/>
      <c r="F9159" s="51"/>
      <c r="G9159" s="52" t="str">
        <f>IF(ISNUMBER(F9159),E9159*F9159,"")</f>
        <v/>
      </c>
      <c r="H9159" s="53"/>
      <c r="I9159" s="47"/>
      <c r="J9159" s="37">
        <v>0</v>
      </c>
    </row>
    <row r="9160" spans="1:10" ht="15.75" hidden="1" thickBot="1" x14ac:dyDescent="0.3">
      <c r="A9160" s="173" t="s">
        <v>2205</v>
      </c>
      <c r="B9160" s="176" t="s">
        <v>9336</v>
      </c>
      <c r="C9160" s="31"/>
      <c r="D9160" s="32" t="s">
        <v>18</v>
      </c>
      <c r="E9160" s="33"/>
      <c r="F9160" s="54" t="s">
        <v>13</v>
      </c>
      <c r="G9160" s="34" t="str">
        <f>IF(ISNUMBER(F9160),E9160*F9160,"")</f>
        <v/>
      </c>
      <c r="H9160" s="35"/>
      <c r="I9160" s="36"/>
      <c r="J9160" s="37">
        <v>0</v>
      </c>
    </row>
    <row r="9161" spans="1:10" hidden="1" x14ac:dyDescent="0.25">
      <c r="A9161" s="179"/>
      <c r="B9161" s="177"/>
      <c r="C9161" s="39"/>
      <c r="D9161" s="39"/>
      <c r="E9161" s="40"/>
      <c r="F9161" s="55" t="s">
        <v>13</v>
      </c>
      <c r="G9161" s="41" t="str">
        <f>IF(ISNUMBER(F9161),E9161*F9161,"")</f>
        <v/>
      </c>
      <c r="H9161" s="42"/>
      <c r="I9161" s="38"/>
      <c r="J9161" s="37">
        <v>0</v>
      </c>
    </row>
    <row r="9162" spans="1:10" hidden="1" x14ac:dyDescent="0.25">
      <c r="A9162" s="179"/>
      <c r="B9162" s="177"/>
      <c r="C9162" s="43" t="s">
        <v>11676</v>
      </c>
      <c r="D9162" s="43" t="s">
        <v>83</v>
      </c>
      <c r="E9162" s="44">
        <v>1</v>
      </c>
      <c r="F9162" s="38">
        <v>11.979499999999998</v>
      </c>
      <c r="G9162" s="41">
        <f>IF(ISNUMBER(F9162),E9162*F9162,"")</f>
        <v>11.979499999999998</v>
      </c>
      <c r="H9162" s="46">
        <f>SUM(G9162:G9162)</f>
        <v>11.979499999999998</v>
      </c>
      <c r="I9162" s="47"/>
      <c r="J9162" s="37">
        <v>0</v>
      </c>
    </row>
    <row r="9163" spans="1:10" ht="15.75" hidden="1" thickBot="1" x14ac:dyDescent="0.3">
      <c r="A9163" s="180"/>
      <c r="B9163" s="178"/>
      <c r="C9163" s="49"/>
      <c r="D9163" s="49"/>
      <c r="E9163" s="50"/>
      <c r="F9163" s="51"/>
      <c r="G9163" s="52" t="str">
        <f>IF(ISNUMBER(F9163),E9163*F9163,"")</f>
        <v/>
      </c>
      <c r="H9163" s="53"/>
      <c r="I9163" s="47"/>
      <c r="J9163" s="37">
        <v>0</v>
      </c>
    </row>
    <row r="9164" spans="1:10" ht="15.75" hidden="1" thickBot="1" x14ac:dyDescent="0.3">
      <c r="A9164" s="173" t="s">
        <v>2206</v>
      </c>
      <c r="B9164" s="176" t="s">
        <v>9339</v>
      </c>
      <c r="C9164" s="31"/>
      <c r="D9164" s="32" t="s">
        <v>18</v>
      </c>
      <c r="E9164" s="33"/>
      <c r="F9164" s="54" t="s">
        <v>13</v>
      </c>
      <c r="G9164" s="34" t="str">
        <f>IF(ISNUMBER(F9164),E9164*F9164,"")</f>
        <v/>
      </c>
      <c r="H9164" s="35"/>
      <c r="I9164" s="36"/>
      <c r="J9164" s="37">
        <v>0</v>
      </c>
    </row>
    <row r="9165" spans="1:10" hidden="1" x14ac:dyDescent="0.25">
      <c r="A9165" s="179"/>
      <c r="B9165" s="177"/>
      <c r="C9165" s="39"/>
      <c r="D9165" s="39"/>
      <c r="E9165" s="40"/>
      <c r="F9165" s="55" t="s">
        <v>13</v>
      </c>
      <c r="G9165" s="41" t="str">
        <f>IF(ISNUMBER(F9165),E9165*F9165,"")</f>
        <v/>
      </c>
      <c r="H9165" s="42"/>
      <c r="I9165" s="38"/>
      <c r="J9165" s="37">
        <v>0</v>
      </c>
    </row>
    <row r="9166" spans="1:10" ht="25.5" hidden="1" x14ac:dyDescent="0.25">
      <c r="A9166" s="179"/>
      <c r="B9166" s="177"/>
      <c r="C9166" s="43" t="s">
        <v>11677</v>
      </c>
      <c r="D9166" s="43" t="s">
        <v>83</v>
      </c>
      <c r="E9166" s="44">
        <v>1</v>
      </c>
      <c r="F9166" s="38">
        <v>16.102499999999999</v>
      </c>
      <c r="G9166" s="41">
        <f>IF(ISNUMBER(F9166),E9166*F9166,"")</f>
        <v>16.102499999999999</v>
      </c>
      <c r="H9166" s="46">
        <f>SUM(G9166:G9166)</f>
        <v>16.102499999999999</v>
      </c>
      <c r="I9166" s="47"/>
      <c r="J9166" s="37">
        <v>0</v>
      </c>
    </row>
    <row r="9167" spans="1:10" ht="15.75" hidden="1" thickBot="1" x14ac:dyDescent="0.3">
      <c r="A9167" s="180"/>
      <c r="B9167" s="178"/>
      <c r="C9167" s="49"/>
      <c r="D9167" s="49"/>
      <c r="E9167" s="50"/>
      <c r="F9167" s="51"/>
      <c r="G9167" s="52" t="str">
        <f>IF(ISNUMBER(F9167),E9167*F9167,"")</f>
        <v/>
      </c>
      <c r="H9167" s="53"/>
      <c r="I9167" s="47"/>
      <c r="J9167" s="37">
        <v>0</v>
      </c>
    </row>
    <row r="9168" spans="1:10" ht="15.75" hidden="1" thickBot="1" x14ac:dyDescent="0.3">
      <c r="A9168" s="173" t="s">
        <v>2207</v>
      </c>
      <c r="B9168" s="176" t="s">
        <v>9340</v>
      </c>
      <c r="C9168" s="31"/>
      <c r="D9168" s="32" t="s">
        <v>18</v>
      </c>
      <c r="E9168" s="33"/>
      <c r="F9168" s="54" t="s">
        <v>13</v>
      </c>
      <c r="G9168" s="34" t="str">
        <f>IF(ISNUMBER(F9168),E9168*F9168,"")</f>
        <v/>
      </c>
      <c r="H9168" s="35"/>
      <c r="I9168" s="36"/>
      <c r="J9168" s="37">
        <v>0</v>
      </c>
    </row>
    <row r="9169" spans="1:10" hidden="1" x14ac:dyDescent="0.25">
      <c r="A9169" s="179"/>
      <c r="B9169" s="177"/>
      <c r="C9169" s="39"/>
      <c r="D9169" s="39"/>
      <c r="E9169" s="40"/>
      <c r="F9169" s="55" t="s">
        <v>13</v>
      </c>
      <c r="G9169" s="41" t="str">
        <f>IF(ISNUMBER(F9169),E9169*F9169,"")</f>
        <v/>
      </c>
      <c r="H9169" s="42"/>
      <c r="I9169" s="38"/>
      <c r="J9169" s="37">
        <v>0</v>
      </c>
    </row>
    <row r="9170" spans="1:10" ht="25.5" hidden="1" x14ac:dyDescent="0.25">
      <c r="A9170" s="179"/>
      <c r="B9170" s="177"/>
      <c r="C9170" s="43" t="s">
        <v>11678</v>
      </c>
      <c r="D9170" s="43" t="s">
        <v>83</v>
      </c>
      <c r="E9170" s="44">
        <v>1</v>
      </c>
      <c r="F9170" s="38">
        <v>19.9025</v>
      </c>
      <c r="G9170" s="41">
        <f>IF(ISNUMBER(F9170),E9170*F9170,"")</f>
        <v>19.9025</v>
      </c>
      <c r="H9170" s="46">
        <f>SUM(G9170:G9170)</f>
        <v>19.9025</v>
      </c>
      <c r="I9170" s="47"/>
      <c r="J9170" s="37">
        <v>0</v>
      </c>
    </row>
    <row r="9171" spans="1:10" ht="15.75" hidden="1" thickBot="1" x14ac:dyDescent="0.3">
      <c r="A9171" s="180"/>
      <c r="B9171" s="178"/>
      <c r="C9171" s="49"/>
      <c r="D9171" s="49"/>
      <c r="E9171" s="50"/>
      <c r="F9171" s="51"/>
      <c r="G9171" s="52" t="str">
        <f>IF(ISNUMBER(F9171),E9171*F9171,"")</f>
        <v/>
      </c>
      <c r="H9171" s="53"/>
      <c r="I9171" s="47"/>
      <c r="J9171" s="37">
        <v>0</v>
      </c>
    </row>
    <row r="9172" spans="1:10" ht="15.75" hidden="1" thickBot="1" x14ac:dyDescent="0.3">
      <c r="A9172" s="173" t="s">
        <v>2208</v>
      </c>
      <c r="B9172" s="176" t="s">
        <v>9341</v>
      </c>
      <c r="C9172" s="31"/>
      <c r="D9172" s="32" t="s">
        <v>18</v>
      </c>
      <c r="E9172" s="33"/>
      <c r="F9172" s="54" t="s">
        <v>13</v>
      </c>
      <c r="G9172" s="34" t="str">
        <f>IF(ISNUMBER(F9172),E9172*F9172,"")</f>
        <v/>
      </c>
      <c r="H9172" s="35"/>
      <c r="I9172" s="36"/>
      <c r="J9172" s="37">
        <v>0</v>
      </c>
    </row>
    <row r="9173" spans="1:10" hidden="1" x14ac:dyDescent="0.25">
      <c r="A9173" s="179"/>
      <c r="B9173" s="177"/>
      <c r="C9173" s="39"/>
      <c r="D9173" s="39"/>
      <c r="E9173" s="40"/>
      <c r="F9173" s="55" t="s">
        <v>13</v>
      </c>
      <c r="G9173" s="41" t="str">
        <f>IF(ISNUMBER(F9173),E9173*F9173,"")</f>
        <v/>
      </c>
      <c r="H9173" s="42"/>
      <c r="I9173" s="38"/>
      <c r="J9173" s="37">
        <v>0</v>
      </c>
    </row>
    <row r="9174" spans="1:10" ht="25.5" hidden="1" x14ac:dyDescent="0.25">
      <c r="A9174" s="179"/>
      <c r="B9174" s="177"/>
      <c r="C9174" s="43" t="s">
        <v>11679</v>
      </c>
      <c r="D9174" s="43" t="s">
        <v>83</v>
      </c>
      <c r="E9174" s="44">
        <v>1</v>
      </c>
      <c r="F9174" s="38">
        <v>23.094499999999996</v>
      </c>
      <c r="G9174" s="41">
        <f>IF(ISNUMBER(F9174),E9174*F9174,"")</f>
        <v>23.094499999999996</v>
      </c>
      <c r="H9174" s="46">
        <f>SUM(G9174:G9174)</f>
        <v>23.094499999999996</v>
      </c>
      <c r="I9174" s="47"/>
      <c r="J9174" s="37">
        <v>0</v>
      </c>
    </row>
    <row r="9175" spans="1:10" ht="15.75" hidden="1" thickBot="1" x14ac:dyDescent="0.3">
      <c r="A9175" s="180"/>
      <c r="B9175" s="178"/>
      <c r="C9175" s="49"/>
      <c r="D9175" s="49"/>
      <c r="E9175" s="50"/>
      <c r="F9175" s="51"/>
      <c r="G9175" s="52" t="str">
        <f>IF(ISNUMBER(F9175),E9175*F9175,"")</f>
        <v/>
      </c>
      <c r="H9175" s="53"/>
      <c r="I9175" s="47"/>
      <c r="J9175" s="37">
        <v>0</v>
      </c>
    </row>
    <row r="9176" spans="1:10" ht="15.75" hidden="1" thickBot="1" x14ac:dyDescent="0.3">
      <c r="A9176" s="173" t="s">
        <v>2209</v>
      </c>
      <c r="B9176" s="176" t="s">
        <v>9342</v>
      </c>
      <c r="C9176" s="31"/>
      <c r="D9176" s="32" t="s">
        <v>18</v>
      </c>
      <c r="E9176" s="33"/>
      <c r="F9176" s="54" t="s">
        <v>13</v>
      </c>
      <c r="G9176" s="34" t="str">
        <f>IF(ISNUMBER(F9176),E9176*F9176,"")</f>
        <v/>
      </c>
      <c r="H9176" s="35"/>
      <c r="I9176" s="36"/>
      <c r="J9176" s="37">
        <v>0</v>
      </c>
    </row>
    <row r="9177" spans="1:10" hidden="1" x14ac:dyDescent="0.25">
      <c r="A9177" s="179"/>
      <c r="B9177" s="177"/>
      <c r="C9177" s="39"/>
      <c r="D9177" s="39"/>
      <c r="E9177" s="40"/>
      <c r="F9177" s="55" t="s">
        <v>13</v>
      </c>
      <c r="G9177" s="41" t="str">
        <f>IF(ISNUMBER(F9177),E9177*F9177,"")</f>
        <v/>
      </c>
      <c r="H9177" s="42"/>
      <c r="I9177" s="38"/>
      <c r="J9177" s="37">
        <v>0</v>
      </c>
    </row>
    <row r="9178" spans="1:10" ht="25.5" hidden="1" x14ac:dyDescent="0.25">
      <c r="A9178" s="179"/>
      <c r="B9178" s="177"/>
      <c r="C9178" s="43" t="s">
        <v>11680</v>
      </c>
      <c r="D9178" s="43" t="s">
        <v>83</v>
      </c>
      <c r="E9178" s="44">
        <v>1</v>
      </c>
      <c r="F9178" s="38">
        <v>15.750999999999998</v>
      </c>
      <c r="G9178" s="41">
        <f>IF(ISNUMBER(F9178),E9178*F9178,"")</f>
        <v>15.750999999999998</v>
      </c>
      <c r="H9178" s="46">
        <f>SUM(G9178:G9178)</f>
        <v>15.750999999999998</v>
      </c>
      <c r="I9178" s="47"/>
      <c r="J9178" s="37">
        <v>0</v>
      </c>
    </row>
    <row r="9179" spans="1:10" ht="15.75" hidden="1" thickBot="1" x14ac:dyDescent="0.3">
      <c r="A9179" s="180"/>
      <c r="B9179" s="178"/>
      <c r="C9179" s="49"/>
      <c r="D9179" s="49"/>
      <c r="E9179" s="50"/>
      <c r="F9179" s="51"/>
      <c r="G9179" s="52" t="str">
        <f>IF(ISNUMBER(F9179),E9179*F9179,"")</f>
        <v/>
      </c>
      <c r="H9179" s="53"/>
      <c r="I9179" s="47"/>
      <c r="J9179" s="37">
        <v>0</v>
      </c>
    </row>
    <row r="9180" spans="1:10" ht="15.75" hidden="1" thickBot="1" x14ac:dyDescent="0.3">
      <c r="A9180" s="173" t="s">
        <v>2210</v>
      </c>
      <c r="B9180" s="176" t="s">
        <v>9343</v>
      </c>
      <c r="C9180" s="31"/>
      <c r="D9180" s="32" t="s">
        <v>18</v>
      </c>
      <c r="E9180" s="33"/>
      <c r="F9180" s="54" t="s">
        <v>13</v>
      </c>
      <c r="G9180" s="34" t="str">
        <f>IF(ISNUMBER(F9180),E9180*F9180,"")</f>
        <v/>
      </c>
      <c r="H9180" s="35"/>
      <c r="I9180" s="36"/>
      <c r="J9180" s="37">
        <v>0</v>
      </c>
    </row>
    <row r="9181" spans="1:10" hidden="1" x14ac:dyDescent="0.25">
      <c r="A9181" s="179"/>
      <c r="B9181" s="177"/>
      <c r="C9181" s="39"/>
      <c r="D9181" s="39"/>
      <c r="E9181" s="40"/>
      <c r="F9181" s="55" t="s">
        <v>13</v>
      </c>
      <c r="G9181" s="41" t="str">
        <f>IF(ISNUMBER(F9181),E9181*F9181,"")</f>
        <v/>
      </c>
      <c r="H9181" s="42"/>
      <c r="I9181" s="38"/>
      <c r="J9181" s="37">
        <v>0</v>
      </c>
    </row>
    <row r="9182" spans="1:10" ht="25.5" hidden="1" x14ac:dyDescent="0.25">
      <c r="A9182" s="179"/>
      <c r="B9182" s="177"/>
      <c r="C9182" s="43" t="s">
        <v>11681</v>
      </c>
      <c r="D9182" s="43" t="s">
        <v>83</v>
      </c>
      <c r="E9182" s="44">
        <v>1</v>
      </c>
      <c r="F9182" s="38">
        <v>19.911999999999999</v>
      </c>
      <c r="G9182" s="41">
        <f>IF(ISNUMBER(F9182),E9182*F9182,"")</f>
        <v>19.911999999999999</v>
      </c>
      <c r="H9182" s="46">
        <f>SUM(G9182:G9182)</f>
        <v>19.911999999999999</v>
      </c>
      <c r="I9182" s="47"/>
      <c r="J9182" s="37">
        <v>0</v>
      </c>
    </row>
    <row r="9183" spans="1:10" ht="15.75" hidden="1" thickBot="1" x14ac:dyDescent="0.3">
      <c r="A9183" s="180"/>
      <c r="B9183" s="178"/>
      <c r="C9183" s="49"/>
      <c r="D9183" s="49"/>
      <c r="E9183" s="50"/>
      <c r="F9183" s="51"/>
      <c r="G9183" s="52" t="str">
        <f>IF(ISNUMBER(F9183),E9183*F9183,"")</f>
        <v/>
      </c>
      <c r="H9183" s="53"/>
      <c r="I9183" s="47"/>
      <c r="J9183" s="37">
        <v>0</v>
      </c>
    </row>
    <row r="9184" spans="1:10" ht="15.75" hidden="1" thickBot="1" x14ac:dyDescent="0.3">
      <c r="A9184" s="173" t="s">
        <v>2211</v>
      </c>
      <c r="B9184" s="176" t="s">
        <v>9344</v>
      </c>
      <c r="C9184" s="31"/>
      <c r="D9184" s="32" t="s">
        <v>18</v>
      </c>
      <c r="E9184" s="33"/>
      <c r="F9184" s="54" t="s">
        <v>13</v>
      </c>
      <c r="G9184" s="34" t="str">
        <f>IF(ISNUMBER(F9184),E9184*F9184,"")</f>
        <v/>
      </c>
      <c r="H9184" s="35"/>
      <c r="I9184" s="36"/>
      <c r="J9184" s="37">
        <v>0</v>
      </c>
    </row>
    <row r="9185" spans="1:10" hidden="1" x14ac:dyDescent="0.25">
      <c r="A9185" s="179"/>
      <c r="B9185" s="177"/>
      <c r="C9185" s="39"/>
      <c r="D9185" s="39"/>
      <c r="E9185" s="40"/>
      <c r="F9185" s="55" t="s">
        <v>13</v>
      </c>
      <c r="G9185" s="41" t="str">
        <f>IF(ISNUMBER(F9185),E9185*F9185,"")</f>
        <v/>
      </c>
      <c r="H9185" s="42"/>
      <c r="I9185" s="38"/>
      <c r="J9185" s="37">
        <v>0</v>
      </c>
    </row>
    <row r="9186" spans="1:10" ht="25.5" hidden="1" x14ac:dyDescent="0.25">
      <c r="A9186" s="179"/>
      <c r="B9186" s="177"/>
      <c r="C9186" s="43" t="s">
        <v>11682</v>
      </c>
      <c r="D9186" s="43" t="s">
        <v>83</v>
      </c>
      <c r="E9186" s="44">
        <v>1</v>
      </c>
      <c r="F9186" s="38">
        <v>23.094499999999996</v>
      </c>
      <c r="G9186" s="41">
        <f>IF(ISNUMBER(F9186),E9186*F9186,"")</f>
        <v>23.094499999999996</v>
      </c>
      <c r="H9186" s="46">
        <f>SUM(G9186:G9186)</f>
        <v>23.094499999999996</v>
      </c>
      <c r="I9186" s="47"/>
      <c r="J9186" s="37">
        <v>0</v>
      </c>
    </row>
    <row r="9187" spans="1:10" ht="15.75" hidden="1" thickBot="1" x14ac:dyDescent="0.3">
      <c r="A9187" s="180"/>
      <c r="B9187" s="178"/>
      <c r="C9187" s="49"/>
      <c r="D9187" s="49"/>
      <c r="E9187" s="50"/>
      <c r="F9187" s="51"/>
      <c r="G9187" s="52" t="str">
        <f>IF(ISNUMBER(F9187),E9187*F9187,"")</f>
        <v/>
      </c>
      <c r="H9187" s="53"/>
      <c r="I9187" s="47"/>
      <c r="J9187" s="37">
        <v>0</v>
      </c>
    </row>
    <row r="9188" spans="1:10" ht="15.75" hidden="1" thickBot="1" x14ac:dyDescent="0.3">
      <c r="A9188" s="173" t="s">
        <v>2212</v>
      </c>
      <c r="B9188" s="176" t="s">
        <v>9345</v>
      </c>
      <c r="C9188" s="31"/>
      <c r="D9188" s="32" t="s">
        <v>106</v>
      </c>
      <c r="E9188" s="33"/>
      <c r="F9188" s="54" t="s">
        <v>13</v>
      </c>
      <c r="G9188" s="34" t="str">
        <f>IF(ISNUMBER(F9188),E9188*F9188,"")</f>
        <v/>
      </c>
      <c r="H9188" s="35"/>
      <c r="I9188" s="36"/>
      <c r="J9188" s="37">
        <v>0</v>
      </c>
    </row>
    <row r="9189" spans="1:10" hidden="1" x14ac:dyDescent="0.25">
      <c r="A9189" s="179"/>
      <c r="B9189" s="177"/>
      <c r="C9189" s="39"/>
      <c r="D9189" s="39"/>
      <c r="E9189" s="40"/>
      <c r="F9189" s="55" t="s">
        <v>13</v>
      </c>
      <c r="G9189" s="41" t="str">
        <f>IF(ISNUMBER(F9189),E9189*F9189,"")</f>
        <v/>
      </c>
      <c r="H9189" s="42"/>
      <c r="I9189" s="38"/>
      <c r="J9189" s="37">
        <v>0</v>
      </c>
    </row>
    <row r="9190" spans="1:10" ht="25.5" hidden="1" x14ac:dyDescent="0.25">
      <c r="A9190" s="179"/>
      <c r="B9190" s="177"/>
      <c r="C9190" s="43" t="s">
        <v>10961</v>
      </c>
      <c r="D9190" s="43" t="s">
        <v>1302</v>
      </c>
      <c r="E9190" s="44">
        <v>1</v>
      </c>
      <c r="F9190" s="38">
        <v>88.739499999999992</v>
      </c>
      <c r="G9190" s="41">
        <f>IF(ISNUMBER(F9190),E9190*F9190,"")</f>
        <v>88.739499999999992</v>
      </c>
      <c r="H9190" s="46">
        <f>SUM(G9190:G9190)</f>
        <v>88.739499999999992</v>
      </c>
      <c r="I9190" s="47"/>
      <c r="J9190" s="37">
        <v>0</v>
      </c>
    </row>
    <row r="9191" spans="1:10" ht="15.75" hidden="1" thickBot="1" x14ac:dyDescent="0.3">
      <c r="A9191" s="180"/>
      <c r="B9191" s="178"/>
      <c r="C9191" s="49"/>
      <c r="D9191" s="49"/>
      <c r="E9191" s="50"/>
      <c r="F9191" s="51"/>
      <c r="G9191" s="52" t="str">
        <f>IF(ISNUMBER(F9191),E9191*F9191,"")</f>
        <v/>
      </c>
      <c r="H9191" s="53"/>
      <c r="I9191" s="47"/>
      <c r="J9191" s="37">
        <v>0</v>
      </c>
    </row>
    <row r="9192" spans="1:10" ht="15.75" hidden="1" thickBot="1" x14ac:dyDescent="0.3">
      <c r="A9192" s="173" t="s">
        <v>2213</v>
      </c>
      <c r="B9192" s="176" t="s">
        <v>9346</v>
      </c>
      <c r="C9192" s="31"/>
      <c r="D9192" s="32" t="s">
        <v>18</v>
      </c>
      <c r="E9192" s="33"/>
      <c r="F9192" s="54" t="s">
        <v>13</v>
      </c>
      <c r="G9192" s="34" t="str">
        <f>IF(ISNUMBER(F9192),E9192*F9192,"")</f>
        <v/>
      </c>
      <c r="H9192" s="35"/>
      <c r="I9192" s="36"/>
      <c r="J9192" s="37">
        <v>0</v>
      </c>
    </row>
    <row r="9193" spans="1:10" hidden="1" x14ac:dyDescent="0.25">
      <c r="A9193" s="179"/>
      <c r="B9193" s="177"/>
      <c r="C9193" s="39"/>
      <c r="D9193" s="39"/>
      <c r="E9193" s="40"/>
      <c r="F9193" s="55" t="s">
        <v>13</v>
      </c>
      <c r="G9193" s="41" t="str">
        <f>IF(ISNUMBER(F9193),E9193*F9193,"")</f>
        <v/>
      </c>
      <c r="H9193" s="42"/>
      <c r="I9193" s="38"/>
      <c r="J9193" s="37">
        <v>0</v>
      </c>
    </row>
    <row r="9194" spans="1:10" ht="25.5" hidden="1" x14ac:dyDescent="0.25">
      <c r="A9194" s="179"/>
      <c r="B9194" s="177"/>
      <c r="C9194" s="43" t="s">
        <v>11473</v>
      </c>
      <c r="D9194" s="43" t="s">
        <v>83</v>
      </c>
      <c r="E9194" s="44">
        <v>1</v>
      </c>
      <c r="F9194" s="38">
        <v>40.1755</v>
      </c>
      <c r="G9194" s="41">
        <f>IF(ISNUMBER(F9194),E9194*F9194,"")</f>
        <v>40.1755</v>
      </c>
      <c r="H9194" s="46">
        <f>SUM(G9194:G9194)</f>
        <v>40.1755</v>
      </c>
      <c r="I9194" s="47"/>
      <c r="J9194" s="37">
        <v>0</v>
      </c>
    </row>
    <row r="9195" spans="1:10" ht="15.75" hidden="1" thickBot="1" x14ac:dyDescent="0.3">
      <c r="A9195" s="180"/>
      <c r="B9195" s="178"/>
      <c r="C9195" s="49"/>
      <c r="D9195" s="49"/>
      <c r="E9195" s="50"/>
      <c r="F9195" s="51"/>
      <c r="G9195" s="52" t="str">
        <f>IF(ISNUMBER(F9195),E9195*F9195,"")</f>
        <v/>
      </c>
      <c r="H9195" s="53"/>
      <c r="I9195" s="47"/>
      <c r="J9195" s="37">
        <v>0</v>
      </c>
    </row>
    <row r="9196" spans="1:10" ht="15.75" hidden="1" thickBot="1" x14ac:dyDescent="0.3">
      <c r="A9196" s="173" t="s">
        <v>2214</v>
      </c>
      <c r="B9196" s="176" t="s">
        <v>9347</v>
      </c>
      <c r="C9196" s="31"/>
      <c r="D9196" s="32" t="s">
        <v>18</v>
      </c>
      <c r="E9196" s="33"/>
      <c r="F9196" s="54" t="s">
        <v>13</v>
      </c>
      <c r="G9196" s="34" t="str">
        <f>IF(ISNUMBER(F9196),E9196*F9196,"")</f>
        <v/>
      </c>
      <c r="H9196" s="35"/>
      <c r="I9196" s="36"/>
      <c r="J9196" s="37">
        <v>0</v>
      </c>
    </row>
    <row r="9197" spans="1:10" hidden="1" x14ac:dyDescent="0.25">
      <c r="A9197" s="179"/>
      <c r="B9197" s="177"/>
      <c r="C9197" s="39"/>
      <c r="D9197" s="39"/>
      <c r="E9197" s="40"/>
      <c r="F9197" s="55" t="s">
        <v>13</v>
      </c>
      <c r="G9197" s="41" t="str">
        <f>IF(ISNUMBER(F9197),E9197*F9197,"")</f>
        <v/>
      </c>
      <c r="H9197" s="42"/>
      <c r="I9197" s="38"/>
      <c r="J9197" s="37">
        <v>0</v>
      </c>
    </row>
    <row r="9198" spans="1:10" ht="25.5" hidden="1" x14ac:dyDescent="0.25">
      <c r="A9198" s="179"/>
      <c r="B9198" s="177"/>
      <c r="C9198" s="43" t="s">
        <v>11449</v>
      </c>
      <c r="D9198" s="43" t="s">
        <v>83</v>
      </c>
      <c r="E9198" s="44">
        <v>1</v>
      </c>
      <c r="F9198" s="38">
        <v>68.59</v>
      </c>
      <c r="G9198" s="41">
        <f>IF(ISNUMBER(F9198),E9198*F9198,"")</f>
        <v>68.59</v>
      </c>
      <c r="H9198" s="46">
        <f>SUM(G9198:G9198)</f>
        <v>68.59</v>
      </c>
      <c r="I9198" s="47"/>
      <c r="J9198" s="37">
        <v>0</v>
      </c>
    </row>
    <row r="9199" spans="1:10" ht="15.75" hidden="1" thickBot="1" x14ac:dyDescent="0.3">
      <c r="A9199" s="180"/>
      <c r="B9199" s="178"/>
      <c r="C9199" s="49"/>
      <c r="D9199" s="49"/>
      <c r="E9199" s="50"/>
      <c r="F9199" s="51"/>
      <c r="G9199" s="52" t="str">
        <f>IF(ISNUMBER(F9199),E9199*F9199,"")</f>
        <v/>
      </c>
      <c r="H9199" s="53"/>
      <c r="I9199" s="47"/>
      <c r="J9199" s="37">
        <v>0</v>
      </c>
    </row>
    <row r="9200" spans="1:10" ht="15.75" hidden="1" thickBot="1" x14ac:dyDescent="0.3">
      <c r="A9200" s="173" t="s">
        <v>2215</v>
      </c>
      <c r="B9200" s="176" t="s">
        <v>9348</v>
      </c>
      <c r="C9200" s="31"/>
      <c r="D9200" s="32" t="s">
        <v>18</v>
      </c>
      <c r="E9200" s="33"/>
      <c r="F9200" s="54" t="s">
        <v>13</v>
      </c>
      <c r="G9200" s="34" t="str">
        <f>IF(ISNUMBER(F9200),E9200*F9200,"")</f>
        <v/>
      </c>
      <c r="H9200" s="35"/>
      <c r="I9200" s="36"/>
      <c r="J9200" s="37">
        <v>0</v>
      </c>
    </row>
    <row r="9201" spans="1:10" hidden="1" x14ac:dyDescent="0.25">
      <c r="A9201" s="179"/>
      <c r="B9201" s="177"/>
      <c r="C9201" s="39"/>
      <c r="D9201" s="39"/>
      <c r="E9201" s="40"/>
      <c r="F9201" s="55" t="s">
        <v>13</v>
      </c>
      <c r="G9201" s="41" t="str">
        <f>IF(ISNUMBER(F9201),E9201*F9201,"")</f>
        <v/>
      </c>
      <c r="H9201" s="42"/>
      <c r="I9201" s="38"/>
      <c r="J9201" s="37">
        <v>0</v>
      </c>
    </row>
    <row r="9202" spans="1:10" hidden="1" x14ac:dyDescent="0.25">
      <c r="A9202" s="179"/>
      <c r="B9202" s="177"/>
      <c r="C9202" s="43" t="s">
        <v>11683</v>
      </c>
      <c r="D9202" s="43" t="s">
        <v>83</v>
      </c>
      <c r="E9202" s="44">
        <v>1</v>
      </c>
      <c r="F9202" s="38">
        <v>22.381999999999998</v>
      </c>
      <c r="G9202" s="41">
        <f>IF(ISNUMBER(F9202),E9202*F9202,"")</f>
        <v>22.381999999999998</v>
      </c>
      <c r="H9202" s="46">
        <f>SUM(G9202:G9202)</f>
        <v>22.381999999999998</v>
      </c>
      <c r="I9202" s="47"/>
      <c r="J9202" s="37">
        <v>0</v>
      </c>
    </row>
    <row r="9203" spans="1:10" ht="15.75" hidden="1" thickBot="1" x14ac:dyDescent="0.3">
      <c r="A9203" s="180"/>
      <c r="B9203" s="178"/>
      <c r="C9203" s="49"/>
      <c r="D9203" s="49"/>
      <c r="E9203" s="50"/>
      <c r="F9203" s="51"/>
      <c r="G9203" s="52" t="str">
        <f>IF(ISNUMBER(F9203),E9203*F9203,"")</f>
        <v/>
      </c>
      <c r="H9203" s="53"/>
      <c r="I9203" s="47"/>
      <c r="J9203" s="37">
        <v>0</v>
      </c>
    </row>
    <row r="9204" spans="1:10" ht="15.75" hidden="1" thickBot="1" x14ac:dyDescent="0.3">
      <c r="A9204" s="173" t="s">
        <v>2216</v>
      </c>
      <c r="B9204" s="176" t="s">
        <v>9349</v>
      </c>
      <c r="C9204" s="31"/>
      <c r="D9204" s="32" t="s">
        <v>18</v>
      </c>
      <c r="E9204" s="33"/>
      <c r="F9204" s="54" t="s">
        <v>13</v>
      </c>
      <c r="G9204" s="34" t="str">
        <f>IF(ISNUMBER(F9204),E9204*F9204,"")</f>
        <v/>
      </c>
      <c r="H9204" s="35"/>
      <c r="I9204" s="36"/>
      <c r="J9204" s="37">
        <v>0</v>
      </c>
    </row>
    <row r="9205" spans="1:10" hidden="1" x14ac:dyDescent="0.25">
      <c r="A9205" s="179"/>
      <c r="B9205" s="177"/>
      <c r="C9205" s="39"/>
      <c r="D9205" s="39"/>
      <c r="E9205" s="40"/>
      <c r="F9205" s="55" t="s">
        <v>13</v>
      </c>
      <c r="G9205" s="41" t="str">
        <f>IF(ISNUMBER(F9205),E9205*F9205,"")</f>
        <v/>
      </c>
      <c r="H9205" s="42"/>
      <c r="I9205" s="38"/>
      <c r="J9205" s="37">
        <v>0</v>
      </c>
    </row>
    <row r="9206" spans="1:10" hidden="1" x14ac:dyDescent="0.25">
      <c r="A9206" s="179"/>
      <c r="B9206" s="177"/>
      <c r="C9206" s="43" t="s">
        <v>11684</v>
      </c>
      <c r="D9206" s="43" t="s">
        <v>83</v>
      </c>
      <c r="E9206" s="44">
        <v>1</v>
      </c>
      <c r="F9206" s="38">
        <v>22.714499999999997</v>
      </c>
      <c r="G9206" s="41">
        <f>IF(ISNUMBER(F9206),E9206*F9206,"")</f>
        <v>22.714499999999997</v>
      </c>
      <c r="H9206" s="46">
        <f>SUM(G9206:G9206)</f>
        <v>22.714499999999997</v>
      </c>
      <c r="I9206" s="47"/>
      <c r="J9206" s="37">
        <v>0</v>
      </c>
    </row>
    <row r="9207" spans="1:10" ht="15.75" hidden="1" thickBot="1" x14ac:dyDescent="0.3">
      <c r="A9207" s="180"/>
      <c r="B9207" s="178"/>
      <c r="C9207" s="49"/>
      <c r="D9207" s="49"/>
      <c r="E9207" s="50"/>
      <c r="F9207" s="51"/>
      <c r="G9207" s="52" t="str">
        <f>IF(ISNUMBER(F9207),E9207*F9207,"")</f>
        <v/>
      </c>
      <c r="H9207" s="53"/>
      <c r="I9207" s="47"/>
      <c r="J9207" s="37">
        <v>0</v>
      </c>
    </row>
    <row r="9208" spans="1:10" ht="15.75" hidden="1" thickBot="1" x14ac:dyDescent="0.3">
      <c r="A9208" s="173" t="s">
        <v>2217</v>
      </c>
      <c r="B9208" s="176" t="s">
        <v>9350</v>
      </c>
      <c r="C9208" s="31"/>
      <c r="D9208" s="32" t="s">
        <v>18</v>
      </c>
      <c r="E9208" s="33"/>
      <c r="F9208" s="54" t="s">
        <v>13</v>
      </c>
      <c r="G9208" s="34" t="str">
        <f>IF(ISNUMBER(F9208),E9208*F9208,"")</f>
        <v/>
      </c>
      <c r="H9208" s="35"/>
      <c r="I9208" s="36"/>
      <c r="J9208" s="37">
        <v>0</v>
      </c>
    </row>
    <row r="9209" spans="1:10" hidden="1" x14ac:dyDescent="0.25">
      <c r="A9209" s="179"/>
      <c r="B9209" s="177"/>
      <c r="C9209" s="39"/>
      <c r="D9209" s="39"/>
      <c r="E9209" s="40"/>
      <c r="F9209" s="55" t="s">
        <v>13</v>
      </c>
      <c r="G9209" s="41" t="str">
        <f>IF(ISNUMBER(F9209),E9209*F9209,"")</f>
        <v/>
      </c>
      <c r="H9209" s="42"/>
      <c r="I9209" s="38"/>
      <c r="J9209" s="37">
        <v>0</v>
      </c>
    </row>
    <row r="9210" spans="1:10" ht="25.5" hidden="1" x14ac:dyDescent="0.25">
      <c r="A9210" s="179"/>
      <c r="B9210" s="177"/>
      <c r="C9210" s="43" t="s">
        <v>11685</v>
      </c>
      <c r="D9210" s="43" t="s">
        <v>83</v>
      </c>
      <c r="E9210" s="44">
        <v>1</v>
      </c>
      <c r="F9210" s="38">
        <v>19</v>
      </c>
      <c r="G9210" s="41">
        <f>IF(ISNUMBER(F9210),E9210*F9210,"")</f>
        <v>19</v>
      </c>
      <c r="H9210" s="46">
        <f>SUM(G9210:G9210)</f>
        <v>19</v>
      </c>
      <c r="I9210" s="47"/>
      <c r="J9210" s="37">
        <v>0</v>
      </c>
    </row>
    <row r="9211" spans="1:10" ht="15.75" hidden="1" thickBot="1" x14ac:dyDescent="0.3">
      <c r="A9211" s="180"/>
      <c r="B9211" s="178"/>
      <c r="C9211" s="49"/>
      <c r="D9211" s="49"/>
      <c r="E9211" s="50"/>
      <c r="F9211" s="51"/>
      <c r="G9211" s="52" t="str">
        <f>IF(ISNUMBER(F9211),E9211*F9211,"")</f>
        <v/>
      </c>
      <c r="H9211" s="53"/>
      <c r="I9211" s="47"/>
      <c r="J9211" s="37">
        <v>0</v>
      </c>
    </row>
    <row r="9212" spans="1:10" ht="15.75" hidden="1" thickBot="1" x14ac:dyDescent="0.3">
      <c r="A9212" s="173" t="s">
        <v>2218</v>
      </c>
      <c r="B9212" s="176" t="s">
        <v>9351</v>
      </c>
      <c r="C9212" s="31"/>
      <c r="D9212" s="32" t="s">
        <v>18</v>
      </c>
      <c r="E9212" s="33"/>
      <c r="F9212" s="54" t="s">
        <v>13</v>
      </c>
      <c r="G9212" s="34" t="str">
        <f>IF(ISNUMBER(F9212),E9212*F9212,"")</f>
        <v/>
      </c>
      <c r="H9212" s="35"/>
      <c r="I9212" s="36"/>
      <c r="J9212" s="37">
        <v>0</v>
      </c>
    </row>
    <row r="9213" spans="1:10" hidden="1" x14ac:dyDescent="0.25">
      <c r="A9213" s="179"/>
      <c r="B9213" s="177"/>
      <c r="C9213" s="39"/>
      <c r="D9213" s="39"/>
      <c r="E9213" s="40"/>
      <c r="F9213" s="55" t="s">
        <v>13</v>
      </c>
      <c r="G9213" s="41" t="str">
        <f>IF(ISNUMBER(F9213),E9213*F9213,"")</f>
        <v/>
      </c>
      <c r="H9213" s="42"/>
      <c r="I9213" s="38"/>
      <c r="J9213" s="37">
        <v>0</v>
      </c>
    </row>
    <row r="9214" spans="1:10" hidden="1" x14ac:dyDescent="0.25">
      <c r="A9214" s="179"/>
      <c r="B9214" s="177"/>
      <c r="C9214" s="43" t="s">
        <v>11455</v>
      </c>
      <c r="D9214" s="43" t="s">
        <v>83</v>
      </c>
      <c r="E9214" s="44">
        <v>1</v>
      </c>
      <c r="F9214" s="38">
        <v>41.476999999999997</v>
      </c>
      <c r="G9214" s="41">
        <f>IF(ISNUMBER(F9214),E9214*F9214,"")</f>
        <v>41.476999999999997</v>
      </c>
      <c r="H9214" s="46">
        <f>SUM(G9214:G9214)</f>
        <v>41.476999999999997</v>
      </c>
      <c r="I9214" s="47"/>
      <c r="J9214" s="37">
        <v>0</v>
      </c>
    </row>
    <row r="9215" spans="1:10" ht="15.75" hidden="1" thickBot="1" x14ac:dyDescent="0.3">
      <c r="A9215" s="180"/>
      <c r="B9215" s="178"/>
      <c r="C9215" s="49"/>
      <c r="D9215" s="49"/>
      <c r="E9215" s="50"/>
      <c r="F9215" s="51"/>
      <c r="G9215" s="52" t="str">
        <f>IF(ISNUMBER(F9215),E9215*F9215,"")</f>
        <v/>
      </c>
      <c r="H9215" s="53"/>
      <c r="I9215" s="47"/>
      <c r="J9215" s="37">
        <v>0</v>
      </c>
    </row>
    <row r="9216" spans="1:10" ht="15.75" hidden="1" thickBot="1" x14ac:dyDescent="0.3">
      <c r="A9216" s="173" t="s">
        <v>2219</v>
      </c>
      <c r="B9216" s="176" t="s">
        <v>9352</v>
      </c>
      <c r="C9216" s="31"/>
      <c r="D9216" s="32" t="s">
        <v>18</v>
      </c>
      <c r="E9216" s="33"/>
      <c r="F9216" s="54" t="s">
        <v>13</v>
      </c>
      <c r="G9216" s="34" t="str">
        <f>IF(ISNUMBER(F9216),E9216*F9216,"")</f>
        <v/>
      </c>
      <c r="H9216" s="35"/>
      <c r="I9216" s="36"/>
      <c r="J9216" s="37">
        <v>0</v>
      </c>
    </row>
    <row r="9217" spans="1:10" hidden="1" x14ac:dyDescent="0.25">
      <c r="A9217" s="179"/>
      <c r="B9217" s="177"/>
      <c r="C9217" s="39"/>
      <c r="D9217" s="39"/>
      <c r="E9217" s="40"/>
      <c r="F9217" s="55" t="s">
        <v>13</v>
      </c>
      <c r="G9217" s="41" t="str">
        <f>IF(ISNUMBER(F9217),E9217*F9217,"")</f>
        <v/>
      </c>
      <c r="H9217" s="42"/>
      <c r="I9217" s="38"/>
      <c r="J9217" s="37">
        <v>0</v>
      </c>
    </row>
    <row r="9218" spans="1:10" hidden="1" x14ac:dyDescent="0.25">
      <c r="A9218" s="179"/>
      <c r="B9218" s="177"/>
      <c r="C9218" s="43" t="s">
        <v>11686</v>
      </c>
      <c r="D9218" s="43" t="s">
        <v>83</v>
      </c>
      <c r="E9218" s="44">
        <v>1</v>
      </c>
      <c r="F9218" s="38">
        <v>13.964999999999998</v>
      </c>
      <c r="G9218" s="41">
        <f>IF(ISNUMBER(F9218),E9218*F9218,"")</f>
        <v>13.964999999999998</v>
      </c>
      <c r="H9218" s="46">
        <f>SUM(G9218:G9218)</f>
        <v>13.964999999999998</v>
      </c>
      <c r="I9218" s="47"/>
      <c r="J9218" s="37">
        <v>0</v>
      </c>
    </row>
    <row r="9219" spans="1:10" ht="15.75" hidden="1" thickBot="1" x14ac:dyDescent="0.3">
      <c r="A9219" s="180"/>
      <c r="B9219" s="178"/>
      <c r="C9219" s="49"/>
      <c r="D9219" s="49"/>
      <c r="E9219" s="50"/>
      <c r="F9219" s="51"/>
      <c r="G9219" s="52" t="str">
        <f>IF(ISNUMBER(F9219),E9219*F9219,"")</f>
        <v/>
      </c>
      <c r="H9219" s="53"/>
      <c r="I9219" s="47"/>
      <c r="J9219" s="37">
        <v>0</v>
      </c>
    </row>
    <row r="9220" spans="1:10" ht="15.75" hidden="1" thickBot="1" x14ac:dyDescent="0.3">
      <c r="A9220" s="173" t="s">
        <v>2220</v>
      </c>
      <c r="B9220" s="176" t="s">
        <v>9355</v>
      </c>
      <c r="C9220" s="31"/>
      <c r="D9220" s="32" t="s">
        <v>18</v>
      </c>
      <c r="E9220" s="33"/>
      <c r="F9220" s="54" t="s">
        <v>13</v>
      </c>
      <c r="G9220" s="34" t="str">
        <f>IF(ISNUMBER(F9220),E9220*F9220,"")</f>
        <v/>
      </c>
      <c r="H9220" s="35"/>
      <c r="I9220" s="36"/>
      <c r="J9220" s="37">
        <v>0</v>
      </c>
    </row>
    <row r="9221" spans="1:10" hidden="1" x14ac:dyDescent="0.25">
      <c r="A9221" s="179"/>
      <c r="B9221" s="177"/>
      <c r="C9221" s="39"/>
      <c r="D9221" s="39"/>
      <c r="E9221" s="40"/>
      <c r="F9221" s="55" t="s">
        <v>13</v>
      </c>
      <c r="G9221" s="41" t="str">
        <f>IF(ISNUMBER(F9221),E9221*F9221,"")</f>
        <v/>
      </c>
      <c r="H9221" s="42"/>
      <c r="I9221" s="38"/>
      <c r="J9221" s="37">
        <v>0</v>
      </c>
    </row>
    <row r="9222" spans="1:10" ht="25.5" hidden="1" x14ac:dyDescent="0.25">
      <c r="A9222" s="179"/>
      <c r="B9222" s="177"/>
      <c r="C9222" s="43" t="s">
        <v>11687</v>
      </c>
      <c r="D9222" s="43" t="s">
        <v>83</v>
      </c>
      <c r="E9222" s="44">
        <v>1</v>
      </c>
      <c r="F9222" s="38">
        <v>20.500999999999998</v>
      </c>
      <c r="G9222" s="41">
        <f>IF(ISNUMBER(F9222),E9222*F9222,"")</f>
        <v>20.500999999999998</v>
      </c>
      <c r="H9222" s="46">
        <f>SUM(G9222:G9222)</f>
        <v>20.500999999999998</v>
      </c>
      <c r="I9222" s="47"/>
      <c r="J9222" s="37">
        <v>0</v>
      </c>
    </row>
    <row r="9223" spans="1:10" ht="15.75" hidden="1" thickBot="1" x14ac:dyDescent="0.3">
      <c r="A9223" s="180"/>
      <c r="B9223" s="178"/>
      <c r="C9223" s="49"/>
      <c r="D9223" s="49"/>
      <c r="E9223" s="50"/>
      <c r="F9223" s="51"/>
      <c r="G9223" s="52" t="str">
        <f>IF(ISNUMBER(F9223),E9223*F9223,"")</f>
        <v/>
      </c>
      <c r="H9223" s="53"/>
      <c r="I9223" s="47"/>
      <c r="J9223" s="37">
        <v>0</v>
      </c>
    </row>
    <row r="9224" spans="1:10" ht="15.75" hidden="1" thickBot="1" x14ac:dyDescent="0.3">
      <c r="A9224" s="173" t="s">
        <v>2221</v>
      </c>
      <c r="B9224" s="176" t="s">
        <v>9356</v>
      </c>
      <c r="C9224" s="31"/>
      <c r="D9224" s="32" t="s">
        <v>18</v>
      </c>
      <c r="E9224" s="33"/>
      <c r="F9224" s="54" t="s">
        <v>13</v>
      </c>
      <c r="G9224" s="34" t="str">
        <f>IF(ISNUMBER(F9224),E9224*F9224,"")</f>
        <v/>
      </c>
      <c r="H9224" s="35"/>
      <c r="I9224" s="36"/>
      <c r="J9224" s="37">
        <v>0</v>
      </c>
    </row>
    <row r="9225" spans="1:10" hidden="1" x14ac:dyDescent="0.25">
      <c r="A9225" s="179"/>
      <c r="B9225" s="177"/>
      <c r="C9225" s="39"/>
      <c r="D9225" s="39"/>
      <c r="E9225" s="40"/>
      <c r="F9225" s="55" t="s">
        <v>13</v>
      </c>
      <c r="G9225" s="41" t="str">
        <f>IF(ISNUMBER(F9225),E9225*F9225,"")</f>
        <v/>
      </c>
      <c r="H9225" s="42"/>
      <c r="I9225" s="38"/>
      <c r="J9225" s="37">
        <v>0</v>
      </c>
    </row>
    <row r="9226" spans="1:10" ht="25.5" hidden="1" x14ac:dyDescent="0.25">
      <c r="A9226" s="179"/>
      <c r="B9226" s="177"/>
      <c r="C9226" s="43" t="s">
        <v>11688</v>
      </c>
      <c r="D9226" s="43" t="s">
        <v>83</v>
      </c>
      <c r="E9226" s="44">
        <v>1</v>
      </c>
      <c r="F9226" s="38">
        <v>24.1205</v>
      </c>
      <c r="G9226" s="41">
        <f>IF(ISNUMBER(F9226),E9226*F9226,"")</f>
        <v>24.1205</v>
      </c>
      <c r="H9226" s="46">
        <f>SUM(G9226:G9226)</f>
        <v>24.1205</v>
      </c>
      <c r="I9226" s="47"/>
      <c r="J9226" s="37">
        <v>0</v>
      </c>
    </row>
    <row r="9227" spans="1:10" ht="15.75" hidden="1" thickBot="1" x14ac:dyDescent="0.3">
      <c r="A9227" s="180"/>
      <c r="B9227" s="178"/>
      <c r="C9227" s="49"/>
      <c r="D9227" s="49"/>
      <c r="E9227" s="50"/>
      <c r="F9227" s="51"/>
      <c r="G9227" s="52" t="str">
        <f>IF(ISNUMBER(F9227),E9227*F9227,"")</f>
        <v/>
      </c>
      <c r="H9227" s="53"/>
      <c r="I9227" s="47"/>
      <c r="J9227" s="37">
        <v>0</v>
      </c>
    </row>
    <row r="9228" spans="1:10" ht="15.75" hidden="1" thickBot="1" x14ac:dyDescent="0.3">
      <c r="A9228" s="173" t="s">
        <v>2222</v>
      </c>
      <c r="B9228" s="176" t="s">
        <v>9357</v>
      </c>
      <c r="C9228" s="31"/>
      <c r="D9228" s="32" t="s">
        <v>18</v>
      </c>
      <c r="E9228" s="33"/>
      <c r="F9228" s="54" t="s">
        <v>13</v>
      </c>
      <c r="G9228" s="34" t="str">
        <f>IF(ISNUMBER(F9228),E9228*F9228,"")</f>
        <v/>
      </c>
      <c r="H9228" s="35"/>
      <c r="I9228" s="36"/>
      <c r="J9228" s="37">
        <v>0</v>
      </c>
    </row>
    <row r="9229" spans="1:10" hidden="1" x14ac:dyDescent="0.25">
      <c r="A9229" s="179"/>
      <c r="B9229" s="177"/>
      <c r="C9229" s="39"/>
      <c r="D9229" s="39"/>
      <c r="E9229" s="40"/>
      <c r="F9229" s="55" t="s">
        <v>13</v>
      </c>
      <c r="G9229" s="41" t="str">
        <f>IF(ISNUMBER(F9229),E9229*F9229,"")</f>
        <v/>
      </c>
      <c r="H9229" s="42"/>
      <c r="I9229" s="38"/>
      <c r="J9229" s="37">
        <v>0</v>
      </c>
    </row>
    <row r="9230" spans="1:10" ht="25.5" hidden="1" x14ac:dyDescent="0.25">
      <c r="A9230" s="179"/>
      <c r="B9230" s="177"/>
      <c r="C9230" s="43" t="s">
        <v>11689</v>
      </c>
      <c r="D9230" s="43" t="s">
        <v>83</v>
      </c>
      <c r="E9230" s="44">
        <v>1</v>
      </c>
      <c r="F9230" s="38">
        <v>29.554499999999997</v>
      </c>
      <c r="G9230" s="41">
        <f>IF(ISNUMBER(F9230),E9230*F9230,"")</f>
        <v>29.554499999999997</v>
      </c>
      <c r="H9230" s="46">
        <f>SUM(G9230:G9230)</f>
        <v>29.554499999999997</v>
      </c>
      <c r="I9230" s="47"/>
      <c r="J9230" s="37">
        <v>0</v>
      </c>
    </row>
    <row r="9231" spans="1:10" ht="15.75" hidden="1" thickBot="1" x14ac:dyDescent="0.3">
      <c r="A9231" s="180"/>
      <c r="B9231" s="178"/>
      <c r="C9231" s="49"/>
      <c r="D9231" s="49"/>
      <c r="E9231" s="50"/>
      <c r="F9231" s="51"/>
      <c r="G9231" s="52" t="str">
        <f>IF(ISNUMBER(F9231),E9231*F9231,"")</f>
        <v/>
      </c>
      <c r="H9231" s="53"/>
      <c r="I9231" s="47"/>
      <c r="J9231" s="37">
        <v>0</v>
      </c>
    </row>
    <row r="9232" spans="1:10" ht="15.75" hidden="1" thickBot="1" x14ac:dyDescent="0.3">
      <c r="A9232" s="173" t="s">
        <v>2223</v>
      </c>
      <c r="B9232" s="176" t="s">
        <v>9358</v>
      </c>
      <c r="C9232" s="31"/>
      <c r="D9232" s="32" t="s">
        <v>106</v>
      </c>
      <c r="E9232" s="33"/>
      <c r="F9232" s="54" t="s">
        <v>13</v>
      </c>
      <c r="G9232" s="34" t="str">
        <f>IF(ISNUMBER(F9232),E9232*F9232,"")</f>
        <v/>
      </c>
      <c r="H9232" s="35"/>
      <c r="I9232" s="36"/>
      <c r="J9232" s="37">
        <v>0</v>
      </c>
    </row>
    <row r="9233" spans="1:10" hidden="1" x14ac:dyDescent="0.25">
      <c r="A9233" s="179"/>
      <c r="B9233" s="177"/>
      <c r="C9233" s="39"/>
      <c r="D9233" s="39"/>
      <c r="E9233" s="40"/>
      <c r="F9233" s="55" t="s">
        <v>13</v>
      </c>
      <c r="G9233" s="41" t="str">
        <f>IF(ISNUMBER(F9233),E9233*F9233,"")</f>
        <v/>
      </c>
      <c r="H9233" s="42"/>
      <c r="I9233" s="38"/>
      <c r="J9233" s="37">
        <v>0</v>
      </c>
    </row>
    <row r="9234" spans="1:10" ht="25.5" hidden="1" x14ac:dyDescent="0.25">
      <c r="A9234" s="179"/>
      <c r="B9234" s="177"/>
      <c r="C9234" s="43" t="s">
        <v>11330</v>
      </c>
      <c r="D9234" s="43" t="s">
        <v>1302</v>
      </c>
      <c r="E9234" s="44">
        <v>1</v>
      </c>
      <c r="F9234" s="38">
        <v>108.89849999999998</v>
      </c>
      <c r="G9234" s="41">
        <f>IF(ISNUMBER(F9234),E9234*F9234,"")</f>
        <v>108.89849999999998</v>
      </c>
      <c r="H9234" s="46">
        <f>SUM(G9234:G9234)</f>
        <v>108.89849999999998</v>
      </c>
      <c r="I9234" s="47"/>
      <c r="J9234" s="37">
        <v>0</v>
      </c>
    </row>
    <row r="9235" spans="1:10" ht="15.75" hidden="1" thickBot="1" x14ac:dyDescent="0.3">
      <c r="A9235" s="180"/>
      <c r="B9235" s="178"/>
      <c r="C9235" s="49"/>
      <c r="D9235" s="49"/>
      <c r="E9235" s="50"/>
      <c r="F9235" s="51"/>
      <c r="G9235" s="52" t="str">
        <f>IF(ISNUMBER(F9235),E9235*F9235,"")</f>
        <v/>
      </c>
      <c r="H9235" s="53"/>
      <c r="I9235" s="47"/>
      <c r="J9235" s="37">
        <v>0</v>
      </c>
    </row>
    <row r="9236" spans="1:10" ht="15.75" hidden="1" thickBot="1" x14ac:dyDescent="0.3">
      <c r="A9236" s="173" t="s">
        <v>2224</v>
      </c>
      <c r="B9236" s="176" t="s">
        <v>9359</v>
      </c>
      <c r="C9236" s="31"/>
      <c r="D9236" s="32" t="s">
        <v>18</v>
      </c>
      <c r="E9236" s="33"/>
      <c r="F9236" s="54" t="s">
        <v>13</v>
      </c>
      <c r="G9236" s="34" t="str">
        <f>IF(ISNUMBER(F9236),E9236*F9236,"")</f>
        <v/>
      </c>
      <c r="H9236" s="35"/>
      <c r="I9236" s="36"/>
      <c r="J9236" s="37">
        <v>0</v>
      </c>
    </row>
    <row r="9237" spans="1:10" hidden="1" x14ac:dyDescent="0.25">
      <c r="A9237" s="179"/>
      <c r="B9237" s="177"/>
      <c r="C9237" s="39"/>
      <c r="D9237" s="39"/>
      <c r="E9237" s="40"/>
      <c r="F9237" s="55" t="s">
        <v>13</v>
      </c>
      <c r="G9237" s="41" t="str">
        <f>IF(ISNUMBER(F9237),E9237*F9237,"")</f>
        <v/>
      </c>
      <c r="H9237" s="42"/>
      <c r="I9237" s="38"/>
      <c r="J9237" s="37">
        <v>0</v>
      </c>
    </row>
    <row r="9238" spans="1:10" ht="25.5" hidden="1" x14ac:dyDescent="0.25">
      <c r="A9238" s="179"/>
      <c r="B9238" s="177"/>
      <c r="C9238" s="43" t="s">
        <v>11690</v>
      </c>
      <c r="D9238" s="43" t="s">
        <v>83</v>
      </c>
      <c r="E9238" s="44">
        <v>1</v>
      </c>
      <c r="F9238" s="38">
        <v>49.409499999999994</v>
      </c>
      <c r="G9238" s="41">
        <f>IF(ISNUMBER(F9238),E9238*F9238,"")</f>
        <v>49.409499999999994</v>
      </c>
      <c r="H9238" s="46">
        <f>SUM(G9238:G9238)</f>
        <v>49.409499999999994</v>
      </c>
      <c r="I9238" s="47"/>
      <c r="J9238" s="37">
        <v>0</v>
      </c>
    </row>
    <row r="9239" spans="1:10" ht="15.75" hidden="1" thickBot="1" x14ac:dyDescent="0.3">
      <c r="A9239" s="180"/>
      <c r="B9239" s="178"/>
      <c r="C9239" s="49"/>
      <c r="D9239" s="49"/>
      <c r="E9239" s="50"/>
      <c r="F9239" s="51"/>
      <c r="G9239" s="52" t="str">
        <f>IF(ISNUMBER(F9239),E9239*F9239,"")</f>
        <v/>
      </c>
      <c r="H9239" s="53"/>
      <c r="I9239" s="47"/>
      <c r="J9239" s="37">
        <v>0</v>
      </c>
    </row>
    <row r="9240" spans="1:10" ht="15.75" hidden="1" thickBot="1" x14ac:dyDescent="0.3">
      <c r="A9240" s="173" t="s">
        <v>2225</v>
      </c>
      <c r="B9240" s="176" t="s">
        <v>9360</v>
      </c>
      <c r="C9240" s="31"/>
      <c r="D9240" s="32" t="s">
        <v>18</v>
      </c>
      <c r="E9240" s="33"/>
      <c r="F9240" s="54" t="s">
        <v>13</v>
      </c>
      <c r="G9240" s="34" t="str">
        <f>IF(ISNUMBER(F9240),E9240*F9240,"")</f>
        <v/>
      </c>
      <c r="H9240" s="35"/>
      <c r="I9240" s="36"/>
      <c r="J9240" s="37">
        <v>0</v>
      </c>
    </row>
    <row r="9241" spans="1:10" hidden="1" x14ac:dyDescent="0.25">
      <c r="A9241" s="179"/>
      <c r="B9241" s="177"/>
      <c r="C9241" s="39"/>
      <c r="D9241" s="39"/>
      <c r="E9241" s="40"/>
      <c r="F9241" s="55" t="s">
        <v>13</v>
      </c>
      <c r="G9241" s="41" t="str">
        <f>IF(ISNUMBER(F9241),E9241*F9241,"")</f>
        <v/>
      </c>
      <c r="H9241" s="42"/>
      <c r="I9241" s="38"/>
      <c r="J9241" s="37">
        <v>0</v>
      </c>
    </row>
    <row r="9242" spans="1:10" ht="25.5" hidden="1" x14ac:dyDescent="0.25">
      <c r="A9242" s="179"/>
      <c r="B9242" s="177"/>
      <c r="C9242" s="43" t="s">
        <v>11451</v>
      </c>
      <c r="D9242" s="43" t="s">
        <v>83</v>
      </c>
      <c r="E9242" s="44">
        <v>1</v>
      </c>
      <c r="F9242" s="38">
        <v>100.86149999999999</v>
      </c>
      <c r="G9242" s="41">
        <f>IF(ISNUMBER(F9242),E9242*F9242,"")</f>
        <v>100.86149999999999</v>
      </c>
      <c r="H9242" s="46">
        <f>SUM(G9242:G9242)</f>
        <v>100.86149999999999</v>
      </c>
      <c r="I9242" s="47"/>
      <c r="J9242" s="37">
        <v>0</v>
      </c>
    </row>
    <row r="9243" spans="1:10" ht="15.75" hidden="1" thickBot="1" x14ac:dyDescent="0.3">
      <c r="A9243" s="180"/>
      <c r="B9243" s="178"/>
      <c r="C9243" s="49"/>
      <c r="D9243" s="49"/>
      <c r="E9243" s="50"/>
      <c r="F9243" s="51"/>
      <c r="G9243" s="52" t="str">
        <f>IF(ISNUMBER(F9243),E9243*F9243,"")</f>
        <v/>
      </c>
      <c r="H9243" s="53"/>
      <c r="I9243" s="47"/>
      <c r="J9243" s="37">
        <v>0</v>
      </c>
    </row>
    <row r="9244" spans="1:10" ht="15.75" hidden="1" thickBot="1" x14ac:dyDescent="0.3">
      <c r="A9244" s="173" t="s">
        <v>2226</v>
      </c>
      <c r="B9244" s="176" t="s">
        <v>9361</v>
      </c>
      <c r="C9244" s="31"/>
      <c r="D9244" s="32" t="s">
        <v>18</v>
      </c>
      <c r="E9244" s="33"/>
      <c r="F9244" s="54" t="s">
        <v>13</v>
      </c>
      <c r="G9244" s="34" t="str">
        <f>IF(ISNUMBER(F9244),E9244*F9244,"")</f>
        <v/>
      </c>
      <c r="H9244" s="35"/>
      <c r="I9244" s="36"/>
      <c r="J9244" s="37">
        <v>0</v>
      </c>
    </row>
    <row r="9245" spans="1:10" hidden="1" x14ac:dyDescent="0.25">
      <c r="A9245" s="179"/>
      <c r="B9245" s="177"/>
      <c r="C9245" s="39"/>
      <c r="D9245" s="39"/>
      <c r="E9245" s="40"/>
      <c r="F9245" s="55" t="s">
        <v>13</v>
      </c>
      <c r="G9245" s="41" t="str">
        <f>IF(ISNUMBER(F9245),E9245*F9245,"")</f>
        <v/>
      </c>
      <c r="H9245" s="42"/>
      <c r="I9245" s="38"/>
      <c r="J9245" s="37">
        <v>0</v>
      </c>
    </row>
    <row r="9246" spans="1:10" hidden="1" x14ac:dyDescent="0.25">
      <c r="A9246" s="179"/>
      <c r="B9246" s="177"/>
      <c r="C9246" s="43" t="s">
        <v>11386</v>
      </c>
      <c r="D9246" s="43" t="s">
        <v>83</v>
      </c>
      <c r="E9246" s="44">
        <v>1</v>
      </c>
      <c r="F9246" s="38">
        <v>34.808</v>
      </c>
      <c r="G9246" s="41">
        <f>IF(ISNUMBER(F9246),E9246*F9246,"")</f>
        <v>34.808</v>
      </c>
      <c r="H9246" s="46">
        <f>SUM(G9246:G9246)</f>
        <v>34.808</v>
      </c>
      <c r="I9246" s="47"/>
      <c r="J9246" s="37">
        <v>0</v>
      </c>
    </row>
    <row r="9247" spans="1:10" ht="15.75" hidden="1" thickBot="1" x14ac:dyDescent="0.3">
      <c r="A9247" s="180"/>
      <c r="B9247" s="178"/>
      <c r="C9247" s="49"/>
      <c r="D9247" s="49"/>
      <c r="E9247" s="50"/>
      <c r="F9247" s="51"/>
      <c r="G9247" s="52" t="str">
        <f>IF(ISNUMBER(F9247),E9247*F9247,"")</f>
        <v/>
      </c>
      <c r="H9247" s="53"/>
      <c r="I9247" s="47"/>
      <c r="J9247" s="37">
        <v>0</v>
      </c>
    </row>
    <row r="9248" spans="1:10" ht="15.75" hidden="1" thickBot="1" x14ac:dyDescent="0.3">
      <c r="A9248" s="173" t="s">
        <v>2227</v>
      </c>
      <c r="B9248" s="176" t="s">
        <v>9362</v>
      </c>
      <c r="C9248" s="31"/>
      <c r="D9248" s="32" t="s">
        <v>18</v>
      </c>
      <c r="E9248" s="33"/>
      <c r="F9248" s="54" t="s">
        <v>13</v>
      </c>
      <c r="G9248" s="34" t="str">
        <f>IF(ISNUMBER(F9248),E9248*F9248,"")</f>
        <v/>
      </c>
      <c r="H9248" s="35"/>
      <c r="I9248" s="36"/>
      <c r="J9248" s="37">
        <v>0</v>
      </c>
    </row>
    <row r="9249" spans="1:10" hidden="1" x14ac:dyDescent="0.25">
      <c r="A9249" s="179"/>
      <c r="B9249" s="177"/>
      <c r="C9249" s="39"/>
      <c r="D9249" s="39"/>
      <c r="E9249" s="40"/>
      <c r="F9249" s="55" t="s">
        <v>13</v>
      </c>
      <c r="G9249" s="41" t="str">
        <f>IF(ISNUMBER(F9249),E9249*F9249,"")</f>
        <v/>
      </c>
      <c r="H9249" s="42"/>
      <c r="I9249" s="38"/>
      <c r="J9249" s="37">
        <v>0</v>
      </c>
    </row>
    <row r="9250" spans="1:10" hidden="1" x14ac:dyDescent="0.25">
      <c r="A9250" s="179"/>
      <c r="B9250" s="177"/>
      <c r="C9250" s="43" t="s">
        <v>11691</v>
      </c>
      <c r="D9250" s="43" t="s">
        <v>83</v>
      </c>
      <c r="E9250" s="44">
        <v>1</v>
      </c>
      <c r="F9250" s="38">
        <v>34.779499999999999</v>
      </c>
      <c r="G9250" s="41">
        <f>IF(ISNUMBER(F9250),E9250*F9250,"")</f>
        <v>34.779499999999999</v>
      </c>
      <c r="H9250" s="46">
        <f>SUM(G9250:G9250)</f>
        <v>34.779499999999999</v>
      </c>
      <c r="I9250" s="47"/>
      <c r="J9250" s="37">
        <v>0</v>
      </c>
    </row>
    <row r="9251" spans="1:10" ht="15.75" hidden="1" thickBot="1" x14ac:dyDescent="0.3">
      <c r="A9251" s="180"/>
      <c r="B9251" s="178"/>
      <c r="C9251" s="49"/>
      <c r="D9251" s="49"/>
      <c r="E9251" s="50"/>
      <c r="F9251" s="51"/>
      <c r="G9251" s="52" t="str">
        <f>IF(ISNUMBER(F9251),E9251*F9251,"")</f>
        <v/>
      </c>
      <c r="H9251" s="53"/>
      <c r="I9251" s="47"/>
      <c r="J9251" s="37">
        <v>0</v>
      </c>
    </row>
    <row r="9252" spans="1:10" ht="15.75" hidden="1" thickBot="1" x14ac:dyDescent="0.3">
      <c r="A9252" s="173" t="s">
        <v>2228</v>
      </c>
      <c r="B9252" s="176" t="s">
        <v>9363</v>
      </c>
      <c r="C9252" s="31"/>
      <c r="D9252" s="32" t="s">
        <v>18</v>
      </c>
      <c r="E9252" s="33"/>
      <c r="F9252" s="54" t="s">
        <v>13</v>
      </c>
      <c r="G9252" s="34" t="str">
        <f>IF(ISNUMBER(F9252),E9252*F9252,"")</f>
        <v/>
      </c>
      <c r="H9252" s="35"/>
      <c r="I9252" s="36"/>
      <c r="J9252" s="37">
        <v>0</v>
      </c>
    </row>
    <row r="9253" spans="1:10" hidden="1" x14ac:dyDescent="0.25">
      <c r="A9253" s="179"/>
      <c r="B9253" s="177"/>
      <c r="C9253" s="39"/>
      <c r="D9253" s="39"/>
      <c r="E9253" s="40"/>
      <c r="F9253" s="55" t="s">
        <v>13</v>
      </c>
      <c r="G9253" s="41" t="str">
        <f>IF(ISNUMBER(F9253),E9253*F9253,"")</f>
        <v/>
      </c>
      <c r="H9253" s="42"/>
      <c r="I9253" s="38"/>
      <c r="J9253" s="37">
        <v>0</v>
      </c>
    </row>
    <row r="9254" spans="1:10" hidden="1" x14ac:dyDescent="0.25">
      <c r="A9254" s="179"/>
      <c r="B9254" s="177"/>
      <c r="C9254" s="43" t="s">
        <v>11692</v>
      </c>
      <c r="D9254" s="43" t="s">
        <v>83</v>
      </c>
      <c r="E9254" s="44">
        <v>1</v>
      </c>
      <c r="F9254" s="38">
        <v>27.445499999999999</v>
      </c>
      <c r="G9254" s="41">
        <f>IF(ISNUMBER(F9254),E9254*F9254,"")</f>
        <v>27.445499999999999</v>
      </c>
      <c r="H9254" s="46">
        <f>SUM(G9254:G9254)</f>
        <v>27.445499999999999</v>
      </c>
      <c r="I9254" s="47"/>
      <c r="J9254" s="37">
        <v>0</v>
      </c>
    </row>
    <row r="9255" spans="1:10" ht="15.75" hidden="1" thickBot="1" x14ac:dyDescent="0.3">
      <c r="A9255" s="180"/>
      <c r="B9255" s="178"/>
      <c r="C9255" s="49"/>
      <c r="D9255" s="49"/>
      <c r="E9255" s="50"/>
      <c r="F9255" s="51"/>
      <c r="G9255" s="52" t="str">
        <f>IF(ISNUMBER(F9255),E9255*F9255,"")</f>
        <v/>
      </c>
      <c r="H9255" s="53"/>
      <c r="I9255" s="47"/>
      <c r="J9255" s="37">
        <v>0</v>
      </c>
    </row>
    <row r="9256" spans="1:10" ht="15.75" hidden="1" thickBot="1" x14ac:dyDescent="0.3">
      <c r="A9256" s="173" t="s">
        <v>2229</v>
      </c>
      <c r="B9256" s="176" t="s">
        <v>9364</v>
      </c>
      <c r="C9256" s="31"/>
      <c r="D9256" s="32" t="s">
        <v>18</v>
      </c>
      <c r="E9256" s="33"/>
      <c r="F9256" s="54" t="s">
        <v>13</v>
      </c>
      <c r="G9256" s="34" t="str">
        <f>IF(ISNUMBER(F9256),E9256*F9256,"")</f>
        <v/>
      </c>
      <c r="H9256" s="35"/>
      <c r="I9256" s="36"/>
      <c r="J9256" s="37">
        <v>0</v>
      </c>
    </row>
    <row r="9257" spans="1:10" hidden="1" x14ac:dyDescent="0.25">
      <c r="A9257" s="179"/>
      <c r="B9257" s="177"/>
      <c r="C9257" s="39"/>
      <c r="D9257" s="39"/>
      <c r="E9257" s="40"/>
      <c r="F9257" s="55" t="s">
        <v>13</v>
      </c>
      <c r="G9257" s="41" t="str">
        <f>IF(ISNUMBER(F9257),E9257*F9257,"")</f>
        <v/>
      </c>
      <c r="H9257" s="42"/>
      <c r="I9257" s="38"/>
      <c r="J9257" s="37">
        <v>0</v>
      </c>
    </row>
    <row r="9258" spans="1:10" hidden="1" x14ac:dyDescent="0.25">
      <c r="A9258" s="179"/>
      <c r="B9258" s="177"/>
      <c r="C9258" s="43" t="s">
        <v>11458</v>
      </c>
      <c r="D9258" s="43" t="s">
        <v>83</v>
      </c>
      <c r="E9258" s="44">
        <v>1</v>
      </c>
      <c r="F9258" s="38">
        <v>65.692499999999995</v>
      </c>
      <c r="G9258" s="41">
        <f>IF(ISNUMBER(F9258),E9258*F9258,"")</f>
        <v>65.692499999999995</v>
      </c>
      <c r="H9258" s="46">
        <f>SUM(G9258:G9258)</f>
        <v>65.692499999999995</v>
      </c>
      <c r="I9258" s="47"/>
      <c r="J9258" s="37">
        <v>0</v>
      </c>
    </row>
    <row r="9259" spans="1:10" ht="15.75" hidden="1" thickBot="1" x14ac:dyDescent="0.3">
      <c r="A9259" s="180"/>
      <c r="B9259" s="178"/>
      <c r="C9259" s="49"/>
      <c r="D9259" s="49"/>
      <c r="E9259" s="50"/>
      <c r="F9259" s="51"/>
      <c r="G9259" s="52" t="str">
        <f>IF(ISNUMBER(F9259),E9259*F9259,"")</f>
        <v/>
      </c>
      <c r="H9259" s="53"/>
      <c r="I9259" s="47"/>
      <c r="J9259" s="37">
        <v>0</v>
      </c>
    </row>
    <row r="9260" spans="1:10" ht="15.75" hidden="1" thickBot="1" x14ac:dyDescent="0.3">
      <c r="A9260" s="173" t="s">
        <v>2230</v>
      </c>
      <c r="B9260" s="176" t="s">
        <v>9365</v>
      </c>
      <c r="C9260" s="31"/>
      <c r="D9260" s="32" t="s">
        <v>18</v>
      </c>
      <c r="E9260" s="33"/>
      <c r="F9260" s="54" t="s">
        <v>13</v>
      </c>
      <c r="G9260" s="34" t="str">
        <f>IF(ISNUMBER(F9260),E9260*F9260,"")</f>
        <v/>
      </c>
      <c r="H9260" s="35"/>
      <c r="I9260" s="36"/>
      <c r="J9260" s="37">
        <v>0</v>
      </c>
    </row>
    <row r="9261" spans="1:10" hidden="1" x14ac:dyDescent="0.25">
      <c r="A9261" s="179"/>
      <c r="B9261" s="177"/>
      <c r="C9261" s="39"/>
      <c r="D9261" s="39"/>
      <c r="E9261" s="40"/>
      <c r="F9261" s="55" t="s">
        <v>13</v>
      </c>
      <c r="G9261" s="41" t="str">
        <f>IF(ISNUMBER(F9261),E9261*F9261,"")</f>
        <v/>
      </c>
      <c r="H9261" s="42"/>
      <c r="I9261" s="38"/>
      <c r="J9261" s="37">
        <v>0</v>
      </c>
    </row>
    <row r="9262" spans="1:10" hidden="1" x14ac:dyDescent="0.25">
      <c r="A9262" s="179"/>
      <c r="B9262" s="177"/>
      <c r="C9262" s="43" t="s">
        <v>11693</v>
      </c>
      <c r="D9262" s="43" t="s">
        <v>83</v>
      </c>
      <c r="E9262" s="44">
        <v>1</v>
      </c>
      <c r="F9262" s="38">
        <v>20.6435</v>
      </c>
      <c r="G9262" s="41">
        <f>IF(ISNUMBER(F9262),E9262*F9262,"")</f>
        <v>20.6435</v>
      </c>
      <c r="H9262" s="46">
        <f>SUM(G9262:G9262)</f>
        <v>20.6435</v>
      </c>
      <c r="I9262" s="47"/>
      <c r="J9262" s="37">
        <v>0</v>
      </c>
    </row>
    <row r="9263" spans="1:10" ht="15.75" hidden="1" thickBot="1" x14ac:dyDescent="0.3">
      <c r="A9263" s="180"/>
      <c r="B9263" s="178"/>
      <c r="C9263" s="49"/>
      <c r="D9263" s="49"/>
      <c r="E9263" s="50"/>
      <c r="F9263" s="51"/>
      <c r="G9263" s="52" t="str">
        <f>IF(ISNUMBER(F9263),E9263*F9263,"")</f>
        <v/>
      </c>
      <c r="H9263" s="53"/>
      <c r="I9263" s="47"/>
      <c r="J9263" s="37">
        <v>0</v>
      </c>
    </row>
    <row r="9264" spans="1:10" ht="15.75" hidden="1" thickBot="1" x14ac:dyDescent="0.3">
      <c r="A9264" s="173" t="s">
        <v>2231</v>
      </c>
      <c r="B9264" s="176" t="s">
        <v>9366</v>
      </c>
      <c r="C9264" s="31"/>
      <c r="D9264" s="32" t="s">
        <v>106</v>
      </c>
      <c r="E9264" s="33"/>
      <c r="F9264" s="54" t="s">
        <v>13</v>
      </c>
      <c r="G9264" s="34" t="str">
        <f>IF(ISNUMBER(F9264),E9264*F9264,"")</f>
        <v/>
      </c>
      <c r="H9264" s="35"/>
      <c r="I9264" s="36"/>
      <c r="J9264" s="37">
        <v>0</v>
      </c>
    </row>
    <row r="9265" spans="1:10" hidden="1" x14ac:dyDescent="0.25">
      <c r="A9265" s="179"/>
      <c r="B9265" s="177"/>
      <c r="C9265" s="39"/>
      <c r="D9265" s="39"/>
      <c r="E9265" s="40"/>
      <c r="F9265" s="55" t="s">
        <v>13</v>
      </c>
      <c r="G9265" s="41" t="str">
        <f>IF(ISNUMBER(F9265),E9265*F9265,"")</f>
        <v/>
      </c>
      <c r="H9265" s="42"/>
      <c r="I9265" s="38"/>
      <c r="J9265" s="37">
        <v>0</v>
      </c>
    </row>
    <row r="9266" spans="1:10" ht="25.5" hidden="1" x14ac:dyDescent="0.25">
      <c r="A9266" s="179"/>
      <c r="B9266" s="177"/>
      <c r="C9266" s="43" t="s">
        <v>11331</v>
      </c>
      <c r="D9266" s="43" t="s">
        <v>1302</v>
      </c>
      <c r="E9266" s="44">
        <v>1</v>
      </c>
      <c r="F9266" s="38">
        <v>176.434</v>
      </c>
      <c r="G9266" s="41">
        <f>IF(ISNUMBER(F9266),E9266*F9266,"")</f>
        <v>176.434</v>
      </c>
      <c r="H9266" s="46">
        <f>SUM(G9266:G9266)</f>
        <v>176.434</v>
      </c>
      <c r="I9266" s="47"/>
      <c r="J9266" s="37">
        <v>0</v>
      </c>
    </row>
    <row r="9267" spans="1:10" ht="15.75" hidden="1" thickBot="1" x14ac:dyDescent="0.3">
      <c r="A9267" s="180"/>
      <c r="B9267" s="178"/>
      <c r="C9267" s="49"/>
      <c r="D9267" s="49"/>
      <c r="E9267" s="50"/>
      <c r="F9267" s="51"/>
      <c r="G9267" s="52" t="str">
        <f>IF(ISNUMBER(F9267),E9267*F9267,"")</f>
        <v/>
      </c>
      <c r="H9267" s="53"/>
      <c r="I9267" s="47"/>
      <c r="J9267" s="37">
        <v>0</v>
      </c>
    </row>
    <row r="9268" spans="1:10" ht="15.75" hidden="1" thickBot="1" x14ac:dyDescent="0.3">
      <c r="A9268" s="173" t="s">
        <v>2232</v>
      </c>
      <c r="B9268" s="176" t="s">
        <v>9367</v>
      </c>
      <c r="C9268" s="31"/>
      <c r="D9268" s="32" t="s">
        <v>18</v>
      </c>
      <c r="E9268" s="33"/>
      <c r="F9268" s="54" t="s">
        <v>13</v>
      </c>
      <c r="G9268" s="34" t="str">
        <f>IF(ISNUMBER(F9268),E9268*F9268,"")</f>
        <v/>
      </c>
      <c r="H9268" s="35"/>
      <c r="I9268" s="36"/>
      <c r="J9268" s="37">
        <v>0</v>
      </c>
    </row>
    <row r="9269" spans="1:10" hidden="1" x14ac:dyDescent="0.25">
      <c r="A9269" s="179"/>
      <c r="B9269" s="177"/>
      <c r="C9269" s="39"/>
      <c r="D9269" s="39"/>
      <c r="E9269" s="40"/>
      <c r="F9269" s="55" t="s">
        <v>13</v>
      </c>
      <c r="G9269" s="41" t="str">
        <f>IF(ISNUMBER(F9269),E9269*F9269,"")</f>
        <v/>
      </c>
      <c r="H9269" s="42"/>
      <c r="I9269" s="38"/>
      <c r="J9269" s="37">
        <v>0</v>
      </c>
    </row>
    <row r="9270" spans="1:10" ht="25.5" hidden="1" x14ac:dyDescent="0.25">
      <c r="A9270" s="179"/>
      <c r="B9270" s="177"/>
      <c r="C9270" s="43" t="s">
        <v>11694</v>
      </c>
      <c r="D9270" s="43" t="s">
        <v>83</v>
      </c>
      <c r="E9270" s="44">
        <v>1</v>
      </c>
      <c r="F9270" s="38">
        <v>117.26799999999999</v>
      </c>
      <c r="G9270" s="41">
        <f>IF(ISNUMBER(F9270),E9270*F9270,"")</f>
        <v>117.26799999999999</v>
      </c>
      <c r="H9270" s="46">
        <f>SUM(G9270:G9270)</f>
        <v>117.26799999999999</v>
      </c>
      <c r="I9270" s="47"/>
      <c r="J9270" s="37">
        <v>0</v>
      </c>
    </row>
    <row r="9271" spans="1:10" ht="15.75" hidden="1" thickBot="1" x14ac:dyDescent="0.3">
      <c r="A9271" s="180"/>
      <c r="B9271" s="178"/>
      <c r="C9271" s="49"/>
      <c r="D9271" s="49"/>
      <c r="E9271" s="50"/>
      <c r="F9271" s="51"/>
      <c r="G9271" s="52" t="str">
        <f>IF(ISNUMBER(F9271),E9271*F9271,"")</f>
        <v/>
      </c>
      <c r="H9271" s="53"/>
      <c r="I9271" s="47"/>
      <c r="J9271" s="37">
        <v>0</v>
      </c>
    </row>
    <row r="9272" spans="1:10" ht="15.75" hidden="1" thickBot="1" x14ac:dyDescent="0.3">
      <c r="A9272" s="173" t="s">
        <v>2233</v>
      </c>
      <c r="B9272" s="176" t="s">
        <v>9368</v>
      </c>
      <c r="C9272" s="31"/>
      <c r="D9272" s="32" t="s">
        <v>18</v>
      </c>
      <c r="E9272" s="33"/>
      <c r="F9272" s="54" t="s">
        <v>13</v>
      </c>
      <c r="G9272" s="34" t="str">
        <f>IF(ISNUMBER(F9272),E9272*F9272,"")</f>
        <v/>
      </c>
      <c r="H9272" s="35"/>
      <c r="I9272" s="36"/>
      <c r="J9272" s="37">
        <v>0</v>
      </c>
    </row>
    <row r="9273" spans="1:10" hidden="1" x14ac:dyDescent="0.25">
      <c r="A9273" s="179"/>
      <c r="B9273" s="177"/>
      <c r="C9273" s="39"/>
      <c r="D9273" s="39"/>
      <c r="E9273" s="40"/>
      <c r="F9273" s="55" t="s">
        <v>13</v>
      </c>
      <c r="G9273" s="41" t="str">
        <f>IF(ISNUMBER(F9273),E9273*F9273,"")</f>
        <v/>
      </c>
      <c r="H9273" s="42"/>
      <c r="I9273" s="38"/>
      <c r="J9273" s="37">
        <v>0</v>
      </c>
    </row>
    <row r="9274" spans="1:10" ht="25.5" hidden="1" x14ac:dyDescent="0.25">
      <c r="A9274" s="179"/>
      <c r="B9274" s="177"/>
      <c r="C9274" s="43" t="s">
        <v>11454</v>
      </c>
      <c r="D9274" s="43" t="s">
        <v>83</v>
      </c>
      <c r="E9274" s="44">
        <v>1</v>
      </c>
      <c r="F9274" s="38">
        <v>166.87699999999998</v>
      </c>
      <c r="G9274" s="41">
        <f>IF(ISNUMBER(F9274),E9274*F9274,"")</f>
        <v>166.87699999999998</v>
      </c>
      <c r="H9274" s="46">
        <f>SUM(G9274:G9274)</f>
        <v>166.87699999999998</v>
      </c>
      <c r="I9274" s="47"/>
      <c r="J9274" s="37">
        <v>0</v>
      </c>
    </row>
    <row r="9275" spans="1:10" ht="15.75" hidden="1" thickBot="1" x14ac:dyDescent="0.3">
      <c r="A9275" s="180"/>
      <c r="B9275" s="178"/>
      <c r="C9275" s="49"/>
      <c r="D9275" s="49"/>
      <c r="E9275" s="50"/>
      <c r="F9275" s="51"/>
      <c r="G9275" s="52" t="str">
        <f>IF(ISNUMBER(F9275),E9275*F9275,"")</f>
        <v/>
      </c>
      <c r="H9275" s="53"/>
      <c r="I9275" s="47"/>
      <c r="J9275" s="37">
        <v>0</v>
      </c>
    </row>
    <row r="9276" spans="1:10" ht="15.75" hidden="1" thickBot="1" x14ac:dyDescent="0.3">
      <c r="A9276" s="173" t="s">
        <v>2234</v>
      </c>
      <c r="B9276" s="176" t="s">
        <v>9369</v>
      </c>
      <c r="C9276" s="31"/>
      <c r="D9276" s="32" t="s">
        <v>18</v>
      </c>
      <c r="E9276" s="33"/>
      <c r="F9276" s="54" t="s">
        <v>13</v>
      </c>
      <c r="G9276" s="34" t="str">
        <f>IF(ISNUMBER(F9276),E9276*F9276,"")</f>
        <v/>
      </c>
      <c r="H9276" s="35"/>
      <c r="I9276" s="36"/>
      <c r="J9276" s="37">
        <v>0</v>
      </c>
    </row>
    <row r="9277" spans="1:10" hidden="1" x14ac:dyDescent="0.25">
      <c r="A9277" s="179"/>
      <c r="B9277" s="177"/>
      <c r="C9277" s="39"/>
      <c r="D9277" s="39"/>
      <c r="E9277" s="40"/>
      <c r="F9277" s="55" t="s">
        <v>13</v>
      </c>
      <c r="G9277" s="41" t="str">
        <f>IF(ISNUMBER(F9277),E9277*F9277,"")</f>
        <v/>
      </c>
      <c r="H9277" s="42"/>
      <c r="I9277" s="38"/>
      <c r="J9277" s="37">
        <v>0</v>
      </c>
    </row>
    <row r="9278" spans="1:10" hidden="1" x14ac:dyDescent="0.25">
      <c r="A9278" s="179"/>
      <c r="B9278" s="177"/>
      <c r="C9278" s="43" t="s">
        <v>11387</v>
      </c>
      <c r="D9278" s="43" t="s">
        <v>83</v>
      </c>
      <c r="E9278" s="44">
        <v>1</v>
      </c>
      <c r="F9278" s="38">
        <v>53.275999999999996</v>
      </c>
      <c r="G9278" s="41">
        <f>IF(ISNUMBER(F9278),E9278*F9278,"")</f>
        <v>53.275999999999996</v>
      </c>
      <c r="H9278" s="46">
        <f>SUM(G9278:G9278)</f>
        <v>53.275999999999996</v>
      </c>
      <c r="I9278" s="47"/>
      <c r="J9278" s="37">
        <v>0</v>
      </c>
    </row>
    <row r="9279" spans="1:10" ht="15.75" hidden="1" thickBot="1" x14ac:dyDescent="0.3">
      <c r="A9279" s="180"/>
      <c r="B9279" s="178"/>
      <c r="C9279" s="49"/>
      <c r="D9279" s="49"/>
      <c r="E9279" s="50"/>
      <c r="F9279" s="51"/>
      <c r="G9279" s="52" t="str">
        <f>IF(ISNUMBER(F9279),E9279*F9279,"")</f>
        <v/>
      </c>
      <c r="H9279" s="53"/>
      <c r="I9279" s="47"/>
      <c r="J9279" s="37">
        <v>0</v>
      </c>
    </row>
    <row r="9280" spans="1:10" ht="15.75" hidden="1" thickBot="1" x14ac:dyDescent="0.3">
      <c r="A9280" s="173" t="s">
        <v>2235</v>
      </c>
      <c r="B9280" s="176" t="s">
        <v>9370</v>
      </c>
      <c r="C9280" s="31"/>
      <c r="D9280" s="32" t="s">
        <v>18</v>
      </c>
      <c r="E9280" s="33"/>
      <c r="F9280" s="54" t="s">
        <v>13</v>
      </c>
      <c r="G9280" s="34" t="str">
        <f>IF(ISNUMBER(F9280),E9280*F9280,"")</f>
        <v/>
      </c>
      <c r="H9280" s="35"/>
      <c r="I9280" s="36"/>
      <c r="J9280" s="37">
        <v>0</v>
      </c>
    </row>
    <row r="9281" spans="1:10" hidden="1" x14ac:dyDescent="0.25">
      <c r="A9281" s="179"/>
      <c r="B9281" s="177"/>
      <c r="C9281" s="39"/>
      <c r="D9281" s="39"/>
      <c r="E9281" s="40"/>
      <c r="F9281" s="55" t="s">
        <v>13</v>
      </c>
      <c r="G9281" s="41" t="str">
        <f>IF(ISNUMBER(F9281),E9281*F9281,"")</f>
        <v/>
      </c>
      <c r="H9281" s="42"/>
      <c r="I9281" s="38"/>
      <c r="J9281" s="37">
        <v>0</v>
      </c>
    </row>
    <row r="9282" spans="1:10" hidden="1" x14ac:dyDescent="0.25">
      <c r="A9282" s="179"/>
      <c r="B9282" s="177"/>
      <c r="C9282" s="43" t="s">
        <v>11695</v>
      </c>
      <c r="D9282" s="43" t="s">
        <v>83</v>
      </c>
      <c r="E9282" s="44">
        <v>1</v>
      </c>
      <c r="F9282" s="38">
        <v>63.450500000000005</v>
      </c>
      <c r="G9282" s="41">
        <f>IF(ISNUMBER(F9282),E9282*F9282,"")</f>
        <v>63.450500000000005</v>
      </c>
      <c r="H9282" s="46">
        <f>SUM(G9282:G9282)</f>
        <v>63.450500000000005</v>
      </c>
      <c r="I9282" s="47"/>
      <c r="J9282" s="37">
        <v>0</v>
      </c>
    </row>
    <row r="9283" spans="1:10" ht="15.75" hidden="1" thickBot="1" x14ac:dyDescent="0.3">
      <c r="A9283" s="180"/>
      <c r="B9283" s="178"/>
      <c r="C9283" s="49"/>
      <c r="D9283" s="49"/>
      <c r="E9283" s="50"/>
      <c r="F9283" s="51"/>
      <c r="G9283" s="52" t="str">
        <f>IF(ISNUMBER(F9283),E9283*F9283,"")</f>
        <v/>
      </c>
      <c r="H9283" s="53"/>
      <c r="I9283" s="47"/>
      <c r="J9283" s="37">
        <v>0</v>
      </c>
    </row>
    <row r="9284" spans="1:10" ht="15.75" hidden="1" thickBot="1" x14ac:dyDescent="0.3">
      <c r="A9284" s="173" t="s">
        <v>2236</v>
      </c>
      <c r="B9284" s="176" t="s">
        <v>9371</v>
      </c>
      <c r="C9284" s="31"/>
      <c r="D9284" s="32" t="s">
        <v>18</v>
      </c>
      <c r="E9284" s="33"/>
      <c r="F9284" s="54" t="s">
        <v>13</v>
      </c>
      <c r="G9284" s="34" t="str">
        <f>IF(ISNUMBER(F9284),E9284*F9284,"")</f>
        <v/>
      </c>
      <c r="H9284" s="35"/>
      <c r="I9284" s="36"/>
      <c r="J9284" s="37">
        <v>0</v>
      </c>
    </row>
    <row r="9285" spans="1:10" hidden="1" x14ac:dyDescent="0.25">
      <c r="A9285" s="179"/>
      <c r="B9285" s="177"/>
      <c r="C9285" s="39"/>
      <c r="D9285" s="39"/>
      <c r="E9285" s="40"/>
      <c r="F9285" s="55" t="s">
        <v>13</v>
      </c>
      <c r="G9285" s="41" t="str">
        <f>IF(ISNUMBER(F9285),E9285*F9285,"")</f>
        <v/>
      </c>
      <c r="H9285" s="42"/>
      <c r="I9285" s="38"/>
      <c r="J9285" s="37">
        <v>0</v>
      </c>
    </row>
    <row r="9286" spans="1:10" ht="25.5" hidden="1" x14ac:dyDescent="0.25">
      <c r="A9286" s="179"/>
      <c r="B9286" s="177"/>
      <c r="C9286" s="43" t="s">
        <v>11696</v>
      </c>
      <c r="D9286" s="43" t="s">
        <v>83</v>
      </c>
      <c r="E9286" s="44">
        <v>1</v>
      </c>
      <c r="F9286" s="38">
        <v>49.494999999999997</v>
      </c>
      <c r="G9286" s="41">
        <f>IF(ISNUMBER(F9286),E9286*F9286,"")</f>
        <v>49.494999999999997</v>
      </c>
      <c r="H9286" s="46">
        <f>SUM(G9286:G9286)</f>
        <v>49.494999999999997</v>
      </c>
      <c r="I9286" s="47"/>
      <c r="J9286" s="37">
        <v>0</v>
      </c>
    </row>
    <row r="9287" spans="1:10" ht="15.75" hidden="1" thickBot="1" x14ac:dyDescent="0.3">
      <c r="A9287" s="180"/>
      <c r="B9287" s="178"/>
      <c r="C9287" s="49"/>
      <c r="D9287" s="49"/>
      <c r="E9287" s="50"/>
      <c r="F9287" s="51"/>
      <c r="G9287" s="52" t="str">
        <f>IF(ISNUMBER(F9287),E9287*F9287,"")</f>
        <v/>
      </c>
      <c r="H9287" s="53"/>
      <c r="I9287" s="47"/>
      <c r="J9287" s="37">
        <v>0</v>
      </c>
    </row>
    <row r="9288" spans="1:10" ht="15.75" hidden="1" thickBot="1" x14ac:dyDescent="0.3">
      <c r="A9288" s="173" t="s">
        <v>2237</v>
      </c>
      <c r="B9288" s="176" t="s">
        <v>9372</v>
      </c>
      <c r="C9288" s="31"/>
      <c r="D9288" s="32" t="s">
        <v>18</v>
      </c>
      <c r="E9288" s="33"/>
      <c r="F9288" s="54" t="s">
        <v>13</v>
      </c>
      <c r="G9288" s="34" t="str">
        <f>IF(ISNUMBER(F9288),E9288*F9288,"")</f>
        <v/>
      </c>
      <c r="H9288" s="35"/>
      <c r="I9288" s="36"/>
      <c r="J9288" s="37">
        <v>0</v>
      </c>
    </row>
    <row r="9289" spans="1:10" hidden="1" x14ac:dyDescent="0.25">
      <c r="A9289" s="179"/>
      <c r="B9289" s="177"/>
      <c r="C9289" s="39"/>
      <c r="D9289" s="39"/>
      <c r="E9289" s="40"/>
      <c r="F9289" s="55" t="s">
        <v>13</v>
      </c>
      <c r="G9289" s="41" t="str">
        <f>IF(ISNUMBER(F9289),E9289*F9289,"")</f>
        <v/>
      </c>
      <c r="H9289" s="42"/>
      <c r="I9289" s="38"/>
      <c r="J9289" s="37">
        <v>0</v>
      </c>
    </row>
    <row r="9290" spans="1:10" hidden="1" x14ac:dyDescent="0.25">
      <c r="A9290" s="179"/>
      <c r="B9290" s="177"/>
      <c r="C9290" s="43" t="s">
        <v>11457</v>
      </c>
      <c r="D9290" s="43" t="s">
        <v>83</v>
      </c>
      <c r="E9290" s="44">
        <v>1</v>
      </c>
      <c r="F9290" s="38">
        <v>124.735</v>
      </c>
      <c r="G9290" s="41">
        <f>IF(ISNUMBER(F9290),E9290*F9290,"")</f>
        <v>124.735</v>
      </c>
      <c r="H9290" s="46">
        <f>SUM(G9290:G9290)</f>
        <v>124.735</v>
      </c>
      <c r="I9290" s="47"/>
      <c r="J9290" s="37">
        <v>0</v>
      </c>
    </row>
    <row r="9291" spans="1:10" ht="15.75" hidden="1" thickBot="1" x14ac:dyDescent="0.3">
      <c r="A9291" s="180"/>
      <c r="B9291" s="178"/>
      <c r="C9291" s="49"/>
      <c r="D9291" s="49"/>
      <c r="E9291" s="50"/>
      <c r="F9291" s="51"/>
      <c r="G9291" s="52" t="str">
        <f>IF(ISNUMBER(F9291),E9291*F9291,"")</f>
        <v/>
      </c>
      <c r="H9291" s="53"/>
      <c r="I9291" s="47"/>
      <c r="J9291" s="37">
        <v>0</v>
      </c>
    </row>
    <row r="9292" spans="1:10" ht="15.75" hidden="1" thickBot="1" x14ac:dyDescent="0.3">
      <c r="A9292" s="173" t="s">
        <v>2238</v>
      </c>
      <c r="B9292" s="176" t="s">
        <v>9373</v>
      </c>
      <c r="C9292" s="31"/>
      <c r="D9292" s="32" t="s">
        <v>18</v>
      </c>
      <c r="E9292" s="33"/>
      <c r="F9292" s="54" t="s">
        <v>13</v>
      </c>
      <c r="G9292" s="34" t="str">
        <f>IF(ISNUMBER(F9292),E9292*F9292,"")</f>
        <v/>
      </c>
      <c r="H9292" s="35"/>
      <c r="I9292" s="36"/>
      <c r="J9292" s="37">
        <v>0</v>
      </c>
    </row>
    <row r="9293" spans="1:10" hidden="1" x14ac:dyDescent="0.25">
      <c r="A9293" s="179"/>
      <c r="B9293" s="177"/>
      <c r="C9293" s="39"/>
      <c r="D9293" s="39"/>
      <c r="E9293" s="40"/>
      <c r="F9293" s="55" t="s">
        <v>13</v>
      </c>
      <c r="G9293" s="41" t="str">
        <f>IF(ISNUMBER(F9293),E9293*F9293,"")</f>
        <v/>
      </c>
      <c r="H9293" s="42"/>
      <c r="I9293" s="38"/>
      <c r="J9293" s="37">
        <v>0</v>
      </c>
    </row>
    <row r="9294" spans="1:10" hidden="1" x14ac:dyDescent="0.25">
      <c r="A9294" s="179"/>
      <c r="B9294" s="177"/>
      <c r="C9294" s="43" t="s">
        <v>11697</v>
      </c>
      <c r="D9294" s="43" t="s">
        <v>83</v>
      </c>
      <c r="E9294" s="44">
        <v>1</v>
      </c>
      <c r="F9294" s="38">
        <v>41.286999999999999</v>
      </c>
      <c r="G9294" s="41">
        <f>IF(ISNUMBER(F9294),E9294*F9294,"")</f>
        <v>41.286999999999999</v>
      </c>
      <c r="H9294" s="46">
        <f>SUM(G9294:G9294)</f>
        <v>41.286999999999999</v>
      </c>
      <c r="I9294" s="47"/>
      <c r="J9294" s="37">
        <v>0</v>
      </c>
    </row>
    <row r="9295" spans="1:10" ht="15.75" hidden="1" thickBot="1" x14ac:dyDescent="0.3">
      <c r="A9295" s="180"/>
      <c r="B9295" s="178"/>
      <c r="C9295" s="49"/>
      <c r="D9295" s="49"/>
      <c r="E9295" s="50"/>
      <c r="F9295" s="51"/>
      <c r="G9295" s="52" t="str">
        <f>IF(ISNUMBER(F9295),E9295*F9295,"")</f>
        <v/>
      </c>
      <c r="H9295" s="53"/>
      <c r="I9295" s="47"/>
      <c r="J9295" s="37">
        <v>0</v>
      </c>
    </row>
    <row r="9296" spans="1:10" ht="15.75" hidden="1" thickBot="1" x14ac:dyDescent="0.3">
      <c r="A9296" s="173" t="s">
        <v>2239</v>
      </c>
      <c r="B9296" s="176" t="s">
        <v>9374</v>
      </c>
      <c r="C9296" s="31"/>
      <c r="D9296" s="32" t="s">
        <v>106</v>
      </c>
      <c r="E9296" s="33"/>
      <c r="F9296" s="54" t="s">
        <v>13</v>
      </c>
      <c r="G9296" s="34" t="str">
        <f>IF(ISNUMBER(F9296),E9296*F9296,"")</f>
        <v/>
      </c>
      <c r="H9296" s="35"/>
      <c r="I9296" s="36"/>
      <c r="J9296" s="37">
        <v>0</v>
      </c>
    </row>
    <row r="9297" spans="1:10" hidden="1" x14ac:dyDescent="0.25">
      <c r="A9297" s="179"/>
      <c r="B9297" s="177"/>
      <c r="C9297" s="39"/>
      <c r="D9297" s="39"/>
      <c r="E9297" s="40"/>
      <c r="F9297" s="55" t="s">
        <v>13</v>
      </c>
      <c r="G9297" s="41" t="str">
        <f>IF(ISNUMBER(F9297),E9297*F9297,"")</f>
        <v/>
      </c>
      <c r="H9297" s="42"/>
      <c r="I9297" s="38"/>
      <c r="J9297" s="37">
        <v>0</v>
      </c>
    </row>
    <row r="9298" spans="1:10" ht="25.5" hidden="1" x14ac:dyDescent="0.25">
      <c r="A9298" s="179"/>
      <c r="B9298" s="177"/>
      <c r="C9298" s="43" t="s">
        <v>11698</v>
      </c>
      <c r="D9298" s="43" t="s">
        <v>1302</v>
      </c>
      <c r="E9298" s="44">
        <v>1</v>
      </c>
      <c r="F9298" s="38">
        <v>222.13849999999999</v>
      </c>
      <c r="G9298" s="41">
        <f>IF(ISNUMBER(F9298),E9298*F9298,"")</f>
        <v>222.13849999999999</v>
      </c>
      <c r="H9298" s="46">
        <f>SUM(G9298:G9298)</f>
        <v>222.13849999999999</v>
      </c>
      <c r="I9298" s="47"/>
      <c r="J9298" s="37">
        <v>0</v>
      </c>
    </row>
    <row r="9299" spans="1:10" ht="15.75" hidden="1" thickBot="1" x14ac:dyDescent="0.3">
      <c r="A9299" s="180"/>
      <c r="B9299" s="178"/>
      <c r="C9299" s="49"/>
      <c r="D9299" s="49"/>
      <c r="E9299" s="50"/>
      <c r="F9299" s="51"/>
      <c r="G9299" s="52" t="str">
        <f>IF(ISNUMBER(F9299),E9299*F9299,"")</f>
        <v/>
      </c>
      <c r="H9299" s="53"/>
      <c r="I9299" s="47"/>
      <c r="J9299" s="37">
        <v>0</v>
      </c>
    </row>
    <row r="9300" spans="1:10" ht="15.75" hidden="1" thickBot="1" x14ac:dyDescent="0.3">
      <c r="A9300" s="173" t="s">
        <v>2240</v>
      </c>
      <c r="B9300" s="176" t="s">
        <v>9397</v>
      </c>
      <c r="C9300" s="31"/>
      <c r="D9300" s="32" t="s">
        <v>106</v>
      </c>
      <c r="E9300" s="33"/>
      <c r="F9300" s="54" t="s">
        <v>13</v>
      </c>
      <c r="G9300" s="34" t="str">
        <f>IF(ISNUMBER(F9300),E9300*F9300,"")</f>
        <v/>
      </c>
      <c r="H9300" s="35"/>
      <c r="I9300" s="36"/>
      <c r="J9300" s="37">
        <v>0</v>
      </c>
    </row>
    <row r="9301" spans="1:10" hidden="1" x14ac:dyDescent="0.25">
      <c r="A9301" s="179"/>
      <c r="B9301" s="177"/>
      <c r="C9301" s="39"/>
      <c r="D9301" s="39"/>
      <c r="E9301" s="40"/>
      <c r="F9301" s="55" t="s">
        <v>13</v>
      </c>
      <c r="G9301" s="41" t="str">
        <f>IF(ISNUMBER(F9301),E9301*F9301,"")</f>
        <v/>
      </c>
      <c r="H9301" s="42"/>
      <c r="I9301" s="38"/>
      <c r="J9301" s="37">
        <v>0</v>
      </c>
    </row>
    <row r="9302" spans="1:10" ht="25.5" hidden="1" x14ac:dyDescent="0.25">
      <c r="A9302" s="179"/>
      <c r="B9302" s="177"/>
      <c r="C9302" s="43" t="s">
        <v>11699</v>
      </c>
      <c r="D9302" s="43" t="s">
        <v>1302</v>
      </c>
      <c r="E9302" s="44">
        <v>1</v>
      </c>
      <c r="F9302" s="38">
        <v>323.209</v>
      </c>
      <c r="G9302" s="41">
        <f>IF(ISNUMBER(F9302),E9302*F9302,"")</f>
        <v>323.209</v>
      </c>
      <c r="H9302" s="46">
        <f>SUM(G9302:G9302)</f>
        <v>323.209</v>
      </c>
      <c r="I9302" s="47"/>
      <c r="J9302" s="37">
        <v>0</v>
      </c>
    </row>
    <row r="9303" spans="1:10" ht="15.75" hidden="1" thickBot="1" x14ac:dyDescent="0.3">
      <c r="A9303" s="180"/>
      <c r="B9303" s="178"/>
      <c r="C9303" s="49"/>
      <c r="D9303" s="49"/>
      <c r="E9303" s="50"/>
      <c r="F9303" s="51"/>
      <c r="G9303" s="52" t="str">
        <f>IF(ISNUMBER(F9303),E9303*F9303,"")</f>
        <v/>
      </c>
      <c r="H9303" s="53"/>
      <c r="I9303" s="47"/>
      <c r="J9303" s="37">
        <v>0</v>
      </c>
    </row>
    <row r="9304" spans="1:10" ht="15.75" hidden="1" thickBot="1" x14ac:dyDescent="0.3">
      <c r="A9304" s="173" t="s">
        <v>2241</v>
      </c>
      <c r="B9304" s="176" t="s">
        <v>9408</v>
      </c>
      <c r="C9304" s="31"/>
      <c r="D9304" s="32" t="s">
        <v>106</v>
      </c>
      <c r="E9304" s="33"/>
      <c r="F9304" s="54" t="s">
        <v>13</v>
      </c>
      <c r="G9304" s="34" t="str">
        <f>IF(ISNUMBER(F9304),E9304*F9304,"")</f>
        <v/>
      </c>
      <c r="H9304" s="35"/>
      <c r="I9304" s="36"/>
      <c r="J9304" s="37">
        <v>0</v>
      </c>
    </row>
    <row r="9305" spans="1:10" hidden="1" x14ac:dyDescent="0.25">
      <c r="A9305" s="179"/>
      <c r="B9305" s="177"/>
      <c r="C9305" s="39"/>
      <c r="D9305" s="39"/>
      <c r="E9305" s="40"/>
      <c r="F9305" s="55" t="s">
        <v>13</v>
      </c>
      <c r="G9305" s="41" t="str">
        <f>IF(ISNUMBER(F9305),E9305*F9305,"")</f>
        <v/>
      </c>
      <c r="H9305" s="42"/>
      <c r="I9305" s="38"/>
      <c r="J9305" s="37">
        <v>0</v>
      </c>
    </row>
    <row r="9306" spans="1:10" ht="25.5" hidden="1" x14ac:dyDescent="0.25">
      <c r="A9306" s="179"/>
      <c r="B9306" s="177"/>
      <c r="C9306" s="43" t="s">
        <v>11199</v>
      </c>
      <c r="D9306" s="43" t="s">
        <v>1302</v>
      </c>
      <c r="E9306" s="44">
        <v>1</v>
      </c>
      <c r="F9306" s="38">
        <v>506.99599999999992</v>
      </c>
      <c r="G9306" s="41">
        <f>IF(ISNUMBER(F9306),E9306*F9306,"")</f>
        <v>506.99599999999992</v>
      </c>
      <c r="H9306" s="46">
        <f>SUM(G9306:G9306)</f>
        <v>506.99599999999992</v>
      </c>
      <c r="I9306" s="47"/>
      <c r="J9306" s="37">
        <v>0</v>
      </c>
    </row>
    <row r="9307" spans="1:10" ht="15.75" hidden="1" thickBot="1" x14ac:dyDescent="0.3">
      <c r="A9307" s="180"/>
      <c r="B9307" s="178"/>
      <c r="C9307" s="49"/>
      <c r="D9307" s="49"/>
      <c r="E9307" s="50"/>
      <c r="F9307" s="51"/>
      <c r="G9307" s="52" t="str">
        <f>IF(ISNUMBER(F9307),E9307*F9307,"")</f>
        <v/>
      </c>
      <c r="H9307" s="53"/>
      <c r="I9307" s="47"/>
      <c r="J9307" s="37">
        <v>0</v>
      </c>
    </row>
    <row r="9308" spans="1:10" ht="15.75" hidden="1" thickBot="1" x14ac:dyDescent="0.3">
      <c r="A9308" s="173" t="s">
        <v>2242</v>
      </c>
      <c r="B9308" s="176" t="s">
        <v>9421</v>
      </c>
      <c r="C9308" s="31"/>
      <c r="D9308" s="32" t="s">
        <v>106</v>
      </c>
      <c r="E9308" s="33"/>
      <c r="F9308" s="54" t="s">
        <v>13</v>
      </c>
      <c r="G9308" s="34" t="str">
        <f>IF(ISNUMBER(F9308),E9308*F9308,"")</f>
        <v/>
      </c>
      <c r="H9308" s="35"/>
      <c r="I9308" s="36"/>
      <c r="J9308" s="37">
        <v>0</v>
      </c>
    </row>
    <row r="9309" spans="1:10" hidden="1" x14ac:dyDescent="0.25">
      <c r="A9309" s="179"/>
      <c r="B9309" s="177"/>
      <c r="C9309" s="39"/>
      <c r="D9309" s="39"/>
      <c r="E9309" s="40"/>
      <c r="F9309" s="55" t="s">
        <v>13</v>
      </c>
      <c r="G9309" s="41" t="str">
        <f>IF(ISNUMBER(F9309),E9309*F9309,"")</f>
        <v/>
      </c>
      <c r="H9309" s="42"/>
      <c r="I9309" s="38"/>
      <c r="J9309" s="37">
        <v>0</v>
      </c>
    </row>
    <row r="9310" spans="1:10" ht="25.5" hidden="1" x14ac:dyDescent="0.25">
      <c r="A9310" s="179"/>
      <c r="B9310" s="177"/>
      <c r="C9310" s="43" t="s">
        <v>11700</v>
      </c>
      <c r="D9310" s="43" t="s">
        <v>1302</v>
      </c>
      <c r="E9310" s="44">
        <v>1</v>
      </c>
      <c r="F9310" s="38">
        <v>570.71249999999998</v>
      </c>
      <c r="G9310" s="41">
        <f>IF(ISNUMBER(F9310),E9310*F9310,"")</f>
        <v>570.71249999999998</v>
      </c>
      <c r="H9310" s="46">
        <f>SUM(G9310:G9310)</f>
        <v>570.71249999999998</v>
      </c>
      <c r="I9310" s="47"/>
      <c r="J9310" s="37">
        <v>0</v>
      </c>
    </row>
    <row r="9311" spans="1:10" ht="15.75" hidden="1" thickBot="1" x14ac:dyDescent="0.3">
      <c r="A9311" s="180"/>
      <c r="B9311" s="178"/>
      <c r="C9311" s="49"/>
      <c r="D9311" s="49"/>
      <c r="E9311" s="50"/>
      <c r="F9311" s="51"/>
      <c r="G9311" s="52" t="str">
        <f>IF(ISNUMBER(F9311),E9311*F9311,"")</f>
        <v/>
      </c>
      <c r="H9311" s="53"/>
      <c r="I9311" s="47"/>
      <c r="J9311" s="37">
        <v>0</v>
      </c>
    </row>
    <row r="9312" spans="1:10" ht="15.75" hidden="1" thickBot="1" x14ac:dyDescent="0.3">
      <c r="A9312" s="173" t="s">
        <v>2243</v>
      </c>
      <c r="B9312" s="176" t="s">
        <v>9432</v>
      </c>
      <c r="C9312" s="31"/>
      <c r="D9312" s="32" t="s">
        <v>106</v>
      </c>
      <c r="E9312" s="33"/>
      <c r="F9312" s="54" t="s">
        <v>13</v>
      </c>
      <c r="G9312" s="34" t="str">
        <f>IF(ISNUMBER(F9312),E9312*F9312,"")</f>
        <v/>
      </c>
      <c r="H9312" s="35"/>
      <c r="I9312" s="36"/>
      <c r="J9312" s="37">
        <v>0</v>
      </c>
    </row>
    <row r="9313" spans="1:10" hidden="1" x14ac:dyDescent="0.25">
      <c r="A9313" s="179"/>
      <c r="B9313" s="177"/>
      <c r="C9313" s="39"/>
      <c r="D9313" s="39"/>
      <c r="E9313" s="40"/>
      <c r="F9313" s="55" t="s">
        <v>13</v>
      </c>
      <c r="G9313" s="41" t="str">
        <f>IF(ISNUMBER(F9313),E9313*F9313,"")</f>
        <v/>
      </c>
      <c r="H9313" s="42"/>
      <c r="I9313" s="38"/>
      <c r="J9313" s="37">
        <v>0</v>
      </c>
    </row>
    <row r="9314" spans="1:10" ht="25.5" hidden="1" x14ac:dyDescent="0.25">
      <c r="A9314" s="179"/>
      <c r="B9314" s="177"/>
      <c r="C9314" s="43" t="s">
        <v>11200</v>
      </c>
      <c r="D9314" s="43" t="s">
        <v>1302</v>
      </c>
      <c r="E9314" s="44">
        <v>1</v>
      </c>
      <c r="F9314" s="38">
        <v>859.30349999999999</v>
      </c>
      <c r="G9314" s="41">
        <f>IF(ISNUMBER(F9314),E9314*F9314,"")</f>
        <v>859.30349999999999</v>
      </c>
      <c r="H9314" s="46">
        <f>SUM(G9314:G9314)</f>
        <v>859.30349999999999</v>
      </c>
      <c r="I9314" s="47"/>
      <c r="J9314" s="37">
        <v>0</v>
      </c>
    </row>
    <row r="9315" spans="1:10" ht="15.75" hidden="1" thickBot="1" x14ac:dyDescent="0.3">
      <c r="A9315" s="180"/>
      <c r="B9315" s="178"/>
      <c r="C9315" s="49"/>
      <c r="D9315" s="49"/>
      <c r="E9315" s="50"/>
      <c r="F9315" s="51"/>
      <c r="G9315" s="52" t="str">
        <f>IF(ISNUMBER(F9315),E9315*F9315,"")</f>
        <v/>
      </c>
      <c r="H9315" s="53"/>
      <c r="I9315" s="47"/>
      <c r="J9315" s="37">
        <v>0</v>
      </c>
    </row>
    <row r="9316" spans="1:10" ht="15.75" hidden="1" thickBot="1" x14ac:dyDescent="0.3">
      <c r="A9316" s="173" t="s">
        <v>2244</v>
      </c>
      <c r="B9316" s="176" t="s">
        <v>9445</v>
      </c>
      <c r="C9316" s="31"/>
      <c r="D9316" s="32" t="s">
        <v>106</v>
      </c>
      <c r="E9316" s="33"/>
      <c r="F9316" s="54" t="s">
        <v>13</v>
      </c>
      <c r="G9316" s="34" t="str">
        <f>IF(ISNUMBER(F9316),E9316*F9316,"")</f>
        <v/>
      </c>
      <c r="H9316" s="35"/>
      <c r="I9316" s="36"/>
      <c r="J9316" s="37">
        <v>0</v>
      </c>
    </row>
    <row r="9317" spans="1:10" hidden="1" x14ac:dyDescent="0.25">
      <c r="A9317" s="179"/>
      <c r="B9317" s="177"/>
      <c r="C9317" s="39"/>
      <c r="D9317" s="39"/>
      <c r="E9317" s="40"/>
      <c r="F9317" s="55" t="s">
        <v>13</v>
      </c>
      <c r="G9317" s="41" t="str">
        <f>IF(ISNUMBER(F9317),E9317*F9317,"")</f>
        <v/>
      </c>
      <c r="H9317" s="42"/>
      <c r="I9317" s="38"/>
      <c r="J9317" s="37">
        <v>0</v>
      </c>
    </row>
    <row r="9318" spans="1:10" hidden="1" x14ac:dyDescent="0.25">
      <c r="A9318" s="179"/>
      <c r="B9318" s="177"/>
      <c r="C9318" s="43" t="s">
        <v>11400</v>
      </c>
      <c r="D9318" s="43" t="s">
        <v>1302</v>
      </c>
      <c r="E9318" s="44">
        <v>1</v>
      </c>
      <c r="F9318" s="38">
        <v>4.1040000000000001</v>
      </c>
      <c r="G9318" s="41">
        <f>IF(ISNUMBER(F9318),E9318*F9318,"")</f>
        <v>4.1040000000000001</v>
      </c>
      <c r="H9318" s="46">
        <f>SUM(G9318:G9318)</f>
        <v>4.1040000000000001</v>
      </c>
      <c r="I9318" s="47"/>
      <c r="J9318" s="37">
        <v>0</v>
      </c>
    </row>
    <row r="9319" spans="1:10" ht="15.75" hidden="1" thickBot="1" x14ac:dyDescent="0.3">
      <c r="A9319" s="180"/>
      <c r="B9319" s="178"/>
      <c r="C9319" s="49"/>
      <c r="D9319" s="49"/>
      <c r="E9319" s="50"/>
      <c r="F9319" s="51"/>
      <c r="G9319" s="52" t="str">
        <f>IF(ISNUMBER(F9319),E9319*F9319,"")</f>
        <v/>
      </c>
      <c r="H9319" s="53"/>
      <c r="I9319" s="47"/>
      <c r="J9319" s="37">
        <v>0</v>
      </c>
    </row>
    <row r="9320" spans="1:10" ht="15.75" hidden="1" thickBot="1" x14ac:dyDescent="0.3">
      <c r="A9320" s="173" t="s">
        <v>2245</v>
      </c>
      <c r="B9320" s="176" t="s">
        <v>9446</v>
      </c>
      <c r="C9320" s="31"/>
      <c r="D9320" s="32" t="s">
        <v>18</v>
      </c>
      <c r="E9320" s="33"/>
      <c r="F9320" s="54" t="s">
        <v>13</v>
      </c>
      <c r="G9320" s="34" t="str">
        <f>IF(ISNUMBER(F9320),E9320*F9320,"")</f>
        <v/>
      </c>
      <c r="H9320" s="35"/>
      <c r="I9320" s="36"/>
      <c r="J9320" s="37">
        <v>0</v>
      </c>
    </row>
    <row r="9321" spans="1:10" hidden="1" x14ac:dyDescent="0.25">
      <c r="A9321" s="179"/>
      <c r="B9321" s="177"/>
      <c r="C9321" s="39"/>
      <c r="D9321" s="39"/>
      <c r="E9321" s="40"/>
      <c r="F9321" s="55" t="s">
        <v>13</v>
      </c>
      <c r="G9321" s="41" t="str">
        <f>IF(ISNUMBER(F9321),E9321*F9321,"")</f>
        <v/>
      </c>
      <c r="H9321" s="42"/>
      <c r="I9321" s="38"/>
      <c r="J9321" s="37">
        <v>0</v>
      </c>
    </row>
    <row r="9322" spans="1:10" ht="25.5" hidden="1" x14ac:dyDescent="0.25">
      <c r="A9322" s="179"/>
      <c r="B9322" s="177"/>
      <c r="C9322" s="43" t="s">
        <v>11490</v>
      </c>
      <c r="D9322" s="43" t="s">
        <v>83</v>
      </c>
      <c r="E9322" s="44">
        <v>1</v>
      </c>
      <c r="F9322" s="38">
        <v>2.7075</v>
      </c>
      <c r="G9322" s="41">
        <f>IF(ISNUMBER(F9322),E9322*F9322,"")</f>
        <v>2.7075</v>
      </c>
      <c r="H9322" s="46">
        <f>SUM(G9322:G9322)</f>
        <v>2.7075</v>
      </c>
      <c r="I9322" s="47"/>
      <c r="J9322" s="37">
        <v>0</v>
      </c>
    </row>
    <row r="9323" spans="1:10" ht="15.75" hidden="1" thickBot="1" x14ac:dyDescent="0.3">
      <c r="A9323" s="180"/>
      <c r="B9323" s="178"/>
      <c r="C9323" s="49"/>
      <c r="D9323" s="49"/>
      <c r="E9323" s="50"/>
      <c r="F9323" s="51"/>
      <c r="G9323" s="52" t="str">
        <f>IF(ISNUMBER(F9323),E9323*F9323,"")</f>
        <v/>
      </c>
      <c r="H9323" s="53"/>
      <c r="I9323" s="47"/>
      <c r="J9323" s="37">
        <v>0</v>
      </c>
    </row>
    <row r="9324" spans="1:10" ht="15.75" hidden="1" thickBot="1" x14ac:dyDescent="0.3">
      <c r="A9324" s="173" t="s">
        <v>2246</v>
      </c>
      <c r="B9324" s="176" t="s">
        <v>9447</v>
      </c>
      <c r="C9324" s="31"/>
      <c r="D9324" s="32" t="s">
        <v>18</v>
      </c>
      <c r="E9324" s="33"/>
      <c r="F9324" s="54" t="s">
        <v>13</v>
      </c>
      <c r="G9324" s="34" t="str">
        <f>IF(ISNUMBER(F9324),E9324*F9324,"")</f>
        <v/>
      </c>
      <c r="H9324" s="35"/>
      <c r="I9324" s="36"/>
      <c r="J9324" s="37">
        <v>0</v>
      </c>
    </row>
    <row r="9325" spans="1:10" hidden="1" x14ac:dyDescent="0.25">
      <c r="A9325" s="179"/>
      <c r="B9325" s="177"/>
      <c r="C9325" s="39"/>
      <c r="D9325" s="39"/>
      <c r="E9325" s="40"/>
      <c r="F9325" s="55" t="s">
        <v>13</v>
      </c>
      <c r="G9325" s="41" t="str">
        <f>IF(ISNUMBER(F9325),E9325*F9325,"")</f>
        <v/>
      </c>
      <c r="H9325" s="42"/>
      <c r="I9325" s="38"/>
      <c r="J9325" s="37">
        <v>0</v>
      </c>
    </row>
    <row r="9326" spans="1:10" ht="25.5" hidden="1" x14ac:dyDescent="0.25">
      <c r="A9326" s="179"/>
      <c r="B9326" s="177"/>
      <c r="C9326" s="43" t="s">
        <v>11497</v>
      </c>
      <c r="D9326" s="43" t="s">
        <v>83</v>
      </c>
      <c r="E9326" s="44">
        <v>1</v>
      </c>
      <c r="F9326" s="38">
        <v>2.052</v>
      </c>
      <c r="G9326" s="41">
        <f>IF(ISNUMBER(F9326),E9326*F9326,"")</f>
        <v>2.052</v>
      </c>
      <c r="H9326" s="46">
        <f>SUM(G9326:G9326)</f>
        <v>2.052</v>
      </c>
      <c r="I9326" s="47"/>
      <c r="J9326" s="37">
        <v>0</v>
      </c>
    </row>
    <row r="9327" spans="1:10" ht="15.75" hidden="1" thickBot="1" x14ac:dyDescent="0.3">
      <c r="A9327" s="180"/>
      <c r="B9327" s="178"/>
      <c r="C9327" s="49"/>
      <c r="D9327" s="49"/>
      <c r="E9327" s="50"/>
      <c r="F9327" s="51"/>
      <c r="G9327" s="52" t="str">
        <f>IF(ISNUMBER(F9327),E9327*F9327,"")</f>
        <v/>
      </c>
      <c r="H9327" s="53"/>
      <c r="I9327" s="47"/>
      <c r="J9327" s="37">
        <v>0</v>
      </c>
    </row>
    <row r="9328" spans="1:10" ht="15.75" hidden="1" thickBot="1" x14ac:dyDescent="0.3">
      <c r="A9328" s="173" t="s">
        <v>2247</v>
      </c>
      <c r="B9328" s="176" t="s">
        <v>9448</v>
      </c>
      <c r="C9328" s="31"/>
      <c r="D9328" s="32" t="s">
        <v>18</v>
      </c>
      <c r="E9328" s="33"/>
      <c r="F9328" s="54" t="s">
        <v>13</v>
      </c>
      <c r="G9328" s="34" t="str">
        <f>IF(ISNUMBER(F9328),E9328*F9328,"")</f>
        <v/>
      </c>
      <c r="H9328" s="35"/>
      <c r="I9328" s="36"/>
      <c r="J9328" s="37">
        <v>0</v>
      </c>
    </row>
    <row r="9329" spans="1:10" hidden="1" x14ac:dyDescent="0.25">
      <c r="A9329" s="179"/>
      <c r="B9329" s="177"/>
      <c r="C9329" s="39"/>
      <c r="D9329" s="39"/>
      <c r="E9329" s="40"/>
      <c r="F9329" s="55" t="s">
        <v>13</v>
      </c>
      <c r="G9329" s="41" t="str">
        <f>IF(ISNUMBER(F9329),E9329*F9329,"")</f>
        <v/>
      </c>
      <c r="H9329" s="42"/>
      <c r="I9329" s="38"/>
      <c r="J9329" s="37">
        <v>0</v>
      </c>
    </row>
    <row r="9330" spans="1:10" ht="25.5" hidden="1" x14ac:dyDescent="0.25">
      <c r="A9330" s="179"/>
      <c r="B9330" s="177"/>
      <c r="C9330" s="43" t="s">
        <v>11701</v>
      </c>
      <c r="D9330" s="43" t="s">
        <v>83</v>
      </c>
      <c r="E9330" s="44">
        <v>1</v>
      </c>
      <c r="F9330" s="38">
        <v>12.292999999999999</v>
      </c>
      <c r="G9330" s="41">
        <f>IF(ISNUMBER(F9330),E9330*F9330,"")</f>
        <v>12.292999999999999</v>
      </c>
      <c r="H9330" s="46">
        <f>SUM(G9330:G9330)</f>
        <v>12.292999999999999</v>
      </c>
      <c r="I9330" s="47"/>
      <c r="J9330" s="37">
        <v>0</v>
      </c>
    </row>
    <row r="9331" spans="1:10" ht="15.75" hidden="1" thickBot="1" x14ac:dyDescent="0.3">
      <c r="A9331" s="180"/>
      <c r="B9331" s="178"/>
      <c r="C9331" s="49"/>
      <c r="D9331" s="49"/>
      <c r="E9331" s="50"/>
      <c r="F9331" s="51"/>
      <c r="G9331" s="52" t="str">
        <f>IF(ISNUMBER(F9331),E9331*F9331,"")</f>
        <v/>
      </c>
      <c r="H9331" s="53"/>
      <c r="I9331" s="47"/>
      <c r="J9331" s="37">
        <v>0</v>
      </c>
    </row>
    <row r="9332" spans="1:10" ht="15.75" hidden="1" thickBot="1" x14ac:dyDescent="0.3">
      <c r="A9332" s="173" t="s">
        <v>2248</v>
      </c>
      <c r="B9332" s="176" t="s">
        <v>9449</v>
      </c>
      <c r="C9332" s="31"/>
      <c r="D9332" s="32" t="s">
        <v>106</v>
      </c>
      <c r="E9332" s="33"/>
      <c r="F9332" s="54" t="s">
        <v>13</v>
      </c>
      <c r="G9332" s="34" t="str">
        <f>IF(ISNUMBER(F9332),E9332*F9332,"")</f>
        <v/>
      </c>
      <c r="H9332" s="35"/>
      <c r="I9332" s="36"/>
      <c r="J9332" s="37">
        <v>0</v>
      </c>
    </row>
    <row r="9333" spans="1:10" hidden="1" x14ac:dyDescent="0.25">
      <c r="A9333" s="179"/>
      <c r="B9333" s="177"/>
      <c r="C9333" s="39"/>
      <c r="D9333" s="39"/>
      <c r="E9333" s="40"/>
      <c r="F9333" s="55" t="s">
        <v>13</v>
      </c>
      <c r="G9333" s="41" t="str">
        <f>IF(ISNUMBER(F9333),E9333*F9333,"")</f>
        <v/>
      </c>
      <c r="H9333" s="42"/>
      <c r="I9333" s="38"/>
      <c r="J9333" s="37">
        <v>0</v>
      </c>
    </row>
    <row r="9334" spans="1:10" hidden="1" x14ac:dyDescent="0.25">
      <c r="A9334" s="179"/>
      <c r="B9334" s="177"/>
      <c r="C9334" s="43" t="s">
        <v>10904</v>
      </c>
      <c r="D9334" s="43" t="s">
        <v>1302</v>
      </c>
      <c r="E9334" s="44">
        <v>1</v>
      </c>
      <c r="F9334" s="38">
        <v>10.003499999999999</v>
      </c>
      <c r="G9334" s="41">
        <f>IF(ISNUMBER(F9334),E9334*F9334,"")</f>
        <v>10.003499999999999</v>
      </c>
      <c r="H9334" s="46">
        <f>SUM(G9334:G9334)</f>
        <v>10.003499999999999</v>
      </c>
      <c r="I9334" s="47"/>
      <c r="J9334" s="37">
        <v>0</v>
      </c>
    </row>
    <row r="9335" spans="1:10" ht="15.75" hidden="1" thickBot="1" x14ac:dyDescent="0.3">
      <c r="A9335" s="180"/>
      <c r="B9335" s="178"/>
      <c r="C9335" s="49"/>
      <c r="D9335" s="49"/>
      <c r="E9335" s="50"/>
      <c r="F9335" s="51"/>
      <c r="G9335" s="52" t="str">
        <f>IF(ISNUMBER(F9335),E9335*F9335,"")</f>
        <v/>
      </c>
      <c r="H9335" s="53"/>
      <c r="I9335" s="47"/>
      <c r="J9335" s="37">
        <v>0</v>
      </c>
    </row>
    <row r="9336" spans="1:10" ht="15.75" hidden="1" thickBot="1" x14ac:dyDescent="0.3">
      <c r="A9336" s="173" t="s">
        <v>2249</v>
      </c>
      <c r="B9336" s="176" t="s">
        <v>9450</v>
      </c>
      <c r="C9336" s="31"/>
      <c r="D9336" s="32" t="s">
        <v>18</v>
      </c>
      <c r="E9336" s="33"/>
      <c r="F9336" s="54" t="s">
        <v>13</v>
      </c>
      <c r="G9336" s="34" t="str">
        <f>IF(ISNUMBER(F9336),E9336*F9336,"")</f>
        <v/>
      </c>
      <c r="H9336" s="35"/>
      <c r="I9336" s="36"/>
      <c r="J9336" s="37">
        <v>0</v>
      </c>
    </row>
    <row r="9337" spans="1:10" hidden="1" x14ac:dyDescent="0.25">
      <c r="A9337" s="179"/>
      <c r="B9337" s="177"/>
      <c r="C9337" s="39"/>
      <c r="D9337" s="39"/>
      <c r="E9337" s="40"/>
      <c r="F9337" s="55" t="s">
        <v>13</v>
      </c>
      <c r="G9337" s="41" t="str">
        <f>IF(ISNUMBER(F9337),E9337*F9337,"")</f>
        <v/>
      </c>
      <c r="H9337" s="42"/>
      <c r="I9337" s="38"/>
      <c r="J9337" s="37">
        <v>0</v>
      </c>
    </row>
    <row r="9338" spans="1:10" ht="25.5" hidden="1" x14ac:dyDescent="0.25">
      <c r="A9338" s="179"/>
      <c r="B9338" s="177"/>
      <c r="C9338" s="43" t="s">
        <v>11702</v>
      </c>
      <c r="D9338" s="43" t="s">
        <v>83</v>
      </c>
      <c r="E9338" s="44">
        <v>1</v>
      </c>
      <c r="F9338" s="38">
        <v>14.259499999999999</v>
      </c>
      <c r="G9338" s="41">
        <f>IF(ISNUMBER(F9338),E9338*F9338,"")</f>
        <v>14.259499999999999</v>
      </c>
      <c r="H9338" s="46">
        <f>SUM(G9338:G9338)</f>
        <v>14.259499999999999</v>
      </c>
      <c r="I9338" s="47"/>
      <c r="J9338" s="37">
        <v>0</v>
      </c>
    </row>
    <row r="9339" spans="1:10" ht="15.75" hidden="1" thickBot="1" x14ac:dyDescent="0.3">
      <c r="A9339" s="180"/>
      <c r="B9339" s="178"/>
      <c r="C9339" s="49"/>
      <c r="D9339" s="49"/>
      <c r="E9339" s="50"/>
      <c r="F9339" s="51"/>
      <c r="G9339" s="52" t="str">
        <f>IF(ISNUMBER(F9339),E9339*F9339,"")</f>
        <v/>
      </c>
      <c r="H9339" s="53"/>
      <c r="I9339" s="47"/>
      <c r="J9339" s="37">
        <v>0</v>
      </c>
    </row>
    <row r="9340" spans="1:10" ht="15.75" hidden="1" thickBot="1" x14ac:dyDescent="0.3">
      <c r="A9340" s="173" t="s">
        <v>2250</v>
      </c>
      <c r="B9340" s="176" t="s">
        <v>9451</v>
      </c>
      <c r="C9340" s="31"/>
      <c r="D9340" s="32" t="s">
        <v>18</v>
      </c>
      <c r="E9340" s="33"/>
      <c r="F9340" s="54" t="s">
        <v>13</v>
      </c>
      <c r="G9340" s="34" t="str">
        <f>IF(ISNUMBER(F9340),E9340*F9340,"")</f>
        <v/>
      </c>
      <c r="H9340" s="35"/>
      <c r="I9340" s="36"/>
      <c r="J9340" s="37">
        <v>0</v>
      </c>
    </row>
    <row r="9341" spans="1:10" hidden="1" x14ac:dyDescent="0.25">
      <c r="A9341" s="179"/>
      <c r="B9341" s="177"/>
      <c r="C9341" s="39"/>
      <c r="D9341" s="39"/>
      <c r="E9341" s="40"/>
      <c r="F9341" s="55" t="s">
        <v>13</v>
      </c>
      <c r="G9341" s="41" t="str">
        <f>IF(ISNUMBER(F9341),E9341*F9341,"")</f>
        <v/>
      </c>
      <c r="H9341" s="42"/>
      <c r="I9341" s="38"/>
      <c r="J9341" s="37">
        <v>0</v>
      </c>
    </row>
    <row r="9342" spans="1:10" ht="25.5" hidden="1" x14ac:dyDescent="0.25">
      <c r="A9342" s="179"/>
      <c r="B9342" s="177"/>
      <c r="C9342" s="43" t="s">
        <v>11703</v>
      </c>
      <c r="D9342" s="43" t="s">
        <v>83</v>
      </c>
      <c r="E9342" s="44">
        <v>1</v>
      </c>
      <c r="F9342" s="38">
        <v>5.0255000000000001</v>
      </c>
      <c r="G9342" s="41">
        <f>IF(ISNUMBER(F9342),E9342*F9342,"")</f>
        <v>5.0255000000000001</v>
      </c>
      <c r="H9342" s="46">
        <f>SUM(G9342:G9342)</f>
        <v>5.0255000000000001</v>
      </c>
      <c r="I9342" s="47"/>
      <c r="J9342" s="37">
        <v>0</v>
      </c>
    </row>
    <row r="9343" spans="1:10" ht="15.75" hidden="1" thickBot="1" x14ac:dyDescent="0.3">
      <c r="A9343" s="180"/>
      <c r="B9343" s="178"/>
      <c r="C9343" s="49"/>
      <c r="D9343" s="49"/>
      <c r="E9343" s="50"/>
      <c r="F9343" s="51"/>
      <c r="G9343" s="52" t="str">
        <f>IF(ISNUMBER(F9343),E9343*F9343,"")</f>
        <v/>
      </c>
      <c r="H9343" s="53"/>
      <c r="I9343" s="47"/>
      <c r="J9343" s="37">
        <v>0</v>
      </c>
    </row>
    <row r="9344" spans="1:10" ht="15.75" hidden="1" thickBot="1" x14ac:dyDescent="0.3">
      <c r="A9344" s="173" t="s">
        <v>2251</v>
      </c>
      <c r="B9344" s="176" t="s">
        <v>9452</v>
      </c>
      <c r="C9344" s="31"/>
      <c r="D9344" s="32" t="s">
        <v>18</v>
      </c>
      <c r="E9344" s="33"/>
      <c r="F9344" s="54" t="s">
        <v>13</v>
      </c>
      <c r="G9344" s="34" t="str">
        <f>IF(ISNUMBER(F9344),E9344*F9344,"")</f>
        <v/>
      </c>
      <c r="H9344" s="35"/>
      <c r="I9344" s="36"/>
      <c r="J9344" s="37">
        <v>0</v>
      </c>
    </row>
    <row r="9345" spans="1:10" hidden="1" x14ac:dyDescent="0.25">
      <c r="A9345" s="179"/>
      <c r="B9345" s="177"/>
      <c r="C9345" s="39"/>
      <c r="D9345" s="39"/>
      <c r="E9345" s="40"/>
      <c r="F9345" s="55" t="s">
        <v>13</v>
      </c>
      <c r="G9345" s="41" t="str">
        <f>IF(ISNUMBER(F9345),E9345*F9345,"")</f>
        <v/>
      </c>
      <c r="H9345" s="42"/>
      <c r="I9345" s="38"/>
      <c r="J9345" s="37">
        <v>0</v>
      </c>
    </row>
    <row r="9346" spans="1:10" ht="25.5" hidden="1" x14ac:dyDescent="0.25">
      <c r="A9346" s="179"/>
      <c r="B9346" s="177"/>
      <c r="C9346" s="43" t="s">
        <v>11704</v>
      </c>
      <c r="D9346" s="43" t="s">
        <v>83</v>
      </c>
      <c r="E9346" s="44">
        <v>1</v>
      </c>
      <c r="F9346" s="38">
        <v>14.297499999999999</v>
      </c>
      <c r="G9346" s="41">
        <f>IF(ISNUMBER(F9346),E9346*F9346,"")</f>
        <v>14.297499999999999</v>
      </c>
      <c r="H9346" s="46">
        <f>SUM(G9346:G9346)</f>
        <v>14.297499999999999</v>
      </c>
      <c r="I9346" s="47"/>
      <c r="J9346" s="37">
        <v>0</v>
      </c>
    </row>
    <row r="9347" spans="1:10" ht="15.75" hidden="1" thickBot="1" x14ac:dyDescent="0.3">
      <c r="A9347" s="180"/>
      <c r="B9347" s="178"/>
      <c r="C9347" s="49"/>
      <c r="D9347" s="49"/>
      <c r="E9347" s="50"/>
      <c r="F9347" s="51"/>
      <c r="G9347" s="52" t="str">
        <f>IF(ISNUMBER(F9347),E9347*F9347,"")</f>
        <v/>
      </c>
      <c r="H9347" s="53"/>
      <c r="I9347" s="47"/>
      <c r="J9347" s="37">
        <v>0</v>
      </c>
    </row>
    <row r="9348" spans="1:10" ht="15.75" hidden="1" thickBot="1" x14ac:dyDescent="0.3">
      <c r="A9348" s="173" t="s">
        <v>2252</v>
      </c>
      <c r="B9348" s="176" t="s">
        <v>9453</v>
      </c>
      <c r="C9348" s="31"/>
      <c r="D9348" s="32" t="s">
        <v>18</v>
      </c>
      <c r="E9348" s="33"/>
      <c r="F9348" s="54" t="s">
        <v>13</v>
      </c>
      <c r="G9348" s="34" t="str">
        <f>IF(ISNUMBER(F9348),E9348*F9348,"")</f>
        <v/>
      </c>
      <c r="H9348" s="35"/>
      <c r="I9348" s="36"/>
      <c r="J9348" s="37">
        <v>0</v>
      </c>
    </row>
    <row r="9349" spans="1:10" hidden="1" x14ac:dyDescent="0.25">
      <c r="A9349" s="179"/>
      <c r="B9349" s="177"/>
      <c r="C9349" s="39"/>
      <c r="D9349" s="39"/>
      <c r="E9349" s="40"/>
      <c r="F9349" s="55" t="s">
        <v>13</v>
      </c>
      <c r="G9349" s="41" t="str">
        <f>IF(ISNUMBER(F9349),E9349*F9349,"")</f>
        <v/>
      </c>
      <c r="H9349" s="42"/>
      <c r="I9349" s="38"/>
      <c r="J9349" s="37">
        <v>0</v>
      </c>
    </row>
    <row r="9350" spans="1:10" ht="25.5" hidden="1" x14ac:dyDescent="0.25">
      <c r="A9350" s="179"/>
      <c r="B9350" s="177"/>
      <c r="C9350" s="43" t="s">
        <v>11513</v>
      </c>
      <c r="D9350" s="43" t="s">
        <v>83</v>
      </c>
      <c r="E9350" s="44">
        <v>1</v>
      </c>
      <c r="F9350" s="38">
        <v>1.0640000000000001</v>
      </c>
      <c r="G9350" s="41">
        <f>IF(ISNUMBER(F9350),E9350*F9350,"")</f>
        <v>1.0640000000000001</v>
      </c>
      <c r="H9350" s="46">
        <f>SUM(G9350:G9350)</f>
        <v>1.0640000000000001</v>
      </c>
      <c r="I9350" s="47"/>
      <c r="J9350" s="37">
        <v>0</v>
      </c>
    </row>
    <row r="9351" spans="1:10" ht="15.75" hidden="1" thickBot="1" x14ac:dyDescent="0.3">
      <c r="A9351" s="180"/>
      <c r="B9351" s="178"/>
      <c r="C9351" s="49"/>
      <c r="D9351" s="49"/>
      <c r="E9351" s="50"/>
      <c r="F9351" s="51"/>
      <c r="G9351" s="52" t="str">
        <f>IF(ISNUMBER(F9351),E9351*F9351,"")</f>
        <v/>
      </c>
      <c r="H9351" s="53"/>
      <c r="I9351" s="47"/>
      <c r="J9351" s="37">
        <v>0</v>
      </c>
    </row>
    <row r="9352" spans="1:10" ht="15.75" hidden="1" thickBot="1" x14ac:dyDescent="0.3">
      <c r="A9352" s="173" t="s">
        <v>2253</v>
      </c>
      <c r="B9352" s="176" t="s">
        <v>9454</v>
      </c>
      <c r="C9352" s="31"/>
      <c r="D9352" s="32" t="s">
        <v>106</v>
      </c>
      <c r="E9352" s="33"/>
      <c r="F9352" s="54" t="s">
        <v>13</v>
      </c>
      <c r="G9352" s="34" t="str">
        <f>IF(ISNUMBER(F9352),E9352*F9352,"")</f>
        <v/>
      </c>
      <c r="H9352" s="35"/>
      <c r="I9352" s="36"/>
      <c r="J9352" s="37">
        <v>0</v>
      </c>
    </row>
    <row r="9353" spans="1:10" hidden="1" x14ac:dyDescent="0.25">
      <c r="A9353" s="179"/>
      <c r="B9353" s="177"/>
      <c r="C9353" s="39"/>
      <c r="D9353" s="39"/>
      <c r="E9353" s="40"/>
      <c r="F9353" s="55" t="s">
        <v>13</v>
      </c>
      <c r="G9353" s="41" t="str">
        <f>IF(ISNUMBER(F9353),E9353*F9353,"")</f>
        <v/>
      </c>
      <c r="H9353" s="42"/>
      <c r="I9353" s="38"/>
      <c r="J9353" s="37">
        <v>0</v>
      </c>
    </row>
    <row r="9354" spans="1:10" ht="25.5" hidden="1" x14ac:dyDescent="0.25">
      <c r="A9354" s="179"/>
      <c r="B9354" s="177"/>
      <c r="C9354" s="43" t="s">
        <v>10966</v>
      </c>
      <c r="D9354" s="43" t="s">
        <v>1302</v>
      </c>
      <c r="E9354" s="44">
        <v>1</v>
      </c>
      <c r="F9354" s="38">
        <v>31.264499999999995</v>
      </c>
      <c r="G9354" s="41">
        <f>IF(ISNUMBER(F9354),E9354*F9354,"")</f>
        <v>31.264499999999995</v>
      </c>
      <c r="H9354" s="46">
        <f>SUM(G9354:G9354)</f>
        <v>31.264499999999995</v>
      </c>
      <c r="I9354" s="47"/>
      <c r="J9354" s="37">
        <v>0</v>
      </c>
    </row>
    <row r="9355" spans="1:10" ht="15.75" hidden="1" thickBot="1" x14ac:dyDescent="0.3">
      <c r="A9355" s="180"/>
      <c r="B9355" s="178"/>
      <c r="C9355" s="49"/>
      <c r="D9355" s="49"/>
      <c r="E9355" s="50"/>
      <c r="F9355" s="51"/>
      <c r="G9355" s="52" t="str">
        <f>IF(ISNUMBER(F9355),E9355*F9355,"")</f>
        <v/>
      </c>
      <c r="H9355" s="53"/>
      <c r="I9355" s="47"/>
      <c r="J9355" s="37">
        <v>0</v>
      </c>
    </row>
    <row r="9356" spans="1:10" ht="15.75" hidden="1" thickBot="1" x14ac:dyDescent="0.3">
      <c r="A9356" s="173" t="s">
        <v>2254</v>
      </c>
      <c r="B9356" s="176" t="s">
        <v>9459</v>
      </c>
      <c r="C9356" s="31"/>
      <c r="D9356" s="32" t="s">
        <v>106</v>
      </c>
      <c r="E9356" s="33"/>
      <c r="F9356" s="54" t="s">
        <v>13</v>
      </c>
      <c r="G9356" s="34" t="str">
        <f>IF(ISNUMBER(F9356),E9356*F9356,"")</f>
        <v/>
      </c>
      <c r="H9356" s="35"/>
      <c r="I9356" s="36"/>
      <c r="J9356" s="37">
        <v>0</v>
      </c>
    </row>
    <row r="9357" spans="1:10" hidden="1" x14ac:dyDescent="0.25">
      <c r="A9357" s="179"/>
      <c r="B9357" s="177"/>
      <c r="C9357" s="39"/>
      <c r="D9357" s="39"/>
      <c r="E9357" s="40"/>
      <c r="F9357" s="55" t="s">
        <v>13</v>
      </c>
      <c r="G9357" s="41" t="str">
        <f>IF(ISNUMBER(F9357),E9357*F9357,"")</f>
        <v/>
      </c>
      <c r="H9357" s="42"/>
      <c r="I9357" s="38"/>
      <c r="J9357" s="37">
        <v>0</v>
      </c>
    </row>
    <row r="9358" spans="1:10" ht="25.5" hidden="1" x14ac:dyDescent="0.25">
      <c r="A9358" s="179"/>
      <c r="B9358" s="177"/>
      <c r="C9358" s="43" t="s">
        <v>10968</v>
      </c>
      <c r="D9358" s="43" t="s">
        <v>1302</v>
      </c>
      <c r="E9358" s="44">
        <v>1</v>
      </c>
      <c r="F9358" s="38">
        <v>48.098500000000001</v>
      </c>
      <c r="G9358" s="41">
        <f>IF(ISNUMBER(F9358),E9358*F9358,"")</f>
        <v>48.098500000000001</v>
      </c>
      <c r="H9358" s="46">
        <f>SUM(G9358:G9358)</f>
        <v>48.098500000000001</v>
      </c>
      <c r="I9358" s="47"/>
      <c r="J9358" s="37">
        <v>0</v>
      </c>
    </row>
    <row r="9359" spans="1:10" ht="15.75" hidden="1" thickBot="1" x14ac:dyDescent="0.3">
      <c r="A9359" s="180"/>
      <c r="B9359" s="178"/>
      <c r="C9359" s="49"/>
      <c r="D9359" s="49"/>
      <c r="E9359" s="50"/>
      <c r="F9359" s="51"/>
      <c r="G9359" s="52" t="str">
        <f>IF(ISNUMBER(F9359),E9359*F9359,"")</f>
        <v/>
      </c>
      <c r="H9359" s="53"/>
      <c r="I9359" s="47"/>
      <c r="J9359" s="37">
        <v>0</v>
      </c>
    </row>
    <row r="9360" spans="1:10" ht="15.75" hidden="1" thickBot="1" x14ac:dyDescent="0.3">
      <c r="A9360" s="173" t="s">
        <v>2255</v>
      </c>
      <c r="B9360" s="176" t="s">
        <v>9464</v>
      </c>
      <c r="C9360" s="31"/>
      <c r="D9360" s="32" t="s">
        <v>106</v>
      </c>
      <c r="E9360" s="33"/>
      <c r="F9360" s="54" t="s">
        <v>13</v>
      </c>
      <c r="G9360" s="34" t="str">
        <f>IF(ISNUMBER(F9360),E9360*F9360,"")</f>
        <v/>
      </c>
      <c r="H9360" s="35"/>
      <c r="I9360" s="36"/>
      <c r="J9360" s="37">
        <v>0</v>
      </c>
    </row>
    <row r="9361" spans="1:10" hidden="1" x14ac:dyDescent="0.25">
      <c r="A9361" s="179"/>
      <c r="B9361" s="177"/>
      <c r="C9361" s="39"/>
      <c r="D9361" s="39"/>
      <c r="E9361" s="40"/>
      <c r="F9361" s="55" t="s">
        <v>13</v>
      </c>
      <c r="G9361" s="41" t="str">
        <f>IF(ISNUMBER(F9361),E9361*F9361,"")</f>
        <v/>
      </c>
      <c r="H9361" s="42"/>
      <c r="I9361" s="38"/>
      <c r="J9361" s="37">
        <v>0</v>
      </c>
    </row>
    <row r="9362" spans="1:10" ht="25.5" hidden="1" x14ac:dyDescent="0.25">
      <c r="A9362" s="179"/>
      <c r="B9362" s="177"/>
      <c r="C9362" s="43" t="s">
        <v>10965</v>
      </c>
      <c r="D9362" s="43" t="s">
        <v>1302</v>
      </c>
      <c r="E9362" s="44">
        <v>1</v>
      </c>
      <c r="F9362" s="38">
        <v>65.236499999999992</v>
      </c>
      <c r="G9362" s="41">
        <f>IF(ISNUMBER(F9362),E9362*F9362,"")</f>
        <v>65.236499999999992</v>
      </c>
      <c r="H9362" s="46">
        <f>SUM(G9362:G9362)</f>
        <v>65.236499999999992</v>
      </c>
      <c r="I9362" s="47"/>
      <c r="J9362" s="37">
        <v>0</v>
      </c>
    </row>
    <row r="9363" spans="1:10" ht="15.75" hidden="1" thickBot="1" x14ac:dyDescent="0.3">
      <c r="A9363" s="180"/>
      <c r="B9363" s="178"/>
      <c r="C9363" s="49"/>
      <c r="D9363" s="49"/>
      <c r="E9363" s="50"/>
      <c r="F9363" s="51"/>
      <c r="G9363" s="52" t="str">
        <f>IF(ISNUMBER(F9363),E9363*F9363,"")</f>
        <v/>
      </c>
      <c r="H9363" s="53"/>
      <c r="I9363" s="47"/>
      <c r="J9363" s="37">
        <v>0</v>
      </c>
    </row>
    <row r="9364" spans="1:10" ht="15.75" hidden="1" thickBot="1" x14ac:dyDescent="0.3">
      <c r="A9364" s="173" t="s">
        <v>2256</v>
      </c>
      <c r="B9364" s="176" t="s">
        <v>9465</v>
      </c>
      <c r="C9364" s="31"/>
      <c r="D9364" s="32" t="s">
        <v>18</v>
      </c>
      <c r="E9364" s="33"/>
      <c r="F9364" s="54" t="s">
        <v>13</v>
      </c>
      <c r="G9364" s="34" t="str">
        <f>IF(ISNUMBER(F9364),E9364*F9364,"")</f>
        <v/>
      </c>
      <c r="H9364" s="35"/>
      <c r="I9364" s="36"/>
      <c r="J9364" s="37">
        <v>0</v>
      </c>
    </row>
    <row r="9365" spans="1:10" hidden="1" x14ac:dyDescent="0.25">
      <c r="A9365" s="179"/>
      <c r="B9365" s="177"/>
      <c r="C9365" s="39"/>
      <c r="D9365" s="39"/>
      <c r="E9365" s="40"/>
      <c r="F9365" s="55" t="s">
        <v>13</v>
      </c>
      <c r="G9365" s="41" t="str">
        <f>IF(ISNUMBER(F9365),E9365*F9365,"")</f>
        <v/>
      </c>
      <c r="H9365" s="42"/>
      <c r="I9365" s="38"/>
      <c r="J9365" s="37">
        <v>0</v>
      </c>
    </row>
    <row r="9366" spans="1:10" ht="25.5" hidden="1" x14ac:dyDescent="0.25">
      <c r="A9366" s="179"/>
      <c r="B9366" s="177"/>
      <c r="C9366" s="43" t="s">
        <v>11705</v>
      </c>
      <c r="D9366" s="43" t="s">
        <v>83</v>
      </c>
      <c r="E9366" s="44">
        <v>1</v>
      </c>
      <c r="F9366" s="38">
        <v>8.3219999999999992</v>
      </c>
      <c r="G9366" s="41">
        <f>IF(ISNUMBER(F9366),E9366*F9366,"")</f>
        <v>8.3219999999999992</v>
      </c>
      <c r="H9366" s="46">
        <f>SUM(G9366:G9366)</f>
        <v>8.3219999999999992</v>
      </c>
      <c r="I9366" s="47"/>
      <c r="J9366" s="37">
        <v>0</v>
      </c>
    </row>
    <row r="9367" spans="1:10" ht="15.75" hidden="1" thickBot="1" x14ac:dyDescent="0.3">
      <c r="A9367" s="180"/>
      <c r="B9367" s="178"/>
      <c r="C9367" s="49"/>
      <c r="D9367" s="49"/>
      <c r="E9367" s="50"/>
      <c r="F9367" s="51"/>
      <c r="G9367" s="52" t="str">
        <f>IF(ISNUMBER(F9367),E9367*F9367,"")</f>
        <v/>
      </c>
      <c r="H9367" s="53"/>
      <c r="I9367" s="47"/>
      <c r="J9367" s="37">
        <v>0</v>
      </c>
    </row>
    <row r="9368" spans="1:10" ht="15.75" hidden="1" thickBot="1" x14ac:dyDescent="0.3">
      <c r="A9368" s="173" t="s">
        <v>2257</v>
      </c>
      <c r="B9368" s="176" t="s">
        <v>9466</v>
      </c>
      <c r="C9368" s="31"/>
      <c r="D9368" s="32" t="s">
        <v>18</v>
      </c>
      <c r="E9368" s="33"/>
      <c r="F9368" s="54" t="s">
        <v>13</v>
      </c>
      <c r="G9368" s="34" t="str">
        <f>IF(ISNUMBER(F9368),E9368*F9368,"")</f>
        <v/>
      </c>
      <c r="H9368" s="35"/>
      <c r="I9368" s="36"/>
      <c r="J9368" s="37">
        <v>0</v>
      </c>
    </row>
    <row r="9369" spans="1:10" hidden="1" x14ac:dyDescent="0.25">
      <c r="A9369" s="179"/>
      <c r="B9369" s="177"/>
      <c r="C9369" s="39"/>
      <c r="D9369" s="39"/>
      <c r="E9369" s="40"/>
      <c r="F9369" s="55" t="s">
        <v>13</v>
      </c>
      <c r="G9369" s="41" t="str">
        <f>IF(ISNUMBER(F9369),E9369*F9369,"")</f>
        <v/>
      </c>
      <c r="H9369" s="42"/>
      <c r="I9369" s="38"/>
      <c r="J9369" s="37">
        <v>0</v>
      </c>
    </row>
    <row r="9370" spans="1:10" hidden="1" x14ac:dyDescent="0.25">
      <c r="A9370" s="179"/>
      <c r="B9370" s="177"/>
      <c r="C9370" s="43" t="s">
        <v>11706</v>
      </c>
      <c r="D9370" s="43" t="s">
        <v>83</v>
      </c>
      <c r="E9370" s="44">
        <v>1</v>
      </c>
      <c r="F9370" s="38">
        <v>4.6265000000000001</v>
      </c>
      <c r="G9370" s="41">
        <f>IF(ISNUMBER(F9370),E9370*F9370,"")</f>
        <v>4.6265000000000001</v>
      </c>
      <c r="H9370" s="46">
        <f>SUM(G9370:G9370)</f>
        <v>4.6265000000000001</v>
      </c>
      <c r="I9370" s="47"/>
      <c r="J9370" s="37">
        <v>0</v>
      </c>
    </row>
    <row r="9371" spans="1:10" ht="15.75" hidden="1" thickBot="1" x14ac:dyDescent="0.3">
      <c r="A9371" s="180"/>
      <c r="B9371" s="178"/>
      <c r="C9371" s="49"/>
      <c r="D9371" s="49"/>
      <c r="E9371" s="50"/>
      <c r="F9371" s="51"/>
      <c r="G9371" s="52" t="str">
        <f>IF(ISNUMBER(F9371),E9371*F9371,"")</f>
        <v/>
      </c>
      <c r="H9371" s="53"/>
      <c r="I9371" s="47"/>
      <c r="J9371" s="37">
        <v>0</v>
      </c>
    </row>
    <row r="9372" spans="1:10" ht="15.75" hidden="1" thickBot="1" x14ac:dyDescent="0.3">
      <c r="A9372" s="173" t="s">
        <v>2258</v>
      </c>
      <c r="B9372" s="176" t="s">
        <v>9467</v>
      </c>
      <c r="C9372" s="31"/>
      <c r="D9372" s="32" t="s">
        <v>106</v>
      </c>
      <c r="E9372" s="33"/>
      <c r="F9372" s="54" t="s">
        <v>13</v>
      </c>
      <c r="G9372" s="34" t="str">
        <f>IF(ISNUMBER(F9372),E9372*F9372,"")</f>
        <v/>
      </c>
      <c r="H9372" s="35"/>
      <c r="I9372" s="36"/>
      <c r="J9372" s="37">
        <v>0</v>
      </c>
    </row>
    <row r="9373" spans="1:10" hidden="1" x14ac:dyDescent="0.25">
      <c r="A9373" s="179"/>
      <c r="B9373" s="177"/>
      <c r="C9373" s="39"/>
      <c r="D9373" s="39"/>
      <c r="E9373" s="40"/>
      <c r="F9373" s="55" t="s">
        <v>13</v>
      </c>
      <c r="G9373" s="41" t="str">
        <f>IF(ISNUMBER(F9373),E9373*F9373,"")</f>
        <v/>
      </c>
      <c r="H9373" s="42"/>
      <c r="I9373" s="38"/>
      <c r="J9373" s="37">
        <v>0</v>
      </c>
    </row>
    <row r="9374" spans="1:10" ht="25.5" hidden="1" x14ac:dyDescent="0.25">
      <c r="A9374" s="179"/>
      <c r="B9374" s="177"/>
      <c r="C9374" s="43" t="s">
        <v>10969</v>
      </c>
      <c r="D9374" s="43" t="s">
        <v>1302</v>
      </c>
      <c r="E9374" s="44">
        <v>1</v>
      </c>
      <c r="F9374" s="38">
        <v>81.139499999999998</v>
      </c>
      <c r="G9374" s="41">
        <f>IF(ISNUMBER(F9374),E9374*F9374,"")</f>
        <v>81.139499999999998</v>
      </c>
      <c r="H9374" s="46">
        <f>SUM(G9374:G9374)</f>
        <v>81.139499999999998</v>
      </c>
      <c r="I9374" s="47"/>
      <c r="J9374" s="37">
        <v>0</v>
      </c>
    </row>
    <row r="9375" spans="1:10" ht="15.75" hidden="1" thickBot="1" x14ac:dyDescent="0.3">
      <c r="A9375" s="180"/>
      <c r="B9375" s="178"/>
      <c r="C9375" s="49"/>
      <c r="D9375" s="49"/>
      <c r="E9375" s="50"/>
      <c r="F9375" s="51"/>
      <c r="G9375" s="52" t="str">
        <f>IF(ISNUMBER(F9375),E9375*F9375,"")</f>
        <v/>
      </c>
      <c r="H9375" s="53"/>
      <c r="I9375" s="47"/>
      <c r="J9375" s="37">
        <v>0</v>
      </c>
    </row>
    <row r="9376" spans="1:10" ht="15.75" hidden="1" thickBot="1" x14ac:dyDescent="0.3">
      <c r="A9376" s="173" t="s">
        <v>2259</v>
      </c>
      <c r="B9376" s="176" t="s">
        <v>9472</v>
      </c>
      <c r="C9376" s="31"/>
      <c r="D9376" s="32" t="s">
        <v>106</v>
      </c>
      <c r="E9376" s="33"/>
      <c r="F9376" s="54" t="s">
        <v>13</v>
      </c>
      <c r="G9376" s="34" t="str">
        <f>IF(ISNUMBER(F9376),E9376*F9376,"")</f>
        <v/>
      </c>
      <c r="H9376" s="35"/>
      <c r="I9376" s="36"/>
      <c r="J9376" s="37">
        <v>0</v>
      </c>
    </row>
    <row r="9377" spans="1:10" hidden="1" x14ac:dyDescent="0.25">
      <c r="A9377" s="179"/>
      <c r="B9377" s="177"/>
      <c r="C9377" s="39"/>
      <c r="D9377" s="39"/>
      <c r="E9377" s="40"/>
      <c r="F9377" s="55" t="s">
        <v>13</v>
      </c>
      <c r="G9377" s="41" t="str">
        <f>IF(ISNUMBER(F9377),E9377*F9377,"")</f>
        <v/>
      </c>
      <c r="H9377" s="42"/>
      <c r="I9377" s="38"/>
      <c r="J9377" s="37">
        <v>0</v>
      </c>
    </row>
    <row r="9378" spans="1:10" ht="25.5" hidden="1" x14ac:dyDescent="0.25">
      <c r="A9378" s="179"/>
      <c r="B9378" s="177"/>
      <c r="C9378" s="43" t="s">
        <v>10967</v>
      </c>
      <c r="D9378" s="43" t="s">
        <v>1302</v>
      </c>
      <c r="E9378" s="44">
        <v>1</v>
      </c>
      <c r="F9378" s="38">
        <v>98.134999999999991</v>
      </c>
      <c r="G9378" s="41">
        <f>IF(ISNUMBER(F9378),E9378*F9378,"")</f>
        <v>98.134999999999991</v>
      </c>
      <c r="H9378" s="46">
        <f>SUM(G9378:G9378)</f>
        <v>98.134999999999991</v>
      </c>
      <c r="I9378" s="47"/>
      <c r="J9378" s="37">
        <v>0</v>
      </c>
    </row>
    <row r="9379" spans="1:10" ht="15.75" hidden="1" thickBot="1" x14ac:dyDescent="0.3">
      <c r="A9379" s="180"/>
      <c r="B9379" s="178"/>
      <c r="C9379" s="49"/>
      <c r="D9379" s="49"/>
      <c r="E9379" s="50"/>
      <c r="F9379" s="51"/>
      <c r="G9379" s="52" t="str">
        <f>IF(ISNUMBER(F9379),E9379*F9379,"")</f>
        <v/>
      </c>
      <c r="H9379" s="53"/>
      <c r="I9379" s="47"/>
      <c r="J9379" s="37">
        <v>0</v>
      </c>
    </row>
    <row r="9380" spans="1:10" ht="15.75" hidden="1" thickBot="1" x14ac:dyDescent="0.3">
      <c r="A9380" s="173" t="s">
        <v>2260</v>
      </c>
      <c r="B9380" s="176" t="s">
        <v>9473</v>
      </c>
      <c r="C9380" s="31"/>
      <c r="D9380" s="32" t="s">
        <v>18</v>
      </c>
      <c r="E9380" s="33"/>
      <c r="F9380" s="54" t="s">
        <v>13</v>
      </c>
      <c r="G9380" s="34" t="str">
        <f>IF(ISNUMBER(F9380),E9380*F9380,"")</f>
        <v/>
      </c>
      <c r="H9380" s="35"/>
      <c r="I9380" s="36"/>
      <c r="J9380" s="37">
        <v>0</v>
      </c>
    </row>
    <row r="9381" spans="1:10" hidden="1" x14ac:dyDescent="0.25">
      <c r="A9381" s="179"/>
      <c r="B9381" s="177"/>
      <c r="C9381" s="39"/>
      <c r="D9381" s="39"/>
      <c r="E9381" s="40"/>
      <c r="F9381" s="55" t="s">
        <v>13</v>
      </c>
      <c r="G9381" s="41" t="str">
        <f>IF(ISNUMBER(F9381),E9381*F9381,"")</f>
        <v/>
      </c>
      <c r="H9381" s="42"/>
      <c r="I9381" s="38"/>
      <c r="J9381" s="37">
        <v>0</v>
      </c>
    </row>
    <row r="9382" spans="1:10" ht="25.5" hidden="1" x14ac:dyDescent="0.25">
      <c r="A9382" s="179"/>
      <c r="B9382" s="177"/>
      <c r="C9382" s="43" t="s">
        <v>11107</v>
      </c>
      <c r="D9382" s="43" t="s">
        <v>83</v>
      </c>
      <c r="E9382" s="44">
        <v>1</v>
      </c>
      <c r="F9382" s="38">
        <v>18.772000000000002</v>
      </c>
      <c r="G9382" s="41">
        <f>IF(ISNUMBER(F9382),E9382*F9382,"")</f>
        <v>18.772000000000002</v>
      </c>
      <c r="H9382" s="46">
        <f>SUM(G9382:G9382)</f>
        <v>18.772000000000002</v>
      </c>
      <c r="I9382" s="47"/>
      <c r="J9382" s="37">
        <v>0</v>
      </c>
    </row>
    <row r="9383" spans="1:10" ht="15.75" hidden="1" thickBot="1" x14ac:dyDescent="0.3">
      <c r="A9383" s="180"/>
      <c r="B9383" s="178"/>
      <c r="C9383" s="49"/>
      <c r="D9383" s="49"/>
      <c r="E9383" s="50"/>
      <c r="F9383" s="51"/>
      <c r="G9383" s="52" t="str">
        <f>IF(ISNUMBER(F9383),E9383*F9383,"")</f>
        <v/>
      </c>
      <c r="H9383" s="53"/>
      <c r="I9383" s="47"/>
      <c r="J9383" s="37">
        <v>0</v>
      </c>
    </row>
    <row r="9384" spans="1:10" ht="15.75" hidden="1" thickBot="1" x14ac:dyDescent="0.3">
      <c r="A9384" s="173" t="s">
        <v>2261</v>
      </c>
      <c r="B9384" s="176" t="s">
        <v>9474</v>
      </c>
      <c r="C9384" s="31"/>
      <c r="D9384" s="32" t="s">
        <v>18</v>
      </c>
      <c r="E9384" s="33"/>
      <c r="F9384" s="54" t="s">
        <v>13</v>
      </c>
      <c r="G9384" s="34" t="str">
        <f>IF(ISNUMBER(F9384),E9384*F9384,"")</f>
        <v/>
      </c>
      <c r="H9384" s="35"/>
      <c r="I9384" s="36"/>
      <c r="J9384" s="37">
        <v>0</v>
      </c>
    </row>
    <row r="9385" spans="1:10" hidden="1" x14ac:dyDescent="0.25">
      <c r="A9385" s="179"/>
      <c r="B9385" s="177"/>
      <c r="C9385" s="39"/>
      <c r="D9385" s="39"/>
      <c r="E9385" s="40"/>
      <c r="F9385" s="55" t="s">
        <v>13</v>
      </c>
      <c r="G9385" s="41" t="str">
        <f>IF(ISNUMBER(F9385),E9385*F9385,"")</f>
        <v/>
      </c>
      <c r="H9385" s="42"/>
      <c r="I9385" s="38"/>
      <c r="J9385" s="37">
        <v>0</v>
      </c>
    </row>
    <row r="9386" spans="1:10" hidden="1" x14ac:dyDescent="0.25">
      <c r="A9386" s="179"/>
      <c r="B9386" s="177"/>
      <c r="C9386" s="43" t="s">
        <v>11110</v>
      </c>
      <c r="D9386" s="43" t="s">
        <v>83</v>
      </c>
      <c r="E9386" s="44">
        <v>1</v>
      </c>
      <c r="F9386" s="38">
        <v>8.8919999999999995</v>
      </c>
      <c r="G9386" s="41">
        <f>IF(ISNUMBER(F9386),E9386*F9386,"")</f>
        <v>8.8919999999999995</v>
      </c>
      <c r="H9386" s="46">
        <f>SUM(G9386:G9386)</f>
        <v>8.8919999999999995</v>
      </c>
      <c r="I9386" s="47"/>
      <c r="J9386" s="37">
        <v>0</v>
      </c>
    </row>
    <row r="9387" spans="1:10" ht="15.75" hidden="1" thickBot="1" x14ac:dyDescent="0.3">
      <c r="A9387" s="180"/>
      <c r="B9387" s="178"/>
      <c r="C9387" s="49"/>
      <c r="D9387" s="49"/>
      <c r="E9387" s="50"/>
      <c r="F9387" s="51"/>
      <c r="G9387" s="52" t="str">
        <f>IF(ISNUMBER(F9387),E9387*F9387,"")</f>
        <v/>
      </c>
      <c r="H9387" s="53"/>
      <c r="I9387" s="47"/>
      <c r="J9387" s="37">
        <v>0</v>
      </c>
    </row>
    <row r="9388" spans="1:10" ht="15.75" hidden="1" thickBot="1" x14ac:dyDescent="0.3">
      <c r="A9388" s="173" t="s">
        <v>2262</v>
      </c>
      <c r="B9388" s="176" t="s">
        <v>9483</v>
      </c>
      <c r="C9388" s="31"/>
      <c r="D9388" s="32" t="s">
        <v>106</v>
      </c>
      <c r="E9388" s="33"/>
      <c r="F9388" s="54" t="s">
        <v>13</v>
      </c>
      <c r="G9388" s="34" t="str">
        <f>IF(ISNUMBER(F9388),E9388*F9388,"")</f>
        <v/>
      </c>
      <c r="H9388" s="35"/>
      <c r="I9388" s="36"/>
      <c r="J9388" s="37">
        <v>0</v>
      </c>
    </row>
    <row r="9389" spans="1:10" hidden="1" x14ac:dyDescent="0.25">
      <c r="A9389" s="179"/>
      <c r="B9389" s="177"/>
      <c r="C9389" s="39"/>
      <c r="D9389" s="39"/>
      <c r="E9389" s="40"/>
      <c r="F9389" s="55" t="s">
        <v>13</v>
      </c>
      <c r="G9389" s="41" t="str">
        <f>IF(ISNUMBER(F9389),E9389*F9389,"")</f>
        <v/>
      </c>
      <c r="H9389" s="42"/>
      <c r="I9389" s="38"/>
      <c r="J9389" s="37">
        <v>0</v>
      </c>
    </row>
    <row r="9390" spans="1:10" ht="25.5" hidden="1" x14ac:dyDescent="0.25">
      <c r="A9390" s="179"/>
      <c r="B9390" s="177"/>
      <c r="C9390" s="43" t="s">
        <v>11707</v>
      </c>
      <c r="D9390" s="43" t="s">
        <v>1302</v>
      </c>
      <c r="E9390" s="44">
        <v>1</v>
      </c>
      <c r="F9390" s="38">
        <v>157.79499999999999</v>
      </c>
      <c r="G9390" s="41">
        <f>IF(ISNUMBER(F9390),E9390*F9390,"")</f>
        <v>157.79499999999999</v>
      </c>
      <c r="H9390" s="46">
        <f>SUM(G9390:G9390)</f>
        <v>157.79499999999999</v>
      </c>
      <c r="I9390" s="47"/>
      <c r="J9390" s="37">
        <v>0</v>
      </c>
    </row>
    <row r="9391" spans="1:10" ht="15.75" hidden="1" thickBot="1" x14ac:dyDescent="0.3">
      <c r="A9391" s="180"/>
      <c r="B9391" s="178"/>
      <c r="C9391" s="49"/>
      <c r="D9391" s="49"/>
      <c r="E9391" s="50"/>
      <c r="F9391" s="51"/>
      <c r="G9391" s="52" t="str">
        <f>IF(ISNUMBER(F9391),E9391*F9391,"")</f>
        <v/>
      </c>
      <c r="H9391" s="53"/>
      <c r="I9391" s="47"/>
      <c r="J9391" s="37">
        <v>0</v>
      </c>
    </row>
    <row r="9392" spans="1:10" ht="15.75" hidden="1" thickBot="1" x14ac:dyDescent="0.3">
      <c r="A9392" s="173" t="s">
        <v>2263</v>
      </c>
      <c r="B9392" s="176" t="s">
        <v>9484</v>
      </c>
      <c r="C9392" s="31"/>
      <c r="D9392" s="32" t="s">
        <v>18</v>
      </c>
      <c r="E9392" s="33"/>
      <c r="F9392" s="54" t="s">
        <v>13</v>
      </c>
      <c r="G9392" s="34" t="str">
        <f>IF(ISNUMBER(F9392),E9392*F9392,"")</f>
        <v/>
      </c>
      <c r="H9392" s="35"/>
      <c r="I9392" s="36"/>
      <c r="J9392" s="37">
        <v>0</v>
      </c>
    </row>
    <row r="9393" spans="1:10" hidden="1" x14ac:dyDescent="0.25">
      <c r="A9393" s="179"/>
      <c r="B9393" s="177"/>
      <c r="C9393" s="39"/>
      <c r="D9393" s="39"/>
      <c r="E9393" s="40"/>
      <c r="F9393" s="55" t="s">
        <v>13</v>
      </c>
      <c r="G9393" s="41" t="str">
        <f>IF(ISNUMBER(F9393),E9393*F9393,"")</f>
        <v/>
      </c>
      <c r="H9393" s="42"/>
      <c r="I9393" s="38"/>
      <c r="J9393" s="37">
        <v>0</v>
      </c>
    </row>
    <row r="9394" spans="1:10" ht="25.5" hidden="1" x14ac:dyDescent="0.25">
      <c r="A9394" s="179"/>
      <c r="B9394" s="177"/>
      <c r="C9394" s="43" t="s">
        <v>11708</v>
      </c>
      <c r="D9394" s="43" t="s">
        <v>83</v>
      </c>
      <c r="E9394" s="44">
        <v>1</v>
      </c>
      <c r="F9394" s="38">
        <v>32.242999999999995</v>
      </c>
      <c r="G9394" s="41">
        <f>IF(ISNUMBER(F9394),E9394*F9394,"")</f>
        <v>32.242999999999995</v>
      </c>
      <c r="H9394" s="46">
        <f>SUM(G9394:G9394)</f>
        <v>32.242999999999995</v>
      </c>
      <c r="I9394" s="47"/>
      <c r="J9394" s="37">
        <v>0</v>
      </c>
    </row>
    <row r="9395" spans="1:10" ht="15.75" hidden="1" thickBot="1" x14ac:dyDescent="0.3">
      <c r="A9395" s="180"/>
      <c r="B9395" s="178"/>
      <c r="C9395" s="49"/>
      <c r="D9395" s="49"/>
      <c r="E9395" s="50"/>
      <c r="F9395" s="51"/>
      <c r="G9395" s="52" t="str">
        <f>IF(ISNUMBER(F9395),E9395*F9395,"")</f>
        <v/>
      </c>
      <c r="H9395" s="53"/>
      <c r="I9395" s="47"/>
      <c r="J9395" s="37">
        <v>0</v>
      </c>
    </row>
    <row r="9396" spans="1:10" ht="15.75" hidden="1" thickBot="1" x14ac:dyDescent="0.3">
      <c r="A9396" s="173" t="s">
        <v>2264</v>
      </c>
      <c r="B9396" s="176" t="s">
        <v>9485</v>
      </c>
      <c r="C9396" s="31"/>
      <c r="D9396" s="32" t="s">
        <v>18</v>
      </c>
      <c r="E9396" s="33"/>
      <c r="F9396" s="54" t="s">
        <v>13</v>
      </c>
      <c r="G9396" s="34" t="str">
        <f>IF(ISNUMBER(F9396),E9396*F9396,"")</f>
        <v/>
      </c>
      <c r="H9396" s="35"/>
      <c r="I9396" s="36"/>
      <c r="J9396" s="37">
        <v>0</v>
      </c>
    </row>
    <row r="9397" spans="1:10" hidden="1" x14ac:dyDescent="0.25">
      <c r="A9397" s="179"/>
      <c r="B9397" s="177"/>
      <c r="C9397" s="39"/>
      <c r="D9397" s="39"/>
      <c r="E9397" s="40"/>
      <c r="F9397" s="55" t="s">
        <v>13</v>
      </c>
      <c r="G9397" s="41" t="str">
        <f>IF(ISNUMBER(F9397),E9397*F9397,"")</f>
        <v/>
      </c>
      <c r="H9397" s="42"/>
      <c r="I9397" s="38"/>
      <c r="J9397" s="37">
        <v>0</v>
      </c>
    </row>
    <row r="9398" spans="1:10" hidden="1" x14ac:dyDescent="0.25">
      <c r="A9398" s="179"/>
      <c r="B9398" s="177"/>
      <c r="C9398" s="43" t="s">
        <v>11709</v>
      </c>
      <c r="D9398" s="43" t="s">
        <v>83</v>
      </c>
      <c r="E9398" s="44">
        <v>1</v>
      </c>
      <c r="F9398" s="38">
        <v>17.841000000000001</v>
      </c>
      <c r="G9398" s="41">
        <f>IF(ISNUMBER(F9398),E9398*F9398,"")</f>
        <v>17.841000000000001</v>
      </c>
      <c r="H9398" s="46">
        <f>SUM(G9398:G9398)</f>
        <v>17.841000000000001</v>
      </c>
      <c r="I9398" s="47"/>
      <c r="J9398" s="37">
        <v>0</v>
      </c>
    </row>
    <row r="9399" spans="1:10" ht="15.75" hidden="1" thickBot="1" x14ac:dyDescent="0.3">
      <c r="A9399" s="180"/>
      <c r="B9399" s="178"/>
      <c r="C9399" s="49"/>
      <c r="D9399" s="49"/>
      <c r="E9399" s="50"/>
      <c r="F9399" s="51"/>
      <c r="G9399" s="52" t="str">
        <f>IF(ISNUMBER(F9399),E9399*F9399,"")</f>
        <v/>
      </c>
      <c r="H9399" s="53"/>
      <c r="I9399" s="47"/>
      <c r="J9399" s="37">
        <v>0</v>
      </c>
    </row>
    <row r="9400" spans="1:10" ht="15.75" hidden="1" thickBot="1" x14ac:dyDescent="0.3">
      <c r="A9400" s="173" t="s">
        <v>2265</v>
      </c>
      <c r="B9400" s="176" t="s">
        <v>9494</v>
      </c>
      <c r="C9400" s="31"/>
      <c r="D9400" s="32" t="s">
        <v>18</v>
      </c>
      <c r="E9400" s="33"/>
      <c r="F9400" s="54" t="s">
        <v>13</v>
      </c>
      <c r="G9400" s="34" t="str">
        <f>IF(ISNUMBER(F9400),E9400*F9400,"")</f>
        <v/>
      </c>
      <c r="H9400" s="35"/>
      <c r="I9400" s="36"/>
      <c r="J9400" s="37">
        <v>0</v>
      </c>
    </row>
    <row r="9401" spans="1:10" hidden="1" x14ac:dyDescent="0.25">
      <c r="A9401" s="179"/>
      <c r="B9401" s="177"/>
      <c r="C9401" s="39"/>
      <c r="D9401" s="39"/>
      <c r="E9401" s="40"/>
      <c r="F9401" s="55" t="s">
        <v>13</v>
      </c>
      <c r="G9401" s="41" t="str">
        <f>IF(ISNUMBER(F9401),E9401*F9401,"")</f>
        <v/>
      </c>
      <c r="H9401" s="42"/>
      <c r="I9401" s="38"/>
      <c r="J9401" s="37">
        <v>0</v>
      </c>
    </row>
    <row r="9402" spans="1:10" ht="25.5" hidden="1" x14ac:dyDescent="0.25">
      <c r="A9402" s="179"/>
      <c r="B9402" s="177"/>
      <c r="C9402" s="43" t="s">
        <v>11103</v>
      </c>
      <c r="D9402" s="43" t="s">
        <v>83</v>
      </c>
      <c r="E9402" s="44">
        <v>1</v>
      </c>
      <c r="F9402" s="38">
        <v>63.374499999999991</v>
      </c>
      <c r="G9402" s="41">
        <f>IF(ISNUMBER(F9402),E9402*F9402,"")</f>
        <v>63.374499999999991</v>
      </c>
      <c r="H9402" s="46">
        <f>SUM(G9402:G9402)</f>
        <v>63.374499999999991</v>
      </c>
      <c r="I9402" s="47"/>
      <c r="J9402" s="37">
        <v>0</v>
      </c>
    </row>
    <row r="9403" spans="1:10" ht="15.75" hidden="1" thickBot="1" x14ac:dyDescent="0.3">
      <c r="A9403" s="180"/>
      <c r="B9403" s="178"/>
      <c r="C9403" s="49"/>
      <c r="D9403" s="49"/>
      <c r="E9403" s="50"/>
      <c r="F9403" s="51"/>
      <c r="G9403" s="52" t="str">
        <f>IF(ISNUMBER(F9403),E9403*F9403,"")</f>
        <v/>
      </c>
      <c r="H9403" s="53"/>
      <c r="I9403" s="47"/>
      <c r="J9403" s="37">
        <v>0</v>
      </c>
    </row>
    <row r="9404" spans="1:10" ht="15.75" hidden="1" thickBot="1" x14ac:dyDescent="0.3">
      <c r="A9404" s="173" t="s">
        <v>2266</v>
      </c>
      <c r="B9404" s="176" t="s">
        <v>9495</v>
      </c>
      <c r="C9404" s="31"/>
      <c r="D9404" s="32" t="s">
        <v>18</v>
      </c>
      <c r="E9404" s="33"/>
      <c r="F9404" s="54" t="s">
        <v>13</v>
      </c>
      <c r="G9404" s="34" t="str">
        <f>IF(ISNUMBER(F9404),E9404*F9404,"")</f>
        <v/>
      </c>
      <c r="H9404" s="35"/>
      <c r="I9404" s="36"/>
      <c r="J9404" s="37">
        <v>0</v>
      </c>
    </row>
    <row r="9405" spans="1:10" hidden="1" x14ac:dyDescent="0.25">
      <c r="A9405" s="179"/>
      <c r="B9405" s="177"/>
      <c r="C9405" s="39"/>
      <c r="D9405" s="39"/>
      <c r="E9405" s="40"/>
      <c r="F9405" s="55" t="s">
        <v>13</v>
      </c>
      <c r="G9405" s="41" t="str">
        <f>IF(ISNUMBER(F9405),E9405*F9405,"")</f>
        <v/>
      </c>
      <c r="H9405" s="42"/>
      <c r="I9405" s="38"/>
      <c r="J9405" s="37">
        <v>0</v>
      </c>
    </row>
    <row r="9406" spans="1:10" hidden="1" x14ac:dyDescent="0.25">
      <c r="A9406" s="179"/>
      <c r="B9406" s="177"/>
      <c r="C9406" s="43" t="s">
        <v>11108</v>
      </c>
      <c r="D9406" s="43" t="s">
        <v>83</v>
      </c>
      <c r="E9406" s="44">
        <v>1</v>
      </c>
      <c r="F9406" s="38">
        <v>39.367999999999995</v>
      </c>
      <c r="G9406" s="41">
        <f>IF(ISNUMBER(F9406),E9406*F9406,"")</f>
        <v>39.367999999999995</v>
      </c>
      <c r="H9406" s="46">
        <f>SUM(G9406:G9406)</f>
        <v>39.367999999999995</v>
      </c>
      <c r="I9406" s="47"/>
      <c r="J9406" s="37">
        <v>0</v>
      </c>
    </row>
    <row r="9407" spans="1:10" ht="15.75" hidden="1" thickBot="1" x14ac:dyDescent="0.3">
      <c r="A9407" s="180"/>
      <c r="B9407" s="178"/>
      <c r="C9407" s="49"/>
      <c r="D9407" s="49"/>
      <c r="E9407" s="50"/>
      <c r="F9407" s="51"/>
      <c r="G9407" s="52" t="str">
        <f>IF(ISNUMBER(F9407),E9407*F9407,"")</f>
        <v/>
      </c>
      <c r="H9407" s="53"/>
      <c r="I9407" s="47"/>
      <c r="J9407" s="37">
        <v>0</v>
      </c>
    </row>
    <row r="9408" spans="1:10" ht="15.75" hidden="1" thickBot="1" x14ac:dyDescent="0.3">
      <c r="A9408" s="173" t="s">
        <v>2267</v>
      </c>
      <c r="B9408" s="176" t="s">
        <v>9498</v>
      </c>
      <c r="C9408" s="31"/>
      <c r="D9408" s="32" t="s">
        <v>18</v>
      </c>
      <c r="E9408" s="33"/>
      <c r="F9408" s="54" t="s">
        <v>13</v>
      </c>
      <c r="G9408" s="34" t="str">
        <f>IF(ISNUMBER(F9408),E9408*F9408,"")</f>
        <v/>
      </c>
      <c r="H9408" s="35"/>
      <c r="I9408" s="36"/>
      <c r="J9408" s="37">
        <v>0</v>
      </c>
    </row>
    <row r="9409" spans="1:10" hidden="1" x14ac:dyDescent="0.25">
      <c r="A9409" s="179"/>
      <c r="B9409" s="177"/>
      <c r="C9409" s="39"/>
      <c r="D9409" s="39"/>
      <c r="E9409" s="40"/>
      <c r="F9409" s="55" t="s">
        <v>13</v>
      </c>
      <c r="G9409" s="41" t="str">
        <f>IF(ISNUMBER(F9409),E9409*F9409,"")</f>
        <v/>
      </c>
      <c r="H9409" s="42"/>
      <c r="I9409" s="38"/>
      <c r="J9409" s="37">
        <v>0</v>
      </c>
    </row>
    <row r="9410" spans="1:10" ht="25.5" hidden="1" x14ac:dyDescent="0.25">
      <c r="A9410" s="179"/>
      <c r="B9410" s="177"/>
      <c r="C9410" s="43" t="s">
        <v>11106</v>
      </c>
      <c r="D9410" s="43" t="s">
        <v>83</v>
      </c>
      <c r="E9410" s="44">
        <v>1</v>
      </c>
      <c r="F9410" s="38">
        <v>97.260999999999996</v>
      </c>
      <c r="G9410" s="41">
        <f>IF(ISNUMBER(F9410),E9410*F9410,"")</f>
        <v>97.260999999999996</v>
      </c>
      <c r="H9410" s="46">
        <f>SUM(G9410:G9410)</f>
        <v>97.260999999999996</v>
      </c>
      <c r="I9410" s="47"/>
      <c r="J9410" s="37">
        <v>0</v>
      </c>
    </row>
    <row r="9411" spans="1:10" ht="15.75" hidden="1" thickBot="1" x14ac:dyDescent="0.3">
      <c r="A9411" s="180"/>
      <c r="B9411" s="178"/>
      <c r="C9411" s="49"/>
      <c r="D9411" s="49"/>
      <c r="E9411" s="50"/>
      <c r="F9411" s="51"/>
      <c r="G9411" s="52" t="str">
        <f>IF(ISNUMBER(F9411),E9411*F9411,"")</f>
        <v/>
      </c>
      <c r="H9411" s="53"/>
      <c r="I9411" s="47"/>
      <c r="J9411" s="37">
        <v>0</v>
      </c>
    </row>
    <row r="9412" spans="1:10" ht="15.75" hidden="1" thickBot="1" x14ac:dyDescent="0.3">
      <c r="A9412" s="173" t="s">
        <v>2268</v>
      </c>
      <c r="B9412" s="176" t="s">
        <v>9499</v>
      </c>
      <c r="C9412" s="31"/>
      <c r="D9412" s="32" t="s">
        <v>18</v>
      </c>
      <c r="E9412" s="33"/>
      <c r="F9412" s="54" t="s">
        <v>13</v>
      </c>
      <c r="G9412" s="34" t="str">
        <f>IF(ISNUMBER(F9412),E9412*F9412,"")</f>
        <v/>
      </c>
      <c r="H9412" s="35"/>
      <c r="I9412" s="36"/>
      <c r="J9412" s="37">
        <v>0</v>
      </c>
    </row>
    <row r="9413" spans="1:10" hidden="1" x14ac:dyDescent="0.25">
      <c r="A9413" s="179"/>
      <c r="B9413" s="177"/>
      <c r="C9413" s="39"/>
      <c r="D9413" s="39"/>
      <c r="E9413" s="40"/>
      <c r="F9413" s="55" t="s">
        <v>13</v>
      </c>
      <c r="G9413" s="41" t="str">
        <f>IF(ISNUMBER(F9413),E9413*F9413,"")</f>
        <v/>
      </c>
      <c r="H9413" s="42"/>
      <c r="I9413" s="38"/>
      <c r="J9413" s="37">
        <v>0</v>
      </c>
    </row>
    <row r="9414" spans="1:10" hidden="1" x14ac:dyDescent="0.25">
      <c r="A9414" s="179"/>
      <c r="B9414" s="177"/>
      <c r="C9414" s="43" t="s">
        <v>11109</v>
      </c>
      <c r="D9414" s="43" t="s">
        <v>83</v>
      </c>
      <c r="E9414" s="44">
        <v>1</v>
      </c>
      <c r="F9414" s="38">
        <v>49.932000000000002</v>
      </c>
      <c r="G9414" s="41">
        <f>IF(ISNUMBER(F9414),E9414*F9414,"")</f>
        <v>49.932000000000002</v>
      </c>
      <c r="H9414" s="46">
        <f>SUM(G9414:G9414)</f>
        <v>49.932000000000002</v>
      </c>
      <c r="I9414" s="47"/>
      <c r="J9414" s="37">
        <v>0</v>
      </c>
    </row>
    <row r="9415" spans="1:10" ht="15.75" hidden="1" thickBot="1" x14ac:dyDescent="0.3">
      <c r="A9415" s="180"/>
      <c r="B9415" s="178"/>
      <c r="C9415" s="49"/>
      <c r="D9415" s="49"/>
      <c r="E9415" s="50"/>
      <c r="F9415" s="51"/>
      <c r="G9415" s="52" t="str">
        <f>IF(ISNUMBER(F9415),E9415*F9415,"")</f>
        <v/>
      </c>
      <c r="H9415" s="53"/>
      <c r="I9415" s="47"/>
      <c r="J9415" s="37">
        <v>0</v>
      </c>
    </row>
    <row r="9416" spans="1:10" ht="15.75" hidden="1" thickBot="1" x14ac:dyDescent="0.3">
      <c r="A9416" s="173" t="s">
        <v>2269</v>
      </c>
      <c r="B9416" s="176" t="s">
        <v>9542</v>
      </c>
      <c r="C9416" s="31"/>
      <c r="D9416" s="32" t="s">
        <v>72</v>
      </c>
      <c r="E9416" s="33"/>
      <c r="F9416" s="54" t="s">
        <v>13</v>
      </c>
      <c r="G9416" s="34" t="str">
        <f>IF(ISNUMBER(F9416),E9416*F9416,"")</f>
        <v/>
      </c>
      <c r="H9416" s="35"/>
      <c r="I9416" s="36"/>
      <c r="J9416" s="37">
        <v>0</v>
      </c>
    </row>
    <row r="9417" spans="1:10" hidden="1" x14ac:dyDescent="0.25">
      <c r="A9417" s="179"/>
      <c r="B9417" s="177"/>
      <c r="C9417" s="39"/>
      <c r="D9417" s="39"/>
      <c r="E9417" s="40"/>
      <c r="F9417" s="55" t="s">
        <v>13</v>
      </c>
      <c r="G9417" s="41" t="str">
        <f>IF(ISNUMBER(F9417),E9417*F9417,"")</f>
        <v/>
      </c>
      <c r="H9417" s="42"/>
      <c r="I9417" s="38"/>
      <c r="J9417" s="37">
        <v>0</v>
      </c>
    </row>
    <row r="9418" spans="1:10" ht="25.5" hidden="1" x14ac:dyDescent="0.25">
      <c r="A9418" s="179"/>
      <c r="B9418" s="177"/>
      <c r="C9418" s="43" t="s">
        <v>11710</v>
      </c>
      <c r="D9418" s="43" t="s">
        <v>1044</v>
      </c>
      <c r="E9418" s="44">
        <v>1</v>
      </c>
      <c r="F9418" s="38">
        <v>10.459499999999998</v>
      </c>
      <c r="G9418" s="41">
        <f>IF(ISNUMBER(F9418),E9418*F9418,"")</f>
        <v>10.459499999999998</v>
      </c>
      <c r="H9418" s="46">
        <f>SUM(G9418:G9418)</f>
        <v>10.459499999999998</v>
      </c>
      <c r="I9418" s="47"/>
      <c r="J9418" s="37">
        <v>0</v>
      </c>
    </row>
    <row r="9419" spans="1:10" ht="15.75" hidden="1" thickBot="1" x14ac:dyDescent="0.3">
      <c r="A9419" s="180"/>
      <c r="B9419" s="178"/>
      <c r="C9419" s="49"/>
      <c r="D9419" s="49"/>
      <c r="E9419" s="50"/>
      <c r="F9419" s="51"/>
      <c r="G9419" s="52" t="str">
        <f>IF(ISNUMBER(F9419),E9419*F9419,"")</f>
        <v/>
      </c>
      <c r="H9419" s="53"/>
      <c r="I9419" s="47"/>
      <c r="J9419" s="37">
        <v>0</v>
      </c>
    </row>
    <row r="9420" spans="1:10" ht="15.75" hidden="1" thickBot="1" x14ac:dyDescent="0.3">
      <c r="A9420" s="173" t="s">
        <v>2270</v>
      </c>
      <c r="B9420" s="176" t="s">
        <v>9769</v>
      </c>
      <c r="C9420" s="31"/>
      <c r="D9420" s="32" t="s">
        <v>18</v>
      </c>
      <c r="E9420" s="33"/>
      <c r="F9420" s="54" t="s">
        <v>13</v>
      </c>
      <c r="G9420" s="34" t="str">
        <f>IF(ISNUMBER(F9420),E9420*F9420,"")</f>
        <v/>
      </c>
      <c r="H9420" s="35"/>
      <c r="I9420" s="36"/>
      <c r="J9420" s="37">
        <v>0</v>
      </c>
    </row>
    <row r="9421" spans="1:10" hidden="1" x14ac:dyDescent="0.25">
      <c r="A9421" s="179"/>
      <c r="B9421" s="177"/>
      <c r="C9421" s="39"/>
      <c r="D9421" s="39"/>
      <c r="E9421" s="40"/>
      <c r="F9421" s="55" t="s">
        <v>13</v>
      </c>
      <c r="G9421" s="41" t="str">
        <f>IF(ISNUMBER(F9421),E9421*F9421,"")</f>
        <v/>
      </c>
      <c r="H9421" s="42"/>
      <c r="I9421" s="38"/>
      <c r="J9421" s="37">
        <v>0</v>
      </c>
    </row>
    <row r="9422" spans="1:10" ht="51" hidden="1" x14ac:dyDescent="0.25">
      <c r="A9422" s="179"/>
      <c r="B9422" s="177"/>
      <c r="C9422" s="43" t="s">
        <v>2271</v>
      </c>
      <c r="D9422" s="43" t="s">
        <v>18</v>
      </c>
      <c r="E9422" s="44">
        <v>1</v>
      </c>
      <c r="F9422" s="38" t="s">
        <v>13</v>
      </c>
      <c r="G9422" s="41" t="str">
        <f>IF(ISNUMBER(F9422),E9422*F9422,"")</f>
        <v/>
      </c>
      <c r="H9422" s="46">
        <f>SUM(G9422:G9429)</f>
        <v>209.43194980000001</v>
      </c>
      <c r="I9422" s="47"/>
      <c r="J9422" s="37">
        <v>0</v>
      </c>
    </row>
    <row r="9423" spans="1:10" ht="38.25" hidden="1" x14ac:dyDescent="0.25">
      <c r="A9423" s="179"/>
      <c r="B9423" s="177"/>
      <c r="C9423" s="43" t="s">
        <v>11711</v>
      </c>
      <c r="D9423" s="43" t="s">
        <v>83</v>
      </c>
      <c r="E9423" s="44">
        <v>4</v>
      </c>
      <c r="F9423" s="38">
        <v>1.3584999999999998</v>
      </c>
      <c r="G9423" s="41">
        <f>IF(ISNUMBER(F9423),E9423*F9423,"")</f>
        <v>5.4339999999999993</v>
      </c>
      <c r="H9423" s="42"/>
      <c r="I9423" s="47"/>
      <c r="J9423" s="37">
        <v>0</v>
      </c>
    </row>
    <row r="9424" spans="1:10" hidden="1" x14ac:dyDescent="0.25">
      <c r="A9424" s="179"/>
      <c r="B9424" s="177"/>
      <c r="C9424" s="43" t="s">
        <v>11712</v>
      </c>
      <c r="D9424" s="43" t="s">
        <v>1302</v>
      </c>
      <c r="E9424" s="44">
        <v>0.2</v>
      </c>
      <c r="F9424" s="38">
        <v>3.2489999999999997</v>
      </c>
      <c r="G9424" s="41">
        <f>IF(ISNUMBER(F9424),E9424*F9424,"")</f>
        <v>0.64979999999999993</v>
      </c>
      <c r="H9424" s="42"/>
      <c r="I9424" s="47"/>
      <c r="J9424" s="37">
        <v>0</v>
      </c>
    </row>
    <row r="9425" spans="1:10" hidden="1" x14ac:dyDescent="0.25">
      <c r="A9425" s="179"/>
      <c r="B9425" s="177"/>
      <c r="C9425" s="43" t="s">
        <v>10933</v>
      </c>
      <c r="D9425" s="43" t="s">
        <v>83</v>
      </c>
      <c r="E9425" s="44">
        <v>4</v>
      </c>
      <c r="F9425" s="38">
        <v>0.26600000000000001</v>
      </c>
      <c r="G9425" s="41">
        <f>IF(ISNUMBER(F9425),E9425*F9425,"")</f>
        <v>1.0640000000000001</v>
      </c>
      <c r="H9425" s="42"/>
      <c r="I9425" s="47"/>
      <c r="J9425" s="37">
        <v>0</v>
      </c>
    </row>
    <row r="9426" spans="1:10" hidden="1" x14ac:dyDescent="0.25">
      <c r="A9426" s="179"/>
      <c r="B9426" s="177"/>
      <c r="C9426" s="43" t="s">
        <v>10762</v>
      </c>
      <c r="D9426" s="43" t="s">
        <v>2800</v>
      </c>
      <c r="E9426" s="44">
        <v>0.63300000000000001</v>
      </c>
      <c r="F9426" s="38">
        <v>24.946999999999999</v>
      </c>
      <c r="G9426" s="41">
        <f>IF(ISNUMBER(F9426),E9426*F9426,"")</f>
        <v>15.791451</v>
      </c>
      <c r="H9426" s="42"/>
      <c r="I9426" s="47"/>
      <c r="J9426" s="37">
        <v>0</v>
      </c>
    </row>
    <row r="9427" spans="1:10" ht="25.5" hidden="1" x14ac:dyDescent="0.25">
      <c r="A9427" s="179"/>
      <c r="B9427" s="177"/>
      <c r="C9427" s="43" t="s">
        <v>10753</v>
      </c>
      <c r="D9427" s="43" t="s">
        <v>2800</v>
      </c>
      <c r="E9427" s="44">
        <v>3.0647000000000002</v>
      </c>
      <c r="F9427" s="38">
        <v>23.997</v>
      </c>
      <c r="G9427" s="41">
        <f>IF(ISNUMBER(F9427),E9427*F9427,"")</f>
        <v>73.543605900000003</v>
      </c>
      <c r="H9427" s="42"/>
      <c r="I9427" s="47"/>
      <c r="J9427" s="37">
        <v>0</v>
      </c>
    </row>
    <row r="9428" spans="1:10" hidden="1" x14ac:dyDescent="0.25">
      <c r="A9428" s="179"/>
      <c r="B9428" s="177"/>
      <c r="C9428" s="43" t="s">
        <v>10763</v>
      </c>
      <c r="D9428" s="43" t="s">
        <v>2800</v>
      </c>
      <c r="E9428" s="44">
        <v>0.63300000000000001</v>
      </c>
      <c r="F9428" s="38">
        <v>31.435500000000001</v>
      </c>
      <c r="G9428" s="41">
        <f>IF(ISNUMBER(F9428),E9428*F9428,"")</f>
        <v>19.898671500000003</v>
      </c>
      <c r="H9428" s="42"/>
      <c r="I9428" s="47"/>
      <c r="J9428" s="37">
        <v>0</v>
      </c>
    </row>
    <row r="9429" spans="1:10" ht="25.5" hidden="1" x14ac:dyDescent="0.25">
      <c r="A9429" s="179"/>
      <c r="B9429" s="177"/>
      <c r="C9429" s="43" t="s">
        <v>10754</v>
      </c>
      <c r="D9429" s="43" t="s">
        <v>2800</v>
      </c>
      <c r="E9429" s="44">
        <v>3.0647000000000002</v>
      </c>
      <c r="F9429" s="38">
        <v>30.361999999999998</v>
      </c>
      <c r="G9429" s="41">
        <f>IF(ISNUMBER(F9429),E9429*F9429,"")</f>
        <v>93.050421400000005</v>
      </c>
      <c r="H9429" s="42"/>
      <c r="I9429" s="47"/>
      <c r="J9429" s="37">
        <v>0</v>
      </c>
    </row>
    <row r="9430" spans="1:10" ht="15.75" hidden="1" thickBot="1" x14ac:dyDescent="0.3">
      <c r="A9430" s="180"/>
      <c r="B9430" s="178"/>
      <c r="C9430" s="49"/>
      <c r="D9430" s="49"/>
      <c r="E9430" s="50"/>
      <c r="F9430" s="51" t="s">
        <v>13</v>
      </c>
      <c r="G9430" s="52" t="str">
        <f>IF(ISNUMBER(F9430),E9430*F9430,"")</f>
        <v/>
      </c>
      <c r="H9430" s="53"/>
      <c r="I9430" s="38"/>
      <c r="J9430" s="37">
        <v>0</v>
      </c>
    </row>
    <row r="9431" spans="1:10" ht="15.75" hidden="1" thickBot="1" x14ac:dyDescent="0.3">
      <c r="A9431" s="173" t="s">
        <v>2272</v>
      </c>
      <c r="B9431" s="176" t="s">
        <v>9770</v>
      </c>
      <c r="C9431" s="31"/>
      <c r="D9431" s="32" t="s">
        <v>18</v>
      </c>
      <c r="E9431" s="33"/>
      <c r="F9431" s="54" t="s">
        <v>13</v>
      </c>
      <c r="G9431" s="34" t="str">
        <f>IF(ISNUMBER(F9431),E9431*F9431,"")</f>
        <v/>
      </c>
      <c r="H9431" s="35"/>
      <c r="I9431" s="36"/>
      <c r="J9431" s="37">
        <v>0</v>
      </c>
    </row>
    <row r="9432" spans="1:10" hidden="1" x14ac:dyDescent="0.25">
      <c r="A9432" s="179"/>
      <c r="B9432" s="177"/>
      <c r="C9432" s="39"/>
      <c r="D9432" s="39"/>
      <c r="E9432" s="40"/>
      <c r="F9432" s="55" t="s">
        <v>13</v>
      </c>
      <c r="G9432" s="41" t="str">
        <f>IF(ISNUMBER(F9432),E9432*F9432,"")</f>
        <v/>
      </c>
      <c r="H9432" s="42"/>
      <c r="I9432" s="38"/>
      <c r="J9432" s="37">
        <v>0</v>
      </c>
    </row>
    <row r="9433" spans="1:10" ht="51" hidden="1" x14ac:dyDescent="0.25">
      <c r="A9433" s="179"/>
      <c r="B9433" s="177"/>
      <c r="C9433" s="43" t="s">
        <v>2273</v>
      </c>
      <c r="D9433" s="43" t="s">
        <v>18</v>
      </c>
      <c r="E9433" s="44">
        <v>1</v>
      </c>
      <c r="F9433" s="38" t="s">
        <v>13</v>
      </c>
      <c r="G9433" s="41" t="str">
        <f>IF(ISNUMBER(F9433),E9433*F9433,"")</f>
        <v/>
      </c>
      <c r="H9433" s="46">
        <f>SUM(G9433:G9440)</f>
        <v>209.43194980000001</v>
      </c>
      <c r="I9433" s="47"/>
      <c r="J9433" s="37">
        <v>0</v>
      </c>
    </row>
    <row r="9434" spans="1:10" ht="38.25" hidden="1" x14ac:dyDescent="0.25">
      <c r="A9434" s="179"/>
      <c r="B9434" s="177"/>
      <c r="C9434" s="43" t="s">
        <v>11711</v>
      </c>
      <c r="D9434" s="43" t="s">
        <v>83</v>
      </c>
      <c r="E9434" s="44">
        <v>4</v>
      </c>
      <c r="F9434" s="38">
        <v>1.3584999999999998</v>
      </c>
      <c r="G9434" s="41">
        <f>IF(ISNUMBER(F9434),E9434*F9434,"")</f>
        <v>5.4339999999999993</v>
      </c>
      <c r="H9434" s="42"/>
      <c r="I9434" s="47"/>
      <c r="J9434" s="37">
        <v>0</v>
      </c>
    </row>
    <row r="9435" spans="1:10" hidden="1" x14ac:dyDescent="0.25">
      <c r="A9435" s="179"/>
      <c r="B9435" s="177"/>
      <c r="C9435" s="43" t="s">
        <v>11712</v>
      </c>
      <c r="D9435" s="43" t="s">
        <v>1302</v>
      </c>
      <c r="E9435" s="44">
        <v>0.2</v>
      </c>
      <c r="F9435" s="38">
        <v>3.2489999999999997</v>
      </c>
      <c r="G9435" s="41">
        <f>IF(ISNUMBER(F9435),E9435*F9435,"")</f>
        <v>0.64979999999999993</v>
      </c>
      <c r="H9435" s="42"/>
      <c r="I9435" s="47"/>
      <c r="J9435" s="37">
        <v>0</v>
      </c>
    </row>
    <row r="9436" spans="1:10" hidden="1" x14ac:dyDescent="0.25">
      <c r="A9436" s="179"/>
      <c r="B9436" s="177"/>
      <c r="C9436" s="43" t="s">
        <v>10933</v>
      </c>
      <c r="D9436" s="43" t="s">
        <v>83</v>
      </c>
      <c r="E9436" s="44">
        <v>4</v>
      </c>
      <c r="F9436" s="38">
        <v>0.26600000000000001</v>
      </c>
      <c r="G9436" s="41">
        <f>IF(ISNUMBER(F9436),E9436*F9436,"")</f>
        <v>1.0640000000000001</v>
      </c>
      <c r="H9436" s="42"/>
      <c r="I9436" s="47"/>
      <c r="J9436" s="37">
        <v>0</v>
      </c>
    </row>
    <row r="9437" spans="1:10" hidden="1" x14ac:dyDescent="0.25">
      <c r="A9437" s="179"/>
      <c r="B9437" s="177"/>
      <c r="C9437" s="43" t="s">
        <v>10762</v>
      </c>
      <c r="D9437" s="43" t="s">
        <v>2800</v>
      </c>
      <c r="E9437" s="44">
        <v>0.63300000000000001</v>
      </c>
      <c r="F9437" s="38">
        <v>24.946999999999999</v>
      </c>
      <c r="G9437" s="41">
        <f>IF(ISNUMBER(F9437),E9437*F9437,"")</f>
        <v>15.791451</v>
      </c>
      <c r="H9437" s="42"/>
      <c r="I9437" s="47"/>
      <c r="J9437" s="37">
        <v>0</v>
      </c>
    </row>
    <row r="9438" spans="1:10" ht="25.5" hidden="1" x14ac:dyDescent="0.25">
      <c r="A9438" s="179"/>
      <c r="B9438" s="177"/>
      <c r="C9438" s="43" t="s">
        <v>10753</v>
      </c>
      <c r="D9438" s="43" t="s">
        <v>2800</v>
      </c>
      <c r="E9438" s="44">
        <v>3.0647000000000002</v>
      </c>
      <c r="F9438" s="38">
        <v>23.997</v>
      </c>
      <c r="G9438" s="41">
        <f>IF(ISNUMBER(F9438),E9438*F9438,"")</f>
        <v>73.543605900000003</v>
      </c>
      <c r="H9438" s="42"/>
      <c r="I9438" s="47"/>
      <c r="J9438" s="37">
        <v>0</v>
      </c>
    </row>
    <row r="9439" spans="1:10" hidden="1" x14ac:dyDescent="0.25">
      <c r="A9439" s="179"/>
      <c r="B9439" s="177"/>
      <c r="C9439" s="43" t="s">
        <v>10763</v>
      </c>
      <c r="D9439" s="43" t="s">
        <v>2800</v>
      </c>
      <c r="E9439" s="44">
        <v>0.63300000000000001</v>
      </c>
      <c r="F9439" s="38">
        <v>31.435500000000001</v>
      </c>
      <c r="G9439" s="41">
        <f>IF(ISNUMBER(F9439),E9439*F9439,"")</f>
        <v>19.898671500000003</v>
      </c>
      <c r="H9439" s="42"/>
      <c r="I9439" s="47"/>
      <c r="J9439" s="37">
        <v>0</v>
      </c>
    </row>
    <row r="9440" spans="1:10" ht="25.5" hidden="1" x14ac:dyDescent="0.25">
      <c r="A9440" s="179"/>
      <c r="B9440" s="177"/>
      <c r="C9440" s="43" t="s">
        <v>10754</v>
      </c>
      <c r="D9440" s="43" t="s">
        <v>2800</v>
      </c>
      <c r="E9440" s="44">
        <v>3.0647000000000002</v>
      </c>
      <c r="F9440" s="38">
        <v>30.361999999999998</v>
      </c>
      <c r="G9440" s="41">
        <f>IF(ISNUMBER(F9440),E9440*F9440,"")</f>
        <v>93.050421400000005</v>
      </c>
      <c r="H9440" s="42"/>
      <c r="I9440" s="47"/>
      <c r="J9440" s="37">
        <v>0</v>
      </c>
    </row>
    <row r="9441" spans="1:10" ht="15.75" hidden="1" thickBot="1" x14ac:dyDescent="0.3">
      <c r="A9441" s="180"/>
      <c r="B9441" s="178"/>
      <c r="C9441" s="49"/>
      <c r="D9441" s="49"/>
      <c r="E9441" s="50"/>
      <c r="F9441" s="51" t="s">
        <v>13</v>
      </c>
      <c r="G9441" s="52" t="str">
        <f>IF(ISNUMBER(F9441),E9441*F9441,"")</f>
        <v/>
      </c>
      <c r="H9441" s="53"/>
      <c r="I9441" s="38"/>
      <c r="J9441" s="37">
        <v>0</v>
      </c>
    </row>
    <row r="9442" spans="1:10" ht="15.75" hidden="1" thickBot="1" x14ac:dyDescent="0.3">
      <c r="A9442" s="173" t="s">
        <v>2274</v>
      </c>
      <c r="B9442" s="176" t="s">
        <v>9771</v>
      </c>
      <c r="C9442" s="31"/>
      <c r="D9442" s="32" t="s">
        <v>18</v>
      </c>
      <c r="E9442" s="33"/>
      <c r="F9442" s="54" t="s">
        <v>13</v>
      </c>
      <c r="G9442" s="34" t="str">
        <f>IF(ISNUMBER(F9442),E9442*F9442,"")</f>
        <v/>
      </c>
      <c r="H9442" s="35"/>
      <c r="I9442" s="36"/>
      <c r="J9442" s="37">
        <v>0</v>
      </c>
    </row>
    <row r="9443" spans="1:10" hidden="1" x14ac:dyDescent="0.25">
      <c r="A9443" s="179"/>
      <c r="B9443" s="177"/>
      <c r="C9443" s="39"/>
      <c r="D9443" s="39"/>
      <c r="E9443" s="40"/>
      <c r="F9443" s="55" t="s">
        <v>13</v>
      </c>
      <c r="G9443" s="41" t="str">
        <f>IF(ISNUMBER(F9443),E9443*F9443,"")</f>
        <v/>
      </c>
      <c r="H9443" s="42"/>
      <c r="I9443" s="38"/>
      <c r="J9443" s="37">
        <v>0</v>
      </c>
    </row>
    <row r="9444" spans="1:10" ht="38.25" hidden="1" x14ac:dyDescent="0.25">
      <c r="A9444" s="179"/>
      <c r="B9444" s="177"/>
      <c r="C9444" s="43" t="s">
        <v>2275</v>
      </c>
      <c r="D9444" s="43" t="s">
        <v>18</v>
      </c>
      <c r="E9444" s="44">
        <v>1</v>
      </c>
      <c r="F9444" s="38" t="s">
        <v>13</v>
      </c>
      <c r="G9444" s="41" t="str">
        <f>IF(ISNUMBER(F9444),E9444*F9444,"")</f>
        <v/>
      </c>
      <c r="H9444" s="46">
        <f>SUM(G9444:G9451)</f>
        <v>209.43194980000001</v>
      </c>
      <c r="I9444" s="47"/>
      <c r="J9444" s="37">
        <v>0</v>
      </c>
    </row>
    <row r="9445" spans="1:10" ht="38.25" hidden="1" x14ac:dyDescent="0.25">
      <c r="A9445" s="179"/>
      <c r="B9445" s="177"/>
      <c r="C9445" s="43" t="s">
        <v>11711</v>
      </c>
      <c r="D9445" s="43" t="s">
        <v>83</v>
      </c>
      <c r="E9445" s="44">
        <v>4</v>
      </c>
      <c r="F9445" s="38">
        <v>1.3584999999999998</v>
      </c>
      <c r="G9445" s="41">
        <f>IF(ISNUMBER(F9445),E9445*F9445,"")</f>
        <v>5.4339999999999993</v>
      </c>
      <c r="H9445" s="42"/>
      <c r="I9445" s="47"/>
      <c r="J9445" s="37">
        <v>0</v>
      </c>
    </row>
    <row r="9446" spans="1:10" hidden="1" x14ac:dyDescent="0.25">
      <c r="A9446" s="179"/>
      <c r="B9446" s="177"/>
      <c r="C9446" s="43" t="s">
        <v>11712</v>
      </c>
      <c r="D9446" s="43" t="s">
        <v>1302</v>
      </c>
      <c r="E9446" s="44">
        <v>0.2</v>
      </c>
      <c r="F9446" s="38">
        <v>3.2489999999999997</v>
      </c>
      <c r="G9446" s="41">
        <f>IF(ISNUMBER(F9446),E9446*F9446,"")</f>
        <v>0.64979999999999993</v>
      </c>
      <c r="H9446" s="42"/>
      <c r="I9446" s="47"/>
      <c r="J9446" s="37">
        <v>0</v>
      </c>
    </row>
    <row r="9447" spans="1:10" hidden="1" x14ac:dyDescent="0.25">
      <c r="A9447" s="179"/>
      <c r="B9447" s="177"/>
      <c r="C9447" s="43" t="s">
        <v>10933</v>
      </c>
      <c r="D9447" s="43" t="s">
        <v>83</v>
      </c>
      <c r="E9447" s="44">
        <v>4</v>
      </c>
      <c r="F9447" s="38">
        <v>0.26600000000000001</v>
      </c>
      <c r="G9447" s="41">
        <f>IF(ISNUMBER(F9447),E9447*F9447,"")</f>
        <v>1.0640000000000001</v>
      </c>
      <c r="H9447" s="42"/>
      <c r="I9447" s="47"/>
      <c r="J9447" s="37">
        <v>0</v>
      </c>
    </row>
    <row r="9448" spans="1:10" hidden="1" x14ac:dyDescent="0.25">
      <c r="A9448" s="179"/>
      <c r="B9448" s="177"/>
      <c r="C9448" s="43" t="s">
        <v>10762</v>
      </c>
      <c r="D9448" s="43" t="s">
        <v>2800</v>
      </c>
      <c r="E9448" s="44">
        <v>0.63300000000000001</v>
      </c>
      <c r="F9448" s="38">
        <v>24.946999999999999</v>
      </c>
      <c r="G9448" s="41">
        <f>IF(ISNUMBER(F9448),E9448*F9448,"")</f>
        <v>15.791451</v>
      </c>
      <c r="H9448" s="42"/>
      <c r="I9448" s="47"/>
      <c r="J9448" s="37">
        <v>0</v>
      </c>
    </row>
    <row r="9449" spans="1:10" ht="25.5" hidden="1" x14ac:dyDescent="0.25">
      <c r="A9449" s="179"/>
      <c r="B9449" s="177"/>
      <c r="C9449" s="43" t="s">
        <v>10753</v>
      </c>
      <c r="D9449" s="43" t="s">
        <v>2800</v>
      </c>
      <c r="E9449" s="44">
        <v>3.0647000000000002</v>
      </c>
      <c r="F9449" s="38">
        <v>23.997</v>
      </c>
      <c r="G9449" s="41">
        <f>IF(ISNUMBER(F9449),E9449*F9449,"")</f>
        <v>73.543605900000003</v>
      </c>
      <c r="H9449" s="42"/>
      <c r="I9449" s="47"/>
      <c r="J9449" s="37">
        <v>0</v>
      </c>
    </row>
    <row r="9450" spans="1:10" hidden="1" x14ac:dyDescent="0.25">
      <c r="A9450" s="179"/>
      <c r="B9450" s="177"/>
      <c r="C9450" s="43" t="s">
        <v>10763</v>
      </c>
      <c r="D9450" s="43" t="s">
        <v>2800</v>
      </c>
      <c r="E9450" s="44">
        <v>0.63300000000000001</v>
      </c>
      <c r="F9450" s="38">
        <v>31.435500000000001</v>
      </c>
      <c r="G9450" s="41">
        <f>IF(ISNUMBER(F9450),E9450*F9450,"")</f>
        <v>19.898671500000003</v>
      </c>
      <c r="H9450" s="42"/>
      <c r="I9450" s="47"/>
      <c r="J9450" s="37">
        <v>0</v>
      </c>
    </row>
    <row r="9451" spans="1:10" ht="25.5" hidden="1" x14ac:dyDescent="0.25">
      <c r="A9451" s="179"/>
      <c r="B9451" s="177"/>
      <c r="C9451" s="43" t="s">
        <v>10754</v>
      </c>
      <c r="D9451" s="43" t="s">
        <v>2800</v>
      </c>
      <c r="E9451" s="44">
        <v>3.0647000000000002</v>
      </c>
      <c r="F9451" s="38">
        <v>30.361999999999998</v>
      </c>
      <c r="G9451" s="41">
        <f>IF(ISNUMBER(F9451),E9451*F9451,"")</f>
        <v>93.050421400000005</v>
      </c>
      <c r="H9451" s="42"/>
      <c r="I9451" s="47"/>
      <c r="J9451" s="37">
        <v>0</v>
      </c>
    </row>
    <row r="9452" spans="1:10" ht="15.75" hidden="1" thickBot="1" x14ac:dyDescent="0.3">
      <c r="A9452" s="180"/>
      <c r="B9452" s="178"/>
      <c r="C9452" s="49"/>
      <c r="D9452" s="49"/>
      <c r="E9452" s="50"/>
      <c r="F9452" s="51" t="s">
        <v>13</v>
      </c>
      <c r="G9452" s="52" t="str">
        <f>IF(ISNUMBER(F9452),E9452*F9452,"")</f>
        <v/>
      </c>
      <c r="H9452" s="53"/>
      <c r="I9452" s="38"/>
      <c r="J9452" s="37">
        <v>0</v>
      </c>
    </row>
    <row r="9453" spans="1:10" ht="15.75" hidden="1" thickBot="1" x14ac:dyDescent="0.3">
      <c r="A9453" s="173" t="s">
        <v>2276</v>
      </c>
      <c r="B9453" s="176" t="s">
        <v>2277</v>
      </c>
      <c r="C9453" s="31"/>
      <c r="D9453" s="32" t="s">
        <v>18</v>
      </c>
      <c r="E9453" s="33"/>
      <c r="F9453" s="54" t="s">
        <v>13</v>
      </c>
      <c r="G9453" s="34" t="str">
        <f>IF(ISNUMBER(F9453),E9453*F9453,"")</f>
        <v/>
      </c>
      <c r="H9453" s="35"/>
      <c r="I9453" s="36"/>
      <c r="J9453" s="37">
        <v>0</v>
      </c>
    </row>
    <row r="9454" spans="1:10" hidden="1" x14ac:dyDescent="0.25">
      <c r="A9454" s="174"/>
      <c r="B9454" s="177"/>
      <c r="C9454" s="39"/>
      <c r="D9454" s="39"/>
      <c r="E9454" s="40"/>
      <c r="F9454" s="55" t="s">
        <v>13</v>
      </c>
      <c r="G9454" s="38" t="str">
        <f>IF(ISNUMBER(F9454),E9454*F9454,"")</f>
        <v/>
      </c>
      <c r="H9454" s="42"/>
      <c r="I9454" s="38"/>
      <c r="J9454" s="37">
        <v>0</v>
      </c>
    </row>
    <row r="9455" spans="1:10" ht="38.25" hidden="1" x14ac:dyDescent="0.25">
      <c r="A9455" s="174"/>
      <c r="B9455" s="177"/>
      <c r="C9455" s="43" t="s">
        <v>10947</v>
      </c>
      <c r="D9455" s="43" t="s">
        <v>83</v>
      </c>
      <c r="E9455" s="44">
        <v>10</v>
      </c>
      <c r="F9455" s="41">
        <v>1.0734999999999999</v>
      </c>
      <c r="G9455" s="38">
        <f>IF(ISNUMBER(F9455),E9455*F9455,"")</f>
        <v>10.734999999999999</v>
      </c>
      <c r="H9455" s="46">
        <f>SUM(G9455:G9464)</f>
        <v>307.13872399999997</v>
      </c>
      <c r="I9455" s="47"/>
      <c r="J9455" s="37">
        <v>0</v>
      </c>
    </row>
    <row r="9456" spans="1:10" hidden="1" x14ac:dyDescent="0.25">
      <c r="A9456" s="174"/>
      <c r="B9456" s="177"/>
      <c r="C9456" s="43" t="s">
        <v>10948</v>
      </c>
      <c r="D9456" s="43" t="s">
        <v>83</v>
      </c>
      <c r="E9456" s="44">
        <v>6</v>
      </c>
      <c r="F9456" s="38">
        <v>0.70299999999999996</v>
      </c>
      <c r="G9456" s="38">
        <f>IF(ISNUMBER(F9456),E9456*F9456,"")</f>
        <v>4.218</v>
      </c>
      <c r="H9456" s="42"/>
      <c r="I9456" s="38"/>
      <c r="J9456" s="37">
        <v>0</v>
      </c>
    </row>
    <row r="9457" spans="1:10" ht="25.5" hidden="1" x14ac:dyDescent="0.25">
      <c r="A9457" s="174"/>
      <c r="B9457" s="177"/>
      <c r="C9457" s="43" t="s">
        <v>10954</v>
      </c>
      <c r="D9457" s="43" t="s">
        <v>83</v>
      </c>
      <c r="E9457" s="44">
        <v>6</v>
      </c>
      <c r="F9457" s="38">
        <v>1.0545</v>
      </c>
      <c r="G9457" s="38">
        <f>IF(ISNUMBER(F9457),E9457*F9457,"")</f>
        <v>6.327</v>
      </c>
      <c r="H9457" s="42"/>
      <c r="I9457" s="38"/>
      <c r="J9457" s="37">
        <v>0</v>
      </c>
    </row>
    <row r="9458" spans="1:10" ht="38.25" hidden="1" x14ac:dyDescent="0.25">
      <c r="A9458" s="174"/>
      <c r="B9458" s="177"/>
      <c r="C9458" s="43" t="s">
        <v>10949</v>
      </c>
      <c r="D9458" s="43" t="s">
        <v>83</v>
      </c>
      <c r="E9458" s="44">
        <v>8</v>
      </c>
      <c r="F9458" s="38">
        <v>0.38949999999999996</v>
      </c>
      <c r="G9458" s="38">
        <f>IF(ISNUMBER(F9458),E9458*F9458,"")</f>
        <v>3.1159999999999997</v>
      </c>
      <c r="H9458" s="42"/>
      <c r="I9458" s="38"/>
      <c r="J9458" s="37">
        <v>0</v>
      </c>
    </row>
    <row r="9459" spans="1:10" ht="25.5" hidden="1" x14ac:dyDescent="0.25">
      <c r="A9459" s="174"/>
      <c r="B9459" s="177"/>
      <c r="C9459" s="43" t="s">
        <v>10950</v>
      </c>
      <c r="D9459" s="43" t="s">
        <v>83</v>
      </c>
      <c r="E9459" s="44">
        <v>6</v>
      </c>
      <c r="F9459" s="38">
        <v>1.3204999999999998</v>
      </c>
      <c r="G9459" s="38">
        <f>IF(ISNUMBER(F9459),E9459*F9459,"")</f>
        <v>7.9229999999999983</v>
      </c>
      <c r="H9459" s="42"/>
      <c r="I9459" s="38"/>
      <c r="J9459" s="37">
        <v>0</v>
      </c>
    </row>
    <row r="9460" spans="1:10" ht="25.5" hidden="1" x14ac:dyDescent="0.25">
      <c r="A9460" s="174"/>
      <c r="B9460" s="177"/>
      <c r="C9460" s="43" t="s">
        <v>10951</v>
      </c>
      <c r="D9460" s="43" t="s">
        <v>83</v>
      </c>
      <c r="E9460" s="44">
        <v>6</v>
      </c>
      <c r="F9460" s="38">
        <v>1.5484999999999998</v>
      </c>
      <c r="G9460" s="38">
        <f>IF(ISNUMBER(F9460),E9460*F9460,"")</f>
        <v>9.2909999999999986</v>
      </c>
      <c r="H9460" s="42"/>
      <c r="I9460" s="38"/>
      <c r="J9460" s="37">
        <v>0</v>
      </c>
    </row>
    <row r="9461" spans="1:10" ht="25.5" hidden="1" x14ac:dyDescent="0.25">
      <c r="A9461" s="174"/>
      <c r="B9461" s="177"/>
      <c r="C9461" s="43" t="s">
        <v>10878</v>
      </c>
      <c r="D9461" s="43" t="s">
        <v>83</v>
      </c>
      <c r="E9461" s="44">
        <v>2</v>
      </c>
      <c r="F9461" s="38">
        <v>19.256499999999999</v>
      </c>
      <c r="G9461" s="38">
        <f>IF(ISNUMBER(F9461),E9461*F9461,"")</f>
        <v>38.512999999999998</v>
      </c>
      <c r="H9461" s="42"/>
      <c r="I9461" s="38"/>
      <c r="J9461" s="37">
        <v>0</v>
      </c>
    </row>
    <row r="9462" spans="1:10" ht="25.5" hidden="1" x14ac:dyDescent="0.25">
      <c r="A9462" s="174"/>
      <c r="B9462" s="177"/>
      <c r="C9462" s="43" t="s">
        <v>2277</v>
      </c>
      <c r="D9462" s="43" t="s">
        <v>83</v>
      </c>
      <c r="E9462" s="44">
        <v>1</v>
      </c>
      <c r="F9462" s="38" t="s">
        <v>13</v>
      </c>
      <c r="G9462" s="38" t="str">
        <f>IF(ISNUMBER(F9462),E9462*F9462,"")</f>
        <v/>
      </c>
      <c r="H9462" s="42"/>
      <c r="I9462" s="38"/>
      <c r="J9462" s="37">
        <v>0</v>
      </c>
    </row>
    <row r="9463" spans="1:10" hidden="1" x14ac:dyDescent="0.25">
      <c r="A9463" s="174"/>
      <c r="B9463" s="177"/>
      <c r="C9463" s="43" t="s">
        <v>10750</v>
      </c>
      <c r="D9463" s="43" t="s">
        <v>2800</v>
      </c>
      <c r="E9463" s="44">
        <v>3.9727999999999999</v>
      </c>
      <c r="F9463" s="38">
        <v>24.358000000000001</v>
      </c>
      <c r="G9463" s="38">
        <f>IF(ISNUMBER(F9463),E9463*F9463,"")</f>
        <v>96.769462399999995</v>
      </c>
      <c r="H9463" s="42"/>
      <c r="I9463" s="38"/>
      <c r="J9463" s="37">
        <v>0</v>
      </c>
    </row>
    <row r="9464" spans="1:10" ht="25.5" hidden="1" x14ac:dyDescent="0.25">
      <c r="A9464" s="174"/>
      <c r="B9464" s="177"/>
      <c r="C9464" s="43" t="s">
        <v>10751</v>
      </c>
      <c r="D9464" s="43" t="s">
        <v>2800</v>
      </c>
      <c r="E9464" s="44">
        <v>3.9727999999999999</v>
      </c>
      <c r="F9464" s="38">
        <v>32.784499999999994</v>
      </c>
      <c r="G9464" s="38">
        <f>IF(ISNUMBER(F9464),E9464*F9464,"")</f>
        <v>130.24626159999997</v>
      </c>
      <c r="H9464" s="42"/>
      <c r="I9464" s="38"/>
      <c r="J9464" s="37">
        <v>0</v>
      </c>
    </row>
    <row r="9465" spans="1:10" ht="15.75" hidden="1" thickBot="1" x14ac:dyDescent="0.3">
      <c r="A9465" s="175"/>
      <c r="B9465" s="178"/>
      <c r="C9465" s="49"/>
      <c r="D9465" s="49"/>
      <c r="E9465" s="50"/>
      <c r="F9465" s="51" t="s">
        <v>13</v>
      </c>
      <c r="G9465" s="51" t="str">
        <f>IF(ISNUMBER(F9465),E9465*F9465,"")</f>
        <v/>
      </c>
      <c r="H9465" s="53"/>
      <c r="I9465" s="38"/>
      <c r="J9465" s="37">
        <v>0</v>
      </c>
    </row>
    <row r="9466" spans="1:10" ht="15.75" hidden="1" thickBot="1" x14ac:dyDescent="0.3">
      <c r="A9466" s="173" t="s">
        <v>2278</v>
      </c>
      <c r="B9466" s="176" t="s">
        <v>2279</v>
      </c>
      <c r="C9466" s="31"/>
      <c r="D9466" s="32" t="s">
        <v>18</v>
      </c>
      <c r="E9466" s="33"/>
      <c r="F9466" s="54" t="s">
        <v>13</v>
      </c>
      <c r="G9466" s="34" t="str">
        <f>IF(ISNUMBER(F9466),E9466*F9466,"")</f>
        <v/>
      </c>
      <c r="H9466" s="35"/>
      <c r="I9466" s="36"/>
      <c r="J9466" s="37">
        <v>0</v>
      </c>
    </row>
    <row r="9467" spans="1:10" hidden="1" x14ac:dyDescent="0.25">
      <c r="A9467" s="174"/>
      <c r="B9467" s="177"/>
      <c r="C9467" s="39"/>
      <c r="D9467" s="39"/>
      <c r="E9467" s="40"/>
      <c r="F9467" s="55" t="s">
        <v>13</v>
      </c>
      <c r="G9467" s="38" t="str">
        <f>IF(ISNUMBER(F9467),E9467*F9467,"")</f>
        <v/>
      </c>
      <c r="H9467" s="42"/>
      <c r="I9467" s="38"/>
      <c r="J9467" s="37">
        <v>0</v>
      </c>
    </row>
    <row r="9468" spans="1:10" ht="38.25" hidden="1" x14ac:dyDescent="0.25">
      <c r="A9468" s="174"/>
      <c r="B9468" s="177"/>
      <c r="C9468" s="43" t="s">
        <v>10947</v>
      </c>
      <c r="D9468" s="43" t="s">
        <v>83</v>
      </c>
      <c r="E9468" s="44">
        <v>10</v>
      </c>
      <c r="F9468" s="41">
        <v>1.0734999999999999</v>
      </c>
      <c r="G9468" s="38">
        <f>IF(ISNUMBER(F9468),E9468*F9468,"")</f>
        <v>10.734999999999999</v>
      </c>
      <c r="H9468" s="46">
        <f>SUM(G9468:G9477)</f>
        <v>329.37287074999995</v>
      </c>
      <c r="I9468" s="47"/>
      <c r="J9468" s="37">
        <v>0</v>
      </c>
    </row>
    <row r="9469" spans="1:10" hidden="1" x14ac:dyDescent="0.25">
      <c r="A9469" s="174"/>
      <c r="B9469" s="177"/>
      <c r="C9469" s="43" t="s">
        <v>10948</v>
      </c>
      <c r="D9469" s="43" t="s">
        <v>83</v>
      </c>
      <c r="E9469" s="44">
        <v>6</v>
      </c>
      <c r="F9469" s="38">
        <v>0.70299999999999996</v>
      </c>
      <c r="G9469" s="38">
        <f>IF(ISNUMBER(F9469),E9469*F9469,"")</f>
        <v>4.218</v>
      </c>
      <c r="H9469" s="42"/>
      <c r="I9469" s="38"/>
      <c r="J9469" s="37">
        <v>0</v>
      </c>
    </row>
    <row r="9470" spans="1:10" ht="25.5" hidden="1" x14ac:dyDescent="0.25">
      <c r="A9470" s="174"/>
      <c r="B9470" s="177"/>
      <c r="C9470" s="43" t="s">
        <v>10954</v>
      </c>
      <c r="D9470" s="43" t="s">
        <v>83</v>
      </c>
      <c r="E9470" s="44">
        <v>6</v>
      </c>
      <c r="F9470" s="38">
        <v>1.0545</v>
      </c>
      <c r="G9470" s="38">
        <f>IF(ISNUMBER(F9470),E9470*F9470,"")</f>
        <v>6.327</v>
      </c>
      <c r="H9470" s="42"/>
      <c r="I9470" s="38"/>
      <c r="J9470" s="37">
        <v>0</v>
      </c>
    </row>
    <row r="9471" spans="1:10" ht="38.25" hidden="1" x14ac:dyDescent="0.25">
      <c r="A9471" s="174"/>
      <c r="B9471" s="177"/>
      <c r="C9471" s="43" t="s">
        <v>10949</v>
      </c>
      <c r="D9471" s="43" t="s">
        <v>83</v>
      </c>
      <c r="E9471" s="44">
        <v>8</v>
      </c>
      <c r="F9471" s="38">
        <v>0.38949999999999996</v>
      </c>
      <c r="G9471" s="38">
        <f>IF(ISNUMBER(F9471),E9471*F9471,"")</f>
        <v>3.1159999999999997</v>
      </c>
      <c r="H9471" s="42"/>
      <c r="I9471" s="38"/>
      <c r="J9471" s="37">
        <v>0</v>
      </c>
    </row>
    <row r="9472" spans="1:10" ht="25.5" hidden="1" x14ac:dyDescent="0.25">
      <c r="A9472" s="174"/>
      <c r="B9472" s="177"/>
      <c r="C9472" s="43" t="s">
        <v>10950</v>
      </c>
      <c r="D9472" s="43" t="s">
        <v>83</v>
      </c>
      <c r="E9472" s="44">
        <v>6</v>
      </c>
      <c r="F9472" s="38">
        <v>1.3204999999999998</v>
      </c>
      <c r="G9472" s="38">
        <f>IF(ISNUMBER(F9472),E9472*F9472,"")</f>
        <v>7.9229999999999983</v>
      </c>
      <c r="H9472" s="42"/>
      <c r="I9472" s="38"/>
      <c r="J9472" s="37">
        <v>0</v>
      </c>
    </row>
    <row r="9473" spans="1:10" ht="25.5" hidden="1" x14ac:dyDescent="0.25">
      <c r="A9473" s="174"/>
      <c r="B9473" s="177"/>
      <c r="C9473" s="43" t="s">
        <v>10951</v>
      </c>
      <c r="D9473" s="43" t="s">
        <v>83</v>
      </c>
      <c r="E9473" s="44">
        <v>6</v>
      </c>
      <c r="F9473" s="38">
        <v>1.5484999999999998</v>
      </c>
      <c r="G9473" s="38">
        <f>IF(ISNUMBER(F9473),E9473*F9473,"")</f>
        <v>9.2909999999999986</v>
      </c>
      <c r="H9473" s="42"/>
      <c r="I9473" s="38"/>
      <c r="J9473" s="37">
        <v>0</v>
      </c>
    </row>
    <row r="9474" spans="1:10" ht="25.5" hidden="1" x14ac:dyDescent="0.25">
      <c r="A9474" s="174"/>
      <c r="B9474" s="177"/>
      <c r="C9474" s="43" t="s">
        <v>10878</v>
      </c>
      <c r="D9474" s="43" t="s">
        <v>83</v>
      </c>
      <c r="E9474" s="44">
        <v>2</v>
      </c>
      <c r="F9474" s="38">
        <v>19.256499999999999</v>
      </c>
      <c r="G9474" s="38">
        <f>IF(ISNUMBER(F9474),E9474*F9474,"")</f>
        <v>38.512999999999998</v>
      </c>
      <c r="H9474" s="42"/>
      <c r="I9474" s="38"/>
      <c r="J9474" s="37">
        <v>0</v>
      </c>
    </row>
    <row r="9475" spans="1:10" ht="25.5" hidden="1" x14ac:dyDescent="0.25">
      <c r="A9475" s="174"/>
      <c r="B9475" s="177"/>
      <c r="C9475" s="43" t="s">
        <v>2279</v>
      </c>
      <c r="D9475" s="43" t="s">
        <v>83</v>
      </c>
      <c r="E9475" s="44">
        <v>1</v>
      </c>
      <c r="F9475" s="38" t="s">
        <v>13</v>
      </c>
      <c r="G9475" s="38" t="str">
        <f>IF(ISNUMBER(F9475),E9475*F9475,"")</f>
        <v/>
      </c>
      <c r="H9475" s="42"/>
      <c r="I9475" s="38"/>
      <c r="J9475" s="37">
        <v>0</v>
      </c>
    </row>
    <row r="9476" spans="1:10" hidden="1" x14ac:dyDescent="0.25">
      <c r="A9476" s="174"/>
      <c r="B9476" s="177"/>
      <c r="C9476" s="43" t="s">
        <v>10750</v>
      </c>
      <c r="D9476" s="43" t="s">
        <v>2800</v>
      </c>
      <c r="E9476" s="44">
        <v>4.3619000000000003</v>
      </c>
      <c r="F9476" s="38">
        <v>24.358000000000001</v>
      </c>
      <c r="G9476" s="38">
        <f>IF(ISNUMBER(F9476),E9476*F9476,"")</f>
        <v>106.24716020000001</v>
      </c>
      <c r="H9476" s="42"/>
      <c r="I9476" s="38"/>
      <c r="J9476" s="37">
        <v>0</v>
      </c>
    </row>
    <row r="9477" spans="1:10" ht="25.5" hidden="1" x14ac:dyDescent="0.25">
      <c r="A9477" s="174"/>
      <c r="B9477" s="177"/>
      <c r="C9477" s="43" t="s">
        <v>10751</v>
      </c>
      <c r="D9477" s="43" t="s">
        <v>2800</v>
      </c>
      <c r="E9477" s="44">
        <v>4.3619000000000003</v>
      </c>
      <c r="F9477" s="38">
        <v>32.784499999999994</v>
      </c>
      <c r="G9477" s="38">
        <f>IF(ISNUMBER(F9477),E9477*F9477,"")</f>
        <v>143.00271054999999</v>
      </c>
      <c r="H9477" s="42"/>
      <c r="I9477" s="38"/>
      <c r="J9477" s="37">
        <v>0</v>
      </c>
    </row>
    <row r="9478" spans="1:10" ht="15.75" hidden="1" thickBot="1" x14ac:dyDescent="0.3">
      <c r="A9478" s="175"/>
      <c r="B9478" s="178"/>
      <c r="C9478" s="49"/>
      <c r="D9478" s="49"/>
      <c r="E9478" s="50"/>
      <c r="F9478" s="51" t="s">
        <v>13</v>
      </c>
      <c r="G9478" s="51" t="str">
        <f>IF(ISNUMBER(F9478),E9478*F9478,"")</f>
        <v/>
      </c>
      <c r="H9478" s="53"/>
      <c r="I9478" s="38"/>
      <c r="J9478" s="37">
        <v>0</v>
      </c>
    </row>
    <row r="9479" spans="1:10" ht="15.75" hidden="1" thickBot="1" x14ac:dyDescent="0.3">
      <c r="A9479" s="173" t="s">
        <v>2280</v>
      </c>
      <c r="B9479" s="176" t="s">
        <v>9774</v>
      </c>
      <c r="C9479" s="31"/>
      <c r="D9479" s="32" t="s">
        <v>18</v>
      </c>
      <c r="E9479" s="33"/>
      <c r="F9479" s="54" t="s">
        <v>13</v>
      </c>
      <c r="G9479" s="34" t="str">
        <f>IF(ISNUMBER(F9479),E9479*F9479,"")</f>
        <v/>
      </c>
      <c r="H9479" s="35"/>
      <c r="I9479" s="36"/>
      <c r="J9479" s="37">
        <v>0</v>
      </c>
    </row>
    <row r="9480" spans="1:10" hidden="1" x14ac:dyDescent="0.25">
      <c r="A9480" s="179"/>
      <c r="B9480" s="177"/>
      <c r="C9480" s="39"/>
      <c r="D9480" s="39"/>
      <c r="E9480" s="40"/>
      <c r="F9480" s="55" t="s">
        <v>13</v>
      </c>
      <c r="G9480" s="41" t="str">
        <f>IF(ISNUMBER(F9480),E9480*F9480,"")</f>
        <v/>
      </c>
      <c r="H9480" s="42"/>
      <c r="I9480" s="38"/>
      <c r="J9480" s="37">
        <v>0</v>
      </c>
    </row>
    <row r="9481" spans="1:10" ht="25.5" hidden="1" x14ac:dyDescent="0.25">
      <c r="A9481" s="179"/>
      <c r="B9481" s="177"/>
      <c r="C9481" s="43" t="s">
        <v>11713</v>
      </c>
      <c r="D9481" s="43" t="s">
        <v>83</v>
      </c>
      <c r="E9481" s="44">
        <v>1</v>
      </c>
      <c r="F9481" s="38">
        <v>120.55500000000001</v>
      </c>
      <c r="G9481" s="41">
        <f>IF(ISNUMBER(F9481),E9481*F9481,"")</f>
        <v>120.55500000000001</v>
      </c>
      <c r="H9481" s="46">
        <f>SUM(G9481:G9481)</f>
        <v>120.55500000000001</v>
      </c>
      <c r="I9481" s="47"/>
      <c r="J9481" s="37">
        <v>0</v>
      </c>
    </row>
    <row r="9482" spans="1:10" ht="15.75" hidden="1" thickBot="1" x14ac:dyDescent="0.3">
      <c r="A9482" s="180"/>
      <c r="B9482" s="178"/>
      <c r="C9482" s="49"/>
      <c r="D9482" s="49"/>
      <c r="E9482" s="50"/>
      <c r="F9482" s="51"/>
      <c r="G9482" s="52" t="str">
        <f>IF(ISNUMBER(F9482),E9482*F9482,"")</f>
        <v/>
      </c>
      <c r="H9482" s="53"/>
      <c r="I9482" s="47"/>
      <c r="J9482" s="37">
        <v>0</v>
      </c>
    </row>
    <row r="9483" spans="1:10" ht="15.75" hidden="1" thickBot="1" x14ac:dyDescent="0.3">
      <c r="A9483" s="173" t="s">
        <v>2281</v>
      </c>
      <c r="B9483" s="176" t="s">
        <v>9777</v>
      </c>
      <c r="C9483" s="31"/>
      <c r="D9483" s="32" t="s">
        <v>18</v>
      </c>
      <c r="E9483" s="33"/>
      <c r="F9483" s="54" t="s">
        <v>13</v>
      </c>
      <c r="G9483" s="34" t="str">
        <f>IF(ISNUMBER(F9483),E9483*F9483,"")</f>
        <v/>
      </c>
      <c r="H9483" s="35"/>
      <c r="I9483" s="36"/>
      <c r="J9483" s="37">
        <v>0</v>
      </c>
    </row>
    <row r="9484" spans="1:10" hidden="1" x14ac:dyDescent="0.25">
      <c r="A9484" s="174"/>
      <c r="B9484" s="177"/>
      <c r="C9484" s="39"/>
      <c r="D9484" s="39"/>
      <c r="E9484" s="40"/>
      <c r="F9484" s="55" t="s">
        <v>13</v>
      </c>
      <c r="G9484" s="38" t="str">
        <f>IF(ISNUMBER(F9484),E9484*F9484,"")</f>
        <v/>
      </c>
      <c r="H9484" s="42"/>
      <c r="I9484" s="38"/>
      <c r="J9484" s="37">
        <v>0</v>
      </c>
    </row>
    <row r="9485" spans="1:10" ht="25.5" hidden="1" x14ac:dyDescent="0.25">
      <c r="A9485" s="174"/>
      <c r="B9485" s="177"/>
      <c r="C9485" s="43" t="s">
        <v>10829</v>
      </c>
      <c r="D9485" s="43" t="s">
        <v>2800</v>
      </c>
      <c r="E9485" s="44">
        <v>2.5</v>
      </c>
      <c r="F9485" s="38">
        <v>24.4435</v>
      </c>
      <c r="G9485" s="38">
        <f>IF(ISNUMBER(F9485),E9485*F9485,"")</f>
        <v>61.108750000000001</v>
      </c>
      <c r="H9485" s="46">
        <f>SUM(G9485:G9487)</f>
        <v>129.38999999999999</v>
      </c>
      <c r="I9485" s="47"/>
      <c r="J9485" s="37">
        <v>0</v>
      </c>
    </row>
    <row r="9486" spans="1:10" ht="25.5" hidden="1" x14ac:dyDescent="0.25">
      <c r="A9486" s="174"/>
      <c r="B9486" s="177"/>
      <c r="C9486" s="43" t="s">
        <v>10832</v>
      </c>
      <c r="D9486" s="43" t="s">
        <v>2800</v>
      </c>
      <c r="E9486" s="44">
        <v>2.5</v>
      </c>
      <c r="F9486" s="38">
        <v>27.3125</v>
      </c>
      <c r="G9486" s="38">
        <f>IF(ISNUMBER(F9486),E9486*F9486,"")</f>
        <v>68.28125</v>
      </c>
      <c r="H9486" s="42"/>
      <c r="I9486" s="38"/>
      <c r="J9486" s="37">
        <v>0</v>
      </c>
    </row>
    <row r="9487" spans="1:10" ht="38.25" hidden="1" x14ac:dyDescent="0.25">
      <c r="A9487" s="174"/>
      <c r="B9487" s="177"/>
      <c r="C9487" s="43" t="s">
        <v>2282</v>
      </c>
      <c r="D9487" s="43" t="s">
        <v>87</v>
      </c>
      <c r="E9487" s="44">
        <v>1</v>
      </c>
      <c r="F9487" s="41" t="s">
        <v>13</v>
      </c>
      <c r="G9487" s="38" t="str">
        <f>IF(ISNUMBER(F9487),E9487*F9487,"")</f>
        <v/>
      </c>
      <c r="H9487" s="42"/>
      <c r="I9487" s="38"/>
      <c r="J9487" s="37">
        <v>0</v>
      </c>
    </row>
    <row r="9488" spans="1:10" ht="15.75" hidden="1" thickBot="1" x14ac:dyDescent="0.3">
      <c r="A9488" s="175"/>
      <c r="B9488" s="178"/>
      <c r="C9488" s="49"/>
      <c r="D9488" s="49"/>
      <c r="E9488" s="50"/>
      <c r="F9488" s="51" t="s">
        <v>13</v>
      </c>
      <c r="G9488" s="51" t="str">
        <f>IF(ISNUMBER(F9488),E9488*F9488,"")</f>
        <v/>
      </c>
      <c r="H9488" s="53"/>
      <c r="I9488" s="38"/>
      <c r="J9488" s="37">
        <v>0</v>
      </c>
    </row>
    <row r="9489" spans="1:10" ht="15.75" hidden="1" thickBot="1" x14ac:dyDescent="0.3">
      <c r="A9489" s="173" t="s">
        <v>2283</v>
      </c>
      <c r="B9489" s="176" t="s">
        <v>9778</v>
      </c>
      <c r="C9489" s="31"/>
      <c r="D9489" s="32" t="s">
        <v>106</v>
      </c>
      <c r="E9489" s="33"/>
      <c r="F9489" s="54" t="s">
        <v>13</v>
      </c>
      <c r="G9489" s="34" t="str">
        <f>IF(ISNUMBER(F9489),E9489*F9489,"")</f>
        <v/>
      </c>
      <c r="H9489" s="35"/>
      <c r="I9489" s="36"/>
      <c r="J9489" s="37">
        <v>0</v>
      </c>
    </row>
    <row r="9490" spans="1:10" hidden="1" x14ac:dyDescent="0.25">
      <c r="A9490" s="174"/>
      <c r="B9490" s="177"/>
      <c r="C9490" s="39"/>
      <c r="D9490" s="39"/>
      <c r="E9490" s="40"/>
      <c r="F9490" s="55" t="s">
        <v>13</v>
      </c>
      <c r="G9490" s="38" t="str">
        <f>IF(ISNUMBER(F9490),E9490*F9490,"")</f>
        <v/>
      </c>
      <c r="H9490" s="42"/>
      <c r="I9490" s="38"/>
      <c r="J9490" s="37">
        <v>0</v>
      </c>
    </row>
    <row r="9491" spans="1:10" ht="25.5" hidden="1" x14ac:dyDescent="0.25">
      <c r="A9491" s="174"/>
      <c r="B9491" s="177"/>
      <c r="C9491" s="43" t="s">
        <v>2284</v>
      </c>
      <c r="D9491" s="43" t="s">
        <v>1302</v>
      </c>
      <c r="E9491" s="44">
        <v>1.0389999999999999</v>
      </c>
      <c r="F9491" s="38" t="s">
        <v>13</v>
      </c>
      <c r="G9491" s="41" t="str">
        <f>IF(ISNUMBER(F9491),E9491*F9491,"")</f>
        <v/>
      </c>
      <c r="H9491" s="46">
        <f>SUM(G9491:G9494)</f>
        <v>4.3044500000000001</v>
      </c>
      <c r="I9491" s="47"/>
      <c r="J9491" s="37">
        <v>0</v>
      </c>
    </row>
    <row r="9492" spans="1:10" ht="25.5" hidden="1" x14ac:dyDescent="0.25">
      <c r="A9492" s="174"/>
      <c r="B9492" s="177"/>
      <c r="C9492" s="43" t="s">
        <v>10753</v>
      </c>
      <c r="D9492" s="43" t="s">
        <v>2800</v>
      </c>
      <c r="E9492" s="44">
        <v>0.05</v>
      </c>
      <c r="F9492" s="38">
        <v>23.997</v>
      </c>
      <c r="G9492" s="41">
        <f>IF(ISNUMBER(F9492),E9492*F9492,"")</f>
        <v>1.1998500000000001</v>
      </c>
      <c r="H9492" s="42"/>
      <c r="I9492" s="38"/>
      <c r="J9492" s="37">
        <v>0</v>
      </c>
    </row>
    <row r="9493" spans="1:10" ht="25.5" hidden="1" x14ac:dyDescent="0.25">
      <c r="A9493" s="174"/>
      <c r="B9493" s="177"/>
      <c r="C9493" s="43" t="s">
        <v>10754</v>
      </c>
      <c r="D9493" s="43" t="s">
        <v>2800</v>
      </c>
      <c r="E9493" s="44">
        <v>0.05</v>
      </c>
      <c r="F9493" s="41">
        <v>30.361999999999998</v>
      </c>
      <c r="G9493" s="41">
        <f>IF(ISNUMBER(F9493),E9493*F9493,"")</f>
        <v>1.5181</v>
      </c>
      <c r="H9493" s="42"/>
      <c r="I9493" s="38"/>
      <c r="J9493" s="37">
        <v>0</v>
      </c>
    </row>
    <row r="9494" spans="1:10" hidden="1" x14ac:dyDescent="0.25">
      <c r="A9494" s="174"/>
      <c r="B9494" s="177"/>
      <c r="C9494" s="43" t="s">
        <v>10808</v>
      </c>
      <c r="D9494" s="43" t="s">
        <v>2800</v>
      </c>
      <c r="E9494" s="44">
        <v>0.05</v>
      </c>
      <c r="F9494" s="41">
        <v>31.729999999999997</v>
      </c>
      <c r="G9494" s="41">
        <f>IF(ISNUMBER(F9494),E9494*F9494,"")</f>
        <v>1.5865</v>
      </c>
      <c r="H9494" s="42"/>
      <c r="I9494" s="38"/>
      <c r="J9494" s="37">
        <v>0</v>
      </c>
    </row>
    <row r="9495" spans="1:10" ht="15.75" hidden="1" thickBot="1" x14ac:dyDescent="0.3">
      <c r="A9495" s="175"/>
      <c r="B9495" s="178"/>
      <c r="C9495" s="49"/>
      <c r="D9495" s="49"/>
      <c r="E9495" s="50"/>
      <c r="F9495" s="51" t="s">
        <v>13</v>
      </c>
      <c r="G9495" s="51" t="str">
        <f>IF(ISNUMBER(F9495),E9495*F9495,"")</f>
        <v/>
      </c>
      <c r="H9495" s="53"/>
      <c r="I9495" s="38"/>
      <c r="J9495" s="37">
        <v>0</v>
      </c>
    </row>
    <row r="9496" spans="1:10" ht="15.75" hidden="1" thickBot="1" x14ac:dyDescent="0.3">
      <c r="A9496" s="173" t="s">
        <v>2285</v>
      </c>
      <c r="B9496" s="176" t="s">
        <v>9779</v>
      </c>
      <c r="C9496" s="31"/>
      <c r="D9496" s="32" t="s">
        <v>106</v>
      </c>
      <c r="E9496" s="33"/>
      <c r="F9496" s="54" t="s">
        <v>13</v>
      </c>
      <c r="G9496" s="34" t="str">
        <f>IF(ISNUMBER(F9496),E9496*F9496,"")</f>
        <v/>
      </c>
      <c r="H9496" s="35"/>
      <c r="I9496" s="36"/>
      <c r="J9496" s="37">
        <v>0</v>
      </c>
    </row>
    <row r="9497" spans="1:10" hidden="1" x14ac:dyDescent="0.25">
      <c r="A9497" s="174"/>
      <c r="B9497" s="177"/>
      <c r="C9497" s="39"/>
      <c r="D9497" s="39"/>
      <c r="E9497" s="40"/>
      <c r="F9497" s="55" t="s">
        <v>13</v>
      </c>
      <c r="G9497" s="38" t="str">
        <f>IF(ISNUMBER(F9497),E9497*F9497,"")</f>
        <v/>
      </c>
      <c r="H9497" s="42"/>
      <c r="I9497" s="38"/>
      <c r="J9497" s="37">
        <v>0</v>
      </c>
    </row>
    <row r="9498" spans="1:10" ht="25.5" hidden="1" x14ac:dyDescent="0.25">
      <c r="A9498" s="174"/>
      <c r="B9498" s="177"/>
      <c r="C9498" s="43" t="s">
        <v>11647</v>
      </c>
      <c r="D9498" s="43" t="s">
        <v>1302</v>
      </c>
      <c r="E9498" s="44">
        <v>1.0389999999999999</v>
      </c>
      <c r="F9498" s="38">
        <v>39.576999999999998</v>
      </c>
      <c r="G9498" s="41">
        <f>IF(ISNUMBER(F9498),E9498*F9498,"")</f>
        <v>41.120502999999992</v>
      </c>
      <c r="H9498" s="46">
        <f>SUM(G9498:G9501)</f>
        <v>50.934648999999993</v>
      </c>
      <c r="I9498" s="47"/>
      <c r="J9498" s="37">
        <v>0</v>
      </c>
    </row>
    <row r="9499" spans="1:10" ht="25.5" hidden="1" x14ac:dyDescent="0.25">
      <c r="A9499" s="174"/>
      <c r="B9499" s="177"/>
      <c r="C9499" s="43" t="s">
        <v>10753</v>
      </c>
      <c r="D9499" s="43" t="s">
        <v>2800</v>
      </c>
      <c r="E9499" s="44">
        <v>0.114</v>
      </c>
      <c r="F9499" s="38">
        <v>23.997</v>
      </c>
      <c r="G9499" s="41">
        <f>IF(ISNUMBER(F9499),E9499*F9499,"")</f>
        <v>2.7356579999999999</v>
      </c>
      <c r="H9499" s="42"/>
      <c r="I9499" s="38"/>
      <c r="J9499" s="37">
        <v>0</v>
      </c>
    </row>
    <row r="9500" spans="1:10" ht="25.5" hidden="1" x14ac:dyDescent="0.25">
      <c r="A9500" s="174"/>
      <c r="B9500" s="177"/>
      <c r="C9500" s="43" t="s">
        <v>10754</v>
      </c>
      <c r="D9500" s="43" t="s">
        <v>2800</v>
      </c>
      <c r="E9500" s="44">
        <v>0.114</v>
      </c>
      <c r="F9500" s="41">
        <v>30.361999999999998</v>
      </c>
      <c r="G9500" s="41">
        <f>IF(ISNUMBER(F9500),E9500*F9500,"")</f>
        <v>3.461268</v>
      </c>
      <c r="H9500" s="42"/>
      <c r="I9500" s="38"/>
      <c r="J9500" s="37">
        <v>0</v>
      </c>
    </row>
    <row r="9501" spans="1:10" hidden="1" x14ac:dyDescent="0.25">
      <c r="A9501" s="174"/>
      <c r="B9501" s="177"/>
      <c r="C9501" s="43" t="s">
        <v>10808</v>
      </c>
      <c r="D9501" s="43" t="s">
        <v>2800</v>
      </c>
      <c r="E9501" s="44">
        <v>0.114</v>
      </c>
      <c r="F9501" s="41">
        <v>31.729999999999997</v>
      </c>
      <c r="G9501" s="41">
        <f>IF(ISNUMBER(F9501),E9501*F9501,"")</f>
        <v>3.6172199999999997</v>
      </c>
      <c r="H9501" s="42"/>
      <c r="I9501" s="38"/>
      <c r="J9501" s="37">
        <v>0</v>
      </c>
    </row>
    <row r="9502" spans="1:10" ht="15.75" hidden="1" thickBot="1" x14ac:dyDescent="0.3">
      <c r="A9502" s="175"/>
      <c r="B9502" s="178"/>
      <c r="C9502" s="49"/>
      <c r="D9502" s="49"/>
      <c r="E9502" s="50"/>
      <c r="F9502" s="51" t="s">
        <v>13</v>
      </c>
      <c r="G9502" s="51" t="str">
        <f>IF(ISNUMBER(F9502),E9502*F9502,"")</f>
        <v/>
      </c>
      <c r="H9502" s="53"/>
      <c r="I9502" s="38"/>
      <c r="J9502" s="37">
        <v>0</v>
      </c>
    </row>
    <row r="9503" spans="1:10" ht="15.75" hidden="1" thickBot="1" x14ac:dyDescent="0.3">
      <c r="A9503" s="173" t="s">
        <v>2286</v>
      </c>
      <c r="B9503" s="176" t="s">
        <v>9780</v>
      </c>
      <c r="C9503" s="31"/>
      <c r="D9503" s="32" t="s">
        <v>106</v>
      </c>
      <c r="E9503" s="33"/>
      <c r="F9503" s="54" t="s">
        <v>13</v>
      </c>
      <c r="G9503" s="34" t="str">
        <f>IF(ISNUMBER(F9503),E9503*F9503,"")</f>
        <v/>
      </c>
      <c r="H9503" s="35"/>
      <c r="I9503" s="36"/>
      <c r="J9503" s="37">
        <v>0</v>
      </c>
    </row>
    <row r="9504" spans="1:10" hidden="1" x14ac:dyDescent="0.25">
      <c r="A9504" s="174"/>
      <c r="B9504" s="177"/>
      <c r="C9504" s="39"/>
      <c r="D9504" s="39"/>
      <c r="E9504" s="40"/>
      <c r="F9504" s="55" t="s">
        <v>13</v>
      </c>
      <c r="G9504" s="38" t="str">
        <f>IF(ISNUMBER(F9504),E9504*F9504,"")</f>
        <v/>
      </c>
      <c r="H9504" s="42"/>
      <c r="I9504" s="38"/>
      <c r="J9504" s="37">
        <v>0</v>
      </c>
    </row>
    <row r="9505" spans="1:10" ht="25.5" hidden="1" x14ac:dyDescent="0.25">
      <c r="A9505" s="174"/>
      <c r="B9505" s="177"/>
      <c r="C9505" s="43" t="s">
        <v>11330</v>
      </c>
      <c r="D9505" s="43" t="s">
        <v>1302</v>
      </c>
      <c r="E9505" s="44">
        <v>1.0389999999999999</v>
      </c>
      <c r="F9505" s="38">
        <v>108.89849999999998</v>
      </c>
      <c r="G9505" s="41">
        <f>IF(ISNUMBER(F9505),E9505*F9505,"")</f>
        <v>113.14554149999998</v>
      </c>
      <c r="H9505" s="46">
        <f>SUM(G9505:G9508)</f>
        <v>121.75444149999997</v>
      </c>
      <c r="I9505" s="47"/>
      <c r="J9505" s="37">
        <v>0</v>
      </c>
    </row>
    <row r="9506" spans="1:10" ht="25.5" hidden="1" x14ac:dyDescent="0.25">
      <c r="A9506" s="174"/>
      <c r="B9506" s="177"/>
      <c r="C9506" s="43" t="s">
        <v>10753</v>
      </c>
      <c r="D9506" s="43" t="s">
        <v>2800</v>
      </c>
      <c r="E9506" s="44">
        <v>0.1</v>
      </c>
      <c r="F9506" s="38">
        <v>23.997</v>
      </c>
      <c r="G9506" s="41">
        <f>IF(ISNUMBER(F9506),E9506*F9506,"")</f>
        <v>2.3997000000000002</v>
      </c>
      <c r="H9506" s="42"/>
      <c r="I9506" s="38"/>
      <c r="J9506" s="37">
        <v>0</v>
      </c>
    </row>
    <row r="9507" spans="1:10" ht="25.5" hidden="1" x14ac:dyDescent="0.25">
      <c r="A9507" s="174"/>
      <c r="B9507" s="177"/>
      <c r="C9507" s="43" t="s">
        <v>10754</v>
      </c>
      <c r="D9507" s="43" t="s">
        <v>2800</v>
      </c>
      <c r="E9507" s="44">
        <v>0.1</v>
      </c>
      <c r="F9507" s="41">
        <v>30.361999999999998</v>
      </c>
      <c r="G9507" s="41">
        <f>IF(ISNUMBER(F9507),E9507*F9507,"")</f>
        <v>3.0362</v>
      </c>
      <c r="H9507" s="42"/>
      <c r="I9507" s="38"/>
      <c r="J9507" s="37">
        <v>0</v>
      </c>
    </row>
    <row r="9508" spans="1:10" hidden="1" x14ac:dyDescent="0.25">
      <c r="A9508" s="174"/>
      <c r="B9508" s="177"/>
      <c r="C9508" s="43" t="s">
        <v>10808</v>
      </c>
      <c r="D9508" s="43" t="s">
        <v>2800</v>
      </c>
      <c r="E9508" s="44">
        <v>0.1</v>
      </c>
      <c r="F9508" s="41">
        <v>31.729999999999997</v>
      </c>
      <c r="G9508" s="41">
        <f>IF(ISNUMBER(F9508),E9508*F9508,"")</f>
        <v>3.173</v>
      </c>
      <c r="H9508" s="42"/>
      <c r="I9508" s="38"/>
      <c r="J9508" s="37">
        <v>0</v>
      </c>
    </row>
    <row r="9509" spans="1:10" ht="15.75" hidden="1" thickBot="1" x14ac:dyDescent="0.3">
      <c r="A9509" s="175"/>
      <c r="B9509" s="178"/>
      <c r="C9509" s="49"/>
      <c r="D9509" s="49"/>
      <c r="E9509" s="50"/>
      <c r="F9509" s="51" t="s">
        <v>13</v>
      </c>
      <c r="G9509" s="51" t="str">
        <f>IF(ISNUMBER(F9509),E9509*F9509,"")</f>
        <v/>
      </c>
      <c r="H9509" s="53"/>
      <c r="I9509" s="38"/>
      <c r="J9509" s="37">
        <v>0</v>
      </c>
    </row>
    <row r="9510" spans="1:10" ht="15.75" hidden="1" thickBot="1" x14ac:dyDescent="0.3">
      <c r="A9510" s="173" t="s">
        <v>2287</v>
      </c>
      <c r="B9510" s="176" t="s">
        <v>9781</v>
      </c>
      <c r="C9510" s="31"/>
      <c r="D9510" s="32" t="s">
        <v>106</v>
      </c>
      <c r="E9510" s="33"/>
      <c r="F9510" s="54" t="s">
        <v>13</v>
      </c>
      <c r="G9510" s="34" t="str">
        <f>IF(ISNUMBER(F9510),E9510*F9510,"")</f>
        <v/>
      </c>
      <c r="H9510" s="35"/>
      <c r="I9510" s="36"/>
      <c r="J9510" s="37">
        <v>0</v>
      </c>
    </row>
    <row r="9511" spans="1:10" hidden="1" x14ac:dyDescent="0.25">
      <c r="A9511" s="174"/>
      <c r="B9511" s="177"/>
      <c r="C9511" s="39"/>
      <c r="D9511" s="39"/>
      <c r="E9511" s="40"/>
      <c r="F9511" s="55" t="s">
        <v>13</v>
      </c>
      <c r="G9511" s="38" t="str">
        <f>IF(ISNUMBER(F9511),E9511*F9511,"")</f>
        <v/>
      </c>
      <c r="H9511" s="42"/>
      <c r="I9511" s="38"/>
      <c r="J9511" s="37">
        <v>0</v>
      </c>
    </row>
    <row r="9512" spans="1:10" ht="25.5" hidden="1" x14ac:dyDescent="0.25">
      <c r="A9512" s="174"/>
      <c r="B9512" s="177"/>
      <c r="C9512" s="43" t="s">
        <v>11698</v>
      </c>
      <c r="D9512" s="43" t="s">
        <v>1302</v>
      </c>
      <c r="E9512" s="44">
        <v>1.0389999999999999</v>
      </c>
      <c r="F9512" s="38">
        <v>222.13849999999999</v>
      </c>
      <c r="G9512" s="41">
        <f>IF(ISNUMBER(F9512),E9512*F9512,"")</f>
        <v>230.80190149999999</v>
      </c>
      <c r="H9512" s="46">
        <f>SUM(G9512:G9515)</f>
        <v>241.99347149999997</v>
      </c>
      <c r="I9512" s="47"/>
      <c r="J9512" s="37">
        <v>0</v>
      </c>
    </row>
    <row r="9513" spans="1:10" ht="25.5" hidden="1" x14ac:dyDescent="0.25">
      <c r="A9513" s="174"/>
      <c r="B9513" s="177"/>
      <c r="C9513" s="43" t="s">
        <v>10753</v>
      </c>
      <c r="D9513" s="43" t="s">
        <v>2800</v>
      </c>
      <c r="E9513" s="44">
        <v>0.13</v>
      </c>
      <c r="F9513" s="38">
        <v>23.997</v>
      </c>
      <c r="G9513" s="41">
        <f>IF(ISNUMBER(F9513),E9513*F9513,"")</f>
        <v>3.1196100000000002</v>
      </c>
      <c r="H9513" s="42"/>
      <c r="I9513" s="38"/>
      <c r="J9513" s="37">
        <v>0</v>
      </c>
    </row>
    <row r="9514" spans="1:10" ht="25.5" hidden="1" x14ac:dyDescent="0.25">
      <c r="A9514" s="174"/>
      <c r="B9514" s="177"/>
      <c r="C9514" s="43" t="s">
        <v>10754</v>
      </c>
      <c r="D9514" s="43" t="s">
        <v>2800</v>
      </c>
      <c r="E9514" s="44">
        <v>0.13</v>
      </c>
      <c r="F9514" s="41">
        <v>30.361999999999998</v>
      </c>
      <c r="G9514" s="41">
        <f>IF(ISNUMBER(F9514),E9514*F9514,"")</f>
        <v>3.94706</v>
      </c>
      <c r="H9514" s="42"/>
      <c r="I9514" s="38"/>
      <c r="J9514" s="37">
        <v>0</v>
      </c>
    </row>
    <row r="9515" spans="1:10" hidden="1" x14ac:dyDescent="0.25">
      <c r="A9515" s="174"/>
      <c r="B9515" s="177"/>
      <c r="C9515" s="43" t="s">
        <v>10808</v>
      </c>
      <c r="D9515" s="43" t="s">
        <v>2800</v>
      </c>
      <c r="E9515" s="44">
        <v>0.13</v>
      </c>
      <c r="F9515" s="41">
        <v>31.729999999999997</v>
      </c>
      <c r="G9515" s="41">
        <f>IF(ISNUMBER(F9515),E9515*F9515,"")</f>
        <v>4.1248999999999993</v>
      </c>
      <c r="H9515" s="42"/>
      <c r="I9515" s="38"/>
      <c r="J9515" s="37">
        <v>0</v>
      </c>
    </row>
    <row r="9516" spans="1:10" ht="15.75" hidden="1" thickBot="1" x14ac:dyDescent="0.3">
      <c r="A9516" s="175"/>
      <c r="B9516" s="178"/>
      <c r="C9516" s="49"/>
      <c r="D9516" s="49"/>
      <c r="E9516" s="50"/>
      <c r="F9516" s="51" t="s">
        <v>13</v>
      </c>
      <c r="G9516" s="51" t="str">
        <f>IF(ISNUMBER(F9516),E9516*F9516,"")</f>
        <v/>
      </c>
      <c r="H9516" s="53"/>
      <c r="I9516" s="38"/>
      <c r="J9516" s="37">
        <v>0</v>
      </c>
    </row>
    <row r="9517" spans="1:10" ht="15.75" hidden="1" thickBot="1" x14ac:dyDescent="0.3">
      <c r="A9517" s="173" t="s">
        <v>2288</v>
      </c>
      <c r="B9517" s="176" t="s">
        <v>9782</v>
      </c>
      <c r="C9517" s="31"/>
      <c r="D9517" s="32" t="s">
        <v>18</v>
      </c>
      <c r="E9517" s="33"/>
      <c r="F9517" s="54" t="s">
        <v>13</v>
      </c>
      <c r="G9517" s="34" t="str">
        <f>IF(ISNUMBER(F9517),E9517*F9517,"")</f>
        <v/>
      </c>
      <c r="H9517" s="35"/>
      <c r="I9517" s="36"/>
      <c r="J9517" s="37">
        <v>0</v>
      </c>
    </row>
    <row r="9518" spans="1:10" hidden="1" x14ac:dyDescent="0.25">
      <c r="A9518" s="174"/>
      <c r="B9518" s="177"/>
      <c r="C9518" s="39"/>
      <c r="D9518" s="39"/>
      <c r="E9518" s="40"/>
      <c r="F9518" s="55" t="s">
        <v>13</v>
      </c>
      <c r="G9518" s="38" t="str">
        <f>IF(ISNUMBER(F9518),E9518*F9518,"")</f>
        <v/>
      </c>
      <c r="H9518" s="42"/>
      <c r="I9518" s="38"/>
      <c r="J9518" s="37">
        <v>0</v>
      </c>
    </row>
    <row r="9519" spans="1:10" hidden="1" x14ac:dyDescent="0.25">
      <c r="A9519" s="174"/>
      <c r="B9519" s="177"/>
      <c r="C9519" s="43" t="s">
        <v>2289</v>
      </c>
      <c r="D9519" s="43" t="s">
        <v>2290</v>
      </c>
      <c r="E9519" s="44">
        <v>1</v>
      </c>
      <c r="F9519" s="38" t="s">
        <v>13</v>
      </c>
      <c r="G9519" s="41" t="str">
        <f>IF(ISNUMBER(F9519),E9519*F9519,"")</f>
        <v/>
      </c>
      <c r="H9519" s="46">
        <f>SUM(G9519:G9521)</f>
        <v>10.581574999999999</v>
      </c>
      <c r="I9519" s="47"/>
      <c r="J9519" s="37">
        <v>0</v>
      </c>
    </row>
    <row r="9520" spans="1:10" hidden="1" x14ac:dyDescent="0.25">
      <c r="A9520" s="174"/>
      <c r="B9520" s="177"/>
      <c r="C9520" s="43" t="s">
        <v>10757</v>
      </c>
      <c r="D9520" s="43" t="s">
        <v>2800</v>
      </c>
      <c r="E9520" s="44">
        <v>0.15</v>
      </c>
      <c r="F9520" s="38">
        <v>31.055499999999995</v>
      </c>
      <c r="G9520" s="41">
        <f>IF(ISNUMBER(F9520),E9520*F9520,"")</f>
        <v>4.6583249999999987</v>
      </c>
      <c r="H9520" s="42"/>
      <c r="I9520" s="38"/>
      <c r="J9520" s="37">
        <v>0</v>
      </c>
    </row>
    <row r="9521" spans="1:10" hidden="1" x14ac:dyDescent="0.25">
      <c r="A9521" s="174"/>
      <c r="B9521" s="177"/>
      <c r="C9521" s="43" t="s">
        <v>10614</v>
      </c>
      <c r="D9521" s="43" t="s">
        <v>2800</v>
      </c>
      <c r="E9521" s="44">
        <v>0.25</v>
      </c>
      <c r="F9521" s="41">
        <v>23.693000000000001</v>
      </c>
      <c r="G9521" s="41">
        <f>IF(ISNUMBER(F9521),E9521*F9521,"")</f>
        <v>5.9232500000000003</v>
      </c>
      <c r="H9521" s="42"/>
      <c r="I9521" s="38"/>
      <c r="J9521" s="37">
        <v>0</v>
      </c>
    </row>
    <row r="9522" spans="1:10" ht="15.75" hidden="1" thickBot="1" x14ac:dyDescent="0.3">
      <c r="A9522" s="175"/>
      <c r="B9522" s="178"/>
      <c r="C9522" s="49"/>
      <c r="D9522" s="49"/>
      <c r="E9522" s="50"/>
      <c r="F9522" s="51" t="s">
        <v>13</v>
      </c>
      <c r="G9522" s="51" t="str">
        <f>IF(ISNUMBER(F9522),E9522*F9522,"")</f>
        <v/>
      </c>
      <c r="H9522" s="53"/>
      <c r="I9522" s="38"/>
      <c r="J9522" s="37">
        <v>0</v>
      </c>
    </row>
    <row r="9523" spans="1:10" ht="15.75" hidden="1" thickBot="1" x14ac:dyDescent="0.3">
      <c r="A9523" s="173" t="s">
        <v>2291</v>
      </c>
      <c r="B9523" s="176" t="s">
        <v>9783</v>
      </c>
      <c r="C9523" s="31"/>
      <c r="D9523" s="32" t="s">
        <v>106</v>
      </c>
      <c r="E9523" s="33"/>
      <c r="F9523" s="54" t="s">
        <v>13</v>
      </c>
      <c r="G9523" s="34" t="str">
        <f>IF(ISNUMBER(F9523),E9523*F9523,"")</f>
        <v/>
      </c>
      <c r="H9523" s="35"/>
      <c r="I9523" s="36"/>
      <c r="J9523" s="37">
        <v>0</v>
      </c>
    </row>
    <row r="9524" spans="1:10" hidden="1" x14ac:dyDescent="0.25">
      <c r="A9524" s="174"/>
      <c r="B9524" s="177"/>
      <c r="C9524" s="39"/>
      <c r="D9524" s="39"/>
      <c r="E9524" s="40"/>
      <c r="F9524" s="55" t="s">
        <v>13</v>
      </c>
      <c r="G9524" s="38" t="str">
        <f>IF(ISNUMBER(F9524),E9524*F9524,"")</f>
        <v/>
      </c>
      <c r="H9524" s="42"/>
      <c r="I9524" s="38"/>
      <c r="J9524" s="37">
        <v>0</v>
      </c>
    </row>
    <row r="9525" spans="1:10" ht="38.25" hidden="1" x14ac:dyDescent="0.25">
      <c r="A9525" s="174"/>
      <c r="B9525" s="177"/>
      <c r="C9525" s="43" t="s">
        <v>2292</v>
      </c>
      <c r="D9525" s="62" t="s">
        <v>106</v>
      </c>
      <c r="E9525" s="44">
        <v>1.0225</v>
      </c>
      <c r="F9525" s="41" t="s">
        <v>13</v>
      </c>
      <c r="G9525" s="41" t="str">
        <f>IF(ISNUMBER(F9525),E9525*F9525,"")</f>
        <v/>
      </c>
      <c r="H9525" s="46">
        <f>SUM(G9525:G9527)</f>
        <v>2.5766165999999999</v>
      </c>
      <c r="I9525" s="47"/>
      <c r="J9525" s="37">
        <v>0</v>
      </c>
    </row>
    <row r="9526" spans="1:10" ht="25.5" hidden="1" x14ac:dyDescent="0.25">
      <c r="A9526" s="174"/>
      <c r="B9526" s="177"/>
      <c r="C9526" s="43" t="s">
        <v>10753</v>
      </c>
      <c r="D9526" s="43" t="s">
        <v>2800</v>
      </c>
      <c r="E9526" s="44">
        <f>0.158*0.3</f>
        <v>4.7399999999999998E-2</v>
      </c>
      <c r="F9526" s="38">
        <v>23.997</v>
      </c>
      <c r="G9526" s="41">
        <f>IF(ISNUMBER(F9526),E9526*F9526,"")</f>
        <v>1.1374578</v>
      </c>
      <c r="H9526" s="42"/>
      <c r="I9526" s="38"/>
      <c r="J9526" s="37">
        <v>0</v>
      </c>
    </row>
    <row r="9527" spans="1:10" ht="25.5" hidden="1" x14ac:dyDescent="0.25">
      <c r="A9527" s="174"/>
      <c r="B9527" s="177"/>
      <c r="C9527" s="43" t="s">
        <v>10754</v>
      </c>
      <c r="D9527" s="43" t="s">
        <v>2800</v>
      </c>
      <c r="E9527" s="44">
        <f>0.158*0.3</f>
        <v>4.7399999999999998E-2</v>
      </c>
      <c r="F9527" s="38">
        <v>30.361999999999998</v>
      </c>
      <c r="G9527" s="41">
        <f>IF(ISNUMBER(F9527),E9527*F9527,"")</f>
        <v>1.4391588</v>
      </c>
      <c r="H9527" s="42"/>
      <c r="I9527" s="38"/>
      <c r="J9527" s="37">
        <v>0</v>
      </c>
    </row>
    <row r="9528" spans="1:10" hidden="1" x14ac:dyDescent="0.25">
      <c r="A9528" s="174"/>
      <c r="B9528" s="177"/>
      <c r="C9528" s="43"/>
      <c r="D9528" s="62"/>
      <c r="E9528" s="44"/>
      <c r="F9528" s="41" t="s">
        <v>13</v>
      </c>
      <c r="G9528" s="41" t="str">
        <f>IF(ISNUMBER(F9528),E9528*F9528,"")</f>
        <v/>
      </c>
      <c r="H9528" s="42"/>
      <c r="I9528" s="38"/>
      <c r="J9528" s="37">
        <v>0</v>
      </c>
    </row>
    <row r="9529" spans="1:10" ht="38.25" hidden="1" x14ac:dyDescent="0.25">
      <c r="A9529" s="174"/>
      <c r="B9529" s="177"/>
      <c r="C9529" s="65" t="s">
        <v>520</v>
      </c>
      <c r="D9529" s="62"/>
      <c r="E9529" s="44"/>
      <c r="F9529" s="41" t="s">
        <v>13</v>
      </c>
      <c r="G9529" s="41" t="str">
        <f>IF(ISNUMBER(F9529),E9529*F9529,"")</f>
        <v/>
      </c>
      <c r="H9529" s="42"/>
      <c r="I9529" s="38"/>
      <c r="J9529" s="37">
        <v>0</v>
      </c>
    </row>
    <row r="9530" spans="1:10" ht="15.75" hidden="1" thickBot="1" x14ac:dyDescent="0.3">
      <c r="A9530" s="175"/>
      <c r="B9530" s="178"/>
      <c r="C9530" s="49"/>
      <c r="D9530" s="49"/>
      <c r="E9530" s="50"/>
      <c r="F9530" s="51" t="s">
        <v>13</v>
      </c>
      <c r="G9530" s="51" t="str">
        <f>IF(ISNUMBER(F9530),E9530*F9530,"")</f>
        <v/>
      </c>
      <c r="H9530" s="53"/>
      <c r="I9530" s="38"/>
      <c r="J9530" s="37">
        <v>0</v>
      </c>
    </row>
    <row r="9531" spans="1:10" ht="15.75" hidden="1" thickBot="1" x14ac:dyDescent="0.3">
      <c r="A9531" s="173" t="s">
        <v>2293</v>
      </c>
      <c r="B9531" s="176" t="s">
        <v>9784</v>
      </c>
      <c r="C9531" s="31"/>
      <c r="D9531" s="32" t="s">
        <v>106</v>
      </c>
      <c r="E9531" s="33"/>
      <c r="F9531" s="54" t="s">
        <v>13</v>
      </c>
      <c r="G9531" s="34" t="str">
        <f>IF(ISNUMBER(F9531),E9531*F9531,"")</f>
        <v/>
      </c>
      <c r="H9531" s="35"/>
      <c r="I9531" s="36"/>
      <c r="J9531" s="37">
        <v>0</v>
      </c>
    </row>
    <row r="9532" spans="1:10" hidden="1" x14ac:dyDescent="0.25">
      <c r="A9532" s="174"/>
      <c r="B9532" s="177"/>
      <c r="C9532" s="39"/>
      <c r="D9532" s="39"/>
      <c r="E9532" s="40"/>
      <c r="F9532" s="55" t="s">
        <v>13</v>
      </c>
      <c r="G9532" s="38" t="str">
        <f>IF(ISNUMBER(F9532),E9532*F9532,"")</f>
        <v/>
      </c>
      <c r="H9532" s="42"/>
      <c r="I9532" s="38"/>
      <c r="J9532" s="37">
        <v>0</v>
      </c>
    </row>
    <row r="9533" spans="1:10" ht="38.25" hidden="1" x14ac:dyDescent="0.25">
      <c r="A9533" s="174"/>
      <c r="B9533" s="177"/>
      <c r="C9533" s="43" t="s">
        <v>2294</v>
      </c>
      <c r="D9533" s="62" t="s">
        <v>106</v>
      </c>
      <c r="E9533" s="44">
        <v>1.0225</v>
      </c>
      <c r="F9533" s="41" t="s">
        <v>13</v>
      </c>
      <c r="G9533" s="41" t="str">
        <f>IF(ISNUMBER(F9533),E9533*F9533,"")</f>
        <v/>
      </c>
      <c r="H9533" s="46">
        <f>SUM(G9533:G9535)</f>
        <v>2.5766165999999999</v>
      </c>
      <c r="I9533" s="47"/>
      <c r="J9533" s="37">
        <v>0</v>
      </c>
    </row>
    <row r="9534" spans="1:10" ht="25.5" hidden="1" x14ac:dyDescent="0.25">
      <c r="A9534" s="174"/>
      <c r="B9534" s="177"/>
      <c r="C9534" s="43" t="s">
        <v>10753</v>
      </c>
      <c r="D9534" s="43" t="s">
        <v>2800</v>
      </c>
      <c r="E9534" s="44">
        <f>0.158*0.3</f>
        <v>4.7399999999999998E-2</v>
      </c>
      <c r="F9534" s="38">
        <v>23.997</v>
      </c>
      <c r="G9534" s="41">
        <f>IF(ISNUMBER(F9534),E9534*F9534,"")</f>
        <v>1.1374578</v>
      </c>
      <c r="H9534" s="42"/>
      <c r="I9534" s="38"/>
      <c r="J9534" s="37">
        <v>0</v>
      </c>
    </row>
    <row r="9535" spans="1:10" ht="25.5" hidden="1" x14ac:dyDescent="0.25">
      <c r="A9535" s="174"/>
      <c r="B9535" s="177"/>
      <c r="C9535" s="43" t="s">
        <v>10754</v>
      </c>
      <c r="D9535" s="43" t="s">
        <v>2800</v>
      </c>
      <c r="E9535" s="44">
        <f>0.158*0.3</f>
        <v>4.7399999999999998E-2</v>
      </c>
      <c r="F9535" s="38">
        <v>30.361999999999998</v>
      </c>
      <c r="G9535" s="41">
        <f>IF(ISNUMBER(F9535),E9535*F9535,"")</f>
        <v>1.4391588</v>
      </c>
      <c r="H9535" s="42"/>
      <c r="I9535" s="38"/>
      <c r="J9535" s="37">
        <v>0</v>
      </c>
    </row>
    <row r="9536" spans="1:10" hidden="1" x14ac:dyDescent="0.25">
      <c r="A9536" s="174"/>
      <c r="B9536" s="177"/>
      <c r="C9536" s="43"/>
      <c r="D9536" s="62"/>
      <c r="E9536" s="44"/>
      <c r="F9536" s="41" t="s">
        <v>13</v>
      </c>
      <c r="G9536" s="41" t="str">
        <f>IF(ISNUMBER(F9536),E9536*F9536,"")</f>
        <v/>
      </c>
      <c r="H9536" s="42"/>
      <c r="I9536" s="38"/>
      <c r="J9536" s="37">
        <v>0</v>
      </c>
    </row>
    <row r="9537" spans="1:10" ht="38.25" hidden="1" x14ac:dyDescent="0.25">
      <c r="A9537" s="174"/>
      <c r="B9537" s="177"/>
      <c r="C9537" s="65" t="s">
        <v>520</v>
      </c>
      <c r="D9537" s="62"/>
      <c r="E9537" s="44"/>
      <c r="F9537" s="41" t="s">
        <v>13</v>
      </c>
      <c r="G9537" s="41" t="str">
        <f>IF(ISNUMBER(F9537),E9537*F9537,"")</f>
        <v/>
      </c>
      <c r="H9537" s="42"/>
      <c r="I9537" s="38"/>
      <c r="J9537" s="37">
        <v>0</v>
      </c>
    </row>
    <row r="9538" spans="1:10" ht="15.75" hidden="1" thickBot="1" x14ac:dyDescent="0.3">
      <c r="A9538" s="175"/>
      <c r="B9538" s="178"/>
      <c r="C9538" s="49"/>
      <c r="D9538" s="49"/>
      <c r="E9538" s="50"/>
      <c r="F9538" s="51" t="s">
        <v>13</v>
      </c>
      <c r="G9538" s="51" t="str">
        <f>IF(ISNUMBER(F9538),E9538*F9538,"")</f>
        <v/>
      </c>
      <c r="H9538" s="53"/>
      <c r="I9538" s="38"/>
      <c r="J9538" s="37">
        <v>0</v>
      </c>
    </row>
    <row r="9539" spans="1:10" ht="15.75" hidden="1" thickBot="1" x14ac:dyDescent="0.3">
      <c r="A9539" s="173" t="s">
        <v>2295</v>
      </c>
      <c r="B9539" s="176" t="s">
        <v>9785</v>
      </c>
      <c r="C9539" s="31"/>
      <c r="D9539" s="32" t="s">
        <v>18</v>
      </c>
      <c r="E9539" s="33"/>
      <c r="F9539" s="54" t="s">
        <v>13</v>
      </c>
      <c r="G9539" s="34" t="str">
        <f>IF(ISNUMBER(F9539),E9539*F9539,"")</f>
        <v/>
      </c>
      <c r="H9539" s="35"/>
      <c r="I9539" s="36"/>
      <c r="J9539" s="37">
        <v>0</v>
      </c>
    </row>
    <row r="9540" spans="1:10" hidden="1" x14ac:dyDescent="0.25">
      <c r="A9540" s="174"/>
      <c r="B9540" s="177"/>
      <c r="C9540" s="39"/>
      <c r="D9540" s="39"/>
      <c r="E9540" s="40"/>
      <c r="F9540" s="55" t="s">
        <v>13</v>
      </c>
      <c r="G9540" s="38" t="str">
        <f>IF(ISNUMBER(F9540),E9540*F9540,"")</f>
        <v/>
      </c>
      <c r="H9540" s="42"/>
      <c r="I9540" s="38"/>
      <c r="J9540" s="37">
        <v>0</v>
      </c>
    </row>
    <row r="9541" spans="1:10" ht="25.5" hidden="1" x14ac:dyDescent="0.25">
      <c r="A9541" s="174"/>
      <c r="B9541" s="177"/>
      <c r="C9541" s="43" t="s">
        <v>10753</v>
      </c>
      <c r="D9541" s="43" t="s">
        <v>2800</v>
      </c>
      <c r="E9541" s="44">
        <v>7.1900000000000006E-2</v>
      </c>
      <c r="F9541" s="38">
        <v>23.997</v>
      </c>
      <c r="G9541" s="38">
        <f>IF(ISNUMBER(F9541),E9541*F9541,"")</f>
        <v>1.7253843000000002</v>
      </c>
      <c r="H9541" s="46">
        <f>SUM(G9541:G9545)</f>
        <v>4.0320223000000004</v>
      </c>
      <c r="I9541" s="47"/>
      <c r="J9541" s="37">
        <v>0</v>
      </c>
    </row>
    <row r="9542" spans="1:10" ht="25.5" hidden="1" x14ac:dyDescent="0.25">
      <c r="A9542" s="174"/>
      <c r="B9542" s="177"/>
      <c r="C9542" s="43" t="s">
        <v>10754</v>
      </c>
      <c r="D9542" s="43" t="s">
        <v>2800</v>
      </c>
      <c r="E9542" s="44">
        <v>7.1900000000000006E-2</v>
      </c>
      <c r="F9542" s="38">
        <v>30.361999999999998</v>
      </c>
      <c r="G9542" s="38">
        <f>IF(ISNUMBER(F9542),E9542*F9542,"")</f>
        <v>2.1830278000000001</v>
      </c>
      <c r="H9542" s="42"/>
      <c r="I9542" s="38"/>
      <c r="J9542" s="37">
        <v>0</v>
      </c>
    </row>
    <row r="9543" spans="1:10" hidden="1" x14ac:dyDescent="0.25">
      <c r="A9543" s="174"/>
      <c r="B9543" s="177"/>
      <c r="C9543" s="43" t="s">
        <v>10907</v>
      </c>
      <c r="D9543" s="43" t="s">
        <v>83</v>
      </c>
      <c r="E9543" s="44">
        <v>8.3999999999999995E-3</v>
      </c>
      <c r="F9543" s="41">
        <v>14.715499999999999</v>
      </c>
      <c r="G9543" s="38">
        <f>IF(ISNUMBER(F9543),E9543*F9543,"")</f>
        <v>0.12361019999999998</v>
      </c>
      <c r="H9543" s="42"/>
      <c r="I9543" s="38"/>
      <c r="J9543" s="37">
        <v>0</v>
      </c>
    </row>
    <row r="9544" spans="1:10" ht="38.25" hidden="1" x14ac:dyDescent="0.25">
      <c r="A9544" s="174"/>
      <c r="B9544" s="177"/>
      <c r="C9544" s="43" t="s">
        <v>508</v>
      </c>
      <c r="D9544" s="43" t="s">
        <v>87</v>
      </c>
      <c r="E9544" s="44">
        <v>1</v>
      </c>
      <c r="F9544" s="41" t="s">
        <v>13</v>
      </c>
      <c r="G9544" s="38" t="str">
        <f>IF(ISNUMBER(F9544),E9544*F9544,"")</f>
        <v/>
      </c>
      <c r="H9544" s="42"/>
      <c r="I9544" s="38"/>
      <c r="J9544" s="37">
        <v>0</v>
      </c>
    </row>
    <row r="9545" spans="1:10" ht="38.25" hidden="1" x14ac:dyDescent="0.25">
      <c r="A9545" s="174"/>
      <c r="B9545" s="177"/>
      <c r="C9545" s="43" t="s">
        <v>2296</v>
      </c>
      <c r="D9545" s="43" t="s">
        <v>87</v>
      </c>
      <c r="E9545" s="44">
        <v>1</v>
      </c>
      <c r="F9545" s="41" t="s">
        <v>13</v>
      </c>
      <c r="G9545" s="38" t="str">
        <f>IF(ISNUMBER(F9545),E9545*F9545,"")</f>
        <v/>
      </c>
      <c r="H9545" s="42"/>
      <c r="I9545" s="38"/>
      <c r="J9545" s="37">
        <v>0</v>
      </c>
    </row>
    <row r="9546" spans="1:10" ht="15.75" hidden="1" thickBot="1" x14ac:dyDescent="0.3">
      <c r="A9546" s="175"/>
      <c r="B9546" s="178"/>
      <c r="C9546" s="49"/>
      <c r="D9546" s="49"/>
      <c r="E9546" s="50"/>
      <c r="F9546" s="51" t="s">
        <v>13</v>
      </c>
      <c r="G9546" s="51" t="str">
        <f>IF(ISNUMBER(F9546),E9546*F9546,"")</f>
        <v/>
      </c>
      <c r="H9546" s="53"/>
      <c r="I9546" s="38"/>
      <c r="J9546" s="37">
        <v>0</v>
      </c>
    </row>
    <row r="9547" spans="1:10" ht="15.75" hidden="1" thickBot="1" x14ac:dyDescent="0.3">
      <c r="A9547" s="173" t="s">
        <v>2297</v>
      </c>
      <c r="B9547" s="176" t="s">
        <v>9786</v>
      </c>
      <c r="C9547" s="31"/>
      <c r="D9547" s="32" t="s">
        <v>18</v>
      </c>
      <c r="E9547" s="33"/>
      <c r="F9547" s="54" t="s">
        <v>13</v>
      </c>
      <c r="G9547" s="34" t="str">
        <f>IF(ISNUMBER(F9547),E9547*F9547,"")</f>
        <v/>
      </c>
      <c r="H9547" s="35"/>
      <c r="I9547" s="36"/>
      <c r="J9547" s="37">
        <v>0</v>
      </c>
    </row>
    <row r="9548" spans="1:10" hidden="1" x14ac:dyDescent="0.25">
      <c r="A9548" s="174"/>
      <c r="B9548" s="177"/>
      <c r="C9548" s="39"/>
      <c r="D9548" s="39"/>
      <c r="E9548" s="40"/>
      <c r="F9548" s="55" t="s">
        <v>13</v>
      </c>
      <c r="G9548" s="38" t="str">
        <f>IF(ISNUMBER(F9548),E9548*F9548,"")</f>
        <v/>
      </c>
      <c r="H9548" s="42"/>
      <c r="I9548" s="38"/>
      <c r="J9548" s="37">
        <v>0</v>
      </c>
    </row>
    <row r="9549" spans="1:10" ht="25.5" hidden="1" x14ac:dyDescent="0.25">
      <c r="A9549" s="174"/>
      <c r="B9549" s="177"/>
      <c r="C9549" s="43" t="s">
        <v>10753</v>
      </c>
      <c r="D9549" s="43" t="s">
        <v>2800</v>
      </c>
      <c r="E9549" s="44">
        <v>7.1900000000000006E-2</v>
      </c>
      <c r="F9549" s="38">
        <v>23.997</v>
      </c>
      <c r="G9549" s="38">
        <f>IF(ISNUMBER(F9549),E9549*F9549,"")</f>
        <v>1.7253843000000002</v>
      </c>
      <c r="H9549" s="46">
        <f>SUM(G9549:G9553)</f>
        <v>4.0320223000000004</v>
      </c>
      <c r="I9549" s="47"/>
      <c r="J9549" s="37">
        <v>0</v>
      </c>
    </row>
    <row r="9550" spans="1:10" ht="25.5" hidden="1" x14ac:dyDescent="0.25">
      <c r="A9550" s="174"/>
      <c r="B9550" s="177"/>
      <c r="C9550" s="43" t="s">
        <v>10754</v>
      </c>
      <c r="D9550" s="43" t="s">
        <v>2800</v>
      </c>
      <c r="E9550" s="44">
        <v>7.1900000000000006E-2</v>
      </c>
      <c r="F9550" s="38">
        <v>30.361999999999998</v>
      </c>
      <c r="G9550" s="38">
        <f>IF(ISNUMBER(F9550),E9550*F9550,"")</f>
        <v>2.1830278000000001</v>
      </c>
      <c r="H9550" s="42"/>
      <c r="I9550" s="38"/>
      <c r="J9550" s="37">
        <v>0</v>
      </c>
    </row>
    <row r="9551" spans="1:10" hidden="1" x14ac:dyDescent="0.25">
      <c r="A9551" s="174"/>
      <c r="B9551" s="177"/>
      <c r="C9551" s="43" t="s">
        <v>10907</v>
      </c>
      <c r="D9551" s="43" t="s">
        <v>83</v>
      </c>
      <c r="E9551" s="44">
        <v>8.3999999999999995E-3</v>
      </c>
      <c r="F9551" s="41">
        <v>14.715499999999999</v>
      </c>
      <c r="G9551" s="38">
        <f>IF(ISNUMBER(F9551),E9551*F9551,"")</f>
        <v>0.12361019999999998</v>
      </c>
      <c r="H9551" s="42"/>
      <c r="I9551" s="38"/>
      <c r="J9551" s="37">
        <v>0</v>
      </c>
    </row>
    <row r="9552" spans="1:10" ht="38.25" hidden="1" x14ac:dyDescent="0.25">
      <c r="A9552" s="174"/>
      <c r="B9552" s="177"/>
      <c r="C9552" s="43" t="s">
        <v>508</v>
      </c>
      <c r="D9552" s="43" t="s">
        <v>87</v>
      </c>
      <c r="E9552" s="44">
        <v>1</v>
      </c>
      <c r="F9552" s="41" t="s">
        <v>13</v>
      </c>
      <c r="G9552" s="38" t="str">
        <f>IF(ISNUMBER(F9552),E9552*F9552,"")</f>
        <v/>
      </c>
      <c r="H9552" s="42"/>
      <c r="I9552" s="38"/>
      <c r="J9552" s="37">
        <v>0</v>
      </c>
    </row>
    <row r="9553" spans="1:10" ht="38.25" hidden="1" x14ac:dyDescent="0.25">
      <c r="A9553" s="174"/>
      <c r="B9553" s="177"/>
      <c r="C9553" s="43" t="s">
        <v>2298</v>
      </c>
      <c r="D9553" s="43" t="s">
        <v>87</v>
      </c>
      <c r="E9553" s="44">
        <v>1</v>
      </c>
      <c r="F9553" s="41" t="s">
        <v>13</v>
      </c>
      <c r="G9553" s="38" t="str">
        <f>IF(ISNUMBER(F9553),E9553*F9553,"")</f>
        <v/>
      </c>
      <c r="H9553" s="42"/>
      <c r="I9553" s="38"/>
      <c r="J9553" s="37">
        <v>0</v>
      </c>
    </row>
    <row r="9554" spans="1:10" ht="15.75" hidden="1" thickBot="1" x14ac:dyDescent="0.3">
      <c r="A9554" s="175"/>
      <c r="B9554" s="178"/>
      <c r="C9554" s="49"/>
      <c r="D9554" s="49"/>
      <c r="E9554" s="50"/>
      <c r="F9554" s="51" t="s">
        <v>13</v>
      </c>
      <c r="G9554" s="51" t="str">
        <f>IF(ISNUMBER(F9554),E9554*F9554,"")</f>
        <v/>
      </c>
      <c r="H9554" s="53"/>
      <c r="I9554" s="38"/>
      <c r="J9554" s="37">
        <v>0</v>
      </c>
    </row>
    <row r="9555" spans="1:10" ht="15.75" hidden="1" thickBot="1" x14ac:dyDescent="0.3">
      <c r="A9555" s="173" t="s">
        <v>2299</v>
      </c>
      <c r="B9555" s="176" t="s">
        <v>9787</v>
      </c>
      <c r="C9555" s="31"/>
      <c r="D9555" s="32" t="s">
        <v>18</v>
      </c>
      <c r="E9555" s="33"/>
      <c r="F9555" s="54" t="s">
        <v>13</v>
      </c>
      <c r="G9555" s="34" t="str">
        <f>IF(ISNUMBER(F9555),E9555*F9555,"")</f>
        <v/>
      </c>
      <c r="H9555" s="35"/>
      <c r="I9555" s="36"/>
      <c r="J9555" s="37">
        <v>0</v>
      </c>
    </row>
    <row r="9556" spans="1:10" hidden="1" x14ac:dyDescent="0.25">
      <c r="A9556" s="174"/>
      <c r="B9556" s="177"/>
      <c r="C9556" s="39"/>
      <c r="D9556" s="39"/>
      <c r="E9556" s="40"/>
      <c r="F9556" s="55" t="s">
        <v>13</v>
      </c>
      <c r="G9556" s="38" t="str">
        <f>IF(ISNUMBER(F9556),E9556*F9556,"")</f>
        <v/>
      </c>
      <c r="H9556" s="42"/>
      <c r="I9556" s="38"/>
      <c r="J9556" s="37">
        <v>0</v>
      </c>
    </row>
    <row r="9557" spans="1:10" ht="25.5" hidden="1" x14ac:dyDescent="0.25">
      <c r="A9557" s="174"/>
      <c r="B9557" s="177"/>
      <c r="C9557" s="43" t="s">
        <v>10753</v>
      </c>
      <c r="D9557" s="43" t="s">
        <v>2800</v>
      </c>
      <c r="E9557" s="44">
        <v>0.33979999999999999</v>
      </c>
      <c r="F9557" s="38">
        <v>23.997</v>
      </c>
      <c r="G9557" s="38">
        <f>IF(ISNUMBER(F9557),E9557*F9557,"")</f>
        <v>8.1541806000000001</v>
      </c>
      <c r="H9557" s="46">
        <f>SUM(G9557:G9561)</f>
        <v>18.824360200000001</v>
      </c>
      <c r="I9557" s="47"/>
      <c r="J9557" s="37">
        <v>0</v>
      </c>
    </row>
    <row r="9558" spans="1:10" ht="25.5" hidden="1" x14ac:dyDescent="0.25">
      <c r="A9558" s="174"/>
      <c r="B9558" s="177"/>
      <c r="C9558" s="43" t="s">
        <v>10754</v>
      </c>
      <c r="D9558" s="43" t="s">
        <v>2800</v>
      </c>
      <c r="E9558" s="44">
        <v>0.33979999999999999</v>
      </c>
      <c r="F9558" s="38">
        <v>30.361999999999998</v>
      </c>
      <c r="G9558" s="38">
        <f>IF(ISNUMBER(F9558),E9558*F9558,"")</f>
        <v>10.317007599999998</v>
      </c>
      <c r="H9558" s="42"/>
      <c r="I9558" s="38"/>
      <c r="J9558" s="37">
        <v>0</v>
      </c>
    </row>
    <row r="9559" spans="1:10" hidden="1" x14ac:dyDescent="0.25">
      <c r="A9559" s="174"/>
      <c r="B9559" s="177"/>
      <c r="C9559" s="43" t="s">
        <v>10907</v>
      </c>
      <c r="D9559" s="43" t="s">
        <v>83</v>
      </c>
      <c r="E9559" s="44">
        <v>2.4E-2</v>
      </c>
      <c r="F9559" s="41">
        <v>14.715499999999999</v>
      </c>
      <c r="G9559" s="38">
        <f>IF(ISNUMBER(F9559),E9559*F9559,"")</f>
        <v>0.35317199999999999</v>
      </c>
      <c r="H9559" s="42"/>
      <c r="I9559" s="38"/>
      <c r="J9559" s="37">
        <v>0</v>
      </c>
    </row>
    <row r="9560" spans="1:10" ht="38.25" hidden="1" x14ac:dyDescent="0.25">
      <c r="A9560" s="174"/>
      <c r="B9560" s="177"/>
      <c r="C9560" s="43" t="s">
        <v>508</v>
      </c>
      <c r="D9560" s="43" t="s">
        <v>87</v>
      </c>
      <c r="E9560" s="44">
        <v>1</v>
      </c>
      <c r="F9560" s="41" t="s">
        <v>13</v>
      </c>
      <c r="G9560" s="38" t="str">
        <f>IF(ISNUMBER(F9560),E9560*F9560,"")</f>
        <v/>
      </c>
      <c r="H9560" s="42"/>
      <c r="I9560" s="38"/>
      <c r="J9560" s="37">
        <v>0</v>
      </c>
    </row>
    <row r="9561" spans="1:10" ht="38.25" hidden="1" x14ac:dyDescent="0.25">
      <c r="A9561" s="174"/>
      <c r="B9561" s="177"/>
      <c r="C9561" s="43" t="s">
        <v>509</v>
      </c>
      <c r="D9561" s="43" t="s">
        <v>87</v>
      </c>
      <c r="E9561" s="44">
        <v>1</v>
      </c>
      <c r="F9561" s="41" t="s">
        <v>13</v>
      </c>
      <c r="G9561" s="38" t="str">
        <f>IF(ISNUMBER(F9561),E9561*F9561,"")</f>
        <v/>
      </c>
      <c r="H9561" s="42"/>
      <c r="I9561" s="38"/>
      <c r="J9561" s="37">
        <v>0</v>
      </c>
    </row>
    <row r="9562" spans="1:10" ht="15.75" hidden="1" thickBot="1" x14ac:dyDescent="0.3">
      <c r="A9562" s="175"/>
      <c r="B9562" s="178"/>
      <c r="C9562" s="49"/>
      <c r="D9562" s="49"/>
      <c r="E9562" s="50"/>
      <c r="F9562" s="51" t="s">
        <v>13</v>
      </c>
      <c r="G9562" s="51" t="str">
        <f>IF(ISNUMBER(F9562),E9562*F9562,"")</f>
        <v/>
      </c>
      <c r="H9562" s="53"/>
      <c r="I9562" s="38"/>
      <c r="J9562" s="37">
        <v>0</v>
      </c>
    </row>
    <row r="9563" spans="1:10" ht="15.75" hidden="1" thickBot="1" x14ac:dyDescent="0.3">
      <c r="A9563" s="173" t="s">
        <v>2300</v>
      </c>
      <c r="B9563" s="176" t="s">
        <v>9788</v>
      </c>
      <c r="C9563" s="31"/>
      <c r="D9563" s="32" t="s">
        <v>18</v>
      </c>
      <c r="E9563" s="33"/>
      <c r="F9563" s="54" t="s">
        <v>13</v>
      </c>
      <c r="G9563" s="34" t="str">
        <f>IF(ISNUMBER(F9563),E9563*F9563,"")</f>
        <v/>
      </c>
      <c r="H9563" s="35"/>
      <c r="I9563" s="36"/>
      <c r="J9563" s="37">
        <v>0</v>
      </c>
    </row>
    <row r="9564" spans="1:10" hidden="1" x14ac:dyDescent="0.25">
      <c r="A9564" s="174"/>
      <c r="B9564" s="177"/>
      <c r="C9564" s="39"/>
      <c r="D9564" s="39"/>
      <c r="E9564" s="40"/>
      <c r="F9564" s="55" t="s">
        <v>13</v>
      </c>
      <c r="G9564" s="38" t="str">
        <f>IF(ISNUMBER(F9564),E9564*F9564,"")</f>
        <v/>
      </c>
      <c r="H9564" s="42"/>
      <c r="I9564" s="38"/>
      <c r="J9564" s="37">
        <v>0</v>
      </c>
    </row>
    <row r="9565" spans="1:10" ht="25.5" hidden="1" x14ac:dyDescent="0.25">
      <c r="A9565" s="174"/>
      <c r="B9565" s="177"/>
      <c r="C9565" s="43" t="s">
        <v>10753</v>
      </c>
      <c r="D9565" s="43" t="s">
        <v>2800</v>
      </c>
      <c r="E9565" s="44">
        <v>7.1900000000000006E-2</v>
      </c>
      <c r="F9565" s="38">
        <v>23.997</v>
      </c>
      <c r="G9565" s="38">
        <f>IF(ISNUMBER(F9565),E9565*F9565,"")</f>
        <v>1.7253843000000002</v>
      </c>
      <c r="H9565" s="46">
        <f>SUM(G9565:G9568)</f>
        <v>4.0320223000000004</v>
      </c>
      <c r="I9565" s="47"/>
      <c r="J9565" s="37">
        <v>0</v>
      </c>
    </row>
    <row r="9566" spans="1:10" ht="25.5" hidden="1" x14ac:dyDescent="0.25">
      <c r="A9566" s="174"/>
      <c r="B9566" s="177"/>
      <c r="C9566" s="43" t="s">
        <v>10754</v>
      </c>
      <c r="D9566" s="43" t="s">
        <v>2800</v>
      </c>
      <c r="E9566" s="44">
        <v>7.1900000000000006E-2</v>
      </c>
      <c r="F9566" s="38">
        <v>30.361999999999998</v>
      </c>
      <c r="G9566" s="38">
        <f>IF(ISNUMBER(F9566),E9566*F9566,"")</f>
        <v>2.1830278000000001</v>
      </c>
      <c r="H9566" s="42"/>
      <c r="I9566" s="38"/>
      <c r="J9566" s="37">
        <v>0</v>
      </c>
    </row>
    <row r="9567" spans="1:10" ht="25.5" hidden="1" x14ac:dyDescent="0.25">
      <c r="A9567" s="174"/>
      <c r="B9567" s="177"/>
      <c r="C9567" s="43" t="s">
        <v>2301</v>
      </c>
      <c r="D9567" s="43" t="s">
        <v>87</v>
      </c>
      <c r="E9567" s="44">
        <v>1</v>
      </c>
      <c r="F9567" s="41" t="s">
        <v>13</v>
      </c>
      <c r="G9567" s="38" t="str">
        <f>IF(ISNUMBER(F9567),E9567*F9567,"")</f>
        <v/>
      </c>
      <c r="H9567" s="42"/>
      <c r="I9567" s="38"/>
      <c r="J9567" s="37">
        <v>0</v>
      </c>
    </row>
    <row r="9568" spans="1:10" hidden="1" x14ac:dyDescent="0.25">
      <c r="A9568" s="174"/>
      <c r="B9568" s="177"/>
      <c r="C9568" s="43" t="s">
        <v>10907</v>
      </c>
      <c r="D9568" s="43" t="s">
        <v>83</v>
      </c>
      <c r="E9568" s="44">
        <v>8.3999999999999995E-3</v>
      </c>
      <c r="F9568" s="41">
        <v>14.715499999999999</v>
      </c>
      <c r="G9568" s="38">
        <f>IF(ISNUMBER(F9568),E9568*F9568,"")</f>
        <v>0.12361019999999998</v>
      </c>
      <c r="H9568" s="42"/>
      <c r="I9568" s="38"/>
      <c r="J9568" s="37">
        <v>0</v>
      </c>
    </row>
    <row r="9569" spans="1:10" ht="15.75" hidden="1" thickBot="1" x14ac:dyDescent="0.3">
      <c r="A9569" s="175"/>
      <c r="B9569" s="178"/>
      <c r="C9569" s="49"/>
      <c r="D9569" s="49"/>
      <c r="E9569" s="50"/>
      <c r="F9569" s="51" t="s">
        <v>13</v>
      </c>
      <c r="G9569" s="51" t="str">
        <f>IF(ISNUMBER(F9569),E9569*F9569,"")</f>
        <v/>
      </c>
      <c r="H9569" s="53"/>
      <c r="I9569" s="38"/>
      <c r="J9569" s="37">
        <v>0</v>
      </c>
    </row>
    <row r="9570" spans="1:10" ht="15.75" hidden="1" thickBot="1" x14ac:dyDescent="0.3">
      <c r="A9570" s="173" t="s">
        <v>2302</v>
      </c>
      <c r="B9570" s="176" t="s">
        <v>9789</v>
      </c>
      <c r="C9570" s="31"/>
      <c r="D9570" s="32" t="s">
        <v>18</v>
      </c>
      <c r="E9570" s="33"/>
      <c r="F9570" s="54" t="s">
        <v>13</v>
      </c>
      <c r="G9570" s="34" t="str">
        <f>IF(ISNUMBER(F9570),E9570*F9570,"")</f>
        <v/>
      </c>
      <c r="H9570" s="35"/>
      <c r="I9570" s="36"/>
      <c r="J9570" s="37">
        <v>0</v>
      </c>
    </row>
    <row r="9571" spans="1:10" hidden="1" x14ac:dyDescent="0.25">
      <c r="A9571" s="174"/>
      <c r="B9571" s="177"/>
      <c r="C9571" s="39"/>
      <c r="D9571" s="39"/>
      <c r="E9571" s="40"/>
      <c r="F9571" s="55" t="s">
        <v>13</v>
      </c>
      <c r="G9571" s="38" t="str">
        <f>IF(ISNUMBER(F9571),E9571*F9571,"")</f>
        <v/>
      </c>
      <c r="H9571" s="42"/>
      <c r="I9571" s="38"/>
      <c r="J9571" s="37">
        <v>0</v>
      </c>
    </row>
    <row r="9572" spans="1:10" ht="25.5" hidden="1" x14ac:dyDescent="0.25">
      <c r="A9572" s="174"/>
      <c r="B9572" s="177"/>
      <c r="C9572" s="43" t="s">
        <v>10753</v>
      </c>
      <c r="D9572" s="43" t="s">
        <v>2800</v>
      </c>
      <c r="E9572" s="44">
        <v>7.1900000000000006E-2</v>
      </c>
      <c r="F9572" s="38">
        <v>23.997</v>
      </c>
      <c r="G9572" s="38">
        <f>IF(ISNUMBER(F9572),E9572*F9572,"")</f>
        <v>1.7253843000000002</v>
      </c>
      <c r="H9572" s="46">
        <f>SUM(G9572:G9575)</f>
        <v>4.0320223000000004</v>
      </c>
      <c r="I9572" s="47"/>
      <c r="J9572" s="37">
        <v>0</v>
      </c>
    </row>
    <row r="9573" spans="1:10" ht="25.5" hidden="1" x14ac:dyDescent="0.25">
      <c r="A9573" s="174"/>
      <c r="B9573" s="177"/>
      <c r="C9573" s="43" t="s">
        <v>10754</v>
      </c>
      <c r="D9573" s="43" t="s">
        <v>2800</v>
      </c>
      <c r="E9573" s="44">
        <v>7.1900000000000006E-2</v>
      </c>
      <c r="F9573" s="38">
        <v>30.361999999999998</v>
      </c>
      <c r="G9573" s="38">
        <f>IF(ISNUMBER(F9573),E9573*F9573,"")</f>
        <v>2.1830278000000001</v>
      </c>
      <c r="H9573" s="42"/>
      <c r="I9573" s="38"/>
      <c r="J9573" s="37">
        <v>0</v>
      </c>
    </row>
    <row r="9574" spans="1:10" ht="25.5" hidden="1" x14ac:dyDescent="0.25">
      <c r="A9574" s="174"/>
      <c r="B9574" s="177"/>
      <c r="C9574" s="43" t="s">
        <v>2303</v>
      </c>
      <c r="D9574" s="43" t="s">
        <v>87</v>
      </c>
      <c r="E9574" s="44">
        <v>1</v>
      </c>
      <c r="F9574" s="41" t="s">
        <v>13</v>
      </c>
      <c r="G9574" s="38" t="str">
        <f>IF(ISNUMBER(F9574),E9574*F9574,"")</f>
        <v/>
      </c>
      <c r="H9574" s="42"/>
      <c r="I9574" s="38"/>
      <c r="J9574" s="37">
        <v>0</v>
      </c>
    </row>
    <row r="9575" spans="1:10" hidden="1" x14ac:dyDescent="0.25">
      <c r="A9575" s="174"/>
      <c r="B9575" s="177"/>
      <c r="C9575" s="43" t="s">
        <v>10907</v>
      </c>
      <c r="D9575" s="43" t="s">
        <v>83</v>
      </c>
      <c r="E9575" s="44">
        <v>8.3999999999999995E-3</v>
      </c>
      <c r="F9575" s="41">
        <v>14.715499999999999</v>
      </c>
      <c r="G9575" s="38">
        <f>IF(ISNUMBER(F9575),E9575*F9575,"")</f>
        <v>0.12361019999999998</v>
      </c>
      <c r="H9575" s="42"/>
      <c r="I9575" s="38"/>
      <c r="J9575" s="37">
        <v>0</v>
      </c>
    </row>
    <row r="9576" spans="1:10" ht="15.75" hidden="1" thickBot="1" x14ac:dyDescent="0.3">
      <c r="A9576" s="175"/>
      <c r="B9576" s="178"/>
      <c r="C9576" s="49"/>
      <c r="D9576" s="49"/>
      <c r="E9576" s="50"/>
      <c r="F9576" s="51" t="s">
        <v>13</v>
      </c>
      <c r="G9576" s="51" t="str">
        <f>IF(ISNUMBER(F9576),E9576*F9576,"")</f>
        <v/>
      </c>
      <c r="H9576" s="53"/>
      <c r="I9576" s="38"/>
      <c r="J9576" s="37">
        <v>0</v>
      </c>
    </row>
    <row r="9577" spans="1:10" ht="15.75" hidden="1" thickBot="1" x14ac:dyDescent="0.3">
      <c r="A9577" s="173" t="s">
        <v>2304</v>
      </c>
      <c r="B9577" s="176" t="s">
        <v>9790</v>
      </c>
      <c r="C9577" s="31"/>
      <c r="D9577" s="32" t="s">
        <v>18</v>
      </c>
      <c r="E9577" s="33"/>
      <c r="F9577" s="54" t="s">
        <v>13</v>
      </c>
      <c r="G9577" s="34" t="str">
        <f>IF(ISNUMBER(F9577),E9577*F9577,"")</f>
        <v/>
      </c>
      <c r="H9577" s="35"/>
      <c r="I9577" s="36"/>
      <c r="J9577" s="37">
        <v>0</v>
      </c>
    </row>
    <row r="9578" spans="1:10" hidden="1" x14ac:dyDescent="0.25">
      <c r="A9578" s="174"/>
      <c r="B9578" s="177"/>
      <c r="C9578" s="39"/>
      <c r="D9578" s="39"/>
      <c r="E9578" s="40"/>
      <c r="F9578" s="55" t="s">
        <v>13</v>
      </c>
      <c r="G9578" s="38" t="str">
        <f>IF(ISNUMBER(F9578),E9578*F9578,"")</f>
        <v/>
      </c>
      <c r="H9578" s="42"/>
      <c r="I9578" s="38"/>
      <c r="J9578" s="37">
        <v>0</v>
      </c>
    </row>
    <row r="9579" spans="1:10" ht="25.5" hidden="1" x14ac:dyDescent="0.25">
      <c r="A9579" s="174"/>
      <c r="B9579" s="177"/>
      <c r="C9579" s="43" t="s">
        <v>10753</v>
      </c>
      <c r="D9579" s="43" t="s">
        <v>2800</v>
      </c>
      <c r="E9579" s="44">
        <v>0.33979999999999999</v>
      </c>
      <c r="F9579" s="38">
        <v>23.997</v>
      </c>
      <c r="G9579" s="38">
        <f>IF(ISNUMBER(F9579),E9579*F9579,"")</f>
        <v>8.1541806000000001</v>
      </c>
      <c r="H9579" s="46">
        <f>SUM(G9579:G9582)</f>
        <v>18.824360200000001</v>
      </c>
      <c r="I9579" s="47"/>
      <c r="J9579" s="37">
        <v>0</v>
      </c>
    </row>
    <row r="9580" spans="1:10" ht="25.5" hidden="1" x14ac:dyDescent="0.25">
      <c r="A9580" s="174"/>
      <c r="B9580" s="177"/>
      <c r="C9580" s="43" t="s">
        <v>10754</v>
      </c>
      <c r="D9580" s="43" t="s">
        <v>2800</v>
      </c>
      <c r="E9580" s="44">
        <v>0.33979999999999999</v>
      </c>
      <c r="F9580" s="38">
        <v>30.361999999999998</v>
      </c>
      <c r="G9580" s="38">
        <f>IF(ISNUMBER(F9580),E9580*F9580,"")</f>
        <v>10.317007599999998</v>
      </c>
      <c r="H9580" s="42"/>
      <c r="I9580" s="38"/>
      <c r="J9580" s="37">
        <v>0</v>
      </c>
    </row>
    <row r="9581" spans="1:10" ht="25.5" hidden="1" x14ac:dyDescent="0.25">
      <c r="A9581" s="174"/>
      <c r="B9581" s="177"/>
      <c r="C9581" s="43" t="s">
        <v>2305</v>
      </c>
      <c r="D9581" s="43" t="s">
        <v>87</v>
      </c>
      <c r="E9581" s="44">
        <v>1</v>
      </c>
      <c r="F9581" s="41" t="s">
        <v>13</v>
      </c>
      <c r="G9581" s="38" t="str">
        <f>IF(ISNUMBER(F9581),E9581*F9581,"")</f>
        <v/>
      </c>
      <c r="H9581" s="42"/>
      <c r="I9581" s="38"/>
      <c r="J9581" s="37">
        <v>0</v>
      </c>
    </row>
    <row r="9582" spans="1:10" hidden="1" x14ac:dyDescent="0.25">
      <c r="A9582" s="174"/>
      <c r="B9582" s="177"/>
      <c r="C9582" s="43" t="s">
        <v>10907</v>
      </c>
      <c r="D9582" s="43" t="s">
        <v>83</v>
      </c>
      <c r="E9582" s="44">
        <v>2.4E-2</v>
      </c>
      <c r="F9582" s="41">
        <v>14.715499999999999</v>
      </c>
      <c r="G9582" s="38">
        <f>IF(ISNUMBER(F9582),E9582*F9582,"")</f>
        <v>0.35317199999999999</v>
      </c>
      <c r="H9582" s="42"/>
      <c r="I9582" s="38"/>
      <c r="J9582" s="37">
        <v>0</v>
      </c>
    </row>
    <row r="9583" spans="1:10" ht="15.75" hidden="1" thickBot="1" x14ac:dyDescent="0.3">
      <c r="A9583" s="175"/>
      <c r="B9583" s="178"/>
      <c r="C9583" s="49"/>
      <c r="D9583" s="49"/>
      <c r="E9583" s="50"/>
      <c r="F9583" s="51" t="s">
        <v>13</v>
      </c>
      <c r="G9583" s="51" t="str">
        <f>IF(ISNUMBER(F9583),E9583*F9583,"")</f>
        <v/>
      </c>
      <c r="H9583" s="53"/>
      <c r="I9583" s="38"/>
      <c r="J9583" s="37">
        <v>0</v>
      </c>
    </row>
    <row r="9584" spans="1:10" ht="15.75" hidden="1" thickBot="1" x14ac:dyDescent="0.3">
      <c r="A9584" s="173" t="s">
        <v>2306</v>
      </c>
      <c r="B9584" s="176" t="s">
        <v>9791</v>
      </c>
      <c r="C9584" s="31"/>
      <c r="D9584" s="32" t="s">
        <v>18</v>
      </c>
      <c r="E9584" s="33"/>
      <c r="F9584" s="54" t="s">
        <v>13</v>
      </c>
      <c r="G9584" s="34" t="str">
        <f>IF(ISNUMBER(F9584),E9584*F9584,"")</f>
        <v/>
      </c>
      <c r="H9584" s="35"/>
      <c r="I9584" s="36"/>
      <c r="J9584" s="37">
        <v>0</v>
      </c>
    </row>
    <row r="9585" spans="1:10" hidden="1" x14ac:dyDescent="0.25">
      <c r="A9585" s="174"/>
      <c r="B9585" s="177"/>
      <c r="C9585" s="39"/>
      <c r="D9585" s="39"/>
      <c r="E9585" s="40"/>
      <c r="F9585" s="55" t="s">
        <v>13</v>
      </c>
      <c r="G9585" s="38" t="str">
        <f>IF(ISNUMBER(F9585),E9585*F9585,"")</f>
        <v/>
      </c>
      <c r="H9585" s="42"/>
      <c r="I9585" s="38"/>
      <c r="J9585" s="37">
        <v>0</v>
      </c>
    </row>
    <row r="9586" spans="1:10" hidden="1" x14ac:dyDescent="0.25">
      <c r="A9586" s="174"/>
      <c r="B9586" s="177"/>
      <c r="C9586" s="43" t="s">
        <v>10907</v>
      </c>
      <c r="D9586" s="43" t="s">
        <v>83</v>
      </c>
      <c r="E9586" s="44">
        <v>8.3999999999999995E-3</v>
      </c>
      <c r="F9586" s="38">
        <v>14.715499999999999</v>
      </c>
      <c r="G9586" s="38">
        <f>IF(ISNUMBER(F9586),E9586*F9586,"")</f>
        <v>0.12361019999999998</v>
      </c>
      <c r="H9586" s="46">
        <f>SUM(G9586:G9589)</f>
        <v>4.0320223000000004</v>
      </c>
      <c r="I9586" s="47"/>
      <c r="J9586" s="37">
        <v>0</v>
      </c>
    </row>
    <row r="9587" spans="1:10" hidden="1" x14ac:dyDescent="0.25">
      <c r="A9587" s="174"/>
      <c r="B9587" s="177"/>
      <c r="C9587" s="43" t="s">
        <v>2307</v>
      </c>
      <c r="D9587" s="43" t="s">
        <v>83</v>
      </c>
      <c r="E9587" s="44">
        <v>1</v>
      </c>
      <c r="F9587" s="38" t="s">
        <v>13</v>
      </c>
      <c r="G9587" s="38" t="str">
        <f>IF(ISNUMBER(F9587),E9587*F9587,"")</f>
        <v/>
      </c>
      <c r="H9587" s="42"/>
      <c r="I9587" s="38"/>
      <c r="J9587" s="37">
        <v>0</v>
      </c>
    </row>
    <row r="9588" spans="1:10" ht="25.5" hidden="1" x14ac:dyDescent="0.25">
      <c r="A9588" s="174"/>
      <c r="B9588" s="177"/>
      <c r="C9588" s="43" t="s">
        <v>10753</v>
      </c>
      <c r="D9588" s="43" t="s">
        <v>2800</v>
      </c>
      <c r="E9588" s="44">
        <v>7.1900000000000006E-2</v>
      </c>
      <c r="F9588" s="41">
        <v>23.997</v>
      </c>
      <c r="G9588" s="38">
        <f>IF(ISNUMBER(F9588),E9588*F9588,"")</f>
        <v>1.7253843000000002</v>
      </c>
      <c r="H9588" s="42"/>
      <c r="I9588" s="38"/>
      <c r="J9588" s="37">
        <v>0</v>
      </c>
    </row>
    <row r="9589" spans="1:10" ht="25.5" hidden="1" x14ac:dyDescent="0.25">
      <c r="A9589" s="174"/>
      <c r="B9589" s="177"/>
      <c r="C9589" s="43" t="s">
        <v>10754</v>
      </c>
      <c r="D9589" s="43" t="s">
        <v>2800</v>
      </c>
      <c r="E9589" s="44">
        <v>7.1900000000000006E-2</v>
      </c>
      <c r="F9589" s="41">
        <v>30.361999999999998</v>
      </c>
      <c r="G9589" s="38">
        <f>IF(ISNUMBER(F9589),E9589*F9589,"")</f>
        <v>2.1830278000000001</v>
      </c>
      <c r="H9589" s="42"/>
      <c r="I9589" s="38"/>
      <c r="J9589" s="37">
        <v>0</v>
      </c>
    </row>
    <row r="9590" spans="1:10" ht="15.75" hidden="1" thickBot="1" x14ac:dyDescent="0.3">
      <c r="A9590" s="175"/>
      <c r="B9590" s="178"/>
      <c r="C9590" s="49"/>
      <c r="D9590" s="49"/>
      <c r="E9590" s="50"/>
      <c r="F9590" s="51" t="s">
        <v>13</v>
      </c>
      <c r="G9590" s="51" t="str">
        <f>IF(ISNUMBER(F9590),E9590*F9590,"")</f>
        <v/>
      </c>
      <c r="H9590" s="53"/>
      <c r="I9590" s="38"/>
      <c r="J9590" s="37">
        <v>0</v>
      </c>
    </row>
    <row r="9591" spans="1:10" ht="15.75" hidden="1" thickBot="1" x14ac:dyDescent="0.3">
      <c r="A9591" s="173" t="s">
        <v>2308</v>
      </c>
      <c r="B9591" s="176" t="s">
        <v>9792</v>
      </c>
      <c r="C9591" s="31"/>
      <c r="D9591" s="32" t="s">
        <v>18</v>
      </c>
      <c r="E9591" s="33"/>
      <c r="F9591" s="54" t="s">
        <v>13</v>
      </c>
      <c r="G9591" s="34" t="str">
        <f>IF(ISNUMBER(F9591),E9591*F9591,"")</f>
        <v/>
      </c>
      <c r="H9591" s="35"/>
      <c r="I9591" s="36"/>
      <c r="J9591" s="37">
        <v>0</v>
      </c>
    </row>
    <row r="9592" spans="1:10" hidden="1" x14ac:dyDescent="0.25">
      <c r="A9592" s="174"/>
      <c r="B9592" s="177"/>
      <c r="C9592" s="39"/>
      <c r="D9592" s="39"/>
      <c r="E9592" s="40"/>
      <c r="F9592" s="55" t="s">
        <v>13</v>
      </c>
      <c r="G9592" s="38" t="str">
        <f>IF(ISNUMBER(F9592),E9592*F9592,"")</f>
        <v/>
      </c>
      <c r="H9592" s="42"/>
      <c r="I9592" s="38"/>
      <c r="J9592" s="37">
        <v>0</v>
      </c>
    </row>
    <row r="9593" spans="1:10" ht="25.5" hidden="1" x14ac:dyDescent="0.25">
      <c r="A9593" s="174"/>
      <c r="B9593" s="177"/>
      <c r="C9593" s="43" t="s">
        <v>10823</v>
      </c>
      <c r="D9593" s="43" t="s">
        <v>2800</v>
      </c>
      <c r="E9593" s="44">
        <v>40</v>
      </c>
      <c r="F9593" s="70">
        <v>120.95399999999999</v>
      </c>
      <c r="G9593" s="70">
        <f>IF(ISNUMBER(F9593),E9593*F9593,"")</f>
        <v>4838.16</v>
      </c>
      <c r="H9593" s="46">
        <f>SUM(G9593:G9595)</f>
        <v>5843.41</v>
      </c>
      <c r="I9593" s="47"/>
      <c r="J9593" s="37">
        <v>0</v>
      </c>
    </row>
    <row r="9594" spans="1:10" hidden="1" x14ac:dyDescent="0.25">
      <c r="A9594" s="174"/>
      <c r="B9594" s="177"/>
      <c r="C9594" s="43" t="s">
        <v>11202</v>
      </c>
      <c r="D9594" s="43" t="s">
        <v>2800</v>
      </c>
      <c r="E9594" s="44">
        <v>40</v>
      </c>
      <c r="F9594" s="38">
        <v>18.344499999999996</v>
      </c>
      <c r="G9594" s="41">
        <f>IF(ISNUMBER(F9594),E9594*F9594,"")</f>
        <v>733.77999999999986</v>
      </c>
      <c r="H9594" s="71"/>
      <c r="I9594" s="38"/>
      <c r="J9594" s="37">
        <v>0</v>
      </c>
    </row>
    <row r="9595" spans="1:10" hidden="1" x14ac:dyDescent="0.25">
      <c r="A9595" s="174"/>
      <c r="B9595" s="177"/>
      <c r="C9595" s="43" t="s">
        <v>17</v>
      </c>
      <c r="D9595" s="43" t="s">
        <v>87</v>
      </c>
      <c r="E9595" s="44">
        <v>1</v>
      </c>
      <c r="F9595" s="41">
        <v>271.47000000000003</v>
      </c>
      <c r="G9595" s="38">
        <f>IF(ISNUMBER(F9595),E9595*F9595,"")</f>
        <v>271.47000000000003</v>
      </c>
      <c r="H9595" s="71"/>
      <c r="I9595" s="38"/>
      <c r="J9595" s="37">
        <v>0</v>
      </c>
    </row>
    <row r="9596" spans="1:10" ht="15.75" hidden="1" thickBot="1" x14ac:dyDescent="0.3">
      <c r="A9596" s="175"/>
      <c r="B9596" s="178"/>
      <c r="C9596" s="49"/>
      <c r="D9596" s="49"/>
      <c r="E9596" s="50"/>
      <c r="F9596" s="51" t="s">
        <v>13</v>
      </c>
      <c r="G9596" s="51" t="str">
        <f>IF(ISNUMBER(F9596),E9596*F9596,"")</f>
        <v/>
      </c>
      <c r="H9596" s="53"/>
      <c r="I9596" s="38"/>
      <c r="J9596" s="37">
        <v>0</v>
      </c>
    </row>
    <row r="9597" spans="1:10" ht="15.75" hidden="1" thickBot="1" x14ac:dyDescent="0.3">
      <c r="A9597" s="173" t="s">
        <v>2309</v>
      </c>
      <c r="B9597" s="176" t="s">
        <v>9793</v>
      </c>
      <c r="C9597" s="31"/>
      <c r="D9597" s="32" t="s">
        <v>18</v>
      </c>
      <c r="E9597" s="33"/>
      <c r="F9597" s="54" t="s">
        <v>13</v>
      </c>
      <c r="G9597" s="34" t="str">
        <f>IF(ISNUMBER(F9597),E9597*F9597,"")</f>
        <v/>
      </c>
      <c r="H9597" s="35"/>
      <c r="I9597" s="36"/>
      <c r="J9597" s="37">
        <v>0</v>
      </c>
    </row>
    <row r="9598" spans="1:10" hidden="1" x14ac:dyDescent="0.25">
      <c r="A9598" s="174"/>
      <c r="B9598" s="177"/>
      <c r="C9598" s="39"/>
      <c r="D9598" s="39"/>
      <c r="E9598" s="40"/>
      <c r="F9598" s="55" t="s">
        <v>13</v>
      </c>
      <c r="G9598" s="38" t="str">
        <f>IF(ISNUMBER(F9598),E9598*F9598,"")</f>
        <v/>
      </c>
      <c r="H9598" s="42"/>
      <c r="I9598" s="38"/>
      <c r="J9598" s="37">
        <v>0</v>
      </c>
    </row>
    <row r="9599" spans="1:10" hidden="1" x14ac:dyDescent="0.25">
      <c r="A9599" s="174"/>
      <c r="B9599" s="177"/>
      <c r="C9599" s="43" t="s">
        <v>10907</v>
      </c>
      <c r="D9599" s="43" t="s">
        <v>83</v>
      </c>
      <c r="E9599" s="44">
        <v>2.4E-2</v>
      </c>
      <c r="F9599" s="38">
        <v>14.715499999999999</v>
      </c>
      <c r="G9599" s="38">
        <f>IF(ISNUMBER(F9599),E9599*F9599,"")</f>
        <v>0.35317199999999999</v>
      </c>
      <c r="H9599" s="46">
        <f>SUM(G9599:G9602)</f>
        <v>221.5923602</v>
      </c>
      <c r="I9599" s="47"/>
      <c r="J9599" s="37">
        <v>0</v>
      </c>
    </row>
    <row r="9600" spans="1:10" hidden="1" x14ac:dyDescent="0.25">
      <c r="A9600" s="174"/>
      <c r="B9600" s="177"/>
      <c r="C9600" s="43" t="s">
        <v>11350</v>
      </c>
      <c r="D9600" s="43" t="s">
        <v>83</v>
      </c>
      <c r="E9600" s="44">
        <v>1</v>
      </c>
      <c r="F9600" s="38">
        <v>202.768</v>
      </c>
      <c r="G9600" s="38">
        <f>IF(ISNUMBER(F9600),E9600*F9600,"")</f>
        <v>202.768</v>
      </c>
      <c r="H9600" s="42"/>
      <c r="I9600" s="38"/>
      <c r="J9600" s="37">
        <v>0</v>
      </c>
    </row>
    <row r="9601" spans="1:10" ht="25.5" hidden="1" x14ac:dyDescent="0.25">
      <c r="A9601" s="174"/>
      <c r="B9601" s="177"/>
      <c r="C9601" s="43" t="s">
        <v>10753</v>
      </c>
      <c r="D9601" s="43" t="s">
        <v>2800</v>
      </c>
      <c r="E9601" s="44">
        <v>0.33979999999999999</v>
      </c>
      <c r="F9601" s="41">
        <v>23.997</v>
      </c>
      <c r="G9601" s="38">
        <f>IF(ISNUMBER(F9601),E9601*F9601,"")</f>
        <v>8.1541806000000001</v>
      </c>
      <c r="H9601" s="42"/>
      <c r="I9601" s="38"/>
      <c r="J9601" s="37">
        <v>0</v>
      </c>
    </row>
    <row r="9602" spans="1:10" ht="25.5" hidden="1" x14ac:dyDescent="0.25">
      <c r="A9602" s="174"/>
      <c r="B9602" s="177"/>
      <c r="C9602" s="43" t="s">
        <v>10754</v>
      </c>
      <c r="D9602" s="43" t="s">
        <v>2800</v>
      </c>
      <c r="E9602" s="44">
        <v>0.33979999999999999</v>
      </c>
      <c r="F9602" s="41">
        <v>30.361999999999998</v>
      </c>
      <c r="G9602" s="38">
        <f>IF(ISNUMBER(F9602),E9602*F9602,"")</f>
        <v>10.317007599999998</v>
      </c>
      <c r="H9602" s="42"/>
      <c r="I9602" s="38"/>
      <c r="J9602" s="37">
        <v>0</v>
      </c>
    </row>
    <row r="9603" spans="1:10" ht="15.75" hidden="1" thickBot="1" x14ac:dyDescent="0.3">
      <c r="A9603" s="175"/>
      <c r="B9603" s="178"/>
      <c r="C9603" s="49"/>
      <c r="D9603" s="49"/>
      <c r="E9603" s="50"/>
      <c r="F9603" s="51" t="s">
        <v>13</v>
      </c>
      <c r="G9603" s="51" t="str">
        <f>IF(ISNUMBER(F9603),E9603*F9603,"")</f>
        <v/>
      </c>
      <c r="H9603" s="53"/>
      <c r="I9603" s="38"/>
      <c r="J9603" s="37">
        <v>0</v>
      </c>
    </row>
    <row r="9604" spans="1:10" ht="15.75" hidden="1" thickBot="1" x14ac:dyDescent="0.3">
      <c r="A9604" s="173" t="s">
        <v>2310</v>
      </c>
      <c r="B9604" s="176" t="s">
        <v>9794</v>
      </c>
      <c r="C9604" s="31"/>
      <c r="D9604" s="32" t="s">
        <v>18</v>
      </c>
      <c r="E9604" s="33"/>
      <c r="F9604" s="54" t="s">
        <v>13</v>
      </c>
      <c r="G9604" s="34" t="str">
        <f>IF(ISNUMBER(F9604),E9604*F9604,"")</f>
        <v/>
      </c>
      <c r="H9604" s="35"/>
      <c r="I9604" s="36"/>
      <c r="J9604" s="37">
        <v>0</v>
      </c>
    </row>
    <row r="9605" spans="1:10" hidden="1" x14ac:dyDescent="0.25">
      <c r="A9605" s="174"/>
      <c r="B9605" s="177"/>
      <c r="C9605" s="39"/>
      <c r="D9605" s="39"/>
      <c r="E9605" s="40"/>
      <c r="F9605" s="55" t="s">
        <v>13</v>
      </c>
      <c r="G9605" s="38" t="str">
        <f>IF(ISNUMBER(F9605),E9605*F9605,"")</f>
        <v/>
      </c>
      <c r="H9605" s="42"/>
      <c r="I9605" s="38"/>
      <c r="J9605" s="37">
        <v>0</v>
      </c>
    </row>
    <row r="9606" spans="1:10" hidden="1" x14ac:dyDescent="0.25">
      <c r="A9606" s="174"/>
      <c r="B9606" s="177"/>
      <c r="C9606" s="43" t="s">
        <v>10907</v>
      </c>
      <c r="D9606" s="43" t="s">
        <v>83</v>
      </c>
      <c r="E9606" s="44">
        <v>2.4E-2</v>
      </c>
      <c r="F9606" s="38">
        <v>14.715499999999999</v>
      </c>
      <c r="G9606" s="38">
        <f>IF(ISNUMBER(F9606),E9606*F9606,"")</f>
        <v>0.35317199999999999</v>
      </c>
      <c r="H9606" s="46">
        <f>SUM(G9606:G9609)</f>
        <v>18.824360200000001</v>
      </c>
      <c r="I9606" s="47"/>
      <c r="J9606" s="37">
        <v>0</v>
      </c>
    </row>
    <row r="9607" spans="1:10" ht="25.5" hidden="1" x14ac:dyDescent="0.25">
      <c r="A9607" s="174"/>
      <c r="B9607" s="177"/>
      <c r="C9607" s="43" t="s">
        <v>2311</v>
      </c>
      <c r="D9607" s="43" t="s">
        <v>83</v>
      </c>
      <c r="E9607" s="44">
        <v>1</v>
      </c>
      <c r="F9607" s="38" t="s">
        <v>13</v>
      </c>
      <c r="G9607" s="38" t="str">
        <f>IF(ISNUMBER(F9607),E9607*F9607,"")</f>
        <v/>
      </c>
      <c r="H9607" s="42"/>
      <c r="I9607" s="38"/>
      <c r="J9607" s="37">
        <v>0</v>
      </c>
    </row>
    <row r="9608" spans="1:10" ht="25.5" hidden="1" x14ac:dyDescent="0.25">
      <c r="A9608" s="174"/>
      <c r="B9608" s="177"/>
      <c r="C9608" s="43" t="s">
        <v>10753</v>
      </c>
      <c r="D9608" s="43" t="s">
        <v>2800</v>
      </c>
      <c r="E9608" s="44">
        <v>0.33979999999999999</v>
      </c>
      <c r="F9608" s="41">
        <v>23.997</v>
      </c>
      <c r="G9608" s="38">
        <f>IF(ISNUMBER(F9608),E9608*F9608,"")</f>
        <v>8.1541806000000001</v>
      </c>
      <c r="H9608" s="42"/>
      <c r="I9608" s="38"/>
      <c r="J9608" s="37">
        <v>0</v>
      </c>
    </row>
    <row r="9609" spans="1:10" ht="25.5" hidden="1" x14ac:dyDescent="0.25">
      <c r="A9609" s="174"/>
      <c r="B9609" s="177"/>
      <c r="C9609" s="43" t="s">
        <v>10754</v>
      </c>
      <c r="D9609" s="43" t="s">
        <v>2800</v>
      </c>
      <c r="E9609" s="44">
        <v>0.33979999999999999</v>
      </c>
      <c r="F9609" s="41">
        <v>30.361999999999998</v>
      </c>
      <c r="G9609" s="38">
        <f>IF(ISNUMBER(F9609),E9609*F9609,"")</f>
        <v>10.317007599999998</v>
      </c>
      <c r="H9609" s="42"/>
      <c r="I9609" s="38"/>
      <c r="J9609" s="37">
        <v>0</v>
      </c>
    </row>
    <row r="9610" spans="1:10" ht="15.75" hidden="1" thickBot="1" x14ac:dyDescent="0.3">
      <c r="A9610" s="175"/>
      <c r="B9610" s="178"/>
      <c r="C9610" s="49"/>
      <c r="D9610" s="49"/>
      <c r="E9610" s="50"/>
      <c r="F9610" s="51" t="s">
        <v>13</v>
      </c>
      <c r="G9610" s="51" t="str">
        <f>IF(ISNUMBER(F9610),E9610*F9610,"")</f>
        <v/>
      </c>
      <c r="H9610" s="53"/>
      <c r="I9610" s="38"/>
      <c r="J9610" s="37">
        <v>0</v>
      </c>
    </row>
    <row r="9611" spans="1:10" ht="15.75" hidden="1" thickBot="1" x14ac:dyDescent="0.3">
      <c r="A9611" s="173" t="s">
        <v>2312</v>
      </c>
      <c r="B9611" s="176" t="s">
        <v>9795</v>
      </c>
      <c r="C9611" s="31"/>
      <c r="D9611" s="32" t="s">
        <v>18</v>
      </c>
      <c r="E9611" s="33"/>
      <c r="F9611" s="54" t="s">
        <v>13</v>
      </c>
      <c r="G9611" s="34" t="str">
        <f>IF(ISNUMBER(F9611),E9611*F9611,"")</f>
        <v/>
      </c>
      <c r="H9611" s="35"/>
      <c r="I9611" s="36"/>
      <c r="J9611" s="37">
        <v>0</v>
      </c>
    </row>
    <row r="9612" spans="1:10" hidden="1" x14ac:dyDescent="0.25">
      <c r="A9612" s="174"/>
      <c r="B9612" s="177"/>
      <c r="C9612" s="39"/>
      <c r="D9612" s="39"/>
      <c r="E9612" s="40"/>
      <c r="F9612" s="55" t="s">
        <v>13</v>
      </c>
      <c r="G9612" s="38" t="str">
        <f>IF(ISNUMBER(F9612),E9612*F9612,"")</f>
        <v/>
      </c>
      <c r="H9612" s="42"/>
      <c r="I9612" s="38"/>
      <c r="J9612" s="37">
        <v>0</v>
      </c>
    </row>
    <row r="9613" spans="1:10" hidden="1" x14ac:dyDescent="0.25">
      <c r="A9613" s="174"/>
      <c r="B9613" s="177"/>
      <c r="C9613" s="43" t="s">
        <v>10907</v>
      </c>
      <c r="D9613" s="43" t="s">
        <v>83</v>
      </c>
      <c r="E9613" s="44">
        <v>2.4E-2</v>
      </c>
      <c r="F9613" s="38">
        <v>14.715499999999999</v>
      </c>
      <c r="G9613" s="38">
        <f>IF(ISNUMBER(F9613),E9613*F9613,"")</f>
        <v>0.35317199999999999</v>
      </c>
      <c r="H9613" s="46">
        <f>SUM(G9613:G9616)</f>
        <v>18.824360200000001</v>
      </c>
      <c r="I9613" s="47"/>
      <c r="J9613" s="37">
        <v>0</v>
      </c>
    </row>
    <row r="9614" spans="1:10" hidden="1" x14ac:dyDescent="0.25">
      <c r="A9614" s="174"/>
      <c r="B9614" s="177"/>
      <c r="C9614" s="43" t="s">
        <v>2313</v>
      </c>
      <c r="D9614" s="43" t="s">
        <v>83</v>
      </c>
      <c r="E9614" s="44">
        <v>1</v>
      </c>
      <c r="F9614" s="38" t="s">
        <v>13</v>
      </c>
      <c r="G9614" s="38" t="str">
        <f>IF(ISNUMBER(F9614),E9614*F9614,"")</f>
        <v/>
      </c>
      <c r="H9614" s="42"/>
      <c r="I9614" s="38"/>
      <c r="J9614" s="37">
        <v>0</v>
      </c>
    </row>
    <row r="9615" spans="1:10" ht="25.5" hidden="1" x14ac:dyDescent="0.25">
      <c r="A9615" s="174"/>
      <c r="B9615" s="177"/>
      <c r="C9615" s="43" t="s">
        <v>10753</v>
      </c>
      <c r="D9615" s="43" t="s">
        <v>2800</v>
      </c>
      <c r="E9615" s="44">
        <v>0.33979999999999999</v>
      </c>
      <c r="F9615" s="41">
        <v>23.997</v>
      </c>
      <c r="G9615" s="38">
        <f>IF(ISNUMBER(F9615),E9615*F9615,"")</f>
        <v>8.1541806000000001</v>
      </c>
      <c r="H9615" s="42"/>
      <c r="I9615" s="38"/>
      <c r="J9615" s="37">
        <v>0</v>
      </c>
    </row>
    <row r="9616" spans="1:10" ht="25.5" hidden="1" x14ac:dyDescent="0.25">
      <c r="A9616" s="174"/>
      <c r="B9616" s="177"/>
      <c r="C9616" s="43" t="s">
        <v>10754</v>
      </c>
      <c r="D9616" s="43" t="s">
        <v>2800</v>
      </c>
      <c r="E9616" s="44">
        <v>0.33979999999999999</v>
      </c>
      <c r="F9616" s="41">
        <v>30.361999999999998</v>
      </c>
      <c r="G9616" s="38">
        <f>IF(ISNUMBER(F9616),E9616*F9616,"")</f>
        <v>10.317007599999998</v>
      </c>
      <c r="H9616" s="42"/>
      <c r="I9616" s="38"/>
      <c r="J9616" s="37">
        <v>0</v>
      </c>
    </row>
    <row r="9617" spans="1:10" ht="15.75" hidden="1" thickBot="1" x14ac:dyDescent="0.3">
      <c r="A9617" s="175"/>
      <c r="B9617" s="178"/>
      <c r="C9617" s="49"/>
      <c r="D9617" s="49"/>
      <c r="E9617" s="50"/>
      <c r="F9617" s="51" t="s">
        <v>13</v>
      </c>
      <c r="G9617" s="51" t="str">
        <f>IF(ISNUMBER(F9617),E9617*F9617,"")</f>
        <v/>
      </c>
      <c r="H9617" s="53"/>
      <c r="I9617" s="38"/>
      <c r="J9617" s="37">
        <v>0</v>
      </c>
    </row>
    <row r="9618" spans="1:10" ht="15.75" hidden="1" thickBot="1" x14ac:dyDescent="0.3">
      <c r="A9618" s="173" t="s">
        <v>2314</v>
      </c>
      <c r="B9618" s="176" t="s">
        <v>9796</v>
      </c>
      <c r="C9618" s="31"/>
      <c r="D9618" s="32" t="s">
        <v>18</v>
      </c>
      <c r="E9618" s="33"/>
      <c r="F9618" s="54" t="s">
        <v>13</v>
      </c>
      <c r="G9618" s="34" t="str">
        <f>IF(ISNUMBER(F9618),E9618*F9618,"")</f>
        <v/>
      </c>
      <c r="H9618" s="35"/>
      <c r="I9618" s="36"/>
      <c r="J9618" s="37">
        <v>0</v>
      </c>
    </row>
    <row r="9619" spans="1:10" hidden="1" x14ac:dyDescent="0.25">
      <c r="A9619" s="179"/>
      <c r="B9619" s="177"/>
      <c r="C9619" s="39"/>
      <c r="D9619" s="39"/>
      <c r="E9619" s="40"/>
      <c r="F9619" s="55" t="s">
        <v>13</v>
      </c>
      <c r="G9619" s="41" t="str">
        <f>IF(ISNUMBER(F9619),E9619*F9619,"")</f>
        <v/>
      </c>
      <c r="H9619" s="42"/>
      <c r="I9619" s="38"/>
      <c r="J9619" s="37">
        <v>0</v>
      </c>
    </row>
    <row r="9620" spans="1:10" ht="25.5" hidden="1" x14ac:dyDescent="0.25">
      <c r="A9620" s="179"/>
      <c r="B9620" s="177"/>
      <c r="C9620" s="43" t="s">
        <v>11714</v>
      </c>
      <c r="D9620" s="43" t="s">
        <v>83</v>
      </c>
      <c r="E9620" s="44">
        <v>1</v>
      </c>
      <c r="F9620" s="38">
        <v>44.592999999999996</v>
      </c>
      <c r="G9620" s="41">
        <f>IF(ISNUMBER(F9620),E9620*F9620,"")</f>
        <v>44.592999999999996</v>
      </c>
      <c r="H9620" s="46">
        <f>SUM(G9620:G9620)</f>
        <v>44.592999999999996</v>
      </c>
      <c r="I9620" s="47"/>
      <c r="J9620" s="37">
        <v>0</v>
      </c>
    </row>
    <row r="9621" spans="1:10" ht="15.75" hidden="1" thickBot="1" x14ac:dyDescent="0.3">
      <c r="A9621" s="180"/>
      <c r="B9621" s="178"/>
      <c r="C9621" s="49"/>
      <c r="D9621" s="49"/>
      <c r="E9621" s="50"/>
      <c r="F9621" s="51"/>
      <c r="G9621" s="52" t="str">
        <f>IF(ISNUMBER(F9621),E9621*F9621,"")</f>
        <v/>
      </c>
      <c r="H9621" s="53"/>
      <c r="I9621" s="47"/>
      <c r="J9621" s="37">
        <v>0</v>
      </c>
    </row>
    <row r="9622" spans="1:10" ht="15.75" hidden="1" thickBot="1" x14ac:dyDescent="0.3">
      <c r="A9622" s="173" t="s">
        <v>2315</v>
      </c>
      <c r="B9622" s="176" t="s">
        <v>9797</v>
      </c>
      <c r="C9622" s="31"/>
      <c r="D9622" s="32" t="s">
        <v>18</v>
      </c>
      <c r="E9622" s="33"/>
      <c r="F9622" s="54" t="s">
        <v>13</v>
      </c>
      <c r="G9622" s="34" t="str">
        <f>IF(ISNUMBER(F9622),E9622*F9622,"")</f>
        <v/>
      </c>
      <c r="H9622" s="35"/>
      <c r="I9622" s="36"/>
      <c r="J9622" s="37">
        <v>0</v>
      </c>
    </row>
    <row r="9623" spans="1:10" hidden="1" x14ac:dyDescent="0.25">
      <c r="A9623" s="179"/>
      <c r="B9623" s="177"/>
      <c r="C9623" s="39"/>
      <c r="D9623" s="39"/>
      <c r="E9623" s="40"/>
      <c r="F9623" s="55" t="s">
        <v>13</v>
      </c>
      <c r="G9623" s="41" t="str">
        <f>IF(ISNUMBER(F9623),E9623*F9623,"")</f>
        <v/>
      </c>
      <c r="H9623" s="42"/>
      <c r="I9623" s="38"/>
      <c r="J9623" s="37">
        <v>0</v>
      </c>
    </row>
    <row r="9624" spans="1:10" ht="25.5" hidden="1" x14ac:dyDescent="0.25">
      <c r="A9624" s="179"/>
      <c r="B9624" s="177"/>
      <c r="C9624" s="43" t="s">
        <v>11715</v>
      </c>
      <c r="D9624" s="43" t="s">
        <v>83</v>
      </c>
      <c r="E9624" s="44">
        <v>1</v>
      </c>
      <c r="F9624" s="38">
        <v>73.796000000000006</v>
      </c>
      <c r="G9624" s="41">
        <f>IF(ISNUMBER(F9624),E9624*F9624,"")</f>
        <v>73.796000000000006</v>
      </c>
      <c r="H9624" s="46">
        <f>SUM(G9624:G9624)</f>
        <v>73.796000000000006</v>
      </c>
      <c r="I9624" s="47"/>
      <c r="J9624" s="37">
        <v>0</v>
      </c>
    </row>
    <row r="9625" spans="1:10" ht="15.75" hidden="1" thickBot="1" x14ac:dyDescent="0.3">
      <c r="A9625" s="180"/>
      <c r="B9625" s="178"/>
      <c r="C9625" s="49"/>
      <c r="D9625" s="49"/>
      <c r="E9625" s="50"/>
      <c r="F9625" s="51"/>
      <c r="G9625" s="52" t="str">
        <f>IF(ISNUMBER(F9625),E9625*F9625,"")</f>
        <v/>
      </c>
      <c r="H9625" s="53"/>
      <c r="I9625" s="47"/>
      <c r="J9625" s="37">
        <v>0</v>
      </c>
    </row>
    <row r="9626" spans="1:10" ht="15.75" hidden="1" thickBot="1" x14ac:dyDescent="0.3">
      <c r="A9626" s="173" t="s">
        <v>2316</v>
      </c>
      <c r="B9626" s="176" t="s">
        <v>9810</v>
      </c>
      <c r="C9626" s="31"/>
      <c r="D9626" s="32" t="s">
        <v>68</v>
      </c>
      <c r="E9626" s="33"/>
      <c r="F9626" s="54" t="s">
        <v>13</v>
      </c>
      <c r="G9626" s="34" t="str">
        <f>IF(ISNUMBER(F9626),E9626*F9626,"")</f>
        <v/>
      </c>
      <c r="H9626" s="35"/>
      <c r="I9626" s="36"/>
      <c r="J9626" s="37">
        <v>0</v>
      </c>
    </row>
    <row r="9627" spans="1:10" hidden="1" x14ac:dyDescent="0.25">
      <c r="A9627" s="174"/>
      <c r="B9627" s="177"/>
      <c r="C9627" s="39"/>
      <c r="D9627" s="39"/>
      <c r="E9627" s="40"/>
      <c r="F9627" s="55" t="s">
        <v>13</v>
      </c>
      <c r="G9627" s="38" t="str">
        <f>IF(ISNUMBER(F9627),E9627*F9627,"")</f>
        <v/>
      </c>
      <c r="H9627" s="42"/>
      <c r="I9627" s="38"/>
      <c r="J9627" s="37">
        <v>0</v>
      </c>
    </row>
    <row r="9628" spans="1:10" ht="25.5" hidden="1" x14ac:dyDescent="0.25">
      <c r="A9628" s="174"/>
      <c r="B9628" s="177"/>
      <c r="C9628" s="43" t="s">
        <v>11166</v>
      </c>
      <c r="D9628" s="43" t="s">
        <v>1044</v>
      </c>
      <c r="E9628" s="44">
        <f>0.31+1.11+0.08</f>
        <v>1.5000000000000002</v>
      </c>
      <c r="F9628" s="41">
        <v>7.3339999999999996</v>
      </c>
      <c r="G9628" s="41">
        <f>IF(ISNUMBER(F9628),E9628*F9628,"")</f>
        <v>11.001000000000001</v>
      </c>
      <c r="H9628" s="46">
        <f>SUM(G9628:G9640)</f>
        <v>263.73225500000001</v>
      </c>
      <c r="I9628" s="47"/>
      <c r="J9628" s="37">
        <v>0</v>
      </c>
    </row>
    <row r="9629" spans="1:10" hidden="1" x14ac:dyDescent="0.25">
      <c r="A9629" s="174"/>
      <c r="B9629" s="177"/>
      <c r="C9629" s="43" t="s">
        <v>10614</v>
      </c>
      <c r="D9629" s="43" t="s">
        <v>2800</v>
      </c>
      <c r="E9629" s="44">
        <v>3</v>
      </c>
      <c r="F9629" s="41">
        <v>23.693000000000001</v>
      </c>
      <c r="G9629" s="41">
        <f>IF(ISNUMBER(F9629),E9629*F9629,"")</f>
        <v>71.079000000000008</v>
      </c>
      <c r="H9629" s="42"/>
      <c r="I9629" s="38"/>
      <c r="J9629" s="37">
        <v>0</v>
      </c>
    </row>
    <row r="9630" spans="1:10" hidden="1" x14ac:dyDescent="0.25">
      <c r="A9630" s="174"/>
      <c r="B9630" s="177"/>
      <c r="C9630" s="43" t="s">
        <v>2317</v>
      </c>
      <c r="D9630" s="43" t="s">
        <v>1044</v>
      </c>
      <c r="E9630" s="44">
        <v>0.39</v>
      </c>
      <c r="F9630" s="41" t="s">
        <v>13</v>
      </c>
      <c r="G9630" s="41" t="str">
        <f>IF(ISNUMBER(F9630),E9630*F9630,"")</f>
        <v/>
      </c>
      <c r="H9630" s="42"/>
      <c r="I9630" s="38"/>
      <c r="J9630" s="37">
        <v>0</v>
      </c>
    </row>
    <row r="9631" spans="1:10" ht="25.5" hidden="1" x14ac:dyDescent="0.25">
      <c r="A9631" s="174"/>
      <c r="B9631" s="177"/>
      <c r="C9631" s="43" t="s">
        <v>2318</v>
      </c>
      <c r="D9631" s="43" t="s">
        <v>1044</v>
      </c>
      <c r="E9631" s="44">
        <v>13.53</v>
      </c>
      <c r="F9631" s="41" t="s">
        <v>13</v>
      </c>
      <c r="G9631" s="41" t="str">
        <f>IF(ISNUMBER(F9631),E9631*F9631,"")</f>
        <v/>
      </c>
      <c r="H9631" s="42"/>
      <c r="I9631" s="38"/>
      <c r="J9631" s="37">
        <v>0</v>
      </c>
    </row>
    <row r="9632" spans="1:10" hidden="1" x14ac:dyDescent="0.25">
      <c r="A9632" s="174"/>
      <c r="B9632" s="177"/>
      <c r="C9632" s="43" t="s">
        <v>10846</v>
      </c>
      <c r="D9632" s="43" t="s">
        <v>1044</v>
      </c>
      <c r="E9632" s="44">
        <v>0.2</v>
      </c>
      <c r="F9632" s="41">
        <v>41.8</v>
      </c>
      <c r="G9632" s="41">
        <f>IF(ISNUMBER(F9632),E9632*F9632,"")</f>
        <v>8.36</v>
      </c>
      <c r="H9632" s="42"/>
      <c r="I9632" s="38"/>
      <c r="J9632" s="37">
        <v>0</v>
      </c>
    </row>
    <row r="9633" spans="1:10" ht="25.5" hidden="1" x14ac:dyDescent="0.25">
      <c r="A9633" s="174"/>
      <c r="B9633" s="177"/>
      <c r="C9633" s="43" t="s">
        <v>10825</v>
      </c>
      <c r="D9633" s="43" t="s">
        <v>2800</v>
      </c>
      <c r="E9633" s="44">
        <f>0.29+3</f>
        <v>3.29</v>
      </c>
      <c r="F9633" s="41">
        <v>25.383999999999997</v>
      </c>
      <c r="G9633" s="41">
        <f>IF(ISNUMBER(F9633),E9633*F9633,"")</f>
        <v>83.513359999999992</v>
      </c>
      <c r="H9633" s="42"/>
      <c r="I9633" s="38"/>
      <c r="J9633" s="37">
        <v>0</v>
      </c>
    </row>
    <row r="9634" spans="1:10" hidden="1" x14ac:dyDescent="0.25">
      <c r="A9634" s="174"/>
      <c r="B9634" s="177"/>
      <c r="C9634" s="43" t="s">
        <v>2319</v>
      </c>
      <c r="D9634" s="43" t="s">
        <v>83</v>
      </c>
      <c r="E9634" s="44">
        <v>0.125</v>
      </c>
      <c r="F9634" s="41" t="s">
        <v>13</v>
      </c>
      <c r="G9634" s="41" t="str">
        <f>IF(ISNUMBER(F9634),E9634*F9634,"")</f>
        <v/>
      </c>
      <c r="H9634" s="42"/>
      <c r="I9634" s="38"/>
      <c r="J9634" s="37">
        <v>0</v>
      </c>
    </row>
    <row r="9635" spans="1:10" hidden="1" x14ac:dyDescent="0.25">
      <c r="A9635" s="174"/>
      <c r="B9635" s="177"/>
      <c r="C9635" s="43" t="s">
        <v>10840</v>
      </c>
      <c r="D9635" s="43" t="s">
        <v>1044</v>
      </c>
      <c r="E9635" s="44">
        <v>7.53</v>
      </c>
      <c r="F9635" s="41">
        <v>9.5</v>
      </c>
      <c r="G9635" s="41">
        <f>IF(ISNUMBER(F9635),E9635*F9635,"")</f>
        <v>71.534999999999997</v>
      </c>
      <c r="H9635" s="42"/>
      <c r="I9635" s="38"/>
      <c r="J9635" s="37">
        <v>0</v>
      </c>
    </row>
    <row r="9636" spans="1:10" hidden="1" x14ac:dyDescent="0.25">
      <c r="A9636" s="174"/>
      <c r="B9636" s="177"/>
      <c r="C9636" s="43" t="s">
        <v>2320</v>
      </c>
      <c r="D9636" s="43" t="s">
        <v>83</v>
      </c>
      <c r="E9636" s="44">
        <v>0.44</v>
      </c>
      <c r="F9636" s="41" t="s">
        <v>13</v>
      </c>
      <c r="G9636" s="41" t="str">
        <f>IF(ISNUMBER(F9636),E9636*F9636,"")</f>
        <v/>
      </c>
      <c r="H9636" s="42"/>
      <c r="I9636" s="38"/>
      <c r="J9636" s="37">
        <v>0</v>
      </c>
    </row>
    <row r="9637" spans="1:10" hidden="1" x14ac:dyDescent="0.25">
      <c r="A9637" s="174"/>
      <c r="B9637" s="177"/>
      <c r="C9637" s="43" t="s">
        <v>11716</v>
      </c>
      <c r="D9637" s="43" t="s">
        <v>2800</v>
      </c>
      <c r="E9637" s="44">
        <v>0.25</v>
      </c>
      <c r="F9637" s="41">
        <v>10.468999999999999</v>
      </c>
      <c r="G9637" s="41">
        <f>IF(ISNUMBER(F9637),E9637*F9637,"")</f>
        <v>2.6172499999999999</v>
      </c>
      <c r="H9637" s="42"/>
      <c r="I9637" s="38"/>
      <c r="J9637" s="37">
        <v>0</v>
      </c>
    </row>
    <row r="9638" spans="1:10" ht="25.5" hidden="1" x14ac:dyDescent="0.25">
      <c r="A9638" s="174"/>
      <c r="B9638" s="177"/>
      <c r="C9638" s="43" t="s">
        <v>2321</v>
      </c>
      <c r="D9638" s="43" t="s">
        <v>1044</v>
      </c>
      <c r="E9638" s="44">
        <v>8</v>
      </c>
      <c r="F9638" s="41" t="s">
        <v>13</v>
      </c>
      <c r="G9638" s="41" t="str">
        <f>IF(ISNUMBER(F9638),E9638*F9638,"")</f>
        <v/>
      </c>
      <c r="H9638" s="42"/>
      <c r="I9638" s="38"/>
      <c r="J9638" s="37">
        <v>0</v>
      </c>
    </row>
    <row r="9639" spans="1:10" hidden="1" x14ac:dyDescent="0.25">
      <c r="A9639" s="174"/>
      <c r="B9639" s="177"/>
      <c r="C9639" s="43" t="s">
        <v>10800</v>
      </c>
      <c r="D9639" s="43" t="s">
        <v>2800</v>
      </c>
      <c r="E9639" s="44">
        <v>0.51500000000000001</v>
      </c>
      <c r="F9639" s="41">
        <v>30.343</v>
      </c>
      <c r="G9639" s="41">
        <f>IF(ISNUMBER(F9639),E9639*F9639,"")</f>
        <v>15.626645</v>
      </c>
      <c r="H9639" s="42"/>
      <c r="I9639" s="38"/>
      <c r="J9639" s="37">
        <v>0</v>
      </c>
    </row>
    <row r="9640" spans="1:10" ht="25.5" hidden="1" x14ac:dyDescent="0.25">
      <c r="A9640" s="174"/>
      <c r="B9640" s="177"/>
      <c r="C9640" s="43" t="s">
        <v>2322</v>
      </c>
      <c r="D9640" s="43" t="s">
        <v>162</v>
      </c>
      <c r="E9640" s="44">
        <v>1</v>
      </c>
      <c r="F9640" s="41" t="s">
        <v>13</v>
      </c>
      <c r="G9640" s="41" t="str">
        <f>IF(ISNUMBER(F9640),E9640*F9640,"")</f>
        <v/>
      </c>
      <c r="H9640" s="42"/>
      <c r="I9640" s="38"/>
      <c r="J9640" s="37">
        <v>0</v>
      </c>
    </row>
    <row r="9641" spans="1:10" ht="15.75" hidden="1" thickBot="1" x14ac:dyDescent="0.3">
      <c r="A9641" s="175"/>
      <c r="B9641" s="178"/>
      <c r="C9641" s="49"/>
      <c r="D9641" s="49"/>
      <c r="E9641" s="50"/>
      <c r="F9641" s="51" t="s">
        <v>13</v>
      </c>
      <c r="G9641" s="51" t="str">
        <f>IF(ISNUMBER(F9641),E9641*F9641,"")</f>
        <v/>
      </c>
      <c r="H9641" s="53"/>
      <c r="I9641" s="38"/>
      <c r="J9641" s="37">
        <v>0</v>
      </c>
    </row>
    <row r="9642" spans="1:10" ht="15.75" hidden="1" thickBot="1" x14ac:dyDescent="0.3">
      <c r="A9642" s="173" t="s">
        <v>2323</v>
      </c>
      <c r="B9642" s="176" t="s">
        <v>9811</v>
      </c>
      <c r="C9642" s="31"/>
      <c r="D9642" s="32" t="s">
        <v>68</v>
      </c>
      <c r="E9642" s="33"/>
      <c r="F9642" s="54" t="s">
        <v>13</v>
      </c>
      <c r="G9642" s="34" t="str">
        <f>IF(ISNUMBER(F9642),E9642*F9642,"")</f>
        <v/>
      </c>
      <c r="H9642" s="35"/>
      <c r="I9642" s="36"/>
      <c r="J9642" s="37">
        <v>0</v>
      </c>
    </row>
    <row r="9643" spans="1:10" hidden="1" x14ac:dyDescent="0.25">
      <c r="A9643" s="174"/>
      <c r="B9643" s="177"/>
      <c r="C9643" s="39"/>
      <c r="D9643" s="39"/>
      <c r="E9643" s="40"/>
      <c r="F9643" s="55" t="s">
        <v>13</v>
      </c>
      <c r="G9643" s="38" t="str">
        <f>IF(ISNUMBER(F9643),E9643*F9643,"")</f>
        <v/>
      </c>
      <c r="H9643" s="42"/>
      <c r="I9643" s="38"/>
      <c r="J9643" s="37">
        <v>0</v>
      </c>
    </row>
    <row r="9644" spans="1:10" ht="25.5" hidden="1" x14ac:dyDescent="0.25">
      <c r="A9644" s="174"/>
      <c r="B9644" s="177"/>
      <c r="C9644" s="43" t="s">
        <v>11166</v>
      </c>
      <c r="D9644" s="43" t="s">
        <v>1044</v>
      </c>
      <c r="E9644" s="44">
        <f>0.31+1.11+0.08</f>
        <v>1.5000000000000002</v>
      </c>
      <c r="F9644" s="41">
        <v>7.3339999999999996</v>
      </c>
      <c r="G9644" s="41">
        <f>IF(ISNUMBER(F9644),E9644*F9644,"")</f>
        <v>11.001000000000001</v>
      </c>
      <c r="H9644" s="46">
        <f>SUM(G9644:G9656)</f>
        <v>339.59030392149504</v>
      </c>
      <c r="I9644" s="47"/>
      <c r="J9644" s="37">
        <v>0</v>
      </c>
    </row>
    <row r="9645" spans="1:10" hidden="1" x14ac:dyDescent="0.25">
      <c r="A9645" s="174"/>
      <c r="B9645" s="177"/>
      <c r="C9645" s="43" t="s">
        <v>10614</v>
      </c>
      <c r="D9645" s="43" t="s">
        <v>2800</v>
      </c>
      <c r="E9645" s="44">
        <v>3</v>
      </c>
      <c r="F9645" s="41">
        <v>23.693000000000001</v>
      </c>
      <c r="G9645" s="41">
        <f>IF(ISNUMBER(F9645),E9645*F9645,"")</f>
        <v>71.079000000000008</v>
      </c>
      <c r="H9645" s="42"/>
      <c r="I9645" s="38"/>
      <c r="J9645" s="37">
        <v>0</v>
      </c>
    </row>
    <row r="9646" spans="1:10" hidden="1" x14ac:dyDescent="0.25">
      <c r="A9646" s="174"/>
      <c r="B9646" s="177"/>
      <c r="C9646" s="43" t="s">
        <v>2317</v>
      </c>
      <c r="D9646" s="43" t="s">
        <v>1044</v>
      </c>
      <c r="E9646" s="44">
        <v>0.39</v>
      </c>
      <c r="F9646" s="41" t="s">
        <v>13</v>
      </c>
      <c r="G9646" s="41" t="str">
        <f>IF(ISNUMBER(F9646),E9646*F9646,"")</f>
        <v/>
      </c>
      <c r="H9646" s="42"/>
      <c r="I9646" s="38"/>
      <c r="J9646" s="37">
        <v>0</v>
      </c>
    </row>
    <row r="9647" spans="1:10" ht="25.5" hidden="1" x14ac:dyDescent="0.25">
      <c r="A9647" s="174"/>
      <c r="B9647" s="177"/>
      <c r="C9647" s="43" t="s">
        <v>2318</v>
      </c>
      <c r="D9647" s="43" t="s">
        <v>1044</v>
      </c>
      <c r="E9647" s="44">
        <v>13.53</v>
      </c>
      <c r="F9647" s="41" t="s">
        <v>13</v>
      </c>
      <c r="G9647" s="41" t="str">
        <f>IF(ISNUMBER(F9647),E9647*F9647,"")</f>
        <v/>
      </c>
      <c r="H9647" s="42"/>
      <c r="I9647" s="38"/>
      <c r="J9647" s="37">
        <v>0</v>
      </c>
    </row>
    <row r="9648" spans="1:10" hidden="1" x14ac:dyDescent="0.25">
      <c r="A9648" s="174"/>
      <c r="B9648" s="177"/>
      <c r="C9648" s="43" t="s">
        <v>10846</v>
      </c>
      <c r="D9648" s="43" t="s">
        <v>1044</v>
      </c>
      <c r="E9648" s="44">
        <v>0.2</v>
      </c>
      <c r="F9648" s="41">
        <v>41.8</v>
      </c>
      <c r="G9648" s="41">
        <f>IF(ISNUMBER(F9648),E9648*F9648,"")</f>
        <v>8.36</v>
      </c>
      <c r="H9648" s="42"/>
      <c r="I9648" s="38"/>
      <c r="J9648" s="37">
        <v>0</v>
      </c>
    </row>
    <row r="9649" spans="1:10" ht="25.5" hidden="1" x14ac:dyDescent="0.25">
      <c r="A9649" s="174"/>
      <c r="B9649" s="177"/>
      <c r="C9649" s="43" t="s">
        <v>10825</v>
      </c>
      <c r="D9649" s="43" t="s">
        <v>2800</v>
      </c>
      <c r="E9649" s="44">
        <f>0.29+3</f>
        <v>3.29</v>
      </c>
      <c r="F9649" s="41">
        <v>25.383999999999997</v>
      </c>
      <c r="G9649" s="41">
        <f>IF(ISNUMBER(F9649),E9649*F9649,"")</f>
        <v>83.513359999999992</v>
      </c>
      <c r="H9649" s="42"/>
      <c r="I9649" s="38"/>
      <c r="J9649" s="37">
        <v>0</v>
      </c>
    </row>
    <row r="9650" spans="1:10" hidden="1" x14ac:dyDescent="0.25">
      <c r="A9650" s="174"/>
      <c r="B9650" s="177"/>
      <c r="C9650" s="43" t="s">
        <v>2319</v>
      </c>
      <c r="D9650" s="43" t="s">
        <v>83</v>
      </c>
      <c r="E9650" s="44">
        <v>0.125</v>
      </c>
      <c r="F9650" s="41" t="s">
        <v>13</v>
      </c>
      <c r="G9650" s="41" t="str">
        <f>IF(ISNUMBER(F9650),E9650*F9650,"")</f>
        <v/>
      </c>
      <c r="H9650" s="42"/>
      <c r="I9650" s="38"/>
      <c r="J9650" s="37">
        <v>0</v>
      </c>
    </row>
    <row r="9651" spans="1:10" hidden="1" x14ac:dyDescent="0.25">
      <c r="A9651" s="174"/>
      <c r="B9651" s="177"/>
      <c r="C9651" s="43" t="s">
        <v>10840</v>
      </c>
      <c r="D9651" s="43" t="s">
        <v>1044</v>
      </c>
      <c r="E9651" s="44">
        <v>7.53</v>
      </c>
      <c r="F9651" s="41">
        <v>9.5</v>
      </c>
      <c r="G9651" s="41">
        <f>IF(ISNUMBER(F9651),E9651*F9651,"")</f>
        <v>71.534999999999997</v>
      </c>
      <c r="H9651" s="42"/>
      <c r="I9651" s="38"/>
      <c r="J9651" s="37">
        <v>0</v>
      </c>
    </row>
    <row r="9652" spans="1:10" hidden="1" x14ac:dyDescent="0.25">
      <c r="A9652" s="174"/>
      <c r="B9652" s="177"/>
      <c r="C9652" s="43" t="s">
        <v>2320</v>
      </c>
      <c r="D9652" s="43" t="s">
        <v>83</v>
      </c>
      <c r="E9652" s="44">
        <v>0.44</v>
      </c>
      <c r="F9652" s="41" t="s">
        <v>13</v>
      </c>
      <c r="G9652" s="41" t="str">
        <f>IF(ISNUMBER(F9652),E9652*F9652,"")</f>
        <v/>
      </c>
      <c r="H9652" s="42"/>
      <c r="I9652" s="38"/>
      <c r="J9652" s="37">
        <v>0</v>
      </c>
    </row>
    <row r="9653" spans="1:10" hidden="1" x14ac:dyDescent="0.25">
      <c r="A9653" s="174"/>
      <c r="B9653" s="177"/>
      <c r="C9653" s="43" t="s">
        <v>11716</v>
      </c>
      <c r="D9653" s="43" t="s">
        <v>2800</v>
      </c>
      <c r="E9653" s="44">
        <v>0.25</v>
      </c>
      <c r="F9653" s="41">
        <v>10.468999999999999</v>
      </c>
      <c r="G9653" s="41">
        <f>IF(ISNUMBER(F9653),E9653*F9653,"")</f>
        <v>2.6172499999999999</v>
      </c>
      <c r="H9653" s="42"/>
      <c r="I9653" s="38"/>
      <c r="J9653" s="37">
        <v>0</v>
      </c>
    </row>
    <row r="9654" spans="1:10" ht="51" hidden="1" x14ac:dyDescent="0.25">
      <c r="A9654" s="174"/>
      <c r="B9654" s="177"/>
      <c r="C9654" s="43" t="s">
        <v>10742</v>
      </c>
      <c r="D9654" s="43" t="s">
        <v>162</v>
      </c>
      <c r="E9654" s="44">
        <v>0.9073</v>
      </c>
      <c r="F9654" s="70">
        <v>38.9755094</v>
      </c>
      <c r="G9654" s="70">
        <f>IF(ISNUMBER(F9654),E9654*F9654,"")</f>
        <v>35.362479678619998</v>
      </c>
      <c r="H9654" s="42"/>
      <c r="I9654" s="47"/>
      <c r="J9654" s="37">
        <v>0</v>
      </c>
    </row>
    <row r="9655" spans="1:10" ht="38.25" hidden="1" x14ac:dyDescent="0.25">
      <c r="A9655" s="174"/>
      <c r="B9655" s="177"/>
      <c r="C9655" s="43" t="s">
        <v>10743</v>
      </c>
      <c r="D9655" s="43" t="s">
        <v>1302</v>
      </c>
      <c r="E9655" s="44">
        <v>0.34150000000000003</v>
      </c>
      <c r="F9655" s="70">
        <v>164.34030525000006</v>
      </c>
      <c r="G9655" s="70">
        <f>IF(ISNUMBER(F9655),E9655*F9655,"")</f>
        <v>56.122214242875025</v>
      </c>
      <c r="H9655" s="42"/>
      <c r="I9655" s="72"/>
      <c r="J9655" s="37">
        <v>0</v>
      </c>
    </row>
    <row r="9656" spans="1:10" ht="15.75" hidden="1" thickBot="1" x14ac:dyDescent="0.3">
      <c r="A9656" s="175"/>
      <c r="B9656" s="178"/>
      <c r="C9656" s="49"/>
      <c r="D9656" s="49"/>
      <c r="E9656" s="50"/>
      <c r="F9656" s="51" t="s">
        <v>13</v>
      </c>
      <c r="G9656" s="51" t="str">
        <f>IF(ISNUMBER(F9656),E9656*F9656,"")</f>
        <v/>
      </c>
      <c r="H9656" s="53"/>
      <c r="I9656" s="38"/>
      <c r="J9656" s="37">
        <v>0</v>
      </c>
    </row>
    <row r="9657" spans="1:10" ht="15.75" hidden="1" thickBot="1" x14ac:dyDescent="0.3">
      <c r="A9657" s="173" t="s">
        <v>2324</v>
      </c>
      <c r="B9657" s="176" t="s">
        <v>9812</v>
      </c>
      <c r="C9657" s="31"/>
      <c r="D9657" s="32" t="s">
        <v>68</v>
      </c>
      <c r="E9657" s="33"/>
      <c r="F9657" s="54" t="s">
        <v>13</v>
      </c>
      <c r="G9657" s="34" t="str">
        <f>IF(ISNUMBER(F9657),E9657*F9657,"")</f>
        <v/>
      </c>
      <c r="H9657" s="35"/>
      <c r="I9657" s="36"/>
      <c r="J9657" s="37">
        <v>0</v>
      </c>
    </row>
    <row r="9658" spans="1:10" hidden="1" x14ac:dyDescent="0.25">
      <c r="A9658" s="174"/>
      <c r="B9658" s="177"/>
      <c r="C9658" s="39"/>
      <c r="D9658" s="39"/>
      <c r="E9658" s="40"/>
      <c r="F9658" s="55" t="s">
        <v>13</v>
      </c>
      <c r="G9658" s="38" t="str">
        <f>IF(ISNUMBER(F9658),E9658*F9658,"")</f>
        <v/>
      </c>
      <c r="H9658" s="42"/>
      <c r="I9658" s="38"/>
      <c r="J9658" s="37">
        <v>0</v>
      </c>
    </row>
    <row r="9659" spans="1:10" hidden="1" x14ac:dyDescent="0.25">
      <c r="A9659" s="174"/>
      <c r="B9659" s="177"/>
      <c r="C9659" s="43" t="s">
        <v>10872</v>
      </c>
      <c r="D9659" s="43" t="s">
        <v>1044</v>
      </c>
      <c r="E9659" s="44">
        <v>8.6199999999999992</v>
      </c>
      <c r="F9659" s="41">
        <v>1.7765</v>
      </c>
      <c r="G9659" s="41">
        <f>IF(ISNUMBER(F9659),E9659*F9659,"")</f>
        <v>15.313429999999999</v>
      </c>
      <c r="H9659" s="46">
        <f>SUM(G9659:G9663)</f>
        <v>66.587856000000002</v>
      </c>
      <c r="I9659" s="47"/>
      <c r="J9659" s="37">
        <v>0</v>
      </c>
    </row>
    <row r="9660" spans="1:10" hidden="1" x14ac:dyDescent="0.25">
      <c r="A9660" s="174"/>
      <c r="B9660" s="177"/>
      <c r="C9660" s="43" t="s">
        <v>10830</v>
      </c>
      <c r="D9660" s="43" t="s">
        <v>2800</v>
      </c>
      <c r="E9660" s="44">
        <v>1.1879999999999999</v>
      </c>
      <c r="F9660" s="38">
        <v>30.912999999999997</v>
      </c>
      <c r="G9660" s="41">
        <f>IF(ISNUMBER(F9660),E9660*F9660,"")</f>
        <v>36.724643999999998</v>
      </c>
      <c r="H9660" s="42"/>
      <c r="I9660" s="38"/>
      <c r="J9660" s="37">
        <v>0</v>
      </c>
    </row>
    <row r="9661" spans="1:10" hidden="1" x14ac:dyDescent="0.25">
      <c r="A9661" s="174"/>
      <c r="B9661" s="177"/>
      <c r="C9661" s="43" t="s">
        <v>10614</v>
      </c>
      <c r="D9661" s="43" t="s">
        <v>2800</v>
      </c>
      <c r="E9661" s="44">
        <v>0.59399999999999997</v>
      </c>
      <c r="F9661" s="38">
        <v>23.693000000000001</v>
      </c>
      <c r="G9661" s="41">
        <f>IF(ISNUMBER(F9661),E9661*F9661,"")</f>
        <v>14.073642</v>
      </c>
      <c r="H9661" s="42"/>
      <c r="I9661" s="38"/>
      <c r="J9661" s="37">
        <v>0</v>
      </c>
    </row>
    <row r="9662" spans="1:10" hidden="1" x14ac:dyDescent="0.25">
      <c r="A9662" s="174"/>
      <c r="B9662" s="177"/>
      <c r="C9662" s="43" t="s">
        <v>10871</v>
      </c>
      <c r="D9662" s="43" t="s">
        <v>1044</v>
      </c>
      <c r="E9662" s="44">
        <v>0.14000000000000001</v>
      </c>
      <c r="F9662" s="41">
        <v>3.4009999999999998</v>
      </c>
      <c r="G9662" s="41">
        <f>IF(ISNUMBER(F9662),E9662*F9662,"")</f>
        <v>0.47614000000000001</v>
      </c>
      <c r="H9662" s="42"/>
      <c r="I9662" s="38"/>
      <c r="J9662" s="37">
        <v>0</v>
      </c>
    </row>
    <row r="9663" spans="1:10" ht="25.5" hidden="1" x14ac:dyDescent="0.25">
      <c r="A9663" s="174"/>
      <c r="B9663" s="177"/>
      <c r="C9663" s="43" t="s">
        <v>2325</v>
      </c>
      <c r="D9663" s="43" t="s">
        <v>68</v>
      </c>
      <c r="E9663" s="44">
        <v>1.1599999999999999</v>
      </c>
      <c r="F9663" s="41" t="s">
        <v>13</v>
      </c>
      <c r="G9663" s="70" t="str">
        <f>IF(ISNUMBER(F9663),E9663*F9663,"")</f>
        <v/>
      </c>
      <c r="H9663" s="42"/>
      <c r="I9663" s="38"/>
      <c r="J9663" s="37">
        <v>0</v>
      </c>
    </row>
    <row r="9664" spans="1:10" ht="15.75" hidden="1" thickBot="1" x14ac:dyDescent="0.3">
      <c r="A9664" s="175"/>
      <c r="B9664" s="178"/>
      <c r="C9664" s="49"/>
      <c r="D9664" s="49"/>
      <c r="E9664" s="50"/>
      <c r="F9664" s="51" t="s">
        <v>13</v>
      </c>
      <c r="G9664" s="51" t="str">
        <f>IF(ISNUMBER(F9664),E9664*F9664,"")</f>
        <v/>
      </c>
      <c r="H9664" s="53"/>
      <c r="I9664" s="38"/>
      <c r="J9664" s="37">
        <v>0</v>
      </c>
    </row>
    <row r="9665" spans="1:10" ht="15.75" hidden="1" thickBot="1" x14ac:dyDescent="0.3">
      <c r="A9665" s="173" t="s">
        <v>2326</v>
      </c>
      <c r="B9665" s="176" t="s">
        <v>9813</v>
      </c>
      <c r="C9665" s="31"/>
      <c r="D9665" s="32" t="s">
        <v>72</v>
      </c>
      <c r="E9665" s="33"/>
      <c r="F9665" s="54" t="s">
        <v>13</v>
      </c>
      <c r="G9665" s="34" t="str">
        <f>IF(ISNUMBER(F9665),E9665*F9665,"")</f>
        <v/>
      </c>
      <c r="H9665" s="35"/>
      <c r="I9665" s="36"/>
      <c r="J9665" s="37">
        <v>0</v>
      </c>
    </row>
    <row r="9666" spans="1:10" hidden="1" x14ac:dyDescent="0.25">
      <c r="A9666" s="174"/>
      <c r="B9666" s="177"/>
      <c r="C9666" s="39"/>
      <c r="D9666" s="39"/>
      <c r="E9666" s="40"/>
      <c r="F9666" s="55" t="s">
        <v>13</v>
      </c>
      <c r="G9666" s="38" t="str">
        <f>IF(ISNUMBER(F9666),E9666*F9666,"")</f>
        <v/>
      </c>
      <c r="H9666" s="42"/>
      <c r="I9666" s="38"/>
      <c r="J9666" s="37">
        <v>0</v>
      </c>
    </row>
    <row r="9667" spans="1:10" ht="25.5" hidden="1" x14ac:dyDescent="0.25">
      <c r="A9667" s="174"/>
      <c r="B9667" s="177"/>
      <c r="C9667" s="43" t="s">
        <v>10839</v>
      </c>
      <c r="D9667" s="43" t="s">
        <v>1050</v>
      </c>
      <c r="E9667" s="44">
        <v>0.5</v>
      </c>
      <c r="F9667" s="41">
        <v>5.6999999999999995E-2</v>
      </c>
      <c r="G9667" s="41">
        <f>IF(ISNUMBER(F9667),E9667*F9667,"")</f>
        <v>2.8499999999999998E-2</v>
      </c>
      <c r="H9667" s="46">
        <f>SUM(G9667:G9679)</f>
        <v>24.713608956309013</v>
      </c>
      <c r="I9667" s="47"/>
      <c r="J9667" s="37">
        <v>0</v>
      </c>
    </row>
    <row r="9668" spans="1:10" hidden="1" x14ac:dyDescent="0.25">
      <c r="A9668" s="174"/>
      <c r="B9668" s="177"/>
      <c r="C9668" s="43" t="s">
        <v>10840</v>
      </c>
      <c r="D9668" s="43" t="s">
        <v>1044</v>
      </c>
      <c r="E9668" s="44">
        <v>0.4</v>
      </c>
      <c r="F9668" s="41">
        <v>9.5</v>
      </c>
      <c r="G9668" s="41">
        <f>IF(ISNUMBER(F9668),E9668*F9668,"")</f>
        <v>3.8000000000000003</v>
      </c>
      <c r="H9668" s="42"/>
      <c r="I9668" s="47"/>
      <c r="J9668" s="37">
        <v>0</v>
      </c>
    </row>
    <row r="9669" spans="1:10" ht="25.5" hidden="1" x14ac:dyDescent="0.25">
      <c r="A9669" s="174"/>
      <c r="B9669" s="177"/>
      <c r="C9669" s="43" t="s">
        <v>10841</v>
      </c>
      <c r="D9669" s="43" t="s">
        <v>2880</v>
      </c>
      <c r="E9669" s="44">
        <v>0.05</v>
      </c>
      <c r="F9669" s="41">
        <v>21.754999999999999</v>
      </c>
      <c r="G9669" s="41">
        <f>IF(ISNUMBER(F9669),E9669*F9669,"")</f>
        <v>1.08775</v>
      </c>
      <c r="H9669" s="42"/>
      <c r="I9669" s="47"/>
      <c r="J9669" s="37">
        <v>0</v>
      </c>
    </row>
    <row r="9670" spans="1:10" ht="25.5" hidden="1" x14ac:dyDescent="0.25">
      <c r="A9670" s="174"/>
      <c r="B9670" s="177"/>
      <c r="C9670" s="43" t="s">
        <v>10842</v>
      </c>
      <c r="D9670" s="43" t="s">
        <v>1044</v>
      </c>
      <c r="E9670" s="44">
        <v>0.01</v>
      </c>
      <c r="F9670" s="41">
        <v>99.274999999999991</v>
      </c>
      <c r="G9670" s="41">
        <f>IF(ISNUMBER(F9670),E9670*F9670,"")</f>
        <v>0.99274999999999991</v>
      </c>
      <c r="H9670" s="42"/>
      <c r="I9670" s="47"/>
      <c r="J9670" s="37">
        <v>0</v>
      </c>
    </row>
    <row r="9671" spans="1:10" hidden="1" x14ac:dyDescent="0.25">
      <c r="A9671" s="174"/>
      <c r="B9671" s="177"/>
      <c r="C9671" s="43" t="s">
        <v>10808</v>
      </c>
      <c r="D9671" s="43" t="s">
        <v>2800</v>
      </c>
      <c r="E9671" s="44">
        <v>0.02</v>
      </c>
      <c r="F9671" s="41">
        <v>31.729999999999997</v>
      </c>
      <c r="G9671" s="41">
        <f>IF(ISNUMBER(F9671),E9671*F9671,"")</f>
        <v>0.63459999999999994</v>
      </c>
      <c r="H9671" s="42"/>
      <c r="I9671" s="47"/>
      <c r="J9671" s="37">
        <v>0</v>
      </c>
    </row>
    <row r="9672" spans="1:10" ht="25.5" hidden="1" x14ac:dyDescent="0.25">
      <c r="A9672" s="174"/>
      <c r="B9672" s="177"/>
      <c r="C9672" s="43" t="s">
        <v>10843</v>
      </c>
      <c r="D9672" s="43" t="s">
        <v>2800</v>
      </c>
      <c r="E9672" s="44">
        <v>0.1</v>
      </c>
      <c r="F9672" s="41">
        <v>23.388999999999999</v>
      </c>
      <c r="G9672" s="41">
        <f>IF(ISNUMBER(F9672),E9672*F9672,"")</f>
        <v>2.3389000000000002</v>
      </c>
      <c r="H9672" s="42"/>
      <c r="I9672" s="47"/>
      <c r="J9672" s="37">
        <v>0</v>
      </c>
    </row>
    <row r="9673" spans="1:10" ht="25.5" hidden="1" x14ac:dyDescent="0.25">
      <c r="A9673" s="174"/>
      <c r="B9673" s="177"/>
      <c r="C9673" s="43" t="s">
        <v>10825</v>
      </c>
      <c r="D9673" s="43" t="s">
        <v>2800</v>
      </c>
      <c r="E9673" s="44">
        <v>0.3</v>
      </c>
      <c r="F9673" s="41">
        <v>25.383999999999997</v>
      </c>
      <c r="G9673" s="41">
        <f>IF(ISNUMBER(F9673),E9673*F9673,"")</f>
        <v>7.6151999999999989</v>
      </c>
      <c r="H9673" s="42"/>
      <c r="I9673" s="47"/>
      <c r="J9673" s="37">
        <v>0</v>
      </c>
    </row>
    <row r="9674" spans="1:10" hidden="1" x14ac:dyDescent="0.25">
      <c r="A9674" s="174"/>
      <c r="B9674" s="177"/>
      <c r="C9674" s="43" t="s">
        <v>10673</v>
      </c>
      <c r="D9674" s="43" t="s">
        <v>70</v>
      </c>
      <c r="E9674" s="44">
        <f>0.0062*3.6</f>
        <v>2.232E-2</v>
      </c>
      <c r="F9674" s="41">
        <v>48.221999999999994</v>
      </c>
      <c r="G9674" s="41">
        <f>IF(ISNUMBER(F9674),E9674*F9674,"")</f>
        <v>1.0763150399999999</v>
      </c>
      <c r="H9674" s="42"/>
      <c r="I9674" s="47"/>
      <c r="J9674" s="37">
        <v>0</v>
      </c>
    </row>
    <row r="9675" spans="1:10" hidden="1" x14ac:dyDescent="0.25">
      <c r="A9675" s="174"/>
      <c r="B9675" s="177"/>
      <c r="C9675" s="43" t="s">
        <v>10844</v>
      </c>
      <c r="D9675" s="43" t="s">
        <v>2800</v>
      </c>
      <c r="E9675" s="44">
        <v>2.5000000000000001E-2</v>
      </c>
      <c r="F9675" s="41">
        <v>25.1845</v>
      </c>
      <c r="G9675" s="41">
        <f>IF(ISNUMBER(F9675),E9675*F9675,"")</f>
        <v>0.62961250000000002</v>
      </c>
      <c r="H9675" s="42"/>
      <c r="I9675" s="47"/>
      <c r="J9675" s="37">
        <v>0</v>
      </c>
    </row>
    <row r="9676" spans="1:10" hidden="1" x14ac:dyDescent="0.25">
      <c r="A9676" s="174"/>
      <c r="B9676" s="177"/>
      <c r="C9676" s="43" t="s">
        <v>10845</v>
      </c>
      <c r="D9676" s="43" t="s">
        <v>1044</v>
      </c>
      <c r="E9676" s="44">
        <v>0.33</v>
      </c>
      <c r="F9676" s="41">
        <v>8.302999999999999</v>
      </c>
      <c r="G9676" s="41">
        <f>IF(ISNUMBER(F9676),E9676*F9676,"")</f>
        <v>2.7399899999999997</v>
      </c>
      <c r="H9676" s="42"/>
      <c r="I9676" s="38"/>
      <c r="J9676" s="37">
        <v>0</v>
      </c>
    </row>
    <row r="9677" spans="1:10" hidden="1" x14ac:dyDescent="0.25">
      <c r="A9677" s="174"/>
      <c r="B9677" s="177"/>
      <c r="C9677" s="43" t="s">
        <v>10846</v>
      </c>
      <c r="D9677" s="43" t="s">
        <v>1044</v>
      </c>
      <c r="E9677" s="44">
        <v>2.5000000000000001E-2</v>
      </c>
      <c r="F9677" s="41">
        <v>41.8</v>
      </c>
      <c r="G9677" s="41">
        <f>IF(ISNUMBER(F9677),E9677*F9677,"")</f>
        <v>1.0449999999999999</v>
      </c>
      <c r="H9677" s="42"/>
      <c r="I9677" s="38"/>
      <c r="J9677" s="37">
        <v>0</v>
      </c>
    </row>
    <row r="9678" spans="1:10" ht="25.5" hidden="1" x14ac:dyDescent="0.25">
      <c r="A9678" s="174"/>
      <c r="B9678" s="177"/>
      <c r="C9678" s="43" t="s">
        <v>82</v>
      </c>
      <c r="D9678" s="43" t="s">
        <v>83</v>
      </c>
      <c r="E9678" s="44">
        <v>1E-4</v>
      </c>
      <c r="F9678" s="41" t="s">
        <v>13</v>
      </c>
      <c r="G9678" s="41" t="str">
        <f>IF(ISNUMBER(F9678),E9678*F9678,"")</f>
        <v/>
      </c>
      <c r="H9678" s="42"/>
      <c r="I9678" s="38"/>
      <c r="J9678" s="37">
        <v>0</v>
      </c>
    </row>
    <row r="9679" spans="1:10" ht="25.5" hidden="1" x14ac:dyDescent="0.25">
      <c r="A9679" s="174"/>
      <c r="B9679" s="177"/>
      <c r="C9679" s="43" t="s">
        <v>10847</v>
      </c>
      <c r="D9679" s="43" t="s">
        <v>1302</v>
      </c>
      <c r="E9679" s="44">
        <f>0.27/6.99</f>
        <v>3.8626609442060089E-2</v>
      </c>
      <c r="F9679" s="41">
        <v>70.546999999999997</v>
      </c>
      <c r="G9679" s="41">
        <f>IF(ISNUMBER(F9679),E9679*F9679,"")</f>
        <v>2.7249914163090132</v>
      </c>
      <c r="H9679" s="42"/>
      <c r="I9679" s="38"/>
      <c r="J9679" s="37">
        <v>0</v>
      </c>
    </row>
    <row r="9680" spans="1:10" ht="15.75" hidden="1" thickBot="1" x14ac:dyDescent="0.3">
      <c r="A9680" s="175"/>
      <c r="B9680" s="178"/>
      <c r="C9680" s="49"/>
      <c r="D9680" s="49"/>
      <c r="E9680" s="50"/>
      <c r="F9680" s="51" t="s">
        <v>13</v>
      </c>
      <c r="G9680" s="51" t="str">
        <f>IF(ISNUMBER(F9680),E9680*F9680,"")</f>
        <v/>
      </c>
      <c r="H9680" s="53"/>
      <c r="I9680" s="38"/>
      <c r="J9680" s="37">
        <v>0</v>
      </c>
    </row>
    <row r="9681" spans="1:10" ht="15.75" hidden="1" thickBot="1" x14ac:dyDescent="0.3">
      <c r="A9681" s="173" t="s">
        <v>2327</v>
      </c>
      <c r="B9681" s="176" t="s">
        <v>9814</v>
      </c>
      <c r="C9681" s="31"/>
      <c r="D9681" s="32" t="s">
        <v>18</v>
      </c>
      <c r="E9681" s="33"/>
      <c r="F9681" s="54" t="s">
        <v>13</v>
      </c>
      <c r="G9681" s="34" t="str">
        <f>IF(ISNUMBER(F9681),E9681*F9681,"")</f>
        <v/>
      </c>
      <c r="H9681" s="35"/>
      <c r="I9681" s="36"/>
      <c r="J9681" s="37">
        <v>0</v>
      </c>
    </row>
    <row r="9682" spans="1:10" hidden="1" x14ac:dyDescent="0.25">
      <c r="A9682" s="174"/>
      <c r="B9682" s="177"/>
      <c r="C9682" s="39"/>
      <c r="D9682" s="39"/>
      <c r="E9682" s="40"/>
      <c r="F9682" s="55" t="s">
        <v>13</v>
      </c>
      <c r="G9682" s="38" t="str">
        <f>IF(ISNUMBER(F9682),E9682*F9682,"")</f>
        <v/>
      </c>
      <c r="H9682" s="42"/>
      <c r="I9682" s="38"/>
      <c r="J9682" s="37">
        <v>0</v>
      </c>
    </row>
    <row r="9683" spans="1:10" ht="38.25" hidden="1" x14ac:dyDescent="0.25">
      <c r="A9683" s="174"/>
      <c r="B9683" s="177"/>
      <c r="C9683" s="43" t="s">
        <v>10927</v>
      </c>
      <c r="D9683" s="43" t="s">
        <v>83</v>
      </c>
      <c r="E9683" s="44">
        <v>4</v>
      </c>
      <c r="F9683" s="38">
        <v>0.5605</v>
      </c>
      <c r="G9683" s="38">
        <f>IF(ISNUMBER(F9683),E9683*F9683,"")</f>
        <v>2.242</v>
      </c>
      <c r="H9683" s="46">
        <f>SUM(G9683:G9691)</f>
        <v>1454.0197830000002</v>
      </c>
      <c r="I9683" s="47"/>
      <c r="J9683" s="37">
        <v>0</v>
      </c>
    </row>
    <row r="9684" spans="1:10" ht="25.5" hidden="1" x14ac:dyDescent="0.25">
      <c r="A9684" s="174"/>
      <c r="B9684" s="177"/>
      <c r="C9684" s="43" t="s">
        <v>11717</v>
      </c>
      <c r="D9684" s="43" t="s">
        <v>83</v>
      </c>
      <c r="E9684" s="44">
        <v>1</v>
      </c>
      <c r="F9684" s="38">
        <v>61.882999999999996</v>
      </c>
      <c r="G9684" s="38">
        <f>IF(ISNUMBER(F9684),E9684*F9684,"")</f>
        <v>61.882999999999996</v>
      </c>
      <c r="H9684" s="42"/>
      <c r="I9684" s="38"/>
      <c r="J9684" s="37">
        <v>0</v>
      </c>
    </row>
    <row r="9685" spans="1:10" ht="51" hidden="1" x14ac:dyDescent="0.25">
      <c r="A9685" s="174"/>
      <c r="B9685" s="177"/>
      <c r="C9685" s="43" t="s">
        <v>11365</v>
      </c>
      <c r="D9685" s="43" t="s">
        <v>83</v>
      </c>
      <c r="E9685" s="44">
        <v>1</v>
      </c>
      <c r="F9685" s="41">
        <v>180.5</v>
      </c>
      <c r="G9685" s="38">
        <f>IF(ISNUMBER(F9685),E9685*F9685,"")</f>
        <v>180.5</v>
      </c>
      <c r="H9685" s="42"/>
      <c r="I9685" s="38"/>
      <c r="J9685" s="37">
        <v>0</v>
      </c>
    </row>
    <row r="9686" spans="1:10" ht="63.75" hidden="1" x14ac:dyDescent="0.25">
      <c r="A9686" s="174"/>
      <c r="B9686" s="177"/>
      <c r="C9686" s="43" t="s">
        <v>11718</v>
      </c>
      <c r="D9686" s="43" t="s">
        <v>83</v>
      </c>
      <c r="E9686" s="44">
        <v>1</v>
      </c>
      <c r="F9686" s="41">
        <v>348.1465</v>
      </c>
      <c r="G9686" s="38">
        <f>IF(ISNUMBER(F9686),E9686*F9686,"")</f>
        <v>348.1465</v>
      </c>
      <c r="H9686" s="42"/>
      <c r="I9686" s="38"/>
      <c r="J9686" s="37">
        <v>0</v>
      </c>
    </row>
    <row r="9687" spans="1:10" ht="38.25" hidden="1" x14ac:dyDescent="0.25">
      <c r="A9687" s="174"/>
      <c r="B9687" s="177"/>
      <c r="C9687" s="43" t="s">
        <v>11719</v>
      </c>
      <c r="D9687" s="43" t="s">
        <v>83</v>
      </c>
      <c r="E9687" s="44">
        <v>1</v>
      </c>
      <c r="F9687" s="41">
        <v>17.185499999999998</v>
      </c>
      <c r="G9687" s="38">
        <f>IF(ISNUMBER(F9687),E9687*F9687,"")</f>
        <v>17.185499999999998</v>
      </c>
      <c r="H9687" s="42"/>
      <c r="I9687" s="38"/>
      <c r="J9687" s="37">
        <v>0</v>
      </c>
    </row>
    <row r="9688" spans="1:10" ht="38.25" hidden="1" x14ac:dyDescent="0.25">
      <c r="A9688" s="174"/>
      <c r="B9688" s="177"/>
      <c r="C9688" s="43" t="s">
        <v>11720</v>
      </c>
      <c r="D9688" s="43" t="s">
        <v>83</v>
      </c>
      <c r="E9688" s="44">
        <v>1</v>
      </c>
      <c r="F9688" s="41">
        <v>467.00099999999998</v>
      </c>
      <c r="G9688" s="38">
        <f>IF(ISNUMBER(F9688),E9688*F9688,"")</f>
        <v>467.00099999999998</v>
      </c>
      <c r="H9688" s="42"/>
      <c r="I9688" s="38"/>
      <c r="J9688" s="37">
        <v>0</v>
      </c>
    </row>
    <row r="9689" spans="1:10" ht="25.5" hidden="1" x14ac:dyDescent="0.25">
      <c r="A9689" s="174"/>
      <c r="B9689" s="177"/>
      <c r="C9689" s="43" t="s">
        <v>11721</v>
      </c>
      <c r="D9689" s="43" t="s">
        <v>83</v>
      </c>
      <c r="E9689" s="44">
        <v>1</v>
      </c>
      <c r="F9689" s="41">
        <v>211.97349999999997</v>
      </c>
      <c r="G9689" s="38">
        <f>IF(ISNUMBER(F9689),E9689*F9689,"")</f>
        <v>211.97349999999997</v>
      </c>
      <c r="H9689" s="42"/>
      <c r="I9689" s="38"/>
      <c r="J9689" s="37">
        <v>0</v>
      </c>
    </row>
    <row r="9690" spans="1:10" ht="25.5" hidden="1" x14ac:dyDescent="0.25">
      <c r="A9690" s="174"/>
      <c r="B9690" s="177"/>
      <c r="C9690" s="43" t="s">
        <v>10753</v>
      </c>
      <c r="D9690" s="43" t="s">
        <v>2800</v>
      </c>
      <c r="E9690" s="44">
        <v>3.0369999999999999</v>
      </c>
      <c r="F9690" s="41">
        <v>23.997</v>
      </c>
      <c r="G9690" s="38">
        <f>IF(ISNUMBER(F9690),E9690*F9690,"")</f>
        <v>72.878889000000001</v>
      </c>
      <c r="H9690" s="42"/>
      <c r="I9690" s="38"/>
      <c r="J9690" s="37">
        <v>0</v>
      </c>
    </row>
    <row r="9691" spans="1:10" ht="25.5" hidden="1" x14ac:dyDescent="0.25">
      <c r="A9691" s="174"/>
      <c r="B9691" s="177"/>
      <c r="C9691" s="43" t="s">
        <v>10754</v>
      </c>
      <c r="D9691" s="43" t="s">
        <v>2800</v>
      </c>
      <c r="E9691" s="44">
        <v>3.0369999999999999</v>
      </c>
      <c r="F9691" s="41">
        <v>30.361999999999998</v>
      </c>
      <c r="G9691" s="38">
        <f>IF(ISNUMBER(F9691),E9691*F9691,"")</f>
        <v>92.209393999999989</v>
      </c>
      <c r="H9691" s="42"/>
      <c r="I9691" s="38"/>
      <c r="J9691" s="37">
        <v>0</v>
      </c>
    </row>
    <row r="9692" spans="1:10" ht="15.75" hidden="1" thickBot="1" x14ac:dyDescent="0.3">
      <c r="A9692" s="175"/>
      <c r="B9692" s="178"/>
      <c r="C9692" s="49"/>
      <c r="D9692" s="49"/>
      <c r="E9692" s="50"/>
      <c r="F9692" s="51" t="s">
        <v>13</v>
      </c>
      <c r="G9692" s="51" t="str">
        <f>IF(ISNUMBER(F9692),E9692*F9692,"")</f>
        <v/>
      </c>
      <c r="H9692" s="53"/>
      <c r="I9692" s="38"/>
      <c r="J9692" s="37">
        <v>0</v>
      </c>
    </row>
    <row r="9693" spans="1:10" ht="15.75" hidden="1" thickBot="1" x14ac:dyDescent="0.3">
      <c r="A9693" s="173" t="s">
        <v>2328</v>
      </c>
      <c r="B9693" s="176" t="s">
        <v>9815</v>
      </c>
      <c r="C9693" s="31"/>
      <c r="D9693" s="32" t="s">
        <v>18</v>
      </c>
      <c r="E9693" s="33"/>
      <c r="F9693" s="54" t="s">
        <v>13</v>
      </c>
      <c r="G9693" s="34" t="str">
        <f>IF(ISNUMBER(F9693),E9693*F9693,"")</f>
        <v/>
      </c>
      <c r="H9693" s="35"/>
      <c r="I9693" s="36"/>
      <c r="J9693" s="37">
        <v>0</v>
      </c>
    </row>
    <row r="9694" spans="1:10" hidden="1" x14ac:dyDescent="0.25">
      <c r="A9694" s="174"/>
      <c r="B9694" s="177"/>
      <c r="C9694" s="39"/>
      <c r="D9694" s="39"/>
      <c r="E9694" s="40"/>
      <c r="F9694" s="55" t="s">
        <v>13</v>
      </c>
      <c r="G9694" s="38" t="str">
        <f>IF(ISNUMBER(F9694),E9694*F9694,"")</f>
        <v/>
      </c>
      <c r="H9694" s="42"/>
      <c r="I9694" s="38"/>
      <c r="J9694" s="37">
        <v>0</v>
      </c>
    </row>
    <row r="9695" spans="1:10" ht="25.5" hidden="1" x14ac:dyDescent="0.25">
      <c r="A9695" s="174"/>
      <c r="B9695" s="177"/>
      <c r="C9695" s="43" t="s">
        <v>10754</v>
      </c>
      <c r="D9695" s="43" t="s">
        <v>2800</v>
      </c>
      <c r="E9695" s="44">
        <v>1.1499999999999999</v>
      </c>
      <c r="F9695" s="38">
        <v>30.361999999999998</v>
      </c>
      <c r="G9695" s="38">
        <f>IF(ISNUMBER(F9695),E9695*F9695,"")</f>
        <v>34.916299999999993</v>
      </c>
      <c r="H9695" s="46">
        <f>SUM(G9695:G9708)</f>
        <v>1013.47158905</v>
      </c>
      <c r="I9695" s="47"/>
      <c r="J9695" s="37">
        <v>0</v>
      </c>
    </row>
    <row r="9696" spans="1:10" hidden="1" x14ac:dyDescent="0.25">
      <c r="A9696" s="174"/>
      <c r="B9696" s="177"/>
      <c r="C9696" s="43" t="s">
        <v>10757</v>
      </c>
      <c r="D9696" s="43" t="s">
        <v>2800</v>
      </c>
      <c r="E9696" s="44">
        <v>3</v>
      </c>
      <c r="F9696" s="38">
        <v>31.055499999999995</v>
      </c>
      <c r="G9696" s="38">
        <f>IF(ISNUMBER(F9696),E9696*F9696,"")</f>
        <v>93.166499999999985</v>
      </c>
      <c r="H9696" s="42"/>
      <c r="I9696" s="38"/>
      <c r="J9696" s="37">
        <v>0</v>
      </c>
    </row>
    <row r="9697" spans="1:10" hidden="1" x14ac:dyDescent="0.25">
      <c r="A9697" s="174"/>
      <c r="B9697" s="177"/>
      <c r="C9697" s="43" t="s">
        <v>10614</v>
      </c>
      <c r="D9697" s="43" t="s">
        <v>2800</v>
      </c>
      <c r="E9697" s="44">
        <v>5.2</v>
      </c>
      <c r="F9697" s="41">
        <v>23.693000000000001</v>
      </c>
      <c r="G9697" s="38">
        <f>IF(ISNUMBER(F9697),E9697*F9697,"")</f>
        <v>123.20360000000001</v>
      </c>
      <c r="H9697" s="42"/>
      <c r="I9697" s="38"/>
      <c r="J9697" s="37">
        <v>0</v>
      </c>
    </row>
    <row r="9698" spans="1:10" ht="25.5" hidden="1" x14ac:dyDescent="0.25">
      <c r="A9698" s="174"/>
      <c r="B9698" s="177"/>
      <c r="C9698" s="43" t="s">
        <v>10753</v>
      </c>
      <c r="D9698" s="43" t="s">
        <v>2800</v>
      </c>
      <c r="E9698" s="44">
        <v>1.1499999999999999</v>
      </c>
      <c r="F9698" s="41">
        <v>23.997</v>
      </c>
      <c r="G9698" s="38">
        <f>IF(ISNUMBER(F9698),E9698*F9698,"")</f>
        <v>27.596549999999997</v>
      </c>
      <c r="H9698" s="42"/>
      <c r="I9698" s="38"/>
      <c r="J9698" s="37">
        <v>0</v>
      </c>
    </row>
    <row r="9699" spans="1:10" ht="25.5" hidden="1" x14ac:dyDescent="0.25">
      <c r="A9699" s="174"/>
      <c r="B9699" s="177"/>
      <c r="C9699" s="43" t="s">
        <v>10647</v>
      </c>
      <c r="D9699" s="43" t="s">
        <v>2880</v>
      </c>
      <c r="E9699" s="44">
        <v>0.08</v>
      </c>
      <c r="F9699" s="41">
        <v>199.71849999999998</v>
      </c>
      <c r="G9699" s="38">
        <f>IF(ISNUMBER(F9699),E9699*F9699,"")</f>
        <v>15.977479999999998</v>
      </c>
      <c r="H9699" s="42"/>
      <c r="I9699" s="38"/>
      <c r="J9699" s="37">
        <v>0</v>
      </c>
    </row>
    <row r="9700" spans="1:10" ht="25.5" hidden="1" x14ac:dyDescent="0.25">
      <c r="A9700" s="174"/>
      <c r="B9700" s="177"/>
      <c r="C9700" s="43" t="s">
        <v>10662</v>
      </c>
      <c r="D9700" s="43" t="s">
        <v>2880</v>
      </c>
      <c r="E9700" s="44">
        <v>2.1100000000000001E-2</v>
      </c>
      <c r="F9700" s="41">
        <v>194.8355</v>
      </c>
      <c r="G9700" s="38">
        <f>IF(ISNUMBER(F9700),E9700*F9700,"")</f>
        <v>4.11102905</v>
      </c>
      <c r="H9700" s="42"/>
      <c r="I9700" s="38"/>
      <c r="J9700" s="37">
        <v>0</v>
      </c>
    </row>
    <row r="9701" spans="1:10" hidden="1" x14ac:dyDescent="0.25">
      <c r="A9701" s="174"/>
      <c r="B9701" s="177"/>
      <c r="C9701" s="43" t="s">
        <v>10648</v>
      </c>
      <c r="D9701" s="43" t="s">
        <v>1044</v>
      </c>
      <c r="E9701" s="44">
        <v>22.3</v>
      </c>
      <c r="F9701" s="41">
        <v>0.64600000000000002</v>
      </c>
      <c r="G9701" s="38">
        <f>IF(ISNUMBER(F9701),E9701*F9701,"")</f>
        <v>14.405800000000001</v>
      </c>
      <c r="H9701" s="42"/>
      <c r="I9701" s="38"/>
      <c r="J9701" s="37">
        <v>0</v>
      </c>
    </row>
    <row r="9702" spans="1:10" hidden="1" x14ac:dyDescent="0.25">
      <c r="A9702" s="174"/>
      <c r="B9702" s="177"/>
      <c r="C9702" s="43" t="s">
        <v>10659</v>
      </c>
      <c r="D9702" s="43" t="s">
        <v>1044</v>
      </c>
      <c r="E9702" s="44">
        <v>4.91</v>
      </c>
      <c r="F9702" s="41">
        <v>1.4724999999999999</v>
      </c>
      <c r="G9702" s="38">
        <f>IF(ISNUMBER(F9702),E9702*F9702,"")</f>
        <v>7.2299749999999996</v>
      </c>
      <c r="H9702" s="42"/>
      <c r="I9702" s="38"/>
      <c r="J9702" s="37">
        <v>0</v>
      </c>
    </row>
    <row r="9703" spans="1:10" hidden="1" x14ac:dyDescent="0.25">
      <c r="A9703" s="174"/>
      <c r="B9703" s="177"/>
      <c r="C9703" s="43" t="s">
        <v>10861</v>
      </c>
      <c r="D9703" s="43" t="s">
        <v>83</v>
      </c>
      <c r="E9703" s="44">
        <v>90</v>
      </c>
      <c r="F9703" s="41">
        <v>0.71249999999999991</v>
      </c>
      <c r="G9703" s="38">
        <f>IF(ISNUMBER(F9703),E9703*F9703,"")</f>
        <v>64.124999999999986</v>
      </c>
      <c r="H9703" s="42"/>
      <c r="I9703" s="38"/>
      <c r="J9703" s="37">
        <v>0</v>
      </c>
    </row>
    <row r="9704" spans="1:10" ht="51" hidden="1" x14ac:dyDescent="0.25">
      <c r="A9704" s="174"/>
      <c r="B9704" s="177"/>
      <c r="C9704" s="43" t="s">
        <v>11365</v>
      </c>
      <c r="D9704" s="43" t="s">
        <v>83</v>
      </c>
      <c r="E9704" s="44">
        <v>1</v>
      </c>
      <c r="F9704" s="41">
        <v>180.5</v>
      </c>
      <c r="G9704" s="38">
        <f>IF(ISNUMBER(F9704),E9704*F9704,"")</f>
        <v>180.5</v>
      </c>
      <c r="H9704" s="42"/>
      <c r="I9704" s="38"/>
      <c r="J9704" s="37">
        <v>0</v>
      </c>
    </row>
    <row r="9705" spans="1:10" hidden="1" x14ac:dyDescent="0.25">
      <c r="A9705" s="174"/>
      <c r="B9705" s="177"/>
      <c r="C9705" s="43" t="s">
        <v>10907</v>
      </c>
      <c r="D9705" s="43" t="s">
        <v>83</v>
      </c>
      <c r="E9705" s="44">
        <v>1.41</v>
      </c>
      <c r="F9705" s="41">
        <v>14.715499999999999</v>
      </c>
      <c r="G9705" s="38">
        <f>IF(ISNUMBER(F9705),E9705*F9705,"")</f>
        <v>20.748854999999995</v>
      </c>
      <c r="H9705" s="42"/>
      <c r="I9705" s="38"/>
      <c r="J9705" s="37">
        <v>0</v>
      </c>
    </row>
    <row r="9706" spans="1:10" ht="38.25" hidden="1" x14ac:dyDescent="0.25">
      <c r="A9706" s="174"/>
      <c r="B9706" s="177"/>
      <c r="C9706" s="43" t="s">
        <v>11310</v>
      </c>
      <c r="D9706" s="43" t="s">
        <v>83</v>
      </c>
      <c r="E9706" s="44">
        <v>1</v>
      </c>
      <c r="F9706" s="41">
        <v>271.06349999999998</v>
      </c>
      <c r="G9706" s="38">
        <f>IF(ISNUMBER(F9706),E9706*F9706,"")</f>
        <v>271.06349999999998</v>
      </c>
      <c r="H9706" s="42"/>
      <c r="I9706" s="38"/>
      <c r="J9706" s="37">
        <v>0</v>
      </c>
    </row>
    <row r="9707" spans="1:10" ht="25.5" hidden="1" x14ac:dyDescent="0.25">
      <c r="A9707" s="174"/>
      <c r="B9707" s="177"/>
      <c r="C9707" s="43" t="s">
        <v>11722</v>
      </c>
      <c r="D9707" s="43" t="s">
        <v>83</v>
      </c>
      <c r="E9707" s="44">
        <v>1</v>
      </c>
      <c r="F9707" s="41">
        <v>94.543999999999997</v>
      </c>
      <c r="G9707" s="38">
        <f>IF(ISNUMBER(F9707),E9707*F9707,"")</f>
        <v>94.543999999999997</v>
      </c>
      <c r="H9707" s="42"/>
      <c r="I9707" s="38"/>
      <c r="J9707" s="37">
        <v>0</v>
      </c>
    </row>
    <row r="9708" spans="1:10" ht="25.5" hidden="1" x14ac:dyDescent="0.25">
      <c r="A9708" s="174"/>
      <c r="B9708" s="177"/>
      <c r="C9708" s="43" t="s">
        <v>11717</v>
      </c>
      <c r="D9708" s="43" t="s">
        <v>83</v>
      </c>
      <c r="E9708" s="44">
        <v>1</v>
      </c>
      <c r="F9708" s="41">
        <v>61.882999999999996</v>
      </c>
      <c r="G9708" s="38">
        <f>IF(ISNUMBER(F9708),E9708*F9708,"")</f>
        <v>61.882999999999996</v>
      </c>
      <c r="H9708" s="42"/>
      <c r="I9708" s="38"/>
      <c r="J9708" s="37">
        <v>0</v>
      </c>
    </row>
    <row r="9709" spans="1:10" ht="15.75" hidden="1" thickBot="1" x14ac:dyDescent="0.3">
      <c r="A9709" s="175"/>
      <c r="B9709" s="178"/>
      <c r="C9709" s="49"/>
      <c r="D9709" s="49"/>
      <c r="E9709" s="50"/>
      <c r="F9709" s="51" t="s">
        <v>13</v>
      </c>
      <c r="G9709" s="51" t="str">
        <f>IF(ISNUMBER(F9709),E9709*F9709,"")</f>
        <v/>
      </c>
      <c r="H9709" s="53"/>
      <c r="I9709" s="38"/>
      <c r="J9709" s="37">
        <v>0</v>
      </c>
    </row>
    <row r="9710" spans="1:10" ht="15.75" hidden="1" thickBot="1" x14ac:dyDescent="0.3">
      <c r="A9710" s="173" t="s">
        <v>2329</v>
      </c>
      <c r="B9710" s="176" t="s">
        <v>9816</v>
      </c>
      <c r="C9710" s="31"/>
      <c r="D9710" s="32" t="s">
        <v>18</v>
      </c>
      <c r="E9710" s="33"/>
      <c r="F9710" s="54" t="s">
        <v>13</v>
      </c>
      <c r="G9710" s="34" t="str">
        <f>IF(ISNUMBER(F9710),E9710*F9710,"")</f>
        <v/>
      </c>
      <c r="H9710" s="35"/>
      <c r="I9710" s="36"/>
      <c r="J9710" s="37">
        <v>0</v>
      </c>
    </row>
    <row r="9711" spans="1:10" hidden="1" x14ac:dyDescent="0.25">
      <c r="A9711" s="174"/>
      <c r="B9711" s="177"/>
      <c r="C9711" s="39"/>
      <c r="D9711" s="39"/>
      <c r="E9711" s="40"/>
      <c r="F9711" s="55" t="s">
        <v>13</v>
      </c>
      <c r="G9711" s="38" t="str">
        <f>IF(ISNUMBER(F9711),E9711*F9711,"")</f>
        <v/>
      </c>
      <c r="H9711" s="42"/>
      <c r="I9711" s="38"/>
      <c r="J9711" s="37">
        <v>0</v>
      </c>
    </row>
    <row r="9712" spans="1:10" hidden="1" x14ac:dyDescent="0.25">
      <c r="A9712" s="174"/>
      <c r="B9712" s="177"/>
      <c r="C9712" s="43" t="s">
        <v>10757</v>
      </c>
      <c r="D9712" s="43" t="s">
        <v>2800</v>
      </c>
      <c r="E9712" s="44">
        <v>6</v>
      </c>
      <c r="F9712" s="41">
        <v>31.055499999999995</v>
      </c>
      <c r="G9712" s="41">
        <f>IF(ISNUMBER(F9712),E9712*F9712,"")</f>
        <v>186.33299999999997</v>
      </c>
      <c r="H9712" s="46">
        <f>SUM(G9712:G9719)</f>
        <v>436.78354724999997</v>
      </c>
      <c r="I9712" s="47"/>
      <c r="J9712" s="37">
        <v>0</v>
      </c>
    </row>
    <row r="9713" spans="1:10" hidden="1" x14ac:dyDescent="0.25">
      <c r="A9713" s="174"/>
      <c r="B9713" s="177"/>
      <c r="C9713" s="43" t="s">
        <v>10614</v>
      </c>
      <c r="D9713" s="43" t="s">
        <v>2800</v>
      </c>
      <c r="E9713" s="44">
        <v>6</v>
      </c>
      <c r="F9713" s="38">
        <v>23.693000000000001</v>
      </c>
      <c r="G9713" s="41">
        <f>IF(ISNUMBER(F9713),E9713*F9713,"")</f>
        <v>142.15800000000002</v>
      </c>
      <c r="H9713" s="42"/>
      <c r="I9713" s="38"/>
      <c r="J9713" s="37">
        <v>0</v>
      </c>
    </row>
    <row r="9714" spans="1:10" ht="25.5" hidden="1" x14ac:dyDescent="0.25">
      <c r="A9714" s="174"/>
      <c r="B9714" s="177"/>
      <c r="C9714" s="43" t="s">
        <v>10647</v>
      </c>
      <c r="D9714" s="43" t="s">
        <v>2880</v>
      </c>
      <c r="E9714" s="44">
        <v>2.8899999999999999E-2</v>
      </c>
      <c r="F9714" s="38">
        <v>199.71849999999998</v>
      </c>
      <c r="G9714" s="41">
        <f>IF(ISNUMBER(F9714),E9714*F9714,"")</f>
        <v>5.7718646499999995</v>
      </c>
      <c r="H9714" s="42"/>
      <c r="I9714" s="38"/>
      <c r="J9714" s="37">
        <v>0</v>
      </c>
    </row>
    <row r="9715" spans="1:10" ht="25.5" hidden="1" x14ac:dyDescent="0.25">
      <c r="A9715" s="174"/>
      <c r="B9715" s="177"/>
      <c r="C9715" s="43" t="s">
        <v>10662</v>
      </c>
      <c r="D9715" s="43" t="s">
        <v>2880</v>
      </c>
      <c r="E9715" s="44">
        <v>3.1699999999999999E-2</v>
      </c>
      <c r="F9715" s="41">
        <v>194.8355</v>
      </c>
      <c r="G9715" s="41">
        <f>IF(ISNUMBER(F9715),E9715*F9715,"")</f>
        <v>6.1762853499999997</v>
      </c>
      <c r="H9715" s="42"/>
      <c r="I9715" s="38"/>
      <c r="J9715" s="37">
        <v>0</v>
      </c>
    </row>
    <row r="9716" spans="1:10" hidden="1" x14ac:dyDescent="0.25">
      <c r="A9716" s="174"/>
      <c r="B9716" s="177"/>
      <c r="C9716" s="43" t="s">
        <v>10648</v>
      </c>
      <c r="D9716" s="43" t="s">
        <v>1044</v>
      </c>
      <c r="E9716" s="44">
        <v>14.2</v>
      </c>
      <c r="F9716" s="41">
        <v>0.64600000000000002</v>
      </c>
      <c r="G9716" s="41">
        <f>IF(ISNUMBER(F9716),E9716*F9716,"")</f>
        <v>9.1731999999999996</v>
      </c>
      <c r="H9716" s="42"/>
      <c r="I9716" s="38"/>
      <c r="J9716" s="37">
        <v>0</v>
      </c>
    </row>
    <row r="9717" spans="1:10" ht="25.5" hidden="1" x14ac:dyDescent="0.25">
      <c r="A9717" s="174"/>
      <c r="B9717" s="177"/>
      <c r="C9717" s="43" t="s">
        <v>2330</v>
      </c>
      <c r="D9717" s="43" t="s">
        <v>83</v>
      </c>
      <c r="E9717" s="44">
        <f>2.6*1.8/(2.1*1.6)</f>
        <v>1.3928571428571428</v>
      </c>
      <c r="F9717" s="41" t="s">
        <v>13</v>
      </c>
      <c r="G9717" s="70" t="str">
        <f>IF(ISNUMBER(F9717),E9717*F9717,"")</f>
        <v/>
      </c>
      <c r="H9717" s="42"/>
      <c r="I9717" s="38"/>
      <c r="J9717" s="37">
        <v>0</v>
      </c>
    </row>
    <row r="9718" spans="1:10" hidden="1" x14ac:dyDescent="0.25">
      <c r="A9718" s="174"/>
      <c r="B9718" s="177"/>
      <c r="C9718" s="43" t="s">
        <v>10674</v>
      </c>
      <c r="D9718" s="43" t="s">
        <v>2800</v>
      </c>
      <c r="E9718" s="44">
        <f>ROUND(0.5708*(2*0.9*2.6),4)</f>
        <v>2.6713</v>
      </c>
      <c r="F9718" s="41">
        <v>32.6325</v>
      </c>
      <c r="G9718" s="41">
        <f>IF(ISNUMBER(F9718),E9718*F9718,"")</f>
        <v>87.171197250000006</v>
      </c>
      <c r="H9718" s="42"/>
      <c r="I9718" s="47"/>
      <c r="J9718" s="37">
        <v>0</v>
      </c>
    </row>
    <row r="9719" spans="1:10" hidden="1" x14ac:dyDescent="0.25">
      <c r="A9719" s="174"/>
      <c r="B9719" s="177"/>
      <c r="C9719" s="43" t="s">
        <v>126</v>
      </c>
      <c r="D9719" s="6" t="s">
        <v>70</v>
      </c>
      <c r="E9719" s="44">
        <f>ROUND(3*3.6/75,4)*(2*0.9*2.6)</f>
        <v>0.67392000000000007</v>
      </c>
      <c r="F9719" s="41" t="s">
        <v>13</v>
      </c>
      <c r="G9719" s="41" t="str">
        <f>IF(ISNUMBER(F9719),E9719*F9719,"")</f>
        <v/>
      </c>
      <c r="H9719" s="42"/>
      <c r="I9719" s="38"/>
      <c r="J9719" s="37">
        <v>0</v>
      </c>
    </row>
    <row r="9720" spans="1:10" ht="15.75" hidden="1" thickBot="1" x14ac:dyDescent="0.3">
      <c r="A9720" s="175"/>
      <c r="B9720" s="178"/>
      <c r="C9720" s="49"/>
      <c r="D9720" s="49"/>
      <c r="E9720" s="50"/>
      <c r="F9720" s="51" t="s">
        <v>13</v>
      </c>
      <c r="G9720" s="51" t="str">
        <f>IF(ISNUMBER(F9720),E9720*F9720,"")</f>
        <v/>
      </c>
      <c r="H9720" s="53"/>
      <c r="I9720" s="38"/>
      <c r="J9720" s="37">
        <v>0</v>
      </c>
    </row>
    <row r="9721" spans="1:10" ht="15.75" hidden="1" thickBot="1" x14ac:dyDescent="0.3">
      <c r="A9721" s="173" t="s">
        <v>2331</v>
      </c>
      <c r="B9721" s="176" t="s">
        <v>9817</v>
      </c>
      <c r="C9721" s="31"/>
      <c r="D9721" s="32" t="s">
        <v>68</v>
      </c>
      <c r="E9721" s="33"/>
      <c r="F9721" s="54" t="s">
        <v>13</v>
      </c>
      <c r="G9721" s="34" t="str">
        <f>IF(ISNUMBER(F9721),E9721*F9721,"")</f>
        <v/>
      </c>
      <c r="H9721" s="35"/>
      <c r="I9721" s="36"/>
      <c r="J9721" s="37">
        <v>0</v>
      </c>
    </row>
    <row r="9722" spans="1:10" hidden="1" x14ac:dyDescent="0.25">
      <c r="A9722" s="174"/>
      <c r="B9722" s="177"/>
      <c r="C9722" s="39"/>
      <c r="D9722" s="39"/>
      <c r="E9722" s="40"/>
      <c r="F9722" s="55" t="s">
        <v>13</v>
      </c>
      <c r="G9722" s="38" t="str">
        <f>IF(ISNUMBER(F9722),E9722*F9722,"")</f>
        <v/>
      </c>
      <c r="H9722" s="42"/>
      <c r="I9722" s="38"/>
      <c r="J9722" s="37">
        <v>0</v>
      </c>
    </row>
    <row r="9723" spans="1:10" hidden="1" x14ac:dyDescent="0.25">
      <c r="A9723" s="174"/>
      <c r="B9723" s="177"/>
      <c r="C9723" s="43" t="s">
        <v>11032</v>
      </c>
      <c r="D9723" s="43" t="s">
        <v>162</v>
      </c>
      <c r="E9723" s="44">
        <v>1</v>
      </c>
      <c r="F9723" s="38">
        <v>290.71899999999999</v>
      </c>
      <c r="G9723" s="38">
        <f>IF(ISNUMBER(F9723),E9723*F9723,"")</f>
        <v>290.71899999999999</v>
      </c>
      <c r="H9723" s="46">
        <f>SUM(G9723:G9729)</f>
        <v>422.80934966666661</v>
      </c>
      <c r="I9723" s="47"/>
      <c r="J9723" s="37">
        <v>0</v>
      </c>
    </row>
    <row r="9724" spans="1:10" ht="38.25" hidden="1" x14ac:dyDescent="0.25">
      <c r="A9724" s="174"/>
      <c r="B9724" s="177"/>
      <c r="C9724" s="43" t="s">
        <v>10931</v>
      </c>
      <c r="D9724" s="43" t="s">
        <v>83</v>
      </c>
      <c r="E9724" s="44">
        <v>1.7050000000000001</v>
      </c>
      <c r="F9724" s="38">
        <v>0.38949999999999996</v>
      </c>
      <c r="G9724" s="38">
        <f>IF(ISNUMBER(F9724),E9724*F9724,"")</f>
        <v>0.66409750000000001</v>
      </c>
      <c r="H9724" s="42"/>
      <c r="I9724" s="38"/>
      <c r="J9724" s="37">
        <v>0</v>
      </c>
    </row>
    <row r="9725" spans="1:10" ht="25.5" hidden="1" x14ac:dyDescent="0.25">
      <c r="A9725" s="174"/>
      <c r="B9725" s="177"/>
      <c r="C9725" s="43" t="s">
        <v>11723</v>
      </c>
      <c r="D9725" s="43" t="s">
        <v>1044</v>
      </c>
      <c r="E9725" s="44">
        <f>2*15.92/6</f>
        <v>5.3066666666666666</v>
      </c>
      <c r="F9725" s="41">
        <v>8.2270000000000003</v>
      </c>
      <c r="G9725" s="38">
        <f>IF(ISNUMBER(F9725),E9725*F9725,"")</f>
        <v>43.657946666666668</v>
      </c>
      <c r="H9725" s="42"/>
      <c r="I9725" s="38"/>
      <c r="J9725" s="37">
        <v>0</v>
      </c>
    </row>
    <row r="9726" spans="1:10" ht="25.5" hidden="1" x14ac:dyDescent="0.25">
      <c r="A9726" s="174"/>
      <c r="B9726" s="177"/>
      <c r="C9726" s="43" t="s">
        <v>10857</v>
      </c>
      <c r="D9726" s="43" t="s">
        <v>1302</v>
      </c>
      <c r="E9726" s="44">
        <v>2.3220000000000001</v>
      </c>
      <c r="F9726" s="41">
        <v>2.4889999999999999</v>
      </c>
      <c r="G9726" s="38">
        <f>IF(ISNUMBER(F9726),E9726*F9726,"")</f>
        <v>5.779458</v>
      </c>
      <c r="H9726" s="42"/>
      <c r="I9726" s="38"/>
      <c r="J9726" s="37">
        <v>0</v>
      </c>
    </row>
    <row r="9727" spans="1:10" hidden="1" x14ac:dyDescent="0.25">
      <c r="A9727" s="174"/>
      <c r="B9727" s="177"/>
      <c r="C9727" s="43" t="s">
        <v>10893</v>
      </c>
      <c r="D9727" s="43" t="s">
        <v>83</v>
      </c>
      <c r="E9727" s="44">
        <v>0.309</v>
      </c>
      <c r="F9727" s="41">
        <v>28.148499999999999</v>
      </c>
      <c r="G9727" s="38">
        <f>IF(ISNUMBER(F9727),E9727*F9727,"")</f>
        <v>8.6978864999999992</v>
      </c>
      <c r="H9727" s="42"/>
      <c r="I9727" s="38"/>
      <c r="J9727" s="37">
        <v>0</v>
      </c>
    </row>
    <row r="9728" spans="1:10" hidden="1" x14ac:dyDescent="0.25">
      <c r="A9728" s="174"/>
      <c r="B9728" s="177"/>
      <c r="C9728" s="43" t="s">
        <v>10614</v>
      </c>
      <c r="D9728" s="43" t="s">
        <v>2800</v>
      </c>
      <c r="E9728" s="44">
        <v>1.3779999999999999</v>
      </c>
      <c r="F9728" s="41">
        <v>23.693000000000001</v>
      </c>
      <c r="G9728" s="38">
        <f>IF(ISNUMBER(F9728),E9728*F9728,"")</f>
        <v>32.648953999999996</v>
      </c>
      <c r="H9728" s="42"/>
      <c r="I9728" s="38"/>
      <c r="J9728" s="37">
        <v>0</v>
      </c>
    </row>
    <row r="9729" spans="1:10" hidden="1" x14ac:dyDescent="0.25">
      <c r="A9729" s="174"/>
      <c r="B9729" s="177"/>
      <c r="C9729" s="43" t="s">
        <v>10831</v>
      </c>
      <c r="D9729" s="43" t="s">
        <v>2800</v>
      </c>
      <c r="E9729" s="44">
        <v>1.4179999999999999</v>
      </c>
      <c r="F9729" s="41">
        <v>28.6615</v>
      </c>
      <c r="G9729" s="38">
        <f>IF(ISNUMBER(F9729),E9729*F9729,"")</f>
        <v>40.642007</v>
      </c>
      <c r="H9729" s="42"/>
      <c r="I9729" s="38"/>
      <c r="J9729" s="37">
        <v>0</v>
      </c>
    </row>
    <row r="9730" spans="1:10" ht="15.75" hidden="1" thickBot="1" x14ac:dyDescent="0.3">
      <c r="A9730" s="175"/>
      <c r="B9730" s="178"/>
      <c r="C9730" s="49"/>
      <c r="D9730" s="49"/>
      <c r="E9730" s="50"/>
      <c r="F9730" s="51" t="s">
        <v>13</v>
      </c>
      <c r="G9730" s="51" t="str">
        <f>IF(ISNUMBER(F9730),E9730*F9730,"")</f>
        <v/>
      </c>
      <c r="H9730" s="53"/>
      <c r="I9730" s="38"/>
      <c r="J9730" s="37">
        <v>0</v>
      </c>
    </row>
    <row r="9731" spans="1:10" ht="15.75" hidden="1" thickBot="1" x14ac:dyDescent="0.3">
      <c r="A9731" s="173" t="s">
        <v>2332</v>
      </c>
      <c r="B9731" s="176" t="s">
        <v>9818</v>
      </c>
      <c r="C9731" s="31"/>
      <c r="D9731" s="32" t="s">
        <v>68</v>
      </c>
      <c r="E9731" s="33"/>
      <c r="F9731" s="54" t="s">
        <v>13</v>
      </c>
      <c r="G9731" s="34" t="str">
        <f>IF(ISNUMBER(F9731),E9731*F9731,"")</f>
        <v/>
      </c>
      <c r="H9731" s="35"/>
      <c r="I9731" s="36"/>
      <c r="J9731" s="37">
        <v>0</v>
      </c>
    </row>
    <row r="9732" spans="1:10" hidden="1" x14ac:dyDescent="0.25">
      <c r="A9732" s="174"/>
      <c r="B9732" s="177"/>
      <c r="C9732" s="39"/>
      <c r="D9732" s="39"/>
      <c r="E9732" s="40"/>
      <c r="F9732" s="55" t="s">
        <v>13</v>
      </c>
      <c r="G9732" s="38" t="str">
        <f>IF(ISNUMBER(F9732),E9732*F9732,"")</f>
        <v/>
      </c>
      <c r="H9732" s="42"/>
      <c r="I9732" s="38"/>
      <c r="J9732" s="37">
        <v>0</v>
      </c>
    </row>
    <row r="9733" spans="1:10" hidden="1" x14ac:dyDescent="0.25">
      <c r="A9733" s="174"/>
      <c r="B9733" s="177"/>
      <c r="C9733" s="43" t="s">
        <v>11032</v>
      </c>
      <c r="D9733" s="43" t="s">
        <v>162</v>
      </c>
      <c r="E9733" s="44">
        <v>0.98699999999999999</v>
      </c>
      <c r="F9733" s="38">
        <v>290.71899999999999</v>
      </c>
      <c r="G9733" s="38">
        <f>IF(ISNUMBER(F9733),E9733*F9733,"")</f>
        <v>286.93965299999996</v>
      </c>
      <c r="H9733" s="46">
        <f>SUM(G9733:G9741)</f>
        <v>381.9922545</v>
      </c>
      <c r="I9733" s="47"/>
      <c r="J9733" s="37">
        <v>0</v>
      </c>
    </row>
    <row r="9734" spans="1:10" ht="38.25" hidden="1" x14ac:dyDescent="0.25">
      <c r="A9734" s="174"/>
      <c r="B9734" s="177"/>
      <c r="C9734" s="43" t="s">
        <v>10931</v>
      </c>
      <c r="D9734" s="43" t="s">
        <v>83</v>
      </c>
      <c r="E9734" s="44">
        <v>2.37</v>
      </c>
      <c r="F9734" s="38">
        <v>0.38949999999999996</v>
      </c>
      <c r="G9734" s="38">
        <f>IF(ISNUMBER(F9734),E9734*F9734,"")</f>
        <v>0.92311499999999991</v>
      </c>
      <c r="H9734" s="42"/>
      <c r="I9734" s="38"/>
      <c r="J9734" s="37">
        <v>0</v>
      </c>
    </row>
    <row r="9735" spans="1:10" hidden="1" x14ac:dyDescent="0.25">
      <c r="A9735" s="174"/>
      <c r="B9735" s="177"/>
      <c r="C9735" s="43" t="s">
        <v>11030</v>
      </c>
      <c r="D9735" s="43" t="s">
        <v>1044</v>
      </c>
      <c r="E9735" s="44">
        <v>0.28399999999999997</v>
      </c>
      <c r="F9735" s="41">
        <v>41.001999999999995</v>
      </c>
      <c r="G9735" s="38">
        <f>IF(ISNUMBER(F9735),E9735*F9735,"")</f>
        <v>11.644567999999998</v>
      </c>
      <c r="H9735" s="42"/>
      <c r="I9735" s="38"/>
      <c r="J9735" s="37">
        <v>0</v>
      </c>
    </row>
    <row r="9736" spans="1:10" ht="25.5" hidden="1" x14ac:dyDescent="0.25">
      <c r="A9736" s="174"/>
      <c r="B9736" s="177"/>
      <c r="C9736" s="43" t="s">
        <v>10857</v>
      </c>
      <c r="D9736" s="43" t="s">
        <v>1302</v>
      </c>
      <c r="E9736" s="44">
        <v>1.47</v>
      </c>
      <c r="F9736" s="41">
        <v>2.4889999999999999</v>
      </c>
      <c r="G9736" s="38">
        <f>IF(ISNUMBER(F9736),E9736*F9736,"")</f>
        <v>3.6588299999999996</v>
      </c>
      <c r="H9736" s="42"/>
      <c r="I9736" s="38"/>
      <c r="J9736" s="37">
        <v>0</v>
      </c>
    </row>
    <row r="9737" spans="1:10" hidden="1" x14ac:dyDescent="0.25">
      <c r="A9737" s="174"/>
      <c r="B9737" s="177"/>
      <c r="C9737" s="43" t="s">
        <v>10893</v>
      </c>
      <c r="D9737" s="43" t="s">
        <v>83</v>
      </c>
      <c r="E9737" s="44">
        <v>0.23</v>
      </c>
      <c r="F9737" s="41">
        <v>28.148499999999999</v>
      </c>
      <c r="G9737" s="38">
        <f>IF(ISNUMBER(F9737),E9737*F9737,"")</f>
        <v>6.4741549999999997</v>
      </c>
      <c r="H9737" s="42"/>
      <c r="I9737" s="38"/>
      <c r="J9737" s="37">
        <v>0</v>
      </c>
    </row>
    <row r="9738" spans="1:10" hidden="1" x14ac:dyDescent="0.25">
      <c r="A9738" s="174"/>
      <c r="B9738" s="177"/>
      <c r="C9738" s="43" t="s">
        <v>10614</v>
      </c>
      <c r="D9738" s="43" t="s">
        <v>2800</v>
      </c>
      <c r="E9738" s="44">
        <v>0.54400000000000004</v>
      </c>
      <c r="F9738" s="41">
        <v>23.693000000000001</v>
      </c>
      <c r="G9738" s="38">
        <f>IF(ISNUMBER(F9738),E9738*F9738,"")</f>
        <v>12.888992000000002</v>
      </c>
      <c r="H9738" s="42"/>
      <c r="I9738" s="38"/>
      <c r="J9738" s="37">
        <v>0</v>
      </c>
    </row>
    <row r="9739" spans="1:10" hidden="1" x14ac:dyDescent="0.25">
      <c r="A9739" s="174"/>
      <c r="B9739" s="177"/>
      <c r="C9739" s="43" t="s">
        <v>10831</v>
      </c>
      <c r="D9739" s="43" t="s">
        <v>2800</v>
      </c>
      <c r="E9739" s="44">
        <v>1.0880000000000001</v>
      </c>
      <c r="F9739" s="41">
        <v>28.6615</v>
      </c>
      <c r="G9739" s="38">
        <f>IF(ISNUMBER(F9739),E9739*F9739,"")</f>
        <v>31.183712000000003</v>
      </c>
      <c r="H9739" s="42"/>
      <c r="I9739" s="38"/>
      <c r="J9739" s="37">
        <v>0</v>
      </c>
    </row>
    <row r="9740" spans="1:10" ht="25.5" hidden="1" x14ac:dyDescent="0.25">
      <c r="A9740" s="174"/>
      <c r="B9740" s="177"/>
      <c r="C9740" s="43" t="s">
        <v>10656</v>
      </c>
      <c r="D9740" s="43" t="s">
        <v>1050</v>
      </c>
      <c r="E9740" s="44">
        <v>9.5000000000000001E-2</v>
      </c>
      <c r="F9740" s="41">
        <v>26.884999999999998</v>
      </c>
      <c r="G9740" s="38">
        <f>IF(ISNUMBER(F9740),E9740*F9740,"")</f>
        <v>2.5540749999999997</v>
      </c>
      <c r="H9740" s="42"/>
      <c r="I9740" s="38"/>
      <c r="J9740" s="37">
        <v>0</v>
      </c>
    </row>
    <row r="9741" spans="1:10" ht="25.5" hidden="1" x14ac:dyDescent="0.25">
      <c r="A9741" s="174"/>
      <c r="B9741" s="177"/>
      <c r="C9741" s="43" t="s">
        <v>10657</v>
      </c>
      <c r="D9741" s="43" t="s">
        <v>10677</v>
      </c>
      <c r="E9741" s="44">
        <v>0.99299999999999999</v>
      </c>
      <c r="F9741" s="41">
        <v>25.906499999999998</v>
      </c>
      <c r="G9741" s="38">
        <f>IF(ISNUMBER(F9741),E9741*F9741,"")</f>
        <v>25.725154499999999</v>
      </c>
      <c r="H9741" s="42"/>
      <c r="I9741" s="38"/>
      <c r="J9741" s="37">
        <v>0</v>
      </c>
    </row>
    <row r="9742" spans="1:10" ht="15.75" hidden="1" thickBot="1" x14ac:dyDescent="0.3">
      <c r="A9742" s="175"/>
      <c r="B9742" s="178"/>
      <c r="C9742" s="49"/>
      <c r="D9742" s="49"/>
      <c r="E9742" s="50"/>
      <c r="F9742" s="51" t="s">
        <v>13</v>
      </c>
      <c r="G9742" s="51" t="str">
        <f>IF(ISNUMBER(F9742),E9742*F9742,"")</f>
        <v/>
      </c>
      <c r="H9742" s="53"/>
      <c r="I9742" s="38"/>
      <c r="J9742" s="37">
        <v>0</v>
      </c>
    </row>
    <row r="9743" spans="1:10" ht="15.75" hidden="1" thickBot="1" x14ac:dyDescent="0.3">
      <c r="A9743" s="173" t="s">
        <v>2333</v>
      </c>
      <c r="B9743" s="176" t="s">
        <v>9819</v>
      </c>
      <c r="C9743" s="31"/>
      <c r="D9743" s="32" t="s">
        <v>68</v>
      </c>
      <c r="E9743" s="33"/>
      <c r="F9743" s="54" t="s">
        <v>13</v>
      </c>
      <c r="G9743" s="34" t="str">
        <f>IF(ISNUMBER(F9743),E9743*F9743,"")</f>
        <v/>
      </c>
      <c r="H9743" s="35"/>
      <c r="I9743" s="36"/>
      <c r="J9743" s="37">
        <v>0</v>
      </c>
    </row>
    <row r="9744" spans="1:10" hidden="1" x14ac:dyDescent="0.25">
      <c r="A9744" s="174"/>
      <c r="B9744" s="177"/>
      <c r="C9744" s="39"/>
      <c r="D9744" s="39"/>
      <c r="E9744" s="40"/>
      <c r="F9744" s="55" t="s">
        <v>13</v>
      </c>
      <c r="G9744" s="38" t="str">
        <f>IF(ISNUMBER(F9744),E9744*F9744,"")</f>
        <v/>
      </c>
      <c r="H9744" s="42"/>
      <c r="I9744" s="38"/>
      <c r="J9744" s="37">
        <v>0</v>
      </c>
    </row>
    <row r="9745" spans="1:10" hidden="1" x14ac:dyDescent="0.25">
      <c r="A9745" s="174"/>
      <c r="B9745" s="177"/>
      <c r="C9745" s="43" t="s">
        <v>11032</v>
      </c>
      <c r="D9745" s="43" t="s">
        <v>162</v>
      </c>
      <c r="E9745" s="44">
        <v>1</v>
      </c>
      <c r="F9745" s="38">
        <v>290.71899999999999</v>
      </c>
      <c r="G9745" s="38">
        <f>IF(ISNUMBER(F9745),E9745*F9745,"")</f>
        <v>290.71899999999999</v>
      </c>
      <c r="H9745" s="46">
        <f>SUM(G9745:G9751)</f>
        <v>409.82089899999994</v>
      </c>
      <c r="I9745" s="47"/>
      <c r="J9745" s="37">
        <v>0</v>
      </c>
    </row>
    <row r="9746" spans="1:10" ht="38.25" hidden="1" x14ac:dyDescent="0.25">
      <c r="A9746" s="174"/>
      <c r="B9746" s="177"/>
      <c r="C9746" s="43" t="s">
        <v>10931</v>
      </c>
      <c r="D9746" s="43" t="s">
        <v>83</v>
      </c>
      <c r="E9746" s="44">
        <v>1.7050000000000001</v>
      </c>
      <c r="F9746" s="41">
        <v>0.38949999999999996</v>
      </c>
      <c r="G9746" s="38">
        <f>IF(ISNUMBER(F9746),E9746*F9746,"")</f>
        <v>0.66409750000000001</v>
      </c>
      <c r="H9746" s="42"/>
      <c r="I9746" s="38"/>
      <c r="J9746" s="37">
        <v>0</v>
      </c>
    </row>
    <row r="9747" spans="1:10" hidden="1" x14ac:dyDescent="0.25">
      <c r="A9747" s="174"/>
      <c r="B9747" s="177"/>
      <c r="C9747" s="43" t="s">
        <v>11030</v>
      </c>
      <c r="D9747" s="43" t="s">
        <v>1044</v>
      </c>
      <c r="E9747" s="44">
        <v>0.748</v>
      </c>
      <c r="F9747" s="41">
        <v>41.001999999999995</v>
      </c>
      <c r="G9747" s="38">
        <f>IF(ISNUMBER(F9747),E9747*F9747,"")</f>
        <v>30.669495999999995</v>
      </c>
      <c r="H9747" s="42"/>
      <c r="I9747" s="38"/>
      <c r="J9747" s="37">
        <v>0</v>
      </c>
    </row>
    <row r="9748" spans="1:10" ht="25.5" hidden="1" x14ac:dyDescent="0.25">
      <c r="A9748" s="174"/>
      <c r="B9748" s="177"/>
      <c r="C9748" s="43" t="s">
        <v>10857</v>
      </c>
      <c r="D9748" s="43" t="s">
        <v>1302</v>
      </c>
      <c r="E9748" s="44">
        <v>2.3220000000000001</v>
      </c>
      <c r="F9748" s="41">
        <v>2.4889999999999999</v>
      </c>
      <c r="G9748" s="38">
        <f>IF(ISNUMBER(F9748),E9748*F9748,"")</f>
        <v>5.779458</v>
      </c>
      <c r="H9748" s="42"/>
      <c r="I9748" s="38"/>
      <c r="J9748" s="37">
        <v>0</v>
      </c>
    </row>
    <row r="9749" spans="1:10" hidden="1" x14ac:dyDescent="0.25">
      <c r="A9749" s="174"/>
      <c r="B9749" s="177"/>
      <c r="C9749" s="43" t="s">
        <v>10893</v>
      </c>
      <c r="D9749" s="43" t="s">
        <v>83</v>
      </c>
      <c r="E9749" s="44">
        <v>0.309</v>
      </c>
      <c r="F9749" s="41">
        <v>28.148499999999999</v>
      </c>
      <c r="G9749" s="38">
        <f>IF(ISNUMBER(F9749),E9749*F9749,"")</f>
        <v>8.6978864999999992</v>
      </c>
      <c r="H9749" s="42"/>
      <c r="I9749" s="38"/>
      <c r="J9749" s="37">
        <v>0</v>
      </c>
    </row>
    <row r="9750" spans="1:10" hidden="1" x14ac:dyDescent="0.25">
      <c r="A9750" s="174"/>
      <c r="B9750" s="177"/>
      <c r="C9750" s="43" t="s">
        <v>10614</v>
      </c>
      <c r="D9750" s="43" t="s">
        <v>2800</v>
      </c>
      <c r="E9750" s="44">
        <v>1.3779999999999999</v>
      </c>
      <c r="F9750" s="41">
        <v>23.693000000000001</v>
      </c>
      <c r="G9750" s="38">
        <f>IF(ISNUMBER(F9750),E9750*F9750,"")</f>
        <v>32.648953999999996</v>
      </c>
      <c r="H9750" s="42"/>
      <c r="I9750" s="38"/>
      <c r="J9750" s="37">
        <v>0</v>
      </c>
    </row>
    <row r="9751" spans="1:10" hidden="1" x14ac:dyDescent="0.25">
      <c r="A9751" s="174"/>
      <c r="B9751" s="177"/>
      <c r="C9751" s="43" t="s">
        <v>10831</v>
      </c>
      <c r="D9751" s="43" t="s">
        <v>2800</v>
      </c>
      <c r="E9751" s="44">
        <v>1.4179999999999999</v>
      </c>
      <c r="F9751" s="41">
        <v>28.6615</v>
      </c>
      <c r="G9751" s="38">
        <f>IF(ISNUMBER(F9751),E9751*F9751,"")</f>
        <v>40.642007</v>
      </c>
      <c r="H9751" s="42"/>
      <c r="I9751" s="38"/>
      <c r="J9751" s="37">
        <v>0</v>
      </c>
    </row>
    <row r="9752" spans="1:10" ht="15.75" hidden="1" thickBot="1" x14ac:dyDescent="0.3">
      <c r="A9752" s="175"/>
      <c r="B9752" s="178"/>
      <c r="C9752" s="49"/>
      <c r="D9752" s="49"/>
      <c r="E9752" s="50"/>
      <c r="F9752" s="51" t="s">
        <v>13</v>
      </c>
      <c r="G9752" s="51" t="str">
        <f>IF(ISNUMBER(F9752),E9752*F9752,"")</f>
        <v/>
      </c>
      <c r="H9752" s="53"/>
      <c r="I9752" s="38"/>
      <c r="J9752" s="37">
        <v>0</v>
      </c>
    </row>
    <row r="9753" spans="1:10" ht="15.75" hidden="1" thickBot="1" x14ac:dyDescent="0.3">
      <c r="A9753" s="173" t="s">
        <v>2334</v>
      </c>
      <c r="B9753" s="176" t="s">
        <v>9820</v>
      </c>
      <c r="C9753" s="31"/>
      <c r="D9753" s="32" t="s">
        <v>68</v>
      </c>
      <c r="E9753" s="33"/>
      <c r="F9753" s="54" t="s">
        <v>13</v>
      </c>
      <c r="G9753" s="34" t="str">
        <f>IF(ISNUMBER(F9753),E9753*F9753,"")</f>
        <v/>
      </c>
      <c r="H9753" s="35"/>
      <c r="I9753" s="36"/>
      <c r="J9753" s="37">
        <v>0</v>
      </c>
    </row>
    <row r="9754" spans="1:10" hidden="1" x14ac:dyDescent="0.25">
      <c r="A9754" s="174"/>
      <c r="B9754" s="177"/>
      <c r="C9754" s="39"/>
      <c r="D9754" s="39"/>
      <c r="E9754" s="40"/>
      <c r="F9754" s="55" t="s">
        <v>13</v>
      </c>
      <c r="G9754" s="38" t="str">
        <f>IF(ISNUMBER(F9754),E9754*F9754,"")</f>
        <v/>
      </c>
      <c r="H9754" s="42"/>
      <c r="I9754" s="38"/>
      <c r="J9754" s="37">
        <v>0</v>
      </c>
    </row>
    <row r="9755" spans="1:10" hidden="1" x14ac:dyDescent="0.25">
      <c r="A9755" s="174"/>
      <c r="B9755" s="177"/>
      <c r="C9755" s="43" t="s">
        <v>11032</v>
      </c>
      <c r="D9755" s="43" t="s">
        <v>162</v>
      </c>
      <c r="E9755" s="44">
        <v>1</v>
      </c>
      <c r="F9755" s="38">
        <v>290.71899999999999</v>
      </c>
      <c r="G9755" s="38">
        <f>IF(ISNUMBER(F9755),E9755*F9755,"")</f>
        <v>290.71899999999999</v>
      </c>
      <c r="H9755" s="46">
        <f>SUM(G9755:G9761)</f>
        <v>409.82089899999994</v>
      </c>
      <c r="I9755" s="47"/>
      <c r="J9755" s="37">
        <v>0</v>
      </c>
    </row>
    <row r="9756" spans="1:10" ht="38.25" hidden="1" x14ac:dyDescent="0.25">
      <c r="A9756" s="174"/>
      <c r="B9756" s="177"/>
      <c r="C9756" s="43" t="s">
        <v>10931</v>
      </c>
      <c r="D9756" s="43" t="s">
        <v>83</v>
      </c>
      <c r="E9756" s="44">
        <v>1.7050000000000001</v>
      </c>
      <c r="F9756" s="41">
        <v>0.38949999999999996</v>
      </c>
      <c r="G9756" s="38">
        <f>IF(ISNUMBER(F9756),E9756*F9756,"")</f>
        <v>0.66409750000000001</v>
      </c>
      <c r="H9756" s="42"/>
      <c r="I9756" s="38"/>
      <c r="J9756" s="37">
        <v>0</v>
      </c>
    </row>
    <row r="9757" spans="1:10" hidden="1" x14ac:dyDescent="0.25">
      <c r="A9757" s="174"/>
      <c r="B9757" s="177"/>
      <c r="C9757" s="43" t="s">
        <v>11030</v>
      </c>
      <c r="D9757" s="43" t="s">
        <v>1044</v>
      </c>
      <c r="E9757" s="44">
        <v>0.748</v>
      </c>
      <c r="F9757" s="41">
        <v>41.001999999999995</v>
      </c>
      <c r="G9757" s="38">
        <f>IF(ISNUMBER(F9757),E9757*F9757,"")</f>
        <v>30.669495999999995</v>
      </c>
      <c r="H9757" s="42"/>
      <c r="I9757" s="38"/>
      <c r="J9757" s="37">
        <v>0</v>
      </c>
    </row>
    <row r="9758" spans="1:10" ht="25.5" hidden="1" x14ac:dyDescent="0.25">
      <c r="A9758" s="174"/>
      <c r="B9758" s="177"/>
      <c r="C9758" s="43" t="s">
        <v>10857</v>
      </c>
      <c r="D9758" s="43" t="s">
        <v>1302</v>
      </c>
      <c r="E9758" s="44">
        <v>2.3220000000000001</v>
      </c>
      <c r="F9758" s="41">
        <v>2.4889999999999999</v>
      </c>
      <c r="G9758" s="38">
        <f>IF(ISNUMBER(F9758),E9758*F9758,"")</f>
        <v>5.779458</v>
      </c>
      <c r="H9758" s="42"/>
      <c r="I9758" s="38"/>
      <c r="J9758" s="37">
        <v>0</v>
      </c>
    </row>
    <row r="9759" spans="1:10" hidden="1" x14ac:dyDescent="0.25">
      <c r="A9759" s="174"/>
      <c r="B9759" s="177"/>
      <c r="C9759" s="43" t="s">
        <v>10893</v>
      </c>
      <c r="D9759" s="43" t="s">
        <v>83</v>
      </c>
      <c r="E9759" s="44">
        <v>0.309</v>
      </c>
      <c r="F9759" s="41">
        <v>28.148499999999999</v>
      </c>
      <c r="G9759" s="38">
        <f>IF(ISNUMBER(F9759),E9759*F9759,"")</f>
        <v>8.6978864999999992</v>
      </c>
      <c r="H9759" s="42"/>
      <c r="I9759" s="38"/>
      <c r="J9759" s="37">
        <v>0</v>
      </c>
    </row>
    <row r="9760" spans="1:10" hidden="1" x14ac:dyDescent="0.25">
      <c r="A9760" s="174"/>
      <c r="B9760" s="177"/>
      <c r="C9760" s="43" t="s">
        <v>10614</v>
      </c>
      <c r="D9760" s="43" t="s">
        <v>2800</v>
      </c>
      <c r="E9760" s="44">
        <v>1.3779999999999999</v>
      </c>
      <c r="F9760" s="41">
        <v>23.693000000000001</v>
      </c>
      <c r="G9760" s="38">
        <f>IF(ISNUMBER(F9760),E9760*F9760,"")</f>
        <v>32.648953999999996</v>
      </c>
      <c r="H9760" s="42"/>
      <c r="I9760" s="38"/>
      <c r="J9760" s="37">
        <v>0</v>
      </c>
    </row>
    <row r="9761" spans="1:10" hidden="1" x14ac:dyDescent="0.25">
      <c r="A9761" s="174"/>
      <c r="B9761" s="177"/>
      <c r="C9761" s="43" t="s">
        <v>10831</v>
      </c>
      <c r="D9761" s="43" t="s">
        <v>2800</v>
      </c>
      <c r="E9761" s="44">
        <v>1.4179999999999999</v>
      </c>
      <c r="F9761" s="41">
        <v>28.6615</v>
      </c>
      <c r="G9761" s="38">
        <f>IF(ISNUMBER(F9761),E9761*F9761,"")</f>
        <v>40.642007</v>
      </c>
      <c r="H9761" s="42"/>
      <c r="I9761" s="38"/>
      <c r="J9761" s="37">
        <v>0</v>
      </c>
    </row>
    <row r="9762" spans="1:10" ht="15.75" hidden="1" thickBot="1" x14ac:dyDescent="0.3">
      <c r="A9762" s="175"/>
      <c r="B9762" s="178"/>
      <c r="C9762" s="49"/>
      <c r="D9762" s="49"/>
      <c r="E9762" s="50"/>
      <c r="F9762" s="51" t="s">
        <v>13</v>
      </c>
      <c r="G9762" s="51" t="str">
        <f>IF(ISNUMBER(F9762),E9762*F9762,"")</f>
        <v/>
      </c>
      <c r="H9762" s="53"/>
      <c r="I9762" s="38"/>
      <c r="J9762" s="37">
        <v>0</v>
      </c>
    </row>
    <row r="9763" spans="1:10" ht="15.75" hidden="1" thickBot="1" x14ac:dyDescent="0.3">
      <c r="A9763" s="173" t="s">
        <v>2335</v>
      </c>
      <c r="B9763" s="176" t="s">
        <v>9821</v>
      </c>
      <c r="C9763" s="31"/>
      <c r="D9763" s="32" t="s">
        <v>68</v>
      </c>
      <c r="E9763" s="33"/>
      <c r="F9763" s="54" t="s">
        <v>13</v>
      </c>
      <c r="G9763" s="34" t="str">
        <f>IF(ISNUMBER(F9763),E9763*F9763,"")</f>
        <v/>
      </c>
      <c r="H9763" s="35"/>
      <c r="I9763" s="36"/>
      <c r="J9763" s="37">
        <v>0</v>
      </c>
    </row>
    <row r="9764" spans="1:10" hidden="1" x14ac:dyDescent="0.25">
      <c r="A9764" s="174"/>
      <c r="B9764" s="177"/>
      <c r="C9764" s="39"/>
      <c r="D9764" s="39"/>
      <c r="E9764" s="40"/>
      <c r="F9764" s="55" t="s">
        <v>13</v>
      </c>
      <c r="G9764" s="38" t="str">
        <f>IF(ISNUMBER(F9764),E9764*F9764,"")</f>
        <v/>
      </c>
      <c r="H9764" s="42"/>
      <c r="I9764" s="38"/>
      <c r="J9764" s="37">
        <v>0</v>
      </c>
    </row>
    <row r="9765" spans="1:10" hidden="1" x14ac:dyDescent="0.25">
      <c r="A9765" s="174"/>
      <c r="B9765" s="177"/>
      <c r="C9765" s="43" t="s">
        <v>11032</v>
      </c>
      <c r="D9765" s="43" t="s">
        <v>162</v>
      </c>
      <c r="E9765" s="44">
        <v>1</v>
      </c>
      <c r="F9765" s="38">
        <v>290.71899999999999</v>
      </c>
      <c r="G9765" s="38">
        <f>IF(ISNUMBER(F9765),E9765*F9765,"")</f>
        <v>290.71899999999999</v>
      </c>
      <c r="H9765" s="46">
        <f>SUM(G9765:G9771)</f>
        <v>409.82089899999994</v>
      </c>
      <c r="I9765" s="47"/>
      <c r="J9765" s="37">
        <v>0</v>
      </c>
    </row>
    <row r="9766" spans="1:10" ht="38.25" hidden="1" x14ac:dyDescent="0.25">
      <c r="A9766" s="174"/>
      <c r="B9766" s="177"/>
      <c r="C9766" s="43" t="s">
        <v>10931</v>
      </c>
      <c r="D9766" s="43" t="s">
        <v>83</v>
      </c>
      <c r="E9766" s="44">
        <v>1.7050000000000001</v>
      </c>
      <c r="F9766" s="41">
        <v>0.38949999999999996</v>
      </c>
      <c r="G9766" s="38">
        <f>IF(ISNUMBER(F9766),E9766*F9766,"")</f>
        <v>0.66409750000000001</v>
      </c>
      <c r="H9766" s="42"/>
      <c r="I9766" s="38"/>
      <c r="J9766" s="37">
        <v>0</v>
      </c>
    </row>
    <row r="9767" spans="1:10" hidden="1" x14ac:dyDescent="0.25">
      <c r="A9767" s="174"/>
      <c r="B9767" s="177"/>
      <c r="C9767" s="43" t="s">
        <v>11030</v>
      </c>
      <c r="D9767" s="43" t="s">
        <v>1044</v>
      </c>
      <c r="E9767" s="44">
        <v>0.748</v>
      </c>
      <c r="F9767" s="41">
        <v>41.001999999999995</v>
      </c>
      <c r="G9767" s="38">
        <f>IF(ISNUMBER(F9767),E9767*F9767,"")</f>
        <v>30.669495999999995</v>
      </c>
      <c r="H9767" s="42"/>
      <c r="I9767" s="38"/>
      <c r="J9767" s="37">
        <v>0</v>
      </c>
    </row>
    <row r="9768" spans="1:10" ht="25.5" hidden="1" x14ac:dyDescent="0.25">
      <c r="A9768" s="174"/>
      <c r="B9768" s="177"/>
      <c r="C9768" s="43" t="s">
        <v>10857</v>
      </c>
      <c r="D9768" s="43" t="s">
        <v>1302</v>
      </c>
      <c r="E9768" s="44">
        <v>2.3220000000000001</v>
      </c>
      <c r="F9768" s="41">
        <v>2.4889999999999999</v>
      </c>
      <c r="G9768" s="38">
        <f>IF(ISNUMBER(F9768),E9768*F9768,"")</f>
        <v>5.779458</v>
      </c>
      <c r="H9768" s="42"/>
      <c r="I9768" s="38"/>
      <c r="J9768" s="37">
        <v>0</v>
      </c>
    </row>
    <row r="9769" spans="1:10" hidden="1" x14ac:dyDescent="0.25">
      <c r="A9769" s="174"/>
      <c r="B9769" s="177"/>
      <c r="C9769" s="43" t="s">
        <v>10893</v>
      </c>
      <c r="D9769" s="43" t="s">
        <v>83</v>
      </c>
      <c r="E9769" s="44">
        <v>0.309</v>
      </c>
      <c r="F9769" s="41">
        <v>28.148499999999999</v>
      </c>
      <c r="G9769" s="38">
        <f>IF(ISNUMBER(F9769),E9769*F9769,"")</f>
        <v>8.6978864999999992</v>
      </c>
      <c r="H9769" s="42"/>
      <c r="I9769" s="38"/>
      <c r="J9769" s="37">
        <v>0</v>
      </c>
    </row>
    <row r="9770" spans="1:10" hidden="1" x14ac:dyDescent="0.25">
      <c r="A9770" s="174"/>
      <c r="B9770" s="177"/>
      <c r="C9770" s="43" t="s">
        <v>10614</v>
      </c>
      <c r="D9770" s="43" t="s">
        <v>2800</v>
      </c>
      <c r="E9770" s="44">
        <v>1.3779999999999999</v>
      </c>
      <c r="F9770" s="41">
        <v>23.693000000000001</v>
      </c>
      <c r="G9770" s="38">
        <f>IF(ISNUMBER(F9770),E9770*F9770,"")</f>
        <v>32.648953999999996</v>
      </c>
      <c r="H9770" s="42"/>
      <c r="I9770" s="38"/>
      <c r="J9770" s="37">
        <v>0</v>
      </c>
    </row>
    <row r="9771" spans="1:10" hidden="1" x14ac:dyDescent="0.25">
      <c r="A9771" s="174"/>
      <c r="B9771" s="177"/>
      <c r="C9771" s="43" t="s">
        <v>10831</v>
      </c>
      <c r="D9771" s="43" t="s">
        <v>2800</v>
      </c>
      <c r="E9771" s="44">
        <v>1.4179999999999999</v>
      </c>
      <c r="F9771" s="41">
        <v>28.6615</v>
      </c>
      <c r="G9771" s="38">
        <f>IF(ISNUMBER(F9771),E9771*F9771,"")</f>
        <v>40.642007</v>
      </c>
      <c r="H9771" s="42"/>
      <c r="I9771" s="38"/>
      <c r="J9771" s="37">
        <v>0</v>
      </c>
    </row>
    <row r="9772" spans="1:10" ht="15.75" hidden="1" thickBot="1" x14ac:dyDescent="0.3">
      <c r="A9772" s="175"/>
      <c r="B9772" s="178"/>
      <c r="C9772" s="49"/>
      <c r="D9772" s="49"/>
      <c r="E9772" s="50"/>
      <c r="F9772" s="51" t="s">
        <v>13</v>
      </c>
      <c r="G9772" s="51" t="str">
        <f>IF(ISNUMBER(F9772),E9772*F9772,"")</f>
        <v/>
      </c>
      <c r="H9772" s="53"/>
      <c r="I9772" s="38"/>
      <c r="J9772" s="37">
        <v>0</v>
      </c>
    </row>
    <row r="9773" spans="1:10" ht="15.75" hidden="1" thickBot="1" x14ac:dyDescent="0.3">
      <c r="A9773" s="173" t="s">
        <v>2336</v>
      </c>
      <c r="B9773" s="176" t="s">
        <v>9826</v>
      </c>
      <c r="C9773" s="31"/>
      <c r="D9773" s="32" t="s">
        <v>18</v>
      </c>
      <c r="E9773" s="33"/>
      <c r="F9773" s="54" t="s">
        <v>13</v>
      </c>
      <c r="G9773" s="34" t="str">
        <f>IF(ISNUMBER(F9773),E9773*F9773,"")</f>
        <v/>
      </c>
      <c r="H9773" s="35"/>
      <c r="I9773" s="36"/>
      <c r="J9773" s="37">
        <v>0</v>
      </c>
    </row>
    <row r="9774" spans="1:10" hidden="1" x14ac:dyDescent="0.25">
      <c r="A9774" s="174"/>
      <c r="B9774" s="177"/>
      <c r="C9774" s="39"/>
      <c r="D9774" s="39"/>
      <c r="E9774" s="40"/>
      <c r="F9774" s="55" t="s">
        <v>13</v>
      </c>
      <c r="G9774" s="38" t="str">
        <f>IF(ISNUMBER(F9774),E9774*F9774,"")</f>
        <v/>
      </c>
      <c r="H9774" s="42"/>
      <c r="I9774" s="38"/>
      <c r="J9774" s="37">
        <v>0</v>
      </c>
    </row>
    <row r="9775" spans="1:10" ht="25.5" hidden="1" x14ac:dyDescent="0.25">
      <c r="A9775" s="174"/>
      <c r="B9775" s="177"/>
      <c r="C9775" s="43" t="s">
        <v>10662</v>
      </c>
      <c r="D9775" s="43" t="s">
        <v>2880</v>
      </c>
      <c r="E9775" s="44">
        <v>1.1999999999999999E-3</v>
      </c>
      <c r="F9775" s="38">
        <v>194.8355</v>
      </c>
      <c r="G9775" s="38">
        <f>IF(ISNUMBER(F9775),E9775*F9775,"")</f>
        <v>0.23380259999999997</v>
      </c>
      <c r="H9775" s="46">
        <f>SUM(G9775:G9782)</f>
        <v>1292.6119738127156</v>
      </c>
      <c r="I9775" s="47"/>
      <c r="J9775" s="37">
        <v>0</v>
      </c>
    </row>
    <row r="9776" spans="1:10" ht="25.5" hidden="1" x14ac:dyDescent="0.25">
      <c r="A9776" s="174"/>
      <c r="B9776" s="177"/>
      <c r="C9776" s="43" t="s">
        <v>11724</v>
      </c>
      <c r="D9776" s="43" t="s">
        <v>1050</v>
      </c>
      <c r="E9776" s="44">
        <v>7.6799999999999993E-2</v>
      </c>
      <c r="F9776" s="38">
        <v>26.685499999999998</v>
      </c>
      <c r="G9776" s="38">
        <f>IF(ISNUMBER(F9776),E9776*F9776,"")</f>
        <v>2.0494463999999994</v>
      </c>
      <c r="H9776" s="42"/>
      <c r="I9776" s="38"/>
      <c r="J9776" s="37">
        <v>0</v>
      </c>
    </row>
    <row r="9777" spans="1:10" ht="25.5" hidden="1" x14ac:dyDescent="0.25">
      <c r="A9777" s="174"/>
      <c r="B9777" s="177"/>
      <c r="C9777" s="43" t="s">
        <v>11725</v>
      </c>
      <c r="D9777" s="43" t="s">
        <v>10677</v>
      </c>
      <c r="E9777" s="44">
        <v>0.25850000000000001</v>
      </c>
      <c r="F9777" s="41">
        <v>26.2105</v>
      </c>
      <c r="G9777" s="38">
        <f>IF(ISNUMBER(F9777),E9777*F9777,"")</f>
        <v>6.7754142499999999</v>
      </c>
      <c r="H9777" s="42"/>
      <c r="I9777" s="38"/>
      <c r="J9777" s="37">
        <v>0</v>
      </c>
    </row>
    <row r="9778" spans="1:10" ht="51" hidden="1" x14ac:dyDescent="0.25">
      <c r="A9778" s="174"/>
      <c r="B9778" s="177"/>
      <c r="C9778" s="43" t="s">
        <v>11726</v>
      </c>
      <c r="D9778" s="43" t="s">
        <v>83</v>
      </c>
      <c r="E9778" s="44">
        <v>1</v>
      </c>
      <c r="F9778" s="41">
        <v>1174.1145000000001</v>
      </c>
      <c r="G9778" s="38">
        <f>IF(ISNUMBER(F9778),E9778*F9778,"")</f>
        <v>1174.1145000000001</v>
      </c>
      <c r="H9778" s="42"/>
      <c r="I9778" s="38"/>
      <c r="J9778" s="37">
        <v>0</v>
      </c>
    </row>
    <row r="9779" spans="1:10" ht="38.25" hidden="1" x14ac:dyDescent="0.25">
      <c r="A9779" s="174"/>
      <c r="B9779" s="177"/>
      <c r="C9779" s="43" t="s">
        <v>10711</v>
      </c>
      <c r="D9779" s="43" t="s">
        <v>2880</v>
      </c>
      <c r="E9779" s="44">
        <v>1.6000000000000001E-3</v>
      </c>
      <c r="F9779" s="41">
        <v>826.11055771249994</v>
      </c>
      <c r="G9779" s="38">
        <f>IF(ISNUMBER(F9779),E9779*F9779,"")</f>
        <v>1.32177689234</v>
      </c>
      <c r="H9779" s="42"/>
      <c r="I9779" s="38"/>
      <c r="J9779" s="37">
        <v>0</v>
      </c>
    </row>
    <row r="9780" spans="1:10" hidden="1" x14ac:dyDescent="0.25">
      <c r="A9780" s="174"/>
      <c r="B9780" s="177"/>
      <c r="C9780" s="43" t="s">
        <v>10757</v>
      </c>
      <c r="D9780" s="43" t="s">
        <v>2800</v>
      </c>
      <c r="E9780" s="44">
        <v>1.8461000000000001</v>
      </c>
      <c r="F9780" s="41">
        <v>31.055499999999995</v>
      </c>
      <c r="G9780" s="38">
        <f>IF(ISNUMBER(F9780),E9780*F9780,"")</f>
        <v>57.33155854999999</v>
      </c>
      <c r="H9780" s="42"/>
      <c r="I9780" s="38"/>
      <c r="J9780" s="37">
        <v>0</v>
      </c>
    </row>
    <row r="9781" spans="1:10" hidden="1" x14ac:dyDescent="0.25">
      <c r="A9781" s="174"/>
      <c r="B9781" s="177"/>
      <c r="C9781" s="43" t="s">
        <v>10614</v>
      </c>
      <c r="D9781" s="43" t="s">
        <v>2800</v>
      </c>
      <c r="E9781" s="44">
        <v>1.2307999999999999</v>
      </c>
      <c r="F9781" s="41">
        <v>23.693000000000001</v>
      </c>
      <c r="G9781" s="38">
        <f>IF(ISNUMBER(F9781),E9781*F9781,"")</f>
        <v>29.161344400000001</v>
      </c>
      <c r="H9781" s="42"/>
      <c r="I9781" s="38"/>
      <c r="J9781" s="37">
        <v>0</v>
      </c>
    </row>
    <row r="9782" spans="1:10" ht="38.25" hidden="1" x14ac:dyDescent="0.25">
      <c r="A9782" s="174"/>
      <c r="B9782" s="177"/>
      <c r="C9782" s="43" t="s">
        <v>10740</v>
      </c>
      <c r="D9782" s="43" t="s">
        <v>2880</v>
      </c>
      <c r="E9782" s="44">
        <v>2.2200000000000001E-2</v>
      </c>
      <c r="F9782" s="41">
        <v>974.05994235925004</v>
      </c>
      <c r="G9782" s="38">
        <f>IF(ISNUMBER(F9782),E9782*F9782,"")</f>
        <v>21.624130720375351</v>
      </c>
      <c r="H9782" s="42"/>
      <c r="I9782" s="38"/>
      <c r="J9782" s="37">
        <v>0</v>
      </c>
    </row>
    <row r="9783" spans="1:10" ht="15.75" hidden="1" thickBot="1" x14ac:dyDescent="0.3">
      <c r="A9783" s="175"/>
      <c r="B9783" s="178"/>
      <c r="C9783" s="49"/>
      <c r="D9783" s="49"/>
      <c r="E9783" s="50"/>
      <c r="F9783" s="51" t="s">
        <v>13</v>
      </c>
      <c r="G9783" s="51" t="str">
        <f>IF(ISNUMBER(F9783),E9783*F9783,"")</f>
        <v/>
      </c>
      <c r="H9783" s="53"/>
      <c r="I9783" s="38"/>
      <c r="J9783" s="37">
        <v>0</v>
      </c>
    </row>
    <row r="9784" spans="1:10" ht="15.75" hidden="1" thickBot="1" x14ac:dyDescent="0.3">
      <c r="A9784" s="173" t="s">
        <v>2337</v>
      </c>
      <c r="B9784" s="176" t="s">
        <v>9827</v>
      </c>
      <c r="C9784" s="31"/>
      <c r="D9784" s="32" t="s">
        <v>106</v>
      </c>
      <c r="E9784" s="33"/>
      <c r="F9784" s="54" t="s">
        <v>13</v>
      </c>
      <c r="G9784" s="34" t="str">
        <f>IF(ISNUMBER(F9784),E9784*F9784,"")</f>
        <v/>
      </c>
      <c r="H9784" s="35"/>
      <c r="I9784" s="36"/>
      <c r="J9784" s="37">
        <v>0</v>
      </c>
    </row>
    <row r="9785" spans="1:10" hidden="1" x14ac:dyDescent="0.25">
      <c r="A9785" s="174"/>
      <c r="B9785" s="177"/>
      <c r="C9785" s="39"/>
      <c r="D9785" s="39"/>
      <c r="E9785" s="40"/>
      <c r="F9785" s="55" t="s">
        <v>13</v>
      </c>
      <c r="G9785" s="38" t="str">
        <f>IF(ISNUMBER(F9785),E9785*F9785,"")</f>
        <v/>
      </c>
      <c r="H9785" s="42"/>
      <c r="I9785" s="38"/>
      <c r="J9785" s="37">
        <v>0</v>
      </c>
    </row>
    <row r="9786" spans="1:10" hidden="1" x14ac:dyDescent="0.25">
      <c r="A9786" s="174"/>
      <c r="B9786" s="177"/>
      <c r="C9786" s="43" t="s">
        <v>11402</v>
      </c>
      <c r="D9786" s="43" t="s">
        <v>1302</v>
      </c>
      <c r="E9786" s="44">
        <v>1.0492999999999999</v>
      </c>
      <c r="F9786" s="38">
        <v>46.977499999999999</v>
      </c>
      <c r="G9786" s="38">
        <f>IF(ISNUMBER(F9786),E9786*F9786,"")</f>
        <v>49.293490749999997</v>
      </c>
      <c r="H9786" s="46">
        <f>SUM(G9786:G9789)</f>
        <v>52.00417135</v>
      </c>
      <c r="I9786" s="47"/>
      <c r="J9786" s="37">
        <v>0</v>
      </c>
    </row>
    <row r="9787" spans="1:10" hidden="1" x14ac:dyDescent="0.25">
      <c r="A9787" s="174"/>
      <c r="B9787" s="177"/>
      <c r="C9787" s="43" t="s">
        <v>10899</v>
      </c>
      <c r="D9787" s="43" t="s">
        <v>83</v>
      </c>
      <c r="E9787" s="44">
        <v>1.15E-2</v>
      </c>
      <c r="F9787" s="38">
        <v>2.2039999999999997</v>
      </c>
      <c r="G9787" s="38">
        <f>IF(ISNUMBER(F9787),E9787*F9787,"")</f>
        <v>2.5345999999999997E-2</v>
      </c>
      <c r="H9787" s="42"/>
      <c r="I9787" s="38"/>
      <c r="J9787" s="37">
        <v>0</v>
      </c>
    </row>
    <row r="9788" spans="1:10" ht="25.5" hidden="1" x14ac:dyDescent="0.25">
      <c r="A9788" s="174"/>
      <c r="B9788" s="177"/>
      <c r="C9788" s="43" t="s">
        <v>10753</v>
      </c>
      <c r="D9788" s="43" t="s">
        <v>2800</v>
      </c>
      <c r="E9788" s="44">
        <v>4.9399999999999999E-2</v>
      </c>
      <c r="F9788" s="41">
        <v>23.997</v>
      </c>
      <c r="G9788" s="38">
        <f>IF(ISNUMBER(F9788),E9788*F9788,"")</f>
        <v>1.1854518000000001</v>
      </c>
      <c r="H9788" s="42"/>
      <c r="I9788" s="38"/>
      <c r="J9788" s="37">
        <v>0</v>
      </c>
    </row>
    <row r="9789" spans="1:10" ht="25.5" hidden="1" x14ac:dyDescent="0.25">
      <c r="A9789" s="174"/>
      <c r="B9789" s="177"/>
      <c r="C9789" s="43" t="s">
        <v>10754</v>
      </c>
      <c r="D9789" s="43" t="s">
        <v>2800</v>
      </c>
      <c r="E9789" s="44">
        <v>4.9399999999999999E-2</v>
      </c>
      <c r="F9789" s="41">
        <v>30.361999999999998</v>
      </c>
      <c r="G9789" s="38">
        <f>IF(ISNUMBER(F9789),E9789*F9789,"")</f>
        <v>1.4998828</v>
      </c>
      <c r="H9789" s="42"/>
      <c r="I9789" s="38"/>
      <c r="J9789" s="37">
        <v>0</v>
      </c>
    </row>
    <row r="9790" spans="1:10" ht="15.75" hidden="1" thickBot="1" x14ac:dyDescent="0.3">
      <c r="A9790" s="175"/>
      <c r="B9790" s="178"/>
      <c r="C9790" s="49"/>
      <c r="D9790" s="49"/>
      <c r="E9790" s="50"/>
      <c r="F9790" s="51" t="s">
        <v>13</v>
      </c>
      <c r="G9790" s="51" t="str">
        <f>IF(ISNUMBER(F9790),E9790*F9790,"")</f>
        <v/>
      </c>
      <c r="H9790" s="53"/>
      <c r="I9790" s="38"/>
      <c r="J9790" s="37">
        <v>0</v>
      </c>
    </row>
    <row r="9791" spans="1:10" ht="15.75" hidden="1" thickBot="1" x14ac:dyDescent="0.3">
      <c r="A9791" s="173" t="s">
        <v>2338</v>
      </c>
      <c r="B9791" s="176" t="s">
        <v>9828</v>
      </c>
      <c r="C9791" s="31"/>
      <c r="D9791" s="32" t="s">
        <v>106</v>
      </c>
      <c r="E9791" s="33"/>
      <c r="F9791" s="54" t="s">
        <v>13</v>
      </c>
      <c r="G9791" s="34" t="str">
        <f>IF(ISNUMBER(F9791),E9791*F9791,"")</f>
        <v/>
      </c>
      <c r="H9791" s="35"/>
      <c r="I9791" s="36"/>
      <c r="J9791" s="37">
        <v>0</v>
      </c>
    </row>
    <row r="9792" spans="1:10" hidden="1" x14ac:dyDescent="0.25">
      <c r="A9792" s="174"/>
      <c r="B9792" s="177"/>
      <c r="C9792" s="39"/>
      <c r="D9792" s="39"/>
      <c r="E9792" s="40"/>
      <c r="F9792" s="55" t="s">
        <v>13</v>
      </c>
      <c r="G9792" s="38" t="str">
        <f>IF(ISNUMBER(F9792),E9792*F9792,"")</f>
        <v/>
      </c>
      <c r="H9792" s="42"/>
      <c r="I9792" s="38"/>
      <c r="J9792" s="37">
        <v>0</v>
      </c>
    </row>
    <row r="9793" spans="1:10" hidden="1" x14ac:dyDescent="0.25">
      <c r="A9793" s="174"/>
      <c r="B9793" s="177"/>
      <c r="C9793" s="43" t="s">
        <v>11404</v>
      </c>
      <c r="D9793" s="43" t="s">
        <v>1302</v>
      </c>
      <c r="E9793" s="44">
        <v>1.0492999999999999</v>
      </c>
      <c r="F9793" s="38">
        <v>102.27699999999999</v>
      </c>
      <c r="G9793" s="38">
        <f>IF(ISNUMBER(F9793),E9793*F9793,"")</f>
        <v>107.31925609999998</v>
      </c>
      <c r="H9793" s="46">
        <f>SUM(G9793:G9796)</f>
        <v>110.35374039999999</v>
      </c>
      <c r="I9793" s="47"/>
      <c r="J9793" s="37">
        <v>0</v>
      </c>
    </row>
    <row r="9794" spans="1:10" hidden="1" x14ac:dyDescent="0.25">
      <c r="A9794" s="174"/>
      <c r="B9794" s="177"/>
      <c r="C9794" s="43" t="s">
        <v>10899</v>
      </c>
      <c r="D9794" s="43" t="s">
        <v>83</v>
      </c>
      <c r="E9794" s="44">
        <v>1.29E-2</v>
      </c>
      <c r="F9794" s="38">
        <v>2.2039999999999997</v>
      </c>
      <c r="G9794" s="38">
        <f>IF(ISNUMBER(F9794),E9794*F9794,"")</f>
        <v>2.8431599999999998E-2</v>
      </c>
      <c r="H9794" s="42"/>
      <c r="I9794" s="38"/>
      <c r="J9794" s="37">
        <v>0</v>
      </c>
    </row>
    <row r="9795" spans="1:10" ht="25.5" hidden="1" x14ac:dyDescent="0.25">
      <c r="A9795" s="174"/>
      <c r="B9795" s="177"/>
      <c r="C9795" s="43" t="s">
        <v>10753</v>
      </c>
      <c r="D9795" s="43" t="s">
        <v>2800</v>
      </c>
      <c r="E9795" s="44">
        <v>5.5300000000000002E-2</v>
      </c>
      <c r="F9795" s="41">
        <v>23.997</v>
      </c>
      <c r="G9795" s="38">
        <f>IF(ISNUMBER(F9795),E9795*F9795,"")</f>
        <v>1.3270341000000001</v>
      </c>
      <c r="H9795" s="42"/>
      <c r="I9795" s="38"/>
      <c r="J9795" s="37">
        <v>0</v>
      </c>
    </row>
    <row r="9796" spans="1:10" ht="25.5" hidden="1" x14ac:dyDescent="0.25">
      <c r="A9796" s="174"/>
      <c r="B9796" s="177"/>
      <c r="C9796" s="43" t="s">
        <v>10754</v>
      </c>
      <c r="D9796" s="43" t="s">
        <v>2800</v>
      </c>
      <c r="E9796" s="44">
        <v>5.5300000000000002E-2</v>
      </c>
      <c r="F9796" s="41">
        <v>30.361999999999998</v>
      </c>
      <c r="G9796" s="38">
        <f>IF(ISNUMBER(F9796),E9796*F9796,"")</f>
        <v>1.6790186</v>
      </c>
      <c r="H9796" s="42"/>
      <c r="I9796" s="38"/>
      <c r="J9796" s="37">
        <v>0</v>
      </c>
    </row>
    <row r="9797" spans="1:10" ht="15.75" hidden="1" thickBot="1" x14ac:dyDescent="0.3">
      <c r="A9797" s="175"/>
      <c r="B9797" s="178"/>
      <c r="C9797" s="49"/>
      <c r="D9797" s="49"/>
      <c r="E9797" s="50"/>
      <c r="F9797" s="51" t="s">
        <v>13</v>
      </c>
      <c r="G9797" s="51" t="str">
        <f>IF(ISNUMBER(F9797),E9797*F9797,"")</f>
        <v/>
      </c>
      <c r="H9797" s="53"/>
      <c r="I9797" s="38"/>
      <c r="J9797" s="37">
        <v>0</v>
      </c>
    </row>
    <row r="9798" spans="1:10" ht="15.75" hidden="1" thickBot="1" x14ac:dyDescent="0.3">
      <c r="A9798" s="173" t="s">
        <v>2339</v>
      </c>
      <c r="B9798" s="176" t="s">
        <v>9829</v>
      </c>
      <c r="C9798" s="31"/>
      <c r="D9798" s="32" t="s">
        <v>18</v>
      </c>
      <c r="E9798" s="33"/>
      <c r="F9798" s="54" t="s">
        <v>13</v>
      </c>
      <c r="G9798" s="34" t="str">
        <f>IF(ISNUMBER(F9798),E9798*F9798,"")</f>
        <v/>
      </c>
      <c r="H9798" s="35"/>
      <c r="I9798" s="36"/>
      <c r="J9798" s="37">
        <v>0</v>
      </c>
    </row>
    <row r="9799" spans="1:10" hidden="1" x14ac:dyDescent="0.25">
      <c r="A9799" s="174"/>
      <c r="B9799" s="177"/>
      <c r="C9799" s="39"/>
      <c r="D9799" s="39"/>
      <c r="E9799" s="40"/>
      <c r="F9799" s="55" t="s">
        <v>13</v>
      </c>
      <c r="G9799" s="38" t="str">
        <f>IF(ISNUMBER(F9799),E9799*F9799,"")</f>
        <v/>
      </c>
      <c r="H9799" s="42"/>
      <c r="I9799" s="38"/>
      <c r="J9799" s="37">
        <v>0</v>
      </c>
    </row>
    <row r="9800" spans="1:10" hidden="1" x14ac:dyDescent="0.25">
      <c r="A9800" s="174"/>
      <c r="B9800" s="177"/>
      <c r="C9800" s="43" t="s">
        <v>10907</v>
      </c>
      <c r="D9800" s="43" t="s">
        <v>83</v>
      </c>
      <c r="E9800" s="44">
        <v>4.5199999999999997E-2</v>
      </c>
      <c r="F9800" s="38">
        <v>14.715499999999999</v>
      </c>
      <c r="G9800" s="38">
        <f>IF(ISNUMBER(F9800),E9800*F9800,"")</f>
        <v>0.66514059999999986</v>
      </c>
      <c r="H9800" s="46">
        <f>SUM(G9800:G9803)</f>
        <v>694.24251809999998</v>
      </c>
      <c r="I9800" s="47"/>
      <c r="J9800" s="37">
        <v>0</v>
      </c>
    </row>
    <row r="9801" spans="1:10" hidden="1" x14ac:dyDescent="0.25">
      <c r="A9801" s="174"/>
      <c r="B9801" s="177"/>
      <c r="C9801" s="43" t="s">
        <v>11359</v>
      </c>
      <c r="D9801" s="43" t="s">
        <v>83</v>
      </c>
      <c r="E9801" s="44">
        <v>1</v>
      </c>
      <c r="F9801" s="38">
        <v>654.303</v>
      </c>
      <c r="G9801" s="38">
        <f>IF(ISNUMBER(F9801),E9801*F9801,"")</f>
        <v>654.303</v>
      </c>
      <c r="H9801" s="42"/>
      <c r="I9801" s="38"/>
      <c r="J9801" s="37">
        <v>0</v>
      </c>
    </row>
    <row r="9802" spans="1:10" ht="25.5" hidden="1" x14ac:dyDescent="0.25">
      <c r="A9802" s="174"/>
      <c r="B9802" s="177"/>
      <c r="C9802" s="43" t="s">
        <v>10753</v>
      </c>
      <c r="D9802" s="43" t="s">
        <v>2800</v>
      </c>
      <c r="E9802" s="44">
        <v>0.72250000000000003</v>
      </c>
      <c r="F9802" s="41">
        <v>23.997</v>
      </c>
      <c r="G9802" s="38">
        <f>IF(ISNUMBER(F9802),E9802*F9802,"")</f>
        <v>17.337832500000001</v>
      </c>
      <c r="H9802" s="42"/>
      <c r="I9802" s="38"/>
      <c r="J9802" s="37">
        <v>0</v>
      </c>
    </row>
    <row r="9803" spans="1:10" ht="25.5" hidden="1" x14ac:dyDescent="0.25">
      <c r="A9803" s="174"/>
      <c r="B9803" s="177"/>
      <c r="C9803" s="43" t="s">
        <v>10754</v>
      </c>
      <c r="D9803" s="43" t="s">
        <v>2800</v>
      </c>
      <c r="E9803" s="44">
        <v>0.72250000000000003</v>
      </c>
      <c r="F9803" s="41">
        <v>30.361999999999998</v>
      </c>
      <c r="G9803" s="38">
        <f>IF(ISNUMBER(F9803),E9803*F9803,"")</f>
        <v>21.936544999999999</v>
      </c>
      <c r="H9803" s="42"/>
      <c r="I9803" s="38"/>
      <c r="J9803" s="37">
        <v>0</v>
      </c>
    </row>
    <row r="9804" spans="1:10" ht="15.75" hidden="1" thickBot="1" x14ac:dyDescent="0.3">
      <c r="A9804" s="175"/>
      <c r="B9804" s="178"/>
      <c r="C9804" s="49"/>
      <c r="D9804" s="49"/>
      <c r="E9804" s="50"/>
      <c r="F9804" s="51" t="s">
        <v>13</v>
      </c>
      <c r="G9804" s="51" t="str">
        <f>IF(ISNUMBER(F9804),E9804*F9804,"")</f>
        <v/>
      </c>
      <c r="H9804" s="53"/>
      <c r="I9804" s="38"/>
      <c r="J9804" s="37">
        <v>0</v>
      </c>
    </row>
    <row r="9805" spans="1:10" ht="15.75" hidden="1" thickBot="1" x14ac:dyDescent="0.3">
      <c r="A9805" s="173" t="s">
        <v>2340</v>
      </c>
      <c r="B9805" s="176" t="s">
        <v>9830</v>
      </c>
      <c r="C9805" s="31"/>
      <c r="D9805" s="32" t="s">
        <v>18</v>
      </c>
      <c r="E9805" s="33"/>
      <c r="F9805" s="54" t="s">
        <v>13</v>
      </c>
      <c r="G9805" s="34" t="str">
        <f>IF(ISNUMBER(F9805),E9805*F9805,"")</f>
        <v/>
      </c>
      <c r="H9805" s="35"/>
      <c r="I9805" s="36"/>
      <c r="J9805" s="37">
        <v>0</v>
      </c>
    </row>
    <row r="9806" spans="1:10" hidden="1" x14ac:dyDescent="0.25">
      <c r="A9806" s="174"/>
      <c r="B9806" s="177"/>
      <c r="C9806" s="39"/>
      <c r="D9806" s="39"/>
      <c r="E9806" s="40"/>
      <c r="F9806" s="55" t="s">
        <v>13</v>
      </c>
      <c r="G9806" s="38" t="str">
        <f>IF(ISNUMBER(F9806),E9806*F9806,"")</f>
        <v/>
      </c>
      <c r="H9806" s="42"/>
      <c r="I9806" s="38"/>
      <c r="J9806" s="37">
        <v>0</v>
      </c>
    </row>
    <row r="9807" spans="1:10" hidden="1" x14ac:dyDescent="0.25">
      <c r="A9807" s="174"/>
      <c r="B9807" s="177"/>
      <c r="C9807" s="43" t="s">
        <v>10907</v>
      </c>
      <c r="D9807" s="43" t="s">
        <v>83</v>
      </c>
      <c r="E9807" s="44">
        <v>3.0200000000000001E-2</v>
      </c>
      <c r="F9807" s="38">
        <v>14.715499999999999</v>
      </c>
      <c r="G9807" s="38">
        <f>IF(ISNUMBER(F9807),E9807*F9807,"")</f>
        <v>0.44440809999999997</v>
      </c>
      <c r="H9807" s="46">
        <f>SUM(G9807:G9810)</f>
        <v>284.53450949999996</v>
      </c>
      <c r="I9807" s="47"/>
      <c r="J9807" s="37">
        <v>0</v>
      </c>
    </row>
    <row r="9808" spans="1:10" hidden="1" x14ac:dyDescent="0.25">
      <c r="A9808" s="174"/>
      <c r="B9808" s="177"/>
      <c r="C9808" s="43" t="s">
        <v>11355</v>
      </c>
      <c r="D9808" s="43" t="s">
        <v>83</v>
      </c>
      <c r="E9808" s="44">
        <v>1</v>
      </c>
      <c r="F9808" s="38">
        <v>259.37849999999997</v>
      </c>
      <c r="G9808" s="38">
        <f>IF(ISNUMBER(F9808),E9808*F9808,"")</f>
        <v>259.37849999999997</v>
      </c>
      <c r="H9808" s="42"/>
      <c r="I9808" s="38"/>
      <c r="J9808" s="37">
        <v>0</v>
      </c>
    </row>
    <row r="9809" spans="1:10" ht="25.5" hidden="1" x14ac:dyDescent="0.25">
      <c r="A9809" s="174"/>
      <c r="B9809" s="177"/>
      <c r="C9809" s="43" t="s">
        <v>10753</v>
      </c>
      <c r="D9809" s="43" t="s">
        <v>2800</v>
      </c>
      <c r="E9809" s="44">
        <v>0.4546</v>
      </c>
      <c r="F9809" s="41">
        <v>23.997</v>
      </c>
      <c r="G9809" s="38">
        <f>IF(ISNUMBER(F9809),E9809*F9809,"")</f>
        <v>10.909036199999999</v>
      </c>
      <c r="H9809" s="42"/>
      <c r="I9809" s="38"/>
      <c r="J9809" s="37">
        <v>0</v>
      </c>
    </row>
    <row r="9810" spans="1:10" ht="25.5" hidden="1" x14ac:dyDescent="0.25">
      <c r="A9810" s="174"/>
      <c r="B9810" s="177"/>
      <c r="C9810" s="43" t="s">
        <v>10754</v>
      </c>
      <c r="D9810" s="43" t="s">
        <v>2800</v>
      </c>
      <c r="E9810" s="44">
        <v>0.4546</v>
      </c>
      <c r="F9810" s="41">
        <v>30.361999999999998</v>
      </c>
      <c r="G9810" s="38">
        <f>IF(ISNUMBER(F9810),E9810*F9810,"")</f>
        <v>13.8025652</v>
      </c>
      <c r="H9810" s="42"/>
      <c r="I9810" s="38"/>
      <c r="J9810" s="37">
        <v>0</v>
      </c>
    </row>
    <row r="9811" spans="1:10" ht="15.75" hidden="1" thickBot="1" x14ac:dyDescent="0.3">
      <c r="A9811" s="175"/>
      <c r="B9811" s="178"/>
      <c r="C9811" s="49"/>
      <c r="D9811" s="49"/>
      <c r="E9811" s="50"/>
      <c r="F9811" s="51" t="s">
        <v>13</v>
      </c>
      <c r="G9811" s="51" t="str">
        <f>IF(ISNUMBER(F9811),E9811*F9811,"")</f>
        <v/>
      </c>
      <c r="H9811" s="53"/>
      <c r="I9811" s="38"/>
      <c r="J9811" s="37">
        <v>0</v>
      </c>
    </row>
    <row r="9812" spans="1:10" ht="15.75" hidden="1" thickBot="1" x14ac:dyDescent="0.3">
      <c r="A9812" s="173" t="s">
        <v>2341</v>
      </c>
      <c r="B9812" s="176" t="s">
        <v>9831</v>
      </c>
      <c r="C9812" s="31"/>
      <c r="D9812" s="32" t="s">
        <v>106</v>
      </c>
      <c r="E9812" s="33"/>
      <c r="F9812" s="54" t="s">
        <v>13</v>
      </c>
      <c r="G9812" s="34" t="str">
        <f>IF(ISNUMBER(F9812),E9812*F9812,"")</f>
        <v/>
      </c>
      <c r="H9812" s="35"/>
      <c r="I9812" s="36"/>
      <c r="J9812" s="37">
        <v>0</v>
      </c>
    </row>
    <row r="9813" spans="1:10" hidden="1" x14ac:dyDescent="0.25">
      <c r="A9813" s="174"/>
      <c r="B9813" s="177"/>
      <c r="C9813" s="39"/>
      <c r="D9813" s="39"/>
      <c r="E9813" s="40"/>
      <c r="F9813" s="55" t="s">
        <v>13</v>
      </c>
      <c r="G9813" s="38" t="str">
        <f>IF(ISNUMBER(F9813),E9813*F9813,"")</f>
        <v/>
      </c>
      <c r="H9813" s="42"/>
      <c r="I9813" s="38"/>
      <c r="J9813" s="37">
        <v>0</v>
      </c>
    </row>
    <row r="9814" spans="1:10" ht="25.5" hidden="1" x14ac:dyDescent="0.25">
      <c r="A9814" s="174"/>
      <c r="B9814" s="177"/>
      <c r="C9814" s="43" t="s">
        <v>10999</v>
      </c>
      <c r="D9814" s="43" t="s">
        <v>1044</v>
      </c>
      <c r="E9814" s="44">
        <f>0.1*(1.73)</f>
        <v>0.17300000000000001</v>
      </c>
      <c r="F9814" s="38">
        <v>7.6189999999999989</v>
      </c>
      <c r="G9814" s="38">
        <f>IF(ISNUMBER(F9814),E9814*F9814,"")</f>
        <v>1.318087</v>
      </c>
      <c r="H9814" s="46">
        <f>SUM(G9814:G9822)</f>
        <v>39.429268464000003</v>
      </c>
      <c r="I9814" s="47"/>
      <c r="J9814" s="37">
        <v>0</v>
      </c>
    </row>
    <row r="9815" spans="1:10" hidden="1" x14ac:dyDescent="0.25">
      <c r="A9815" s="174"/>
      <c r="B9815" s="177"/>
      <c r="C9815" s="43" t="s">
        <v>2342</v>
      </c>
      <c r="D9815" s="43" t="s">
        <v>162</v>
      </c>
      <c r="E9815" s="44">
        <v>0.02</v>
      </c>
      <c r="F9815" s="38" t="s">
        <v>13</v>
      </c>
      <c r="G9815" s="38" t="str">
        <f>IF(ISNUMBER(F9815),E9815*F9815,"")</f>
        <v/>
      </c>
      <c r="H9815" s="42"/>
      <c r="I9815" s="38"/>
      <c r="J9815" s="37">
        <v>0</v>
      </c>
    </row>
    <row r="9816" spans="1:10" hidden="1" x14ac:dyDescent="0.25">
      <c r="A9816" s="174"/>
      <c r="B9816" s="177"/>
      <c r="C9816" s="43" t="s">
        <v>10875</v>
      </c>
      <c r="D9816" s="43" t="s">
        <v>1044</v>
      </c>
      <c r="E9816" s="44">
        <f>0.12*ROUND(1/0.59,4)</f>
        <v>0.20338800000000001</v>
      </c>
      <c r="F9816" s="41">
        <v>27.777999999999999</v>
      </c>
      <c r="G9816" s="38">
        <f>IF(ISNUMBER(F9816),E9816*F9816,"")</f>
        <v>5.6497118640000004</v>
      </c>
      <c r="H9816" s="42"/>
      <c r="I9816" s="38"/>
      <c r="J9816" s="37">
        <v>0</v>
      </c>
    </row>
    <row r="9817" spans="1:10" hidden="1" x14ac:dyDescent="0.25">
      <c r="A9817" s="174"/>
      <c r="B9817" s="177"/>
      <c r="C9817" s="43" t="s">
        <v>10674</v>
      </c>
      <c r="D9817" s="43" t="s">
        <v>2800</v>
      </c>
      <c r="E9817" s="44">
        <f>0.4*(2*0.2149)</f>
        <v>0.17192000000000002</v>
      </c>
      <c r="F9817" s="38">
        <v>32.6325</v>
      </c>
      <c r="G9817" s="41">
        <f>IF(ISNUMBER(F9817),E9817*F9817,"")</f>
        <v>5.6101794000000007</v>
      </c>
      <c r="H9817" s="42"/>
      <c r="I9817" s="47"/>
      <c r="J9817" s="37">
        <v>0</v>
      </c>
    </row>
    <row r="9818" spans="1:10" hidden="1" x14ac:dyDescent="0.25">
      <c r="A9818" s="174"/>
      <c r="B9818" s="177"/>
      <c r="C9818" s="43" t="s">
        <v>115</v>
      </c>
      <c r="D9818" s="6" t="s">
        <v>70</v>
      </c>
      <c r="E9818" s="44">
        <f>0.4*(2*(3.6/45))</f>
        <v>6.4000000000000001E-2</v>
      </c>
      <c r="F9818" s="41" t="s">
        <v>13</v>
      </c>
      <c r="G9818" s="41" t="str">
        <f>IF(ISNUMBER(F9818),E9818*F9818,"")</f>
        <v/>
      </c>
      <c r="H9818" s="42"/>
      <c r="I9818" s="38"/>
      <c r="J9818" s="37">
        <v>0</v>
      </c>
    </row>
    <row r="9819" spans="1:10" ht="25.5" hidden="1" x14ac:dyDescent="0.25">
      <c r="A9819" s="174"/>
      <c r="B9819" s="177"/>
      <c r="C9819" s="43" t="s">
        <v>10744</v>
      </c>
      <c r="D9819" s="43" t="s">
        <v>1302</v>
      </c>
      <c r="E9819" s="44">
        <v>0.2</v>
      </c>
      <c r="F9819" s="41">
        <v>75.349059999999994</v>
      </c>
      <c r="G9819" s="38">
        <f>IF(ISNUMBER(F9819),E9819*F9819,"")</f>
        <v>15.069811999999999</v>
      </c>
      <c r="H9819" s="42"/>
      <c r="I9819" s="38"/>
      <c r="J9819" s="37">
        <v>0</v>
      </c>
    </row>
    <row r="9820" spans="1:10" ht="25.5" hidden="1" x14ac:dyDescent="0.25">
      <c r="A9820" s="174"/>
      <c r="B9820" s="177"/>
      <c r="C9820" s="43" t="s">
        <v>10745</v>
      </c>
      <c r="D9820" s="43" t="s">
        <v>162</v>
      </c>
      <c r="E9820" s="44">
        <v>0.4</v>
      </c>
      <c r="F9820" s="41">
        <v>10.827064499999999</v>
      </c>
      <c r="G9820" s="38">
        <f>IF(ISNUMBER(F9820),E9820*F9820,"")</f>
        <v>4.3308257999999995</v>
      </c>
      <c r="H9820" s="42"/>
      <c r="I9820" s="38"/>
      <c r="J9820" s="37">
        <v>0</v>
      </c>
    </row>
    <row r="9821" spans="1:10" hidden="1" x14ac:dyDescent="0.25">
      <c r="A9821" s="174"/>
      <c r="B9821" s="177"/>
      <c r="C9821" s="43" t="s">
        <v>10674</v>
      </c>
      <c r="D9821" s="43" t="s">
        <v>2800</v>
      </c>
      <c r="E9821" s="44">
        <f>0.4*(0.5708)</f>
        <v>0.22832</v>
      </c>
      <c r="F9821" s="38">
        <v>32.6325</v>
      </c>
      <c r="G9821" s="41">
        <f>IF(ISNUMBER(F9821),E9821*F9821,"")</f>
        <v>7.4506524000000001</v>
      </c>
      <c r="H9821" s="42"/>
      <c r="I9821" s="47"/>
      <c r="J9821" s="37">
        <v>0</v>
      </c>
    </row>
    <row r="9822" spans="1:10" hidden="1" x14ac:dyDescent="0.25">
      <c r="A9822" s="174"/>
      <c r="B9822" s="177"/>
      <c r="C9822" s="43" t="s">
        <v>126</v>
      </c>
      <c r="D9822" s="6" t="s">
        <v>70</v>
      </c>
      <c r="E9822" s="44">
        <f>0.4*(ROUND(3*3.6/75,4))</f>
        <v>5.7599999999999998E-2</v>
      </c>
      <c r="F9822" s="41" t="s">
        <v>13</v>
      </c>
      <c r="G9822" s="41" t="str">
        <f>IF(ISNUMBER(F9822),E9822*F9822,"")</f>
        <v/>
      </c>
      <c r="H9822" s="42"/>
      <c r="I9822" s="38"/>
      <c r="J9822" s="37">
        <v>0</v>
      </c>
    </row>
    <row r="9823" spans="1:10" ht="15.75" hidden="1" thickBot="1" x14ac:dyDescent="0.3">
      <c r="A9823" s="175"/>
      <c r="B9823" s="178"/>
      <c r="C9823" s="49"/>
      <c r="D9823" s="49"/>
      <c r="E9823" s="50"/>
      <c r="F9823" s="51" t="s">
        <v>13</v>
      </c>
      <c r="G9823" s="51" t="str">
        <f>IF(ISNUMBER(F9823),E9823*F9823,"")</f>
        <v/>
      </c>
      <c r="H9823" s="53"/>
      <c r="I9823" s="38"/>
      <c r="J9823" s="37">
        <v>0</v>
      </c>
    </row>
    <row r="9824" spans="1:10" ht="15.75" hidden="1" thickBot="1" x14ac:dyDescent="0.3">
      <c r="A9824" s="173" t="s">
        <v>2343</v>
      </c>
      <c r="B9824" s="176" t="s">
        <v>2344</v>
      </c>
      <c r="C9824" s="31"/>
      <c r="D9824" s="32" t="s">
        <v>18</v>
      </c>
      <c r="E9824" s="33"/>
      <c r="F9824" s="60" t="s">
        <v>13</v>
      </c>
      <c r="G9824" s="34" t="str">
        <f>IF(ISNUMBER(F9824),E9824*F9824,"")</f>
        <v/>
      </c>
      <c r="H9824" s="35"/>
      <c r="I9824" s="36"/>
      <c r="J9824" s="37">
        <v>0</v>
      </c>
    </row>
    <row r="9825" spans="1:10" hidden="1" x14ac:dyDescent="0.25">
      <c r="A9825" s="179"/>
      <c r="B9825" s="177"/>
      <c r="C9825" s="39"/>
      <c r="D9825" s="39"/>
      <c r="E9825" s="40"/>
      <c r="F9825" s="70" t="s">
        <v>13</v>
      </c>
      <c r="G9825" s="70" t="str">
        <f>IF(ISNUMBER(F9825),E9825*F9825,"")</f>
        <v/>
      </c>
      <c r="H9825" s="71"/>
      <c r="I9825" s="72"/>
      <c r="J9825" s="37">
        <v>0</v>
      </c>
    </row>
    <row r="9826" spans="1:10" hidden="1" x14ac:dyDescent="0.25">
      <c r="A9826" s="179"/>
      <c r="B9826" s="177"/>
      <c r="C9826" s="43" t="s">
        <v>2344</v>
      </c>
      <c r="D9826" s="43" t="s">
        <v>83</v>
      </c>
      <c r="E9826" s="44">
        <v>1</v>
      </c>
      <c r="F9826" s="70" t="s">
        <v>13</v>
      </c>
      <c r="G9826" s="70" t="str">
        <f>IF(ISNUMBER(F9826),E9826*F9826,"")</f>
        <v/>
      </c>
      <c r="H9826" s="46">
        <f>SUM(G9826:G9826)</f>
        <v>0</v>
      </c>
      <c r="I9826" s="47"/>
      <c r="J9826" s="37">
        <v>0</v>
      </c>
    </row>
    <row r="9827" spans="1:10" ht="15.75" hidden="1" thickBot="1" x14ac:dyDescent="0.3">
      <c r="A9827" s="180"/>
      <c r="B9827" s="178"/>
      <c r="C9827" s="49"/>
      <c r="D9827" s="49"/>
      <c r="E9827" s="50"/>
      <c r="F9827" s="83" t="s">
        <v>13</v>
      </c>
      <c r="G9827" s="83" t="str">
        <f>IF(ISNUMBER(F9827),E9827*F9827,"")</f>
        <v/>
      </c>
      <c r="H9827" s="84"/>
      <c r="I9827" s="72"/>
      <c r="J9827" s="37">
        <v>0</v>
      </c>
    </row>
    <row r="9828" spans="1:10" ht="15.75" hidden="1" thickBot="1" x14ac:dyDescent="0.3">
      <c r="A9828" s="173" t="s">
        <v>2345</v>
      </c>
      <c r="B9828" s="176" t="s">
        <v>2346</v>
      </c>
      <c r="C9828" s="31"/>
      <c r="D9828" s="32" t="s">
        <v>18</v>
      </c>
      <c r="E9828" s="33"/>
      <c r="F9828" s="60" t="s">
        <v>13</v>
      </c>
      <c r="G9828" s="34" t="str">
        <f>IF(ISNUMBER(F9828),E9828*F9828,"")</f>
        <v/>
      </c>
      <c r="H9828" s="35"/>
      <c r="I9828" s="36"/>
      <c r="J9828" s="37">
        <v>0</v>
      </c>
    </row>
    <row r="9829" spans="1:10" hidden="1" x14ac:dyDescent="0.25">
      <c r="A9829" s="179"/>
      <c r="B9829" s="177"/>
      <c r="C9829" s="39"/>
      <c r="D9829" s="39"/>
      <c r="E9829" s="40"/>
      <c r="F9829" s="70" t="s">
        <v>13</v>
      </c>
      <c r="G9829" s="70" t="str">
        <f>IF(ISNUMBER(F9829),E9829*F9829,"")</f>
        <v/>
      </c>
      <c r="H9829" s="71"/>
      <c r="I9829" s="72"/>
      <c r="J9829" s="37">
        <v>0</v>
      </c>
    </row>
    <row r="9830" spans="1:10" ht="25.5" hidden="1" x14ac:dyDescent="0.25">
      <c r="A9830" s="179"/>
      <c r="B9830" s="177"/>
      <c r="C9830" s="43" t="s">
        <v>2346</v>
      </c>
      <c r="D9830" s="43" t="s">
        <v>83</v>
      </c>
      <c r="E9830" s="44">
        <v>1</v>
      </c>
      <c r="F9830" s="70" t="s">
        <v>13</v>
      </c>
      <c r="G9830" s="70" t="str">
        <f>IF(ISNUMBER(F9830),E9830*F9830,"")</f>
        <v/>
      </c>
      <c r="H9830" s="46">
        <f>SUM(G9830:G9830)</f>
        <v>0</v>
      </c>
      <c r="I9830" s="47"/>
      <c r="J9830" s="37">
        <v>0</v>
      </c>
    </row>
    <row r="9831" spans="1:10" ht="15.75" hidden="1" thickBot="1" x14ac:dyDescent="0.3">
      <c r="A9831" s="180"/>
      <c r="B9831" s="178"/>
      <c r="C9831" s="49"/>
      <c r="D9831" s="49"/>
      <c r="E9831" s="50"/>
      <c r="F9831" s="83" t="s">
        <v>13</v>
      </c>
      <c r="G9831" s="83" t="str">
        <f>IF(ISNUMBER(F9831),E9831*F9831,"")</f>
        <v/>
      </c>
      <c r="H9831" s="84"/>
      <c r="I9831" s="72"/>
      <c r="J9831" s="37">
        <v>0</v>
      </c>
    </row>
    <row r="9832" spans="1:10" ht="15.75" hidden="1" thickBot="1" x14ac:dyDescent="0.3">
      <c r="A9832" s="173" t="s">
        <v>2347</v>
      </c>
      <c r="B9832" s="176" t="s">
        <v>9836</v>
      </c>
      <c r="C9832" s="31"/>
      <c r="D9832" s="32" t="s">
        <v>18</v>
      </c>
      <c r="E9832" s="33"/>
      <c r="F9832" s="60" t="s">
        <v>13</v>
      </c>
      <c r="G9832" s="34" t="str">
        <f>IF(ISNUMBER(F9832),E9832*F9832,"")</f>
        <v/>
      </c>
      <c r="H9832" s="35"/>
      <c r="I9832" s="36"/>
      <c r="J9832" s="37">
        <v>0</v>
      </c>
    </row>
    <row r="9833" spans="1:10" hidden="1" x14ac:dyDescent="0.25">
      <c r="A9833" s="179"/>
      <c r="B9833" s="177"/>
      <c r="C9833" s="39"/>
      <c r="D9833" s="39"/>
      <c r="E9833" s="40"/>
      <c r="F9833" s="70" t="s">
        <v>13</v>
      </c>
      <c r="G9833" s="70" t="str">
        <f>IF(ISNUMBER(F9833),E9833*F9833,"")</f>
        <v/>
      </c>
      <c r="H9833" s="71"/>
      <c r="I9833" s="72"/>
      <c r="J9833" s="37">
        <v>0</v>
      </c>
    </row>
    <row r="9834" spans="1:10" ht="25.5" hidden="1" x14ac:dyDescent="0.25">
      <c r="A9834" s="179"/>
      <c r="B9834" s="177"/>
      <c r="C9834" s="43" t="s">
        <v>11550</v>
      </c>
      <c r="D9834" s="43" t="s">
        <v>83</v>
      </c>
      <c r="E9834" s="44">
        <v>1</v>
      </c>
      <c r="F9834" s="70">
        <v>238.393</v>
      </c>
      <c r="G9834" s="70">
        <f>IF(ISNUMBER(F9834),E9834*F9834,"")</f>
        <v>238.393</v>
      </c>
      <c r="H9834" s="46">
        <f>SUM(G9834:G9834)</f>
        <v>238.393</v>
      </c>
      <c r="I9834" s="47"/>
      <c r="J9834" s="37">
        <v>0</v>
      </c>
    </row>
    <row r="9835" spans="1:10" ht="15.75" hidden="1" thickBot="1" x14ac:dyDescent="0.3">
      <c r="A9835" s="180"/>
      <c r="B9835" s="178"/>
      <c r="C9835" s="49"/>
      <c r="D9835" s="49"/>
      <c r="E9835" s="50"/>
      <c r="F9835" s="83" t="s">
        <v>13</v>
      </c>
      <c r="G9835" s="83" t="str">
        <f>IF(ISNUMBER(F9835),E9835*F9835,"")</f>
        <v/>
      </c>
      <c r="H9835" s="84"/>
      <c r="I9835" s="72"/>
      <c r="J9835" s="37">
        <v>0</v>
      </c>
    </row>
    <row r="9836" spans="1:10" ht="15.75" hidden="1" thickBot="1" x14ac:dyDescent="0.3">
      <c r="A9836" s="173" t="s">
        <v>2348</v>
      </c>
      <c r="B9836" s="176" t="s">
        <v>9841</v>
      </c>
      <c r="C9836" s="31"/>
      <c r="D9836" s="32" t="s">
        <v>18</v>
      </c>
      <c r="E9836" s="33"/>
      <c r="F9836" s="60" t="s">
        <v>13</v>
      </c>
      <c r="G9836" s="34" t="str">
        <f>IF(ISNUMBER(F9836),E9836*F9836,"")</f>
        <v/>
      </c>
      <c r="H9836" s="35"/>
      <c r="I9836" s="36"/>
      <c r="J9836" s="37">
        <v>0</v>
      </c>
    </row>
    <row r="9837" spans="1:10" hidden="1" x14ac:dyDescent="0.25">
      <c r="A9837" s="179"/>
      <c r="B9837" s="177"/>
      <c r="C9837" s="39"/>
      <c r="D9837" s="39"/>
      <c r="E9837" s="40"/>
      <c r="F9837" s="70" t="s">
        <v>13</v>
      </c>
      <c r="G9837" s="70" t="str">
        <f>IF(ISNUMBER(F9837),E9837*F9837,"")</f>
        <v/>
      </c>
      <c r="H9837" s="71"/>
      <c r="I9837" s="72"/>
      <c r="J9837" s="37">
        <v>0</v>
      </c>
    </row>
    <row r="9838" spans="1:10" ht="25.5" hidden="1" x14ac:dyDescent="0.25">
      <c r="A9838" s="179"/>
      <c r="B9838" s="177"/>
      <c r="C9838" s="43" t="s">
        <v>11537</v>
      </c>
      <c r="D9838" s="43" t="s">
        <v>83</v>
      </c>
      <c r="E9838" s="44">
        <v>1</v>
      </c>
      <c r="F9838" s="70">
        <v>29.269499999999997</v>
      </c>
      <c r="G9838" s="70">
        <f>IF(ISNUMBER(F9838),E9838*F9838,"")</f>
        <v>29.269499999999997</v>
      </c>
      <c r="H9838" s="46">
        <f>SUM(G9838:G9838)</f>
        <v>29.269499999999997</v>
      </c>
      <c r="I9838" s="47"/>
      <c r="J9838" s="37">
        <v>0</v>
      </c>
    </row>
    <row r="9839" spans="1:10" ht="15.75" hidden="1" thickBot="1" x14ac:dyDescent="0.3">
      <c r="A9839" s="180"/>
      <c r="B9839" s="178"/>
      <c r="C9839" s="49"/>
      <c r="D9839" s="49"/>
      <c r="E9839" s="50"/>
      <c r="F9839" s="83" t="s">
        <v>13</v>
      </c>
      <c r="G9839" s="83" t="str">
        <f>IF(ISNUMBER(F9839),E9839*F9839,"")</f>
        <v/>
      </c>
      <c r="H9839" s="84"/>
      <c r="I9839" s="72"/>
      <c r="J9839" s="37">
        <v>0</v>
      </c>
    </row>
    <row r="9840" spans="1:10" ht="15.75" hidden="1" thickBot="1" x14ac:dyDescent="0.3">
      <c r="A9840" s="173" t="s">
        <v>2349</v>
      </c>
      <c r="B9840" s="176" t="s">
        <v>9842</v>
      </c>
      <c r="C9840" s="31"/>
      <c r="D9840" s="32" t="s">
        <v>18</v>
      </c>
      <c r="E9840" s="33"/>
      <c r="F9840" s="60" t="s">
        <v>13</v>
      </c>
      <c r="G9840" s="34" t="str">
        <f>IF(ISNUMBER(F9840),E9840*F9840,"")</f>
        <v/>
      </c>
      <c r="H9840" s="35"/>
      <c r="I9840" s="36"/>
      <c r="J9840" s="37">
        <v>0</v>
      </c>
    </row>
    <row r="9841" spans="1:10" hidden="1" x14ac:dyDescent="0.25">
      <c r="A9841" s="179"/>
      <c r="B9841" s="177"/>
      <c r="C9841" s="39"/>
      <c r="D9841" s="39"/>
      <c r="E9841" s="40"/>
      <c r="F9841" s="70" t="s">
        <v>13</v>
      </c>
      <c r="G9841" s="70" t="str">
        <f>IF(ISNUMBER(F9841),E9841*F9841,"")</f>
        <v/>
      </c>
      <c r="H9841" s="71"/>
      <c r="I9841" s="72"/>
      <c r="J9841" s="37">
        <v>0</v>
      </c>
    </row>
    <row r="9842" spans="1:10" ht="25.5" hidden="1" x14ac:dyDescent="0.25">
      <c r="A9842" s="179"/>
      <c r="B9842" s="177"/>
      <c r="C9842" s="43" t="s">
        <v>11727</v>
      </c>
      <c r="D9842" s="43" t="s">
        <v>83</v>
      </c>
      <c r="E9842" s="44">
        <v>1</v>
      </c>
      <c r="F9842" s="70">
        <v>17.366</v>
      </c>
      <c r="G9842" s="70">
        <f>IF(ISNUMBER(F9842),E9842*F9842,"")</f>
        <v>17.366</v>
      </c>
      <c r="H9842" s="46">
        <f>SUM(G9842:G9842)</f>
        <v>17.366</v>
      </c>
      <c r="I9842" s="47"/>
      <c r="J9842" s="37">
        <v>0</v>
      </c>
    </row>
    <row r="9843" spans="1:10" ht="15.75" hidden="1" thickBot="1" x14ac:dyDescent="0.3">
      <c r="A9843" s="180"/>
      <c r="B9843" s="178"/>
      <c r="C9843" s="49"/>
      <c r="D9843" s="49"/>
      <c r="E9843" s="50"/>
      <c r="F9843" s="83" t="s">
        <v>13</v>
      </c>
      <c r="G9843" s="83" t="str">
        <f>IF(ISNUMBER(F9843),E9843*F9843,"")</f>
        <v/>
      </c>
      <c r="H9843" s="84"/>
      <c r="I9843" s="72"/>
      <c r="J9843" s="37">
        <v>0</v>
      </c>
    </row>
    <row r="9844" spans="1:10" ht="15.75" hidden="1" thickBot="1" x14ac:dyDescent="0.3">
      <c r="A9844" s="173" t="s">
        <v>2350</v>
      </c>
      <c r="B9844" s="176" t="s">
        <v>9843</v>
      </c>
      <c r="C9844" s="31"/>
      <c r="D9844" s="32" t="s">
        <v>18</v>
      </c>
      <c r="E9844" s="33"/>
      <c r="F9844" s="60" t="s">
        <v>13</v>
      </c>
      <c r="G9844" s="34" t="str">
        <f>IF(ISNUMBER(F9844),E9844*F9844,"")</f>
        <v/>
      </c>
      <c r="H9844" s="35"/>
      <c r="I9844" s="36"/>
      <c r="J9844" s="37">
        <v>0</v>
      </c>
    </row>
    <row r="9845" spans="1:10" hidden="1" x14ac:dyDescent="0.25">
      <c r="A9845" s="179"/>
      <c r="B9845" s="177"/>
      <c r="C9845" s="39"/>
      <c r="D9845" s="39"/>
      <c r="E9845" s="40"/>
      <c r="F9845" s="70" t="s">
        <v>13</v>
      </c>
      <c r="G9845" s="70" t="str">
        <f>IF(ISNUMBER(F9845),E9845*F9845,"")</f>
        <v/>
      </c>
      <c r="H9845" s="71"/>
      <c r="I9845" s="72"/>
      <c r="J9845" s="37">
        <v>0</v>
      </c>
    </row>
    <row r="9846" spans="1:10" ht="25.5" hidden="1" x14ac:dyDescent="0.25">
      <c r="A9846" s="179"/>
      <c r="B9846" s="177"/>
      <c r="C9846" s="43" t="s">
        <v>11728</v>
      </c>
      <c r="D9846" s="43" t="s">
        <v>83</v>
      </c>
      <c r="E9846" s="44">
        <v>1</v>
      </c>
      <c r="F9846" s="70">
        <v>56.144999999999996</v>
      </c>
      <c r="G9846" s="70">
        <f>IF(ISNUMBER(F9846),E9846*F9846,"")</f>
        <v>56.144999999999996</v>
      </c>
      <c r="H9846" s="46">
        <f>SUM(G9846:G9846)</f>
        <v>56.144999999999996</v>
      </c>
      <c r="I9846" s="47"/>
      <c r="J9846" s="37">
        <v>0</v>
      </c>
    </row>
    <row r="9847" spans="1:10" ht="15.75" hidden="1" thickBot="1" x14ac:dyDescent="0.3">
      <c r="A9847" s="180"/>
      <c r="B9847" s="178"/>
      <c r="C9847" s="49"/>
      <c r="D9847" s="49"/>
      <c r="E9847" s="50"/>
      <c r="F9847" s="83" t="s">
        <v>13</v>
      </c>
      <c r="G9847" s="83" t="str">
        <f>IF(ISNUMBER(F9847),E9847*F9847,"")</f>
        <v/>
      </c>
      <c r="H9847" s="84"/>
      <c r="I9847" s="72"/>
      <c r="J9847" s="37">
        <v>0</v>
      </c>
    </row>
    <row r="9848" spans="1:10" ht="15.75" hidden="1" thickBot="1" x14ac:dyDescent="0.3">
      <c r="A9848" s="173" t="s">
        <v>2351</v>
      </c>
      <c r="B9848" s="176" t="s">
        <v>9844</v>
      </c>
      <c r="C9848" s="31"/>
      <c r="D9848" s="32" t="s">
        <v>18</v>
      </c>
      <c r="E9848" s="33"/>
      <c r="F9848" s="60" t="s">
        <v>13</v>
      </c>
      <c r="G9848" s="34" t="str">
        <f>IF(ISNUMBER(F9848),E9848*F9848,"")</f>
        <v/>
      </c>
      <c r="H9848" s="35"/>
      <c r="I9848" s="36"/>
      <c r="J9848" s="37">
        <v>0</v>
      </c>
    </row>
    <row r="9849" spans="1:10" hidden="1" x14ac:dyDescent="0.25">
      <c r="A9849" s="179"/>
      <c r="B9849" s="177"/>
      <c r="C9849" s="39"/>
      <c r="D9849" s="39"/>
      <c r="E9849" s="40"/>
      <c r="F9849" s="70" t="s">
        <v>13</v>
      </c>
      <c r="G9849" s="70" t="str">
        <f>IF(ISNUMBER(F9849),E9849*F9849,"")</f>
        <v/>
      </c>
      <c r="H9849" s="71"/>
      <c r="I9849" s="72"/>
      <c r="J9849" s="37">
        <v>0</v>
      </c>
    </row>
    <row r="9850" spans="1:10" ht="25.5" hidden="1" x14ac:dyDescent="0.25">
      <c r="A9850" s="179"/>
      <c r="B9850" s="177"/>
      <c r="C9850" s="43" t="s">
        <v>11729</v>
      </c>
      <c r="D9850" s="43" t="s">
        <v>83</v>
      </c>
      <c r="E9850" s="44">
        <v>1</v>
      </c>
      <c r="F9850" s="70">
        <v>0.90249999999999997</v>
      </c>
      <c r="G9850" s="70">
        <f>IF(ISNUMBER(F9850),E9850*F9850,"")</f>
        <v>0.90249999999999997</v>
      </c>
      <c r="H9850" s="46">
        <f>SUM(G9850:G9850)</f>
        <v>0.90249999999999997</v>
      </c>
      <c r="I9850" s="47"/>
      <c r="J9850" s="37">
        <v>0</v>
      </c>
    </row>
    <row r="9851" spans="1:10" ht="15.75" hidden="1" thickBot="1" x14ac:dyDescent="0.3">
      <c r="A9851" s="180"/>
      <c r="B9851" s="178"/>
      <c r="C9851" s="49"/>
      <c r="D9851" s="49"/>
      <c r="E9851" s="50"/>
      <c r="F9851" s="83" t="s">
        <v>13</v>
      </c>
      <c r="G9851" s="83" t="str">
        <f>IF(ISNUMBER(F9851),E9851*F9851,"")</f>
        <v/>
      </c>
      <c r="H9851" s="84"/>
      <c r="I9851" s="72"/>
      <c r="J9851" s="37">
        <v>0</v>
      </c>
    </row>
    <row r="9852" spans="1:10" ht="15.75" hidden="1" thickBot="1" x14ac:dyDescent="0.3">
      <c r="A9852" s="173" t="s">
        <v>2352</v>
      </c>
      <c r="B9852" s="176" t="s">
        <v>9845</v>
      </c>
      <c r="C9852" s="31"/>
      <c r="D9852" s="32" t="s">
        <v>18</v>
      </c>
      <c r="E9852" s="33"/>
      <c r="F9852" s="60" t="s">
        <v>13</v>
      </c>
      <c r="G9852" s="34" t="str">
        <f>IF(ISNUMBER(F9852),E9852*F9852,"")</f>
        <v/>
      </c>
      <c r="H9852" s="35"/>
      <c r="I9852" s="36"/>
      <c r="J9852" s="37">
        <v>0</v>
      </c>
    </row>
    <row r="9853" spans="1:10" hidden="1" x14ac:dyDescent="0.25">
      <c r="A9853" s="179"/>
      <c r="B9853" s="177"/>
      <c r="C9853" s="39"/>
      <c r="D9853" s="39"/>
      <c r="E9853" s="40"/>
      <c r="F9853" s="70" t="s">
        <v>13</v>
      </c>
      <c r="G9853" s="70" t="str">
        <f>IF(ISNUMBER(F9853),E9853*F9853,"")</f>
        <v/>
      </c>
      <c r="H9853" s="71"/>
      <c r="I9853" s="72"/>
      <c r="J9853" s="37">
        <v>0</v>
      </c>
    </row>
    <row r="9854" spans="1:10" ht="25.5" hidden="1" x14ac:dyDescent="0.25">
      <c r="A9854" s="179"/>
      <c r="B9854" s="177"/>
      <c r="C9854" s="43" t="s">
        <v>11730</v>
      </c>
      <c r="D9854" s="43" t="s">
        <v>83</v>
      </c>
      <c r="E9854" s="44">
        <v>1</v>
      </c>
      <c r="F9854" s="70">
        <v>6.9444999999999997</v>
      </c>
      <c r="G9854" s="70">
        <f>IF(ISNUMBER(F9854),E9854*F9854,"")</f>
        <v>6.9444999999999997</v>
      </c>
      <c r="H9854" s="46">
        <f>SUM(G9854:G9854)</f>
        <v>6.9444999999999997</v>
      </c>
      <c r="I9854" s="47"/>
      <c r="J9854" s="37">
        <v>0</v>
      </c>
    </row>
    <row r="9855" spans="1:10" ht="15.75" hidden="1" thickBot="1" x14ac:dyDescent="0.3">
      <c r="A9855" s="180"/>
      <c r="B9855" s="178"/>
      <c r="C9855" s="49"/>
      <c r="D9855" s="49"/>
      <c r="E9855" s="50"/>
      <c r="F9855" s="83" t="s">
        <v>13</v>
      </c>
      <c r="G9855" s="83" t="str">
        <f>IF(ISNUMBER(F9855),E9855*F9855,"")</f>
        <v/>
      </c>
      <c r="H9855" s="84"/>
      <c r="I9855" s="72"/>
      <c r="J9855" s="37">
        <v>0</v>
      </c>
    </row>
    <row r="9856" spans="1:10" ht="15.75" hidden="1" thickBot="1" x14ac:dyDescent="0.3">
      <c r="A9856" s="173" t="s">
        <v>2353</v>
      </c>
      <c r="B9856" s="176" t="s">
        <v>9846</v>
      </c>
      <c r="C9856" s="31"/>
      <c r="D9856" s="32" t="s">
        <v>18</v>
      </c>
      <c r="E9856" s="33"/>
      <c r="F9856" s="60" t="s">
        <v>13</v>
      </c>
      <c r="G9856" s="34" t="str">
        <f>IF(ISNUMBER(F9856),E9856*F9856,"")</f>
        <v/>
      </c>
      <c r="H9856" s="35"/>
      <c r="I9856" s="36"/>
      <c r="J9856" s="37">
        <v>0</v>
      </c>
    </row>
    <row r="9857" spans="1:10" hidden="1" x14ac:dyDescent="0.25">
      <c r="A9857" s="179"/>
      <c r="B9857" s="177"/>
      <c r="C9857" s="39"/>
      <c r="D9857" s="39"/>
      <c r="E9857" s="40"/>
      <c r="F9857" s="70" t="s">
        <v>13</v>
      </c>
      <c r="G9857" s="70" t="str">
        <f>IF(ISNUMBER(F9857),E9857*F9857,"")</f>
        <v/>
      </c>
      <c r="H9857" s="71"/>
      <c r="I9857" s="72"/>
      <c r="J9857" s="37">
        <v>0</v>
      </c>
    </row>
    <row r="9858" spans="1:10" ht="25.5" hidden="1" x14ac:dyDescent="0.25">
      <c r="A9858" s="179"/>
      <c r="B9858" s="177"/>
      <c r="C9858" s="43" t="s">
        <v>11731</v>
      </c>
      <c r="D9858" s="43" t="s">
        <v>83</v>
      </c>
      <c r="E9858" s="44">
        <v>1</v>
      </c>
      <c r="F9858" s="70">
        <v>4.0659999999999998</v>
      </c>
      <c r="G9858" s="70">
        <f>IF(ISNUMBER(F9858),E9858*F9858,"")</f>
        <v>4.0659999999999998</v>
      </c>
      <c r="H9858" s="46">
        <f>SUM(G9858:G9858)</f>
        <v>4.0659999999999998</v>
      </c>
      <c r="I9858" s="47"/>
      <c r="J9858" s="37">
        <v>0</v>
      </c>
    </row>
    <row r="9859" spans="1:10" ht="15.75" hidden="1" thickBot="1" x14ac:dyDescent="0.3">
      <c r="A9859" s="180"/>
      <c r="B9859" s="178"/>
      <c r="C9859" s="49"/>
      <c r="D9859" s="49"/>
      <c r="E9859" s="50"/>
      <c r="F9859" s="83" t="s">
        <v>13</v>
      </c>
      <c r="G9859" s="83" t="str">
        <f>IF(ISNUMBER(F9859),E9859*F9859,"")</f>
        <v/>
      </c>
      <c r="H9859" s="84"/>
      <c r="I9859" s="72"/>
      <c r="J9859" s="37">
        <v>0</v>
      </c>
    </row>
    <row r="9860" spans="1:10" ht="15.75" hidden="1" thickBot="1" x14ac:dyDescent="0.3">
      <c r="A9860" s="173" t="s">
        <v>2354</v>
      </c>
      <c r="B9860" s="176" t="s">
        <v>9847</v>
      </c>
      <c r="C9860" s="31"/>
      <c r="D9860" s="32" t="s">
        <v>18</v>
      </c>
      <c r="E9860" s="33"/>
      <c r="F9860" s="60" t="s">
        <v>13</v>
      </c>
      <c r="G9860" s="34" t="str">
        <f>IF(ISNUMBER(F9860),E9860*F9860,"")</f>
        <v/>
      </c>
      <c r="H9860" s="35"/>
      <c r="I9860" s="36"/>
      <c r="J9860" s="37">
        <v>0</v>
      </c>
    </row>
    <row r="9861" spans="1:10" hidden="1" x14ac:dyDescent="0.25">
      <c r="A9861" s="179"/>
      <c r="B9861" s="177"/>
      <c r="C9861" s="39"/>
      <c r="D9861" s="39"/>
      <c r="E9861" s="40"/>
      <c r="F9861" s="70" t="s">
        <v>13</v>
      </c>
      <c r="G9861" s="70" t="str">
        <f>IF(ISNUMBER(F9861),E9861*F9861,"")</f>
        <v/>
      </c>
      <c r="H9861" s="71"/>
      <c r="I9861" s="72"/>
      <c r="J9861" s="37">
        <v>0</v>
      </c>
    </row>
    <row r="9862" spans="1:10" ht="25.5" hidden="1" x14ac:dyDescent="0.25">
      <c r="A9862" s="179"/>
      <c r="B9862" s="177"/>
      <c r="C9862" s="43" t="s">
        <v>11732</v>
      </c>
      <c r="D9862" s="43" t="s">
        <v>83</v>
      </c>
      <c r="E9862" s="44">
        <v>1</v>
      </c>
      <c r="F9862" s="70">
        <v>11.362</v>
      </c>
      <c r="G9862" s="70">
        <f>IF(ISNUMBER(F9862),E9862*F9862,"")</f>
        <v>11.362</v>
      </c>
      <c r="H9862" s="46">
        <f>SUM(G9862:G9862)</f>
        <v>11.362</v>
      </c>
      <c r="I9862" s="47"/>
      <c r="J9862" s="37">
        <v>0</v>
      </c>
    </row>
    <row r="9863" spans="1:10" ht="15.75" hidden="1" thickBot="1" x14ac:dyDescent="0.3">
      <c r="A9863" s="180"/>
      <c r="B9863" s="178"/>
      <c r="C9863" s="49"/>
      <c r="D9863" s="49"/>
      <c r="E9863" s="50"/>
      <c r="F9863" s="83" t="s">
        <v>13</v>
      </c>
      <c r="G9863" s="83" t="str">
        <f>IF(ISNUMBER(F9863),E9863*F9863,"")</f>
        <v/>
      </c>
      <c r="H9863" s="84"/>
      <c r="I9863" s="72"/>
      <c r="J9863" s="37">
        <v>0</v>
      </c>
    </row>
    <row r="9864" spans="1:10" ht="15.75" hidden="1" thickBot="1" x14ac:dyDescent="0.3">
      <c r="A9864" s="173" t="s">
        <v>2355</v>
      </c>
      <c r="B9864" s="176" t="s">
        <v>9848</v>
      </c>
      <c r="C9864" s="31"/>
      <c r="D9864" s="32" t="s">
        <v>18</v>
      </c>
      <c r="E9864" s="33"/>
      <c r="F9864" s="60" t="s">
        <v>13</v>
      </c>
      <c r="G9864" s="34" t="str">
        <f>IF(ISNUMBER(F9864),E9864*F9864,"")</f>
        <v/>
      </c>
      <c r="H9864" s="35"/>
      <c r="I9864" s="36"/>
      <c r="J9864" s="37">
        <v>0</v>
      </c>
    </row>
    <row r="9865" spans="1:10" hidden="1" x14ac:dyDescent="0.25">
      <c r="A9865" s="179"/>
      <c r="B9865" s="177"/>
      <c r="C9865" s="39"/>
      <c r="D9865" s="39"/>
      <c r="E9865" s="40"/>
      <c r="F9865" s="70" t="s">
        <v>13</v>
      </c>
      <c r="G9865" s="70" t="str">
        <f>IF(ISNUMBER(F9865),E9865*F9865,"")</f>
        <v/>
      </c>
      <c r="H9865" s="71"/>
      <c r="I9865" s="72"/>
      <c r="J9865" s="37">
        <v>0</v>
      </c>
    </row>
    <row r="9866" spans="1:10" ht="25.5" hidden="1" x14ac:dyDescent="0.25">
      <c r="A9866" s="179"/>
      <c r="B9866" s="177"/>
      <c r="C9866" s="43" t="s">
        <v>11733</v>
      </c>
      <c r="D9866" s="43" t="s">
        <v>83</v>
      </c>
      <c r="E9866" s="44">
        <v>1</v>
      </c>
      <c r="F9866" s="70">
        <v>21.070999999999998</v>
      </c>
      <c r="G9866" s="70">
        <f>IF(ISNUMBER(F9866),E9866*F9866,"")</f>
        <v>21.070999999999998</v>
      </c>
      <c r="H9866" s="46">
        <f>SUM(G9866:G9866)</f>
        <v>21.070999999999998</v>
      </c>
      <c r="I9866" s="47"/>
      <c r="J9866" s="37">
        <v>0</v>
      </c>
    </row>
    <row r="9867" spans="1:10" ht="15.75" hidden="1" thickBot="1" x14ac:dyDescent="0.3">
      <c r="A9867" s="180"/>
      <c r="B9867" s="178"/>
      <c r="C9867" s="49"/>
      <c r="D9867" s="49"/>
      <c r="E9867" s="50"/>
      <c r="F9867" s="83" t="s">
        <v>13</v>
      </c>
      <c r="G9867" s="83" t="str">
        <f>IF(ISNUMBER(F9867),E9867*F9867,"")</f>
        <v/>
      </c>
      <c r="H9867" s="84"/>
      <c r="I9867" s="72"/>
      <c r="J9867" s="37">
        <v>0</v>
      </c>
    </row>
    <row r="9868" spans="1:10" ht="15.75" hidden="1" thickBot="1" x14ac:dyDescent="0.3">
      <c r="A9868" s="173" t="s">
        <v>2356</v>
      </c>
      <c r="B9868" s="176" t="s">
        <v>2357</v>
      </c>
      <c r="C9868" s="31"/>
      <c r="D9868" s="32" t="s">
        <v>18</v>
      </c>
      <c r="E9868" s="33"/>
      <c r="F9868" s="60" t="s">
        <v>13</v>
      </c>
      <c r="G9868" s="34" t="str">
        <f>IF(ISNUMBER(F9868),E9868*F9868,"")</f>
        <v/>
      </c>
      <c r="H9868" s="35"/>
      <c r="I9868" s="36"/>
      <c r="J9868" s="37">
        <v>0</v>
      </c>
    </row>
    <row r="9869" spans="1:10" hidden="1" x14ac:dyDescent="0.25">
      <c r="A9869" s="179"/>
      <c r="B9869" s="177"/>
      <c r="C9869" s="39"/>
      <c r="D9869" s="39"/>
      <c r="E9869" s="40"/>
      <c r="F9869" s="70" t="s">
        <v>13</v>
      </c>
      <c r="G9869" s="70" t="str">
        <f>IF(ISNUMBER(F9869),E9869*F9869,"")</f>
        <v/>
      </c>
      <c r="H9869" s="71"/>
      <c r="I9869" s="72"/>
      <c r="J9869" s="37">
        <v>0</v>
      </c>
    </row>
    <row r="9870" spans="1:10" hidden="1" x14ac:dyDescent="0.25">
      <c r="A9870" s="179"/>
      <c r="B9870" s="177"/>
      <c r="C9870" s="43" t="s">
        <v>2357</v>
      </c>
      <c r="D9870" s="43" t="s">
        <v>83</v>
      </c>
      <c r="E9870" s="44">
        <v>1</v>
      </c>
      <c r="F9870" s="70" t="s">
        <v>13</v>
      </c>
      <c r="G9870" s="70" t="str">
        <f>IF(ISNUMBER(F9870),E9870*F9870,"")</f>
        <v/>
      </c>
      <c r="H9870" s="46">
        <f>SUM(G9870:G9870)</f>
        <v>0</v>
      </c>
      <c r="I9870" s="47"/>
      <c r="J9870" s="37">
        <v>0</v>
      </c>
    </row>
    <row r="9871" spans="1:10" ht="15.75" hidden="1" thickBot="1" x14ac:dyDescent="0.3">
      <c r="A9871" s="180"/>
      <c r="B9871" s="178"/>
      <c r="C9871" s="49"/>
      <c r="D9871" s="49"/>
      <c r="E9871" s="50"/>
      <c r="F9871" s="83" t="s">
        <v>13</v>
      </c>
      <c r="G9871" s="83" t="str">
        <f>IF(ISNUMBER(F9871),E9871*F9871,"")</f>
        <v/>
      </c>
      <c r="H9871" s="84"/>
      <c r="I9871" s="72"/>
      <c r="J9871" s="37">
        <v>0</v>
      </c>
    </row>
    <row r="9872" spans="1:10" ht="15.75" hidden="1" thickBot="1" x14ac:dyDescent="0.3">
      <c r="A9872" s="173" t="s">
        <v>2358</v>
      </c>
      <c r="B9872" s="176" t="s">
        <v>2359</v>
      </c>
      <c r="C9872" s="31"/>
      <c r="D9872" s="32" t="s">
        <v>18</v>
      </c>
      <c r="E9872" s="33"/>
      <c r="F9872" s="60" t="s">
        <v>13</v>
      </c>
      <c r="G9872" s="34" t="str">
        <f>IF(ISNUMBER(F9872),E9872*F9872,"")</f>
        <v/>
      </c>
      <c r="H9872" s="35"/>
      <c r="I9872" s="36"/>
      <c r="J9872" s="37">
        <v>0</v>
      </c>
    </row>
    <row r="9873" spans="1:10" hidden="1" x14ac:dyDescent="0.25">
      <c r="A9873" s="179"/>
      <c r="B9873" s="177"/>
      <c r="C9873" s="39"/>
      <c r="D9873" s="39"/>
      <c r="E9873" s="40"/>
      <c r="F9873" s="70" t="s">
        <v>13</v>
      </c>
      <c r="G9873" s="70" t="str">
        <f>IF(ISNUMBER(F9873),E9873*F9873,"")</f>
        <v/>
      </c>
      <c r="H9873" s="71"/>
      <c r="I9873" s="72"/>
      <c r="J9873" s="37">
        <v>0</v>
      </c>
    </row>
    <row r="9874" spans="1:10" hidden="1" x14ac:dyDescent="0.25">
      <c r="A9874" s="179"/>
      <c r="B9874" s="177"/>
      <c r="C9874" s="43" t="s">
        <v>2359</v>
      </c>
      <c r="D9874" s="43" t="s">
        <v>83</v>
      </c>
      <c r="E9874" s="44">
        <v>1</v>
      </c>
      <c r="F9874" s="70" t="s">
        <v>13</v>
      </c>
      <c r="G9874" s="70" t="str">
        <f>IF(ISNUMBER(F9874),E9874*F9874,"")</f>
        <v/>
      </c>
      <c r="H9874" s="46">
        <f>SUM(G9874:G9874)</f>
        <v>0</v>
      </c>
      <c r="I9874" s="47"/>
      <c r="J9874" s="37">
        <v>0</v>
      </c>
    </row>
    <row r="9875" spans="1:10" ht="15.75" hidden="1" thickBot="1" x14ac:dyDescent="0.3">
      <c r="A9875" s="180"/>
      <c r="B9875" s="178"/>
      <c r="C9875" s="49"/>
      <c r="D9875" s="49"/>
      <c r="E9875" s="50"/>
      <c r="F9875" s="83" t="s">
        <v>13</v>
      </c>
      <c r="G9875" s="83" t="str">
        <f>IF(ISNUMBER(F9875),E9875*F9875,"")</f>
        <v/>
      </c>
      <c r="H9875" s="84"/>
      <c r="I9875" s="72"/>
      <c r="J9875" s="37">
        <v>0</v>
      </c>
    </row>
    <row r="9876" spans="1:10" ht="15.75" hidden="1" thickBot="1" x14ac:dyDescent="0.3">
      <c r="A9876" s="173" t="s">
        <v>2360</v>
      </c>
      <c r="B9876" s="176" t="s">
        <v>9849</v>
      </c>
      <c r="C9876" s="31"/>
      <c r="D9876" s="32" t="s">
        <v>18</v>
      </c>
      <c r="E9876" s="33"/>
      <c r="F9876" s="60" t="s">
        <v>13</v>
      </c>
      <c r="G9876" s="34" t="str">
        <f>IF(ISNUMBER(F9876),E9876*F9876,"")</f>
        <v/>
      </c>
      <c r="H9876" s="35"/>
      <c r="I9876" s="36"/>
      <c r="J9876" s="37">
        <v>0</v>
      </c>
    </row>
    <row r="9877" spans="1:10" hidden="1" x14ac:dyDescent="0.25">
      <c r="A9877" s="179"/>
      <c r="B9877" s="177"/>
      <c r="C9877" s="39"/>
      <c r="D9877" s="39"/>
      <c r="E9877" s="40"/>
      <c r="F9877" s="70" t="s">
        <v>13</v>
      </c>
      <c r="G9877" s="70" t="str">
        <f>IF(ISNUMBER(F9877),E9877*F9877,"")</f>
        <v/>
      </c>
      <c r="H9877" s="71"/>
      <c r="I9877" s="72"/>
      <c r="J9877" s="37">
        <v>0</v>
      </c>
    </row>
    <row r="9878" spans="1:10" hidden="1" x14ac:dyDescent="0.25">
      <c r="A9878" s="179"/>
      <c r="B9878" s="177"/>
      <c r="C9878" s="43" t="s">
        <v>2361</v>
      </c>
      <c r="D9878" s="43" t="s">
        <v>83</v>
      </c>
      <c r="E9878" s="44">
        <v>1</v>
      </c>
      <c r="F9878" s="70" t="s">
        <v>13</v>
      </c>
      <c r="G9878" s="70" t="str">
        <f>IF(ISNUMBER(F9878),E9878*F9878,"")</f>
        <v/>
      </c>
      <c r="H9878" s="46">
        <f>SUM(G9878:G9878)</f>
        <v>0</v>
      </c>
      <c r="I9878" s="47"/>
      <c r="J9878" s="37">
        <v>0</v>
      </c>
    </row>
    <row r="9879" spans="1:10" ht="15.75" hidden="1" thickBot="1" x14ac:dyDescent="0.3">
      <c r="A9879" s="180"/>
      <c r="B9879" s="178"/>
      <c r="C9879" s="49"/>
      <c r="D9879" s="49"/>
      <c r="E9879" s="50"/>
      <c r="F9879" s="83" t="s">
        <v>13</v>
      </c>
      <c r="G9879" s="83" t="str">
        <f>IF(ISNUMBER(F9879),E9879*F9879,"")</f>
        <v/>
      </c>
      <c r="H9879" s="84"/>
      <c r="I9879" s="72"/>
      <c r="J9879" s="37">
        <v>0</v>
      </c>
    </row>
    <row r="9880" spans="1:10" ht="15.75" hidden="1" thickBot="1" x14ac:dyDescent="0.3">
      <c r="A9880" s="173" t="s">
        <v>2362</v>
      </c>
      <c r="B9880" s="176" t="s">
        <v>9850</v>
      </c>
      <c r="C9880" s="31"/>
      <c r="D9880" s="32" t="s">
        <v>18</v>
      </c>
      <c r="E9880" s="33"/>
      <c r="F9880" s="60" t="s">
        <v>13</v>
      </c>
      <c r="G9880" s="34" t="str">
        <f>IF(ISNUMBER(F9880),E9880*F9880,"")</f>
        <v/>
      </c>
      <c r="H9880" s="35"/>
      <c r="I9880" s="36"/>
      <c r="J9880" s="37">
        <v>0</v>
      </c>
    </row>
    <row r="9881" spans="1:10" hidden="1" x14ac:dyDescent="0.25">
      <c r="A9881" s="179"/>
      <c r="B9881" s="177"/>
      <c r="C9881" s="39"/>
      <c r="D9881" s="39"/>
      <c r="E9881" s="40"/>
      <c r="F9881" s="70" t="s">
        <v>13</v>
      </c>
      <c r="G9881" s="70" t="str">
        <f>IF(ISNUMBER(F9881),E9881*F9881,"")</f>
        <v/>
      </c>
      <c r="H9881" s="71"/>
      <c r="I9881" s="72"/>
      <c r="J9881" s="37">
        <v>0</v>
      </c>
    </row>
    <row r="9882" spans="1:10" ht="25.5" hidden="1" x14ac:dyDescent="0.25">
      <c r="A9882" s="179"/>
      <c r="B9882" s="177"/>
      <c r="C9882" s="43" t="s">
        <v>11734</v>
      </c>
      <c r="D9882" s="43" t="s">
        <v>83</v>
      </c>
      <c r="E9882" s="44">
        <v>1</v>
      </c>
      <c r="F9882" s="70">
        <v>34.551499999999997</v>
      </c>
      <c r="G9882" s="70">
        <f>IF(ISNUMBER(F9882),E9882*F9882,"")</f>
        <v>34.551499999999997</v>
      </c>
      <c r="H9882" s="46">
        <f>SUM(G9882:G9882)</f>
        <v>34.551499999999997</v>
      </c>
      <c r="I9882" s="47"/>
      <c r="J9882" s="37">
        <v>0</v>
      </c>
    </row>
    <row r="9883" spans="1:10" ht="15.75" hidden="1" thickBot="1" x14ac:dyDescent="0.3">
      <c r="A9883" s="180"/>
      <c r="B9883" s="178"/>
      <c r="C9883" s="49"/>
      <c r="D9883" s="49"/>
      <c r="E9883" s="50"/>
      <c r="F9883" s="83" t="s">
        <v>13</v>
      </c>
      <c r="G9883" s="83" t="str">
        <f>IF(ISNUMBER(F9883),E9883*F9883,"")</f>
        <v/>
      </c>
      <c r="H9883" s="84"/>
      <c r="I9883" s="72"/>
      <c r="J9883" s="37">
        <v>0</v>
      </c>
    </row>
    <row r="9884" spans="1:10" ht="15.75" hidden="1" thickBot="1" x14ac:dyDescent="0.3">
      <c r="A9884" s="173" t="s">
        <v>2363</v>
      </c>
      <c r="B9884" s="176" t="s">
        <v>9851</v>
      </c>
      <c r="C9884" s="31"/>
      <c r="D9884" s="32" t="s">
        <v>18</v>
      </c>
      <c r="E9884" s="33"/>
      <c r="F9884" s="60" t="s">
        <v>13</v>
      </c>
      <c r="G9884" s="34" t="str">
        <f>IF(ISNUMBER(F9884),E9884*F9884,"")</f>
        <v/>
      </c>
      <c r="H9884" s="35"/>
      <c r="I9884" s="36"/>
      <c r="J9884" s="37">
        <v>0</v>
      </c>
    </row>
    <row r="9885" spans="1:10" hidden="1" x14ac:dyDescent="0.25">
      <c r="A9885" s="179"/>
      <c r="B9885" s="177"/>
      <c r="C9885" s="39"/>
      <c r="D9885" s="39"/>
      <c r="E9885" s="40"/>
      <c r="F9885" s="70" t="s">
        <v>13</v>
      </c>
      <c r="G9885" s="70" t="str">
        <f>IF(ISNUMBER(F9885),E9885*F9885,"")</f>
        <v/>
      </c>
      <c r="H9885" s="71"/>
      <c r="I9885" s="72"/>
      <c r="J9885" s="37">
        <v>0</v>
      </c>
    </row>
    <row r="9886" spans="1:10" ht="25.5" hidden="1" x14ac:dyDescent="0.25">
      <c r="A9886" s="179"/>
      <c r="B9886" s="177"/>
      <c r="C9886" s="43" t="s">
        <v>11735</v>
      </c>
      <c r="D9886" s="43" t="s">
        <v>83</v>
      </c>
      <c r="E9886" s="44">
        <v>1</v>
      </c>
      <c r="F9886" s="70">
        <v>16.7105</v>
      </c>
      <c r="G9886" s="70">
        <f>IF(ISNUMBER(F9886),E9886*F9886,"")</f>
        <v>16.7105</v>
      </c>
      <c r="H9886" s="46">
        <f>SUM(G9886:G9886)</f>
        <v>16.7105</v>
      </c>
      <c r="I9886" s="47"/>
      <c r="J9886" s="37">
        <v>0</v>
      </c>
    </row>
    <row r="9887" spans="1:10" ht="15.75" hidden="1" thickBot="1" x14ac:dyDescent="0.3">
      <c r="A9887" s="180"/>
      <c r="B9887" s="178"/>
      <c r="C9887" s="49"/>
      <c r="D9887" s="49"/>
      <c r="E9887" s="50"/>
      <c r="F9887" s="83" t="s">
        <v>13</v>
      </c>
      <c r="G9887" s="83" t="str">
        <f>IF(ISNUMBER(F9887),E9887*F9887,"")</f>
        <v/>
      </c>
      <c r="H9887" s="84"/>
      <c r="I9887" s="72"/>
      <c r="J9887" s="37">
        <v>0</v>
      </c>
    </row>
    <row r="9888" spans="1:10" ht="15.75" hidden="1" thickBot="1" x14ac:dyDescent="0.3">
      <c r="A9888" s="173" t="s">
        <v>2364</v>
      </c>
      <c r="B9888" s="176" t="s">
        <v>9852</v>
      </c>
      <c r="C9888" s="31"/>
      <c r="D9888" s="32" t="s">
        <v>18</v>
      </c>
      <c r="E9888" s="33"/>
      <c r="F9888" s="60" t="s">
        <v>13</v>
      </c>
      <c r="G9888" s="34" t="str">
        <f>IF(ISNUMBER(F9888),E9888*F9888,"")</f>
        <v/>
      </c>
      <c r="H9888" s="35"/>
      <c r="I9888" s="36"/>
      <c r="J9888" s="37">
        <v>0</v>
      </c>
    </row>
    <row r="9889" spans="1:10" hidden="1" x14ac:dyDescent="0.25">
      <c r="A9889" s="179"/>
      <c r="B9889" s="177"/>
      <c r="C9889" s="39"/>
      <c r="D9889" s="39"/>
      <c r="E9889" s="40"/>
      <c r="F9889" s="70" t="s">
        <v>13</v>
      </c>
      <c r="G9889" s="70" t="str">
        <f>IF(ISNUMBER(F9889),E9889*F9889,"")</f>
        <v/>
      </c>
      <c r="H9889" s="71"/>
      <c r="I9889" s="72"/>
      <c r="J9889" s="37">
        <v>0</v>
      </c>
    </row>
    <row r="9890" spans="1:10" ht="25.5" hidden="1" x14ac:dyDescent="0.25">
      <c r="A9890" s="179"/>
      <c r="B9890" s="177"/>
      <c r="C9890" s="43" t="s">
        <v>11736</v>
      </c>
      <c r="D9890" s="43" t="s">
        <v>83</v>
      </c>
      <c r="E9890" s="44">
        <v>1</v>
      </c>
      <c r="F9890" s="70">
        <v>6.0514999999999999</v>
      </c>
      <c r="G9890" s="70">
        <f>IF(ISNUMBER(F9890),E9890*F9890,"")</f>
        <v>6.0514999999999999</v>
      </c>
      <c r="H9890" s="46">
        <f>SUM(G9890:G9890)</f>
        <v>6.0514999999999999</v>
      </c>
      <c r="I9890" s="47"/>
      <c r="J9890" s="37">
        <v>0</v>
      </c>
    </row>
    <row r="9891" spans="1:10" ht="15.75" hidden="1" thickBot="1" x14ac:dyDescent="0.3">
      <c r="A9891" s="180"/>
      <c r="B9891" s="178"/>
      <c r="C9891" s="49"/>
      <c r="D9891" s="49"/>
      <c r="E9891" s="50"/>
      <c r="F9891" s="83" t="s">
        <v>13</v>
      </c>
      <c r="G9891" s="83" t="str">
        <f>IF(ISNUMBER(F9891),E9891*F9891,"")</f>
        <v/>
      </c>
      <c r="H9891" s="84"/>
      <c r="I9891" s="72"/>
      <c r="J9891" s="37">
        <v>0</v>
      </c>
    </row>
    <row r="9892" spans="1:10" ht="15.75" hidden="1" thickBot="1" x14ac:dyDescent="0.3">
      <c r="A9892" s="173" t="s">
        <v>2365</v>
      </c>
      <c r="B9892" s="176" t="s">
        <v>9853</v>
      </c>
      <c r="C9892" s="31"/>
      <c r="D9892" s="32" t="s">
        <v>18</v>
      </c>
      <c r="E9892" s="33"/>
      <c r="F9892" s="60" t="s">
        <v>13</v>
      </c>
      <c r="G9892" s="34" t="str">
        <f>IF(ISNUMBER(F9892),E9892*F9892,"")</f>
        <v/>
      </c>
      <c r="H9892" s="35"/>
      <c r="I9892" s="36"/>
      <c r="J9892" s="37">
        <v>0</v>
      </c>
    </row>
    <row r="9893" spans="1:10" hidden="1" x14ac:dyDescent="0.25">
      <c r="A9893" s="179"/>
      <c r="B9893" s="177"/>
      <c r="C9893" s="39"/>
      <c r="D9893" s="39"/>
      <c r="E9893" s="40"/>
      <c r="F9893" s="70" t="s">
        <v>13</v>
      </c>
      <c r="G9893" s="70" t="str">
        <f>IF(ISNUMBER(F9893),E9893*F9893,"")</f>
        <v/>
      </c>
      <c r="H9893" s="71"/>
      <c r="I9893" s="72"/>
      <c r="J9893" s="37">
        <v>0</v>
      </c>
    </row>
    <row r="9894" spans="1:10" ht="25.5" hidden="1" x14ac:dyDescent="0.25">
      <c r="A9894" s="179"/>
      <c r="B9894" s="177"/>
      <c r="C9894" s="43" t="s">
        <v>11737</v>
      </c>
      <c r="D9894" s="43" t="s">
        <v>83</v>
      </c>
      <c r="E9894" s="44">
        <v>1</v>
      </c>
      <c r="F9894" s="70">
        <v>10.355</v>
      </c>
      <c r="G9894" s="70">
        <f>IF(ISNUMBER(F9894),E9894*F9894,"")</f>
        <v>10.355</v>
      </c>
      <c r="H9894" s="46">
        <f>SUM(G9894:G9894)</f>
        <v>10.355</v>
      </c>
      <c r="I9894" s="47"/>
      <c r="J9894" s="37">
        <v>0</v>
      </c>
    </row>
    <row r="9895" spans="1:10" ht="15.75" hidden="1" thickBot="1" x14ac:dyDescent="0.3">
      <c r="A9895" s="180"/>
      <c r="B9895" s="178"/>
      <c r="C9895" s="49"/>
      <c r="D9895" s="49"/>
      <c r="E9895" s="50"/>
      <c r="F9895" s="83" t="s">
        <v>13</v>
      </c>
      <c r="G9895" s="83" t="str">
        <f>IF(ISNUMBER(F9895),E9895*F9895,"")</f>
        <v/>
      </c>
      <c r="H9895" s="84"/>
      <c r="I9895" s="72"/>
      <c r="J9895" s="37">
        <v>0</v>
      </c>
    </row>
    <row r="9896" spans="1:10" ht="15.75" hidden="1" thickBot="1" x14ac:dyDescent="0.3">
      <c r="A9896" s="173" t="s">
        <v>2366</v>
      </c>
      <c r="B9896" s="176" t="s">
        <v>9854</v>
      </c>
      <c r="C9896" s="31"/>
      <c r="D9896" s="32" t="s">
        <v>18</v>
      </c>
      <c r="E9896" s="33"/>
      <c r="F9896" s="60" t="s">
        <v>13</v>
      </c>
      <c r="G9896" s="34" t="str">
        <f>IF(ISNUMBER(F9896),E9896*F9896,"")</f>
        <v/>
      </c>
      <c r="H9896" s="35"/>
      <c r="I9896" s="36"/>
      <c r="J9896" s="37">
        <v>0</v>
      </c>
    </row>
    <row r="9897" spans="1:10" hidden="1" x14ac:dyDescent="0.25">
      <c r="A9897" s="179"/>
      <c r="B9897" s="177"/>
      <c r="C9897" s="39"/>
      <c r="D9897" s="39"/>
      <c r="E9897" s="40"/>
      <c r="F9897" s="70" t="s">
        <v>13</v>
      </c>
      <c r="G9897" s="70" t="str">
        <f>IF(ISNUMBER(F9897),E9897*F9897,"")</f>
        <v/>
      </c>
      <c r="H9897" s="71"/>
      <c r="I9897" s="72"/>
      <c r="J9897" s="37">
        <v>0</v>
      </c>
    </row>
    <row r="9898" spans="1:10" ht="25.5" hidden="1" x14ac:dyDescent="0.25">
      <c r="A9898" s="179"/>
      <c r="B9898" s="177"/>
      <c r="C9898" s="43" t="s">
        <v>11738</v>
      </c>
      <c r="D9898" s="43" t="s">
        <v>83</v>
      </c>
      <c r="E9898" s="44">
        <v>1</v>
      </c>
      <c r="F9898" s="70">
        <v>4.9874999999999998</v>
      </c>
      <c r="G9898" s="70">
        <f>IF(ISNUMBER(F9898),E9898*F9898,"")</f>
        <v>4.9874999999999998</v>
      </c>
      <c r="H9898" s="46">
        <f>SUM(G9898:G9898)</f>
        <v>4.9874999999999998</v>
      </c>
      <c r="I9898" s="47"/>
      <c r="J9898" s="37">
        <v>0</v>
      </c>
    </row>
    <row r="9899" spans="1:10" ht="15.75" hidden="1" thickBot="1" x14ac:dyDescent="0.3">
      <c r="A9899" s="180"/>
      <c r="B9899" s="178"/>
      <c r="C9899" s="49"/>
      <c r="D9899" s="49"/>
      <c r="E9899" s="50"/>
      <c r="F9899" s="83" t="s">
        <v>13</v>
      </c>
      <c r="G9899" s="83" t="str">
        <f>IF(ISNUMBER(F9899),E9899*F9899,"")</f>
        <v/>
      </c>
      <c r="H9899" s="84"/>
      <c r="I9899" s="72"/>
      <c r="J9899" s="37">
        <v>0</v>
      </c>
    </row>
    <row r="9900" spans="1:10" ht="15.75" hidden="1" thickBot="1" x14ac:dyDescent="0.3">
      <c r="A9900" s="173" t="s">
        <v>2367</v>
      </c>
      <c r="B9900" s="176" t="s">
        <v>9855</v>
      </c>
      <c r="C9900" s="31"/>
      <c r="D9900" s="32" t="s">
        <v>18</v>
      </c>
      <c r="E9900" s="33"/>
      <c r="F9900" s="60" t="s">
        <v>13</v>
      </c>
      <c r="G9900" s="34" t="str">
        <f>IF(ISNUMBER(F9900),E9900*F9900,"")</f>
        <v/>
      </c>
      <c r="H9900" s="35"/>
      <c r="I9900" s="36"/>
      <c r="J9900" s="37">
        <v>0</v>
      </c>
    </row>
    <row r="9901" spans="1:10" hidden="1" x14ac:dyDescent="0.25">
      <c r="A9901" s="179"/>
      <c r="B9901" s="177"/>
      <c r="C9901" s="39"/>
      <c r="D9901" s="39"/>
      <c r="E9901" s="40"/>
      <c r="F9901" s="70" t="s">
        <v>13</v>
      </c>
      <c r="G9901" s="70" t="str">
        <f>IF(ISNUMBER(F9901),E9901*F9901,"")</f>
        <v/>
      </c>
      <c r="H9901" s="71"/>
      <c r="I9901" s="72"/>
      <c r="J9901" s="37">
        <v>0</v>
      </c>
    </row>
    <row r="9902" spans="1:10" ht="25.5" hidden="1" x14ac:dyDescent="0.25">
      <c r="A9902" s="179"/>
      <c r="B9902" s="177"/>
      <c r="C9902" s="43" t="s">
        <v>11739</v>
      </c>
      <c r="D9902" s="43" t="s">
        <v>83</v>
      </c>
      <c r="E9902" s="44">
        <v>1</v>
      </c>
      <c r="F9902" s="70">
        <v>2.7359999999999998</v>
      </c>
      <c r="G9902" s="70">
        <f>IF(ISNUMBER(F9902),E9902*F9902,"")</f>
        <v>2.7359999999999998</v>
      </c>
      <c r="H9902" s="46">
        <f>SUM(G9902:G9902)</f>
        <v>2.7359999999999998</v>
      </c>
      <c r="I9902" s="47"/>
      <c r="J9902" s="37">
        <v>0</v>
      </c>
    </row>
    <row r="9903" spans="1:10" ht="15.75" hidden="1" thickBot="1" x14ac:dyDescent="0.3">
      <c r="A9903" s="180"/>
      <c r="B9903" s="178"/>
      <c r="C9903" s="49"/>
      <c r="D9903" s="49"/>
      <c r="E9903" s="50"/>
      <c r="F9903" s="83" t="s">
        <v>13</v>
      </c>
      <c r="G9903" s="83" t="str">
        <f>IF(ISNUMBER(F9903),E9903*F9903,"")</f>
        <v/>
      </c>
      <c r="H9903" s="84"/>
      <c r="I9903" s="72"/>
      <c r="J9903" s="37">
        <v>0</v>
      </c>
    </row>
    <row r="9904" spans="1:10" ht="15.75" hidden="1" thickBot="1" x14ac:dyDescent="0.3">
      <c r="A9904" s="173" t="s">
        <v>2368</v>
      </c>
      <c r="B9904" s="176" t="s">
        <v>9856</v>
      </c>
      <c r="C9904" s="31"/>
      <c r="D9904" s="32" t="s">
        <v>18</v>
      </c>
      <c r="E9904" s="33"/>
      <c r="F9904" s="60" t="s">
        <v>13</v>
      </c>
      <c r="G9904" s="34" t="str">
        <f>IF(ISNUMBER(F9904),E9904*F9904,"")</f>
        <v/>
      </c>
      <c r="H9904" s="35"/>
      <c r="I9904" s="36"/>
      <c r="J9904" s="37">
        <v>0</v>
      </c>
    </row>
    <row r="9905" spans="1:10" hidden="1" x14ac:dyDescent="0.25">
      <c r="A9905" s="179"/>
      <c r="B9905" s="177"/>
      <c r="C9905" s="39"/>
      <c r="D9905" s="39"/>
      <c r="E9905" s="40"/>
      <c r="F9905" s="70" t="s">
        <v>13</v>
      </c>
      <c r="G9905" s="70" t="str">
        <f>IF(ISNUMBER(F9905),E9905*F9905,"")</f>
        <v/>
      </c>
      <c r="H9905" s="71"/>
      <c r="I9905" s="72"/>
      <c r="J9905" s="37">
        <v>0</v>
      </c>
    </row>
    <row r="9906" spans="1:10" ht="25.5" hidden="1" x14ac:dyDescent="0.25">
      <c r="A9906" s="179"/>
      <c r="B9906" s="177"/>
      <c r="C9906" s="43" t="s">
        <v>11740</v>
      </c>
      <c r="D9906" s="43" t="s">
        <v>83</v>
      </c>
      <c r="E9906" s="44">
        <v>1</v>
      </c>
      <c r="F9906" s="70">
        <v>7.2675000000000001</v>
      </c>
      <c r="G9906" s="70">
        <f>IF(ISNUMBER(F9906),E9906*F9906,"")</f>
        <v>7.2675000000000001</v>
      </c>
      <c r="H9906" s="46">
        <f>SUM(G9906:G9906)</f>
        <v>7.2675000000000001</v>
      </c>
      <c r="I9906" s="47"/>
      <c r="J9906" s="37">
        <v>0</v>
      </c>
    </row>
    <row r="9907" spans="1:10" ht="15.75" hidden="1" thickBot="1" x14ac:dyDescent="0.3">
      <c r="A9907" s="180"/>
      <c r="B9907" s="178"/>
      <c r="C9907" s="49"/>
      <c r="D9907" s="49"/>
      <c r="E9907" s="50"/>
      <c r="F9907" s="83" t="s">
        <v>13</v>
      </c>
      <c r="G9907" s="83" t="str">
        <f>IF(ISNUMBER(F9907),E9907*F9907,"")</f>
        <v/>
      </c>
      <c r="H9907" s="84"/>
      <c r="I9907" s="72"/>
      <c r="J9907" s="37">
        <v>0</v>
      </c>
    </row>
    <row r="9908" spans="1:10" ht="15.75" hidden="1" thickBot="1" x14ac:dyDescent="0.3">
      <c r="A9908" s="173" t="s">
        <v>2369</v>
      </c>
      <c r="B9908" s="176" t="s">
        <v>9857</v>
      </c>
      <c r="C9908" s="31"/>
      <c r="D9908" s="32" t="s">
        <v>18</v>
      </c>
      <c r="E9908" s="33"/>
      <c r="F9908" s="60" t="s">
        <v>13</v>
      </c>
      <c r="G9908" s="34" t="str">
        <f>IF(ISNUMBER(F9908),E9908*F9908,"")</f>
        <v/>
      </c>
      <c r="H9908" s="35"/>
      <c r="I9908" s="36"/>
      <c r="J9908" s="37">
        <v>0</v>
      </c>
    </row>
    <row r="9909" spans="1:10" hidden="1" x14ac:dyDescent="0.25">
      <c r="A9909" s="179"/>
      <c r="B9909" s="177"/>
      <c r="C9909" s="39"/>
      <c r="D9909" s="39"/>
      <c r="E9909" s="40"/>
      <c r="F9909" s="70" t="s">
        <v>13</v>
      </c>
      <c r="G9909" s="70" t="str">
        <f>IF(ISNUMBER(F9909),E9909*F9909,"")</f>
        <v/>
      </c>
      <c r="H9909" s="71"/>
      <c r="I9909" s="72"/>
      <c r="J9909" s="37">
        <v>0</v>
      </c>
    </row>
    <row r="9910" spans="1:10" hidden="1" x14ac:dyDescent="0.25">
      <c r="A9910" s="179"/>
      <c r="B9910" s="177"/>
      <c r="C9910" s="43" t="s">
        <v>11741</v>
      </c>
      <c r="D9910" s="43" t="s">
        <v>83</v>
      </c>
      <c r="E9910" s="44">
        <v>1</v>
      </c>
      <c r="F9910" s="70">
        <v>0.85499999999999998</v>
      </c>
      <c r="G9910" s="70">
        <f>IF(ISNUMBER(F9910),E9910*F9910,"")</f>
        <v>0.85499999999999998</v>
      </c>
      <c r="H9910" s="46">
        <f>SUM(G9910:G9910)</f>
        <v>0.85499999999999998</v>
      </c>
      <c r="I9910" s="47"/>
      <c r="J9910" s="37">
        <v>0</v>
      </c>
    </row>
    <row r="9911" spans="1:10" ht="15.75" hidden="1" thickBot="1" x14ac:dyDescent="0.3">
      <c r="A9911" s="180"/>
      <c r="B9911" s="178"/>
      <c r="C9911" s="49"/>
      <c r="D9911" s="49"/>
      <c r="E9911" s="50"/>
      <c r="F9911" s="83" t="s">
        <v>13</v>
      </c>
      <c r="G9911" s="83" t="str">
        <f>IF(ISNUMBER(F9911),E9911*F9911,"")</f>
        <v/>
      </c>
      <c r="H9911" s="84"/>
      <c r="I9911" s="72"/>
      <c r="J9911" s="37">
        <v>0</v>
      </c>
    </row>
    <row r="9912" spans="1:10" ht="15.75" hidden="1" thickBot="1" x14ac:dyDescent="0.3">
      <c r="A9912" s="173" t="s">
        <v>2370</v>
      </c>
      <c r="B9912" s="176" t="s">
        <v>9858</v>
      </c>
      <c r="C9912" s="31"/>
      <c r="D9912" s="32" t="s">
        <v>18</v>
      </c>
      <c r="E9912" s="33"/>
      <c r="F9912" s="60" t="s">
        <v>13</v>
      </c>
      <c r="G9912" s="34" t="str">
        <f>IF(ISNUMBER(F9912),E9912*F9912,"")</f>
        <v/>
      </c>
      <c r="H9912" s="35"/>
      <c r="I9912" s="36"/>
      <c r="J9912" s="37">
        <v>0</v>
      </c>
    </row>
    <row r="9913" spans="1:10" hidden="1" x14ac:dyDescent="0.25">
      <c r="A9913" s="179"/>
      <c r="B9913" s="177"/>
      <c r="C9913" s="39"/>
      <c r="D9913" s="39"/>
      <c r="E9913" s="40"/>
      <c r="F9913" s="70" t="s">
        <v>13</v>
      </c>
      <c r="G9913" s="70" t="str">
        <f>IF(ISNUMBER(F9913),E9913*F9913,"")</f>
        <v/>
      </c>
      <c r="H9913" s="71"/>
      <c r="I9913" s="72"/>
      <c r="J9913" s="37">
        <v>0</v>
      </c>
    </row>
    <row r="9914" spans="1:10" ht="25.5" hidden="1" x14ac:dyDescent="0.25">
      <c r="A9914" s="179"/>
      <c r="B9914" s="177"/>
      <c r="C9914" s="43" t="s">
        <v>11742</v>
      </c>
      <c r="D9914" s="43" t="s">
        <v>83</v>
      </c>
      <c r="E9914" s="44">
        <v>1</v>
      </c>
      <c r="F9914" s="70">
        <v>1.1875</v>
      </c>
      <c r="G9914" s="70">
        <f>IF(ISNUMBER(F9914),E9914*F9914,"")</f>
        <v>1.1875</v>
      </c>
      <c r="H9914" s="46">
        <f>SUM(G9914:G9914)</f>
        <v>1.1875</v>
      </c>
      <c r="I9914" s="47"/>
      <c r="J9914" s="37">
        <v>0</v>
      </c>
    </row>
    <row r="9915" spans="1:10" ht="15.75" hidden="1" thickBot="1" x14ac:dyDescent="0.3">
      <c r="A9915" s="180"/>
      <c r="B9915" s="178"/>
      <c r="C9915" s="49"/>
      <c r="D9915" s="49"/>
      <c r="E9915" s="50"/>
      <c r="F9915" s="83" t="s">
        <v>13</v>
      </c>
      <c r="G9915" s="83" t="str">
        <f>IF(ISNUMBER(F9915),E9915*F9915,"")</f>
        <v/>
      </c>
      <c r="H9915" s="84"/>
      <c r="I9915" s="72"/>
      <c r="J9915" s="37">
        <v>0</v>
      </c>
    </row>
    <row r="9916" spans="1:10" ht="15.75" hidden="1" thickBot="1" x14ac:dyDescent="0.3">
      <c r="A9916" s="173" t="s">
        <v>2371</v>
      </c>
      <c r="B9916" s="176" t="s">
        <v>9859</v>
      </c>
      <c r="C9916" s="31"/>
      <c r="D9916" s="32" t="s">
        <v>18</v>
      </c>
      <c r="E9916" s="33"/>
      <c r="F9916" s="60" t="s">
        <v>13</v>
      </c>
      <c r="G9916" s="34" t="str">
        <f>IF(ISNUMBER(F9916),E9916*F9916,"")</f>
        <v/>
      </c>
      <c r="H9916" s="35"/>
      <c r="I9916" s="36"/>
      <c r="J9916" s="37">
        <v>0</v>
      </c>
    </row>
    <row r="9917" spans="1:10" hidden="1" x14ac:dyDescent="0.25">
      <c r="A9917" s="179"/>
      <c r="B9917" s="177"/>
      <c r="C9917" s="39"/>
      <c r="D9917" s="39"/>
      <c r="E9917" s="40"/>
      <c r="F9917" s="70" t="s">
        <v>13</v>
      </c>
      <c r="G9917" s="70" t="str">
        <f>IF(ISNUMBER(F9917),E9917*F9917,"")</f>
        <v/>
      </c>
      <c r="H9917" s="71"/>
      <c r="I9917" s="72"/>
      <c r="J9917" s="37">
        <v>0</v>
      </c>
    </row>
    <row r="9918" spans="1:10" ht="25.5" hidden="1" x14ac:dyDescent="0.25">
      <c r="A9918" s="179"/>
      <c r="B9918" s="177"/>
      <c r="C9918" s="43" t="s">
        <v>11743</v>
      </c>
      <c r="D9918" s="43" t="s">
        <v>83</v>
      </c>
      <c r="E9918" s="44">
        <v>1</v>
      </c>
      <c r="F9918" s="70">
        <v>2.2039999999999997</v>
      </c>
      <c r="G9918" s="70">
        <f>IF(ISNUMBER(F9918),E9918*F9918,"")</f>
        <v>2.2039999999999997</v>
      </c>
      <c r="H9918" s="46">
        <f>SUM(G9918:G9918)</f>
        <v>2.2039999999999997</v>
      </c>
      <c r="I9918" s="47"/>
      <c r="J9918" s="37">
        <v>0</v>
      </c>
    </row>
    <row r="9919" spans="1:10" ht="15.75" hidden="1" thickBot="1" x14ac:dyDescent="0.3">
      <c r="A9919" s="180"/>
      <c r="B9919" s="178"/>
      <c r="C9919" s="49"/>
      <c r="D9919" s="49"/>
      <c r="E9919" s="50"/>
      <c r="F9919" s="83" t="s">
        <v>13</v>
      </c>
      <c r="G9919" s="83" t="str">
        <f>IF(ISNUMBER(F9919),E9919*F9919,"")</f>
        <v/>
      </c>
      <c r="H9919" s="84"/>
      <c r="I9919" s="72"/>
      <c r="J9919" s="37">
        <v>0</v>
      </c>
    </row>
    <row r="9920" spans="1:10" ht="15.75" hidden="1" thickBot="1" x14ac:dyDescent="0.3">
      <c r="A9920" s="173" t="s">
        <v>2372</v>
      </c>
      <c r="B9920" s="176" t="s">
        <v>9860</v>
      </c>
      <c r="C9920" s="31"/>
      <c r="D9920" s="32" t="s">
        <v>18</v>
      </c>
      <c r="E9920" s="33"/>
      <c r="F9920" s="60" t="s">
        <v>13</v>
      </c>
      <c r="G9920" s="34" t="str">
        <f>IF(ISNUMBER(F9920),E9920*F9920,"")</f>
        <v/>
      </c>
      <c r="H9920" s="35"/>
      <c r="I9920" s="36"/>
      <c r="J9920" s="37">
        <v>0</v>
      </c>
    </row>
    <row r="9921" spans="1:10" hidden="1" x14ac:dyDescent="0.25">
      <c r="A9921" s="179"/>
      <c r="B9921" s="177"/>
      <c r="C9921" s="39"/>
      <c r="D9921" s="39"/>
      <c r="E9921" s="40"/>
      <c r="F9921" s="70" t="s">
        <v>13</v>
      </c>
      <c r="G9921" s="70" t="str">
        <f>IF(ISNUMBER(F9921),E9921*F9921,"")</f>
        <v/>
      </c>
      <c r="H9921" s="71"/>
      <c r="I9921" s="72"/>
      <c r="J9921" s="37">
        <v>0</v>
      </c>
    </row>
    <row r="9922" spans="1:10" ht="25.5" hidden="1" x14ac:dyDescent="0.25">
      <c r="A9922" s="179"/>
      <c r="B9922" s="177"/>
      <c r="C9922" s="43" t="s">
        <v>11702</v>
      </c>
      <c r="D9922" s="43" t="s">
        <v>83</v>
      </c>
      <c r="E9922" s="44">
        <v>1</v>
      </c>
      <c r="F9922" s="70">
        <v>14.259499999999999</v>
      </c>
      <c r="G9922" s="70">
        <f>IF(ISNUMBER(F9922),E9922*F9922,"")</f>
        <v>14.259499999999999</v>
      </c>
      <c r="H9922" s="46">
        <f>SUM(G9922:G9922)</f>
        <v>14.259499999999999</v>
      </c>
      <c r="I9922" s="47"/>
      <c r="J9922" s="37">
        <v>0</v>
      </c>
    </row>
    <row r="9923" spans="1:10" ht="15.75" hidden="1" thickBot="1" x14ac:dyDescent="0.3">
      <c r="A9923" s="180"/>
      <c r="B9923" s="178"/>
      <c r="C9923" s="49"/>
      <c r="D9923" s="49"/>
      <c r="E9923" s="50"/>
      <c r="F9923" s="83" t="s">
        <v>13</v>
      </c>
      <c r="G9923" s="83" t="str">
        <f>IF(ISNUMBER(F9923),E9923*F9923,"")</f>
        <v/>
      </c>
      <c r="H9923" s="84"/>
      <c r="I9923" s="72"/>
      <c r="J9923" s="37">
        <v>0</v>
      </c>
    </row>
    <row r="9924" spans="1:10" ht="15.75" hidden="1" thickBot="1" x14ac:dyDescent="0.3">
      <c r="A9924" s="173" t="s">
        <v>2373</v>
      </c>
      <c r="B9924" s="176" t="s">
        <v>9861</v>
      </c>
      <c r="C9924" s="31"/>
      <c r="D9924" s="32" t="s">
        <v>18</v>
      </c>
      <c r="E9924" s="33"/>
      <c r="F9924" s="60" t="s">
        <v>13</v>
      </c>
      <c r="G9924" s="34" t="str">
        <f>IF(ISNUMBER(F9924),E9924*F9924,"")</f>
        <v/>
      </c>
      <c r="H9924" s="35"/>
      <c r="I9924" s="36"/>
      <c r="J9924" s="37">
        <v>0</v>
      </c>
    </row>
    <row r="9925" spans="1:10" hidden="1" x14ac:dyDescent="0.25">
      <c r="A9925" s="179"/>
      <c r="B9925" s="177"/>
      <c r="C9925" s="39"/>
      <c r="D9925" s="39"/>
      <c r="E9925" s="40"/>
      <c r="F9925" s="70" t="s">
        <v>13</v>
      </c>
      <c r="G9925" s="70" t="str">
        <f>IF(ISNUMBER(F9925),E9925*F9925,"")</f>
        <v/>
      </c>
      <c r="H9925" s="71"/>
      <c r="I9925" s="72"/>
      <c r="J9925" s="37">
        <v>0</v>
      </c>
    </row>
    <row r="9926" spans="1:10" hidden="1" x14ac:dyDescent="0.25">
      <c r="A9926" s="179"/>
      <c r="B9926" s="177"/>
      <c r="C9926" s="43" t="s">
        <v>11744</v>
      </c>
      <c r="D9926" s="43" t="s">
        <v>83</v>
      </c>
      <c r="E9926" s="44">
        <v>1</v>
      </c>
      <c r="F9926" s="70">
        <v>5.7664999999999997</v>
      </c>
      <c r="G9926" s="70">
        <f>IF(ISNUMBER(F9926),E9926*F9926,"")</f>
        <v>5.7664999999999997</v>
      </c>
      <c r="H9926" s="46">
        <f>SUM(G9926:G9926)</f>
        <v>5.7664999999999997</v>
      </c>
      <c r="I9926" s="47"/>
      <c r="J9926" s="37">
        <v>0</v>
      </c>
    </row>
    <row r="9927" spans="1:10" ht="15.75" hidden="1" thickBot="1" x14ac:dyDescent="0.3">
      <c r="A9927" s="180"/>
      <c r="B9927" s="178"/>
      <c r="C9927" s="49"/>
      <c r="D9927" s="49"/>
      <c r="E9927" s="50"/>
      <c r="F9927" s="83" t="s">
        <v>13</v>
      </c>
      <c r="G9927" s="83" t="str">
        <f>IF(ISNUMBER(F9927),E9927*F9927,"")</f>
        <v/>
      </c>
      <c r="H9927" s="84"/>
      <c r="I9927" s="72"/>
      <c r="J9927" s="37">
        <v>0</v>
      </c>
    </row>
    <row r="9928" spans="1:10" ht="15.75" hidden="1" thickBot="1" x14ac:dyDescent="0.3">
      <c r="A9928" s="173" t="s">
        <v>2374</v>
      </c>
      <c r="B9928" s="176" t="s">
        <v>9862</v>
      </c>
      <c r="C9928" s="31"/>
      <c r="D9928" s="32" t="s">
        <v>18</v>
      </c>
      <c r="E9928" s="33"/>
      <c r="F9928" s="60" t="s">
        <v>13</v>
      </c>
      <c r="G9928" s="34" t="str">
        <f>IF(ISNUMBER(F9928),E9928*F9928,"")</f>
        <v/>
      </c>
      <c r="H9928" s="35"/>
      <c r="I9928" s="36"/>
      <c r="J9928" s="37">
        <v>0</v>
      </c>
    </row>
    <row r="9929" spans="1:10" hidden="1" x14ac:dyDescent="0.25">
      <c r="A9929" s="179"/>
      <c r="B9929" s="177"/>
      <c r="C9929" s="39"/>
      <c r="D9929" s="39"/>
      <c r="E9929" s="40"/>
      <c r="F9929" s="70" t="s">
        <v>13</v>
      </c>
      <c r="G9929" s="70" t="str">
        <f>IF(ISNUMBER(F9929),E9929*F9929,"")</f>
        <v/>
      </c>
      <c r="H9929" s="71"/>
      <c r="I9929" s="72"/>
      <c r="J9929" s="37">
        <v>0</v>
      </c>
    </row>
    <row r="9930" spans="1:10" ht="25.5" hidden="1" x14ac:dyDescent="0.25">
      <c r="A9930" s="179"/>
      <c r="B9930" s="177"/>
      <c r="C9930" s="43" t="s">
        <v>11745</v>
      </c>
      <c r="D9930" s="43" t="s">
        <v>83</v>
      </c>
      <c r="E9930" s="44">
        <v>1</v>
      </c>
      <c r="F9930" s="70">
        <v>3.4674999999999998</v>
      </c>
      <c r="G9930" s="70">
        <f>IF(ISNUMBER(F9930),E9930*F9930,"")</f>
        <v>3.4674999999999998</v>
      </c>
      <c r="H9930" s="46">
        <f>SUM(G9930:G9930)</f>
        <v>3.4674999999999998</v>
      </c>
      <c r="I9930" s="47"/>
      <c r="J9930" s="37">
        <v>0</v>
      </c>
    </row>
    <row r="9931" spans="1:10" ht="15.75" hidden="1" thickBot="1" x14ac:dyDescent="0.3">
      <c r="A9931" s="180"/>
      <c r="B9931" s="178"/>
      <c r="C9931" s="49"/>
      <c r="D9931" s="49"/>
      <c r="E9931" s="50"/>
      <c r="F9931" s="83" t="s">
        <v>13</v>
      </c>
      <c r="G9931" s="83" t="str">
        <f>IF(ISNUMBER(F9931),E9931*F9931,"")</f>
        <v/>
      </c>
      <c r="H9931" s="84"/>
      <c r="I9931" s="72"/>
      <c r="J9931" s="37">
        <v>0</v>
      </c>
    </row>
    <row r="9932" spans="1:10" ht="15.75" hidden="1" thickBot="1" x14ac:dyDescent="0.3">
      <c r="A9932" s="173" t="s">
        <v>2375</v>
      </c>
      <c r="B9932" s="176" t="s">
        <v>9863</v>
      </c>
      <c r="C9932" s="31"/>
      <c r="D9932" s="32" t="s">
        <v>18</v>
      </c>
      <c r="E9932" s="33"/>
      <c r="F9932" s="60" t="s">
        <v>13</v>
      </c>
      <c r="G9932" s="34" t="str">
        <f>IF(ISNUMBER(F9932),E9932*F9932,"")</f>
        <v/>
      </c>
      <c r="H9932" s="35"/>
      <c r="I9932" s="36"/>
      <c r="J9932" s="37">
        <v>0</v>
      </c>
    </row>
    <row r="9933" spans="1:10" hidden="1" x14ac:dyDescent="0.25">
      <c r="A9933" s="179"/>
      <c r="B9933" s="177"/>
      <c r="C9933" s="39"/>
      <c r="D9933" s="39"/>
      <c r="E9933" s="40"/>
      <c r="F9933" s="70" t="s">
        <v>13</v>
      </c>
      <c r="G9933" s="70" t="str">
        <f>IF(ISNUMBER(F9933),E9933*F9933,"")</f>
        <v/>
      </c>
      <c r="H9933" s="71"/>
      <c r="I9933" s="72"/>
      <c r="J9933" s="37">
        <v>0</v>
      </c>
    </row>
    <row r="9934" spans="1:10" ht="25.5" hidden="1" x14ac:dyDescent="0.25">
      <c r="A9934" s="179"/>
      <c r="B9934" s="177"/>
      <c r="C9934" s="43" t="s">
        <v>11746</v>
      </c>
      <c r="D9934" s="43" t="s">
        <v>83</v>
      </c>
      <c r="E9934" s="44">
        <v>1</v>
      </c>
      <c r="F9934" s="70">
        <v>6.9444999999999997</v>
      </c>
      <c r="G9934" s="70">
        <f>IF(ISNUMBER(F9934),E9934*F9934,"")</f>
        <v>6.9444999999999997</v>
      </c>
      <c r="H9934" s="46">
        <f>SUM(G9934:G9934)</f>
        <v>6.9444999999999997</v>
      </c>
      <c r="I9934" s="47"/>
      <c r="J9934" s="37">
        <v>0</v>
      </c>
    </row>
    <row r="9935" spans="1:10" ht="15.75" hidden="1" thickBot="1" x14ac:dyDescent="0.3">
      <c r="A9935" s="180"/>
      <c r="B9935" s="178"/>
      <c r="C9935" s="49"/>
      <c r="D9935" s="49"/>
      <c r="E9935" s="50"/>
      <c r="F9935" s="83" t="s">
        <v>13</v>
      </c>
      <c r="G9935" s="83" t="str">
        <f>IF(ISNUMBER(F9935),E9935*F9935,"")</f>
        <v/>
      </c>
      <c r="H9935" s="84"/>
      <c r="I9935" s="72"/>
      <c r="J9935" s="37">
        <v>0</v>
      </c>
    </row>
    <row r="9936" spans="1:10" ht="15.75" hidden="1" thickBot="1" x14ac:dyDescent="0.3">
      <c r="A9936" s="173" t="s">
        <v>2376</v>
      </c>
      <c r="B9936" s="176" t="s">
        <v>9864</v>
      </c>
      <c r="C9936" s="31"/>
      <c r="D9936" s="32" t="s">
        <v>18</v>
      </c>
      <c r="E9936" s="33"/>
      <c r="F9936" s="60" t="s">
        <v>13</v>
      </c>
      <c r="G9936" s="34" t="str">
        <f>IF(ISNUMBER(F9936),E9936*F9936,"")</f>
        <v/>
      </c>
      <c r="H9936" s="35"/>
      <c r="I9936" s="36"/>
      <c r="J9936" s="37">
        <v>0</v>
      </c>
    </row>
    <row r="9937" spans="1:10" hidden="1" x14ac:dyDescent="0.25">
      <c r="A9937" s="179"/>
      <c r="B9937" s="177"/>
      <c r="C9937" s="39"/>
      <c r="D9937" s="39"/>
      <c r="E9937" s="40"/>
      <c r="F9937" s="70" t="s">
        <v>13</v>
      </c>
      <c r="G9937" s="70" t="str">
        <f>IF(ISNUMBER(F9937),E9937*F9937,"")</f>
        <v/>
      </c>
      <c r="H9937" s="71"/>
      <c r="I9937" s="72"/>
      <c r="J9937" s="37">
        <v>0</v>
      </c>
    </row>
    <row r="9938" spans="1:10" ht="25.5" hidden="1" x14ac:dyDescent="0.25">
      <c r="A9938" s="179"/>
      <c r="B9938" s="177"/>
      <c r="C9938" s="43" t="s">
        <v>11747</v>
      </c>
      <c r="D9938" s="43" t="s">
        <v>83</v>
      </c>
      <c r="E9938" s="44">
        <v>1</v>
      </c>
      <c r="F9938" s="70">
        <v>13.651499999999999</v>
      </c>
      <c r="G9938" s="70">
        <f>IF(ISNUMBER(F9938),E9938*F9938,"")</f>
        <v>13.651499999999999</v>
      </c>
      <c r="H9938" s="46">
        <f>SUM(G9938:G9938)</f>
        <v>13.651499999999999</v>
      </c>
      <c r="I9938" s="47"/>
      <c r="J9938" s="37">
        <v>0</v>
      </c>
    </row>
    <row r="9939" spans="1:10" ht="15.75" hidden="1" thickBot="1" x14ac:dyDescent="0.3">
      <c r="A9939" s="180"/>
      <c r="B9939" s="178"/>
      <c r="C9939" s="49"/>
      <c r="D9939" s="49"/>
      <c r="E9939" s="50"/>
      <c r="F9939" s="83" t="s">
        <v>13</v>
      </c>
      <c r="G9939" s="83" t="str">
        <f>IF(ISNUMBER(F9939),E9939*F9939,"")</f>
        <v/>
      </c>
      <c r="H9939" s="84"/>
      <c r="I9939" s="72"/>
      <c r="J9939" s="37">
        <v>0</v>
      </c>
    </row>
    <row r="9940" spans="1:10" ht="15.75" hidden="1" thickBot="1" x14ac:dyDescent="0.3">
      <c r="A9940" s="173" t="s">
        <v>2377</v>
      </c>
      <c r="B9940" s="176" t="s">
        <v>9865</v>
      </c>
      <c r="C9940" s="31"/>
      <c r="D9940" s="32" t="s">
        <v>18</v>
      </c>
      <c r="E9940" s="33"/>
      <c r="F9940" s="60" t="s">
        <v>13</v>
      </c>
      <c r="G9940" s="34" t="str">
        <f>IF(ISNUMBER(F9940),E9940*F9940,"")</f>
        <v/>
      </c>
      <c r="H9940" s="35"/>
      <c r="I9940" s="36"/>
      <c r="J9940" s="37">
        <v>0</v>
      </c>
    </row>
    <row r="9941" spans="1:10" hidden="1" x14ac:dyDescent="0.25">
      <c r="A9941" s="179"/>
      <c r="B9941" s="177"/>
      <c r="C9941" s="39"/>
      <c r="D9941" s="39"/>
      <c r="E9941" s="40"/>
      <c r="F9941" s="70" t="s">
        <v>13</v>
      </c>
      <c r="G9941" s="70" t="str">
        <f>IF(ISNUMBER(F9941),E9941*F9941,"")</f>
        <v/>
      </c>
      <c r="H9941" s="71"/>
      <c r="I9941" s="72"/>
      <c r="J9941" s="37">
        <v>0</v>
      </c>
    </row>
    <row r="9942" spans="1:10" ht="25.5" hidden="1" x14ac:dyDescent="0.25">
      <c r="A9942" s="179"/>
      <c r="B9942" s="177"/>
      <c r="C9942" s="43" t="s">
        <v>11748</v>
      </c>
      <c r="D9942" s="43" t="s">
        <v>83</v>
      </c>
      <c r="E9942" s="44">
        <v>1</v>
      </c>
      <c r="F9942" s="70">
        <v>4.2844999999999995</v>
      </c>
      <c r="G9942" s="70">
        <f>IF(ISNUMBER(F9942),E9942*F9942,"")</f>
        <v>4.2844999999999995</v>
      </c>
      <c r="H9942" s="46">
        <f>SUM(G9942:G9942)</f>
        <v>4.2844999999999995</v>
      </c>
      <c r="I9942" s="47"/>
      <c r="J9942" s="37">
        <v>0</v>
      </c>
    </row>
    <row r="9943" spans="1:10" ht="15.75" hidden="1" thickBot="1" x14ac:dyDescent="0.3">
      <c r="A9943" s="180"/>
      <c r="B9943" s="178"/>
      <c r="C9943" s="49"/>
      <c r="D9943" s="49"/>
      <c r="E9943" s="50"/>
      <c r="F9943" s="83" t="s">
        <v>13</v>
      </c>
      <c r="G9943" s="83" t="str">
        <f>IF(ISNUMBER(F9943),E9943*F9943,"")</f>
        <v/>
      </c>
      <c r="H9943" s="84"/>
      <c r="I9943" s="72"/>
      <c r="J9943" s="37">
        <v>0</v>
      </c>
    </row>
    <row r="9944" spans="1:10" ht="15.75" hidden="1" thickBot="1" x14ac:dyDescent="0.3">
      <c r="A9944" s="173" t="s">
        <v>2378</v>
      </c>
      <c r="B9944" s="176" t="s">
        <v>9866</v>
      </c>
      <c r="C9944" s="31"/>
      <c r="D9944" s="32" t="s">
        <v>18</v>
      </c>
      <c r="E9944" s="33"/>
      <c r="F9944" s="60" t="s">
        <v>13</v>
      </c>
      <c r="G9944" s="34" t="str">
        <f>IF(ISNUMBER(F9944),E9944*F9944,"")</f>
        <v/>
      </c>
      <c r="H9944" s="35"/>
      <c r="I9944" s="36"/>
      <c r="J9944" s="37">
        <v>0</v>
      </c>
    </row>
    <row r="9945" spans="1:10" hidden="1" x14ac:dyDescent="0.25">
      <c r="A9945" s="179"/>
      <c r="B9945" s="177"/>
      <c r="C9945" s="39"/>
      <c r="D9945" s="39"/>
      <c r="E9945" s="40"/>
      <c r="F9945" s="70" t="s">
        <v>13</v>
      </c>
      <c r="G9945" s="70" t="str">
        <f>IF(ISNUMBER(F9945),E9945*F9945,"")</f>
        <v/>
      </c>
      <c r="H9945" s="71"/>
      <c r="I9945" s="72"/>
      <c r="J9945" s="37">
        <v>0</v>
      </c>
    </row>
    <row r="9946" spans="1:10" ht="25.5" hidden="1" x14ac:dyDescent="0.25">
      <c r="A9946" s="179"/>
      <c r="B9946" s="177"/>
      <c r="C9946" s="43" t="s">
        <v>11749</v>
      </c>
      <c r="D9946" s="43" t="s">
        <v>83</v>
      </c>
      <c r="E9946" s="44">
        <v>1</v>
      </c>
      <c r="F9946" s="70">
        <v>7.4574999999999996</v>
      </c>
      <c r="G9946" s="70">
        <f>IF(ISNUMBER(F9946),E9946*F9946,"")</f>
        <v>7.4574999999999996</v>
      </c>
      <c r="H9946" s="46">
        <f>SUM(G9946:G9946)</f>
        <v>7.4574999999999996</v>
      </c>
      <c r="I9946" s="47"/>
      <c r="J9946" s="37">
        <v>0</v>
      </c>
    </row>
    <row r="9947" spans="1:10" ht="15.75" hidden="1" thickBot="1" x14ac:dyDescent="0.3">
      <c r="A9947" s="180"/>
      <c r="B9947" s="178"/>
      <c r="C9947" s="49"/>
      <c r="D9947" s="49"/>
      <c r="E9947" s="50"/>
      <c r="F9947" s="83" t="s">
        <v>13</v>
      </c>
      <c r="G9947" s="83" t="str">
        <f>IF(ISNUMBER(F9947),E9947*F9947,"")</f>
        <v/>
      </c>
      <c r="H9947" s="84"/>
      <c r="I9947" s="72"/>
      <c r="J9947" s="37">
        <v>0</v>
      </c>
    </row>
    <row r="9948" spans="1:10" ht="15.75" hidden="1" thickBot="1" x14ac:dyDescent="0.3">
      <c r="A9948" s="173" t="s">
        <v>2379</v>
      </c>
      <c r="B9948" s="176" t="s">
        <v>9867</v>
      </c>
      <c r="C9948" s="31"/>
      <c r="D9948" s="32" t="s">
        <v>18</v>
      </c>
      <c r="E9948" s="33"/>
      <c r="F9948" s="60" t="s">
        <v>13</v>
      </c>
      <c r="G9948" s="34" t="str">
        <f>IF(ISNUMBER(F9948),E9948*F9948,"")</f>
        <v/>
      </c>
      <c r="H9948" s="35"/>
      <c r="I9948" s="36"/>
      <c r="J9948" s="37">
        <v>0</v>
      </c>
    </row>
    <row r="9949" spans="1:10" hidden="1" x14ac:dyDescent="0.25">
      <c r="A9949" s="179"/>
      <c r="B9949" s="177"/>
      <c r="C9949" s="39"/>
      <c r="D9949" s="39"/>
      <c r="E9949" s="40"/>
      <c r="F9949" s="70" t="s">
        <v>13</v>
      </c>
      <c r="G9949" s="70" t="str">
        <f>IF(ISNUMBER(F9949),E9949*F9949,"")</f>
        <v/>
      </c>
      <c r="H9949" s="71"/>
      <c r="I9949" s="72"/>
      <c r="J9949" s="37">
        <v>0</v>
      </c>
    </row>
    <row r="9950" spans="1:10" ht="25.5" hidden="1" x14ac:dyDescent="0.25">
      <c r="A9950" s="179"/>
      <c r="B9950" s="177"/>
      <c r="C9950" s="43" t="s">
        <v>11750</v>
      </c>
      <c r="D9950" s="43" t="s">
        <v>83</v>
      </c>
      <c r="E9950" s="44">
        <v>1</v>
      </c>
      <c r="F9950" s="70">
        <v>16.510999999999999</v>
      </c>
      <c r="G9950" s="70">
        <f>IF(ISNUMBER(F9950),E9950*F9950,"")</f>
        <v>16.510999999999999</v>
      </c>
      <c r="H9950" s="46">
        <f>SUM(G9950:G9950)</f>
        <v>16.510999999999999</v>
      </c>
      <c r="I9950" s="47"/>
      <c r="J9950" s="37">
        <v>0</v>
      </c>
    </row>
    <row r="9951" spans="1:10" ht="15.75" hidden="1" thickBot="1" x14ac:dyDescent="0.3">
      <c r="A9951" s="180"/>
      <c r="B9951" s="178"/>
      <c r="C9951" s="49"/>
      <c r="D9951" s="49"/>
      <c r="E9951" s="50"/>
      <c r="F9951" s="83" t="s">
        <v>13</v>
      </c>
      <c r="G9951" s="83" t="str">
        <f>IF(ISNUMBER(F9951),E9951*F9951,"")</f>
        <v/>
      </c>
      <c r="H9951" s="84"/>
      <c r="I9951" s="72"/>
      <c r="J9951" s="37">
        <v>0</v>
      </c>
    </row>
    <row r="9952" spans="1:10" ht="15.75" hidden="1" thickBot="1" x14ac:dyDescent="0.3">
      <c r="A9952" s="173" t="s">
        <v>2380</v>
      </c>
      <c r="B9952" s="176" t="s">
        <v>9868</v>
      </c>
      <c r="C9952" s="31"/>
      <c r="D9952" s="32" t="s">
        <v>18</v>
      </c>
      <c r="E9952" s="33"/>
      <c r="F9952" s="60" t="s">
        <v>13</v>
      </c>
      <c r="G9952" s="34" t="str">
        <f>IF(ISNUMBER(F9952),E9952*F9952,"")</f>
        <v/>
      </c>
      <c r="H9952" s="35"/>
      <c r="I9952" s="36"/>
      <c r="J9952" s="37">
        <v>0</v>
      </c>
    </row>
    <row r="9953" spans="1:10" hidden="1" x14ac:dyDescent="0.25">
      <c r="A9953" s="179"/>
      <c r="B9953" s="177"/>
      <c r="C9953" s="39"/>
      <c r="D9953" s="39"/>
      <c r="E9953" s="40"/>
      <c r="F9953" s="70" t="s">
        <v>13</v>
      </c>
      <c r="G9953" s="70" t="str">
        <f>IF(ISNUMBER(F9953),E9953*F9953,"")</f>
        <v/>
      </c>
      <c r="H9953" s="71"/>
      <c r="I9953" s="72"/>
      <c r="J9953" s="37">
        <v>0</v>
      </c>
    </row>
    <row r="9954" spans="1:10" ht="25.5" hidden="1" x14ac:dyDescent="0.25">
      <c r="A9954" s="179"/>
      <c r="B9954" s="177"/>
      <c r="C9954" s="43" t="s">
        <v>11751</v>
      </c>
      <c r="D9954" s="43" t="s">
        <v>83</v>
      </c>
      <c r="E9954" s="44">
        <v>1</v>
      </c>
      <c r="F9954" s="70">
        <v>158.94450000000001</v>
      </c>
      <c r="G9954" s="70">
        <f>IF(ISNUMBER(F9954),E9954*F9954,"")</f>
        <v>158.94450000000001</v>
      </c>
      <c r="H9954" s="46">
        <f>SUM(G9954:G9954)</f>
        <v>158.94450000000001</v>
      </c>
      <c r="I9954" s="47"/>
      <c r="J9954" s="37">
        <v>0</v>
      </c>
    </row>
    <row r="9955" spans="1:10" ht="15.75" hidden="1" thickBot="1" x14ac:dyDescent="0.3">
      <c r="A9955" s="180"/>
      <c r="B9955" s="178"/>
      <c r="C9955" s="49"/>
      <c r="D9955" s="49"/>
      <c r="E9955" s="50"/>
      <c r="F9955" s="83" t="s">
        <v>13</v>
      </c>
      <c r="G9955" s="83" t="str">
        <f>IF(ISNUMBER(F9955),E9955*F9955,"")</f>
        <v/>
      </c>
      <c r="H9955" s="84"/>
      <c r="I9955" s="72"/>
      <c r="J9955" s="37">
        <v>0</v>
      </c>
    </row>
    <row r="9956" spans="1:10" ht="15.75" hidden="1" thickBot="1" x14ac:dyDescent="0.3">
      <c r="A9956" s="173" t="s">
        <v>2381</v>
      </c>
      <c r="B9956" s="176" t="s">
        <v>9869</v>
      </c>
      <c r="C9956" s="31"/>
      <c r="D9956" s="32" t="s">
        <v>18</v>
      </c>
      <c r="E9956" s="33"/>
      <c r="F9956" s="60" t="s">
        <v>13</v>
      </c>
      <c r="G9956" s="34" t="str">
        <f>IF(ISNUMBER(F9956),E9956*F9956,"")</f>
        <v/>
      </c>
      <c r="H9956" s="35"/>
      <c r="I9956" s="36"/>
      <c r="J9956" s="37">
        <v>0</v>
      </c>
    </row>
    <row r="9957" spans="1:10" hidden="1" x14ac:dyDescent="0.25">
      <c r="A9957" s="179"/>
      <c r="B9957" s="177"/>
      <c r="C9957" s="39"/>
      <c r="D9957" s="39"/>
      <c r="E9957" s="40"/>
      <c r="F9957" s="70" t="s">
        <v>13</v>
      </c>
      <c r="G9957" s="70" t="str">
        <f>IF(ISNUMBER(F9957),E9957*F9957,"")</f>
        <v/>
      </c>
      <c r="H9957" s="71"/>
      <c r="I9957" s="72"/>
      <c r="J9957" s="37">
        <v>0</v>
      </c>
    </row>
    <row r="9958" spans="1:10" hidden="1" x14ac:dyDescent="0.25">
      <c r="A9958" s="179"/>
      <c r="B9958" s="177"/>
      <c r="C9958" s="43" t="s">
        <v>2382</v>
      </c>
      <c r="D9958" s="43" t="s">
        <v>83</v>
      </c>
      <c r="E9958" s="44">
        <v>1</v>
      </c>
      <c r="F9958" s="70" t="s">
        <v>13</v>
      </c>
      <c r="G9958" s="70" t="str">
        <f>IF(ISNUMBER(F9958),E9958*F9958,"")</f>
        <v/>
      </c>
      <c r="H9958" s="46">
        <f>SUM(G9958:G9958)</f>
        <v>0</v>
      </c>
      <c r="I9958" s="47"/>
      <c r="J9958" s="37">
        <v>0</v>
      </c>
    </row>
    <row r="9959" spans="1:10" ht="15.75" hidden="1" thickBot="1" x14ac:dyDescent="0.3">
      <c r="A9959" s="180"/>
      <c r="B9959" s="178"/>
      <c r="C9959" s="49"/>
      <c r="D9959" s="49"/>
      <c r="E9959" s="50"/>
      <c r="F9959" s="83" t="s">
        <v>13</v>
      </c>
      <c r="G9959" s="83" t="str">
        <f>IF(ISNUMBER(F9959),E9959*F9959,"")</f>
        <v/>
      </c>
      <c r="H9959" s="84"/>
      <c r="I9959" s="72"/>
      <c r="J9959" s="37">
        <v>0</v>
      </c>
    </row>
    <row r="9960" spans="1:10" ht="15.75" hidden="1" thickBot="1" x14ac:dyDescent="0.3">
      <c r="A9960" s="173" t="s">
        <v>2383</v>
      </c>
      <c r="B9960" s="176" t="s">
        <v>9870</v>
      </c>
      <c r="C9960" s="31"/>
      <c r="D9960" s="32" t="s">
        <v>18</v>
      </c>
      <c r="E9960" s="33"/>
      <c r="F9960" s="60" t="s">
        <v>13</v>
      </c>
      <c r="G9960" s="34" t="str">
        <f>IF(ISNUMBER(F9960),E9960*F9960,"")</f>
        <v/>
      </c>
      <c r="H9960" s="35"/>
      <c r="I9960" s="36"/>
      <c r="J9960" s="37">
        <v>0</v>
      </c>
    </row>
    <row r="9961" spans="1:10" hidden="1" x14ac:dyDescent="0.25">
      <c r="A9961" s="179"/>
      <c r="B9961" s="177"/>
      <c r="C9961" s="39"/>
      <c r="D9961" s="39"/>
      <c r="E9961" s="40"/>
      <c r="F9961" s="70" t="s">
        <v>13</v>
      </c>
      <c r="G9961" s="70" t="str">
        <f>IF(ISNUMBER(F9961),E9961*F9961,"")</f>
        <v/>
      </c>
      <c r="H9961" s="71"/>
      <c r="I9961" s="72"/>
      <c r="J9961" s="37">
        <v>0</v>
      </c>
    </row>
    <row r="9962" spans="1:10" ht="25.5" hidden="1" x14ac:dyDescent="0.25">
      <c r="A9962" s="179"/>
      <c r="B9962" s="177"/>
      <c r="C9962" s="43" t="s">
        <v>11752</v>
      </c>
      <c r="D9962" s="43" t="s">
        <v>83</v>
      </c>
      <c r="E9962" s="44">
        <v>1</v>
      </c>
      <c r="F9962" s="70">
        <v>2.831</v>
      </c>
      <c r="G9962" s="70">
        <f>IF(ISNUMBER(F9962),E9962*F9962,"")</f>
        <v>2.831</v>
      </c>
      <c r="H9962" s="46">
        <f>SUM(G9962:G9962)</f>
        <v>2.831</v>
      </c>
      <c r="I9962" s="47"/>
      <c r="J9962" s="37">
        <v>0</v>
      </c>
    </row>
    <row r="9963" spans="1:10" ht="15.75" hidden="1" thickBot="1" x14ac:dyDescent="0.3">
      <c r="A9963" s="180"/>
      <c r="B9963" s="178"/>
      <c r="C9963" s="49"/>
      <c r="D9963" s="49"/>
      <c r="E9963" s="50"/>
      <c r="F9963" s="83" t="s">
        <v>13</v>
      </c>
      <c r="G9963" s="83" t="str">
        <f>IF(ISNUMBER(F9963),E9963*F9963,"")</f>
        <v/>
      </c>
      <c r="H9963" s="84"/>
      <c r="I9963" s="72"/>
      <c r="J9963" s="37">
        <v>0</v>
      </c>
    </row>
    <row r="9964" spans="1:10" ht="15.75" hidden="1" thickBot="1" x14ac:dyDescent="0.3">
      <c r="A9964" s="173" t="s">
        <v>2384</v>
      </c>
      <c r="B9964" s="176" t="s">
        <v>9871</v>
      </c>
      <c r="C9964" s="31"/>
      <c r="D9964" s="32" t="s">
        <v>18</v>
      </c>
      <c r="E9964" s="33"/>
      <c r="F9964" s="60" t="s">
        <v>13</v>
      </c>
      <c r="G9964" s="34" t="str">
        <f>IF(ISNUMBER(F9964),E9964*F9964,"")</f>
        <v/>
      </c>
      <c r="H9964" s="35"/>
      <c r="I9964" s="36"/>
      <c r="J9964" s="37">
        <v>0</v>
      </c>
    </row>
    <row r="9965" spans="1:10" hidden="1" x14ac:dyDescent="0.25">
      <c r="A9965" s="179"/>
      <c r="B9965" s="177"/>
      <c r="C9965" s="39"/>
      <c r="D9965" s="39"/>
      <c r="E9965" s="40"/>
      <c r="F9965" s="70" t="s">
        <v>13</v>
      </c>
      <c r="G9965" s="70" t="str">
        <f>IF(ISNUMBER(F9965),E9965*F9965,"")</f>
        <v/>
      </c>
      <c r="H9965" s="71"/>
      <c r="I9965" s="72"/>
      <c r="J9965" s="37">
        <v>0</v>
      </c>
    </row>
    <row r="9966" spans="1:10" ht="25.5" hidden="1" x14ac:dyDescent="0.25">
      <c r="A9966" s="179"/>
      <c r="B9966" s="177"/>
      <c r="C9966" s="43" t="s">
        <v>11704</v>
      </c>
      <c r="D9966" s="43" t="s">
        <v>83</v>
      </c>
      <c r="E9966" s="44">
        <v>1</v>
      </c>
      <c r="F9966" s="70">
        <v>14.297499999999999</v>
      </c>
      <c r="G9966" s="70">
        <f>IF(ISNUMBER(F9966),E9966*F9966,"")</f>
        <v>14.297499999999999</v>
      </c>
      <c r="H9966" s="46">
        <f>SUM(G9966:G9966)</f>
        <v>14.297499999999999</v>
      </c>
      <c r="I9966" s="47"/>
      <c r="J9966" s="37">
        <v>0</v>
      </c>
    </row>
    <row r="9967" spans="1:10" ht="15.75" hidden="1" thickBot="1" x14ac:dyDescent="0.3">
      <c r="A9967" s="180"/>
      <c r="B9967" s="178"/>
      <c r="C9967" s="49"/>
      <c r="D9967" s="49"/>
      <c r="E9967" s="50"/>
      <c r="F9967" s="83" t="s">
        <v>13</v>
      </c>
      <c r="G9967" s="83" t="str">
        <f>IF(ISNUMBER(F9967),E9967*F9967,"")</f>
        <v/>
      </c>
      <c r="H9967" s="84"/>
      <c r="I9967" s="72"/>
      <c r="J9967" s="37">
        <v>0</v>
      </c>
    </row>
    <row r="9968" spans="1:10" ht="15.75" hidden="1" thickBot="1" x14ac:dyDescent="0.3">
      <c r="A9968" s="173" t="s">
        <v>2385</v>
      </c>
      <c r="B9968" s="176" t="s">
        <v>9872</v>
      </c>
      <c r="C9968" s="31"/>
      <c r="D9968" s="32" t="s">
        <v>18</v>
      </c>
      <c r="E9968" s="33"/>
      <c r="F9968" s="60" t="s">
        <v>13</v>
      </c>
      <c r="G9968" s="34" t="str">
        <f>IF(ISNUMBER(F9968),E9968*F9968,"")</f>
        <v/>
      </c>
      <c r="H9968" s="35"/>
      <c r="I9968" s="36"/>
      <c r="J9968" s="37">
        <v>0</v>
      </c>
    </row>
    <row r="9969" spans="1:10" hidden="1" x14ac:dyDescent="0.25">
      <c r="A9969" s="179"/>
      <c r="B9969" s="177"/>
      <c r="C9969" s="39"/>
      <c r="D9969" s="39"/>
      <c r="E9969" s="40"/>
      <c r="F9969" s="70" t="s">
        <v>13</v>
      </c>
      <c r="G9969" s="70" t="str">
        <f>IF(ISNUMBER(F9969),E9969*F9969,"")</f>
        <v/>
      </c>
      <c r="H9969" s="71"/>
      <c r="I9969" s="72"/>
      <c r="J9969" s="37">
        <v>0</v>
      </c>
    </row>
    <row r="9970" spans="1:10" hidden="1" x14ac:dyDescent="0.25">
      <c r="A9970" s="179"/>
      <c r="B9970" s="177"/>
      <c r="C9970" s="43" t="s">
        <v>11753</v>
      </c>
      <c r="D9970" s="43" t="s">
        <v>83</v>
      </c>
      <c r="E9970" s="44">
        <v>1</v>
      </c>
      <c r="F9970" s="70">
        <v>7.4005000000000001</v>
      </c>
      <c r="G9970" s="70">
        <f>IF(ISNUMBER(F9970),E9970*F9970,"")</f>
        <v>7.4005000000000001</v>
      </c>
      <c r="H9970" s="46">
        <f>SUM(G9970:G9970)</f>
        <v>7.4005000000000001</v>
      </c>
      <c r="I9970" s="47"/>
      <c r="J9970" s="37">
        <v>0</v>
      </c>
    </row>
    <row r="9971" spans="1:10" ht="15.75" hidden="1" thickBot="1" x14ac:dyDescent="0.3">
      <c r="A9971" s="180"/>
      <c r="B9971" s="178"/>
      <c r="C9971" s="49"/>
      <c r="D9971" s="49"/>
      <c r="E9971" s="50"/>
      <c r="F9971" s="83" t="s">
        <v>13</v>
      </c>
      <c r="G9971" s="83" t="str">
        <f>IF(ISNUMBER(F9971),E9971*F9971,"")</f>
        <v/>
      </c>
      <c r="H9971" s="84"/>
      <c r="I9971" s="72"/>
      <c r="J9971" s="37">
        <v>0</v>
      </c>
    </row>
    <row r="9972" spans="1:10" ht="15.75" hidden="1" thickBot="1" x14ac:dyDescent="0.3">
      <c r="A9972" s="173" t="s">
        <v>2386</v>
      </c>
      <c r="B9972" s="176" t="s">
        <v>2387</v>
      </c>
      <c r="C9972" s="31"/>
      <c r="D9972" s="32" t="s">
        <v>18</v>
      </c>
      <c r="E9972" s="33"/>
      <c r="F9972" s="60" t="s">
        <v>13</v>
      </c>
      <c r="G9972" s="34" t="str">
        <f>IF(ISNUMBER(F9972),E9972*F9972,"")</f>
        <v/>
      </c>
      <c r="H9972" s="35"/>
      <c r="I9972" s="36"/>
      <c r="J9972" s="37">
        <v>0</v>
      </c>
    </row>
    <row r="9973" spans="1:10" hidden="1" x14ac:dyDescent="0.25">
      <c r="A9973" s="179"/>
      <c r="B9973" s="177"/>
      <c r="C9973" s="39"/>
      <c r="D9973" s="39"/>
      <c r="E9973" s="40"/>
      <c r="F9973" s="70" t="s">
        <v>13</v>
      </c>
      <c r="G9973" s="70" t="str">
        <f>IF(ISNUMBER(F9973),E9973*F9973,"")</f>
        <v/>
      </c>
      <c r="H9973" s="71"/>
      <c r="I9973" s="72"/>
      <c r="J9973" s="37">
        <v>0</v>
      </c>
    </row>
    <row r="9974" spans="1:10" hidden="1" x14ac:dyDescent="0.25">
      <c r="A9974" s="179"/>
      <c r="B9974" s="177"/>
      <c r="C9974" s="43" t="s">
        <v>2387</v>
      </c>
      <c r="D9974" s="43" t="s">
        <v>83</v>
      </c>
      <c r="E9974" s="44">
        <v>1</v>
      </c>
      <c r="F9974" s="70" t="s">
        <v>13</v>
      </c>
      <c r="G9974" s="70" t="str">
        <f>IF(ISNUMBER(F9974),E9974*F9974,"")</f>
        <v/>
      </c>
      <c r="H9974" s="46">
        <f>SUM(G9974:G9974)</f>
        <v>0</v>
      </c>
      <c r="I9974" s="47"/>
      <c r="J9974" s="37">
        <v>0</v>
      </c>
    </row>
    <row r="9975" spans="1:10" ht="15.75" hidden="1" thickBot="1" x14ac:dyDescent="0.3">
      <c r="A9975" s="180"/>
      <c r="B9975" s="178"/>
      <c r="C9975" s="49"/>
      <c r="D9975" s="49"/>
      <c r="E9975" s="50"/>
      <c r="F9975" s="83" t="s">
        <v>13</v>
      </c>
      <c r="G9975" s="83" t="str">
        <f>IF(ISNUMBER(F9975),E9975*F9975,"")</f>
        <v/>
      </c>
      <c r="H9975" s="84"/>
      <c r="I9975" s="72"/>
      <c r="J9975" s="37">
        <v>0</v>
      </c>
    </row>
    <row r="9976" spans="1:10" ht="15.75" hidden="1" thickBot="1" x14ac:dyDescent="0.3">
      <c r="A9976" s="173" t="s">
        <v>2388</v>
      </c>
      <c r="B9976" s="176" t="s">
        <v>2389</v>
      </c>
      <c r="C9976" s="31"/>
      <c r="D9976" s="32" t="s">
        <v>18</v>
      </c>
      <c r="E9976" s="33"/>
      <c r="F9976" s="60" t="s">
        <v>13</v>
      </c>
      <c r="G9976" s="34" t="str">
        <f>IF(ISNUMBER(F9976),E9976*F9976,"")</f>
        <v/>
      </c>
      <c r="H9976" s="35"/>
      <c r="I9976" s="36"/>
      <c r="J9976" s="37">
        <v>0</v>
      </c>
    </row>
    <row r="9977" spans="1:10" hidden="1" x14ac:dyDescent="0.25">
      <c r="A9977" s="179"/>
      <c r="B9977" s="177"/>
      <c r="C9977" s="39"/>
      <c r="D9977" s="39"/>
      <c r="E9977" s="40"/>
      <c r="F9977" s="70" t="s">
        <v>13</v>
      </c>
      <c r="G9977" s="70" t="str">
        <f>IF(ISNUMBER(F9977),E9977*F9977,"")</f>
        <v/>
      </c>
      <c r="H9977" s="71"/>
      <c r="I9977" s="72"/>
      <c r="J9977" s="37">
        <v>0</v>
      </c>
    </row>
    <row r="9978" spans="1:10" hidden="1" x14ac:dyDescent="0.25">
      <c r="A9978" s="179"/>
      <c r="B9978" s="177"/>
      <c r="C9978" s="43" t="s">
        <v>2389</v>
      </c>
      <c r="D9978" s="43" t="s">
        <v>83</v>
      </c>
      <c r="E9978" s="44">
        <v>1</v>
      </c>
      <c r="F9978" s="70" t="s">
        <v>13</v>
      </c>
      <c r="G9978" s="70" t="str">
        <f>IF(ISNUMBER(F9978),E9978*F9978,"")</f>
        <v/>
      </c>
      <c r="H9978" s="46">
        <f>SUM(G9978:G9978)</f>
        <v>0</v>
      </c>
      <c r="I9978" s="47"/>
      <c r="J9978" s="37">
        <v>0</v>
      </c>
    </row>
    <row r="9979" spans="1:10" ht="15.75" hidden="1" thickBot="1" x14ac:dyDescent="0.3">
      <c r="A9979" s="180"/>
      <c r="B9979" s="178"/>
      <c r="C9979" s="49"/>
      <c r="D9979" s="49"/>
      <c r="E9979" s="50"/>
      <c r="F9979" s="83" t="s">
        <v>13</v>
      </c>
      <c r="G9979" s="83" t="str">
        <f>IF(ISNUMBER(F9979),E9979*F9979,"")</f>
        <v/>
      </c>
      <c r="H9979" s="84"/>
      <c r="I9979" s="72"/>
      <c r="J9979" s="37">
        <v>0</v>
      </c>
    </row>
    <row r="9980" spans="1:10" ht="15.75" hidden="1" thickBot="1" x14ac:dyDescent="0.3">
      <c r="A9980" s="173" t="s">
        <v>2390</v>
      </c>
      <c r="B9980" s="176" t="s">
        <v>2391</v>
      </c>
      <c r="C9980" s="31"/>
      <c r="D9980" s="32" t="s">
        <v>18</v>
      </c>
      <c r="E9980" s="33"/>
      <c r="F9980" s="60" t="s">
        <v>13</v>
      </c>
      <c r="G9980" s="34" t="str">
        <f>IF(ISNUMBER(F9980),E9980*F9980,"")</f>
        <v/>
      </c>
      <c r="H9980" s="35"/>
      <c r="I9980" s="36"/>
      <c r="J9980" s="37">
        <v>0</v>
      </c>
    </row>
    <row r="9981" spans="1:10" hidden="1" x14ac:dyDescent="0.25">
      <c r="A9981" s="179"/>
      <c r="B9981" s="177"/>
      <c r="C9981" s="39"/>
      <c r="D9981" s="39"/>
      <c r="E9981" s="40"/>
      <c r="F9981" s="70" t="s">
        <v>13</v>
      </c>
      <c r="G9981" s="70" t="str">
        <f>IF(ISNUMBER(F9981),E9981*F9981,"")</f>
        <v/>
      </c>
      <c r="H9981" s="71"/>
      <c r="I9981" s="72"/>
      <c r="J9981" s="37">
        <v>0</v>
      </c>
    </row>
    <row r="9982" spans="1:10" hidden="1" x14ac:dyDescent="0.25">
      <c r="A9982" s="179"/>
      <c r="B9982" s="177"/>
      <c r="C9982" s="43" t="s">
        <v>2391</v>
      </c>
      <c r="D9982" s="43" t="s">
        <v>83</v>
      </c>
      <c r="E9982" s="44">
        <v>1</v>
      </c>
      <c r="F9982" s="70" t="s">
        <v>13</v>
      </c>
      <c r="G9982" s="70" t="str">
        <f>IF(ISNUMBER(F9982),E9982*F9982,"")</f>
        <v/>
      </c>
      <c r="H9982" s="46">
        <f>SUM(G9982:G9982)</f>
        <v>0</v>
      </c>
      <c r="I9982" s="47"/>
      <c r="J9982" s="37">
        <v>0</v>
      </c>
    </row>
    <row r="9983" spans="1:10" ht="15.75" hidden="1" thickBot="1" x14ac:dyDescent="0.3">
      <c r="A9983" s="180"/>
      <c r="B9983" s="178"/>
      <c r="C9983" s="49"/>
      <c r="D9983" s="49"/>
      <c r="E9983" s="50"/>
      <c r="F9983" s="83" t="s">
        <v>13</v>
      </c>
      <c r="G9983" s="83" t="str">
        <f>IF(ISNUMBER(F9983),E9983*F9983,"")</f>
        <v/>
      </c>
      <c r="H9983" s="84"/>
      <c r="I9983" s="72"/>
      <c r="J9983" s="37">
        <v>0</v>
      </c>
    </row>
    <row r="9984" spans="1:10" ht="15.75" hidden="1" thickBot="1" x14ac:dyDescent="0.3">
      <c r="A9984" s="173" t="s">
        <v>2392</v>
      </c>
      <c r="B9984" s="176" t="s">
        <v>2393</v>
      </c>
      <c r="C9984" s="31"/>
      <c r="D9984" s="32" t="s">
        <v>18</v>
      </c>
      <c r="E9984" s="33"/>
      <c r="F9984" s="60" t="s">
        <v>13</v>
      </c>
      <c r="G9984" s="34" t="str">
        <f>IF(ISNUMBER(F9984),E9984*F9984,"")</f>
        <v/>
      </c>
      <c r="H9984" s="35"/>
      <c r="I9984" s="36"/>
      <c r="J9984" s="37">
        <v>0</v>
      </c>
    </row>
    <row r="9985" spans="1:10" hidden="1" x14ac:dyDescent="0.25">
      <c r="A9985" s="179"/>
      <c r="B9985" s="177"/>
      <c r="C9985" s="39"/>
      <c r="D9985" s="39"/>
      <c r="E9985" s="40"/>
      <c r="F9985" s="70" t="s">
        <v>13</v>
      </c>
      <c r="G9985" s="70" t="str">
        <f>IF(ISNUMBER(F9985),E9985*F9985,"")</f>
        <v/>
      </c>
      <c r="H9985" s="71"/>
      <c r="I9985" s="72"/>
      <c r="J9985" s="37">
        <v>0</v>
      </c>
    </row>
    <row r="9986" spans="1:10" hidden="1" x14ac:dyDescent="0.25">
      <c r="A9986" s="179"/>
      <c r="B9986" s="177"/>
      <c r="C9986" s="43" t="s">
        <v>2393</v>
      </c>
      <c r="D9986" s="43" t="s">
        <v>83</v>
      </c>
      <c r="E9986" s="44">
        <v>1</v>
      </c>
      <c r="F9986" s="70" t="s">
        <v>13</v>
      </c>
      <c r="G9986" s="70" t="str">
        <f>IF(ISNUMBER(F9986),E9986*F9986,"")</f>
        <v/>
      </c>
      <c r="H9986" s="46">
        <f>SUM(G9986:G9986)</f>
        <v>0</v>
      </c>
      <c r="I9986" s="47"/>
      <c r="J9986" s="37">
        <v>0</v>
      </c>
    </row>
    <row r="9987" spans="1:10" ht="15.75" hidden="1" thickBot="1" x14ac:dyDescent="0.3">
      <c r="A9987" s="180"/>
      <c r="B9987" s="178"/>
      <c r="C9987" s="49"/>
      <c r="D9987" s="49"/>
      <c r="E9987" s="50"/>
      <c r="F9987" s="83" t="s">
        <v>13</v>
      </c>
      <c r="G9987" s="83" t="str">
        <f>IF(ISNUMBER(F9987),E9987*F9987,"")</f>
        <v/>
      </c>
      <c r="H9987" s="84"/>
      <c r="I9987" s="72"/>
      <c r="J9987" s="37">
        <v>0</v>
      </c>
    </row>
    <row r="9988" spans="1:10" ht="15.75" hidden="1" thickBot="1" x14ac:dyDescent="0.3">
      <c r="A9988" s="173" t="s">
        <v>2394</v>
      </c>
      <c r="B9988" s="176" t="s">
        <v>9873</v>
      </c>
      <c r="C9988" s="31"/>
      <c r="D9988" s="32" t="s">
        <v>18</v>
      </c>
      <c r="E9988" s="33"/>
      <c r="F9988" s="60" t="s">
        <v>13</v>
      </c>
      <c r="G9988" s="34" t="str">
        <f>IF(ISNUMBER(F9988),E9988*F9988,"")</f>
        <v/>
      </c>
      <c r="H9988" s="35"/>
      <c r="I9988" s="36"/>
      <c r="J9988" s="37">
        <v>0</v>
      </c>
    </row>
    <row r="9989" spans="1:10" hidden="1" x14ac:dyDescent="0.25">
      <c r="A9989" s="179"/>
      <c r="B9989" s="177"/>
      <c r="C9989" s="39"/>
      <c r="D9989" s="39"/>
      <c r="E9989" s="40"/>
      <c r="F9989" s="70" t="s">
        <v>13</v>
      </c>
      <c r="G9989" s="70" t="str">
        <f>IF(ISNUMBER(F9989),E9989*F9989,"")</f>
        <v/>
      </c>
      <c r="H9989" s="71"/>
      <c r="I9989" s="72"/>
      <c r="J9989" s="37">
        <v>0</v>
      </c>
    </row>
    <row r="9990" spans="1:10" ht="25.5" hidden="1" x14ac:dyDescent="0.25">
      <c r="A9990" s="179"/>
      <c r="B9990" s="177"/>
      <c r="C9990" s="43" t="s">
        <v>11754</v>
      </c>
      <c r="D9990" s="43" t="s">
        <v>83</v>
      </c>
      <c r="E9990" s="44">
        <v>1</v>
      </c>
      <c r="F9990" s="70">
        <v>8.4834999999999994</v>
      </c>
      <c r="G9990" s="70">
        <f>IF(ISNUMBER(F9990),E9990*F9990,"")</f>
        <v>8.4834999999999994</v>
      </c>
      <c r="H9990" s="46">
        <f>SUM(G9990:G9990)</f>
        <v>8.4834999999999994</v>
      </c>
      <c r="I9990" s="47"/>
      <c r="J9990" s="37">
        <v>0</v>
      </c>
    </row>
    <row r="9991" spans="1:10" ht="15.75" hidden="1" thickBot="1" x14ac:dyDescent="0.3">
      <c r="A9991" s="180"/>
      <c r="B9991" s="178"/>
      <c r="C9991" s="49"/>
      <c r="D9991" s="49"/>
      <c r="E9991" s="50"/>
      <c r="F9991" s="83" t="s">
        <v>13</v>
      </c>
      <c r="G9991" s="83" t="str">
        <f>IF(ISNUMBER(F9991),E9991*F9991,"")</f>
        <v/>
      </c>
      <c r="H9991" s="84"/>
      <c r="I9991" s="72"/>
      <c r="J9991" s="37">
        <v>0</v>
      </c>
    </row>
    <row r="9992" spans="1:10" ht="15.75" hidden="1" thickBot="1" x14ac:dyDescent="0.3">
      <c r="A9992" s="173" t="s">
        <v>2395</v>
      </c>
      <c r="B9992" s="176" t="s">
        <v>9874</v>
      </c>
      <c r="C9992" s="31"/>
      <c r="D9992" s="32" t="s">
        <v>18</v>
      </c>
      <c r="E9992" s="33"/>
      <c r="F9992" s="60" t="s">
        <v>13</v>
      </c>
      <c r="G9992" s="34" t="str">
        <f>IF(ISNUMBER(F9992),E9992*F9992,"")</f>
        <v/>
      </c>
      <c r="H9992" s="35"/>
      <c r="I9992" s="36"/>
      <c r="J9992" s="37">
        <v>0</v>
      </c>
    </row>
    <row r="9993" spans="1:10" hidden="1" x14ac:dyDescent="0.25">
      <c r="A9993" s="179"/>
      <c r="B9993" s="177"/>
      <c r="C9993" s="39"/>
      <c r="D9993" s="39"/>
      <c r="E9993" s="40"/>
      <c r="F9993" s="70" t="s">
        <v>13</v>
      </c>
      <c r="G9993" s="70" t="str">
        <f>IF(ISNUMBER(F9993),E9993*F9993,"")</f>
        <v/>
      </c>
      <c r="H9993" s="71"/>
      <c r="I9993" s="72"/>
      <c r="J9993" s="37">
        <v>0</v>
      </c>
    </row>
    <row r="9994" spans="1:10" hidden="1" x14ac:dyDescent="0.25">
      <c r="A9994" s="179"/>
      <c r="B9994" s="177"/>
      <c r="C9994" s="43" t="s">
        <v>2396</v>
      </c>
      <c r="D9994" s="43" t="s">
        <v>18</v>
      </c>
      <c r="E9994" s="44">
        <v>1</v>
      </c>
      <c r="F9994" s="70" t="s">
        <v>13</v>
      </c>
      <c r="G9994" s="70" t="str">
        <f>IF(ISNUMBER(F9994),E9994*F9994,"")</f>
        <v/>
      </c>
      <c r="H9994" s="46">
        <f>SUM(G9994:G9994)</f>
        <v>0</v>
      </c>
      <c r="I9994" s="47"/>
      <c r="J9994" s="37">
        <v>0</v>
      </c>
    </row>
    <row r="9995" spans="1:10" ht="15.75" hidden="1" thickBot="1" x14ac:dyDescent="0.3">
      <c r="A9995" s="180"/>
      <c r="B9995" s="178"/>
      <c r="C9995" s="49"/>
      <c r="D9995" s="49"/>
      <c r="E9995" s="50"/>
      <c r="F9995" s="83" t="s">
        <v>13</v>
      </c>
      <c r="G9995" s="83" t="str">
        <f>IF(ISNUMBER(F9995),E9995*F9995,"")</f>
        <v/>
      </c>
      <c r="H9995" s="84"/>
      <c r="I9995" s="72"/>
      <c r="J9995" s="37">
        <v>0</v>
      </c>
    </row>
    <row r="9996" spans="1:10" ht="15.75" hidden="1" thickBot="1" x14ac:dyDescent="0.3">
      <c r="A9996" s="173" t="s">
        <v>2397</v>
      </c>
      <c r="B9996" s="176" t="s">
        <v>9875</v>
      </c>
      <c r="C9996" s="31"/>
      <c r="D9996" s="32" t="s">
        <v>18</v>
      </c>
      <c r="E9996" s="33"/>
      <c r="F9996" s="60" t="s">
        <v>13</v>
      </c>
      <c r="G9996" s="34" t="str">
        <f>IF(ISNUMBER(F9996),E9996*F9996,"")</f>
        <v/>
      </c>
      <c r="H9996" s="35"/>
      <c r="I9996" s="36"/>
      <c r="J9996" s="37">
        <v>0</v>
      </c>
    </row>
    <row r="9997" spans="1:10" hidden="1" x14ac:dyDescent="0.25">
      <c r="A9997" s="179"/>
      <c r="B9997" s="177"/>
      <c r="C9997" s="39"/>
      <c r="D9997" s="39"/>
      <c r="E9997" s="40"/>
      <c r="F9997" s="70" t="s">
        <v>13</v>
      </c>
      <c r="G9997" s="70" t="str">
        <f>IF(ISNUMBER(F9997),E9997*F9997,"")</f>
        <v/>
      </c>
      <c r="H9997" s="71"/>
      <c r="I9997" s="72"/>
      <c r="J9997" s="37">
        <v>0</v>
      </c>
    </row>
    <row r="9998" spans="1:10" hidden="1" x14ac:dyDescent="0.25">
      <c r="A9998" s="179"/>
      <c r="B9998" s="177"/>
      <c r="C9998" s="43" t="s">
        <v>2398</v>
      </c>
      <c r="D9998" s="43" t="s">
        <v>18</v>
      </c>
      <c r="E9998" s="44">
        <v>1</v>
      </c>
      <c r="F9998" s="70" t="s">
        <v>13</v>
      </c>
      <c r="G9998" s="70" t="str">
        <f>IF(ISNUMBER(F9998),E9998*F9998,"")</f>
        <v/>
      </c>
      <c r="H9998" s="46">
        <f>SUM(G9998:G9998)</f>
        <v>0</v>
      </c>
      <c r="I9998" s="47"/>
      <c r="J9998" s="37">
        <v>0</v>
      </c>
    </row>
    <row r="9999" spans="1:10" ht="15.75" hidden="1" thickBot="1" x14ac:dyDescent="0.3">
      <c r="A9999" s="180"/>
      <c r="B9999" s="178"/>
      <c r="C9999" s="49"/>
      <c r="D9999" s="49"/>
      <c r="E9999" s="50"/>
      <c r="F9999" s="83" t="s">
        <v>13</v>
      </c>
      <c r="G9999" s="83" t="str">
        <f>IF(ISNUMBER(F9999),E9999*F9999,"")</f>
        <v/>
      </c>
      <c r="H9999" s="84"/>
      <c r="I9999" s="72"/>
      <c r="J9999" s="37">
        <v>0</v>
      </c>
    </row>
    <row r="10000" spans="1:10" ht="15.75" hidden="1" thickBot="1" x14ac:dyDescent="0.3">
      <c r="A10000" s="173" t="s">
        <v>2399</v>
      </c>
      <c r="B10000" s="176" t="s">
        <v>9876</v>
      </c>
      <c r="C10000" s="31"/>
      <c r="D10000" s="32" t="s">
        <v>18</v>
      </c>
      <c r="E10000" s="33"/>
      <c r="F10000" s="60" t="s">
        <v>13</v>
      </c>
      <c r="G10000" s="34" t="str">
        <f>IF(ISNUMBER(F10000),E10000*F10000,"")</f>
        <v/>
      </c>
      <c r="H10000" s="35"/>
      <c r="I10000" s="36"/>
      <c r="J10000" s="37">
        <v>0</v>
      </c>
    </row>
    <row r="10001" spans="1:10" hidden="1" x14ac:dyDescent="0.25">
      <c r="A10001" s="179"/>
      <c r="B10001" s="177"/>
      <c r="C10001" s="39"/>
      <c r="D10001" s="39"/>
      <c r="E10001" s="40"/>
      <c r="F10001" s="70" t="s">
        <v>13</v>
      </c>
      <c r="G10001" s="70" t="str">
        <f>IF(ISNUMBER(F10001),E10001*F10001,"")</f>
        <v/>
      </c>
      <c r="H10001" s="71"/>
      <c r="I10001" s="72"/>
      <c r="J10001" s="37">
        <v>0</v>
      </c>
    </row>
    <row r="10002" spans="1:10" hidden="1" x14ac:dyDescent="0.25">
      <c r="A10002" s="179"/>
      <c r="B10002" s="177"/>
      <c r="C10002" s="43" t="s">
        <v>11755</v>
      </c>
      <c r="D10002" s="43" t="s">
        <v>1302</v>
      </c>
      <c r="E10002" s="44">
        <v>6</v>
      </c>
      <c r="F10002" s="70">
        <v>8.8635000000000002</v>
      </c>
      <c r="G10002" s="70">
        <f>IF(ISNUMBER(F10002),E10002*F10002,"")</f>
        <v>53.180999999999997</v>
      </c>
      <c r="H10002" s="46">
        <f>SUM(G10002:G10002)</f>
        <v>53.180999999999997</v>
      </c>
      <c r="I10002" s="47"/>
      <c r="J10002" s="37">
        <v>0</v>
      </c>
    </row>
    <row r="10003" spans="1:10" ht="15.75" hidden="1" thickBot="1" x14ac:dyDescent="0.3">
      <c r="A10003" s="180"/>
      <c r="B10003" s="178"/>
      <c r="C10003" s="49"/>
      <c r="D10003" s="49"/>
      <c r="E10003" s="50"/>
      <c r="F10003" s="83" t="s">
        <v>13</v>
      </c>
      <c r="G10003" s="83" t="str">
        <f>IF(ISNUMBER(F10003),E10003*F10003,"")</f>
        <v/>
      </c>
      <c r="H10003" s="84"/>
      <c r="I10003" s="72"/>
      <c r="J10003" s="37">
        <v>0</v>
      </c>
    </row>
    <row r="10004" spans="1:10" ht="15.75" hidden="1" thickBot="1" x14ac:dyDescent="0.3">
      <c r="A10004" s="173" t="s">
        <v>2400</v>
      </c>
      <c r="B10004" s="176" t="s">
        <v>9877</v>
      </c>
      <c r="C10004" s="31"/>
      <c r="D10004" s="32" t="s">
        <v>18</v>
      </c>
      <c r="E10004" s="33"/>
      <c r="F10004" s="60" t="s">
        <v>13</v>
      </c>
      <c r="G10004" s="34" t="str">
        <f>IF(ISNUMBER(F10004),E10004*F10004,"")</f>
        <v/>
      </c>
      <c r="H10004" s="35"/>
      <c r="I10004" s="36"/>
      <c r="J10004" s="37">
        <v>0</v>
      </c>
    </row>
    <row r="10005" spans="1:10" hidden="1" x14ac:dyDescent="0.25">
      <c r="A10005" s="179"/>
      <c r="B10005" s="177"/>
      <c r="C10005" s="39"/>
      <c r="D10005" s="39"/>
      <c r="E10005" s="40"/>
      <c r="F10005" s="70" t="s">
        <v>13</v>
      </c>
      <c r="G10005" s="70" t="str">
        <f>IF(ISNUMBER(F10005),E10005*F10005,"")</f>
        <v/>
      </c>
      <c r="H10005" s="71"/>
      <c r="I10005" s="72"/>
      <c r="J10005" s="37">
        <v>0</v>
      </c>
    </row>
    <row r="10006" spans="1:10" ht="25.5" hidden="1" x14ac:dyDescent="0.25">
      <c r="A10006" s="179"/>
      <c r="B10006" s="177"/>
      <c r="C10006" s="43" t="s">
        <v>11756</v>
      </c>
      <c r="D10006" s="43" t="s">
        <v>83</v>
      </c>
      <c r="E10006" s="44">
        <v>1</v>
      </c>
      <c r="F10006" s="70">
        <v>2.9259999999999997</v>
      </c>
      <c r="G10006" s="70">
        <f>IF(ISNUMBER(F10006),E10006*F10006,"")</f>
        <v>2.9259999999999997</v>
      </c>
      <c r="H10006" s="46">
        <f>SUM(G10006:G10006)</f>
        <v>2.9259999999999997</v>
      </c>
      <c r="I10006" s="47"/>
      <c r="J10006" s="37">
        <v>0</v>
      </c>
    </row>
    <row r="10007" spans="1:10" ht="15.75" hidden="1" thickBot="1" x14ac:dyDescent="0.3">
      <c r="A10007" s="180"/>
      <c r="B10007" s="178"/>
      <c r="C10007" s="49"/>
      <c r="D10007" s="49"/>
      <c r="E10007" s="50"/>
      <c r="F10007" s="83" t="s">
        <v>13</v>
      </c>
      <c r="G10007" s="83" t="str">
        <f>IF(ISNUMBER(F10007),E10007*F10007,"")</f>
        <v/>
      </c>
      <c r="H10007" s="84"/>
      <c r="I10007" s="72"/>
      <c r="J10007" s="37">
        <v>0</v>
      </c>
    </row>
    <row r="10008" spans="1:10" ht="15.75" hidden="1" thickBot="1" x14ac:dyDescent="0.3">
      <c r="A10008" s="173" t="s">
        <v>2401</v>
      </c>
      <c r="B10008" s="176" t="s">
        <v>9878</v>
      </c>
      <c r="C10008" s="31"/>
      <c r="D10008" s="32" t="s">
        <v>18</v>
      </c>
      <c r="E10008" s="33"/>
      <c r="F10008" s="60" t="s">
        <v>13</v>
      </c>
      <c r="G10008" s="34" t="str">
        <f>IF(ISNUMBER(F10008),E10008*F10008,"")</f>
        <v/>
      </c>
      <c r="H10008" s="35"/>
      <c r="I10008" s="36"/>
      <c r="J10008" s="37">
        <v>0</v>
      </c>
    </row>
    <row r="10009" spans="1:10" hidden="1" x14ac:dyDescent="0.25">
      <c r="A10009" s="179"/>
      <c r="B10009" s="177"/>
      <c r="C10009" s="39"/>
      <c r="D10009" s="39"/>
      <c r="E10009" s="40"/>
      <c r="F10009" s="70" t="s">
        <v>13</v>
      </c>
      <c r="G10009" s="70" t="str">
        <f>IF(ISNUMBER(F10009),E10009*F10009,"")</f>
        <v/>
      </c>
      <c r="H10009" s="71"/>
      <c r="I10009" s="72"/>
      <c r="J10009" s="37">
        <v>0</v>
      </c>
    </row>
    <row r="10010" spans="1:10" hidden="1" x14ac:dyDescent="0.25">
      <c r="A10010" s="179"/>
      <c r="B10010" s="177"/>
      <c r="C10010" s="43" t="s">
        <v>2402</v>
      </c>
      <c r="D10010" s="43" t="s">
        <v>18</v>
      </c>
      <c r="E10010" s="44">
        <v>1</v>
      </c>
      <c r="F10010" s="70" t="s">
        <v>13</v>
      </c>
      <c r="G10010" s="70" t="str">
        <f>IF(ISNUMBER(F10010),E10010*F10010,"")</f>
        <v/>
      </c>
      <c r="H10010" s="46">
        <f>SUM(G10010:G10010)</f>
        <v>0</v>
      </c>
      <c r="I10010" s="47"/>
      <c r="J10010" s="37">
        <v>0</v>
      </c>
    </row>
    <row r="10011" spans="1:10" ht="15.75" hidden="1" thickBot="1" x14ac:dyDescent="0.3">
      <c r="A10011" s="180"/>
      <c r="B10011" s="178"/>
      <c r="C10011" s="49"/>
      <c r="D10011" s="49"/>
      <c r="E10011" s="50"/>
      <c r="F10011" s="83" t="s">
        <v>13</v>
      </c>
      <c r="G10011" s="83" t="str">
        <f>IF(ISNUMBER(F10011),E10011*F10011,"")</f>
        <v/>
      </c>
      <c r="H10011" s="84"/>
      <c r="I10011" s="72"/>
      <c r="J10011" s="37">
        <v>0</v>
      </c>
    </row>
    <row r="10012" spans="1:10" ht="15.75" hidden="1" thickBot="1" x14ac:dyDescent="0.3">
      <c r="A10012" s="173" t="s">
        <v>2403</v>
      </c>
      <c r="B10012" s="176" t="s">
        <v>9879</v>
      </c>
      <c r="C10012" s="31"/>
      <c r="D10012" s="32" t="s">
        <v>18</v>
      </c>
      <c r="E10012" s="33"/>
      <c r="F10012" s="60" t="s">
        <v>13</v>
      </c>
      <c r="G10012" s="34" t="str">
        <f>IF(ISNUMBER(F10012),E10012*F10012,"")</f>
        <v/>
      </c>
      <c r="H10012" s="35"/>
      <c r="I10012" s="36"/>
      <c r="J10012" s="37">
        <v>0</v>
      </c>
    </row>
    <row r="10013" spans="1:10" hidden="1" x14ac:dyDescent="0.25">
      <c r="A10013" s="179"/>
      <c r="B10013" s="177"/>
      <c r="C10013" s="39"/>
      <c r="D10013" s="39"/>
      <c r="E10013" s="40"/>
      <c r="F10013" s="70" t="s">
        <v>13</v>
      </c>
      <c r="G10013" s="70" t="str">
        <f>IF(ISNUMBER(F10013),E10013*F10013,"")</f>
        <v/>
      </c>
      <c r="H10013" s="71"/>
      <c r="I10013" s="72"/>
      <c r="J10013" s="37">
        <v>0</v>
      </c>
    </row>
    <row r="10014" spans="1:10" hidden="1" x14ac:dyDescent="0.25">
      <c r="A10014" s="179"/>
      <c r="B10014" s="177"/>
      <c r="C10014" s="43" t="s">
        <v>2404</v>
      </c>
      <c r="D10014" s="43" t="s">
        <v>18</v>
      </c>
      <c r="E10014" s="44">
        <v>1</v>
      </c>
      <c r="F10014" s="70" t="s">
        <v>13</v>
      </c>
      <c r="G10014" s="70" t="str">
        <f>IF(ISNUMBER(F10014),E10014*F10014,"")</f>
        <v/>
      </c>
      <c r="H10014" s="46">
        <f t="shared" ref="H10014" si="0">SUM(G10014:G10014)</f>
        <v>0</v>
      </c>
      <c r="I10014" s="47"/>
      <c r="J10014" s="37">
        <v>0</v>
      </c>
    </row>
    <row r="10015" spans="1:10" ht="15.75" hidden="1" thickBot="1" x14ac:dyDescent="0.3">
      <c r="A10015" s="180"/>
      <c r="B10015" s="178"/>
      <c r="C10015" s="49"/>
      <c r="D10015" s="49"/>
      <c r="E10015" s="50"/>
      <c r="F10015" s="83" t="s">
        <v>13</v>
      </c>
      <c r="G10015" s="83" t="str">
        <f>IF(ISNUMBER(F10015),E10015*F10015,"")</f>
        <v/>
      </c>
      <c r="H10015" s="84"/>
      <c r="I10015" s="72"/>
      <c r="J10015" s="37">
        <v>0</v>
      </c>
    </row>
    <row r="10016" spans="1:10" ht="15.75" hidden="1" thickBot="1" x14ac:dyDescent="0.3">
      <c r="A10016" s="173" t="s">
        <v>2405</v>
      </c>
      <c r="B10016" s="176" t="s">
        <v>9880</v>
      </c>
      <c r="C10016" s="31"/>
      <c r="D10016" s="32" t="s">
        <v>18</v>
      </c>
      <c r="E10016" s="33"/>
      <c r="F10016" s="60" t="s">
        <v>13</v>
      </c>
      <c r="G10016" s="34" t="str">
        <f>IF(ISNUMBER(F10016),E10016*F10016,"")</f>
        <v/>
      </c>
      <c r="H10016" s="35"/>
      <c r="I10016" s="36"/>
      <c r="J10016" s="37">
        <v>0</v>
      </c>
    </row>
    <row r="10017" spans="1:10" hidden="1" x14ac:dyDescent="0.25">
      <c r="A10017" s="179"/>
      <c r="B10017" s="177"/>
      <c r="C10017" s="39"/>
      <c r="D10017" s="39"/>
      <c r="E10017" s="40"/>
      <c r="F10017" s="70" t="s">
        <v>13</v>
      </c>
      <c r="G10017" s="70" t="str">
        <f>IF(ISNUMBER(F10017),E10017*F10017,"")</f>
        <v/>
      </c>
      <c r="H10017" s="71"/>
      <c r="I10017" s="72"/>
      <c r="J10017" s="37">
        <v>0</v>
      </c>
    </row>
    <row r="10018" spans="1:10" hidden="1" x14ac:dyDescent="0.25">
      <c r="A10018" s="179"/>
      <c r="B10018" s="177"/>
      <c r="C10018" s="43" t="s">
        <v>2406</v>
      </c>
      <c r="D10018" s="43" t="s">
        <v>18</v>
      </c>
      <c r="E10018" s="44">
        <v>1</v>
      </c>
      <c r="F10018" s="70" t="s">
        <v>13</v>
      </c>
      <c r="G10018" s="70" t="str">
        <f>IF(ISNUMBER(F10018),E10018*F10018,"")</f>
        <v/>
      </c>
      <c r="H10018" s="46">
        <f t="shared" ref="H10018" si="1">SUM(G10018:G10018)</f>
        <v>0</v>
      </c>
      <c r="I10018" s="47"/>
      <c r="J10018" s="37">
        <v>0</v>
      </c>
    </row>
    <row r="10019" spans="1:10" ht="15.75" hidden="1" thickBot="1" x14ac:dyDescent="0.3">
      <c r="A10019" s="180"/>
      <c r="B10019" s="178"/>
      <c r="C10019" s="49"/>
      <c r="D10019" s="49"/>
      <c r="E10019" s="50"/>
      <c r="F10019" s="83" t="s">
        <v>13</v>
      </c>
      <c r="G10019" s="83" t="str">
        <f>IF(ISNUMBER(F10019),E10019*F10019,"")</f>
        <v/>
      </c>
      <c r="H10019" s="84"/>
      <c r="I10019" s="72"/>
      <c r="J10019" s="37">
        <v>0</v>
      </c>
    </row>
    <row r="10020" spans="1:10" ht="15.75" hidden="1" thickBot="1" x14ac:dyDescent="0.3">
      <c r="A10020" s="173" t="s">
        <v>2407</v>
      </c>
      <c r="B10020" s="176" t="s">
        <v>9881</v>
      </c>
      <c r="C10020" s="31"/>
      <c r="D10020" s="32" t="s">
        <v>18</v>
      </c>
      <c r="E10020" s="33"/>
      <c r="F10020" s="60" t="s">
        <v>13</v>
      </c>
      <c r="G10020" s="34" t="str">
        <f>IF(ISNUMBER(F10020),E10020*F10020,"")</f>
        <v/>
      </c>
      <c r="H10020" s="35"/>
      <c r="I10020" s="36"/>
      <c r="J10020" s="37">
        <v>0</v>
      </c>
    </row>
    <row r="10021" spans="1:10" hidden="1" x14ac:dyDescent="0.25">
      <c r="A10021" s="179"/>
      <c r="B10021" s="177"/>
      <c r="C10021" s="39"/>
      <c r="D10021" s="39"/>
      <c r="E10021" s="40"/>
      <c r="F10021" s="70" t="s">
        <v>13</v>
      </c>
      <c r="G10021" s="70" t="str">
        <f>IF(ISNUMBER(F10021),E10021*F10021,"")</f>
        <v/>
      </c>
      <c r="H10021" s="71"/>
      <c r="I10021" s="72"/>
      <c r="J10021" s="37">
        <v>0</v>
      </c>
    </row>
    <row r="10022" spans="1:10" hidden="1" x14ac:dyDescent="0.25">
      <c r="A10022" s="179"/>
      <c r="B10022" s="177"/>
      <c r="C10022" s="43" t="s">
        <v>2408</v>
      </c>
      <c r="D10022" s="43" t="s">
        <v>18</v>
      </c>
      <c r="E10022" s="44">
        <v>1</v>
      </c>
      <c r="F10022" s="70" t="s">
        <v>13</v>
      </c>
      <c r="G10022" s="70" t="str">
        <f>IF(ISNUMBER(F10022),E10022*F10022,"")</f>
        <v/>
      </c>
      <c r="H10022" s="46">
        <f t="shared" ref="H10022" si="2">SUM(G10022:G10022)</f>
        <v>0</v>
      </c>
      <c r="I10022" s="47"/>
      <c r="J10022" s="37">
        <v>0</v>
      </c>
    </row>
    <row r="10023" spans="1:10" ht="15.75" hidden="1" thickBot="1" x14ac:dyDescent="0.3">
      <c r="A10023" s="180"/>
      <c r="B10023" s="178"/>
      <c r="C10023" s="49"/>
      <c r="D10023" s="49"/>
      <c r="E10023" s="50"/>
      <c r="F10023" s="83" t="s">
        <v>13</v>
      </c>
      <c r="G10023" s="83" t="str">
        <f>IF(ISNUMBER(F10023),E10023*F10023,"")</f>
        <v/>
      </c>
      <c r="H10023" s="84"/>
      <c r="I10023" s="72"/>
      <c r="J10023" s="37">
        <v>0</v>
      </c>
    </row>
    <row r="10024" spans="1:10" ht="15.75" hidden="1" thickBot="1" x14ac:dyDescent="0.3">
      <c r="A10024" s="173" t="s">
        <v>2409</v>
      </c>
      <c r="B10024" s="176" t="s">
        <v>9882</v>
      </c>
      <c r="C10024" s="31"/>
      <c r="D10024" s="32" t="s">
        <v>18</v>
      </c>
      <c r="E10024" s="33"/>
      <c r="F10024" s="60" t="s">
        <v>13</v>
      </c>
      <c r="G10024" s="34" t="str">
        <f>IF(ISNUMBER(F10024),E10024*F10024,"")</f>
        <v/>
      </c>
      <c r="H10024" s="35"/>
      <c r="I10024" s="36"/>
      <c r="J10024" s="37">
        <v>0</v>
      </c>
    </row>
    <row r="10025" spans="1:10" hidden="1" x14ac:dyDescent="0.25">
      <c r="A10025" s="179"/>
      <c r="B10025" s="177"/>
      <c r="C10025" s="39"/>
      <c r="D10025" s="39"/>
      <c r="E10025" s="40"/>
      <c r="F10025" s="70" t="s">
        <v>13</v>
      </c>
      <c r="G10025" s="70" t="str">
        <f>IF(ISNUMBER(F10025),E10025*F10025,"")</f>
        <v/>
      </c>
      <c r="H10025" s="71"/>
      <c r="I10025" s="72"/>
      <c r="J10025" s="37">
        <v>0</v>
      </c>
    </row>
    <row r="10026" spans="1:10" hidden="1" x14ac:dyDescent="0.25">
      <c r="A10026" s="179"/>
      <c r="B10026" s="177"/>
      <c r="C10026" s="43" t="s">
        <v>2410</v>
      </c>
      <c r="D10026" s="43" t="s">
        <v>18</v>
      </c>
      <c r="E10026" s="44">
        <v>1</v>
      </c>
      <c r="F10026" s="70" t="s">
        <v>13</v>
      </c>
      <c r="G10026" s="70" t="str">
        <f>IF(ISNUMBER(F10026),E10026*F10026,"")</f>
        <v/>
      </c>
      <c r="H10026" s="46">
        <f t="shared" ref="H10026" si="3">SUM(G10026:G10026)</f>
        <v>0</v>
      </c>
      <c r="I10026" s="47"/>
      <c r="J10026" s="37">
        <v>0</v>
      </c>
    </row>
    <row r="10027" spans="1:10" ht="15.75" hidden="1" thickBot="1" x14ac:dyDescent="0.3">
      <c r="A10027" s="180"/>
      <c r="B10027" s="178"/>
      <c r="C10027" s="49"/>
      <c r="D10027" s="49"/>
      <c r="E10027" s="50"/>
      <c r="F10027" s="83" t="s">
        <v>13</v>
      </c>
      <c r="G10027" s="83" t="str">
        <f>IF(ISNUMBER(F10027),E10027*F10027,"")</f>
        <v/>
      </c>
      <c r="H10027" s="84"/>
      <c r="I10027" s="72"/>
      <c r="J10027" s="37">
        <v>0</v>
      </c>
    </row>
    <row r="10028" spans="1:10" ht="15.75" hidden="1" thickBot="1" x14ac:dyDescent="0.3">
      <c r="A10028" s="173" t="s">
        <v>2411</v>
      </c>
      <c r="B10028" s="176" t="s">
        <v>9883</v>
      </c>
      <c r="C10028" s="31"/>
      <c r="D10028" s="32" t="s">
        <v>18</v>
      </c>
      <c r="E10028" s="33"/>
      <c r="F10028" s="60" t="s">
        <v>13</v>
      </c>
      <c r="G10028" s="34" t="str">
        <f>IF(ISNUMBER(F10028),E10028*F10028,"")</f>
        <v/>
      </c>
      <c r="H10028" s="35"/>
      <c r="I10028" s="36"/>
      <c r="J10028" s="37">
        <v>0</v>
      </c>
    </row>
    <row r="10029" spans="1:10" hidden="1" x14ac:dyDescent="0.25">
      <c r="A10029" s="179"/>
      <c r="B10029" s="177"/>
      <c r="C10029" s="39"/>
      <c r="D10029" s="39"/>
      <c r="E10029" s="40"/>
      <c r="F10029" s="70" t="s">
        <v>13</v>
      </c>
      <c r="G10029" s="70" t="str">
        <f>IF(ISNUMBER(F10029),E10029*F10029,"")</f>
        <v/>
      </c>
      <c r="H10029" s="71"/>
      <c r="I10029" s="72"/>
      <c r="J10029" s="37">
        <v>0</v>
      </c>
    </row>
    <row r="10030" spans="1:10" hidden="1" x14ac:dyDescent="0.25">
      <c r="A10030" s="179"/>
      <c r="B10030" s="177"/>
      <c r="C10030" s="43" t="s">
        <v>2412</v>
      </c>
      <c r="D10030" s="43" t="s">
        <v>18</v>
      </c>
      <c r="E10030" s="44">
        <v>1</v>
      </c>
      <c r="F10030" s="70" t="s">
        <v>13</v>
      </c>
      <c r="G10030" s="70" t="str">
        <f>IF(ISNUMBER(F10030),E10030*F10030,"")</f>
        <v/>
      </c>
      <c r="H10030" s="46">
        <f t="shared" ref="H10030" si="4">SUM(G10030:G10030)</f>
        <v>0</v>
      </c>
      <c r="I10030" s="47"/>
      <c r="J10030" s="37">
        <v>0</v>
      </c>
    </row>
    <row r="10031" spans="1:10" ht="15.75" hidden="1" thickBot="1" x14ac:dyDescent="0.3">
      <c r="A10031" s="180"/>
      <c r="B10031" s="178"/>
      <c r="C10031" s="49"/>
      <c r="D10031" s="49"/>
      <c r="E10031" s="50"/>
      <c r="F10031" s="83" t="s">
        <v>13</v>
      </c>
      <c r="G10031" s="83" t="str">
        <f>IF(ISNUMBER(F10031),E10031*F10031,"")</f>
        <v/>
      </c>
      <c r="H10031" s="84"/>
      <c r="I10031" s="72"/>
      <c r="J10031" s="37">
        <v>0</v>
      </c>
    </row>
    <row r="10032" spans="1:10" ht="15.75" hidden="1" thickBot="1" x14ac:dyDescent="0.3">
      <c r="A10032" s="173" t="s">
        <v>2413</v>
      </c>
      <c r="B10032" s="176" t="s">
        <v>2414</v>
      </c>
      <c r="C10032" s="31"/>
      <c r="D10032" s="32" t="s">
        <v>18</v>
      </c>
      <c r="E10032" s="33"/>
      <c r="F10032" s="60" t="s">
        <v>13</v>
      </c>
      <c r="G10032" s="34" t="str">
        <f>IF(ISNUMBER(F10032),E10032*F10032,"")</f>
        <v/>
      </c>
      <c r="H10032" s="35"/>
      <c r="I10032" s="36"/>
      <c r="J10032" s="37">
        <v>0</v>
      </c>
    </row>
    <row r="10033" spans="1:10" hidden="1" x14ac:dyDescent="0.25">
      <c r="A10033" s="179"/>
      <c r="B10033" s="177"/>
      <c r="C10033" s="39"/>
      <c r="D10033" s="39"/>
      <c r="E10033" s="40"/>
      <c r="F10033" s="70" t="s">
        <v>13</v>
      </c>
      <c r="G10033" s="70" t="str">
        <f>IF(ISNUMBER(F10033),E10033*F10033,"")</f>
        <v/>
      </c>
      <c r="H10033" s="71"/>
      <c r="I10033" s="72"/>
      <c r="J10033" s="37">
        <v>0</v>
      </c>
    </row>
    <row r="10034" spans="1:10" hidden="1" x14ac:dyDescent="0.25">
      <c r="A10034" s="179"/>
      <c r="B10034" s="177"/>
      <c r="C10034" s="43" t="s">
        <v>2414</v>
      </c>
      <c r="D10034" s="43" t="s">
        <v>83</v>
      </c>
      <c r="E10034" s="44">
        <v>1</v>
      </c>
      <c r="F10034" s="70" t="s">
        <v>13</v>
      </c>
      <c r="G10034" s="70" t="str">
        <f>IF(ISNUMBER(F10034),E10034*F10034,"")</f>
        <v/>
      </c>
      <c r="H10034" s="46">
        <f>SUM(G10034:G10034)</f>
        <v>0</v>
      </c>
      <c r="I10034" s="47"/>
      <c r="J10034" s="37">
        <v>0</v>
      </c>
    </row>
    <row r="10035" spans="1:10" ht="15.75" hidden="1" thickBot="1" x14ac:dyDescent="0.3">
      <c r="A10035" s="180"/>
      <c r="B10035" s="178"/>
      <c r="C10035" s="49"/>
      <c r="D10035" s="49"/>
      <c r="E10035" s="50"/>
      <c r="F10035" s="83" t="s">
        <v>13</v>
      </c>
      <c r="G10035" s="83" t="str">
        <f>IF(ISNUMBER(F10035),E10035*F10035,"")</f>
        <v/>
      </c>
      <c r="H10035" s="84"/>
      <c r="I10035" s="72"/>
      <c r="J10035" s="37">
        <v>0</v>
      </c>
    </row>
    <row r="10036" spans="1:10" ht="15.75" hidden="1" thickBot="1" x14ac:dyDescent="0.3">
      <c r="A10036" s="173" t="s">
        <v>2415</v>
      </c>
      <c r="B10036" s="176" t="s">
        <v>9884</v>
      </c>
      <c r="C10036" s="31"/>
      <c r="D10036" s="32" t="s">
        <v>18</v>
      </c>
      <c r="E10036" s="33"/>
      <c r="F10036" s="60" t="s">
        <v>13</v>
      </c>
      <c r="G10036" s="34" t="str">
        <f>IF(ISNUMBER(F10036),E10036*F10036,"")</f>
        <v/>
      </c>
      <c r="H10036" s="35"/>
      <c r="I10036" s="36"/>
      <c r="J10036" s="37">
        <v>0</v>
      </c>
    </row>
    <row r="10037" spans="1:10" hidden="1" x14ac:dyDescent="0.25">
      <c r="A10037" s="179"/>
      <c r="B10037" s="177"/>
      <c r="C10037" s="39"/>
      <c r="D10037" s="39"/>
      <c r="E10037" s="40"/>
      <c r="F10037" s="70" t="s">
        <v>13</v>
      </c>
      <c r="G10037" s="70" t="str">
        <f>IF(ISNUMBER(F10037),E10037*F10037,"")</f>
        <v/>
      </c>
      <c r="H10037" s="71"/>
      <c r="I10037" s="72"/>
      <c r="J10037" s="37">
        <v>0</v>
      </c>
    </row>
    <row r="10038" spans="1:10" hidden="1" x14ac:dyDescent="0.25">
      <c r="A10038" s="179"/>
      <c r="B10038" s="177"/>
      <c r="C10038" s="43" t="s">
        <v>2416</v>
      </c>
      <c r="D10038" s="43" t="s">
        <v>18</v>
      </c>
      <c r="E10038" s="44">
        <v>1</v>
      </c>
      <c r="F10038" s="70" t="s">
        <v>13</v>
      </c>
      <c r="G10038" s="70" t="str">
        <f>IF(ISNUMBER(F10038),E10038*F10038,"")</f>
        <v/>
      </c>
      <c r="H10038" s="46">
        <f t="shared" ref="H10038" si="5">SUM(G10038:G10038)</f>
        <v>0</v>
      </c>
      <c r="I10038" s="47"/>
      <c r="J10038" s="37">
        <v>0</v>
      </c>
    </row>
    <row r="10039" spans="1:10" ht="15.75" hidden="1" thickBot="1" x14ac:dyDescent="0.3">
      <c r="A10039" s="180"/>
      <c r="B10039" s="178"/>
      <c r="C10039" s="49"/>
      <c r="D10039" s="49"/>
      <c r="E10039" s="50"/>
      <c r="F10039" s="83" t="s">
        <v>13</v>
      </c>
      <c r="G10039" s="83" t="str">
        <f>IF(ISNUMBER(F10039),E10039*F10039,"")</f>
        <v/>
      </c>
      <c r="H10039" s="84"/>
      <c r="I10039" s="72"/>
      <c r="J10039" s="37">
        <v>0</v>
      </c>
    </row>
    <row r="10040" spans="1:10" ht="15.75" hidden="1" thickBot="1" x14ac:dyDescent="0.3">
      <c r="A10040" s="173" t="s">
        <v>2417</v>
      </c>
      <c r="B10040" s="176" t="s">
        <v>9885</v>
      </c>
      <c r="C10040" s="31"/>
      <c r="D10040" s="32" t="s">
        <v>18</v>
      </c>
      <c r="E10040" s="33"/>
      <c r="F10040" s="60" t="s">
        <v>13</v>
      </c>
      <c r="G10040" s="34" t="str">
        <f>IF(ISNUMBER(F10040),E10040*F10040,"")</f>
        <v/>
      </c>
      <c r="H10040" s="35"/>
      <c r="I10040" s="36"/>
      <c r="J10040" s="37">
        <v>0</v>
      </c>
    </row>
    <row r="10041" spans="1:10" hidden="1" x14ac:dyDescent="0.25">
      <c r="A10041" s="179"/>
      <c r="B10041" s="177"/>
      <c r="C10041" s="39"/>
      <c r="D10041" s="39"/>
      <c r="E10041" s="40"/>
      <c r="F10041" s="70" t="s">
        <v>13</v>
      </c>
      <c r="G10041" s="70" t="str">
        <f>IF(ISNUMBER(F10041),E10041*F10041,"")</f>
        <v/>
      </c>
      <c r="H10041" s="71"/>
      <c r="I10041" s="72"/>
      <c r="J10041" s="37">
        <v>0</v>
      </c>
    </row>
    <row r="10042" spans="1:10" ht="25.5" hidden="1" x14ac:dyDescent="0.25">
      <c r="A10042" s="179"/>
      <c r="B10042" s="177"/>
      <c r="C10042" s="43" t="s">
        <v>11757</v>
      </c>
      <c r="D10042" s="43" t="s">
        <v>83</v>
      </c>
      <c r="E10042" s="44">
        <v>1</v>
      </c>
      <c r="F10042" s="70">
        <v>3.7524999999999999</v>
      </c>
      <c r="G10042" s="70">
        <f>IF(ISNUMBER(F10042),E10042*F10042,"")</f>
        <v>3.7524999999999999</v>
      </c>
      <c r="H10042" s="46">
        <f>SUM(G10042:G10042)</f>
        <v>3.7524999999999999</v>
      </c>
      <c r="I10042" s="47"/>
      <c r="J10042" s="37">
        <v>0</v>
      </c>
    </row>
    <row r="10043" spans="1:10" ht="15.75" hidden="1" thickBot="1" x14ac:dyDescent="0.3">
      <c r="A10043" s="180"/>
      <c r="B10043" s="178"/>
      <c r="C10043" s="49"/>
      <c r="D10043" s="49"/>
      <c r="E10043" s="50"/>
      <c r="F10043" s="83" t="s">
        <v>13</v>
      </c>
      <c r="G10043" s="83" t="str">
        <f>IF(ISNUMBER(F10043),E10043*F10043,"")</f>
        <v/>
      </c>
      <c r="H10043" s="84"/>
      <c r="I10043" s="72"/>
      <c r="J10043" s="37">
        <v>0</v>
      </c>
    </row>
    <row r="10044" spans="1:10" ht="15.75" hidden="1" thickBot="1" x14ac:dyDescent="0.3">
      <c r="A10044" s="173" t="s">
        <v>2418</v>
      </c>
      <c r="B10044" s="176" t="s">
        <v>9886</v>
      </c>
      <c r="C10044" s="31"/>
      <c r="D10044" s="32" t="s">
        <v>18</v>
      </c>
      <c r="E10044" s="33"/>
      <c r="F10044" s="60" t="s">
        <v>13</v>
      </c>
      <c r="G10044" s="34" t="str">
        <f>IF(ISNUMBER(F10044),E10044*F10044,"")</f>
        <v/>
      </c>
      <c r="H10044" s="35"/>
      <c r="I10044" s="36"/>
      <c r="J10044" s="37">
        <v>0</v>
      </c>
    </row>
    <row r="10045" spans="1:10" hidden="1" x14ac:dyDescent="0.25">
      <c r="A10045" s="179"/>
      <c r="B10045" s="177"/>
      <c r="C10045" s="39"/>
      <c r="D10045" s="39"/>
      <c r="E10045" s="40"/>
      <c r="F10045" s="70" t="s">
        <v>13</v>
      </c>
      <c r="G10045" s="70" t="str">
        <f>IF(ISNUMBER(F10045),E10045*F10045,"")</f>
        <v/>
      </c>
      <c r="H10045" s="71"/>
      <c r="I10045" s="72"/>
      <c r="J10045" s="37">
        <v>0</v>
      </c>
    </row>
    <row r="10046" spans="1:10" ht="25.5" hidden="1" x14ac:dyDescent="0.25">
      <c r="A10046" s="179"/>
      <c r="B10046" s="177"/>
      <c r="C10046" s="43" t="s">
        <v>11758</v>
      </c>
      <c r="D10046" s="43" t="s">
        <v>83</v>
      </c>
      <c r="E10046" s="44">
        <v>1</v>
      </c>
      <c r="F10046" s="70">
        <v>15.637</v>
      </c>
      <c r="G10046" s="70">
        <f>IF(ISNUMBER(F10046),E10046*F10046,"")</f>
        <v>15.637</v>
      </c>
      <c r="H10046" s="46">
        <f>SUM(G10046:G10046)</f>
        <v>15.637</v>
      </c>
      <c r="I10046" s="47"/>
      <c r="J10046" s="37">
        <v>0</v>
      </c>
    </row>
    <row r="10047" spans="1:10" ht="15.75" hidden="1" thickBot="1" x14ac:dyDescent="0.3">
      <c r="A10047" s="180"/>
      <c r="B10047" s="178"/>
      <c r="C10047" s="49"/>
      <c r="D10047" s="49"/>
      <c r="E10047" s="50"/>
      <c r="F10047" s="83" t="s">
        <v>13</v>
      </c>
      <c r="G10047" s="83" t="str">
        <f>IF(ISNUMBER(F10047),E10047*F10047,"")</f>
        <v/>
      </c>
      <c r="H10047" s="84"/>
      <c r="I10047" s="72"/>
      <c r="J10047" s="37">
        <v>0</v>
      </c>
    </row>
    <row r="10048" spans="1:10" ht="15.75" hidden="1" thickBot="1" x14ac:dyDescent="0.3">
      <c r="A10048" s="173" t="s">
        <v>2419</v>
      </c>
      <c r="B10048" s="176" t="s">
        <v>9887</v>
      </c>
      <c r="C10048" s="31"/>
      <c r="D10048" s="32" t="s">
        <v>18</v>
      </c>
      <c r="E10048" s="33"/>
      <c r="F10048" s="60" t="s">
        <v>13</v>
      </c>
      <c r="G10048" s="34" t="str">
        <f>IF(ISNUMBER(F10048),E10048*F10048,"")</f>
        <v/>
      </c>
      <c r="H10048" s="35"/>
      <c r="I10048" s="36"/>
      <c r="J10048" s="37">
        <v>0</v>
      </c>
    </row>
    <row r="10049" spans="1:10" hidden="1" x14ac:dyDescent="0.25">
      <c r="A10049" s="179"/>
      <c r="B10049" s="177"/>
      <c r="C10049" s="39"/>
      <c r="D10049" s="39"/>
      <c r="E10049" s="40"/>
      <c r="F10049" s="70" t="s">
        <v>13</v>
      </c>
      <c r="G10049" s="70" t="str">
        <f>IF(ISNUMBER(F10049),E10049*F10049,"")</f>
        <v/>
      </c>
      <c r="H10049" s="71"/>
      <c r="I10049" s="72"/>
      <c r="J10049" s="37">
        <v>0</v>
      </c>
    </row>
    <row r="10050" spans="1:10" hidden="1" x14ac:dyDescent="0.25">
      <c r="A10050" s="179"/>
      <c r="B10050" s="177"/>
      <c r="C10050" s="43" t="s">
        <v>2420</v>
      </c>
      <c r="D10050" s="43" t="s">
        <v>18</v>
      </c>
      <c r="E10050" s="44">
        <v>1</v>
      </c>
      <c r="F10050" s="70" t="s">
        <v>13</v>
      </c>
      <c r="G10050" s="70" t="str">
        <f>IF(ISNUMBER(F10050),E10050*F10050,"")</f>
        <v/>
      </c>
      <c r="H10050" s="46">
        <f t="shared" ref="H10050" si="6">SUM(G10050:G10050)</f>
        <v>0</v>
      </c>
      <c r="I10050" s="47"/>
      <c r="J10050" s="37">
        <v>0</v>
      </c>
    </row>
    <row r="10051" spans="1:10" ht="15.75" hidden="1" thickBot="1" x14ac:dyDescent="0.3">
      <c r="A10051" s="180"/>
      <c r="B10051" s="178"/>
      <c r="C10051" s="49"/>
      <c r="D10051" s="49"/>
      <c r="E10051" s="50"/>
      <c r="F10051" s="83" t="s">
        <v>13</v>
      </c>
      <c r="G10051" s="83" t="str">
        <f>IF(ISNUMBER(F10051),E10051*F10051,"")</f>
        <v/>
      </c>
      <c r="H10051" s="84"/>
      <c r="I10051" s="72"/>
      <c r="J10051" s="37">
        <v>0</v>
      </c>
    </row>
    <row r="10052" spans="1:10" ht="15.75" hidden="1" thickBot="1" x14ac:dyDescent="0.3">
      <c r="A10052" s="173" t="s">
        <v>2421</v>
      </c>
      <c r="B10052" s="176" t="s">
        <v>9888</v>
      </c>
      <c r="C10052" s="31"/>
      <c r="D10052" s="32" t="s">
        <v>18</v>
      </c>
      <c r="E10052" s="33"/>
      <c r="F10052" s="60" t="s">
        <v>13</v>
      </c>
      <c r="G10052" s="34" t="str">
        <f>IF(ISNUMBER(F10052),E10052*F10052,"")</f>
        <v/>
      </c>
      <c r="H10052" s="35"/>
      <c r="I10052" s="36"/>
      <c r="J10052" s="37">
        <v>0</v>
      </c>
    </row>
    <row r="10053" spans="1:10" hidden="1" x14ac:dyDescent="0.25">
      <c r="A10053" s="179"/>
      <c r="B10053" s="177"/>
      <c r="C10053" s="39"/>
      <c r="D10053" s="39"/>
      <c r="E10053" s="40"/>
      <c r="F10053" s="70" t="s">
        <v>13</v>
      </c>
      <c r="G10053" s="70" t="str">
        <f>IF(ISNUMBER(F10053),E10053*F10053,"")</f>
        <v/>
      </c>
      <c r="H10053" s="71"/>
      <c r="I10053" s="72"/>
      <c r="J10053" s="37">
        <v>0</v>
      </c>
    </row>
    <row r="10054" spans="1:10" hidden="1" x14ac:dyDescent="0.25">
      <c r="A10054" s="179"/>
      <c r="B10054" s="177"/>
      <c r="C10054" s="43" t="s">
        <v>2422</v>
      </c>
      <c r="D10054" s="43" t="s">
        <v>18</v>
      </c>
      <c r="E10054" s="44">
        <v>1</v>
      </c>
      <c r="F10054" s="70" t="s">
        <v>13</v>
      </c>
      <c r="G10054" s="70" t="str">
        <f>IF(ISNUMBER(F10054),E10054*F10054,"")</f>
        <v/>
      </c>
      <c r="H10054" s="46">
        <f t="shared" ref="H10054" si="7">SUM(G10054:G10054)</f>
        <v>0</v>
      </c>
      <c r="I10054" s="47"/>
      <c r="J10054" s="37">
        <v>0</v>
      </c>
    </row>
    <row r="10055" spans="1:10" ht="15.75" hidden="1" thickBot="1" x14ac:dyDescent="0.3">
      <c r="A10055" s="180"/>
      <c r="B10055" s="178"/>
      <c r="C10055" s="49"/>
      <c r="D10055" s="49"/>
      <c r="E10055" s="50"/>
      <c r="F10055" s="83" t="s">
        <v>13</v>
      </c>
      <c r="G10055" s="83" t="str">
        <f>IF(ISNUMBER(F10055),E10055*F10055,"")</f>
        <v/>
      </c>
      <c r="H10055" s="84"/>
      <c r="I10055" s="72"/>
      <c r="J10055" s="37">
        <v>0</v>
      </c>
    </row>
    <row r="10056" spans="1:10" ht="15.75" hidden="1" thickBot="1" x14ac:dyDescent="0.3">
      <c r="A10056" s="173" t="s">
        <v>2423</v>
      </c>
      <c r="B10056" s="176" t="s">
        <v>9889</v>
      </c>
      <c r="C10056" s="31"/>
      <c r="D10056" s="32" t="s">
        <v>18</v>
      </c>
      <c r="E10056" s="33"/>
      <c r="F10056" s="60" t="s">
        <v>13</v>
      </c>
      <c r="G10056" s="34" t="str">
        <f>IF(ISNUMBER(F10056),E10056*F10056,"")</f>
        <v/>
      </c>
      <c r="H10056" s="35"/>
      <c r="I10056" s="36"/>
      <c r="J10056" s="37">
        <v>0</v>
      </c>
    </row>
    <row r="10057" spans="1:10" hidden="1" x14ac:dyDescent="0.25">
      <c r="A10057" s="179"/>
      <c r="B10057" s="177"/>
      <c r="C10057" s="39"/>
      <c r="D10057" s="39"/>
      <c r="E10057" s="40"/>
      <c r="F10057" s="70" t="s">
        <v>13</v>
      </c>
      <c r="G10057" s="70" t="str">
        <f>IF(ISNUMBER(F10057),E10057*F10057,"")</f>
        <v/>
      </c>
      <c r="H10057" s="71"/>
      <c r="I10057" s="72"/>
      <c r="J10057" s="37">
        <v>0</v>
      </c>
    </row>
    <row r="10058" spans="1:10" ht="25.5" hidden="1" x14ac:dyDescent="0.25">
      <c r="A10058" s="179"/>
      <c r="B10058" s="177"/>
      <c r="C10058" s="43" t="s">
        <v>11759</v>
      </c>
      <c r="D10058" s="43" t="s">
        <v>83</v>
      </c>
      <c r="E10058" s="44">
        <v>1</v>
      </c>
      <c r="F10058" s="70">
        <v>4.2655000000000003</v>
      </c>
      <c r="G10058" s="70">
        <f>IF(ISNUMBER(F10058),E10058*F10058,"")</f>
        <v>4.2655000000000003</v>
      </c>
      <c r="H10058" s="46">
        <f>SUM(G10058:G10058)</f>
        <v>4.2655000000000003</v>
      </c>
      <c r="I10058" s="47"/>
      <c r="J10058" s="37">
        <v>0</v>
      </c>
    </row>
    <row r="10059" spans="1:10" ht="15.75" hidden="1" thickBot="1" x14ac:dyDescent="0.3">
      <c r="A10059" s="180"/>
      <c r="B10059" s="178"/>
      <c r="C10059" s="49"/>
      <c r="D10059" s="49"/>
      <c r="E10059" s="50"/>
      <c r="F10059" s="83" t="s">
        <v>13</v>
      </c>
      <c r="G10059" s="83" t="str">
        <f>IF(ISNUMBER(F10059),E10059*F10059,"")</f>
        <v/>
      </c>
      <c r="H10059" s="84"/>
      <c r="I10059" s="72"/>
      <c r="J10059" s="37">
        <v>0</v>
      </c>
    </row>
    <row r="10060" spans="1:10" ht="15.75" hidden="1" thickBot="1" x14ac:dyDescent="0.3">
      <c r="A10060" s="173" t="s">
        <v>2424</v>
      </c>
      <c r="B10060" s="176" t="s">
        <v>9890</v>
      </c>
      <c r="C10060" s="31"/>
      <c r="D10060" s="32" t="s">
        <v>18</v>
      </c>
      <c r="E10060" s="33"/>
      <c r="F10060" s="60" t="s">
        <v>13</v>
      </c>
      <c r="G10060" s="34" t="str">
        <f>IF(ISNUMBER(F10060),E10060*F10060,"")</f>
        <v/>
      </c>
      <c r="H10060" s="35"/>
      <c r="I10060" s="36"/>
      <c r="J10060" s="37">
        <v>0</v>
      </c>
    </row>
    <row r="10061" spans="1:10" hidden="1" x14ac:dyDescent="0.25">
      <c r="A10061" s="179"/>
      <c r="B10061" s="177"/>
      <c r="C10061" s="39"/>
      <c r="D10061" s="39"/>
      <c r="E10061" s="40"/>
      <c r="F10061" s="70" t="s">
        <v>13</v>
      </c>
      <c r="G10061" s="70" t="str">
        <f>IF(ISNUMBER(F10061),E10061*F10061,"")</f>
        <v/>
      </c>
      <c r="H10061" s="71"/>
      <c r="I10061" s="72"/>
      <c r="J10061" s="37">
        <v>0</v>
      </c>
    </row>
    <row r="10062" spans="1:10" hidden="1" x14ac:dyDescent="0.25">
      <c r="A10062" s="179"/>
      <c r="B10062" s="177"/>
      <c r="C10062" s="43" t="s">
        <v>11760</v>
      </c>
      <c r="D10062" s="43" t="s">
        <v>83</v>
      </c>
      <c r="E10062" s="44">
        <v>1</v>
      </c>
      <c r="F10062" s="70">
        <v>1.71</v>
      </c>
      <c r="G10062" s="70">
        <f>IF(ISNUMBER(F10062),E10062*F10062,"")</f>
        <v>1.71</v>
      </c>
      <c r="H10062" s="46">
        <f>SUM(G10062:G10062)</f>
        <v>1.71</v>
      </c>
      <c r="I10062" s="47"/>
      <c r="J10062" s="37">
        <v>0</v>
      </c>
    </row>
    <row r="10063" spans="1:10" ht="15.75" hidden="1" thickBot="1" x14ac:dyDescent="0.3">
      <c r="A10063" s="180"/>
      <c r="B10063" s="178"/>
      <c r="C10063" s="49"/>
      <c r="D10063" s="49"/>
      <c r="E10063" s="50"/>
      <c r="F10063" s="83" t="s">
        <v>13</v>
      </c>
      <c r="G10063" s="83" t="str">
        <f>IF(ISNUMBER(F10063),E10063*F10063,"")</f>
        <v/>
      </c>
      <c r="H10063" s="84"/>
      <c r="I10063" s="72"/>
      <c r="J10063" s="37">
        <v>0</v>
      </c>
    </row>
    <row r="10064" spans="1:10" ht="15.75" hidden="1" thickBot="1" x14ac:dyDescent="0.3">
      <c r="A10064" s="173" t="s">
        <v>2425</v>
      </c>
      <c r="B10064" s="176" t="s">
        <v>9891</v>
      </c>
      <c r="C10064" s="31"/>
      <c r="D10064" s="32" t="s">
        <v>18</v>
      </c>
      <c r="E10064" s="33"/>
      <c r="F10064" s="60" t="s">
        <v>13</v>
      </c>
      <c r="G10064" s="34" t="str">
        <f>IF(ISNUMBER(F10064),E10064*F10064,"")</f>
        <v/>
      </c>
      <c r="H10064" s="35"/>
      <c r="I10064" s="36"/>
      <c r="J10064" s="37">
        <v>0</v>
      </c>
    </row>
    <row r="10065" spans="1:10" hidden="1" x14ac:dyDescent="0.25">
      <c r="A10065" s="179"/>
      <c r="B10065" s="177"/>
      <c r="C10065" s="39"/>
      <c r="D10065" s="39"/>
      <c r="E10065" s="40"/>
      <c r="F10065" s="70" t="s">
        <v>13</v>
      </c>
      <c r="G10065" s="70" t="str">
        <f>IF(ISNUMBER(F10065),E10065*F10065,"")</f>
        <v/>
      </c>
      <c r="H10065" s="71"/>
      <c r="I10065" s="72"/>
      <c r="J10065" s="37">
        <v>0</v>
      </c>
    </row>
    <row r="10066" spans="1:10" hidden="1" x14ac:dyDescent="0.25">
      <c r="A10066" s="179"/>
      <c r="B10066" s="177"/>
      <c r="C10066" s="43" t="s">
        <v>11761</v>
      </c>
      <c r="D10066" s="43" t="s">
        <v>83</v>
      </c>
      <c r="E10066" s="44">
        <v>1</v>
      </c>
      <c r="F10066" s="70">
        <v>2.698</v>
      </c>
      <c r="G10066" s="70">
        <f>IF(ISNUMBER(F10066),E10066*F10066,"")</f>
        <v>2.698</v>
      </c>
      <c r="H10066" s="46">
        <f>SUM(G10066:G10066)</f>
        <v>2.698</v>
      </c>
      <c r="I10066" s="47"/>
      <c r="J10066" s="37">
        <v>0</v>
      </c>
    </row>
    <row r="10067" spans="1:10" ht="15.75" hidden="1" thickBot="1" x14ac:dyDescent="0.3">
      <c r="A10067" s="180"/>
      <c r="B10067" s="178"/>
      <c r="C10067" s="49"/>
      <c r="D10067" s="49"/>
      <c r="E10067" s="50"/>
      <c r="F10067" s="83" t="s">
        <v>13</v>
      </c>
      <c r="G10067" s="83" t="str">
        <f>IF(ISNUMBER(F10067),E10067*F10067,"")</f>
        <v/>
      </c>
      <c r="H10067" s="84"/>
      <c r="I10067" s="72"/>
      <c r="J10067" s="37">
        <v>0</v>
      </c>
    </row>
    <row r="10068" spans="1:10" ht="15.75" hidden="1" thickBot="1" x14ac:dyDescent="0.3">
      <c r="A10068" s="173" t="s">
        <v>2426</v>
      </c>
      <c r="B10068" s="176" t="s">
        <v>9892</v>
      </c>
      <c r="C10068" s="31"/>
      <c r="D10068" s="32" t="s">
        <v>18</v>
      </c>
      <c r="E10068" s="33"/>
      <c r="F10068" s="60" t="s">
        <v>13</v>
      </c>
      <c r="G10068" s="34" t="str">
        <f>IF(ISNUMBER(F10068),E10068*F10068,"")</f>
        <v/>
      </c>
      <c r="H10068" s="35"/>
      <c r="I10068" s="36"/>
      <c r="J10068" s="37">
        <v>0</v>
      </c>
    </row>
    <row r="10069" spans="1:10" hidden="1" x14ac:dyDescent="0.25">
      <c r="A10069" s="179"/>
      <c r="B10069" s="177"/>
      <c r="C10069" s="39"/>
      <c r="D10069" s="39"/>
      <c r="E10069" s="40"/>
      <c r="F10069" s="70" t="s">
        <v>13</v>
      </c>
      <c r="G10069" s="70" t="str">
        <f>IF(ISNUMBER(F10069),E10069*F10069,"")</f>
        <v/>
      </c>
      <c r="H10069" s="71"/>
      <c r="I10069" s="72"/>
      <c r="J10069" s="37">
        <v>0</v>
      </c>
    </row>
    <row r="10070" spans="1:10" hidden="1" x14ac:dyDescent="0.25">
      <c r="A10070" s="179"/>
      <c r="B10070" s="177"/>
      <c r="C10070" s="43" t="s">
        <v>2427</v>
      </c>
      <c r="D10070" s="43" t="s">
        <v>18</v>
      </c>
      <c r="E10070" s="44">
        <v>1</v>
      </c>
      <c r="F10070" s="70" t="s">
        <v>13</v>
      </c>
      <c r="G10070" s="70" t="str">
        <f>IF(ISNUMBER(F10070),E10070*F10070,"")</f>
        <v/>
      </c>
      <c r="H10070" s="46">
        <f>SUM(G10070:G10070)</f>
        <v>0</v>
      </c>
      <c r="I10070" s="47"/>
      <c r="J10070" s="37">
        <v>0</v>
      </c>
    </row>
    <row r="10071" spans="1:10" ht="15.75" hidden="1" thickBot="1" x14ac:dyDescent="0.3">
      <c r="A10071" s="180"/>
      <c r="B10071" s="178"/>
      <c r="C10071" s="49"/>
      <c r="D10071" s="49"/>
      <c r="E10071" s="50"/>
      <c r="F10071" s="83" t="s">
        <v>13</v>
      </c>
      <c r="G10071" s="83" t="str">
        <f>IF(ISNUMBER(F10071),E10071*F10071,"")</f>
        <v/>
      </c>
      <c r="H10071" s="84"/>
      <c r="I10071" s="72"/>
      <c r="J10071" s="37">
        <v>0</v>
      </c>
    </row>
    <row r="10072" spans="1:10" ht="15.75" hidden="1" thickBot="1" x14ac:dyDescent="0.3">
      <c r="A10072" s="173" t="s">
        <v>2428</v>
      </c>
      <c r="B10072" s="176" t="s">
        <v>9893</v>
      </c>
      <c r="C10072" s="31"/>
      <c r="D10072" s="32" t="s">
        <v>18</v>
      </c>
      <c r="E10072" s="33"/>
      <c r="F10072" s="60" t="s">
        <v>13</v>
      </c>
      <c r="G10072" s="34" t="str">
        <f>IF(ISNUMBER(F10072),E10072*F10072,"")</f>
        <v/>
      </c>
      <c r="H10072" s="35"/>
      <c r="I10072" s="36"/>
      <c r="J10072" s="37">
        <v>0</v>
      </c>
    </row>
    <row r="10073" spans="1:10" hidden="1" x14ac:dyDescent="0.25">
      <c r="A10073" s="179"/>
      <c r="B10073" s="177"/>
      <c r="C10073" s="39"/>
      <c r="D10073" s="39"/>
      <c r="E10073" s="40"/>
      <c r="F10073" s="70" t="s">
        <v>13</v>
      </c>
      <c r="G10073" s="70" t="str">
        <f>IF(ISNUMBER(F10073),E10073*F10073,"")</f>
        <v/>
      </c>
      <c r="H10073" s="71"/>
      <c r="I10073" s="72"/>
      <c r="J10073" s="37">
        <v>0</v>
      </c>
    </row>
    <row r="10074" spans="1:10" hidden="1" x14ac:dyDescent="0.25">
      <c r="A10074" s="179"/>
      <c r="B10074" s="177"/>
      <c r="C10074" s="43" t="s">
        <v>2429</v>
      </c>
      <c r="D10074" s="43" t="s">
        <v>18</v>
      </c>
      <c r="E10074" s="44">
        <v>1</v>
      </c>
      <c r="F10074" s="70" t="s">
        <v>13</v>
      </c>
      <c r="G10074" s="70" t="str">
        <f>IF(ISNUMBER(F10074),E10074*F10074,"")</f>
        <v/>
      </c>
      <c r="H10074" s="46">
        <f t="shared" ref="H10074" si="8">SUM(G10074:G10074)</f>
        <v>0</v>
      </c>
      <c r="I10074" s="47"/>
      <c r="J10074" s="37">
        <v>0</v>
      </c>
    </row>
    <row r="10075" spans="1:10" ht="15.75" hidden="1" thickBot="1" x14ac:dyDescent="0.3">
      <c r="A10075" s="180"/>
      <c r="B10075" s="178"/>
      <c r="C10075" s="49"/>
      <c r="D10075" s="49"/>
      <c r="E10075" s="50"/>
      <c r="F10075" s="83" t="s">
        <v>13</v>
      </c>
      <c r="G10075" s="83" t="str">
        <f>IF(ISNUMBER(F10075),E10075*F10075,"")</f>
        <v/>
      </c>
      <c r="H10075" s="84"/>
      <c r="I10075" s="72"/>
      <c r="J10075" s="37">
        <v>0</v>
      </c>
    </row>
    <row r="10076" spans="1:10" ht="15.75" hidden="1" thickBot="1" x14ac:dyDescent="0.3">
      <c r="A10076" s="173" t="s">
        <v>2430</v>
      </c>
      <c r="B10076" s="176" t="s">
        <v>9894</v>
      </c>
      <c r="C10076" s="31"/>
      <c r="D10076" s="32" t="s">
        <v>18</v>
      </c>
      <c r="E10076" s="33"/>
      <c r="F10076" s="60" t="s">
        <v>13</v>
      </c>
      <c r="G10076" s="34" t="str">
        <f>IF(ISNUMBER(F10076),E10076*F10076,"")</f>
        <v/>
      </c>
      <c r="H10076" s="35"/>
      <c r="I10076" s="36"/>
      <c r="J10076" s="37">
        <v>0</v>
      </c>
    </row>
    <row r="10077" spans="1:10" hidden="1" x14ac:dyDescent="0.25">
      <c r="A10077" s="179"/>
      <c r="B10077" s="177"/>
      <c r="C10077" s="39"/>
      <c r="D10077" s="39"/>
      <c r="E10077" s="40"/>
      <c r="F10077" s="70" t="s">
        <v>13</v>
      </c>
      <c r="G10077" s="70" t="str">
        <f>IF(ISNUMBER(F10077),E10077*F10077,"")</f>
        <v/>
      </c>
      <c r="H10077" s="71"/>
      <c r="I10077" s="72"/>
      <c r="J10077" s="37">
        <v>0</v>
      </c>
    </row>
    <row r="10078" spans="1:10" hidden="1" x14ac:dyDescent="0.25">
      <c r="A10078" s="179"/>
      <c r="B10078" s="177"/>
      <c r="C10078" s="43" t="s">
        <v>2431</v>
      </c>
      <c r="D10078" s="43" t="s">
        <v>18</v>
      </c>
      <c r="E10078" s="44">
        <v>1</v>
      </c>
      <c r="F10078" s="70" t="s">
        <v>13</v>
      </c>
      <c r="G10078" s="70" t="str">
        <f>IF(ISNUMBER(F10078),E10078*F10078,"")</f>
        <v/>
      </c>
      <c r="H10078" s="46">
        <f t="shared" ref="H10078" si="9">SUM(G10078:G10078)</f>
        <v>0</v>
      </c>
      <c r="I10078" s="47"/>
      <c r="J10078" s="37">
        <v>0</v>
      </c>
    </row>
    <row r="10079" spans="1:10" ht="15.75" hidden="1" thickBot="1" x14ac:dyDescent="0.3">
      <c r="A10079" s="180"/>
      <c r="B10079" s="178"/>
      <c r="C10079" s="49"/>
      <c r="D10079" s="49"/>
      <c r="E10079" s="50"/>
      <c r="F10079" s="83" t="s">
        <v>13</v>
      </c>
      <c r="G10079" s="83" t="str">
        <f>IF(ISNUMBER(F10079),E10079*F10079,"")</f>
        <v/>
      </c>
      <c r="H10079" s="84"/>
      <c r="I10079" s="72"/>
      <c r="J10079" s="37">
        <v>0</v>
      </c>
    </row>
    <row r="10080" spans="1:10" ht="15.75" hidden="1" thickBot="1" x14ac:dyDescent="0.3">
      <c r="A10080" s="173" t="s">
        <v>2432</v>
      </c>
      <c r="B10080" s="176" t="s">
        <v>9895</v>
      </c>
      <c r="C10080" s="31"/>
      <c r="D10080" s="32" t="s">
        <v>18</v>
      </c>
      <c r="E10080" s="33"/>
      <c r="F10080" s="60" t="s">
        <v>13</v>
      </c>
      <c r="G10080" s="34" t="str">
        <f>IF(ISNUMBER(F10080),E10080*F10080,"")</f>
        <v/>
      </c>
      <c r="H10080" s="35"/>
      <c r="I10080" s="36"/>
      <c r="J10080" s="37">
        <v>0</v>
      </c>
    </row>
    <row r="10081" spans="1:10" hidden="1" x14ac:dyDescent="0.25">
      <c r="A10081" s="179"/>
      <c r="B10081" s="177"/>
      <c r="C10081" s="39"/>
      <c r="D10081" s="39"/>
      <c r="E10081" s="40"/>
      <c r="F10081" s="70" t="s">
        <v>13</v>
      </c>
      <c r="G10081" s="70" t="str">
        <f>IF(ISNUMBER(F10081),E10081*F10081,"")</f>
        <v/>
      </c>
      <c r="H10081" s="71"/>
      <c r="I10081" s="72"/>
      <c r="J10081" s="37">
        <v>0</v>
      </c>
    </row>
    <row r="10082" spans="1:10" hidden="1" x14ac:dyDescent="0.25">
      <c r="A10082" s="179"/>
      <c r="B10082" s="177"/>
      <c r="C10082" s="43" t="s">
        <v>2433</v>
      </c>
      <c r="D10082" s="43" t="s">
        <v>18</v>
      </c>
      <c r="E10082" s="44">
        <v>1</v>
      </c>
      <c r="F10082" s="70" t="s">
        <v>13</v>
      </c>
      <c r="G10082" s="70" t="str">
        <f>IF(ISNUMBER(F10082),E10082*F10082,"")</f>
        <v/>
      </c>
      <c r="H10082" s="46">
        <f t="shared" ref="H10082" si="10">SUM(G10082:G10082)</f>
        <v>0</v>
      </c>
      <c r="I10082" s="47"/>
      <c r="J10082" s="37">
        <v>0</v>
      </c>
    </row>
    <row r="10083" spans="1:10" ht="15.75" hidden="1" thickBot="1" x14ac:dyDescent="0.3">
      <c r="A10083" s="180"/>
      <c r="B10083" s="178"/>
      <c r="C10083" s="49"/>
      <c r="D10083" s="49"/>
      <c r="E10083" s="50"/>
      <c r="F10083" s="83" t="s">
        <v>13</v>
      </c>
      <c r="G10083" s="83" t="str">
        <f>IF(ISNUMBER(F10083),E10083*F10083,"")</f>
        <v/>
      </c>
      <c r="H10083" s="84"/>
      <c r="I10083" s="72"/>
      <c r="J10083" s="37">
        <v>0</v>
      </c>
    </row>
    <row r="10084" spans="1:10" ht="15.75" hidden="1" thickBot="1" x14ac:dyDescent="0.3">
      <c r="A10084" s="173" t="s">
        <v>2434</v>
      </c>
      <c r="B10084" s="176" t="s">
        <v>9896</v>
      </c>
      <c r="C10084" s="31"/>
      <c r="D10084" s="32" t="s">
        <v>18</v>
      </c>
      <c r="E10084" s="33"/>
      <c r="F10084" s="60" t="s">
        <v>13</v>
      </c>
      <c r="G10084" s="34" t="str">
        <f>IF(ISNUMBER(F10084),E10084*F10084,"")</f>
        <v/>
      </c>
      <c r="H10084" s="35"/>
      <c r="I10084" s="36"/>
      <c r="J10084" s="37">
        <v>0</v>
      </c>
    </row>
    <row r="10085" spans="1:10" hidden="1" x14ac:dyDescent="0.25">
      <c r="A10085" s="179"/>
      <c r="B10085" s="177"/>
      <c r="C10085" s="39"/>
      <c r="D10085" s="39"/>
      <c r="E10085" s="40"/>
      <c r="F10085" s="70" t="s">
        <v>13</v>
      </c>
      <c r="G10085" s="70" t="str">
        <f>IF(ISNUMBER(F10085),E10085*F10085,"")</f>
        <v/>
      </c>
      <c r="H10085" s="71"/>
      <c r="I10085" s="72"/>
      <c r="J10085" s="37">
        <v>0</v>
      </c>
    </row>
    <row r="10086" spans="1:10" hidden="1" x14ac:dyDescent="0.25">
      <c r="A10086" s="179"/>
      <c r="B10086" s="177"/>
      <c r="C10086" s="43" t="s">
        <v>2435</v>
      </c>
      <c r="D10086" s="43" t="s">
        <v>18</v>
      </c>
      <c r="E10086" s="44">
        <v>1</v>
      </c>
      <c r="F10086" s="70" t="s">
        <v>13</v>
      </c>
      <c r="G10086" s="70" t="str">
        <f>IF(ISNUMBER(F10086),E10086*F10086,"")</f>
        <v/>
      </c>
      <c r="H10086" s="46">
        <f t="shared" ref="H10086" si="11">SUM(G10086:G10086)</f>
        <v>0</v>
      </c>
      <c r="I10086" s="47"/>
      <c r="J10086" s="37">
        <v>0</v>
      </c>
    </row>
    <row r="10087" spans="1:10" ht="15.75" hidden="1" thickBot="1" x14ac:dyDescent="0.3">
      <c r="A10087" s="180"/>
      <c r="B10087" s="178"/>
      <c r="C10087" s="49"/>
      <c r="D10087" s="49"/>
      <c r="E10087" s="50"/>
      <c r="F10087" s="83" t="s">
        <v>13</v>
      </c>
      <c r="G10087" s="83" t="str">
        <f>IF(ISNUMBER(F10087),E10087*F10087,"")</f>
        <v/>
      </c>
      <c r="H10087" s="84"/>
      <c r="I10087" s="72"/>
      <c r="J10087" s="37">
        <v>0</v>
      </c>
    </row>
    <row r="10088" spans="1:10" ht="15.75" hidden="1" thickBot="1" x14ac:dyDescent="0.3">
      <c r="A10088" s="173" t="s">
        <v>2436</v>
      </c>
      <c r="B10088" s="176" t="s">
        <v>9897</v>
      </c>
      <c r="C10088" s="31"/>
      <c r="D10088" s="32" t="s">
        <v>18</v>
      </c>
      <c r="E10088" s="33"/>
      <c r="F10088" s="60" t="s">
        <v>13</v>
      </c>
      <c r="G10088" s="34" t="str">
        <f>IF(ISNUMBER(F10088),E10088*F10088,"")</f>
        <v/>
      </c>
      <c r="H10088" s="35"/>
      <c r="I10088" s="36"/>
      <c r="J10088" s="37">
        <v>0</v>
      </c>
    </row>
    <row r="10089" spans="1:10" hidden="1" x14ac:dyDescent="0.25">
      <c r="A10089" s="179"/>
      <c r="B10089" s="177"/>
      <c r="C10089" s="39"/>
      <c r="D10089" s="39"/>
      <c r="E10089" s="40"/>
      <c r="F10089" s="70" t="s">
        <v>13</v>
      </c>
      <c r="G10089" s="70" t="str">
        <f>IF(ISNUMBER(F10089),E10089*F10089,"")</f>
        <v/>
      </c>
      <c r="H10089" s="71"/>
      <c r="I10089" s="72"/>
      <c r="J10089" s="37">
        <v>0</v>
      </c>
    </row>
    <row r="10090" spans="1:10" hidden="1" x14ac:dyDescent="0.25">
      <c r="A10090" s="179"/>
      <c r="B10090" s="177"/>
      <c r="C10090" s="43" t="s">
        <v>2437</v>
      </c>
      <c r="D10090" s="43" t="s">
        <v>18</v>
      </c>
      <c r="E10090" s="44">
        <v>1</v>
      </c>
      <c r="F10090" s="70" t="s">
        <v>13</v>
      </c>
      <c r="G10090" s="70" t="str">
        <f>IF(ISNUMBER(F10090),E10090*F10090,"")</f>
        <v/>
      </c>
      <c r="H10090" s="46">
        <f t="shared" ref="H10090" si="12">SUM(G10090:G10090)</f>
        <v>0</v>
      </c>
      <c r="I10090" s="47"/>
      <c r="J10090" s="37">
        <v>0</v>
      </c>
    </row>
    <row r="10091" spans="1:10" ht="15.75" hidden="1" thickBot="1" x14ac:dyDescent="0.3">
      <c r="A10091" s="180"/>
      <c r="B10091" s="178"/>
      <c r="C10091" s="49"/>
      <c r="D10091" s="49"/>
      <c r="E10091" s="50"/>
      <c r="F10091" s="83" t="s">
        <v>13</v>
      </c>
      <c r="G10091" s="83" t="str">
        <f>IF(ISNUMBER(F10091),E10091*F10091,"")</f>
        <v/>
      </c>
      <c r="H10091" s="84"/>
      <c r="I10091" s="72"/>
      <c r="J10091" s="37">
        <v>0</v>
      </c>
    </row>
    <row r="10092" spans="1:10" ht="15.75" hidden="1" thickBot="1" x14ac:dyDescent="0.3">
      <c r="A10092" s="173" t="s">
        <v>2438</v>
      </c>
      <c r="B10092" s="176" t="s">
        <v>9898</v>
      </c>
      <c r="C10092" s="31"/>
      <c r="D10092" s="32" t="s">
        <v>18</v>
      </c>
      <c r="E10092" s="33"/>
      <c r="F10092" s="60" t="s">
        <v>13</v>
      </c>
      <c r="G10092" s="34" t="str">
        <f>IF(ISNUMBER(F10092),E10092*F10092,"")</f>
        <v/>
      </c>
      <c r="H10092" s="35"/>
      <c r="I10092" s="36"/>
      <c r="J10092" s="37">
        <v>0</v>
      </c>
    </row>
    <row r="10093" spans="1:10" hidden="1" x14ac:dyDescent="0.25">
      <c r="A10093" s="179"/>
      <c r="B10093" s="177"/>
      <c r="C10093" s="39"/>
      <c r="D10093" s="39"/>
      <c r="E10093" s="40"/>
      <c r="F10093" s="70" t="s">
        <v>13</v>
      </c>
      <c r="G10093" s="70" t="str">
        <f>IF(ISNUMBER(F10093),E10093*F10093,"")</f>
        <v/>
      </c>
      <c r="H10093" s="71"/>
      <c r="I10093" s="72"/>
      <c r="J10093" s="37">
        <v>0</v>
      </c>
    </row>
    <row r="10094" spans="1:10" hidden="1" x14ac:dyDescent="0.25">
      <c r="A10094" s="179"/>
      <c r="B10094" s="177"/>
      <c r="C10094" s="43" t="s">
        <v>2439</v>
      </c>
      <c r="D10094" s="43" t="s">
        <v>18</v>
      </c>
      <c r="E10094" s="44">
        <v>1</v>
      </c>
      <c r="F10094" s="70" t="s">
        <v>13</v>
      </c>
      <c r="G10094" s="70" t="str">
        <f>IF(ISNUMBER(F10094),E10094*F10094,"")</f>
        <v/>
      </c>
      <c r="H10094" s="46">
        <f t="shared" ref="H10094" si="13">SUM(G10094:G10094)</f>
        <v>0</v>
      </c>
      <c r="I10094" s="47"/>
      <c r="J10094" s="37">
        <v>0</v>
      </c>
    </row>
    <row r="10095" spans="1:10" ht="15.75" hidden="1" thickBot="1" x14ac:dyDescent="0.3">
      <c r="A10095" s="180"/>
      <c r="B10095" s="178"/>
      <c r="C10095" s="49"/>
      <c r="D10095" s="49"/>
      <c r="E10095" s="50"/>
      <c r="F10095" s="83" t="s">
        <v>13</v>
      </c>
      <c r="G10095" s="83" t="str">
        <f>IF(ISNUMBER(F10095),E10095*F10095,"")</f>
        <v/>
      </c>
      <c r="H10095" s="84"/>
      <c r="I10095" s="72"/>
      <c r="J10095" s="37">
        <v>0</v>
      </c>
    </row>
    <row r="10096" spans="1:10" ht="15.75" hidden="1" thickBot="1" x14ac:dyDescent="0.3">
      <c r="A10096" s="173" t="s">
        <v>2440</v>
      </c>
      <c r="B10096" s="176" t="s">
        <v>9899</v>
      </c>
      <c r="C10096" s="31"/>
      <c r="D10096" s="32" t="s">
        <v>18</v>
      </c>
      <c r="E10096" s="33"/>
      <c r="F10096" s="60" t="s">
        <v>13</v>
      </c>
      <c r="G10096" s="34" t="str">
        <f>IF(ISNUMBER(F10096),E10096*F10096,"")</f>
        <v/>
      </c>
      <c r="H10096" s="35"/>
      <c r="I10096" s="36"/>
      <c r="J10096" s="37">
        <v>0</v>
      </c>
    </row>
    <row r="10097" spans="1:10" hidden="1" x14ac:dyDescent="0.25">
      <c r="A10097" s="179"/>
      <c r="B10097" s="177"/>
      <c r="C10097" s="39"/>
      <c r="D10097" s="39"/>
      <c r="E10097" s="40"/>
      <c r="F10097" s="70" t="s">
        <v>13</v>
      </c>
      <c r="G10097" s="70" t="str">
        <f>IF(ISNUMBER(F10097),E10097*F10097,"")</f>
        <v/>
      </c>
      <c r="H10097" s="71"/>
      <c r="I10097" s="72"/>
      <c r="J10097" s="37">
        <v>0</v>
      </c>
    </row>
    <row r="10098" spans="1:10" hidden="1" x14ac:dyDescent="0.25">
      <c r="A10098" s="179"/>
      <c r="B10098" s="177"/>
      <c r="C10098" s="43" t="s">
        <v>2441</v>
      </c>
      <c r="D10098" s="43" t="s">
        <v>18</v>
      </c>
      <c r="E10098" s="44">
        <v>1</v>
      </c>
      <c r="F10098" s="70" t="s">
        <v>13</v>
      </c>
      <c r="G10098" s="70" t="str">
        <f>IF(ISNUMBER(F10098),E10098*F10098,"")</f>
        <v/>
      </c>
      <c r="H10098" s="46">
        <f t="shared" ref="H10098" si="14">SUM(G10098:G10098)</f>
        <v>0</v>
      </c>
      <c r="I10098" s="47"/>
      <c r="J10098" s="37">
        <v>0</v>
      </c>
    </row>
    <row r="10099" spans="1:10" ht="15.75" hidden="1" thickBot="1" x14ac:dyDescent="0.3">
      <c r="A10099" s="180"/>
      <c r="B10099" s="178"/>
      <c r="C10099" s="49"/>
      <c r="D10099" s="49"/>
      <c r="E10099" s="50"/>
      <c r="F10099" s="83" t="s">
        <v>13</v>
      </c>
      <c r="G10099" s="83" t="str">
        <f>IF(ISNUMBER(F10099),E10099*F10099,"")</f>
        <v/>
      </c>
      <c r="H10099" s="84"/>
      <c r="I10099" s="72"/>
      <c r="J10099" s="37">
        <v>0</v>
      </c>
    </row>
    <row r="10100" spans="1:10" ht="15.75" hidden="1" thickBot="1" x14ac:dyDescent="0.3">
      <c r="A10100" s="173" t="s">
        <v>2442</v>
      </c>
      <c r="B10100" s="176" t="s">
        <v>9900</v>
      </c>
      <c r="C10100" s="31"/>
      <c r="D10100" s="32" t="s">
        <v>18</v>
      </c>
      <c r="E10100" s="33"/>
      <c r="F10100" s="60" t="s">
        <v>13</v>
      </c>
      <c r="G10100" s="34" t="str">
        <f>IF(ISNUMBER(F10100),E10100*F10100,"")</f>
        <v/>
      </c>
      <c r="H10100" s="35"/>
      <c r="I10100" s="36"/>
      <c r="J10100" s="37">
        <v>0</v>
      </c>
    </row>
    <row r="10101" spans="1:10" hidden="1" x14ac:dyDescent="0.25">
      <c r="A10101" s="179"/>
      <c r="B10101" s="177"/>
      <c r="C10101" s="39"/>
      <c r="D10101" s="39"/>
      <c r="E10101" s="40"/>
      <c r="F10101" s="70" t="s">
        <v>13</v>
      </c>
      <c r="G10101" s="70" t="str">
        <f>IF(ISNUMBER(F10101),E10101*F10101,"")</f>
        <v/>
      </c>
      <c r="H10101" s="71"/>
      <c r="I10101" s="72"/>
      <c r="J10101" s="37">
        <v>0</v>
      </c>
    </row>
    <row r="10102" spans="1:10" hidden="1" x14ac:dyDescent="0.25">
      <c r="A10102" s="179"/>
      <c r="B10102" s="177"/>
      <c r="C10102" s="43" t="s">
        <v>2443</v>
      </c>
      <c r="D10102" s="43" t="s">
        <v>18</v>
      </c>
      <c r="E10102" s="44">
        <v>1</v>
      </c>
      <c r="F10102" s="70" t="s">
        <v>13</v>
      </c>
      <c r="G10102" s="70" t="str">
        <f>IF(ISNUMBER(F10102),E10102*F10102,"")</f>
        <v/>
      </c>
      <c r="H10102" s="46">
        <f t="shared" ref="H10102" si="15">SUM(G10102:G10102)</f>
        <v>0</v>
      </c>
      <c r="I10102" s="47"/>
      <c r="J10102" s="37">
        <v>0</v>
      </c>
    </row>
    <row r="10103" spans="1:10" ht="15.75" hidden="1" thickBot="1" x14ac:dyDescent="0.3">
      <c r="A10103" s="180"/>
      <c r="B10103" s="178"/>
      <c r="C10103" s="49"/>
      <c r="D10103" s="49"/>
      <c r="E10103" s="50"/>
      <c r="F10103" s="83" t="s">
        <v>13</v>
      </c>
      <c r="G10103" s="83" t="str">
        <f>IF(ISNUMBER(F10103),E10103*F10103,"")</f>
        <v/>
      </c>
      <c r="H10103" s="84"/>
      <c r="I10103" s="72"/>
      <c r="J10103" s="37">
        <v>0</v>
      </c>
    </row>
    <row r="10104" spans="1:10" ht="15.75" hidden="1" thickBot="1" x14ac:dyDescent="0.3">
      <c r="A10104" s="173" t="s">
        <v>2444</v>
      </c>
      <c r="B10104" s="176" t="s">
        <v>9901</v>
      </c>
      <c r="C10104" s="31"/>
      <c r="D10104" s="32" t="s">
        <v>18</v>
      </c>
      <c r="E10104" s="33"/>
      <c r="F10104" s="60" t="s">
        <v>13</v>
      </c>
      <c r="G10104" s="34" t="str">
        <f>IF(ISNUMBER(F10104),E10104*F10104,"")</f>
        <v/>
      </c>
      <c r="H10104" s="35"/>
      <c r="I10104" s="36"/>
      <c r="J10104" s="37">
        <v>0</v>
      </c>
    </row>
    <row r="10105" spans="1:10" hidden="1" x14ac:dyDescent="0.25">
      <c r="A10105" s="179"/>
      <c r="B10105" s="177"/>
      <c r="C10105" s="39"/>
      <c r="D10105" s="39"/>
      <c r="E10105" s="40"/>
      <c r="F10105" s="70" t="s">
        <v>13</v>
      </c>
      <c r="G10105" s="70" t="str">
        <f>IF(ISNUMBER(F10105),E10105*F10105,"")</f>
        <v/>
      </c>
      <c r="H10105" s="71"/>
      <c r="I10105" s="72"/>
      <c r="J10105" s="37">
        <v>0</v>
      </c>
    </row>
    <row r="10106" spans="1:10" ht="25.5" hidden="1" x14ac:dyDescent="0.25">
      <c r="A10106" s="179"/>
      <c r="B10106" s="177"/>
      <c r="C10106" s="43" t="s">
        <v>11762</v>
      </c>
      <c r="D10106" s="43" t="s">
        <v>83</v>
      </c>
      <c r="E10106" s="44">
        <v>1</v>
      </c>
      <c r="F10106" s="70">
        <v>9.6519999999999992</v>
      </c>
      <c r="G10106" s="70">
        <f>IF(ISNUMBER(F10106),E10106*F10106,"")</f>
        <v>9.6519999999999992</v>
      </c>
      <c r="H10106" s="46">
        <f>SUM(G10106:G10106)</f>
        <v>9.6519999999999992</v>
      </c>
      <c r="I10106" s="47"/>
      <c r="J10106" s="37">
        <v>0</v>
      </c>
    </row>
    <row r="10107" spans="1:10" ht="15.75" hidden="1" thickBot="1" x14ac:dyDescent="0.3">
      <c r="A10107" s="180"/>
      <c r="B10107" s="178"/>
      <c r="C10107" s="49"/>
      <c r="D10107" s="49"/>
      <c r="E10107" s="50"/>
      <c r="F10107" s="83" t="s">
        <v>13</v>
      </c>
      <c r="G10107" s="83" t="str">
        <f>IF(ISNUMBER(F10107),E10107*F10107,"")</f>
        <v/>
      </c>
      <c r="H10107" s="84"/>
      <c r="I10107" s="72"/>
      <c r="J10107" s="37">
        <v>0</v>
      </c>
    </row>
    <row r="10108" spans="1:10" ht="15.75" hidden="1" thickBot="1" x14ac:dyDescent="0.3">
      <c r="A10108" s="173" t="s">
        <v>2445</v>
      </c>
      <c r="B10108" s="176" t="s">
        <v>9902</v>
      </c>
      <c r="C10108" s="31"/>
      <c r="D10108" s="32" t="s">
        <v>18</v>
      </c>
      <c r="E10108" s="33"/>
      <c r="F10108" s="60" t="s">
        <v>13</v>
      </c>
      <c r="G10108" s="34" t="str">
        <f>IF(ISNUMBER(F10108),E10108*F10108,"")</f>
        <v/>
      </c>
      <c r="H10108" s="35"/>
      <c r="I10108" s="36"/>
      <c r="J10108" s="37">
        <v>0</v>
      </c>
    </row>
    <row r="10109" spans="1:10" hidden="1" x14ac:dyDescent="0.25">
      <c r="A10109" s="179"/>
      <c r="B10109" s="177"/>
      <c r="C10109" s="39"/>
      <c r="D10109" s="39"/>
      <c r="E10109" s="40"/>
      <c r="F10109" s="70" t="s">
        <v>13</v>
      </c>
      <c r="G10109" s="70" t="str">
        <f>IF(ISNUMBER(F10109),E10109*F10109,"")</f>
        <v/>
      </c>
      <c r="H10109" s="71"/>
      <c r="I10109" s="72"/>
      <c r="J10109" s="37">
        <v>0</v>
      </c>
    </row>
    <row r="10110" spans="1:10" ht="25.5" hidden="1" x14ac:dyDescent="0.25">
      <c r="A10110" s="179"/>
      <c r="B10110" s="177"/>
      <c r="C10110" s="43" t="s">
        <v>11763</v>
      </c>
      <c r="D10110" s="43" t="s">
        <v>83</v>
      </c>
      <c r="E10110" s="44">
        <v>1</v>
      </c>
      <c r="F10110" s="70">
        <v>25.687999999999999</v>
      </c>
      <c r="G10110" s="70">
        <f>IF(ISNUMBER(F10110),E10110*F10110,"")</f>
        <v>25.687999999999999</v>
      </c>
      <c r="H10110" s="46">
        <f>SUM(G10110:G10110)</f>
        <v>25.687999999999999</v>
      </c>
      <c r="I10110" s="47"/>
      <c r="J10110" s="37">
        <v>0</v>
      </c>
    </row>
    <row r="10111" spans="1:10" ht="15.75" hidden="1" thickBot="1" x14ac:dyDescent="0.3">
      <c r="A10111" s="180"/>
      <c r="B10111" s="178"/>
      <c r="C10111" s="49"/>
      <c r="D10111" s="49"/>
      <c r="E10111" s="50"/>
      <c r="F10111" s="83" t="s">
        <v>13</v>
      </c>
      <c r="G10111" s="83" t="str">
        <f>IF(ISNUMBER(F10111),E10111*F10111,"")</f>
        <v/>
      </c>
      <c r="H10111" s="84"/>
      <c r="I10111" s="72"/>
      <c r="J10111" s="37">
        <v>0</v>
      </c>
    </row>
    <row r="10112" spans="1:10" ht="15.75" hidden="1" thickBot="1" x14ac:dyDescent="0.3">
      <c r="A10112" s="173" t="s">
        <v>2446</v>
      </c>
      <c r="B10112" s="176" t="s">
        <v>9903</v>
      </c>
      <c r="C10112" s="31"/>
      <c r="D10112" s="32" t="s">
        <v>18</v>
      </c>
      <c r="E10112" s="33"/>
      <c r="F10112" s="60" t="s">
        <v>13</v>
      </c>
      <c r="G10112" s="34" t="str">
        <f>IF(ISNUMBER(F10112),E10112*F10112,"")</f>
        <v/>
      </c>
      <c r="H10112" s="35"/>
      <c r="I10112" s="36"/>
      <c r="J10112" s="37">
        <v>0</v>
      </c>
    </row>
    <row r="10113" spans="1:10" hidden="1" x14ac:dyDescent="0.25">
      <c r="A10113" s="179"/>
      <c r="B10113" s="177"/>
      <c r="C10113" s="39"/>
      <c r="D10113" s="39"/>
      <c r="E10113" s="40"/>
      <c r="F10113" s="70" t="s">
        <v>13</v>
      </c>
      <c r="G10113" s="70" t="str">
        <f>IF(ISNUMBER(F10113),E10113*F10113,"")</f>
        <v/>
      </c>
      <c r="H10113" s="71"/>
      <c r="I10113" s="72"/>
      <c r="J10113" s="37">
        <v>0</v>
      </c>
    </row>
    <row r="10114" spans="1:10" ht="25.5" hidden="1" x14ac:dyDescent="0.25">
      <c r="A10114" s="179"/>
      <c r="B10114" s="177"/>
      <c r="C10114" s="43" t="s">
        <v>11764</v>
      </c>
      <c r="D10114" s="43" t="s">
        <v>83</v>
      </c>
      <c r="E10114" s="44">
        <v>1</v>
      </c>
      <c r="F10114" s="70">
        <v>12.587499999999999</v>
      </c>
      <c r="G10114" s="70">
        <f>IF(ISNUMBER(F10114),E10114*F10114,"")</f>
        <v>12.587499999999999</v>
      </c>
      <c r="H10114" s="46">
        <f>SUM(G10114:G10114)</f>
        <v>12.587499999999999</v>
      </c>
      <c r="I10114" s="47"/>
      <c r="J10114" s="37">
        <v>0</v>
      </c>
    </row>
    <row r="10115" spans="1:10" ht="15.75" hidden="1" thickBot="1" x14ac:dyDescent="0.3">
      <c r="A10115" s="180"/>
      <c r="B10115" s="178"/>
      <c r="C10115" s="49"/>
      <c r="D10115" s="49"/>
      <c r="E10115" s="50"/>
      <c r="F10115" s="83" t="s">
        <v>13</v>
      </c>
      <c r="G10115" s="83" t="str">
        <f>IF(ISNUMBER(F10115),E10115*F10115,"")</f>
        <v/>
      </c>
      <c r="H10115" s="84"/>
      <c r="I10115" s="72"/>
      <c r="J10115" s="37">
        <v>0</v>
      </c>
    </row>
    <row r="10116" spans="1:10" ht="15.75" hidden="1" thickBot="1" x14ac:dyDescent="0.3">
      <c r="A10116" s="173" t="s">
        <v>2447</v>
      </c>
      <c r="B10116" s="176" t="s">
        <v>9904</v>
      </c>
      <c r="C10116" s="31"/>
      <c r="D10116" s="32" t="s">
        <v>18</v>
      </c>
      <c r="E10116" s="33"/>
      <c r="F10116" s="60" t="s">
        <v>13</v>
      </c>
      <c r="G10116" s="34" t="str">
        <f>IF(ISNUMBER(F10116),E10116*F10116,"")</f>
        <v/>
      </c>
      <c r="H10116" s="35"/>
      <c r="I10116" s="36"/>
      <c r="J10116" s="37">
        <v>0</v>
      </c>
    </row>
    <row r="10117" spans="1:10" hidden="1" x14ac:dyDescent="0.25">
      <c r="A10117" s="179"/>
      <c r="B10117" s="177"/>
      <c r="C10117" s="39"/>
      <c r="D10117" s="39"/>
      <c r="E10117" s="40"/>
      <c r="F10117" s="70" t="s">
        <v>13</v>
      </c>
      <c r="G10117" s="70" t="str">
        <f>IF(ISNUMBER(F10117),E10117*F10117,"")</f>
        <v/>
      </c>
      <c r="H10117" s="71"/>
      <c r="I10117" s="72"/>
      <c r="J10117" s="37">
        <v>0</v>
      </c>
    </row>
    <row r="10118" spans="1:10" ht="25.5" hidden="1" x14ac:dyDescent="0.25">
      <c r="A10118" s="179"/>
      <c r="B10118" s="177"/>
      <c r="C10118" s="43" t="s">
        <v>11765</v>
      </c>
      <c r="D10118" s="43" t="s">
        <v>1302</v>
      </c>
      <c r="E10118" s="44">
        <v>3</v>
      </c>
      <c r="F10118" s="70">
        <v>79.533999999999992</v>
      </c>
      <c r="G10118" s="70">
        <f>IF(ISNUMBER(F10118),E10118*F10118,"")</f>
        <v>238.60199999999998</v>
      </c>
      <c r="H10118" s="46">
        <f>SUM(G10118:G10118)</f>
        <v>238.60199999999998</v>
      </c>
      <c r="I10118" s="47"/>
      <c r="J10118" s="37">
        <v>0</v>
      </c>
    </row>
    <row r="10119" spans="1:10" ht="15.75" hidden="1" thickBot="1" x14ac:dyDescent="0.3">
      <c r="A10119" s="180"/>
      <c r="B10119" s="178"/>
      <c r="C10119" s="49"/>
      <c r="D10119" s="49"/>
      <c r="E10119" s="50"/>
      <c r="F10119" s="83" t="s">
        <v>13</v>
      </c>
      <c r="G10119" s="83" t="str">
        <f>IF(ISNUMBER(F10119),E10119*F10119,"")</f>
        <v/>
      </c>
      <c r="H10119" s="84"/>
      <c r="I10119" s="72"/>
      <c r="J10119" s="37">
        <v>0</v>
      </c>
    </row>
    <row r="10120" spans="1:10" ht="15.75" hidden="1" thickBot="1" x14ac:dyDescent="0.3">
      <c r="A10120" s="173" t="s">
        <v>2448</v>
      </c>
      <c r="B10120" s="176" t="s">
        <v>9905</v>
      </c>
      <c r="C10120" s="31"/>
      <c r="D10120" s="32" t="s">
        <v>18</v>
      </c>
      <c r="E10120" s="33"/>
      <c r="F10120" s="60" t="s">
        <v>13</v>
      </c>
      <c r="G10120" s="34" t="str">
        <f>IF(ISNUMBER(F10120),E10120*F10120,"")</f>
        <v/>
      </c>
      <c r="H10120" s="35"/>
      <c r="I10120" s="36"/>
      <c r="J10120" s="37">
        <v>0</v>
      </c>
    </row>
    <row r="10121" spans="1:10" hidden="1" x14ac:dyDescent="0.25">
      <c r="A10121" s="179"/>
      <c r="B10121" s="177"/>
      <c r="C10121" s="39"/>
      <c r="D10121" s="39"/>
      <c r="E10121" s="40"/>
      <c r="F10121" s="70" t="s">
        <v>13</v>
      </c>
      <c r="G10121" s="70" t="str">
        <f>IF(ISNUMBER(F10121),E10121*F10121,"")</f>
        <v/>
      </c>
      <c r="H10121" s="71"/>
      <c r="I10121" s="72"/>
      <c r="J10121" s="37">
        <v>0</v>
      </c>
    </row>
    <row r="10122" spans="1:10" ht="25.5" hidden="1" x14ac:dyDescent="0.25">
      <c r="A10122" s="179"/>
      <c r="B10122" s="177"/>
      <c r="C10122" s="43" t="s">
        <v>11766</v>
      </c>
      <c r="D10122" s="43" t="s">
        <v>1302</v>
      </c>
      <c r="E10122" s="44">
        <v>3</v>
      </c>
      <c r="F10122" s="70">
        <v>128.60149999999999</v>
      </c>
      <c r="G10122" s="70">
        <f>IF(ISNUMBER(F10122),E10122*F10122,"")</f>
        <v>385.80449999999996</v>
      </c>
      <c r="H10122" s="46">
        <f>SUM(G10122:G10122)</f>
        <v>385.80449999999996</v>
      </c>
      <c r="I10122" s="47"/>
      <c r="J10122" s="37">
        <v>0</v>
      </c>
    </row>
    <row r="10123" spans="1:10" ht="15.75" hidden="1" thickBot="1" x14ac:dyDescent="0.3">
      <c r="A10123" s="180"/>
      <c r="B10123" s="178"/>
      <c r="C10123" s="49"/>
      <c r="D10123" s="49"/>
      <c r="E10123" s="50"/>
      <c r="F10123" s="83" t="s">
        <v>13</v>
      </c>
      <c r="G10123" s="83" t="str">
        <f>IF(ISNUMBER(F10123),E10123*F10123,"")</f>
        <v/>
      </c>
      <c r="H10123" s="84"/>
      <c r="I10123" s="72"/>
      <c r="J10123" s="37">
        <v>0</v>
      </c>
    </row>
    <row r="10124" spans="1:10" ht="15.75" hidden="1" thickBot="1" x14ac:dyDescent="0.3">
      <c r="A10124" s="173" t="s">
        <v>2449</v>
      </c>
      <c r="B10124" s="176" t="s">
        <v>9906</v>
      </c>
      <c r="C10124" s="31"/>
      <c r="D10124" s="32" t="s">
        <v>18</v>
      </c>
      <c r="E10124" s="33"/>
      <c r="F10124" s="60" t="s">
        <v>13</v>
      </c>
      <c r="G10124" s="34" t="str">
        <f>IF(ISNUMBER(F10124),E10124*F10124,"")</f>
        <v/>
      </c>
      <c r="H10124" s="35"/>
      <c r="I10124" s="36"/>
      <c r="J10124" s="37">
        <v>0</v>
      </c>
    </row>
    <row r="10125" spans="1:10" hidden="1" x14ac:dyDescent="0.25">
      <c r="A10125" s="179"/>
      <c r="B10125" s="177"/>
      <c r="C10125" s="39"/>
      <c r="D10125" s="39"/>
      <c r="E10125" s="40"/>
      <c r="F10125" s="70" t="s">
        <v>13</v>
      </c>
      <c r="G10125" s="70" t="str">
        <f>IF(ISNUMBER(F10125),E10125*F10125,"")</f>
        <v/>
      </c>
      <c r="H10125" s="71"/>
      <c r="I10125" s="72"/>
      <c r="J10125" s="37">
        <v>0</v>
      </c>
    </row>
    <row r="10126" spans="1:10" hidden="1" x14ac:dyDescent="0.25">
      <c r="A10126" s="179"/>
      <c r="B10126" s="177"/>
      <c r="C10126" s="43" t="s">
        <v>11767</v>
      </c>
      <c r="D10126" s="43" t="s">
        <v>83</v>
      </c>
      <c r="E10126" s="44">
        <v>1</v>
      </c>
      <c r="F10126" s="70">
        <v>53.541999999999994</v>
      </c>
      <c r="G10126" s="70">
        <f>IF(ISNUMBER(F10126),E10126*F10126,"")</f>
        <v>53.541999999999994</v>
      </c>
      <c r="H10126" s="46">
        <f>SUM(G10126:G10126)</f>
        <v>53.541999999999994</v>
      </c>
      <c r="I10126" s="47"/>
      <c r="J10126" s="37">
        <v>0</v>
      </c>
    </row>
    <row r="10127" spans="1:10" ht="15.75" hidden="1" thickBot="1" x14ac:dyDescent="0.3">
      <c r="A10127" s="180"/>
      <c r="B10127" s="178"/>
      <c r="C10127" s="49"/>
      <c r="D10127" s="49"/>
      <c r="E10127" s="50"/>
      <c r="F10127" s="83" t="s">
        <v>13</v>
      </c>
      <c r="G10127" s="83" t="str">
        <f>IF(ISNUMBER(F10127),E10127*F10127,"")</f>
        <v/>
      </c>
      <c r="H10127" s="84"/>
      <c r="I10127" s="72"/>
      <c r="J10127" s="37">
        <v>0</v>
      </c>
    </row>
    <row r="10128" spans="1:10" ht="15.75" hidden="1" thickBot="1" x14ac:dyDescent="0.3">
      <c r="A10128" s="173" t="s">
        <v>2450</v>
      </c>
      <c r="B10128" s="176" t="s">
        <v>9907</v>
      </c>
      <c r="C10128" s="31"/>
      <c r="D10128" s="32" t="s">
        <v>18</v>
      </c>
      <c r="E10128" s="33"/>
      <c r="F10128" s="60" t="s">
        <v>13</v>
      </c>
      <c r="G10128" s="34" t="str">
        <f>IF(ISNUMBER(F10128),E10128*F10128,"")</f>
        <v/>
      </c>
      <c r="H10128" s="35"/>
      <c r="I10128" s="36"/>
      <c r="J10128" s="37">
        <v>0</v>
      </c>
    </row>
    <row r="10129" spans="1:10" hidden="1" x14ac:dyDescent="0.25">
      <c r="A10129" s="179"/>
      <c r="B10129" s="177"/>
      <c r="C10129" s="39"/>
      <c r="D10129" s="39"/>
      <c r="E10129" s="40"/>
      <c r="F10129" s="70" t="s">
        <v>13</v>
      </c>
      <c r="G10129" s="70" t="str">
        <f>IF(ISNUMBER(F10129),E10129*F10129,"")</f>
        <v/>
      </c>
      <c r="H10129" s="71"/>
      <c r="I10129" s="72"/>
      <c r="J10129" s="37">
        <v>0</v>
      </c>
    </row>
    <row r="10130" spans="1:10" hidden="1" x14ac:dyDescent="0.25">
      <c r="A10130" s="179"/>
      <c r="B10130" s="177"/>
      <c r="C10130" s="43" t="s">
        <v>11768</v>
      </c>
      <c r="D10130" s="43" t="s">
        <v>83</v>
      </c>
      <c r="E10130" s="44">
        <v>1</v>
      </c>
      <c r="F10130" s="70">
        <v>87.266999999999996</v>
      </c>
      <c r="G10130" s="70">
        <f>IF(ISNUMBER(F10130),E10130*F10130,"")</f>
        <v>87.266999999999996</v>
      </c>
      <c r="H10130" s="46">
        <f>SUM(G10130:G10130)</f>
        <v>87.266999999999996</v>
      </c>
      <c r="I10130" s="47"/>
      <c r="J10130" s="37">
        <v>0</v>
      </c>
    </row>
    <row r="10131" spans="1:10" ht="15.75" hidden="1" thickBot="1" x14ac:dyDescent="0.3">
      <c r="A10131" s="180"/>
      <c r="B10131" s="178"/>
      <c r="C10131" s="49"/>
      <c r="D10131" s="49"/>
      <c r="E10131" s="50"/>
      <c r="F10131" s="83" t="s">
        <v>13</v>
      </c>
      <c r="G10131" s="83" t="str">
        <f>IF(ISNUMBER(F10131),E10131*F10131,"")</f>
        <v/>
      </c>
      <c r="H10131" s="84"/>
      <c r="I10131" s="72"/>
      <c r="J10131" s="37">
        <v>0</v>
      </c>
    </row>
    <row r="10132" spans="1:10" ht="15.75" hidden="1" thickBot="1" x14ac:dyDescent="0.3">
      <c r="A10132" s="173" t="s">
        <v>2451</v>
      </c>
      <c r="B10132" s="176" t="s">
        <v>9908</v>
      </c>
      <c r="C10132" s="31"/>
      <c r="D10132" s="32" t="s">
        <v>18</v>
      </c>
      <c r="E10132" s="33"/>
      <c r="F10132" s="60" t="s">
        <v>13</v>
      </c>
      <c r="G10132" s="34" t="str">
        <f>IF(ISNUMBER(F10132),E10132*F10132,"")</f>
        <v/>
      </c>
      <c r="H10132" s="35"/>
      <c r="I10132" s="36"/>
      <c r="J10132" s="37">
        <v>0</v>
      </c>
    </row>
    <row r="10133" spans="1:10" hidden="1" x14ac:dyDescent="0.25">
      <c r="A10133" s="179"/>
      <c r="B10133" s="177"/>
      <c r="C10133" s="39"/>
      <c r="D10133" s="39"/>
      <c r="E10133" s="40"/>
      <c r="F10133" s="70" t="s">
        <v>13</v>
      </c>
      <c r="G10133" s="70" t="str">
        <f>IF(ISNUMBER(F10133),E10133*F10133,"")</f>
        <v/>
      </c>
      <c r="H10133" s="71"/>
      <c r="I10133" s="72"/>
      <c r="J10133" s="37">
        <v>0</v>
      </c>
    </row>
    <row r="10134" spans="1:10" hidden="1" x14ac:dyDescent="0.25">
      <c r="A10134" s="179"/>
      <c r="B10134" s="177"/>
      <c r="C10134" s="43" t="s">
        <v>11769</v>
      </c>
      <c r="D10134" s="43" t="s">
        <v>83</v>
      </c>
      <c r="E10134" s="44">
        <v>1</v>
      </c>
      <c r="F10134" s="70">
        <v>488.96500000000003</v>
      </c>
      <c r="G10134" s="70">
        <f>IF(ISNUMBER(F10134),E10134*F10134,"")</f>
        <v>488.96500000000003</v>
      </c>
      <c r="H10134" s="46">
        <f>SUM(G10134:G10134)</f>
        <v>488.96500000000003</v>
      </c>
      <c r="I10134" s="47"/>
      <c r="J10134" s="37">
        <v>0</v>
      </c>
    </row>
    <row r="10135" spans="1:10" ht="15.75" hidden="1" thickBot="1" x14ac:dyDescent="0.3">
      <c r="A10135" s="180"/>
      <c r="B10135" s="178"/>
      <c r="C10135" s="49"/>
      <c r="D10135" s="49"/>
      <c r="E10135" s="50"/>
      <c r="F10135" s="83" t="s">
        <v>13</v>
      </c>
      <c r="G10135" s="83" t="str">
        <f>IF(ISNUMBER(F10135),E10135*F10135,"")</f>
        <v/>
      </c>
      <c r="H10135" s="84"/>
      <c r="I10135" s="72"/>
      <c r="J10135" s="37">
        <v>0</v>
      </c>
    </row>
    <row r="10136" spans="1:10" ht="15.75" hidden="1" thickBot="1" x14ac:dyDescent="0.3">
      <c r="A10136" s="173" t="s">
        <v>2452</v>
      </c>
      <c r="B10136" s="176" t="s">
        <v>9909</v>
      </c>
      <c r="C10136" s="31"/>
      <c r="D10136" s="32" t="s">
        <v>18</v>
      </c>
      <c r="E10136" s="33"/>
      <c r="F10136" s="60" t="s">
        <v>13</v>
      </c>
      <c r="G10136" s="34" t="str">
        <f>IF(ISNUMBER(F10136),E10136*F10136,"")</f>
        <v/>
      </c>
      <c r="H10136" s="35"/>
      <c r="I10136" s="36"/>
      <c r="J10136" s="37">
        <v>0</v>
      </c>
    </row>
    <row r="10137" spans="1:10" hidden="1" x14ac:dyDescent="0.25">
      <c r="A10137" s="179"/>
      <c r="B10137" s="177"/>
      <c r="C10137" s="39"/>
      <c r="D10137" s="39"/>
      <c r="E10137" s="40"/>
      <c r="F10137" s="70" t="s">
        <v>13</v>
      </c>
      <c r="G10137" s="70" t="str">
        <f>IF(ISNUMBER(F10137),E10137*F10137,"")</f>
        <v/>
      </c>
      <c r="H10137" s="71"/>
      <c r="I10137" s="72"/>
      <c r="J10137" s="37">
        <v>0</v>
      </c>
    </row>
    <row r="10138" spans="1:10" hidden="1" x14ac:dyDescent="0.25">
      <c r="A10138" s="179"/>
      <c r="B10138" s="177"/>
      <c r="C10138" s="43" t="s">
        <v>11770</v>
      </c>
      <c r="D10138" s="43" t="s">
        <v>83</v>
      </c>
      <c r="E10138" s="44">
        <v>1</v>
      </c>
      <c r="F10138" s="70">
        <v>6.8685</v>
      </c>
      <c r="G10138" s="70">
        <f>IF(ISNUMBER(F10138),E10138*F10138,"")</f>
        <v>6.8685</v>
      </c>
      <c r="H10138" s="46">
        <f>SUM(G10138:G10138)</f>
        <v>6.8685</v>
      </c>
      <c r="I10138" s="47"/>
      <c r="J10138" s="37">
        <v>0</v>
      </c>
    </row>
    <row r="10139" spans="1:10" ht="15.75" hidden="1" thickBot="1" x14ac:dyDescent="0.3">
      <c r="A10139" s="180"/>
      <c r="B10139" s="178"/>
      <c r="C10139" s="49"/>
      <c r="D10139" s="49"/>
      <c r="E10139" s="50"/>
      <c r="F10139" s="83" t="s">
        <v>13</v>
      </c>
      <c r="G10139" s="83" t="str">
        <f>IF(ISNUMBER(F10139),E10139*F10139,"")</f>
        <v/>
      </c>
      <c r="H10139" s="84"/>
      <c r="I10139" s="72"/>
      <c r="J10139" s="37">
        <v>0</v>
      </c>
    </row>
    <row r="10140" spans="1:10" ht="15.75" hidden="1" thickBot="1" x14ac:dyDescent="0.3">
      <c r="A10140" s="173" t="s">
        <v>2453</v>
      </c>
      <c r="B10140" s="176" t="s">
        <v>9910</v>
      </c>
      <c r="C10140" s="31"/>
      <c r="D10140" s="32" t="s">
        <v>18</v>
      </c>
      <c r="E10140" s="33"/>
      <c r="F10140" s="60" t="s">
        <v>13</v>
      </c>
      <c r="G10140" s="34" t="str">
        <f>IF(ISNUMBER(F10140),E10140*F10140,"")</f>
        <v/>
      </c>
      <c r="H10140" s="35"/>
      <c r="I10140" s="36"/>
      <c r="J10140" s="37">
        <v>0</v>
      </c>
    </row>
    <row r="10141" spans="1:10" hidden="1" x14ac:dyDescent="0.25">
      <c r="A10141" s="179"/>
      <c r="B10141" s="177"/>
      <c r="C10141" s="39"/>
      <c r="D10141" s="39"/>
      <c r="E10141" s="40"/>
      <c r="F10141" s="70" t="s">
        <v>13</v>
      </c>
      <c r="G10141" s="70" t="str">
        <f>IF(ISNUMBER(F10141),E10141*F10141,"")</f>
        <v/>
      </c>
      <c r="H10141" s="71"/>
      <c r="I10141" s="72"/>
      <c r="J10141" s="37">
        <v>0</v>
      </c>
    </row>
    <row r="10142" spans="1:10" hidden="1" x14ac:dyDescent="0.25">
      <c r="A10142" s="179"/>
      <c r="B10142" s="177"/>
      <c r="C10142" s="43" t="s">
        <v>11771</v>
      </c>
      <c r="D10142" s="43" t="s">
        <v>83</v>
      </c>
      <c r="E10142" s="44">
        <v>1</v>
      </c>
      <c r="F10142" s="70">
        <v>12.910499999999999</v>
      </c>
      <c r="G10142" s="70">
        <f>IF(ISNUMBER(F10142),E10142*F10142,"")</f>
        <v>12.910499999999999</v>
      </c>
      <c r="H10142" s="46">
        <f>SUM(G10142:G10142)</f>
        <v>12.910499999999999</v>
      </c>
      <c r="I10142" s="47"/>
      <c r="J10142" s="37">
        <v>0</v>
      </c>
    </row>
    <row r="10143" spans="1:10" ht="15.75" hidden="1" thickBot="1" x14ac:dyDescent="0.3">
      <c r="A10143" s="180"/>
      <c r="B10143" s="178"/>
      <c r="C10143" s="49"/>
      <c r="D10143" s="49"/>
      <c r="E10143" s="50"/>
      <c r="F10143" s="83" t="s">
        <v>13</v>
      </c>
      <c r="G10143" s="83" t="str">
        <f>IF(ISNUMBER(F10143),E10143*F10143,"")</f>
        <v/>
      </c>
      <c r="H10143" s="84"/>
      <c r="I10143" s="72"/>
      <c r="J10143" s="37">
        <v>0</v>
      </c>
    </row>
    <row r="10144" spans="1:10" ht="15.75" hidden="1" thickBot="1" x14ac:dyDescent="0.3">
      <c r="A10144" s="173" t="s">
        <v>2454</v>
      </c>
      <c r="B10144" s="176" t="s">
        <v>9911</v>
      </c>
      <c r="C10144" s="31"/>
      <c r="D10144" s="32" t="s">
        <v>18</v>
      </c>
      <c r="E10144" s="33"/>
      <c r="F10144" s="60" t="s">
        <v>13</v>
      </c>
      <c r="G10144" s="34" t="str">
        <f>IF(ISNUMBER(F10144),E10144*F10144,"")</f>
        <v/>
      </c>
      <c r="H10144" s="35"/>
      <c r="I10144" s="36"/>
      <c r="J10144" s="37">
        <v>0</v>
      </c>
    </row>
    <row r="10145" spans="1:10" hidden="1" x14ac:dyDescent="0.25">
      <c r="A10145" s="179"/>
      <c r="B10145" s="177"/>
      <c r="C10145" s="39"/>
      <c r="D10145" s="39"/>
      <c r="E10145" s="40"/>
      <c r="F10145" s="70" t="s">
        <v>13</v>
      </c>
      <c r="G10145" s="70" t="str">
        <f>IF(ISNUMBER(F10145),E10145*F10145,"")</f>
        <v/>
      </c>
      <c r="H10145" s="71"/>
      <c r="I10145" s="72"/>
      <c r="J10145" s="37">
        <v>0</v>
      </c>
    </row>
    <row r="10146" spans="1:10" ht="25.5" hidden="1" x14ac:dyDescent="0.25">
      <c r="A10146" s="179"/>
      <c r="B10146" s="177"/>
      <c r="C10146" s="43" t="s">
        <v>11772</v>
      </c>
      <c r="D10146" s="43" t="s">
        <v>83</v>
      </c>
      <c r="E10146" s="44">
        <v>1</v>
      </c>
      <c r="F10146" s="70">
        <v>14.344999999999999</v>
      </c>
      <c r="G10146" s="70">
        <f>IF(ISNUMBER(F10146),E10146*F10146,"")</f>
        <v>14.344999999999999</v>
      </c>
      <c r="H10146" s="46">
        <f>SUM(G10146:G10146)</f>
        <v>14.344999999999999</v>
      </c>
      <c r="I10146" s="47"/>
      <c r="J10146" s="37">
        <v>0</v>
      </c>
    </row>
    <row r="10147" spans="1:10" ht="15.75" hidden="1" thickBot="1" x14ac:dyDescent="0.3">
      <c r="A10147" s="180"/>
      <c r="B10147" s="178"/>
      <c r="C10147" s="49"/>
      <c r="D10147" s="49"/>
      <c r="E10147" s="50"/>
      <c r="F10147" s="83" t="s">
        <v>13</v>
      </c>
      <c r="G10147" s="83" t="str">
        <f>IF(ISNUMBER(F10147),E10147*F10147,"")</f>
        <v/>
      </c>
      <c r="H10147" s="84"/>
      <c r="I10147" s="72"/>
      <c r="J10147" s="37">
        <v>0</v>
      </c>
    </row>
    <row r="10148" spans="1:10" ht="15.75" hidden="1" thickBot="1" x14ac:dyDescent="0.3">
      <c r="A10148" s="173" t="s">
        <v>2455</v>
      </c>
      <c r="B10148" s="176" t="s">
        <v>9912</v>
      </c>
      <c r="C10148" s="31"/>
      <c r="D10148" s="32" t="s">
        <v>18</v>
      </c>
      <c r="E10148" s="33"/>
      <c r="F10148" s="60" t="s">
        <v>13</v>
      </c>
      <c r="G10148" s="34" t="str">
        <f>IF(ISNUMBER(F10148),E10148*F10148,"")</f>
        <v/>
      </c>
      <c r="H10148" s="35"/>
      <c r="I10148" s="36"/>
      <c r="J10148" s="37">
        <v>0</v>
      </c>
    </row>
    <row r="10149" spans="1:10" hidden="1" x14ac:dyDescent="0.25">
      <c r="A10149" s="179"/>
      <c r="B10149" s="177"/>
      <c r="C10149" s="39"/>
      <c r="D10149" s="39"/>
      <c r="E10149" s="40"/>
      <c r="F10149" s="70" t="s">
        <v>13</v>
      </c>
      <c r="G10149" s="70" t="str">
        <f>IF(ISNUMBER(F10149),E10149*F10149,"")</f>
        <v/>
      </c>
      <c r="H10149" s="71"/>
      <c r="I10149" s="72"/>
      <c r="J10149" s="37">
        <v>0</v>
      </c>
    </row>
    <row r="10150" spans="1:10" ht="25.5" hidden="1" x14ac:dyDescent="0.25">
      <c r="A10150" s="179"/>
      <c r="B10150" s="177"/>
      <c r="C10150" s="43" t="s">
        <v>11773</v>
      </c>
      <c r="D10150" s="43" t="s">
        <v>83</v>
      </c>
      <c r="E10150" s="44">
        <v>1</v>
      </c>
      <c r="F10150" s="70">
        <v>22.2395</v>
      </c>
      <c r="G10150" s="70">
        <f>IF(ISNUMBER(F10150),E10150*F10150,"")</f>
        <v>22.2395</v>
      </c>
      <c r="H10150" s="46">
        <f>SUM(G10150:G10150)</f>
        <v>22.2395</v>
      </c>
      <c r="I10150" s="47"/>
      <c r="J10150" s="37">
        <v>0</v>
      </c>
    </row>
    <row r="10151" spans="1:10" ht="15.75" hidden="1" thickBot="1" x14ac:dyDescent="0.3">
      <c r="A10151" s="180"/>
      <c r="B10151" s="178"/>
      <c r="C10151" s="49"/>
      <c r="D10151" s="49"/>
      <c r="E10151" s="50"/>
      <c r="F10151" s="83" t="s">
        <v>13</v>
      </c>
      <c r="G10151" s="83" t="str">
        <f>IF(ISNUMBER(F10151),E10151*F10151,"")</f>
        <v/>
      </c>
      <c r="H10151" s="84"/>
      <c r="I10151" s="72"/>
      <c r="J10151" s="37">
        <v>0</v>
      </c>
    </row>
    <row r="10152" spans="1:10" ht="15.75" hidden="1" thickBot="1" x14ac:dyDescent="0.3">
      <c r="A10152" s="173" t="s">
        <v>2456</v>
      </c>
      <c r="B10152" s="176" t="s">
        <v>9913</v>
      </c>
      <c r="C10152" s="31"/>
      <c r="D10152" s="32" t="s">
        <v>18</v>
      </c>
      <c r="E10152" s="33"/>
      <c r="F10152" s="60" t="s">
        <v>13</v>
      </c>
      <c r="G10152" s="34" t="str">
        <f>IF(ISNUMBER(F10152),E10152*F10152,"")</f>
        <v/>
      </c>
      <c r="H10152" s="35"/>
      <c r="I10152" s="36"/>
      <c r="J10152" s="37">
        <v>0</v>
      </c>
    </row>
    <row r="10153" spans="1:10" hidden="1" x14ac:dyDescent="0.25">
      <c r="A10153" s="179"/>
      <c r="B10153" s="177"/>
      <c r="C10153" s="39"/>
      <c r="D10153" s="39"/>
      <c r="E10153" s="40"/>
      <c r="F10153" s="70" t="s">
        <v>13</v>
      </c>
      <c r="G10153" s="70" t="str">
        <f>IF(ISNUMBER(F10153),E10153*F10153,"")</f>
        <v/>
      </c>
      <c r="H10153" s="71"/>
      <c r="I10153" s="72"/>
      <c r="J10153" s="37">
        <v>0</v>
      </c>
    </row>
    <row r="10154" spans="1:10" ht="25.5" hidden="1" x14ac:dyDescent="0.25">
      <c r="A10154" s="179"/>
      <c r="B10154" s="177"/>
      <c r="C10154" s="43" t="s">
        <v>11774</v>
      </c>
      <c r="D10154" s="43" t="s">
        <v>83</v>
      </c>
      <c r="E10154" s="44">
        <v>1</v>
      </c>
      <c r="F10154" s="70">
        <v>54.871999999999993</v>
      </c>
      <c r="G10154" s="70">
        <f>IF(ISNUMBER(F10154),E10154*F10154,"")</f>
        <v>54.871999999999993</v>
      </c>
      <c r="H10154" s="46">
        <f>SUM(G10154:G10154)</f>
        <v>54.871999999999993</v>
      </c>
      <c r="I10154" s="47"/>
      <c r="J10154" s="37">
        <v>0</v>
      </c>
    </row>
    <row r="10155" spans="1:10" ht="15.75" hidden="1" thickBot="1" x14ac:dyDescent="0.3">
      <c r="A10155" s="180"/>
      <c r="B10155" s="178"/>
      <c r="C10155" s="49"/>
      <c r="D10155" s="49"/>
      <c r="E10155" s="50"/>
      <c r="F10155" s="83" t="s">
        <v>13</v>
      </c>
      <c r="G10155" s="83" t="str">
        <f>IF(ISNUMBER(F10155),E10155*F10155,"")</f>
        <v/>
      </c>
      <c r="H10155" s="84"/>
      <c r="I10155" s="72"/>
      <c r="J10155" s="37">
        <v>0</v>
      </c>
    </row>
    <row r="10156" spans="1:10" ht="15.75" hidden="1" thickBot="1" x14ac:dyDescent="0.3">
      <c r="A10156" s="173" t="s">
        <v>2457</v>
      </c>
      <c r="B10156" s="176" t="s">
        <v>9914</v>
      </c>
      <c r="C10156" s="31"/>
      <c r="D10156" s="32" t="s">
        <v>18</v>
      </c>
      <c r="E10156" s="33"/>
      <c r="F10156" s="60" t="s">
        <v>13</v>
      </c>
      <c r="G10156" s="34" t="str">
        <f>IF(ISNUMBER(F10156),E10156*F10156,"")</f>
        <v/>
      </c>
      <c r="H10156" s="35"/>
      <c r="I10156" s="36"/>
      <c r="J10156" s="37">
        <v>0</v>
      </c>
    </row>
    <row r="10157" spans="1:10" hidden="1" x14ac:dyDescent="0.25">
      <c r="A10157" s="179"/>
      <c r="B10157" s="177"/>
      <c r="C10157" s="39"/>
      <c r="D10157" s="39"/>
      <c r="E10157" s="40"/>
      <c r="F10157" s="70" t="s">
        <v>13</v>
      </c>
      <c r="G10157" s="70" t="str">
        <f>IF(ISNUMBER(F10157),E10157*F10157,"")</f>
        <v/>
      </c>
      <c r="H10157" s="71"/>
      <c r="I10157" s="72"/>
      <c r="J10157" s="37">
        <v>0</v>
      </c>
    </row>
    <row r="10158" spans="1:10" hidden="1" x14ac:dyDescent="0.25">
      <c r="A10158" s="179"/>
      <c r="B10158" s="177"/>
      <c r="C10158" s="43" t="s">
        <v>2458</v>
      </c>
      <c r="D10158" s="43" t="s">
        <v>18</v>
      </c>
      <c r="E10158" s="44">
        <v>1</v>
      </c>
      <c r="F10158" s="70" t="s">
        <v>13</v>
      </c>
      <c r="G10158" s="70" t="str">
        <f>IF(ISNUMBER(F10158),E10158*F10158,"")</f>
        <v/>
      </c>
      <c r="H10158" s="46">
        <f t="shared" ref="H10158" si="16">SUM(G10158:G10158)</f>
        <v>0</v>
      </c>
      <c r="I10158" s="47"/>
      <c r="J10158" s="37">
        <v>0</v>
      </c>
    </row>
    <row r="10159" spans="1:10" ht="15.75" hidden="1" thickBot="1" x14ac:dyDescent="0.3">
      <c r="A10159" s="180"/>
      <c r="B10159" s="178"/>
      <c r="C10159" s="49"/>
      <c r="D10159" s="49"/>
      <c r="E10159" s="50"/>
      <c r="F10159" s="83" t="s">
        <v>13</v>
      </c>
      <c r="G10159" s="83" t="str">
        <f>IF(ISNUMBER(F10159),E10159*F10159,"")</f>
        <v/>
      </c>
      <c r="H10159" s="84"/>
      <c r="I10159" s="72"/>
      <c r="J10159" s="37">
        <v>0</v>
      </c>
    </row>
    <row r="10160" spans="1:10" ht="15.75" hidden="1" thickBot="1" x14ac:dyDescent="0.3">
      <c r="A10160" s="173" t="s">
        <v>2459</v>
      </c>
      <c r="B10160" s="176" t="s">
        <v>9915</v>
      </c>
      <c r="C10160" s="31"/>
      <c r="D10160" s="32" t="s">
        <v>18</v>
      </c>
      <c r="E10160" s="33"/>
      <c r="F10160" s="60" t="s">
        <v>13</v>
      </c>
      <c r="G10160" s="34" t="str">
        <f>IF(ISNUMBER(F10160),E10160*F10160,"")</f>
        <v/>
      </c>
      <c r="H10160" s="35"/>
      <c r="I10160" s="36"/>
      <c r="J10160" s="37">
        <v>0</v>
      </c>
    </row>
    <row r="10161" spans="1:10" hidden="1" x14ac:dyDescent="0.25">
      <c r="A10161" s="179"/>
      <c r="B10161" s="177"/>
      <c r="C10161" s="39"/>
      <c r="D10161" s="39"/>
      <c r="E10161" s="40"/>
      <c r="F10161" s="70" t="s">
        <v>13</v>
      </c>
      <c r="G10161" s="70" t="str">
        <f>IF(ISNUMBER(F10161),E10161*F10161,"")</f>
        <v/>
      </c>
      <c r="H10161" s="71"/>
      <c r="I10161" s="72"/>
      <c r="J10161" s="37">
        <v>0</v>
      </c>
    </row>
    <row r="10162" spans="1:10" hidden="1" x14ac:dyDescent="0.25">
      <c r="A10162" s="179"/>
      <c r="B10162" s="177"/>
      <c r="C10162" s="43" t="s">
        <v>2460</v>
      </c>
      <c r="D10162" s="43" t="s">
        <v>18</v>
      </c>
      <c r="E10162" s="44">
        <v>1</v>
      </c>
      <c r="F10162" s="70" t="s">
        <v>13</v>
      </c>
      <c r="G10162" s="70" t="str">
        <f>IF(ISNUMBER(F10162),E10162*F10162,"")</f>
        <v/>
      </c>
      <c r="H10162" s="46">
        <f t="shared" ref="H10162" si="17">SUM(G10162:G10162)</f>
        <v>0</v>
      </c>
      <c r="I10162" s="47"/>
      <c r="J10162" s="37">
        <v>0</v>
      </c>
    </row>
    <row r="10163" spans="1:10" ht="15.75" hidden="1" thickBot="1" x14ac:dyDescent="0.3">
      <c r="A10163" s="180"/>
      <c r="B10163" s="178"/>
      <c r="C10163" s="49"/>
      <c r="D10163" s="49"/>
      <c r="E10163" s="50"/>
      <c r="F10163" s="83" t="s">
        <v>13</v>
      </c>
      <c r="G10163" s="83" t="str">
        <f>IF(ISNUMBER(F10163),E10163*F10163,"")</f>
        <v/>
      </c>
      <c r="H10163" s="84"/>
      <c r="I10163" s="72"/>
      <c r="J10163" s="37">
        <v>0</v>
      </c>
    </row>
    <row r="10164" spans="1:10" ht="15.75" hidden="1" thickBot="1" x14ac:dyDescent="0.3">
      <c r="A10164" s="173" t="s">
        <v>2461</v>
      </c>
      <c r="B10164" s="176" t="s">
        <v>9916</v>
      </c>
      <c r="C10164" s="31"/>
      <c r="D10164" s="32" t="s">
        <v>18</v>
      </c>
      <c r="E10164" s="33"/>
      <c r="F10164" s="60" t="s">
        <v>13</v>
      </c>
      <c r="G10164" s="34" t="str">
        <f>IF(ISNUMBER(F10164),E10164*F10164,"")</f>
        <v/>
      </c>
      <c r="H10164" s="35"/>
      <c r="I10164" s="36"/>
      <c r="J10164" s="37">
        <v>0</v>
      </c>
    </row>
    <row r="10165" spans="1:10" hidden="1" x14ac:dyDescent="0.25">
      <c r="A10165" s="179"/>
      <c r="B10165" s="177"/>
      <c r="C10165" s="39"/>
      <c r="D10165" s="39"/>
      <c r="E10165" s="40"/>
      <c r="F10165" s="70" t="s">
        <v>13</v>
      </c>
      <c r="G10165" s="70" t="str">
        <f>IF(ISNUMBER(F10165),E10165*F10165,"")</f>
        <v/>
      </c>
      <c r="H10165" s="71"/>
      <c r="I10165" s="72"/>
      <c r="J10165" s="37">
        <v>0</v>
      </c>
    </row>
    <row r="10166" spans="1:10" hidden="1" x14ac:dyDescent="0.25">
      <c r="A10166" s="179"/>
      <c r="B10166" s="177"/>
      <c r="C10166" s="43" t="s">
        <v>2462</v>
      </c>
      <c r="D10166" s="43" t="s">
        <v>18</v>
      </c>
      <c r="E10166" s="44">
        <v>1</v>
      </c>
      <c r="F10166" s="70" t="s">
        <v>13</v>
      </c>
      <c r="G10166" s="70" t="str">
        <f>IF(ISNUMBER(F10166),E10166*F10166,"")</f>
        <v/>
      </c>
      <c r="H10166" s="46">
        <f t="shared" ref="H10166" si="18">SUM(G10166:G10166)</f>
        <v>0</v>
      </c>
      <c r="I10166" s="47"/>
      <c r="J10166" s="37">
        <v>0</v>
      </c>
    </row>
    <row r="10167" spans="1:10" ht="15.75" hidden="1" thickBot="1" x14ac:dyDescent="0.3">
      <c r="A10167" s="180"/>
      <c r="B10167" s="178"/>
      <c r="C10167" s="49"/>
      <c r="D10167" s="49"/>
      <c r="E10167" s="50"/>
      <c r="F10167" s="83" t="s">
        <v>13</v>
      </c>
      <c r="G10167" s="83" t="str">
        <f>IF(ISNUMBER(F10167),E10167*F10167,"")</f>
        <v/>
      </c>
      <c r="H10167" s="84"/>
      <c r="I10167" s="72"/>
      <c r="J10167" s="37">
        <v>0</v>
      </c>
    </row>
    <row r="10168" spans="1:10" ht="15.75" hidden="1" thickBot="1" x14ac:dyDescent="0.3">
      <c r="A10168" s="173" t="s">
        <v>2463</v>
      </c>
      <c r="B10168" s="176" t="s">
        <v>9917</v>
      </c>
      <c r="C10168" s="31"/>
      <c r="D10168" s="32" t="s">
        <v>18</v>
      </c>
      <c r="E10168" s="33"/>
      <c r="F10168" s="60" t="s">
        <v>13</v>
      </c>
      <c r="G10168" s="34" t="str">
        <f>IF(ISNUMBER(F10168),E10168*F10168,"")</f>
        <v/>
      </c>
      <c r="H10168" s="35"/>
      <c r="I10168" s="36"/>
      <c r="J10168" s="37">
        <v>0</v>
      </c>
    </row>
    <row r="10169" spans="1:10" hidden="1" x14ac:dyDescent="0.25">
      <c r="A10169" s="179"/>
      <c r="B10169" s="177"/>
      <c r="C10169" s="39"/>
      <c r="D10169" s="39"/>
      <c r="E10169" s="40"/>
      <c r="F10169" s="70" t="s">
        <v>13</v>
      </c>
      <c r="G10169" s="70" t="str">
        <f>IF(ISNUMBER(F10169),E10169*F10169,"")</f>
        <v/>
      </c>
      <c r="H10169" s="71"/>
      <c r="I10169" s="72"/>
      <c r="J10169" s="37">
        <v>0</v>
      </c>
    </row>
    <row r="10170" spans="1:10" hidden="1" x14ac:dyDescent="0.25">
      <c r="A10170" s="179"/>
      <c r="B10170" s="177"/>
      <c r="C10170" s="43" t="s">
        <v>11775</v>
      </c>
      <c r="D10170" s="43" t="s">
        <v>83</v>
      </c>
      <c r="E10170" s="44">
        <v>1</v>
      </c>
      <c r="F10170" s="70">
        <v>9.5379999999999985</v>
      </c>
      <c r="G10170" s="70">
        <f>IF(ISNUMBER(F10170),E10170*F10170,"")</f>
        <v>9.5379999999999985</v>
      </c>
      <c r="H10170" s="46">
        <f>SUM(G10170:G10170)</f>
        <v>9.5379999999999985</v>
      </c>
      <c r="I10170" s="47"/>
      <c r="J10170" s="37">
        <v>0</v>
      </c>
    </row>
    <row r="10171" spans="1:10" ht="15.75" hidden="1" thickBot="1" x14ac:dyDescent="0.3">
      <c r="A10171" s="180"/>
      <c r="B10171" s="178"/>
      <c r="C10171" s="49"/>
      <c r="D10171" s="49"/>
      <c r="E10171" s="50"/>
      <c r="F10171" s="83" t="s">
        <v>13</v>
      </c>
      <c r="G10171" s="83" t="str">
        <f>IF(ISNUMBER(F10171),E10171*F10171,"")</f>
        <v/>
      </c>
      <c r="H10171" s="84"/>
      <c r="I10171" s="72"/>
      <c r="J10171" s="37">
        <v>0</v>
      </c>
    </row>
    <row r="10172" spans="1:10" ht="15.75" hidden="1" thickBot="1" x14ac:dyDescent="0.3">
      <c r="A10172" s="173" t="s">
        <v>2464</v>
      </c>
      <c r="B10172" s="176" t="s">
        <v>9918</v>
      </c>
      <c r="C10172" s="31"/>
      <c r="D10172" s="32" t="s">
        <v>18</v>
      </c>
      <c r="E10172" s="33"/>
      <c r="F10172" s="60" t="s">
        <v>13</v>
      </c>
      <c r="G10172" s="34" t="str">
        <f>IF(ISNUMBER(F10172),E10172*F10172,"")</f>
        <v/>
      </c>
      <c r="H10172" s="35"/>
      <c r="I10172" s="36"/>
      <c r="J10172" s="37">
        <v>0</v>
      </c>
    </row>
    <row r="10173" spans="1:10" hidden="1" x14ac:dyDescent="0.25">
      <c r="A10173" s="179"/>
      <c r="B10173" s="177"/>
      <c r="C10173" s="39"/>
      <c r="D10173" s="39"/>
      <c r="E10173" s="40"/>
      <c r="F10173" s="70" t="s">
        <v>13</v>
      </c>
      <c r="G10173" s="70" t="str">
        <f>IF(ISNUMBER(F10173),E10173*F10173,"")</f>
        <v/>
      </c>
      <c r="H10173" s="71"/>
      <c r="I10173" s="72"/>
      <c r="J10173" s="37">
        <v>0</v>
      </c>
    </row>
    <row r="10174" spans="1:10" hidden="1" x14ac:dyDescent="0.25">
      <c r="A10174" s="179"/>
      <c r="B10174" s="177"/>
      <c r="C10174" s="43" t="s">
        <v>11776</v>
      </c>
      <c r="D10174" s="43" t="s">
        <v>83</v>
      </c>
      <c r="E10174" s="44">
        <v>1</v>
      </c>
      <c r="F10174" s="70">
        <v>51.109999999999992</v>
      </c>
      <c r="G10174" s="70">
        <f>IF(ISNUMBER(F10174),E10174*F10174,"")</f>
        <v>51.109999999999992</v>
      </c>
      <c r="H10174" s="46">
        <f>SUM(G10174:G10174)</f>
        <v>51.109999999999992</v>
      </c>
      <c r="I10174" s="47"/>
      <c r="J10174" s="37">
        <v>0</v>
      </c>
    </row>
    <row r="10175" spans="1:10" ht="15.75" hidden="1" thickBot="1" x14ac:dyDescent="0.3">
      <c r="A10175" s="180"/>
      <c r="B10175" s="178"/>
      <c r="C10175" s="49"/>
      <c r="D10175" s="49"/>
      <c r="E10175" s="50"/>
      <c r="F10175" s="83" t="s">
        <v>13</v>
      </c>
      <c r="G10175" s="83" t="str">
        <f>IF(ISNUMBER(F10175),E10175*F10175,"")</f>
        <v/>
      </c>
      <c r="H10175" s="84"/>
      <c r="I10175" s="72"/>
      <c r="J10175" s="37">
        <v>0</v>
      </c>
    </row>
    <row r="10176" spans="1:10" ht="15.75" hidden="1" thickBot="1" x14ac:dyDescent="0.3">
      <c r="A10176" s="173" t="s">
        <v>2465</v>
      </c>
      <c r="B10176" s="176" t="s">
        <v>9919</v>
      </c>
      <c r="C10176" s="31"/>
      <c r="D10176" s="32" t="s">
        <v>18</v>
      </c>
      <c r="E10176" s="33"/>
      <c r="F10176" s="60" t="s">
        <v>13</v>
      </c>
      <c r="G10176" s="34" t="str">
        <f>IF(ISNUMBER(F10176),E10176*F10176,"")</f>
        <v/>
      </c>
      <c r="H10176" s="35"/>
      <c r="I10176" s="36"/>
      <c r="J10176" s="37">
        <v>0</v>
      </c>
    </row>
    <row r="10177" spans="1:10" hidden="1" x14ac:dyDescent="0.25">
      <c r="A10177" s="179"/>
      <c r="B10177" s="177"/>
      <c r="C10177" s="39"/>
      <c r="D10177" s="39"/>
      <c r="E10177" s="40"/>
      <c r="F10177" s="70" t="s">
        <v>13</v>
      </c>
      <c r="G10177" s="70" t="str">
        <f>IF(ISNUMBER(F10177),E10177*F10177,"")</f>
        <v/>
      </c>
      <c r="H10177" s="71"/>
      <c r="I10177" s="72"/>
      <c r="J10177" s="37">
        <v>0</v>
      </c>
    </row>
    <row r="10178" spans="1:10" hidden="1" x14ac:dyDescent="0.25">
      <c r="A10178" s="179"/>
      <c r="B10178" s="177"/>
      <c r="C10178" s="43" t="s">
        <v>11777</v>
      </c>
      <c r="D10178" s="43" t="s">
        <v>83</v>
      </c>
      <c r="E10178" s="44">
        <v>1</v>
      </c>
      <c r="F10178" s="70">
        <v>62.491</v>
      </c>
      <c r="G10178" s="70">
        <f>IF(ISNUMBER(F10178),E10178*F10178,"")</f>
        <v>62.491</v>
      </c>
      <c r="H10178" s="46">
        <f>SUM(G10178:G10178)</f>
        <v>62.491</v>
      </c>
      <c r="I10178" s="47"/>
      <c r="J10178" s="37">
        <v>0</v>
      </c>
    </row>
    <row r="10179" spans="1:10" ht="15.75" hidden="1" thickBot="1" x14ac:dyDescent="0.3">
      <c r="A10179" s="180"/>
      <c r="B10179" s="178"/>
      <c r="C10179" s="49"/>
      <c r="D10179" s="49"/>
      <c r="E10179" s="50"/>
      <c r="F10179" s="83" t="s">
        <v>13</v>
      </c>
      <c r="G10179" s="83" t="str">
        <f>IF(ISNUMBER(F10179),E10179*F10179,"")</f>
        <v/>
      </c>
      <c r="H10179" s="84"/>
      <c r="I10179" s="72"/>
      <c r="J10179" s="37">
        <v>0</v>
      </c>
    </row>
    <row r="10180" spans="1:10" ht="15.75" hidden="1" thickBot="1" x14ac:dyDescent="0.3">
      <c r="A10180" s="173" t="s">
        <v>2466</v>
      </c>
      <c r="B10180" s="176" t="s">
        <v>9920</v>
      </c>
      <c r="C10180" s="31"/>
      <c r="D10180" s="32" t="s">
        <v>18</v>
      </c>
      <c r="E10180" s="33"/>
      <c r="F10180" s="60" t="s">
        <v>13</v>
      </c>
      <c r="G10180" s="34" t="str">
        <f>IF(ISNUMBER(F10180),E10180*F10180,"")</f>
        <v/>
      </c>
      <c r="H10180" s="35"/>
      <c r="I10180" s="36"/>
      <c r="J10180" s="37">
        <v>0</v>
      </c>
    </row>
    <row r="10181" spans="1:10" hidden="1" x14ac:dyDescent="0.25">
      <c r="A10181" s="179"/>
      <c r="B10181" s="177"/>
      <c r="C10181" s="39"/>
      <c r="D10181" s="39"/>
      <c r="E10181" s="40"/>
      <c r="F10181" s="70" t="s">
        <v>13</v>
      </c>
      <c r="G10181" s="70" t="str">
        <f>IF(ISNUMBER(F10181),E10181*F10181,"")</f>
        <v/>
      </c>
      <c r="H10181" s="71"/>
      <c r="I10181" s="72"/>
      <c r="J10181" s="37">
        <v>0</v>
      </c>
    </row>
    <row r="10182" spans="1:10" hidden="1" x14ac:dyDescent="0.25">
      <c r="A10182" s="179"/>
      <c r="B10182" s="177"/>
      <c r="C10182" s="43" t="s">
        <v>11778</v>
      </c>
      <c r="D10182" s="43" t="s">
        <v>83</v>
      </c>
      <c r="E10182" s="44">
        <v>1</v>
      </c>
      <c r="F10182" s="70">
        <v>31.159999999999997</v>
      </c>
      <c r="G10182" s="70">
        <f>IF(ISNUMBER(F10182),E10182*F10182,"")</f>
        <v>31.159999999999997</v>
      </c>
      <c r="H10182" s="46">
        <f>SUM(G10182:G10182)</f>
        <v>31.159999999999997</v>
      </c>
      <c r="I10182" s="47"/>
      <c r="J10182" s="37">
        <v>0</v>
      </c>
    </row>
    <row r="10183" spans="1:10" ht="15.75" hidden="1" thickBot="1" x14ac:dyDescent="0.3">
      <c r="A10183" s="180"/>
      <c r="B10183" s="178"/>
      <c r="C10183" s="49"/>
      <c r="D10183" s="49"/>
      <c r="E10183" s="50"/>
      <c r="F10183" s="83" t="s">
        <v>13</v>
      </c>
      <c r="G10183" s="83" t="str">
        <f>IF(ISNUMBER(F10183),E10183*F10183,"")</f>
        <v/>
      </c>
      <c r="H10183" s="84"/>
      <c r="I10183" s="72"/>
      <c r="J10183" s="37">
        <v>0</v>
      </c>
    </row>
    <row r="10184" spans="1:10" ht="15.75" hidden="1" thickBot="1" x14ac:dyDescent="0.3">
      <c r="A10184" s="173" t="s">
        <v>2467</v>
      </c>
      <c r="B10184" s="176" t="s">
        <v>9921</v>
      </c>
      <c r="C10184" s="31"/>
      <c r="D10184" s="32" t="s">
        <v>18</v>
      </c>
      <c r="E10184" s="33"/>
      <c r="F10184" s="60" t="s">
        <v>13</v>
      </c>
      <c r="G10184" s="34" t="str">
        <f>IF(ISNUMBER(F10184),E10184*F10184,"")</f>
        <v/>
      </c>
      <c r="H10184" s="35"/>
      <c r="I10184" s="36"/>
      <c r="J10184" s="37">
        <v>0</v>
      </c>
    </row>
    <row r="10185" spans="1:10" hidden="1" x14ac:dyDescent="0.25">
      <c r="A10185" s="179"/>
      <c r="B10185" s="177"/>
      <c r="C10185" s="39"/>
      <c r="D10185" s="39"/>
      <c r="E10185" s="40"/>
      <c r="F10185" s="70" t="s">
        <v>13</v>
      </c>
      <c r="G10185" s="70" t="str">
        <f>IF(ISNUMBER(F10185),E10185*F10185,"")</f>
        <v/>
      </c>
      <c r="H10185" s="71"/>
      <c r="I10185" s="72"/>
      <c r="J10185" s="37">
        <v>0</v>
      </c>
    </row>
    <row r="10186" spans="1:10" ht="25.5" hidden="1" x14ac:dyDescent="0.25">
      <c r="A10186" s="179"/>
      <c r="B10186" s="177"/>
      <c r="C10186" s="43" t="s">
        <v>11779</v>
      </c>
      <c r="D10186" s="43" t="s">
        <v>83</v>
      </c>
      <c r="E10186" s="44">
        <v>1</v>
      </c>
      <c r="F10186" s="70">
        <v>179.04649999999998</v>
      </c>
      <c r="G10186" s="70">
        <f>IF(ISNUMBER(F10186),E10186*F10186,"")</f>
        <v>179.04649999999998</v>
      </c>
      <c r="H10186" s="46">
        <f>SUM(G10186:G10186)</f>
        <v>179.04649999999998</v>
      </c>
      <c r="I10186" s="47"/>
      <c r="J10186" s="37">
        <v>0</v>
      </c>
    </row>
    <row r="10187" spans="1:10" ht="15.75" hidden="1" thickBot="1" x14ac:dyDescent="0.3">
      <c r="A10187" s="180"/>
      <c r="B10187" s="178"/>
      <c r="C10187" s="49"/>
      <c r="D10187" s="49"/>
      <c r="E10187" s="50"/>
      <c r="F10187" s="83" t="s">
        <v>13</v>
      </c>
      <c r="G10187" s="83" t="str">
        <f>IF(ISNUMBER(F10187),E10187*F10187,"")</f>
        <v/>
      </c>
      <c r="H10187" s="84"/>
      <c r="I10187" s="72"/>
      <c r="J10187" s="37">
        <v>0</v>
      </c>
    </row>
    <row r="10188" spans="1:10" ht="15.75" hidden="1" thickBot="1" x14ac:dyDescent="0.3">
      <c r="A10188" s="173" t="s">
        <v>2468</v>
      </c>
      <c r="B10188" s="176" t="s">
        <v>9926</v>
      </c>
      <c r="C10188" s="31"/>
      <c r="D10188" s="32" t="s">
        <v>18</v>
      </c>
      <c r="E10188" s="33"/>
      <c r="F10188" s="60" t="s">
        <v>13</v>
      </c>
      <c r="G10188" s="34" t="str">
        <f>IF(ISNUMBER(F10188),E10188*F10188,"")</f>
        <v/>
      </c>
      <c r="H10188" s="35"/>
      <c r="I10188" s="36"/>
      <c r="J10188" s="37">
        <v>0</v>
      </c>
    </row>
    <row r="10189" spans="1:10" hidden="1" x14ac:dyDescent="0.25">
      <c r="A10189" s="179"/>
      <c r="B10189" s="177"/>
      <c r="C10189" s="39"/>
      <c r="D10189" s="39"/>
      <c r="E10189" s="40"/>
      <c r="F10189" s="70" t="s">
        <v>13</v>
      </c>
      <c r="G10189" s="70" t="str">
        <f>IF(ISNUMBER(F10189),E10189*F10189,"")</f>
        <v/>
      </c>
      <c r="H10189" s="71"/>
      <c r="I10189" s="72"/>
      <c r="J10189" s="37">
        <v>0</v>
      </c>
    </row>
    <row r="10190" spans="1:10" hidden="1" x14ac:dyDescent="0.25">
      <c r="A10190" s="179"/>
      <c r="B10190" s="177"/>
      <c r="C10190" s="43" t="s">
        <v>11780</v>
      </c>
      <c r="D10190" s="43" t="s">
        <v>83</v>
      </c>
      <c r="E10190" s="44">
        <v>1</v>
      </c>
      <c r="F10190" s="70">
        <v>116.42249999999999</v>
      </c>
      <c r="G10190" s="70">
        <f>IF(ISNUMBER(F10190),E10190*F10190,"")</f>
        <v>116.42249999999999</v>
      </c>
      <c r="H10190" s="46">
        <f>SUM(G10190:G10190)</f>
        <v>116.42249999999999</v>
      </c>
      <c r="I10190" s="47"/>
      <c r="J10190" s="37">
        <v>0</v>
      </c>
    </row>
    <row r="10191" spans="1:10" ht="15.75" hidden="1" thickBot="1" x14ac:dyDescent="0.3">
      <c r="A10191" s="180"/>
      <c r="B10191" s="178"/>
      <c r="C10191" s="49"/>
      <c r="D10191" s="49"/>
      <c r="E10191" s="50"/>
      <c r="F10191" s="83" t="s">
        <v>13</v>
      </c>
      <c r="G10191" s="83" t="str">
        <f>IF(ISNUMBER(F10191),E10191*F10191,"")</f>
        <v/>
      </c>
      <c r="H10191" s="84"/>
      <c r="I10191" s="72"/>
      <c r="J10191" s="37">
        <v>0</v>
      </c>
    </row>
    <row r="10192" spans="1:10" ht="15.75" hidden="1" thickBot="1" x14ac:dyDescent="0.3">
      <c r="A10192" s="173" t="s">
        <v>2469</v>
      </c>
      <c r="B10192" s="176" t="s">
        <v>9927</v>
      </c>
      <c r="C10192" s="31"/>
      <c r="D10192" s="32" t="s">
        <v>18</v>
      </c>
      <c r="E10192" s="33"/>
      <c r="F10192" s="60" t="s">
        <v>13</v>
      </c>
      <c r="G10192" s="34" t="str">
        <f>IF(ISNUMBER(F10192),E10192*F10192,"")</f>
        <v/>
      </c>
      <c r="H10192" s="35"/>
      <c r="I10192" s="36"/>
      <c r="J10192" s="37">
        <v>0</v>
      </c>
    </row>
    <row r="10193" spans="1:10" hidden="1" x14ac:dyDescent="0.25">
      <c r="A10193" s="179"/>
      <c r="B10193" s="177"/>
      <c r="C10193" s="39"/>
      <c r="D10193" s="39"/>
      <c r="E10193" s="40"/>
      <c r="F10193" s="70" t="s">
        <v>13</v>
      </c>
      <c r="G10193" s="70" t="str">
        <f>IF(ISNUMBER(F10193),E10193*F10193,"")</f>
        <v/>
      </c>
      <c r="H10193" s="71"/>
      <c r="I10193" s="72"/>
      <c r="J10193" s="37">
        <v>0</v>
      </c>
    </row>
    <row r="10194" spans="1:10" hidden="1" x14ac:dyDescent="0.25">
      <c r="A10194" s="179"/>
      <c r="B10194" s="177"/>
      <c r="C10194" s="43" t="s">
        <v>11781</v>
      </c>
      <c r="D10194" s="43" t="s">
        <v>83</v>
      </c>
      <c r="E10194" s="44">
        <v>1</v>
      </c>
      <c r="F10194" s="70">
        <v>151.75300000000001</v>
      </c>
      <c r="G10194" s="70">
        <f>IF(ISNUMBER(F10194),E10194*F10194,"")</f>
        <v>151.75300000000001</v>
      </c>
      <c r="H10194" s="46">
        <f>SUM(G10194:G10194)</f>
        <v>151.75300000000001</v>
      </c>
      <c r="I10194" s="47"/>
      <c r="J10194" s="37">
        <v>0</v>
      </c>
    </row>
    <row r="10195" spans="1:10" ht="15.75" hidden="1" thickBot="1" x14ac:dyDescent="0.3">
      <c r="A10195" s="180"/>
      <c r="B10195" s="178"/>
      <c r="C10195" s="49"/>
      <c r="D10195" s="49"/>
      <c r="E10195" s="50"/>
      <c r="F10195" s="83" t="s">
        <v>13</v>
      </c>
      <c r="G10195" s="83" t="str">
        <f>IF(ISNUMBER(F10195),E10195*F10195,"")</f>
        <v/>
      </c>
      <c r="H10195" s="84"/>
      <c r="I10195" s="72"/>
      <c r="J10195" s="37">
        <v>0</v>
      </c>
    </row>
    <row r="10196" spans="1:10" ht="15.75" hidden="1" thickBot="1" x14ac:dyDescent="0.3">
      <c r="A10196" s="173" t="s">
        <v>2470</v>
      </c>
      <c r="B10196" s="176" t="s">
        <v>9931</v>
      </c>
      <c r="C10196" s="31"/>
      <c r="D10196" s="32" t="s">
        <v>18</v>
      </c>
      <c r="E10196" s="33"/>
      <c r="F10196" s="60" t="s">
        <v>13</v>
      </c>
      <c r="G10196" s="34" t="str">
        <f>IF(ISNUMBER(F10196),E10196*F10196,"")</f>
        <v/>
      </c>
      <c r="H10196" s="35"/>
      <c r="I10196" s="36"/>
      <c r="J10196" s="37">
        <v>0</v>
      </c>
    </row>
    <row r="10197" spans="1:10" hidden="1" x14ac:dyDescent="0.25">
      <c r="A10197" s="179"/>
      <c r="B10197" s="177"/>
      <c r="C10197" s="39"/>
      <c r="D10197" s="39"/>
      <c r="E10197" s="40"/>
      <c r="F10197" s="70" t="s">
        <v>13</v>
      </c>
      <c r="G10197" s="70" t="str">
        <f>IF(ISNUMBER(F10197),E10197*F10197,"")</f>
        <v/>
      </c>
      <c r="H10197" s="71"/>
      <c r="I10197" s="72"/>
      <c r="J10197" s="37">
        <v>0</v>
      </c>
    </row>
    <row r="10198" spans="1:10" ht="25.5" hidden="1" x14ac:dyDescent="0.25">
      <c r="A10198" s="179"/>
      <c r="B10198" s="177"/>
      <c r="C10198" s="43" t="s">
        <v>11782</v>
      </c>
      <c r="D10198" s="43" t="s">
        <v>83</v>
      </c>
      <c r="E10198" s="44">
        <v>1</v>
      </c>
      <c r="F10198" s="70">
        <v>14.078999999999999</v>
      </c>
      <c r="G10198" s="70">
        <f>IF(ISNUMBER(F10198),E10198*F10198,"")</f>
        <v>14.078999999999999</v>
      </c>
      <c r="H10198" s="46">
        <f>SUM(G10198:G10198)</f>
        <v>14.078999999999999</v>
      </c>
      <c r="I10198" s="47"/>
      <c r="J10198" s="37">
        <v>0</v>
      </c>
    </row>
    <row r="10199" spans="1:10" ht="15.75" hidden="1" thickBot="1" x14ac:dyDescent="0.3">
      <c r="A10199" s="180"/>
      <c r="B10199" s="178"/>
      <c r="C10199" s="49"/>
      <c r="D10199" s="49"/>
      <c r="E10199" s="50"/>
      <c r="F10199" s="83" t="s">
        <v>13</v>
      </c>
      <c r="G10199" s="83" t="str">
        <f>IF(ISNUMBER(F10199),E10199*F10199,"")</f>
        <v/>
      </c>
      <c r="H10199" s="84"/>
      <c r="I10199" s="72"/>
      <c r="J10199" s="37">
        <v>0</v>
      </c>
    </row>
    <row r="10200" spans="1:10" ht="15.75" hidden="1" thickBot="1" x14ac:dyDescent="0.3">
      <c r="A10200" s="173" t="s">
        <v>2471</v>
      </c>
      <c r="B10200" s="176" t="s">
        <v>9930</v>
      </c>
      <c r="C10200" s="31"/>
      <c r="D10200" s="32" t="s">
        <v>18</v>
      </c>
      <c r="E10200" s="33"/>
      <c r="F10200" s="60" t="s">
        <v>13</v>
      </c>
      <c r="G10200" s="34" t="str">
        <f>IF(ISNUMBER(F10200),E10200*F10200,"")</f>
        <v/>
      </c>
      <c r="H10200" s="35"/>
      <c r="I10200" s="36"/>
      <c r="J10200" s="37">
        <v>0</v>
      </c>
    </row>
    <row r="10201" spans="1:10" hidden="1" x14ac:dyDescent="0.25">
      <c r="A10201" s="179"/>
      <c r="B10201" s="177"/>
      <c r="C10201" s="39"/>
      <c r="D10201" s="39"/>
      <c r="E10201" s="40"/>
      <c r="F10201" s="70" t="s">
        <v>13</v>
      </c>
      <c r="G10201" s="70" t="str">
        <f>IF(ISNUMBER(F10201),E10201*F10201,"")</f>
        <v/>
      </c>
      <c r="H10201" s="71"/>
      <c r="I10201" s="72"/>
      <c r="J10201" s="37">
        <v>0</v>
      </c>
    </row>
    <row r="10202" spans="1:10" hidden="1" x14ac:dyDescent="0.25">
      <c r="A10202" s="179"/>
      <c r="B10202" s="177"/>
      <c r="C10202" s="43" t="s">
        <v>2472</v>
      </c>
      <c r="D10202" s="43" t="s">
        <v>18</v>
      </c>
      <c r="E10202" s="44">
        <v>1</v>
      </c>
      <c r="F10202" s="70" t="s">
        <v>13</v>
      </c>
      <c r="G10202" s="70" t="str">
        <f>IF(ISNUMBER(F10202),E10202*F10202,"")</f>
        <v/>
      </c>
      <c r="H10202" s="46">
        <f>SUM(G10202:G10202)</f>
        <v>0</v>
      </c>
      <c r="I10202" s="47"/>
      <c r="J10202" s="37">
        <v>0</v>
      </c>
    </row>
    <row r="10203" spans="1:10" ht="15.75" hidden="1" thickBot="1" x14ac:dyDescent="0.3">
      <c r="A10203" s="180"/>
      <c r="B10203" s="178"/>
      <c r="C10203" s="49"/>
      <c r="D10203" s="49"/>
      <c r="E10203" s="50"/>
      <c r="F10203" s="83" t="s">
        <v>13</v>
      </c>
      <c r="G10203" s="83" t="str">
        <f>IF(ISNUMBER(F10203),E10203*F10203,"")</f>
        <v/>
      </c>
      <c r="H10203" s="84"/>
      <c r="I10203" s="72"/>
      <c r="J10203" s="37">
        <v>0</v>
      </c>
    </row>
    <row r="10204" spans="1:10" ht="15.75" hidden="1" thickBot="1" x14ac:dyDescent="0.3">
      <c r="A10204" s="173" t="s">
        <v>2473</v>
      </c>
      <c r="B10204" s="176" t="s">
        <v>9932</v>
      </c>
      <c r="C10204" s="31"/>
      <c r="D10204" s="32" t="s">
        <v>18</v>
      </c>
      <c r="E10204" s="33"/>
      <c r="F10204" s="60" t="s">
        <v>13</v>
      </c>
      <c r="G10204" s="34" t="str">
        <f>IF(ISNUMBER(F10204),E10204*F10204,"")</f>
        <v/>
      </c>
      <c r="H10204" s="35"/>
      <c r="I10204" s="36"/>
      <c r="J10204" s="37">
        <v>0</v>
      </c>
    </row>
    <row r="10205" spans="1:10" hidden="1" x14ac:dyDescent="0.25">
      <c r="A10205" s="179"/>
      <c r="B10205" s="177"/>
      <c r="C10205" s="39"/>
      <c r="D10205" s="39"/>
      <c r="E10205" s="40"/>
      <c r="F10205" s="70" t="s">
        <v>13</v>
      </c>
      <c r="G10205" s="70" t="str">
        <f>IF(ISNUMBER(F10205),E10205*F10205,"")</f>
        <v/>
      </c>
      <c r="H10205" s="71"/>
      <c r="I10205" s="72"/>
      <c r="J10205" s="37">
        <v>0</v>
      </c>
    </row>
    <row r="10206" spans="1:10" ht="25.5" hidden="1" x14ac:dyDescent="0.25">
      <c r="A10206" s="179"/>
      <c r="B10206" s="177"/>
      <c r="C10206" s="43" t="s">
        <v>11783</v>
      </c>
      <c r="D10206" s="43" t="s">
        <v>83</v>
      </c>
      <c r="E10206" s="44">
        <v>1</v>
      </c>
      <c r="F10206" s="70">
        <v>18.962</v>
      </c>
      <c r="G10206" s="70">
        <f>IF(ISNUMBER(F10206),E10206*F10206,"")</f>
        <v>18.962</v>
      </c>
      <c r="H10206" s="46">
        <f>SUM(G10206:G10206)</f>
        <v>18.962</v>
      </c>
      <c r="I10206" s="47"/>
      <c r="J10206" s="37">
        <v>0</v>
      </c>
    </row>
    <row r="10207" spans="1:10" ht="15.75" hidden="1" thickBot="1" x14ac:dyDescent="0.3">
      <c r="A10207" s="180"/>
      <c r="B10207" s="178"/>
      <c r="C10207" s="49"/>
      <c r="D10207" s="49"/>
      <c r="E10207" s="50"/>
      <c r="F10207" s="83" t="s">
        <v>13</v>
      </c>
      <c r="G10207" s="83" t="str">
        <f>IF(ISNUMBER(F10207),E10207*F10207,"")</f>
        <v/>
      </c>
      <c r="H10207" s="84"/>
      <c r="I10207" s="72"/>
      <c r="J10207" s="37">
        <v>0</v>
      </c>
    </row>
    <row r="10208" spans="1:10" ht="15.75" hidden="1" thickBot="1" x14ac:dyDescent="0.3">
      <c r="A10208" s="173" t="s">
        <v>2474</v>
      </c>
      <c r="B10208" s="176" t="s">
        <v>2475</v>
      </c>
      <c r="C10208" s="31"/>
      <c r="D10208" s="32" t="s">
        <v>18</v>
      </c>
      <c r="E10208" s="33"/>
      <c r="F10208" s="60" t="s">
        <v>13</v>
      </c>
      <c r="G10208" s="34" t="str">
        <f>IF(ISNUMBER(F10208),E10208*F10208,"")</f>
        <v/>
      </c>
      <c r="H10208" s="35"/>
      <c r="I10208" s="36"/>
      <c r="J10208" s="37">
        <v>0</v>
      </c>
    </row>
    <row r="10209" spans="1:10" hidden="1" x14ac:dyDescent="0.25">
      <c r="A10209" s="179"/>
      <c r="B10209" s="177"/>
      <c r="C10209" s="39"/>
      <c r="D10209" s="39"/>
      <c r="E10209" s="40"/>
      <c r="F10209" s="70" t="s">
        <v>13</v>
      </c>
      <c r="G10209" s="70" t="str">
        <f>IF(ISNUMBER(F10209),E10209*F10209,"")</f>
        <v/>
      </c>
      <c r="H10209" s="71"/>
      <c r="I10209" s="72"/>
      <c r="J10209" s="37">
        <v>0</v>
      </c>
    </row>
    <row r="10210" spans="1:10" hidden="1" x14ac:dyDescent="0.25">
      <c r="A10210" s="179"/>
      <c r="B10210" s="177"/>
      <c r="C10210" s="43" t="s">
        <v>2475</v>
      </c>
      <c r="D10210" s="43" t="s">
        <v>83</v>
      </c>
      <c r="E10210" s="44">
        <v>1</v>
      </c>
      <c r="F10210" s="70" t="s">
        <v>13</v>
      </c>
      <c r="G10210" s="70" t="str">
        <f>IF(ISNUMBER(F10210),E10210*F10210,"")</f>
        <v/>
      </c>
      <c r="H10210" s="46">
        <f>SUM(G10210:G10210)</f>
        <v>0</v>
      </c>
      <c r="I10210" s="47"/>
      <c r="J10210" s="37">
        <v>0</v>
      </c>
    </row>
    <row r="10211" spans="1:10" ht="15.75" hidden="1" thickBot="1" x14ac:dyDescent="0.3">
      <c r="A10211" s="180"/>
      <c r="B10211" s="178"/>
      <c r="C10211" s="49"/>
      <c r="D10211" s="49"/>
      <c r="E10211" s="50"/>
      <c r="F10211" s="83" t="s">
        <v>13</v>
      </c>
      <c r="G10211" s="83" t="str">
        <f>IF(ISNUMBER(F10211),E10211*F10211,"")</f>
        <v/>
      </c>
      <c r="H10211" s="84"/>
      <c r="I10211" s="72"/>
      <c r="J10211" s="37">
        <v>0</v>
      </c>
    </row>
    <row r="10212" spans="1:10" ht="15.75" hidden="1" thickBot="1" x14ac:dyDescent="0.3">
      <c r="A10212" s="173" t="s">
        <v>2476</v>
      </c>
      <c r="B10212" s="176" t="s">
        <v>2477</v>
      </c>
      <c r="C10212" s="31"/>
      <c r="D10212" s="32" t="s">
        <v>18</v>
      </c>
      <c r="E10212" s="33"/>
      <c r="F10212" s="60" t="s">
        <v>13</v>
      </c>
      <c r="G10212" s="34" t="str">
        <f>IF(ISNUMBER(F10212),E10212*F10212,"")</f>
        <v/>
      </c>
      <c r="H10212" s="35"/>
      <c r="I10212" s="36"/>
      <c r="J10212" s="37">
        <v>0</v>
      </c>
    </row>
    <row r="10213" spans="1:10" hidden="1" x14ac:dyDescent="0.25">
      <c r="A10213" s="179"/>
      <c r="B10213" s="177"/>
      <c r="C10213" s="39"/>
      <c r="D10213" s="39"/>
      <c r="E10213" s="40"/>
      <c r="F10213" s="70" t="s">
        <v>13</v>
      </c>
      <c r="G10213" s="70" t="str">
        <f>IF(ISNUMBER(F10213),E10213*F10213,"")</f>
        <v/>
      </c>
      <c r="H10213" s="71"/>
      <c r="I10213" s="72"/>
      <c r="J10213" s="37">
        <v>0</v>
      </c>
    </row>
    <row r="10214" spans="1:10" hidden="1" x14ac:dyDescent="0.25">
      <c r="A10214" s="179"/>
      <c r="B10214" s="177"/>
      <c r="C10214" s="43" t="s">
        <v>2477</v>
      </c>
      <c r="D10214" s="43" t="s">
        <v>83</v>
      </c>
      <c r="E10214" s="44">
        <v>1</v>
      </c>
      <c r="F10214" s="70" t="s">
        <v>13</v>
      </c>
      <c r="G10214" s="70" t="str">
        <f>IF(ISNUMBER(F10214),E10214*F10214,"")</f>
        <v/>
      </c>
      <c r="H10214" s="46">
        <f>SUM(G10214:G10214)</f>
        <v>0</v>
      </c>
      <c r="I10214" s="47"/>
      <c r="J10214" s="37">
        <v>0</v>
      </c>
    </row>
    <row r="10215" spans="1:10" ht="15.75" hidden="1" thickBot="1" x14ac:dyDescent="0.3">
      <c r="A10215" s="180"/>
      <c r="B10215" s="178"/>
      <c r="C10215" s="49"/>
      <c r="D10215" s="49"/>
      <c r="E10215" s="50"/>
      <c r="F10215" s="83" t="s">
        <v>13</v>
      </c>
      <c r="G10215" s="83" t="str">
        <f>IF(ISNUMBER(F10215),E10215*F10215,"")</f>
        <v/>
      </c>
      <c r="H10215" s="84"/>
      <c r="I10215" s="72"/>
      <c r="J10215" s="37">
        <v>0</v>
      </c>
    </row>
    <row r="10216" spans="1:10" ht="15.75" hidden="1" thickBot="1" x14ac:dyDescent="0.3">
      <c r="A10216" s="173" t="s">
        <v>2478</v>
      </c>
      <c r="B10216" s="176" t="s">
        <v>9933</v>
      </c>
      <c r="C10216" s="31"/>
      <c r="D10216" s="32" t="s">
        <v>18</v>
      </c>
      <c r="E10216" s="33"/>
      <c r="F10216" s="60" t="s">
        <v>13</v>
      </c>
      <c r="G10216" s="34" t="str">
        <f>IF(ISNUMBER(F10216),E10216*F10216,"")</f>
        <v/>
      </c>
      <c r="H10216" s="35"/>
      <c r="I10216" s="36"/>
      <c r="J10216" s="37">
        <v>0</v>
      </c>
    </row>
    <row r="10217" spans="1:10" hidden="1" x14ac:dyDescent="0.25">
      <c r="A10217" s="179"/>
      <c r="B10217" s="177"/>
      <c r="C10217" s="39"/>
      <c r="D10217" s="39"/>
      <c r="E10217" s="40"/>
      <c r="F10217" s="70" t="s">
        <v>13</v>
      </c>
      <c r="G10217" s="70" t="str">
        <f>IF(ISNUMBER(F10217),E10217*F10217,"")</f>
        <v/>
      </c>
      <c r="H10217" s="71"/>
      <c r="I10217" s="72"/>
      <c r="J10217" s="37">
        <v>0</v>
      </c>
    </row>
    <row r="10218" spans="1:10" ht="25.5" hidden="1" x14ac:dyDescent="0.25">
      <c r="A10218" s="179"/>
      <c r="B10218" s="177"/>
      <c r="C10218" s="43" t="s">
        <v>11784</v>
      </c>
      <c r="D10218" s="43" t="s">
        <v>83</v>
      </c>
      <c r="E10218" s="44">
        <v>1</v>
      </c>
      <c r="F10218" s="70">
        <v>129.95049999999998</v>
      </c>
      <c r="G10218" s="70">
        <f>IF(ISNUMBER(F10218),E10218*F10218,"")</f>
        <v>129.95049999999998</v>
      </c>
      <c r="H10218" s="46">
        <f>SUM(G10218:G10218)</f>
        <v>129.95049999999998</v>
      </c>
      <c r="I10218" s="47"/>
      <c r="J10218" s="37">
        <v>0</v>
      </c>
    </row>
    <row r="10219" spans="1:10" ht="15.75" hidden="1" thickBot="1" x14ac:dyDescent="0.3">
      <c r="A10219" s="180"/>
      <c r="B10219" s="178"/>
      <c r="C10219" s="49"/>
      <c r="D10219" s="49"/>
      <c r="E10219" s="50"/>
      <c r="F10219" s="83" t="s">
        <v>13</v>
      </c>
      <c r="G10219" s="83" t="str">
        <f>IF(ISNUMBER(F10219),E10219*F10219,"")</f>
        <v/>
      </c>
      <c r="H10219" s="84"/>
      <c r="I10219" s="72"/>
      <c r="J10219" s="37">
        <v>0</v>
      </c>
    </row>
    <row r="10220" spans="1:10" ht="15.75" hidden="1" thickBot="1" x14ac:dyDescent="0.3">
      <c r="A10220" s="173" t="s">
        <v>2479</v>
      </c>
      <c r="B10220" s="176" t="s">
        <v>2480</v>
      </c>
      <c r="C10220" s="31"/>
      <c r="D10220" s="32" t="s">
        <v>18</v>
      </c>
      <c r="E10220" s="33"/>
      <c r="F10220" s="60" t="s">
        <v>13</v>
      </c>
      <c r="G10220" s="34" t="str">
        <f>IF(ISNUMBER(F10220),E10220*F10220,"")</f>
        <v/>
      </c>
      <c r="H10220" s="35"/>
      <c r="I10220" s="36"/>
      <c r="J10220" s="37">
        <v>0</v>
      </c>
    </row>
    <row r="10221" spans="1:10" hidden="1" x14ac:dyDescent="0.25">
      <c r="A10221" s="179"/>
      <c r="B10221" s="177"/>
      <c r="C10221" s="39"/>
      <c r="D10221" s="39"/>
      <c r="E10221" s="40"/>
      <c r="F10221" s="70" t="s">
        <v>13</v>
      </c>
      <c r="G10221" s="70" t="str">
        <f>IF(ISNUMBER(F10221),E10221*F10221,"")</f>
        <v/>
      </c>
      <c r="H10221" s="71"/>
      <c r="I10221" s="72"/>
      <c r="J10221" s="37">
        <v>0</v>
      </c>
    </row>
    <row r="10222" spans="1:10" hidden="1" x14ac:dyDescent="0.25">
      <c r="A10222" s="179"/>
      <c r="B10222" s="177"/>
      <c r="C10222" s="43" t="s">
        <v>2480</v>
      </c>
      <c r="D10222" s="43" t="s">
        <v>83</v>
      </c>
      <c r="E10222" s="44">
        <v>1</v>
      </c>
      <c r="F10222" s="70" t="s">
        <v>13</v>
      </c>
      <c r="G10222" s="70" t="str">
        <f>IF(ISNUMBER(F10222),E10222*F10222,"")</f>
        <v/>
      </c>
      <c r="H10222" s="46">
        <f>SUM(G10222:G10222)</f>
        <v>0</v>
      </c>
      <c r="I10222" s="47"/>
      <c r="J10222" s="37">
        <v>0</v>
      </c>
    </row>
    <row r="10223" spans="1:10" ht="15.75" hidden="1" thickBot="1" x14ac:dyDescent="0.3">
      <c r="A10223" s="180"/>
      <c r="B10223" s="178"/>
      <c r="C10223" s="49"/>
      <c r="D10223" s="49"/>
      <c r="E10223" s="50"/>
      <c r="F10223" s="83" t="s">
        <v>13</v>
      </c>
      <c r="G10223" s="83" t="str">
        <f>IF(ISNUMBER(F10223),E10223*F10223,"")</f>
        <v/>
      </c>
      <c r="H10223" s="84"/>
      <c r="I10223" s="72"/>
      <c r="J10223" s="37">
        <v>0</v>
      </c>
    </row>
    <row r="10224" spans="1:10" ht="15.75" hidden="1" thickBot="1" x14ac:dyDescent="0.3">
      <c r="A10224" s="173" t="s">
        <v>2481</v>
      </c>
      <c r="B10224" s="176" t="s">
        <v>9934</v>
      </c>
      <c r="C10224" s="31"/>
      <c r="D10224" s="32" t="s">
        <v>18</v>
      </c>
      <c r="E10224" s="33"/>
      <c r="F10224" s="60" t="s">
        <v>13</v>
      </c>
      <c r="G10224" s="34" t="str">
        <f>IF(ISNUMBER(F10224),E10224*F10224,"")</f>
        <v/>
      </c>
      <c r="H10224" s="35"/>
      <c r="I10224" s="36"/>
      <c r="J10224" s="37">
        <v>0</v>
      </c>
    </row>
    <row r="10225" spans="1:10" hidden="1" x14ac:dyDescent="0.25">
      <c r="A10225" s="179"/>
      <c r="B10225" s="177"/>
      <c r="C10225" s="39"/>
      <c r="D10225" s="39"/>
      <c r="E10225" s="40"/>
      <c r="F10225" s="70" t="s">
        <v>13</v>
      </c>
      <c r="G10225" s="70" t="str">
        <f>IF(ISNUMBER(F10225),E10225*F10225,"")</f>
        <v/>
      </c>
      <c r="H10225" s="71"/>
      <c r="I10225" s="72"/>
      <c r="J10225" s="37">
        <v>0</v>
      </c>
    </row>
    <row r="10226" spans="1:10" ht="25.5" hidden="1" x14ac:dyDescent="0.25">
      <c r="A10226" s="179"/>
      <c r="B10226" s="177"/>
      <c r="C10226" s="43" t="s">
        <v>11785</v>
      </c>
      <c r="D10226" s="43" t="s">
        <v>83</v>
      </c>
      <c r="E10226" s="44">
        <v>1</v>
      </c>
      <c r="F10226" s="70">
        <v>71.572999999999993</v>
      </c>
      <c r="G10226" s="70">
        <f>IF(ISNUMBER(F10226),E10226*F10226,"")</f>
        <v>71.572999999999993</v>
      </c>
      <c r="H10226" s="46">
        <f>SUM(G10226:G10226)</f>
        <v>71.572999999999993</v>
      </c>
      <c r="I10226" s="47"/>
      <c r="J10226" s="37">
        <v>0</v>
      </c>
    </row>
    <row r="10227" spans="1:10" ht="15.75" hidden="1" thickBot="1" x14ac:dyDescent="0.3">
      <c r="A10227" s="180"/>
      <c r="B10227" s="178"/>
      <c r="C10227" s="49"/>
      <c r="D10227" s="49"/>
      <c r="E10227" s="50"/>
      <c r="F10227" s="83" t="s">
        <v>13</v>
      </c>
      <c r="G10227" s="83" t="str">
        <f>IF(ISNUMBER(F10227),E10227*F10227,"")</f>
        <v/>
      </c>
      <c r="H10227" s="84"/>
      <c r="I10227" s="72"/>
      <c r="J10227" s="37">
        <v>0</v>
      </c>
    </row>
    <row r="10228" spans="1:10" ht="15.75" hidden="1" thickBot="1" x14ac:dyDescent="0.3">
      <c r="A10228" s="173" t="s">
        <v>2482</v>
      </c>
      <c r="B10228" s="176" t="s">
        <v>9935</v>
      </c>
      <c r="C10228" s="31"/>
      <c r="D10228" s="32" t="s">
        <v>18</v>
      </c>
      <c r="E10228" s="33"/>
      <c r="F10228" s="60" t="s">
        <v>13</v>
      </c>
      <c r="G10228" s="34" t="str">
        <f>IF(ISNUMBER(F10228),E10228*F10228,"")</f>
        <v/>
      </c>
      <c r="H10228" s="35"/>
      <c r="I10228" s="36"/>
      <c r="J10228" s="37">
        <v>0</v>
      </c>
    </row>
    <row r="10229" spans="1:10" hidden="1" x14ac:dyDescent="0.25">
      <c r="A10229" s="179"/>
      <c r="B10229" s="177"/>
      <c r="C10229" s="39"/>
      <c r="D10229" s="39"/>
      <c r="E10229" s="40"/>
      <c r="F10229" s="70" t="s">
        <v>13</v>
      </c>
      <c r="G10229" s="70" t="str">
        <f>IF(ISNUMBER(F10229),E10229*F10229,"")</f>
        <v/>
      </c>
      <c r="H10229" s="71"/>
      <c r="I10229" s="72"/>
      <c r="J10229" s="37">
        <v>0</v>
      </c>
    </row>
    <row r="10230" spans="1:10" ht="25.5" hidden="1" x14ac:dyDescent="0.25">
      <c r="A10230" s="179"/>
      <c r="B10230" s="177"/>
      <c r="C10230" s="43" t="s">
        <v>11786</v>
      </c>
      <c r="D10230" s="43" t="s">
        <v>83</v>
      </c>
      <c r="E10230" s="44">
        <v>1</v>
      </c>
      <c r="F10230" s="70">
        <v>19.323</v>
      </c>
      <c r="G10230" s="70">
        <f>IF(ISNUMBER(F10230),E10230*F10230,"")</f>
        <v>19.323</v>
      </c>
      <c r="H10230" s="46">
        <f>SUM(G10230:G10230)</f>
        <v>19.323</v>
      </c>
      <c r="I10230" s="47"/>
      <c r="J10230" s="37">
        <v>0</v>
      </c>
    </row>
    <row r="10231" spans="1:10" ht="15.75" hidden="1" thickBot="1" x14ac:dyDescent="0.3">
      <c r="A10231" s="180"/>
      <c r="B10231" s="178"/>
      <c r="C10231" s="49"/>
      <c r="D10231" s="49"/>
      <c r="E10231" s="50"/>
      <c r="F10231" s="83" t="s">
        <v>13</v>
      </c>
      <c r="G10231" s="83" t="str">
        <f>IF(ISNUMBER(F10231),E10231*F10231,"")</f>
        <v/>
      </c>
      <c r="H10231" s="84"/>
      <c r="I10231" s="72"/>
      <c r="J10231" s="37">
        <v>0</v>
      </c>
    </row>
    <row r="10232" spans="1:10" ht="15.75" hidden="1" thickBot="1" x14ac:dyDescent="0.3">
      <c r="A10232" s="173" t="s">
        <v>2483</v>
      </c>
      <c r="B10232" s="176" t="s">
        <v>9936</v>
      </c>
      <c r="C10232" s="31"/>
      <c r="D10232" s="32" t="s">
        <v>18</v>
      </c>
      <c r="E10232" s="33"/>
      <c r="F10232" s="60" t="s">
        <v>13</v>
      </c>
      <c r="G10232" s="34" t="str">
        <f>IF(ISNUMBER(F10232),E10232*F10232,"")</f>
        <v/>
      </c>
      <c r="H10232" s="35"/>
      <c r="I10232" s="36"/>
      <c r="J10232" s="37">
        <v>0</v>
      </c>
    </row>
    <row r="10233" spans="1:10" hidden="1" x14ac:dyDescent="0.25">
      <c r="A10233" s="179"/>
      <c r="B10233" s="177"/>
      <c r="C10233" s="39"/>
      <c r="D10233" s="39"/>
      <c r="E10233" s="40"/>
      <c r="F10233" s="70" t="s">
        <v>13</v>
      </c>
      <c r="G10233" s="70" t="str">
        <f>IF(ISNUMBER(F10233),E10233*F10233,"")</f>
        <v/>
      </c>
      <c r="H10233" s="71"/>
      <c r="I10233" s="72"/>
      <c r="J10233" s="37">
        <v>0</v>
      </c>
    </row>
    <row r="10234" spans="1:10" hidden="1" x14ac:dyDescent="0.25">
      <c r="A10234" s="179"/>
      <c r="B10234" s="177"/>
      <c r="C10234" s="43" t="s">
        <v>11787</v>
      </c>
      <c r="D10234" s="43" t="s">
        <v>83</v>
      </c>
      <c r="E10234" s="44">
        <v>1</v>
      </c>
      <c r="F10234" s="70">
        <v>5.1869999999999994</v>
      </c>
      <c r="G10234" s="70">
        <f>IF(ISNUMBER(F10234),E10234*F10234,"")</f>
        <v>5.1869999999999994</v>
      </c>
      <c r="H10234" s="46">
        <f>SUM(G10234:G10234)</f>
        <v>5.1869999999999994</v>
      </c>
      <c r="I10234" s="47"/>
      <c r="J10234" s="37">
        <v>0</v>
      </c>
    </row>
    <row r="10235" spans="1:10" ht="15.75" hidden="1" thickBot="1" x14ac:dyDescent="0.3">
      <c r="A10235" s="180"/>
      <c r="B10235" s="178"/>
      <c r="C10235" s="49"/>
      <c r="D10235" s="49"/>
      <c r="E10235" s="50"/>
      <c r="F10235" s="83" t="s">
        <v>13</v>
      </c>
      <c r="G10235" s="83" t="str">
        <f>IF(ISNUMBER(F10235),E10235*F10235,"")</f>
        <v/>
      </c>
      <c r="H10235" s="84"/>
      <c r="I10235" s="72"/>
      <c r="J10235" s="37">
        <v>0</v>
      </c>
    </row>
    <row r="10236" spans="1:10" ht="15.75" hidden="1" thickBot="1" x14ac:dyDescent="0.3">
      <c r="A10236" s="173" t="s">
        <v>2484</v>
      </c>
      <c r="B10236" s="176" t="s">
        <v>9937</v>
      </c>
      <c r="C10236" s="31"/>
      <c r="D10236" s="32" t="s">
        <v>18</v>
      </c>
      <c r="E10236" s="33"/>
      <c r="F10236" s="60" t="s">
        <v>13</v>
      </c>
      <c r="G10236" s="34" t="str">
        <f>IF(ISNUMBER(F10236),E10236*F10236,"")</f>
        <v/>
      </c>
      <c r="H10236" s="35"/>
      <c r="I10236" s="36"/>
      <c r="J10236" s="37">
        <v>0</v>
      </c>
    </row>
    <row r="10237" spans="1:10" hidden="1" x14ac:dyDescent="0.25">
      <c r="A10237" s="179"/>
      <c r="B10237" s="177"/>
      <c r="C10237" s="39"/>
      <c r="D10237" s="39"/>
      <c r="E10237" s="40"/>
      <c r="F10237" s="70" t="s">
        <v>13</v>
      </c>
      <c r="G10237" s="70" t="str">
        <f>IF(ISNUMBER(F10237),E10237*F10237,"")</f>
        <v/>
      </c>
      <c r="H10237" s="71"/>
      <c r="I10237" s="72"/>
      <c r="J10237" s="37">
        <v>0</v>
      </c>
    </row>
    <row r="10238" spans="1:10" hidden="1" x14ac:dyDescent="0.25">
      <c r="A10238" s="179"/>
      <c r="B10238" s="177"/>
      <c r="C10238" s="43" t="s">
        <v>11788</v>
      </c>
      <c r="D10238" s="43" t="s">
        <v>83</v>
      </c>
      <c r="E10238" s="44">
        <v>1</v>
      </c>
      <c r="F10238" s="70">
        <v>11.875</v>
      </c>
      <c r="G10238" s="70">
        <f>IF(ISNUMBER(F10238),E10238*F10238,"")</f>
        <v>11.875</v>
      </c>
      <c r="H10238" s="46">
        <f>SUM(G10238:G10238)</f>
        <v>11.875</v>
      </c>
      <c r="I10238" s="47"/>
      <c r="J10238" s="37">
        <v>0</v>
      </c>
    </row>
    <row r="10239" spans="1:10" ht="15.75" hidden="1" thickBot="1" x14ac:dyDescent="0.3">
      <c r="A10239" s="180"/>
      <c r="B10239" s="178"/>
      <c r="C10239" s="49"/>
      <c r="D10239" s="49"/>
      <c r="E10239" s="50"/>
      <c r="F10239" s="83" t="s">
        <v>13</v>
      </c>
      <c r="G10239" s="83" t="str">
        <f>IF(ISNUMBER(F10239),E10239*F10239,"")</f>
        <v/>
      </c>
      <c r="H10239" s="84"/>
      <c r="I10239" s="72"/>
      <c r="J10239" s="37">
        <v>0</v>
      </c>
    </row>
    <row r="10240" spans="1:10" ht="15.75" hidden="1" thickBot="1" x14ac:dyDescent="0.3">
      <c r="A10240" s="173" t="s">
        <v>2485</v>
      </c>
      <c r="B10240" s="176" t="s">
        <v>9938</v>
      </c>
      <c r="C10240" s="31"/>
      <c r="D10240" s="32" t="s">
        <v>18</v>
      </c>
      <c r="E10240" s="33"/>
      <c r="F10240" s="60" t="s">
        <v>13</v>
      </c>
      <c r="G10240" s="34" t="str">
        <f>IF(ISNUMBER(F10240),E10240*F10240,"")</f>
        <v/>
      </c>
      <c r="H10240" s="35"/>
      <c r="I10240" s="36"/>
      <c r="J10240" s="37">
        <v>0</v>
      </c>
    </row>
    <row r="10241" spans="1:10" hidden="1" x14ac:dyDescent="0.25">
      <c r="A10241" s="179"/>
      <c r="B10241" s="177"/>
      <c r="C10241" s="39"/>
      <c r="D10241" s="39"/>
      <c r="E10241" s="40"/>
      <c r="F10241" s="70" t="s">
        <v>13</v>
      </c>
      <c r="G10241" s="70" t="str">
        <f>IF(ISNUMBER(F10241),E10241*F10241,"")</f>
        <v/>
      </c>
      <c r="H10241" s="71"/>
      <c r="I10241" s="72"/>
      <c r="J10241" s="37">
        <v>0</v>
      </c>
    </row>
    <row r="10242" spans="1:10" hidden="1" x14ac:dyDescent="0.25">
      <c r="A10242" s="179"/>
      <c r="B10242" s="177"/>
      <c r="C10242" s="43" t="s">
        <v>11789</v>
      </c>
      <c r="D10242" s="43" t="s">
        <v>83</v>
      </c>
      <c r="E10242" s="44">
        <v>1</v>
      </c>
      <c r="F10242" s="70">
        <v>24.775999999999996</v>
      </c>
      <c r="G10242" s="70">
        <f>IF(ISNUMBER(F10242),E10242*F10242,"")</f>
        <v>24.775999999999996</v>
      </c>
      <c r="H10242" s="46">
        <f>SUM(G10242:G10242)</f>
        <v>24.775999999999996</v>
      </c>
      <c r="I10242" s="47"/>
      <c r="J10242" s="37">
        <v>0</v>
      </c>
    </row>
    <row r="10243" spans="1:10" ht="15.75" hidden="1" thickBot="1" x14ac:dyDescent="0.3">
      <c r="A10243" s="180"/>
      <c r="B10243" s="178"/>
      <c r="C10243" s="49"/>
      <c r="D10243" s="49"/>
      <c r="E10243" s="50"/>
      <c r="F10243" s="83" t="s">
        <v>13</v>
      </c>
      <c r="G10243" s="83" t="str">
        <f>IF(ISNUMBER(F10243),E10243*F10243,"")</f>
        <v/>
      </c>
      <c r="H10243" s="84"/>
      <c r="I10243" s="72"/>
      <c r="J10243" s="37">
        <v>0</v>
      </c>
    </row>
    <row r="10244" spans="1:10" ht="15.75" hidden="1" thickBot="1" x14ac:dyDescent="0.3">
      <c r="A10244" s="173" t="s">
        <v>2486</v>
      </c>
      <c r="B10244" s="176" t="s">
        <v>9939</v>
      </c>
      <c r="C10244" s="31"/>
      <c r="D10244" s="32" t="s">
        <v>18</v>
      </c>
      <c r="E10244" s="33"/>
      <c r="F10244" s="60" t="s">
        <v>13</v>
      </c>
      <c r="G10244" s="34" t="str">
        <f>IF(ISNUMBER(F10244),E10244*F10244,"")</f>
        <v/>
      </c>
      <c r="H10244" s="35"/>
      <c r="I10244" s="36"/>
      <c r="J10244" s="37">
        <v>0</v>
      </c>
    </row>
    <row r="10245" spans="1:10" hidden="1" x14ac:dyDescent="0.25">
      <c r="A10245" s="179"/>
      <c r="B10245" s="177"/>
      <c r="C10245" s="39"/>
      <c r="D10245" s="39"/>
      <c r="E10245" s="40"/>
      <c r="F10245" s="70" t="s">
        <v>13</v>
      </c>
      <c r="G10245" s="70" t="str">
        <f>IF(ISNUMBER(F10245),E10245*F10245,"")</f>
        <v/>
      </c>
      <c r="H10245" s="71"/>
      <c r="I10245" s="72"/>
      <c r="J10245" s="37">
        <v>0</v>
      </c>
    </row>
    <row r="10246" spans="1:10" hidden="1" x14ac:dyDescent="0.25">
      <c r="A10246" s="179"/>
      <c r="B10246" s="177"/>
      <c r="C10246" s="43" t="s">
        <v>11790</v>
      </c>
      <c r="D10246" s="43" t="s">
        <v>83</v>
      </c>
      <c r="E10246" s="44">
        <v>1</v>
      </c>
      <c r="F10246" s="70">
        <v>24.0825</v>
      </c>
      <c r="G10246" s="70">
        <f>IF(ISNUMBER(F10246),E10246*F10246,"")</f>
        <v>24.0825</v>
      </c>
      <c r="H10246" s="46">
        <f>SUM(G10246:G10246)</f>
        <v>24.0825</v>
      </c>
      <c r="I10246" s="47"/>
      <c r="J10246" s="37">
        <v>0</v>
      </c>
    </row>
    <row r="10247" spans="1:10" ht="15.75" hidden="1" thickBot="1" x14ac:dyDescent="0.3">
      <c r="A10247" s="180"/>
      <c r="B10247" s="178"/>
      <c r="C10247" s="49"/>
      <c r="D10247" s="49"/>
      <c r="E10247" s="50"/>
      <c r="F10247" s="83" t="s">
        <v>13</v>
      </c>
      <c r="G10247" s="83" t="str">
        <f>IF(ISNUMBER(F10247),E10247*F10247,"")</f>
        <v/>
      </c>
      <c r="H10247" s="84"/>
      <c r="I10247" s="72"/>
      <c r="J10247" s="37">
        <v>0</v>
      </c>
    </row>
    <row r="10248" spans="1:10" ht="15.75" hidden="1" thickBot="1" x14ac:dyDescent="0.3">
      <c r="A10248" s="173" t="s">
        <v>2487</v>
      </c>
      <c r="B10248" s="176" t="s">
        <v>2488</v>
      </c>
      <c r="C10248" s="31"/>
      <c r="D10248" s="32" t="s">
        <v>18</v>
      </c>
      <c r="E10248" s="33"/>
      <c r="F10248" s="54" t="s">
        <v>13</v>
      </c>
      <c r="G10248" s="34" t="str">
        <f>IF(ISNUMBER(F10248),E10248*F10248,"")</f>
        <v/>
      </c>
      <c r="H10248" s="35"/>
      <c r="I10248" s="36"/>
      <c r="J10248" s="37">
        <v>0</v>
      </c>
    </row>
    <row r="10249" spans="1:10" hidden="1" x14ac:dyDescent="0.25">
      <c r="A10249" s="174"/>
      <c r="B10249" s="177"/>
      <c r="C10249" s="39"/>
      <c r="D10249" s="39"/>
      <c r="E10249" s="40"/>
      <c r="F10249" s="55" t="s">
        <v>13</v>
      </c>
      <c r="G10249" s="38" t="str">
        <f>IF(ISNUMBER(F10249),E10249*F10249,"")</f>
        <v/>
      </c>
      <c r="H10249" s="42"/>
      <c r="I10249" s="38"/>
      <c r="J10249" s="37">
        <v>0</v>
      </c>
    </row>
    <row r="10250" spans="1:10" hidden="1" x14ac:dyDescent="0.25">
      <c r="A10250" s="174"/>
      <c r="B10250" s="177"/>
      <c r="C10250" s="43" t="s">
        <v>10907</v>
      </c>
      <c r="D10250" s="43" t="s">
        <v>83</v>
      </c>
      <c r="E10250" s="44">
        <v>4.5199999999999997E-2</v>
      </c>
      <c r="F10250" s="38">
        <v>14.715499999999999</v>
      </c>
      <c r="G10250" s="41">
        <f>IF(ISNUMBER(F10250),E10250*F10250,"")</f>
        <v>0.66514059999999986</v>
      </c>
      <c r="H10250" s="46">
        <f>SUM(G10250:G10253)</f>
        <v>39.939518100000001</v>
      </c>
      <c r="I10250" s="47"/>
      <c r="J10250" s="37">
        <v>0</v>
      </c>
    </row>
    <row r="10251" spans="1:10" hidden="1" x14ac:dyDescent="0.25">
      <c r="A10251" s="174"/>
      <c r="B10251" s="177"/>
      <c r="C10251" s="43" t="s">
        <v>2488</v>
      </c>
      <c r="D10251" s="43" t="s">
        <v>18</v>
      </c>
      <c r="E10251" s="44">
        <v>1</v>
      </c>
      <c r="F10251" s="38" t="s">
        <v>13</v>
      </c>
      <c r="G10251" s="41" t="str">
        <f>IF(ISNUMBER(F10251),E10251*F10251,"")</f>
        <v/>
      </c>
      <c r="H10251" s="42"/>
      <c r="I10251" s="38"/>
      <c r="J10251" s="37">
        <v>0</v>
      </c>
    </row>
    <row r="10252" spans="1:10" ht="25.5" hidden="1" x14ac:dyDescent="0.25">
      <c r="A10252" s="174"/>
      <c r="B10252" s="177"/>
      <c r="C10252" s="43" t="s">
        <v>10753</v>
      </c>
      <c r="D10252" s="43" t="s">
        <v>2800</v>
      </c>
      <c r="E10252" s="44">
        <v>0.72250000000000003</v>
      </c>
      <c r="F10252" s="41">
        <v>23.997</v>
      </c>
      <c r="G10252" s="41">
        <f>IF(ISNUMBER(F10252),E10252*F10252,"")</f>
        <v>17.337832500000001</v>
      </c>
      <c r="H10252" s="42"/>
      <c r="I10252" s="38"/>
      <c r="J10252" s="37">
        <v>0</v>
      </c>
    </row>
    <row r="10253" spans="1:10" ht="25.5" hidden="1" x14ac:dyDescent="0.25">
      <c r="A10253" s="174"/>
      <c r="B10253" s="177"/>
      <c r="C10253" s="43" t="s">
        <v>10754</v>
      </c>
      <c r="D10253" s="43" t="s">
        <v>2800</v>
      </c>
      <c r="E10253" s="44">
        <v>0.72250000000000003</v>
      </c>
      <c r="F10253" s="41">
        <v>30.361999999999998</v>
      </c>
      <c r="G10253" s="41">
        <f>IF(ISNUMBER(F10253),E10253*F10253,"")</f>
        <v>21.936544999999999</v>
      </c>
      <c r="H10253" s="42"/>
      <c r="I10253" s="38"/>
      <c r="J10253" s="37">
        <v>0</v>
      </c>
    </row>
    <row r="10254" spans="1:10" ht="15.75" hidden="1" thickBot="1" x14ac:dyDescent="0.3">
      <c r="A10254" s="175"/>
      <c r="B10254" s="178"/>
      <c r="C10254" s="49"/>
      <c r="D10254" s="49"/>
      <c r="E10254" s="50"/>
      <c r="F10254" s="51" t="s">
        <v>13</v>
      </c>
      <c r="G10254" s="51" t="str">
        <f>IF(ISNUMBER(F10254),E10254*F10254,"")</f>
        <v/>
      </c>
      <c r="H10254" s="53"/>
      <c r="I10254" s="38"/>
      <c r="J10254" s="37">
        <v>0</v>
      </c>
    </row>
    <row r="10255" spans="1:10" ht="15.75" hidden="1" thickBot="1" x14ac:dyDescent="0.3">
      <c r="A10255" s="173" t="s">
        <v>2489</v>
      </c>
      <c r="B10255" s="176" t="s">
        <v>9940</v>
      </c>
      <c r="C10255" s="31"/>
      <c r="D10255" s="32" t="s">
        <v>18</v>
      </c>
      <c r="E10255" s="33"/>
      <c r="F10255" s="60" t="s">
        <v>13</v>
      </c>
      <c r="G10255" s="34" t="str">
        <f>IF(ISNUMBER(F10255),E10255*F10255,"")</f>
        <v/>
      </c>
      <c r="H10255" s="35"/>
      <c r="I10255" s="36"/>
      <c r="J10255" s="37">
        <v>0</v>
      </c>
    </row>
    <row r="10256" spans="1:10" hidden="1" x14ac:dyDescent="0.25">
      <c r="A10256" s="179"/>
      <c r="B10256" s="177"/>
      <c r="C10256" s="39"/>
      <c r="D10256" s="39"/>
      <c r="E10256" s="40"/>
      <c r="F10256" s="70" t="s">
        <v>13</v>
      </c>
      <c r="G10256" s="70" t="str">
        <f>IF(ISNUMBER(F10256),E10256*F10256,"")</f>
        <v/>
      </c>
      <c r="H10256" s="71"/>
      <c r="I10256" s="72"/>
      <c r="J10256" s="37">
        <v>0</v>
      </c>
    </row>
    <row r="10257" spans="1:10" ht="25.5" hidden="1" x14ac:dyDescent="0.25">
      <c r="A10257" s="179"/>
      <c r="B10257" s="177"/>
      <c r="C10257" s="43" t="s">
        <v>11791</v>
      </c>
      <c r="D10257" s="43" t="s">
        <v>83</v>
      </c>
      <c r="E10257" s="44">
        <v>1</v>
      </c>
      <c r="F10257" s="70">
        <v>9.2624999999999993</v>
      </c>
      <c r="G10257" s="70">
        <f>IF(ISNUMBER(F10257),E10257*F10257,"")</f>
        <v>9.2624999999999993</v>
      </c>
      <c r="H10257" s="46">
        <f>SUM(G10257:G10257)</f>
        <v>9.2624999999999993</v>
      </c>
      <c r="I10257" s="47"/>
      <c r="J10257" s="37">
        <v>0</v>
      </c>
    </row>
    <row r="10258" spans="1:10" ht="15.75" hidden="1" thickBot="1" x14ac:dyDescent="0.3">
      <c r="A10258" s="180"/>
      <c r="B10258" s="178"/>
      <c r="C10258" s="49"/>
      <c r="D10258" s="49"/>
      <c r="E10258" s="50"/>
      <c r="F10258" s="83" t="s">
        <v>13</v>
      </c>
      <c r="G10258" s="83" t="str">
        <f>IF(ISNUMBER(F10258),E10258*F10258,"")</f>
        <v/>
      </c>
      <c r="H10258" s="84"/>
      <c r="I10258" s="72"/>
      <c r="J10258" s="37">
        <v>0</v>
      </c>
    </row>
    <row r="10259" spans="1:10" ht="15.75" hidden="1" thickBot="1" x14ac:dyDescent="0.3">
      <c r="A10259" s="173" t="s">
        <v>2490</v>
      </c>
      <c r="B10259" s="176" t="s">
        <v>2491</v>
      </c>
      <c r="C10259" s="31"/>
      <c r="D10259" s="32" t="s">
        <v>18</v>
      </c>
      <c r="E10259" s="33"/>
      <c r="F10259" s="60" t="s">
        <v>13</v>
      </c>
      <c r="G10259" s="34" t="str">
        <f>IF(ISNUMBER(F10259),E10259*F10259,"")</f>
        <v/>
      </c>
      <c r="H10259" s="35"/>
      <c r="I10259" s="36"/>
      <c r="J10259" s="37">
        <v>0</v>
      </c>
    </row>
    <row r="10260" spans="1:10" hidden="1" x14ac:dyDescent="0.25">
      <c r="A10260" s="179"/>
      <c r="B10260" s="177"/>
      <c r="C10260" s="39"/>
      <c r="D10260" s="39"/>
      <c r="E10260" s="40"/>
      <c r="F10260" s="70" t="s">
        <v>13</v>
      </c>
      <c r="G10260" s="70" t="str">
        <f>IF(ISNUMBER(F10260),E10260*F10260,"")</f>
        <v/>
      </c>
      <c r="H10260" s="71"/>
      <c r="I10260" s="72"/>
      <c r="J10260" s="37">
        <v>0</v>
      </c>
    </row>
    <row r="10261" spans="1:10" hidden="1" x14ac:dyDescent="0.25">
      <c r="A10261" s="179"/>
      <c r="B10261" s="177"/>
      <c r="C10261" s="43" t="s">
        <v>2491</v>
      </c>
      <c r="D10261" s="43" t="s">
        <v>83</v>
      </c>
      <c r="E10261" s="44">
        <v>1</v>
      </c>
      <c r="F10261" s="70" t="s">
        <v>13</v>
      </c>
      <c r="G10261" s="70" t="str">
        <f>IF(ISNUMBER(F10261),E10261*F10261,"")</f>
        <v/>
      </c>
      <c r="H10261" s="46">
        <f>SUM(G10261:G10261)</f>
        <v>0</v>
      </c>
      <c r="I10261" s="47"/>
      <c r="J10261" s="37">
        <v>0</v>
      </c>
    </row>
    <row r="10262" spans="1:10" ht="15.75" hidden="1" thickBot="1" x14ac:dyDescent="0.3">
      <c r="A10262" s="180"/>
      <c r="B10262" s="178"/>
      <c r="C10262" s="49"/>
      <c r="D10262" s="49"/>
      <c r="E10262" s="50"/>
      <c r="F10262" s="83" t="s">
        <v>13</v>
      </c>
      <c r="G10262" s="83" t="str">
        <f>IF(ISNUMBER(F10262),E10262*F10262,"")</f>
        <v/>
      </c>
      <c r="H10262" s="84"/>
      <c r="I10262" s="72"/>
      <c r="J10262" s="37">
        <v>0</v>
      </c>
    </row>
    <row r="10263" spans="1:10" ht="15.75" hidden="1" thickBot="1" x14ac:dyDescent="0.3">
      <c r="A10263" s="173" t="s">
        <v>2492</v>
      </c>
      <c r="B10263" s="176" t="s">
        <v>9947</v>
      </c>
      <c r="C10263" s="31"/>
      <c r="D10263" s="32" t="s">
        <v>18</v>
      </c>
      <c r="E10263" s="33"/>
      <c r="F10263" s="60" t="s">
        <v>13</v>
      </c>
      <c r="G10263" s="34" t="str">
        <f>IF(ISNUMBER(F10263),E10263*F10263,"")</f>
        <v/>
      </c>
      <c r="H10263" s="35"/>
      <c r="I10263" s="36"/>
      <c r="J10263" s="37">
        <v>0</v>
      </c>
    </row>
    <row r="10264" spans="1:10" hidden="1" x14ac:dyDescent="0.25">
      <c r="A10264" s="179"/>
      <c r="B10264" s="177"/>
      <c r="C10264" s="39"/>
      <c r="D10264" s="39"/>
      <c r="E10264" s="40"/>
      <c r="F10264" s="70" t="s">
        <v>13</v>
      </c>
      <c r="G10264" s="70" t="str">
        <f>IF(ISNUMBER(F10264),E10264*F10264,"")</f>
        <v/>
      </c>
      <c r="H10264" s="71"/>
      <c r="I10264" s="72"/>
      <c r="J10264" s="37">
        <v>0</v>
      </c>
    </row>
    <row r="10265" spans="1:10" ht="25.5" hidden="1" x14ac:dyDescent="0.25">
      <c r="A10265" s="179"/>
      <c r="B10265" s="177"/>
      <c r="C10265" s="43" t="s">
        <v>11792</v>
      </c>
      <c r="D10265" s="43" t="s">
        <v>83</v>
      </c>
      <c r="E10265" s="44">
        <v>1</v>
      </c>
      <c r="F10265" s="70">
        <v>156.33199999999999</v>
      </c>
      <c r="G10265" s="70">
        <f>IF(ISNUMBER(F10265),E10265*F10265,"")</f>
        <v>156.33199999999999</v>
      </c>
      <c r="H10265" s="46">
        <f>SUM(G10265:G10265)</f>
        <v>156.33199999999999</v>
      </c>
      <c r="I10265" s="47"/>
      <c r="J10265" s="37">
        <v>0</v>
      </c>
    </row>
    <row r="10266" spans="1:10" ht="15.75" hidden="1" thickBot="1" x14ac:dyDescent="0.3">
      <c r="A10266" s="180"/>
      <c r="B10266" s="178"/>
      <c r="C10266" s="49"/>
      <c r="D10266" s="49"/>
      <c r="E10266" s="50"/>
      <c r="F10266" s="83" t="s">
        <v>13</v>
      </c>
      <c r="G10266" s="83" t="str">
        <f>IF(ISNUMBER(F10266),E10266*F10266,"")</f>
        <v/>
      </c>
      <c r="H10266" s="84"/>
      <c r="I10266" s="72"/>
      <c r="J10266" s="37">
        <v>0</v>
      </c>
    </row>
    <row r="10267" spans="1:10" ht="15.75" hidden="1" thickBot="1" x14ac:dyDescent="0.3">
      <c r="A10267" s="173" t="s">
        <v>2493</v>
      </c>
      <c r="B10267" s="176" t="s">
        <v>9948</v>
      </c>
      <c r="C10267" s="31"/>
      <c r="D10267" s="32" t="s">
        <v>18</v>
      </c>
      <c r="E10267" s="33"/>
      <c r="F10267" s="60" t="s">
        <v>13</v>
      </c>
      <c r="G10267" s="34" t="str">
        <f>IF(ISNUMBER(F10267),E10267*F10267,"")</f>
        <v/>
      </c>
      <c r="H10267" s="35"/>
      <c r="I10267" s="36"/>
      <c r="J10267" s="37">
        <v>0</v>
      </c>
    </row>
    <row r="10268" spans="1:10" hidden="1" x14ac:dyDescent="0.25">
      <c r="A10268" s="179"/>
      <c r="B10268" s="177"/>
      <c r="C10268" s="39"/>
      <c r="D10268" s="39"/>
      <c r="E10268" s="40"/>
      <c r="F10268" s="70" t="s">
        <v>13</v>
      </c>
      <c r="G10268" s="70" t="str">
        <f>IF(ISNUMBER(F10268),E10268*F10268,"")</f>
        <v/>
      </c>
      <c r="H10268" s="71"/>
      <c r="I10268" s="72"/>
      <c r="J10268" s="37">
        <v>0</v>
      </c>
    </row>
    <row r="10269" spans="1:10" ht="25.5" hidden="1" x14ac:dyDescent="0.25">
      <c r="A10269" s="179"/>
      <c r="B10269" s="177"/>
      <c r="C10269" s="43" t="s">
        <v>11793</v>
      </c>
      <c r="D10269" s="43" t="s">
        <v>83</v>
      </c>
      <c r="E10269" s="44">
        <v>1</v>
      </c>
      <c r="F10269" s="70">
        <v>146.49950000000001</v>
      </c>
      <c r="G10269" s="70">
        <f>IF(ISNUMBER(F10269),E10269*F10269,"")</f>
        <v>146.49950000000001</v>
      </c>
      <c r="H10269" s="46">
        <f>SUM(G10269:G10269)</f>
        <v>146.49950000000001</v>
      </c>
      <c r="I10269" s="47"/>
      <c r="J10269" s="37">
        <v>0</v>
      </c>
    </row>
    <row r="10270" spans="1:10" ht="15.75" hidden="1" thickBot="1" x14ac:dyDescent="0.3">
      <c r="A10270" s="180"/>
      <c r="B10270" s="178"/>
      <c r="C10270" s="49"/>
      <c r="D10270" s="49"/>
      <c r="E10270" s="50"/>
      <c r="F10270" s="83" t="s">
        <v>13</v>
      </c>
      <c r="G10270" s="83" t="str">
        <f>IF(ISNUMBER(F10270),E10270*F10270,"")</f>
        <v/>
      </c>
      <c r="H10270" s="84"/>
      <c r="I10270" s="72"/>
      <c r="J10270" s="37">
        <v>0</v>
      </c>
    </row>
    <row r="10271" spans="1:10" ht="15.75" hidden="1" thickBot="1" x14ac:dyDescent="0.3">
      <c r="A10271" s="173" t="s">
        <v>2494</v>
      </c>
      <c r="B10271" s="176" t="s">
        <v>9949</v>
      </c>
      <c r="C10271" s="31"/>
      <c r="D10271" s="32" t="s">
        <v>18</v>
      </c>
      <c r="E10271" s="33"/>
      <c r="F10271" s="60" t="s">
        <v>13</v>
      </c>
      <c r="G10271" s="34" t="str">
        <f>IF(ISNUMBER(F10271),E10271*F10271,"")</f>
        <v/>
      </c>
      <c r="H10271" s="35"/>
      <c r="I10271" s="36"/>
      <c r="J10271" s="37">
        <v>0</v>
      </c>
    </row>
    <row r="10272" spans="1:10" hidden="1" x14ac:dyDescent="0.25">
      <c r="A10272" s="179"/>
      <c r="B10272" s="177"/>
      <c r="C10272" s="39"/>
      <c r="D10272" s="39"/>
      <c r="E10272" s="40"/>
      <c r="F10272" s="70" t="s">
        <v>13</v>
      </c>
      <c r="G10272" s="70" t="str">
        <f>IF(ISNUMBER(F10272),E10272*F10272,"")</f>
        <v/>
      </c>
      <c r="H10272" s="71"/>
      <c r="I10272" s="72"/>
      <c r="J10272" s="37">
        <v>0</v>
      </c>
    </row>
    <row r="10273" spans="1:10" ht="25.5" hidden="1" x14ac:dyDescent="0.25">
      <c r="A10273" s="179"/>
      <c r="B10273" s="177"/>
      <c r="C10273" s="43" t="s">
        <v>11794</v>
      </c>
      <c r="D10273" s="43" t="s">
        <v>83</v>
      </c>
      <c r="E10273" s="44">
        <v>1</v>
      </c>
      <c r="F10273" s="70">
        <v>423.17749999999995</v>
      </c>
      <c r="G10273" s="70">
        <f>IF(ISNUMBER(F10273),E10273*F10273,"")</f>
        <v>423.17749999999995</v>
      </c>
      <c r="H10273" s="46">
        <f>SUM(G10273:G10273)</f>
        <v>423.17749999999995</v>
      </c>
      <c r="I10273" s="47"/>
      <c r="J10273" s="37">
        <v>0</v>
      </c>
    </row>
    <row r="10274" spans="1:10" ht="15.75" hidden="1" thickBot="1" x14ac:dyDescent="0.3">
      <c r="A10274" s="180"/>
      <c r="B10274" s="178"/>
      <c r="C10274" s="49"/>
      <c r="D10274" s="49"/>
      <c r="E10274" s="50"/>
      <c r="F10274" s="83" t="s">
        <v>13</v>
      </c>
      <c r="G10274" s="83" t="str">
        <f>IF(ISNUMBER(F10274),E10274*F10274,"")</f>
        <v/>
      </c>
      <c r="H10274" s="84"/>
      <c r="I10274" s="72"/>
      <c r="J10274" s="37">
        <v>0</v>
      </c>
    </row>
    <row r="10275" spans="1:10" ht="15.75" hidden="1" thickBot="1" x14ac:dyDescent="0.3">
      <c r="A10275" s="173" t="s">
        <v>2495</v>
      </c>
      <c r="B10275" s="176" t="s">
        <v>9950</v>
      </c>
      <c r="C10275" s="31"/>
      <c r="D10275" s="32" t="s">
        <v>18</v>
      </c>
      <c r="E10275" s="33"/>
      <c r="F10275" s="60" t="s">
        <v>13</v>
      </c>
      <c r="G10275" s="34" t="str">
        <f>IF(ISNUMBER(F10275),E10275*F10275,"")</f>
        <v/>
      </c>
      <c r="H10275" s="35"/>
      <c r="I10275" s="36"/>
      <c r="J10275" s="37">
        <v>0</v>
      </c>
    </row>
    <row r="10276" spans="1:10" hidden="1" x14ac:dyDescent="0.25">
      <c r="A10276" s="179"/>
      <c r="B10276" s="177"/>
      <c r="C10276" s="39"/>
      <c r="D10276" s="39"/>
      <c r="E10276" s="40"/>
      <c r="F10276" s="70" t="s">
        <v>13</v>
      </c>
      <c r="G10276" s="70" t="str">
        <f>IF(ISNUMBER(F10276),E10276*F10276,"")</f>
        <v/>
      </c>
      <c r="H10276" s="71"/>
      <c r="I10276" s="72"/>
      <c r="J10276" s="37">
        <v>0</v>
      </c>
    </row>
    <row r="10277" spans="1:10" ht="25.5" hidden="1" x14ac:dyDescent="0.25">
      <c r="A10277" s="179"/>
      <c r="B10277" s="177"/>
      <c r="C10277" s="43" t="s">
        <v>11795</v>
      </c>
      <c r="D10277" s="43" t="s">
        <v>83</v>
      </c>
      <c r="E10277" s="44">
        <v>1</v>
      </c>
      <c r="F10277" s="70">
        <v>83.457499999999996</v>
      </c>
      <c r="G10277" s="70">
        <f>IF(ISNUMBER(F10277),E10277*F10277,"")</f>
        <v>83.457499999999996</v>
      </c>
      <c r="H10277" s="46">
        <f>SUM(G10277:G10277)</f>
        <v>83.457499999999996</v>
      </c>
      <c r="I10277" s="47"/>
      <c r="J10277" s="37">
        <v>0</v>
      </c>
    </row>
    <row r="10278" spans="1:10" ht="15.75" hidden="1" thickBot="1" x14ac:dyDescent="0.3">
      <c r="A10278" s="180"/>
      <c r="B10278" s="178"/>
      <c r="C10278" s="49"/>
      <c r="D10278" s="49"/>
      <c r="E10278" s="50"/>
      <c r="F10278" s="83" t="s">
        <v>13</v>
      </c>
      <c r="G10278" s="83" t="str">
        <f>IF(ISNUMBER(F10278),E10278*F10278,"")</f>
        <v/>
      </c>
      <c r="H10278" s="84"/>
      <c r="I10278" s="72"/>
      <c r="J10278" s="37">
        <v>0</v>
      </c>
    </row>
    <row r="10279" spans="1:10" ht="15.75" hidden="1" thickBot="1" x14ac:dyDescent="0.3">
      <c r="A10279" s="173" t="s">
        <v>2496</v>
      </c>
      <c r="B10279" s="176" t="s">
        <v>9951</v>
      </c>
      <c r="C10279" s="31"/>
      <c r="D10279" s="32" t="s">
        <v>18</v>
      </c>
      <c r="E10279" s="33"/>
      <c r="F10279" s="60" t="s">
        <v>13</v>
      </c>
      <c r="G10279" s="34" t="str">
        <f>IF(ISNUMBER(F10279),E10279*F10279,"")</f>
        <v/>
      </c>
      <c r="H10279" s="35"/>
      <c r="I10279" s="36"/>
      <c r="J10279" s="37">
        <v>0</v>
      </c>
    </row>
    <row r="10280" spans="1:10" hidden="1" x14ac:dyDescent="0.25">
      <c r="A10280" s="179"/>
      <c r="B10280" s="177"/>
      <c r="C10280" s="39"/>
      <c r="D10280" s="39"/>
      <c r="E10280" s="40"/>
      <c r="F10280" s="70" t="s">
        <v>13</v>
      </c>
      <c r="G10280" s="70" t="str">
        <f>IF(ISNUMBER(F10280),E10280*F10280,"")</f>
        <v/>
      </c>
      <c r="H10280" s="71"/>
      <c r="I10280" s="72"/>
      <c r="J10280" s="37">
        <v>0</v>
      </c>
    </row>
    <row r="10281" spans="1:10" ht="25.5" hidden="1" x14ac:dyDescent="0.25">
      <c r="A10281" s="179"/>
      <c r="B10281" s="177"/>
      <c r="C10281" s="43" t="s">
        <v>11796</v>
      </c>
      <c r="D10281" s="43" t="s">
        <v>83</v>
      </c>
      <c r="E10281" s="44">
        <v>1</v>
      </c>
      <c r="F10281" s="70">
        <v>580.12699999999995</v>
      </c>
      <c r="G10281" s="70">
        <f>IF(ISNUMBER(F10281),E10281*F10281,"")</f>
        <v>580.12699999999995</v>
      </c>
      <c r="H10281" s="46">
        <f>SUM(G10281:G10281)</f>
        <v>580.12699999999995</v>
      </c>
      <c r="I10281" s="47"/>
      <c r="J10281" s="37">
        <v>0</v>
      </c>
    </row>
    <row r="10282" spans="1:10" ht="15.75" hidden="1" thickBot="1" x14ac:dyDescent="0.3">
      <c r="A10282" s="180"/>
      <c r="B10282" s="178"/>
      <c r="C10282" s="49"/>
      <c r="D10282" s="49"/>
      <c r="E10282" s="50"/>
      <c r="F10282" s="83" t="s">
        <v>13</v>
      </c>
      <c r="G10282" s="83" t="str">
        <f>IF(ISNUMBER(F10282),E10282*F10282,"")</f>
        <v/>
      </c>
      <c r="H10282" s="84"/>
      <c r="I10282" s="72"/>
      <c r="J10282" s="37">
        <v>0</v>
      </c>
    </row>
    <row r="10283" spans="1:10" ht="15.75" hidden="1" thickBot="1" x14ac:dyDescent="0.3">
      <c r="A10283" s="173" t="s">
        <v>2497</v>
      </c>
      <c r="B10283" s="176" t="s">
        <v>9952</v>
      </c>
      <c r="C10283" s="31"/>
      <c r="D10283" s="32" t="s">
        <v>18</v>
      </c>
      <c r="E10283" s="33"/>
      <c r="F10283" s="60" t="s">
        <v>13</v>
      </c>
      <c r="G10283" s="34" t="str">
        <f>IF(ISNUMBER(F10283),E10283*F10283,"")</f>
        <v/>
      </c>
      <c r="H10283" s="35"/>
      <c r="I10283" s="36"/>
      <c r="J10283" s="37">
        <v>0</v>
      </c>
    </row>
    <row r="10284" spans="1:10" hidden="1" x14ac:dyDescent="0.25">
      <c r="A10284" s="179"/>
      <c r="B10284" s="177"/>
      <c r="C10284" s="39"/>
      <c r="D10284" s="39"/>
      <c r="E10284" s="40"/>
      <c r="F10284" s="70" t="s">
        <v>13</v>
      </c>
      <c r="G10284" s="70" t="str">
        <f>IF(ISNUMBER(F10284),E10284*F10284,"")</f>
        <v/>
      </c>
      <c r="H10284" s="71"/>
      <c r="I10284" s="72"/>
      <c r="J10284" s="37">
        <v>0</v>
      </c>
    </row>
    <row r="10285" spans="1:10" ht="25.5" hidden="1" x14ac:dyDescent="0.25">
      <c r="A10285" s="179"/>
      <c r="B10285" s="177"/>
      <c r="C10285" s="43" t="s">
        <v>11797</v>
      </c>
      <c r="D10285" s="43" t="s">
        <v>83</v>
      </c>
      <c r="E10285" s="44">
        <v>1</v>
      </c>
      <c r="F10285" s="70">
        <v>303.31599999999997</v>
      </c>
      <c r="G10285" s="70">
        <f>IF(ISNUMBER(F10285),E10285*F10285,"")</f>
        <v>303.31599999999997</v>
      </c>
      <c r="H10285" s="46">
        <f>SUM(G10285:G10285)</f>
        <v>303.31599999999997</v>
      </c>
      <c r="I10285" s="47"/>
      <c r="J10285" s="37">
        <v>0</v>
      </c>
    </row>
    <row r="10286" spans="1:10" ht="15.75" hidden="1" thickBot="1" x14ac:dyDescent="0.3">
      <c r="A10286" s="180"/>
      <c r="B10286" s="178"/>
      <c r="C10286" s="49"/>
      <c r="D10286" s="49"/>
      <c r="E10286" s="50"/>
      <c r="F10286" s="83" t="s">
        <v>13</v>
      </c>
      <c r="G10286" s="83" t="str">
        <f>IF(ISNUMBER(F10286),E10286*F10286,"")</f>
        <v/>
      </c>
      <c r="H10286" s="84"/>
      <c r="I10286" s="72"/>
      <c r="J10286" s="37">
        <v>0</v>
      </c>
    </row>
    <row r="10287" spans="1:10" ht="15.75" hidden="1" thickBot="1" x14ac:dyDescent="0.3">
      <c r="A10287" s="173" t="s">
        <v>2498</v>
      </c>
      <c r="B10287" s="176" t="s">
        <v>9953</v>
      </c>
      <c r="C10287" s="31"/>
      <c r="D10287" s="32" t="s">
        <v>18</v>
      </c>
      <c r="E10287" s="33"/>
      <c r="F10287" s="60" t="s">
        <v>13</v>
      </c>
      <c r="G10287" s="34" t="str">
        <f>IF(ISNUMBER(F10287),E10287*F10287,"")</f>
        <v/>
      </c>
      <c r="H10287" s="35"/>
      <c r="I10287" s="36"/>
      <c r="J10287" s="37">
        <v>0</v>
      </c>
    </row>
    <row r="10288" spans="1:10" hidden="1" x14ac:dyDescent="0.25">
      <c r="A10288" s="179"/>
      <c r="B10288" s="177"/>
      <c r="C10288" s="39"/>
      <c r="D10288" s="39"/>
      <c r="E10288" s="40"/>
      <c r="F10288" s="70" t="s">
        <v>13</v>
      </c>
      <c r="G10288" s="70" t="str">
        <f>IF(ISNUMBER(F10288),E10288*F10288,"")</f>
        <v/>
      </c>
      <c r="H10288" s="71"/>
      <c r="I10288" s="72"/>
      <c r="J10288" s="37">
        <v>0</v>
      </c>
    </row>
    <row r="10289" spans="1:10" ht="25.5" hidden="1" x14ac:dyDescent="0.25">
      <c r="A10289" s="179"/>
      <c r="B10289" s="177"/>
      <c r="C10289" s="43" t="s">
        <v>11798</v>
      </c>
      <c r="D10289" s="43" t="s">
        <v>83</v>
      </c>
      <c r="E10289" s="44">
        <v>1</v>
      </c>
      <c r="F10289" s="70">
        <v>271.41499999999996</v>
      </c>
      <c r="G10289" s="70">
        <f>IF(ISNUMBER(F10289),E10289*F10289,"")</f>
        <v>271.41499999999996</v>
      </c>
      <c r="H10289" s="46">
        <f>SUM(G10289:G10289)</f>
        <v>271.41499999999996</v>
      </c>
      <c r="I10289" s="47"/>
      <c r="J10289" s="37">
        <v>0</v>
      </c>
    </row>
    <row r="10290" spans="1:10" ht="15.75" hidden="1" thickBot="1" x14ac:dyDescent="0.3">
      <c r="A10290" s="180"/>
      <c r="B10290" s="178"/>
      <c r="C10290" s="49"/>
      <c r="D10290" s="49"/>
      <c r="E10290" s="50"/>
      <c r="F10290" s="83" t="s">
        <v>13</v>
      </c>
      <c r="G10290" s="83" t="str">
        <f>IF(ISNUMBER(F10290),E10290*F10290,"")</f>
        <v/>
      </c>
      <c r="H10290" s="84"/>
      <c r="I10290" s="72"/>
      <c r="J10290" s="37">
        <v>0</v>
      </c>
    </row>
    <row r="10291" spans="1:10" ht="15.75" hidden="1" thickBot="1" x14ac:dyDescent="0.3">
      <c r="A10291" s="173" t="s">
        <v>2499</v>
      </c>
      <c r="B10291" s="176" t="s">
        <v>9954</v>
      </c>
      <c r="C10291" s="31"/>
      <c r="D10291" s="32" t="s">
        <v>18</v>
      </c>
      <c r="E10291" s="33"/>
      <c r="F10291" s="60" t="s">
        <v>13</v>
      </c>
      <c r="G10291" s="34" t="str">
        <f>IF(ISNUMBER(F10291),E10291*F10291,"")</f>
        <v/>
      </c>
      <c r="H10291" s="35"/>
      <c r="I10291" s="36"/>
      <c r="J10291" s="37">
        <v>0</v>
      </c>
    </row>
    <row r="10292" spans="1:10" hidden="1" x14ac:dyDescent="0.25">
      <c r="A10292" s="179"/>
      <c r="B10292" s="177"/>
      <c r="C10292" s="39"/>
      <c r="D10292" s="39"/>
      <c r="E10292" s="40"/>
      <c r="F10292" s="70" t="s">
        <v>13</v>
      </c>
      <c r="G10292" s="70" t="str">
        <f>IF(ISNUMBER(F10292),E10292*F10292,"")</f>
        <v/>
      </c>
      <c r="H10292" s="71"/>
      <c r="I10292" s="72"/>
      <c r="J10292" s="37">
        <v>0</v>
      </c>
    </row>
    <row r="10293" spans="1:10" ht="25.5" hidden="1" x14ac:dyDescent="0.25">
      <c r="A10293" s="179"/>
      <c r="B10293" s="177"/>
      <c r="C10293" s="43" t="s">
        <v>11799</v>
      </c>
      <c r="D10293" s="43" t="s">
        <v>83</v>
      </c>
      <c r="E10293" s="44">
        <v>1</v>
      </c>
      <c r="F10293" s="70">
        <v>110.06699999999999</v>
      </c>
      <c r="G10293" s="70">
        <f>IF(ISNUMBER(F10293),E10293*F10293,"")</f>
        <v>110.06699999999999</v>
      </c>
      <c r="H10293" s="46">
        <f>SUM(G10293:G10293)</f>
        <v>110.06699999999999</v>
      </c>
      <c r="I10293" s="47"/>
      <c r="J10293" s="37">
        <v>0</v>
      </c>
    </row>
    <row r="10294" spans="1:10" ht="15.75" hidden="1" thickBot="1" x14ac:dyDescent="0.3">
      <c r="A10294" s="180"/>
      <c r="B10294" s="178"/>
      <c r="C10294" s="49"/>
      <c r="D10294" s="49"/>
      <c r="E10294" s="50"/>
      <c r="F10294" s="83" t="s">
        <v>13</v>
      </c>
      <c r="G10294" s="83" t="str">
        <f>IF(ISNUMBER(F10294),E10294*F10294,"")</f>
        <v/>
      </c>
      <c r="H10294" s="84"/>
      <c r="I10294" s="72"/>
      <c r="J10294" s="37">
        <v>0</v>
      </c>
    </row>
    <row r="10295" spans="1:10" ht="15.75" hidden="1" thickBot="1" x14ac:dyDescent="0.3">
      <c r="A10295" s="173" t="s">
        <v>2500</v>
      </c>
      <c r="B10295" s="176" t="s">
        <v>9955</v>
      </c>
      <c r="C10295" s="31"/>
      <c r="D10295" s="32" t="s">
        <v>18</v>
      </c>
      <c r="E10295" s="33"/>
      <c r="F10295" s="60" t="s">
        <v>13</v>
      </c>
      <c r="G10295" s="34" t="str">
        <f>IF(ISNUMBER(F10295),E10295*F10295,"")</f>
        <v/>
      </c>
      <c r="H10295" s="35"/>
      <c r="I10295" s="36"/>
      <c r="J10295" s="37">
        <v>0</v>
      </c>
    </row>
    <row r="10296" spans="1:10" hidden="1" x14ac:dyDescent="0.25">
      <c r="A10296" s="179"/>
      <c r="B10296" s="177"/>
      <c r="C10296" s="39"/>
      <c r="D10296" s="39"/>
      <c r="E10296" s="40"/>
      <c r="F10296" s="70" t="s">
        <v>13</v>
      </c>
      <c r="G10296" s="70" t="str">
        <f>IF(ISNUMBER(F10296),E10296*F10296,"")</f>
        <v/>
      </c>
      <c r="H10296" s="71"/>
      <c r="I10296" s="72"/>
      <c r="J10296" s="37">
        <v>0</v>
      </c>
    </row>
    <row r="10297" spans="1:10" ht="25.5" hidden="1" x14ac:dyDescent="0.25">
      <c r="A10297" s="179"/>
      <c r="B10297" s="177"/>
      <c r="C10297" s="43" t="s">
        <v>11800</v>
      </c>
      <c r="D10297" s="43" t="s">
        <v>83</v>
      </c>
      <c r="E10297" s="44">
        <v>1</v>
      </c>
      <c r="F10297" s="70">
        <v>181.298</v>
      </c>
      <c r="G10297" s="70">
        <f>IF(ISNUMBER(F10297),E10297*F10297,"")</f>
        <v>181.298</v>
      </c>
      <c r="H10297" s="46">
        <f>SUM(G10297:G10297)</f>
        <v>181.298</v>
      </c>
      <c r="I10297" s="47"/>
      <c r="J10297" s="37">
        <v>0</v>
      </c>
    </row>
    <row r="10298" spans="1:10" ht="15.75" hidden="1" thickBot="1" x14ac:dyDescent="0.3">
      <c r="A10298" s="180"/>
      <c r="B10298" s="178"/>
      <c r="C10298" s="49"/>
      <c r="D10298" s="49"/>
      <c r="E10298" s="50"/>
      <c r="F10298" s="83" t="s">
        <v>13</v>
      </c>
      <c r="G10298" s="83" t="str">
        <f>IF(ISNUMBER(F10298),E10298*F10298,"")</f>
        <v/>
      </c>
      <c r="H10298" s="84"/>
      <c r="I10298" s="72"/>
      <c r="J10298" s="37">
        <v>0</v>
      </c>
    </row>
    <row r="10299" spans="1:10" ht="15.75" hidden="1" thickBot="1" x14ac:dyDescent="0.3">
      <c r="A10299" s="173" t="s">
        <v>2501</v>
      </c>
      <c r="B10299" s="176" t="s">
        <v>9956</v>
      </c>
      <c r="C10299" s="31"/>
      <c r="D10299" s="32" t="s">
        <v>18</v>
      </c>
      <c r="E10299" s="33"/>
      <c r="F10299" s="60" t="s">
        <v>13</v>
      </c>
      <c r="G10299" s="34" t="str">
        <f>IF(ISNUMBER(F10299),E10299*F10299,"")</f>
        <v/>
      </c>
      <c r="H10299" s="35"/>
      <c r="I10299" s="36"/>
      <c r="J10299" s="37">
        <v>0</v>
      </c>
    </row>
    <row r="10300" spans="1:10" hidden="1" x14ac:dyDescent="0.25">
      <c r="A10300" s="179"/>
      <c r="B10300" s="177"/>
      <c r="C10300" s="39"/>
      <c r="D10300" s="39"/>
      <c r="E10300" s="40"/>
      <c r="F10300" s="70" t="s">
        <v>13</v>
      </c>
      <c r="G10300" s="70" t="str">
        <f>IF(ISNUMBER(F10300),E10300*F10300,"")</f>
        <v/>
      </c>
      <c r="H10300" s="71"/>
      <c r="I10300" s="72"/>
      <c r="J10300" s="37">
        <v>0</v>
      </c>
    </row>
    <row r="10301" spans="1:10" ht="25.5" hidden="1" x14ac:dyDescent="0.25">
      <c r="A10301" s="179"/>
      <c r="B10301" s="177"/>
      <c r="C10301" s="43" t="s">
        <v>11801</v>
      </c>
      <c r="D10301" s="43" t="s">
        <v>83</v>
      </c>
      <c r="E10301" s="44">
        <v>1</v>
      </c>
      <c r="F10301" s="70">
        <v>607.69599999999991</v>
      </c>
      <c r="G10301" s="70">
        <f>IF(ISNUMBER(F10301),E10301*F10301,"")</f>
        <v>607.69599999999991</v>
      </c>
      <c r="H10301" s="46">
        <f>SUM(G10301:G10301)</f>
        <v>607.69599999999991</v>
      </c>
      <c r="I10301" s="47"/>
      <c r="J10301" s="37">
        <v>0</v>
      </c>
    </row>
    <row r="10302" spans="1:10" ht="15.75" hidden="1" thickBot="1" x14ac:dyDescent="0.3">
      <c r="A10302" s="180"/>
      <c r="B10302" s="178"/>
      <c r="C10302" s="49"/>
      <c r="D10302" s="49"/>
      <c r="E10302" s="50"/>
      <c r="F10302" s="83" t="s">
        <v>13</v>
      </c>
      <c r="G10302" s="83" t="str">
        <f>IF(ISNUMBER(F10302),E10302*F10302,"")</f>
        <v/>
      </c>
      <c r="H10302" s="84"/>
      <c r="I10302" s="72"/>
      <c r="J10302" s="37">
        <v>0</v>
      </c>
    </row>
    <row r="10303" spans="1:10" ht="15.75" hidden="1" thickBot="1" x14ac:dyDescent="0.3">
      <c r="A10303" s="173" t="s">
        <v>2502</v>
      </c>
      <c r="B10303" s="176" t="s">
        <v>9957</v>
      </c>
      <c r="C10303" s="31"/>
      <c r="D10303" s="32" t="s">
        <v>18</v>
      </c>
      <c r="E10303" s="33"/>
      <c r="F10303" s="60" t="s">
        <v>13</v>
      </c>
      <c r="G10303" s="34" t="str">
        <f>IF(ISNUMBER(F10303),E10303*F10303,"")</f>
        <v/>
      </c>
      <c r="H10303" s="35"/>
      <c r="I10303" s="36"/>
      <c r="J10303" s="37">
        <v>0</v>
      </c>
    </row>
    <row r="10304" spans="1:10" hidden="1" x14ac:dyDescent="0.25">
      <c r="A10304" s="179"/>
      <c r="B10304" s="177"/>
      <c r="C10304" s="39"/>
      <c r="D10304" s="39"/>
      <c r="E10304" s="40"/>
      <c r="F10304" s="70" t="s">
        <v>13</v>
      </c>
      <c r="G10304" s="70" t="str">
        <f>IF(ISNUMBER(F10304),E10304*F10304,"")</f>
        <v/>
      </c>
      <c r="H10304" s="71"/>
      <c r="I10304" s="72"/>
      <c r="J10304" s="37">
        <v>0</v>
      </c>
    </row>
    <row r="10305" spans="1:10" ht="25.5" hidden="1" x14ac:dyDescent="0.25">
      <c r="A10305" s="179"/>
      <c r="B10305" s="177"/>
      <c r="C10305" s="43" t="s">
        <v>11802</v>
      </c>
      <c r="D10305" s="43" t="s">
        <v>83</v>
      </c>
      <c r="E10305" s="44">
        <v>1</v>
      </c>
      <c r="F10305" s="70">
        <v>839.36299999999994</v>
      </c>
      <c r="G10305" s="70">
        <f>IF(ISNUMBER(F10305),E10305*F10305,"")</f>
        <v>839.36299999999994</v>
      </c>
      <c r="H10305" s="46">
        <f>SUM(G10305:G10305)</f>
        <v>839.36299999999994</v>
      </c>
      <c r="I10305" s="47"/>
      <c r="J10305" s="37">
        <v>0</v>
      </c>
    </row>
    <row r="10306" spans="1:10" ht="15.75" hidden="1" thickBot="1" x14ac:dyDescent="0.3">
      <c r="A10306" s="180"/>
      <c r="B10306" s="178"/>
      <c r="C10306" s="49"/>
      <c r="D10306" s="49"/>
      <c r="E10306" s="50"/>
      <c r="F10306" s="83" t="s">
        <v>13</v>
      </c>
      <c r="G10306" s="83" t="str">
        <f>IF(ISNUMBER(F10306),E10306*F10306,"")</f>
        <v/>
      </c>
      <c r="H10306" s="84"/>
      <c r="I10306" s="72"/>
      <c r="J10306" s="37">
        <v>0</v>
      </c>
    </row>
    <row r="10307" spans="1:10" ht="15.75" hidden="1" thickBot="1" x14ac:dyDescent="0.3">
      <c r="A10307" s="173" t="s">
        <v>2503</v>
      </c>
      <c r="B10307" s="176" t="s">
        <v>9958</v>
      </c>
      <c r="C10307" s="31"/>
      <c r="D10307" s="32" t="s">
        <v>18</v>
      </c>
      <c r="E10307" s="33"/>
      <c r="F10307" s="60" t="s">
        <v>13</v>
      </c>
      <c r="G10307" s="34" t="str">
        <f>IF(ISNUMBER(F10307),E10307*F10307,"")</f>
        <v/>
      </c>
      <c r="H10307" s="35"/>
      <c r="I10307" s="36"/>
      <c r="J10307" s="37">
        <v>0</v>
      </c>
    </row>
    <row r="10308" spans="1:10" hidden="1" x14ac:dyDescent="0.25">
      <c r="A10308" s="179"/>
      <c r="B10308" s="177"/>
      <c r="C10308" s="39"/>
      <c r="D10308" s="39"/>
      <c r="E10308" s="40"/>
      <c r="F10308" s="70" t="s">
        <v>13</v>
      </c>
      <c r="G10308" s="70" t="str">
        <f>IF(ISNUMBER(F10308),E10308*F10308,"")</f>
        <v/>
      </c>
      <c r="H10308" s="71"/>
      <c r="I10308" s="72"/>
      <c r="J10308" s="37">
        <v>0</v>
      </c>
    </row>
    <row r="10309" spans="1:10" ht="25.5" hidden="1" x14ac:dyDescent="0.25">
      <c r="A10309" s="179"/>
      <c r="B10309" s="177"/>
      <c r="C10309" s="43" t="s">
        <v>11803</v>
      </c>
      <c r="D10309" s="43" t="s">
        <v>83</v>
      </c>
      <c r="E10309" s="44">
        <v>1</v>
      </c>
      <c r="F10309" s="70">
        <v>1301.8514999999998</v>
      </c>
      <c r="G10309" s="70">
        <f>IF(ISNUMBER(F10309),E10309*F10309,"")</f>
        <v>1301.8514999999998</v>
      </c>
      <c r="H10309" s="46">
        <f>SUM(G10309:G10309)</f>
        <v>1301.8514999999998</v>
      </c>
      <c r="I10309" s="47"/>
      <c r="J10309" s="37">
        <v>0</v>
      </c>
    </row>
    <row r="10310" spans="1:10" ht="15.75" hidden="1" thickBot="1" x14ac:dyDescent="0.3">
      <c r="A10310" s="180"/>
      <c r="B10310" s="178"/>
      <c r="C10310" s="49"/>
      <c r="D10310" s="49"/>
      <c r="E10310" s="50"/>
      <c r="F10310" s="83" t="s">
        <v>13</v>
      </c>
      <c r="G10310" s="83" t="str">
        <f>IF(ISNUMBER(F10310),E10310*F10310,"")</f>
        <v/>
      </c>
      <c r="H10310" s="84"/>
      <c r="I10310" s="72"/>
      <c r="J10310" s="37">
        <v>0</v>
      </c>
    </row>
    <row r="10311" spans="1:10" ht="15.75" hidden="1" thickBot="1" x14ac:dyDescent="0.3">
      <c r="A10311" s="173" t="s">
        <v>2504</v>
      </c>
      <c r="B10311" s="176" t="s">
        <v>9959</v>
      </c>
      <c r="C10311" s="31"/>
      <c r="D10311" s="32" t="s">
        <v>18</v>
      </c>
      <c r="E10311" s="33"/>
      <c r="F10311" s="60" t="s">
        <v>13</v>
      </c>
      <c r="G10311" s="34" t="str">
        <f>IF(ISNUMBER(F10311),E10311*F10311,"")</f>
        <v/>
      </c>
      <c r="H10311" s="35"/>
      <c r="I10311" s="36"/>
      <c r="J10311" s="37">
        <v>0</v>
      </c>
    </row>
    <row r="10312" spans="1:10" hidden="1" x14ac:dyDescent="0.25">
      <c r="A10312" s="179"/>
      <c r="B10312" s="177"/>
      <c r="C10312" s="39"/>
      <c r="D10312" s="39"/>
      <c r="E10312" s="40"/>
      <c r="F10312" s="70" t="s">
        <v>13</v>
      </c>
      <c r="G10312" s="70" t="str">
        <f>IF(ISNUMBER(F10312),E10312*F10312,"")</f>
        <v/>
      </c>
      <c r="H10312" s="71"/>
      <c r="I10312" s="72"/>
      <c r="J10312" s="37">
        <v>0</v>
      </c>
    </row>
    <row r="10313" spans="1:10" ht="25.5" hidden="1" x14ac:dyDescent="0.25">
      <c r="A10313" s="179"/>
      <c r="B10313" s="177"/>
      <c r="C10313" s="43" t="s">
        <v>11804</v>
      </c>
      <c r="D10313" s="43" t="s">
        <v>83</v>
      </c>
      <c r="E10313" s="44">
        <v>1</v>
      </c>
      <c r="F10313" s="70">
        <v>161.48099999999999</v>
      </c>
      <c r="G10313" s="70">
        <f>IF(ISNUMBER(F10313),E10313*F10313,"")</f>
        <v>161.48099999999999</v>
      </c>
      <c r="H10313" s="46">
        <f>SUM(G10313:G10313)</f>
        <v>161.48099999999999</v>
      </c>
      <c r="I10313" s="47"/>
      <c r="J10313" s="37">
        <v>0</v>
      </c>
    </row>
    <row r="10314" spans="1:10" ht="15.75" hidden="1" thickBot="1" x14ac:dyDescent="0.3">
      <c r="A10314" s="180"/>
      <c r="B10314" s="178"/>
      <c r="C10314" s="49"/>
      <c r="D10314" s="49"/>
      <c r="E10314" s="50"/>
      <c r="F10314" s="83" t="s">
        <v>13</v>
      </c>
      <c r="G10314" s="83" t="str">
        <f>IF(ISNUMBER(F10314),E10314*F10314,"")</f>
        <v/>
      </c>
      <c r="H10314" s="84"/>
      <c r="I10314" s="72"/>
      <c r="J10314" s="37">
        <v>0</v>
      </c>
    </row>
    <row r="10315" spans="1:10" ht="15.75" hidden="1" thickBot="1" x14ac:dyDescent="0.3">
      <c r="A10315" s="173" t="s">
        <v>2505</v>
      </c>
      <c r="B10315" s="176" t="s">
        <v>9960</v>
      </c>
      <c r="C10315" s="31"/>
      <c r="D10315" s="32" t="s">
        <v>18</v>
      </c>
      <c r="E10315" s="33"/>
      <c r="F10315" s="60" t="s">
        <v>13</v>
      </c>
      <c r="G10315" s="34" t="str">
        <f>IF(ISNUMBER(F10315),E10315*F10315,"")</f>
        <v/>
      </c>
      <c r="H10315" s="35"/>
      <c r="I10315" s="36"/>
      <c r="J10315" s="37">
        <v>0</v>
      </c>
    </row>
    <row r="10316" spans="1:10" hidden="1" x14ac:dyDescent="0.25">
      <c r="A10316" s="179"/>
      <c r="B10316" s="177"/>
      <c r="C10316" s="39"/>
      <c r="D10316" s="39"/>
      <c r="E10316" s="40"/>
      <c r="F10316" s="70" t="s">
        <v>13</v>
      </c>
      <c r="G10316" s="70" t="str">
        <f>IF(ISNUMBER(F10316),E10316*F10316,"")</f>
        <v/>
      </c>
      <c r="H10316" s="71"/>
      <c r="I10316" s="72"/>
      <c r="J10316" s="37">
        <v>0</v>
      </c>
    </row>
    <row r="10317" spans="1:10" ht="25.5" hidden="1" x14ac:dyDescent="0.25">
      <c r="A10317" s="179"/>
      <c r="B10317" s="177"/>
      <c r="C10317" s="43" t="s">
        <v>11805</v>
      </c>
      <c r="D10317" s="43" t="s">
        <v>83</v>
      </c>
      <c r="E10317" s="44">
        <v>1</v>
      </c>
      <c r="F10317" s="70">
        <v>140.16299999999998</v>
      </c>
      <c r="G10317" s="70">
        <f>IF(ISNUMBER(F10317),E10317*F10317,"")</f>
        <v>140.16299999999998</v>
      </c>
      <c r="H10317" s="46">
        <f>SUM(G10317:G10317)</f>
        <v>140.16299999999998</v>
      </c>
      <c r="I10317" s="47"/>
      <c r="J10317" s="37">
        <v>0</v>
      </c>
    </row>
    <row r="10318" spans="1:10" ht="15.75" hidden="1" thickBot="1" x14ac:dyDescent="0.3">
      <c r="A10318" s="180"/>
      <c r="B10318" s="178"/>
      <c r="C10318" s="49"/>
      <c r="D10318" s="49"/>
      <c r="E10318" s="50"/>
      <c r="F10318" s="83" t="s">
        <v>13</v>
      </c>
      <c r="G10318" s="83" t="str">
        <f>IF(ISNUMBER(F10318),E10318*F10318,"")</f>
        <v/>
      </c>
      <c r="H10318" s="84"/>
      <c r="I10318" s="72"/>
      <c r="J10318" s="37">
        <v>0</v>
      </c>
    </row>
    <row r="10319" spans="1:10" ht="15.75" hidden="1" thickBot="1" x14ac:dyDescent="0.3">
      <c r="A10319" s="173" t="s">
        <v>2506</v>
      </c>
      <c r="B10319" s="176" t="s">
        <v>9961</v>
      </c>
      <c r="C10319" s="31"/>
      <c r="D10319" s="32" t="s">
        <v>18</v>
      </c>
      <c r="E10319" s="33"/>
      <c r="F10319" s="60" t="s">
        <v>13</v>
      </c>
      <c r="G10319" s="34" t="str">
        <f>IF(ISNUMBER(F10319),E10319*F10319,"")</f>
        <v/>
      </c>
      <c r="H10319" s="35"/>
      <c r="I10319" s="36"/>
      <c r="J10319" s="37">
        <v>0</v>
      </c>
    </row>
    <row r="10320" spans="1:10" hidden="1" x14ac:dyDescent="0.25">
      <c r="A10320" s="179"/>
      <c r="B10320" s="177"/>
      <c r="C10320" s="39"/>
      <c r="D10320" s="39"/>
      <c r="E10320" s="40"/>
      <c r="F10320" s="70" t="s">
        <v>13</v>
      </c>
      <c r="G10320" s="70" t="str">
        <f>IF(ISNUMBER(F10320),E10320*F10320,"")</f>
        <v/>
      </c>
      <c r="H10320" s="71"/>
      <c r="I10320" s="72"/>
      <c r="J10320" s="37">
        <v>0</v>
      </c>
    </row>
    <row r="10321" spans="1:10" ht="25.5" hidden="1" x14ac:dyDescent="0.25">
      <c r="A10321" s="179"/>
      <c r="B10321" s="177"/>
      <c r="C10321" s="43" t="s">
        <v>11806</v>
      </c>
      <c r="D10321" s="43" t="s">
        <v>83</v>
      </c>
      <c r="E10321" s="44">
        <v>1</v>
      </c>
      <c r="F10321" s="70">
        <v>80.132499999999993</v>
      </c>
      <c r="G10321" s="70">
        <f>IF(ISNUMBER(F10321),E10321*F10321,"")</f>
        <v>80.132499999999993</v>
      </c>
      <c r="H10321" s="46">
        <f>SUM(G10321:G10321)</f>
        <v>80.132499999999993</v>
      </c>
      <c r="I10321" s="47"/>
      <c r="J10321" s="37">
        <v>0</v>
      </c>
    </row>
    <row r="10322" spans="1:10" ht="15.75" hidden="1" thickBot="1" x14ac:dyDescent="0.3">
      <c r="A10322" s="180"/>
      <c r="B10322" s="178"/>
      <c r="C10322" s="49"/>
      <c r="D10322" s="49"/>
      <c r="E10322" s="50"/>
      <c r="F10322" s="83" t="s">
        <v>13</v>
      </c>
      <c r="G10322" s="83" t="str">
        <f>IF(ISNUMBER(F10322),E10322*F10322,"")</f>
        <v/>
      </c>
      <c r="H10322" s="84"/>
      <c r="I10322" s="72"/>
      <c r="J10322" s="37">
        <v>0</v>
      </c>
    </row>
    <row r="10323" spans="1:10" ht="15.75" hidden="1" thickBot="1" x14ac:dyDescent="0.3">
      <c r="A10323" s="173" t="s">
        <v>2507</v>
      </c>
      <c r="B10323" s="176" t="s">
        <v>9962</v>
      </c>
      <c r="C10323" s="31"/>
      <c r="D10323" s="32" t="s">
        <v>18</v>
      </c>
      <c r="E10323" s="33"/>
      <c r="F10323" s="60" t="s">
        <v>13</v>
      </c>
      <c r="G10323" s="34" t="str">
        <f>IF(ISNUMBER(F10323),E10323*F10323,"")</f>
        <v/>
      </c>
      <c r="H10323" s="35"/>
      <c r="I10323" s="36"/>
      <c r="J10323" s="37">
        <v>0</v>
      </c>
    </row>
    <row r="10324" spans="1:10" hidden="1" x14ac:dyDescent="0.25">
      <c r="A10324" s="179"/>
      <c r="B10324" s="177"/>
      <c r="C10324" s="39"/>
      <c r="D10324" s="39"/>
      <c r="E10324" s="40"/>
      <c r="F10324" s="70" t="s">
        <v>13</v>
      </c>
      <c r="G10324" s="70" t="str">
        <f>IF(ISNUMBER(F10324),E10324*F10324,"")</f>
        <v/>
      </c>
      <c r="H10324" s="71"/>
      <c r="I10324" s="72"/>
      <c r="J10324" s="37">
        <v>0</v>
      </c>
    </row>
    <row r="10325" spans="1:10" ht="25.5" hidden="1" x14ac:dyDescent="0.25">
      <c r="A10325" s="179"/>
      <c r="B10325" s="177"/>
      <c r="C10325" s="43" t="s">
        <v>11807</v>
      </c>
      <c r="D10325" s="43" t="s">
        <v>83</v>
      </c>
      <c r="E10325" s="44">
        <v>1</v>
      </c>
      <c r="F10325" s="70">
        <v>93.43249999999999</v>
      </c>
      <c r="G10325" s="70">
        <f>IF(ISNUMBER(F10325),E10325*F10325,"")</f>
        <v>93.43249999999999</v>
      </c>
      <c r="H10325" s="46">
        <f>SUM(G10325:G10325)</f>
        <v>93.43249999999999</v>
      </c>
      <c r="I10325" s="47"/>
      <c r="J10325" s="37">
        <v>0</v>
      </c>
    </row>
    <row r="10326" spans="1:10" ht="15.75" hidden="1" thickBot="1" x14ac:dyDescent="0.3">
      <c r="A10326" s="180"/>
      <c r="B10326" s="178"/>
      <c r="C10326" s="49"/>
      <c r="D10326" s="49"/>
      <c r="E10326" s="50"/>
      <c r="F10326" s="83" t="s">
        <v>13</v>
      </c>
      <c r="G10326" s="83" t="str">
        <f>IF(ISNUMBER(F10326),E10326*F10326,"")</f>
        <v/>
      </c>
      <c r="H10326" s="84"/>
      <c r="I10326" s="72"/>
      <c r="J10326" s="37">
        <v>0</v>
      </c>
    </row>
    <row r="10327" spans="1:10" ht="15.75" hidden="1" thickBot="1" x14ac:dyDescent="0.3">
      <c r="A10327" s="173" t="s">
        <v>2508</v>
      </c>
      <c r="B10327" s="176" t="s">
        <v>9963</v>
      </c>
      <c r="C10327" s="31"/>
      <c r="D10327" s="32" t="s">
        <v>18</v>
      </c>
      <c r="E10327" s="33"/>
      <c r="F10327" s="60" t="s">
        <v>13</v>
      </c>
      <c r="G10327" s="34" t="str">
        <f>IF(ISNUMBER(F10327),E10327*F10327,"")</f>
        <v/>
      </c>
      <c r="H10327" s="35"/>
      <c r="I10327" s="36"/>
      <c r="J10327" s="37">
        <v>0</v>
      </c>
    </row>
    <row r="10328" spans="1:10" hidden="1" x14ac:dyDescent="0.25">
      <c r="A10328" s="179"/>
      <c r="B10328" s="177"/>
      <c r="C10328" s="39"/>
      <c r="D10328" s="39"/>
      <c r="E10328" s="40"/>
      <c r="F10328" s="70" t="s">
        <v>13</v>
      </c>
      <c r="G10328" s="70" t="str">
        <f>IF(ISNUMBER(F10328),E10328*F10328,"")</f>
        <v/>
      </c>
      <c r="H10328" s="71"/>
      <c r="I10328" s="72"/>
      <c r="J10328" s="37">
        <v>0</v>
      </c>
    </row>
    <row r="10329" spans="1:10" ht="25.5" hidden="1" x14ac:dyDescent="0.25">
      <c r="A10329" s="179"/>
      <c r="B10329" s="177"/>
      <c r="C10329" s="43" t="s">
        <v>11808</v>
      </c>
      <c r="D10329" s="43" t="s">
        <v>83</v>
      </c>
      <c r="E10329" s="44">
        <v>1</v>
      </c>
      <c r="F10329" s="70">
        <v>85.509500000000003</v>
      </c>
      <c r="G10329" s="70">
        <f>IF(ISNUMBER(F10329),E10329*F10329,"")</f>
        <v>85.509500000000003</v>
      </c>
      <c r="H10329" s="46">
        <f>SUM(G10329:G10329)</f>
        <v>85.509500000000003</v>
      </c>
      <c r="I10329" s="47"/>
      <c r="J10329" s="37">
        <v>0</v>
      </c>
    </row>
    <row r="10330" spans="1:10" ht="15.75" hidden="1" thickBot="1" x14ac:dyDescent="0.3">
      <c r="A10330" s="180"/>
      <c r="B10330" s="178"/>
      <c r="C10330" s="49"/>
      <c r="D10330" s="49"/>
      <c r="E10330" s="50"/>
      <c r="F10330" s="83" t="s">
        <v>13</v>
      </c>
      <c r="G10330" s="83" t="str">
        <f>IF(ISNUMBER(F10330),E10330*F10330,"")</f>
        <v/>
      </c>
      <c r="H10330" s="84"/>
      <c r="I10330" s="72"/>
      <c r="J10330" s="37">
        <v>0</v>
      </c>
    </row>
    <row r="10331" spans="1:10" ht="15.75" hidden="1" thickBot="1" x14ac:dyDescent="0.3">
      <c r="A10331" s="173" t="s">
        <v>2509</v>
      </c>
      <c r="B10331" s="176" t="s">
        <v>9986</v>
      </c>
      <c r="C10331" s="31"/>
      <c r="D10331" s="32" t="s">
        <v>18</v>
      </c>
      <c r="E10331" s="33"/>
      <c r="F10331" s="60" t="s">
        <v>13</v>
      </c>
      <c r="G10331" s="34" t="str">
        <f>IF(ISNUMBER(F10331),E10331*F10331,"")</f>
        <v/>
      </c>
      <c r="H10331" s="35"/>
      <c r="I10331" s="36"/>
      <c r="J10331" s="37">
        <v>0</v>
      </c>
    </row>
    <row r="10332" spans="1:10" hidden="1" x14ac:dyDescent="0.25">
      <c r="A10332" s="179"/>
      <c r="B10332" s="177"/>
      <c r="C10332" s="39"/>
      <c r="D10332" s="39"/>
      <c r="E10332" s="40"/>
      <c r="F10332" s="70" t="s">
        <v>13</v>
      </c>
      <c r="G10332" s="70" t="str">
        <f>IF(ISNUMBER(F10332),E10332*F10332,"")</f>
        <v/>
      </c>
      <c r="H10332" s="71"/>
      <c r="I10332" s="72"/>
      <c r="J10332" s="37">
        <v>0</v>
      </c>
    </row>
    <row r="10333" spans="1:10" ht="25.5" hidden="1" x14ac:dyDescent="0.25">
      <c r="A10333" s="179"/>
      <c r="B10333" s="177"/>
      <c r="C10333" s="43" t="s">
        <v>11809</v>
      </c>
      <c r="D10333" s="43" t="s">
        <v>83</v>
      </c>
      <c r="E10333" s="44">
        <v>1</v>
      </c>
      <c r="F10333" s="70">
        <v>6.4504999999999999</v>
      </c>
      <c r="G10333" s="70">
        <f>IF(ISNUMBER(F10333),E10333*F10333,"")</f>
        <v>6.4504999999999999</v>
      </c>
      <c r="H10333" s="46">
        <f>SUM(G10333:G10333)</f>
        <v>6.4504999999999999</v>
      </c>
      <c r="I10333" s="47"/>
      <c r="J10333" s="37">
        <v>0</v>
      </c>
    </row>
    <row r="10334" spans="1:10" ht="15.75" hidden="1" thickBot="1" x14ac:dyDescent="0.3">
      <c r="A10334" s="180"/>
      <c r="B10334" s="178"/>
      <c r="C10334" s="49"/>
      <c r="D10334" s="49"/>
      <c r="E10334" s="50"/>
      <c r="F10334" s="83" t="s">
        <v>13</v>
      </c>
      <c r="G10334" s="83" t="str">
        <f>IF(ISNUMBER(F10334),E10334*F10334,"")</f>
        <v/>
      </c>
      <c r="H10334" s="84"/>
      <c r="I10334" s="72"/>
      <c r="J10334" s="37">
        <v>0</v>
      </c>
    </row>
    <row r="10335" spans="1:10" ht="15.75" hidden="1" thickBot="1" x14ac:dyDescent="0.3">
      <c r="A10335" s="173" t="s">
        <v>2510</v>
      </c>
      <c r="B10335" s="176" t="s">
        <v>9987</v>
      </c>
      <c r="C10335" s="31"/>
      <c r="D10335" s="32" t="s">
        <v>18</v>
      </c>
      <c r="E10335" s="33"/>
      <c r="F10335" s="60" t="s">
        <v>13</v>
      </c>
      <c r="G10335" s="34" t="str">
        <f>IF(ISNUMBER(F10335),E10335*F10335,"")</f>
        <v/>
      </c>
      <c r="H10335" s="35"/>
      <c r="I10335" s="36"/>
      <c r="J10335" s="37">
        <v>0</v>
      </c>
    </row>
    <row r="10336" spans="1:10" hidden="1" x14ac:dyDescent="0.25">
      <c r="A10336" s="179"/>
      <c r="B10336" s="177"/>
      <c r="C10336" s="39"/>
      <c r="D10336" s="39"/>
      <c r="E10336" s="40"/>
      <c r="F10336" s="70" t="s">
        <v>13</v>
      </c>
      <c r="G10336" s="70" t="str">
        <f>IF(ISNUMBER(F10336),E10336*F10336,"")</f>
        <v/>
      </c>
      <c r="H10336" s="71"/>
      <c r="I10336" s="72"/>
      <c r="J10336" s="37">
        <v>0</v>
      </c>
    </row>
    <row r="10337" spans="1:10" ht="25.5" hidden="1" x14ac:dyDescent="0.25">
      <c r="A10337" s="179"/>
      <c r="B10337" s="177"/>
      <c r="C10337" s="43" t="s">
        <v>11810</v>
      </c>
      <c r="D10337" s="43" t="s">
        <v>83</v>
      </c>
      <c r="E10337" s="44">
        <v>1</v>
      </c>
      <c r="F10337" s="70">
        <v>18.391999999999999</v>
      </c>
      <c r="G10337" s="70">
        <f>IF(ISNUMBER(F10337),E10337*F10337,"")</f>
        <v>18.391999999999999</v>
      </c>
      <c r="H10337" s="46">
        <f>SUM(G10337:G10337)</f>
        <v>18.391999999999999</v>
      </c>
      <c r="I10337" s="47"/>
      <c r="J10337" s="37">
        <v>0</v>
      </c>
    </row>
    <row r="10338" spans="1:10" ht="15.75" hidden="1" thickBot="1" x14ac:dyDescent="0.3">
      <c r="A10338" s="180"/>
      <c r="B10338" s="178"/>
      <c r="C10338" s="49"/>
      <c r="D10338" s="49"/>
      <c r="E10338" s="50"/>
      <c r="F10338" s="83" t="s">
        <v>13</v>
      </c>
      <c r="G10338" s="83" t="str">
        <f>IF(ISNUMBER(F10338),E10338*F10338,"")</f>
        <v/>
      </c>
      <c r="H10338" s="84"/>
      <c r="I10338" s="72"/>
      <c r="J10338" s="37">
        <v>0</v>
      </c>
    </row>
    <row r="10339" spans="1:10" ht="15.75" hidden="1" thickBot="1" x14ac:dyDescent="0.3">
      <c r="A10339" s="173" t="s">
        <v>2511</v>
      </c>
      <c r="B10339" s="176" t="s">
        <v>9988</v>
      </c>
      <c r="C10339" s="31"/>
      <c r="D10339" s="32" t="s">
        <v>18</v>
      </c>
      <c r="E10339" s="33"/>
      <c r="F10339" s="60" t="s">
        <v>13</v>
      </c>
      <c r="G10339" s="34" t="str">
        <f>IF(ISNUMBER(F10339),E10339*F10339,"")</f>
        <v/>
      </c>
      <c r="H10339" s="35"/>
      <c r="I10339" s="36"/>
      <c r="J10339" s="37">
        <v>0</v>
      </c>
    </row>
    <row r="10340" spans="1:10" hidden="1" x14ac:dyDescent="0.25">
      <c r="A10340" s="179"/>
      <c r="B10340" s="177"/>
      <c r="C10340" s="39"/>
      <c r="D10340" s="39"/>
      <c r="E10340" s="40"/>
      <c r="F10340" s="70" t="s">
        <v>13</v>
      </c>
      <c r="G10340" s="70" t="str">
        <f>IF(ISNUMBER(F10340),E10340*F10340,"")</f>
        <v/>
      </c>
      <c r="H10340" s="71"/>
      <c r="I10340" s="72"/>
      <c r="J10340" s="37">
        <v>0</v>
      </c>
    </row>
    <row r="10341" spans="1:10" ht="25.5" hidden="1" x14ac:dyDescent="0.25">
      <c r="A10341" s="179"/>
      <c r="B10341" s="177"/>
      <c r="C10341" s="43" t="s">
        <v>11811</v>
      </c>
      <c r="D10341" s="43" t="s">
        <v>83</v>
      </c>
      <c r="E10341" s="44">
        <v>1</v>
      </c>
      <c r="F10341" s="70">
        <v>13.413999999999998</v>
      </c>
      <c r="G10341" s="70">
        <f>IF(ISNUMBER(F10341),E10341*F10341,"")</f>
        <v>13.413999999999998</v>
      </c>
      <c r="H10341" s="46">
        <f>SUM(G10341:G10341)</f>
        <v>13.413999999999998</v>
      </c>
      <c r="I10341" s="47"/>
      <c r="J10341" s="37">
        <v>0</v>
      </c>
    </row>
    <row r="10342" spans="1:10" ht="15.75" hidden="1" thickBot="1" x14ac:dyDescent="0.3">
      <c r="A10342" s="180"/>
      <c r="B10342" s="178"/>
      <c r="C10342" s="49"/>
      <c r="D10342" s="49"/>
      <c r="E10342" s="50"/>
      <c r="F10342" s="83" t="s">
        <v>13</v>
      </c>
      <c r="G10342" s="83" t="str">
        <f>IF(ISNUMBER(F10342),E10342*F10342,"")</f>
        <v/>
      </c>
      <c r="H10342" s="84"/>
      <c r="I10342" s="72"/>
      <c r="J10342" s="37">
        <v>0</v>
      </c>
    </row>
    <row r="10343" spans="1:10" ht="15.75" hidden="1" thickBot="1" x14ac:dyDescent="0.3">
      <c r="A10343" s="173" t="s">
        <v>2512</v>
      </c>
      <c r="B10343" s="176" t="s">
        <v>9989</v>
      </c>
      <c r="C10343" s="31"/>
      <c r="D10343" s="32" t="s">
        <v>18</v>
      </c>
      <c r="E10343" s="33"/>
      <c r="F10343" s="60" t="s">
        <v>13</v>
      </c>
      <c r="G10343" s="34" t="str">
        <f>IF(ISNUMBER(F10343),E10343*F10343,"")</f>
        <v/>
      </c>
      <c r="H10343" s="35"/>
      <c r="I10343" s="36"/>
      <c r="J10343" s="37">
        <v>0</v>
      </c>
    </row>
    <row r="10344" spans="1:10" hidden="1" x14ac:dyDescent="0.25">
      <c r="A10344" s="179"/>
      <c r="B10344" s="177"/>
      <c r="C10344" s="39"/>
      <c r="D10344" s="39"/>
      <c r="E10344" s="40"/>
      <c r="F10344" s="70" t="s">
        <v>13</v>
      </c>
      <c r="G10344" s="70" t="str">
        <f>IF(ISNUMBER(F10344),E10344*F10344,"")</f>
        <v/>
      </c>
      <c r="H10344" s="71"/>
      <c r="I10344" s="72"/>
      <c r="J10344" s="37">
        <v>0</v>
      </c>
    </row>
    <row r="10345" spans="1:10" ht="25.5" hidden="1" x14ac:dyDescent="0.25">
      <c r="A10345" s="179"/>
      <c r="B10345" s="177"/>
      <c r="C10345" s="43" t="s">
        <v>11812</v>
      </c>
      <c r="D10345" s="43" t="s">
        <v>83</v>
      </c>
      <c r="E10345" s="44">
        <v>1</v>
      </c>
      <c r="F10345" s="70">
        <v>14.9245</v>
      </c>
      <c r="G10345" s="70">
        <f>IF(ISNUMBER(F10345),E10345*F10345,"")</f>
        <v>14.9245</v>
      </c>
      <c r="H10345" s="46">
        <f>SUM(G10345:G10345)</f>
        <v>14.9245</v>
      </c>
      <c r="I10345" s="47"/>
      <c r="J10345" s="37">
        <v>0</v>
      </c>
    </row>
    <row r="10346" spans="1:10" ht="15.75" hidden="1" thickBot="1" x14ac:dyDescent="0.3">
      <c r="A10346" s="180"/>
      <c r="B10346" s="178"/>
      <c r="C10346" s="49"/>
      <c r="D10346" s="49"/>
      <c r="E10346" s="50"/>
      <c r="F10346" s="83" t="s">
        <v>13</v>
      </c>
      <c r="G10346" s="83" t="str">
        <f>IF(ISNUMBER(F10346),E10346*F10346,"")</f>
        <v/>
      </c>
      <c r="H10346" s="84"/>
      <c r="I10346" s="72"/>
      <c r="J10346" s="37">
        <v>0</v>
      </c>
    </row>
    <row r="10347" spans="1:10" ht="15.75" hidden="1" thickBot="1" x14ac:dyDescent="0.3">
      <c r="A10347" s="173" t="s">
        <v>2513</v>
      </c>
      <c r="B10347" s="176" t="s">
        <v>9990</v>
      </c>
      <c r="C10347" s="31"/>
      <c r="D10347" s="32" t="s">
        <v>18</v>
      </c>
      <c r="E10347" s="33"/>
      <c r="F10347" s="60" t="s">
        <v>13</v>
      </c>
      <c r="G10347" s="34" t="str">
        <f>IF(ISNUMBER(F10347),E10347*F10347,"")</f>
        <v/>
      </c>
      <c r="H10347" s="35"/>
      <c r="I10347" s="36"/>
      <c r="J10347" s="37">
        <v>0</v>
      </c>
    </row>
    <row r="10348" spans="1:10" hidden="1" x14ac:dyDescent="0.25">
      <c r="A10348" s="179"/>
      <c r="B10348" s="177"/>
      <c r="C10348" s="39"/>
      <c r="D10348" s="39"/>
      <c r="E10348" s="40"/>
      <c r="F10348" s="70" t="s">
        <v>13</v>
      </c>
      <c r="G10348" s="70" t="str">
        <f>IF(ISNUMBER(F10348),E10348*F10348,"")</f>
        <v/>
      </c>
      <c r="H10348" s="71"/>
      <c r="I10348" s="72"/>
      <c r="J10348" s="37">
        <v>0</v>
      </c>
    </row>
    <row r="10349" spans="1:10" ht="25.5" hidden="1" x14ac:dyDescent="0.25">
      <c r="A10349" s="179"/>
      <c r="B10349" s="177"/>
      <c r="C10349" s="43" t="s">
        <v>11813</v>
      </c>
      <c r="D10349" s="43" t="s">
        <v>83</v>
      </c>
      <c r="E10349" s="44">
        <v>1</v>
      </c>
      <c r="F10349" s="70">
        <v>24.966000000000001</v>
      </c>
      <c r="G10349" s="70">
        <f>IF(ISNUMBER(F10349),E10349*F10349,"")</f>
        <v>24.966000000000001</v>
      </c>
      <c r="H10349" s="46">
        <f>SUM(G10349:G10349)</f>
        <v>24.966000000000001</v>
      </c>
      <c r="I10349" s="47"/>
      <c r="J10349" s="37">
        <v>0</v>
      </c>
    </row>
    <row r="10350" spans="1:10" ht="15.75" hidden="1" thickBot="1" x14ac:dyDescent="0.3">
      <c r="A10350" s="180"/>
      <c r="B10350" s="178"/>
      <c r="C10350" s="49"/>
      <c r="D10350" s="49"/>
      <c r="E10350" s="50"/>
      <c r="F10350" s="83" t="s">
        <v>13</v>
      </c>
      <c r="G10350" s="83" t="str">
        <f>IF(ISNUMBER(F10350),E10350*F10350,"")</f>
        <v/>
      </c>
      <c r="H10350" s="84"/>
      <c r="I10350" s="72"/>
      <c r="J10350" s="37">
        <v>0</v>
      </c>
    </row>
    <row r="10351" spans="1:10" ht="15.75" hidden="1" thickBot="1" x14ac:dyDescent="0.3">
      <c r="A10351" s="173" t="s">
        <v>2514</v>
      </c>
      <c r="B10351" s="176" t="s">
        <v>9991</v>
      </c>
      <c r="C10351" s="31"/>
      <c r="D10351" s="32" t="s">
        <v>18</v>
      </c>
      <c r="E10351" s="33"/>
      <c r="F10351" s="60" t="s">
        <v>13</v>
      </c>
      <c r="G10351" s="34" t="str">
        <f>IF(ISNUMBER(F10351),E10351*F10351,"")</f>
        <v/>
      </c>
      <c r="H10351" s="35"/>
      <c r="I10351" s="36"/>
      <c r="J10351" s="37">
        <v>0</v>
      </c>
    </row>
    <row r="10352" spans="1:10" hidden="1" x14ac:dyDescent="0.25">
      <c r="A10352" s="179"/>
      <c r="B10352" s="177"/>
      <c r="C10352" s="39"/>
      <c r="D10352" s="39"/>
      <c r="E10352" s="40"/>
      <c r="F10352" s="70" t="s">
        <v>13</v>
      </c>
      <c r="G10352" s="70" t="str">
        <f>IF(ISNUMBER(F10352),E10352*F10352,"")</f>
        <v/>
      </c>
      <c r="H10352" s="71"/>
      <c r="I10352" s="72"/>
      <c r="J10352" s="37">
        <v>0</v>
      </c>
    </row>
    <row r="10353" spans="1:10" ht="25.5" hidden="1" x14ac:dyDescent="0.25">
      <c r="A10353" s="179"/>
      <c r="B10353" s="177"/>
      <c r="C10353" s="43" t="s">
        <v>11814</v>
      </c>
      <c r="D10353" s="43" t="s">
        <v>83</v>
      </c>
      <c r="E10353" s="44">
        <v>1</v>
      </c>
      <c r="F10353" s="70">
        <v>40.735999999999997</v>
      </c>
      <c r="G10353" s="70">
        <f>IF(ISNUMBER(F10353),E10353*F10353,"")</f>
        <v>40.735999999999997</v>
      </c>
      <c r="H10353" s="46">
        <f>SUM(G10353:G10353)</f>
        <v>40.735999999999997</v>
      </c>
      <c r="I10353" s="47"/>
      <c r="J10353" s="37">
        <v>0</v>
      </c>
    </row>
    <row r="10354" spans="1:10" ht="15.75" hidden="1" thickBot="1" x14ac:dyDescent="0.3">
      <c r="A10354" s="180"/>
      <c r="B10354" s="178"/>
      <c r="C10354" s="49"/>
      <c r="D10354" s="49"/>
      <c r="E10354" s="50"/>
      <c r="F10354" s="83" t="s">
        <v>13</v>
      </c>
      <c r="G10354" s="83" t="str">
        <f>IF(ISNUMBER(F10354),E10354*F10354,"")</f>
        <v/>
      </c>
      <c r="H10354" s="84"/>
      <c r="I10354" s="72"/>
      <c r="J10354" s="37">
        <v>0</v>
      </c>
    </row>
    <row r="10355" spans="1:10" ht="15.75" hidden="1" thickBot="1" x14ac:dyDescent="0.3">
      <c r="A10355" s="173" t="s">
        <v>2515</v>
      </c>
      <c r="B10355" s="176" t="s">
        <v>9992</v>
      </c>
      <c r="C10355" s="31"/>
      <c r="D10355" s="32" t="s">
        <v>18</v>
      </c>
      <c r="E10355" s="33"/>
      <c r="F10355" s="60" t="s">
        <v>13</v>
      </c>
      <c r="G10355" s="34" t="str">
        <f>IF(ISNUMBER(F10355),E10355*F10355,"")</f>
        <v/>
      </c>
      <c r="H10355" s="35"/>
      <c r="I10355" s="36"/>
      <c r="J10355" s="37">
        <v>0</v>
      </c>
    </row>
    <row r="10356" spans="1:10" hidden="1" x14ac:dyDescent="0.25">
      <c r="A10356" s="179"/>
      <c r="B10356" s="177"/>
      <c r="C10356" s="39"/>
      <c r="D10356" s="39"/>
      <c r="E10356" s="40"/>
      <c r="F10356" s="70" t="s">
        <v>13</v>
      </c>
      <c r="G10356" s="70" t="str">
        <f>IF(ISNUMBER(F10356),E10356*F10356,"")</f>
        <v/>
      </c>
      <c r="H10356" s="71"/>
      <c r="I10356" s="72"/>
      <c r="J10356" s="37">
        <v>0</v>
      </c>
    </row>
    <row r="10357" spans="1:10" ht="25.5" hidden="1" x14ac:dyDescent="0.25">
      <c r="A10357" s="179"/>
      <c r="B10357" s="177"/>
      <c r="C10357" s="43" t="s">
        <v>11815</v>
      </c>
      <c r="D10357" s="43" t="s">
        <v>83</v>
      </c>
      <c r="E10357" s="44">
        <v>1</v>
      </c>
      <c r="F10357" s="70">
        <v>54.396999999999998</v>
      </c>
      <c r="G10357" s="70">
        <f>IF(ISNUMBER(F10357),E10357*F10357,"")</f>
        <v>54.396999999999998</v>
      </c>
      <c r="H10357" s="46">
        <f>SUM(G10357:G10357)</f>
        <v>54.396999999999998</v>
      </c>
      <c r="I10357" s="47"/>
      <c r="J10357" s="37">
        <v>0</v>
      </c>
    </row>
    <row r="10358" spans="1:10" ht="15.75" hidden="1" thickBot="1" x14ac:dyDescent="0.3">
      <c r="A10358" s="180"/>
      <c r="B10358" s="178"/>
      <c r="C10358" s="49"/>
      <c r="D10358" s="49"/>
      <c r="E10358" s="50"/>
      <c r="F10358" s="83" t="s">
        <v>13</v>
      </c>
      <c r="G10358" s="83" t="str">
        <f>IF(ISNUMBER(F10358),E10358*F10358,"")</f>
        <v/>
      </c>
      <c r="H10358" s="84"/>
      <c r="I10358" s="72"/>
      <c r="J10358" s="37">
        <v>0</v>
      </c>
    </row>
    <row r="10359" spans="1:10" ht="15.75" hidden="1" thickBot="1" x14ac:dyDescent="0.3">
      <c r="A10359" s="173" t="s">
        <v>2516</v>
      </c>
      <c r="B10359" s="176" t="s">
        <v>9993</v>
      </c>
      <c r="C10359" s="31"/>
      <c r="D10359" s="32" t="s">
        <v>18</v>
      </c>
      <c r="E10359" s="33"/>
      <c r="F10359" s="60" t="s">
        <v>13</v>
      </c>
      <c r="G10359" s="34" t="str">
        <f>IF(ISNUMBER(F10359),E10359*F10359,"")</f>
        <v/>
      </c>
      <c r="H10359" s="35"/>
      <c r="I10359" s="36"/>
      <c r="J10359" s="37">
        <v>0</v>
      </c>
    </row>
    <row r="10360" spans="1:10" hidden="1" x14ac:dyDescent="0.25">
      <c r="A10360" s="179"/>
      <c r="B10360" s="177"/>
      <c r="C10360" s="39"/>
      <c r="D10360" s="39"/>
      <c r="E10360" s="40"/>
      <c r="F10360" s="70" t="s">
        <v>13</v>
      </c>
      <c r="G10360" s="70" t="str">
        <f>IF(ISNUMBER(F10360),E10360*F10360,"")</f>
        <v/>
      </c>
      <c r="H10360" s="71"/>
      <c r="I10360" s="72"/>
      <c r="J10360" s="37">
        <v>0</v>
      </c>
    </row>
    <row r="10361" spans="1:10" ht="25.5" hidden="1" x14ac:dyDescent="0.25">
      <c r="A10361" s="179"/>
      <c r="B10361" s="177"/>
      <c r="C10361" s="43" t="s">
        <v>11816</v>
      </c>
      <c r="D10361" s="43" t="s">
        <v>83</v>
      </c>
      <c r="E10361" s="44">
        <v>1</v>
      </c>
      <c r="F10361" s="70">
        <v>87.409499999999994</v>
      </c>
      <c r="G10361" s="70">
        <f>IF(ISNUMBER(F10361),E10361*F10361,"")</f>
        <v>87.409499999999994</v>
      </c>
      <c r="H10361" s="46">
        <f>SUM(G10361:G10361)</f>
        <v>87.409499999999994</v>
      </c>
      <c r="I10361" s="47"/>
      <c r="J10361" s="37">
        <v>0</v>
      </c>
    </row>
    <row r="10362" spans="1:10" ht="15.75" hidden="1" thickBot="1" x14ac:dyDescent="0.3">
      <c r="A10362" s="180"/>
      <c r="B10362" s="178"/>
      <c r="C10362" s="49"/>
      <c r="D10362" s="49"/>
      <c r="E10362" s="50"/>
      <c r="F10362" s="83" t="s">
        <v>13</v>
      </c>
      <c r="G10362" s="83" t="str">
        <f>IF(ISNUMBER(F10362),E10362*F10362,"")</f>
        <v/>
      </c>
      <c r="H10362" s="84"/>
      <c r="I10362" s="72"/>
      <c r="J10362" s="37">
        <v>0</v>
      </c>
    </row>
    <row r="10363" spans="1:10" ht="15.75" hidden="1" thickBot="1" x14ac:dyDescent="0.3">
      <c r="A10363" s="173" t="s">
        <v>2517</v>
      </c>
      <c r="B10363" s="176" t="s">
        <v>9994</v>
      </c>
      <c r="C10363" s="31"/>
      <c r="D10363" s="32" t="s">
        <v>18</v>
      </c>
      <c r="E10363" s="33"/>
      <c r="F10363" s="60" t="s">
        <v>13</v>
      </c>
      <c r="G10363" s="34" t="str">
        <f>IF(ISNUMBER(F10363),E10363*F10363,"")</f>
        <v/>
      </c>
      <c r="H10363" s="35"/>
      <c r="I10363" s="36"/>
      <c r="J10363" s="37">
        <v>0</v>
      </c>
    </row>
    <row r="10364" spans="1:10" hidden="1" x14ac:dyDescent="0.25">
      <c r="A10364" s="179"/>
      <c r="B10364" s="177"/>
      <c r="C10364" s="39"/>
      <c r="D10364" s="39"/>
      <c r="E10364" s="40"/>
      <c r="F10364" s="70" t="s">
        <v>13</v>
      </c>
      <c r="G10364" s="70" t="str">
        <f>IF(ISNUMBER(F10364),E10364*F10364,"")</f>
        <v/>
      </c>
      <c r="H10364" s="71"/>
      <c r="I10364" s="72"/>
      <c r="J10364" s="37">
        <v>0</v>
      </c>
    </row>
    <row r="10365" spans="1:10" ht="25.5" hidden="1" x14ac:dyDescent="0.25">
      <c r="A10365" s="179"/>
      <c r="B10365" s="177"/>
      <c r="C10365" s="43" t="s">
        <v>11817</v>
      </c>
      <c r="D10365" s="43" t="s">
        <v>83</v>
      </c>
      <c r="E10365" s="44">
        <v>1</v>
      </c>
      <c r="F10365" s="70">
        <v>19.664999999999999</v>
      </c>
      <c r="G10365" s="70">
        <f>IF(ISNUMBER(F10365),E10365*F10365,"")</f>
        <v>19.664999999999999</v>
      </c>
      <c r="H10365" s="46">
        <f>SUM(G10365:G10365)</f>
        <v>19.664999999999999</v>
      </c>
      <c r="I10365" s="47"/>
      <c r="J10365" s="37">
        <v>0</v>
      </c>
    </row>
    <row r="10366" spans="1:10" ht="15.75" hidden="1" thickBot="1" x14ac:dyDescent="0.3">
      <c r="A10366" s="180"/>
      <c r="B10366" s="178"/>
      <c r="C10366" s="49"/>
      <c r="D10366" s="49"/>
      <c r="E10366" s="50"/>
      <c r="F10366" s="83" t="s">
        <v>13</v>
      </c>
      <c r="G10366" s="83" t="str">
        <f>IF(ISNUMBER(F10366),E10366*F10366,"")</f>
        <v/>
      </c>
      <c r="H10366" s="84"/>
      <c r="I10366" s="72"/>
      <c r="J10366" s="37">
        <v>0</v>
      </c>
    </row>
    <row r="10367" spans="1:10" ht="15.75" hidden="1" thickBot="1" x14ac:dyDescent="0.3">
      <c r="A10367" s="173" t="s">
        <v>2518</v>
      </c>
      <c r="B10367" s="176" t="s">
        <v>9995</v>
      </c>
      <c r="C10367" s="31"/>
      <c r="D10367" s="32" t="s">
        <v>18</v>
      </c>
      <c r="E10367" s="33"/>
      <c r="F10367" s="60" t="s">
        <v>13</v>
      </c>
      <c r="G10367" s="34" t="str">
        <f>IF(ISNUMBER(F10367),E10367*F10367,"")</f>
        <v/>
      </c>
      <c r="H10367" s="35"/>
      <c r="I10367" s="36"/>
      <c r="J10367" s="37">
        <v>0</v>
      </c>
    </row>
    <row r="10368" spans="1:10" hidden="1" x14ac:dyDescent="0.25">
      <c r="A10368" s="179"/>
      <c r="B10368" s="177"/>
      <c r="C10368" s="39"/>
      <c r="D10368" s="39"/>
      <c r="E10368" s="40"/>
      <c r="F10368" s="70" t="s">
        <v>13</v>
      </c>
      <c r="G10368" s="70" t="str">
        <f>IF(ISNUMBER(F10368),E10368*F10368,"")</f>
        <v/>
      </c>
      <c r="H10368" s="71"/>
      <c r="I10368" s="72"/>
      <c r="J10368" s="37">
        <v>0</v>
      </c>
    </row>
    <row r="10369" spans="1:10" ht="25.5" hidden="1" x14ac:dyDescent="0.25">
      <c r="A10369" s="179"/>
      <c r="B10369" s="177"/>
      <c r="C10369" s="43" t="s">
        <v>11818</v>
      </c>
      <c r="D10369" s="43" t="s">
        <v>83</v>
      </c>
      <c r="E10369" s="44">
        <v>1</v>
      </c>
      <c r="F10369" s="70">
        <v>25.317499999999999</v>
      </c>
      <c r="G10369" s="70">
        <f>IF(ISNUMBER(F10369),E10369*F10369,"")</f>
        <v>25.317499999999999</v>
      </c>
      <c r="H10369" s="46">
        <f>SUM(G10369:G10369)</f>
        <v>25.317499999999999</v>
      </c>
      <c r="I10369" s="47"/>
      <c r="J10369" s="37">
        <v>0</v>
      </c>
    </row>
    <row r="10370" spans="1:10" ht="15.75" hidden="1" thickBot="1" x14ac:dyDescent="0.3">
      <c r="A10370" s="180"/>
      <c r="B10370" s="178"/>
      <c r="C10370" s="49"/>
      <c r="D10370" s="49"/>
      <c r="E10370" s="50"/>
      <c r="F10370" s="83" t="s">
        <v>13</v>
      </c>
      <c r="G10370" s="83" t="str">
        <f>IF(ISNUMBER(F10370),E10370*F10370,"")</f>
        <v/>
      </c>
      <c r="H10370" s="84"/>
      <c r="I10370" s="72"/>
      <c r="J10370" s="37">
        <v>0</v>
      </c>
    </row>
    <row r="10371" spans="1:10" ht="15.75" hidden="1" thickBot="1" x14ac:dyDescent="0.3">
      <c r="A10371" s="173" t="s">
        <v>2519</v>
      </c>
      <c r="B10371" s="176" t="s">
        <v>9996</v>
      </c>
      <c r="C10371" s="31"/>
      <c r="D10371" s="32" t="s">
        <v>18</v>
      </c>
      <c r="E10371" s="33"/>
      <c r="F10371" s="60" t="s">
        <v>13</v>
      </c>
      <c r="G10371" s="34" t="str">
        <f>IF(ISNUMBER(F10371),E10371*F10371,"")</f>
        <v/>
      </c>
      <c r="H10371" s="35"/>
      <c r="I10371" s="36"/>
      <c r="J10371" s="37">
        <v>0</v>
      </c>
    </row>
    <row r="10372" spans="1:10" hidden="1" x14ac:dyDescent="0.25">
      <c r="A10372" s="179"/>
      <c r="B10372" s="177"/>
      <c r="C10372" s="39"/>
      <c r="D10372" s="39"/>
      <c r="E10372" s="40"/>
      <c r="F10372" s="70" t="s">
        <v>13</v>
      </c>
      <c r="G10372" s="70" t="str">
        <f>IF(ISNUMBER(F10372),E10372*F10372,"")</f>
        <v/>
      </c>
      <c r="H10372" s="71"/>
      <c r="I10372" s="72"/>
      <c r="J10372" s="37">
        <v>0</v>
      </c>
    </row>
    <row r="10373" spans="1:10" ht="25.5" hidden="1" x14ac:dyDescent="0.25">
      <c r="A10373" s="179"/>
      <c r="B10373" s="177"/>
      <c r="C10373" s="43" t="s">
        <v>11819</v>
      </c>
      <c r="D10373" s="43" t="s">
        <v>83</v>
      </c>
      <c r="E10373" s="44">
        <v>1</v>
      </c>
      <c r="F10373" s="70">
        <v>40.194499999999998</v>
      </c>
      <c r="G10373" s="70">
        <f>IF(ISNUMBER(F10373),E10373*F10373,"")</f>
        <v>40.194499999999998</v>
      </c>
      <c r="H10373" s="46">
        <f>SUM(G10373:G10373)</f>
        <v>40.194499999999998</v>
      </c>
      <c r="I10373" s="47"/>
      <c r="J10373" s="37">
        <v>0</v>
      </c>
    </row>
    <row r="10374" spans="1:10" ht="15.75" hidden="1" thickBot="1" x14ac:dyDescent="0.3">
      <c r="A10374" s="180"/>
      <c r="B10374" s="178"/>
      <c r="C10374" s="49"/>
      <c r="D10374" s="49"/>
      <c r="E10374" s="50"/>
      <c r="F10374" s="83" t="s">
        <v>13</v>
      </c>
      <c r="G10374" s="83" t="str">
        <f>IF(ISNUMBER(F10374),E10374*F10374,"")</f>
        <v/>
      </c>
      <c r="H10374" s="84"/>
      <c r="I10374" s="72"/>
      <c r="J10374" s="37">
        <v>0</v>
      </c>
    </row>
    <row r="10375" spans="1:10" ht="15.75" hidden="1" thickBot="1" x14ac:dyDescent="0.3">
      <c r="A10375" s="173" t="s">
        <v>2520</v>
      </c>
      <c r="B10375" s="176" t="s">
        <v>9997</v>
      </c>
      <c r="C10375" s="31"/>
      <c r="D10375" s="32" t="s">
        <v>18</v>
      </c>
      <c r="E10375" s="33"/>
      <c r="F10375" s="60" t="s">
        <v>13</v>
      </c>
      <c r="G10375" s="34" t="str">
        <f>IF(ISNUMBER(F10375),E10375*F10375,"")</f>
        <v/>
      </c>
      <c r="H10375" s="35"/>
      <c r="I10375" s="36"/>
      <c r="J10375" s="37">
        <v>0</v>
      </c>
    </row>
    <row r="10376" spans="1:10" hidden="1" x14ac:dyDescent="0.25">
      <c r="A10376" s="179"/>
      <c r="B10376" s="177"/>
      <c r="C10376" s="39"/>
      <c r="D10376" s="39"/>
      <c r="E10376" s="40"/>
      <c r="F10376" s="70" t="s">
        <v>13</v>
      </c>
      <c r="G10376" s="70" t="str">
        <f>IF(ISNUMBER(F10376),E10376*F10376,"")</f>
        <v/>
      </c>
      <c r="H10376" s="71"/>
      <c r="I10376" s="72"/>
      <c r="J10376" s="37">
        <v>0</v>
      </c>
    </row>
    <row r="10377" spans="1:10" ht="25.5" hidden="1" x14ac:dyDescent="0.25">
      <c r="A10377" s="179"/>
      <c r="B10377" s="177"/>
      <c r="C10377" s="43" t="s">
        <v>11820</v>
      </c>
      <c r="D10377" s="43" t="s">
        <v>83</v>
      </c>
      <c r="E10377" s="44">
        <v>1</v>
      </c>
      <c r="F10377" s="70">
        <v>53.7605</v>
      </c>
      <c r="G10377" s="70">
        <f>IF(ISNUMBER(F10377),E10377*F10377,"")</f>
        <v>53.7605</v>
      </c>
      <c r="H10377" s="46">
        <f>SUM(G10377:G10377)</f>
        <v>53.7605</v>
      </c>
      <c r="I10377" s="47"/>
      <c r="J10377" s="37">
        <v>0</v>
      </c>
    </row>
    <row r="10378" spans="1:10" ht="15.75" hidden="1" thickBot="1" x14ac:dyDescent="0.3">
      <c r="A10378" s="180"/>
      <c r="B10378" s="178"/>
      <c r="C10378" s="49"/>
      <c r="D10378" s="49"/>
      <c r="E10378" s="50"/>
      <c r="F10378" s="83" t="s">
        <v>13</v>
      </c>
      <c r="G10378" s="83" t="str">
        <f>IF(ISNUMBER(F10378),E10378*F10378,"")</f>
        <v/>
      </c>
      <c r="H10378" s="84"/>
      <c r="I10378" s="72"/>
      <c r="J10378" s="37">
        <v>0</v>
      </c>
    </row>
    <row r="10379" spans="1:10" ht="15.75" hidden="1" thickBot="1" x14ac:dyDescent="0.3">
      <c r="A10379" s="173" t="s">
        <v>2521</v>
      </c>
      <c r="B10379" s="176" t="s">
        <v>9998</v>
      </c>
      <c r="C10379" s="31"/>
      <c r="D10379" s="32" t="s">
        <v>18</v>
      </c>
      <c r="E10379" s="33"/>
      <c r="F10379" s="60" t="s">
        <v>13</v>
      </c>
      <c r="G10379" s="34" t="str">
        <f>IF(ISNUMBER(F10379),E10379*F10379,"")</f>
        <v/>
      </c>
      <c r="H10379" s="35"/>
      <c r="I10379" s="36"/>
      <c r="J10379" s="37">
        <v>0</v>
      </c>
    </row>
    <row r="10380" spans="1:10" hidden="1" x14ac:dyDescent="0.25">
      <c r="A10380" s="179"/>
      <c r="B10380" s="177"/>
      <c r="C10380" s="39"/>
      <c r="D10380" s="39"/>
      <c r="E10380" s="40"/>
      <c r="F10380" s="70" t="s">
        <v>13</v>
      </c>
      <c r="G10380" s="70" t="str">
        <f>IF(ISNUMBER(F10380),E10380*F10380,"")</f>
        <v/>
      </c>
      <c r="H10380" s="71"/>
      <c r="I10380" s="72"/>
      <c r="J10380" s="37">
        <v>0</v>
      </c>
    </row>
    <row r="10381" spans="1:10" ht="25.5" hidden="1" x14ac:dyDescent="0.25">
      <c r="A10381" s="179"/>
      <c r="B10381" s="177"/>
      <c r="C10381" s="43" t="s">
        <v>11821</v>
      </c>
      <c r="D10381" s="43" t="s">
        <v>83</v>
      </c>
      <c r="E10381" s="44">
        <v>1</v>
      </c>
      <c r="F10381" s="70">
        <v>55.517999999999994</v>
      </c>
      <c r="G10381" s="70">
        <f>IF(ISNUMBER(F10381),E10381*F10381,"")</f>
        <v>55.517999999999994</v>
      </c>
      <c r="H10381" s="46">
        <f>SUM(G10381:G10381)</f>
        <v>55.517999999999994</v>
      </c>
      <c r="I10381" s="47"/>
      <c r="J10381" s="37">
        <v>0</v>
      </c>
    </row>
    <row r="10382" spans="1:10" ht="15.75" hidden="1" thickBot="1" x14ac:dyDescent="0.3">
      <c r="A10382" s="180"/>
      <c r="B10382" s="178"/>
      <c r="C10382" s="49"/>
      <c r="D10382" s="49"/>
      <c r="E10382" s="50"/>
      <c r="F10382" s="83" t="s">
        <v>13</v>
      </c>
      <c r="G10382" s="83" t="str">
        <f>IF(ISNUMBER(F10382),E10382*F10382,"")</f>
        <v/>
      </c>
      <c r="H10382" s="84"/>
      <c r="I10382" s="72"/>
      <c r="J10382" s="37">
        <v>0</v>
      </c>
    </row>
    <row r="10383" spans="1:10" ht="15.75" hidden="1" thickBot="1" x14ac:dyDescent="0.3">
      <c r="A10383" s="173" t="s">
        <v>2522</v>
      </c>
      <c r="B10383" s="176" t="s">
        <v>10011</v>
      </c>
      <c r="C10383" s="31"/>
      <c r="D10383" s="32" t="s">
        <v>18</v>
      </c>
      <c r="E10383" s="33"/>
      <c r="F10383" s="60" t="s">
        <v>13</v>
      </c>
      <c r="G10383" s="34" t="str">
        <f>IF(ISNUMBER(F10383),E10383*F10383,"")</f>
        <v/>
      </c>
      <c r="H10383" s="35"/>
      <c r="I10383" s="36"/>
      <c r="J10383" s="37">
        <v>0</v>
      </c>
    </row>
    <row r="10384" spans="1:10" hidden="1" x14ac:dyDescent="0.25">
      <c r="A10384" s="179"/>
      <c r="B10384" s="177"/>
      <c r="C10384" s="39"/>
      <c r="D10384" s="39"/>
      <c r="E10384" s="40"/>
      <c r="F10384" s="70" t="s">
        <v>13</v>
      </c>
      <c r="G10384" s="70" t="str">
        <f>IF(ISNUMBER(F10384),E10384*F10384,"")</f>
        <v/>
      </c>
      <c r="H10384" s="71"/>
      <c r="I10384" s="72"/>
      <c r="J10384" s="37">
        <v>0</v>
      </c>
    </row>
    <row r="10385" spans="1:10" ht="25.5" hidden="1" x14ac:dyDescent="0.25">
      <c r="A10385" s="179"/>
      <c r="B10385" s="177"/>
      <c r="C10385" s="43" t="s">
        <v>11822</v>
      </c>
      <c r="D10385" s="43" t="s">
        <v>83</v>
      </c>
      <c r="E10385" s="44">
        <v>1</v>
      </c>
      <c r="F10385" s="70">
        <v>19.921499999999998</v>
      </c>
      <c r="G10385" s="70">
        <f>IF(ISNUMBER(F10385),E10385*F10385,"")</f>
        <v>19.921499999999998</v>
      </c>
      <c r="H10385" s="46">
        <f>SUM(G10385:G10385)</f>
        <v>19.921499999999998</v>
      </c>
      <c r="I10385" s="47"/>
      <c r="J10385" s="37">
        <v>0</v>
      </c>
    </row>
    <row r="10386" spans="1:10" ht="15.75" hidden="1" thickBot="1" x14ac:dyDescent="0.3">
      <c r="A10386" s="180"/>
      <c r="B10386" s="178"/>
      <c r="C10386" s="49"/>
      <c r="D10386" s="49"/>
      <c r="E10386" s="50"/>
      <c r="F10386" s="83" t="s">
        <v>13</v>
      </c>
      <c r="G10386" s="83" t="str">
        <f>IF(ISNUMBER(F10386),E10386*F10386,"")</f>
        <v/>
      </c>
      <c r="H10386" s="84"/>
      <c r="I10386" s="72"/>
      <c r="J10386" s="37">
        <v>0</v>
      </c>
    </row>
    <row r="10387" spans="1:10" ht="15.75" hidden="1" thickBot="1" x14ac:dyDescent="0.3">
      <c r="A10387" s="173" t="s">
        <v>2523</v>
      </c>
      <c r="B10387" s="176" t="s">
        <v>10012</v>
      </c>
      <c r="C10387" s="31"/>
      <c r="D10387" s="32" t="s">
        <v>18</v>
      </c>
      <c r="E10387" s="33"/>
      <c r="F10387" s="60" t="s">
        <v>13</v>
      </c>
      <c r="G10387" s="34" t="str">
        <f>IF(ISNUMBER(F10387),E10387*F10387,"")</f>
        <v/>
      </c>
      <c r="H10387" s="35"/>
      <c r="I10387" s="36"/>
      <c r="J10387" s="37">
        <v>0</v>
      </c>
    </row>
    <row r="10388" spans="1:10" hidden="1" x14ac:dyDescent="0.25">
      <c r="A10388" s="179"/>
      <c r="B10388" s="177"/>
      <c r="C10388" s="39"/>
      <c r="D10388" s="39"/>
      <c r="E10388" s="40"/>
      <c r="F10388" s="70" t="s">
        <v>13</v>
      </c>
      <c r="G10388" s="70" t="str">
        <f>IF(ISNUMBER(F10388),E10388*F10388,"")</f>
        <v/>
      </c>
      <c r="H10388" s="71"/>
      <c r="I10388" s="72"/>
      <c r="J10388" s="37">
        <v>0</v>
      </c>
    </row>
    <row r="10389" spans="1:10" ht="25.5" hidden="1" x14ac:dyDescent="0.25">
      <c r="A10389" s="179"/>
      <c r="B10389" s="177"/>
      <c r="C10389" s="43" t="s">
        <v>11823</v>
      </c>
      <c r="D10389" s="43" t="s">
        <v>83</v>
      </c>
      <c r="E10389" s="44">
        <v>1</v>
      </c>
      <c r="F10389" s="70">
        <v>26.257999999999999</v>
      </c>
      <c r="G10389" s="70">
        <f>IF(ISNUMBER(F10389),E10389*F10389,"")</f>
        <v>26.257999999999999</v>
      </c>
      <c r="H10389" s="46">
        <f>SUM(G10389:G10389)</f>
        <v>26.257999999999999</v>
      </c>
      <c r="I10389" s="47"/>
      <c r="J10389" s="37">
        <v>0</v>
      </c>
    </row>
    <row r="10390" spans="1:10" ht="15.75" hidden="1" thickBot="1" x14ac:dyDescent="0.3">
      <c r="A10390" s="180"/>
      <c r="B10390" s="178"/>
      <c r="C10390" s="49"/>
      <c r="D10390" s="49"/>
      <c r="E10390" s="50"/>
      <c r="F10390" s="83" t="s">
        <v>13</v>
      </c>
      <c r="G10390" s="83" t="str">
        <f>IF(ISNUMBER(F10390),E10390*F10390,"")</f>
        <v/>
      </c>
      <c r="H10390" s="84"/>
      <c r="I10390" s="72"/>
      <c r="J10390" s="37">
        <v>0</v>
      </c>
    </row>
    <row r="10391" spans="1:10" ht="15.75" hidden="1" thickBot="1" x14ac:dyDescent="0.3">
      <c r="A10391" s="173" t="s">
        <v>2524</v>
      </c>
      <c r="B10391" s="176" t="s">
        <v>2525</v>
      </c>
      <c r="C10391" s="31"/>
      <c r="D10391" s="32" t="s">
        <v>18</v>
      </c>
      <c r="E10391" s="33"/>
      <c r="F10391" s="60" t="s">
        <v>13</v>
      </c>
      <c r="G10391" s="34" t="str">
        <f>IF(ISNUMBER(F10391),E10391*F10391,"")</f>
        <v/>
      </c>
      <c r="H10391" s="35"/>
      <c r="I10391" s="36"/>
      <c r="J10391" s="37">
        <v>0</v>
      </c>
    </row>
    <row r="10392" spans="1:10" hidden="1" x14ac:dyDescent="0.25">
      <c r="A10392" s="179"/>
      <c r="B10392" s="177"/>
      <c r="C10392" s="39"/>
      <c r="D10392" s="39"/>
      <c r="E10392" s="40"/>
      <c r="F10392" s="70" t="s">
        <v>13</v>
      </c>
      <c r="G10392" s="70" t="str">
        <f>IF(ISNUMBER(F10392),E10392*F10392,"")</f>
        <v/>
      </c>
      <c r="H10392" s="71"/>
      <c r="I10392" s="72"/>
      <c r="J10392" s="37">
        <v>0</v>
      </c>
    </row>
    <row r="10393" spans="1:10" hidden="1" x14ac:dyDescent="0.25">
      <c r="A10393" s="179"/>
      <c r="B10393" s="177"/>
      <c r="C10393" s="43" t="s">
        <v>2525</v>
      </c>
      <c r="D10393" s="43" t="s">
        <v>83</v>
      </c>
      <c r="E10393" s="44">
        <v>1</v>
      </c>
      <c r="F10393" s="70" t="s">
        <v>13</v>
      </c>
      <c r="G10393" s="70" t="str">
        <f>IF(ISNUMBER(F10393),E10393*F10393,"")</f>
        <v/>
      </c>
      <c r="H10393" s="46">
        <f>SUM(G10393:G10393)</f>
        <v>0</v>
      </c>
      <c r="I10393" s="47"/>
      <c r="J10393" s="37">
        <v>0</v>
      </c>
    </row>
    <row r="10394" spans="1:10" ht="15.75" hidden="1" thickBot="1" x14ac:dyDescent="0.3">
      <c r="A10394" s="180"/>
      <c r="B10394" s="178"/>
      <c r="C10394" s="49"/>
      <c r="D10394" s="49"/>
      <c r="E10394" s="50"/>
      <c r="F10394" s="83" t="s">
        <v>13</v>
      </c>
      <c r="G10394" s="83" t="str">
        <f>IF(ISNUMBER(F10394),E10394*F10394,"")</f>
        <v/>
      </c>
      <c r="H10394" s="84"/>
      <c r="I10394" s="72"/>
      <c r="J10394" s="37">
        <v>0</v>
      </c>
    </row>
    <row r="10395" spans="1:10" ht="15.75" hidden="1" thickBot="1" x14ac:dyDescent="0.3">
      <c r="A10395" s="173" t="s">
        <v>2526</v>
      </c>
      <c r="B10395" s="176" t="s">
        <v>2527</v>
      </c>
      <c r="C10395" s="31"/>
      <c r="D10395" s="32" t="s">
        <v>18</v>
      </c>
      <c r="E10395" s="33"/>
      <c r="F10395" s="60" t="s">
        <v>13</v>
      </c>
      <c r="G10395" s="34" t="str">
        <f>IF(ISNUMBER(F10395),E10395*F10395,"")</f>
        <v/>
      </c>
      <c r="H10395" s="35"/>
      <c r="I10395" s="36"/>
      <c r="J10395" s="37">
        <v>0</v>
      </c>
    </row>
    <row r="10396" spans="1:10" hidden="1" x14ac:dyDescent="0.25">
      <c r="A10396" s="179"/>
      <c r="B10396" s="177"/>
      <c r="C10396" s="39"/>
      <c r="D10396" s="39"/>
      <c r="E10396" s="40"/>
      <c r="F10396" s="70" t="s">
        <v>13</v>
      </c>
      <c r="G10396" s="70" t="str">
        <f>IF(ISNUMBER(F10396),E10396*F10396,"")</f>
        <v/>
      </c>
      <c r="H10396" s="71"/>
      <c r="I10396" s="72"/>
      <c r="J10396" s="37">
        <v>0</v>
      </c>
    </row>
    <row r="10397" spans="1:10" hidden="1" x14ac:dyDescent="0.25">
      <c r="A10397" s="179"/>
      <c r="B10397" s="177"/>
      <c r="C10397" s="43" t="s">
        <v>2527</v>
      </c>
      <c r="D10397" s="43" t="s">
        <v>83</v>
      </c>
      <c r="E10397" s="44">
        <v>1</v>
      </c>
      <c r="F10397" s="70" t="s">
        <v>13</v>
      </c>
      <c r="G10397" s="70" t="str">
        <f>IF(ISNUMBER(F10397),E10397*F10397,"")</f>
        <v/>
      </c>
      <c r="H10397" s="46">
        <f>SUM(G10397:G10397)</f>
        <v>0</v>
      </c>
      <c r="I10397" s="47"/>
      <c r="J10397" s="37">
        <v>0</v>
      </c>
    </row>
    <row r="10398" spans="1:10" ht="15.75" hidden="1" thickBot="1" x14ac:dyDescent="0.3">
      <c r="A10398" s="180"/>
      <c r="B10398" s="178"/>
      <c r="C10398" s="49"/>
      <c r="D10398" s="49"/>
      <c r="E10398" s="50"/>
      <c r="F10398" s="83" t="s">
        <v>13</v>
      </c>
      <c r="G10398" s="83" t="str">
        <f>IF(ISNUMBER(F10398),E10398*F10398,"")</f>
        <v/>
      </c>
      <c r="H10398" s="84"/>
      <c r="I10398" s="72"/>
      <c r="J10398" s="37">
        <v>0</v>
      </c>
    </row>
    <row r="10399" spans="1:10" ht="15.75" hidden="1" thickBot="1" x14ac:dyDescent="0.3">
      <c r="A10399" s="173" t="s">
        <v>2528</v>
      </c>
      <c r="B10399" s="176" t="s">
        <v>2529</v>
      </c>
      <c r="C10399" s="31"/>
      <c r="D10399" s="32" t="s">
        <v>18</v>
      </c>
      <c r="E10399" s="33"/>
      <c r="F10399" s="60" t="s">
        <v>13</v>
      </c>
      <c r="G10399" s="34" t="str">
        <f>IF(ISNUMBER(F10399),E10399*F10399,"")</f>
        <v/>
      </c>
      <c r="H10399" s="35"/>
      <c r="I10399" s="36"/>
      <c r="J10399" s="37">
        <v>0</v>
      </c>
    </row>
    <row r="10400" spans="1:10" hidden="1" x14ac:dyDescent="0.25">
      <c r="A10400" s="179"/>
      <c r="B10400" s="177"/>
      <c r="C10400" s="39"/>
      <c r="D10400" s="39"/>
      <c r="E10400" s="40"/>
      <c r="F10400" s="70" t="s">
        <v>13</v>
      </c>
      <c r="G10400" s="70" t="str">
        <f>IF(ISNUMBER(F10400),E10400*F10400,"")</f>
        <v/>
      </c>
      <c r="H10400" s="71"/>
      <c r="I10400" s="72"/>
      <c r="J10400" s="37">
        <v>0</v>
      </c>
    </row>
    <row r="10401" spans="1:10" hidden="1" x14ac:dyDescent="0.25">
      <c r="A10401" s="179"/>
      <c r="B10401" s="177"/>
      <c r="C10401" s="43" t="s">
        <v>2529</v>
      </c>
      <c r="D10401" s="43" t="s">
        <v>83</v>
      </c>
      <c r="E10401" s="44">
        <v>1</v>
      </c>
      <c r="F10401" s="70" t="s">
        <v>13</v>
      </c>
      <c r="G10401" s="70" t="str">
        <f>IF(ISNUMBER(F10401),E10401*F10401,"")</f>
        <v/>
      </c>
      <c r="H10401" s="46">
        <f>SUM(G10401:G10401)</f>
        <v>0</v>
      </c>
      <c r="I10401" s="47"/>
      <c r="J10401" s="37">
        <v>0</v>
      </c>
    </row>
    <row r="10402" spans="1:10" ht="15.75" hidden="1" thickBot="1" x14ac:dyDescent="0.3">
      <c r="A10402" s="180"/>
      <c r="B10402" s="178"/>
      <c r="C10402" s="49"/>
      <c r="D10402" s="49"/>
      <c r="E10402" s="50"/>
      <c r="F10402" s="83" t="s">
        <v>13</v>
      </c>
      <c r="G10402" s="83" t="str">
        <f>IF(ISNUMBER(F10402),E10402*F10402,"")</f>
        <v/>
      </c>
      <c r="H10402" s="84"/>
      <c r="I10402" s="72"/>
      <c r="J10402" s="37">
        <v>0</v>
      </c>
    </row>
    <row r="10403" spans="1:10" ht="15.75" hidden="1" thickBot="1" x14ac:dyDescent="0.3">
      <c r="A10403" s="173" t="s">
        <v>2530</v>
      </c>
      <c r="B10403" s="176" t="s">
        <v>2531</v>
      </c>
      <c r="C10403" s="31"/>
      <c r="D10403" s="32" t="s">
        <v>18</v>
      </c>
      <c r="E10403" s="33"/>
      <c r="F10403" s="60" t="s">
        <v>13</v>
      </c>
      <c r="G10403" s="34" t="str">
        <f>IF(ISNUMBER(F10403),E10403*F10403,"")</f>
        <v/>
      </c>
      <c r="H10403" s="35"/>
      <c r="I10403" s="36"/>
      <c r="J10403" s="37">
        <v>0</v>
      </c>
    </row>
    <row r="10404" spans="1:10" hidden="1" x14ac:dyDescent="0.25">
      <c r="A10404" s="179"/>
      <c r="B10404" s="177"/>
      <c r="C10404" s="39"/>
      <c r="D10404" s="39"/>
      <c r="E10404" s="40"/>
      <c r="F10404" s="70" t="s">
        <v>13</v>
      </c>
      <c r="G10404" s="70" t="str">
        <f>IF(ISNUMBER(F10404),E10404*F10404,"")</f>
        <v/>
      </c>
      <c r="H10404" s="71"/>
      <c r="I10404" s="72"/>
      <c r="J10404" s="37">
        <v>0</v>
      </c>
    </row>
    <row r="10405" spans="1:10" hidden="1" x14ac:dyDescent="0.25">
      <c r="A10405" s="179"/>
      <c r="B10405" s="177"/>
      <c r="C10405" s="43" t="s">
        <v>2531</v>
      </c>
      <c r="D10405" s="43" t="s">
        <v>83</v>
      </c>
      <c r="E10405" s="44">
        <v>1</v>
      </c>
      <c r="F10405" s="70" t="s">
        <v>13</v>
      </c>
      <c r="G10405" s="70" t="str">
        <f>IF(ISNUMBER(F10405),E10405*F10405,"")</f>
        <v/>
      </c>
      <c r="H10405" s="46">
        <f>SUM(G10405:G10405)</f>
        <v>0</v>
      </c>
      <c r="I10405" s="47"/>
      <c r="J10405" s="37">
        <v>0</v>
      </c>
    </row>
    <row r="10406" spans="1:10" ht="15.75" hidden="1" thickBot="1" x14ac:dyDescent="0.3">
      <c r="A10406" s="180"/>
      <c r="B10406" s="178"/>
      <c r="C10406" s="49"/>
      <c r="D10406" s="49"/>
      <c r="E10406" s="50"/>
      <c r="F10406" s="83" t="s">
        <v>13</v>
      </c>
      <c r="G10406" s="83" t="str">
        <f>IF(ISNUMBER(F10406),E10406*F10406,"")</f>
        <v/>
      </c>
      <c r="H10406" s="84"/>
      <c r="I10406" s="72"/>
      <c r="J10406" s="37">
        <v>0</v>
      </c>
    </row>
    <row r="10407" spans="1:10" ht="15.75" hidden="1" thickBot="1" x14ac:dyDescent="0.3">
      <c r="A10407" s="173" t="s">
        <v>2532</v>
      </c>
      <c r="B10407" s="176" t="s">
        <v>2533</v>
      </c>
      <c r="C10407" s="31"/>
      <c r="D10407" s="32" t="s">
        <v>18</v>
      </c>
      <c r="E10407" s="33"/>
      <c r="F10407" s="60" t="s">
        <v>13</v>
      </c>
      <c r="G10407" s="34" t="str">
        <f>IF(ISNUMBER(F10407),E10407*F10407,"")</f>
        <v/>
      </c>
      <c r="H10407" s="35"/>
      <c r="I10407" s="36"/>
      <c r="J10407" s="37">
        <v>0</v>
      </c>
    </row>
    <row r="10408" spans="1:10" hidden="1" x14ac:dyDescent="0.25">
      <c r="A10408" s="179"/>
      <c r="B10408" s="177"/>
      <c r="C10408" s="39"/>
      <c r="D10408" s="39"/>
      <c r="E10408" s="40"/>
      <c r="F10408" s="70" t="s">
        <v>13</v>
      </c>
      <c r="G10408" s="70" t="str">
        <f>IF(ISNUMBER(F10408),E10408*F10408,"")</f>
        <v/>
      </c>
      <c r="H10408" s="71"/>
      <c r="I10408" s="72"/>
      <c r="J10408" s="37">
        <v>0</v>
      </c>
    </row>
    <row r="10409" spans="1:10" hidden="1" x14ac:dyDescent="0.25">
      <c r="A10409" s="179"/>
      <c r="B10409" s="177"/>
      <c r="C10409" s="43" t="s">
        <v>2533</v>
      </c>
      <c r="D10409" s="43" t="s">
        <v>83</v>
      </c>
      <c r="E10409" s="44">
        <v>1</v>
      </c>
      <c r="F10409" s="70" t="s">
        <v>13</v>
      </c>
      <c r="G10409" s="70" t="str">
        <f>IF(ISNUMBER(F10409),E10409*F10409,"")</f>
        <v/>
      </c>
      <c r="H10409" s="46">
        <f>SUM(G10409:G10409)</f>
        <v>0</v>
      </c>
      <c r="I10409" s="47"/>
      <c r="J10409" s="37">
        <v>0</v>
      </c>
    </row>
    <row r="10410" spans="1:10" ht="15.75" hidden="1" thickBot="1" x14ac:dyDescent="0.3">
      <c r="A10410" s="180"/>
      <c r="B10410" s="178"/>
      <c r="C10410" s="49"/>
      <c r="D10410" s="49"/>
      <c r="E10410" s="50"/>
      <c r="F10410" s="83" t="s">
        <v>13</v>
      </c>
      <c r="G10410" s="83" t="str">
        <f>IF(ISNUMBER(F10410),E10410*F10410,"")</f>
        <v/>
      </c>
      <c r="H10410" s="84"/>
      <c r="I10410" s="72"/>
      <c r="J10410" s="37">
        <v>0</v>
      </c>
    </row>
    <row r="10411" spans="1:10" ht="15.75" hidden="1" thickBot="1" x14ac:dyDescent="0.3">
      <c r="A10411" s="173" t="s">
        <v>2534</v>
      </c>
      <c r="B10411" s="176" t="s">
        <v>2535</v>
      </c>
      <c r="C10411" s="31"/>
      <c r="D10411" s="32" t="s">
        <v>18</v>
      </c>
      <c r="E10411" s="33"/>
      <c r="F10411" s="60" t="s">
        <v>13</v>
      </c>
      <c r="G10411" s="34" t="str">
        <f>IF(ISNUMBER(F10411),E10411*F10411,"")</f>
        <v/>
      </c>
      <c r="H10411" s="35"/>
      <c r="I10411" s="36"/>
      <c r="J10411" s="37">
        <v>0</v>
      </c>
    </row>
    <row r="10412" spans="1:10" hidden="1" x14ac:dyDescent="0.25">
      <c r="A10412" s="179"/>
      <c r="B10412" s="177"/>
      <c r="C10412" s="39"/>
      <c r="D10412" s="39"/>
      <c r="E10412" s="40"/>
      <c r="F10412" s="70" t="s">
        <v>13</v>
      </c>
      <c r="G10412" s="70" t="str">
        <f>IF(ISNUMBER(F10412),E10412*F10412,"")</f>
        <v/>
      </c>
      <c r="H10412" s="71"/>
      <c r="I10412" s="72"/>
      <c r="J10412" s="37">
        <v>0</v>
      </c>
    </row>
    <row r="10413" spans="1:10" hidden="1" x14ac:dyDescent="0.25">
      <c r="A10413" s="179"/>
      <c r="B10413" s="177"/>
      <c r="C10413" s="43" t="s">
        <v>2535</v>
      </c>
      <c r="D10413" s="43" t="s">
        <v>83</v>
      </c>
      <c r="E10413" s="44">
        <v>1</v>
      </c>
      <c r="F10413" s="70" t="s">
        <v>13</v>
      </c>
      <c r="G10413" s="70" t="str">
        <f>IF(ISNUMBER(F10413),E10413*F10413,"")</f>
        <v/>
      </c>
      <c r="H10413" s="46">
        <f>SUM(G10413:G10413)</f>
        <v>0</v>
      </c>
      <c r="I10413" s="47"/>
      <c r="J10413" s="37">
        <v>0</v>
      </c>
    </row>
    <row r="10414" spans="1:10" ht="15.75" hidden="1" thickBot="1" x14ac:dyDescent="0.3">
      <c r="A10414" s="180"/>
      <c r="B10414" s="178"/>
      <c r="C10414" s="49"/>
      <c r="D10414" s="49"/>
      <c r="E10414" s="50"/>
      <c r="F10414" s="83" t="s">
        <v>13</v>
      </c>
      <c r="G10414" s="83" t="str">
        <f>IF(ISNUMBER(F10414),E10414*F10414,"")</f>
        <v/>
      </c>
      <c r="H10414" s="84"/>
      <c r="I10414" s="72"/>
      <c r="J10414" s="37">
        <v>0</v>
      </c>
    </row>
    <row r="10415" spans="1:10" ht="15.75" hidden="1" thickBot="1" x14ac:dyDescent="0.3">
      <c r="A10415" s="173" t="s">
        <v>2536</v>
      </c>
      <c r="B10415" s="176" t="s">
        <v>2537</v>
      </c>
      <c r="C10415" s="31"/>
      <c r="D10415" s="32" t="s">
        <v>18</v>
      </c>
      <c r="E10415" s="33"/>
      <c r="F10415" s="60" t="s">
        <v>13</v>
      </c>
      <c r="G10415" s="34" t="str">
        <f>IF(ISNUMBER(F10415),E10415*F10415,"")</f>
        <v/>
      </c>
      <c r="H10415" s="35"/>
      <c r="I10415" s="36"/>
      <c r="J10415" s="37">
        <v>0</v>
      </c>
    </row>
    <row r="10416" spans="1:10" hidden="1" x14ac:dyDescent="0.25">
      <c r="A10416" s="179"/>
      <c r="B10416" s="177"/>
      <c r="C10416" s="39"/>
      <c r="D10416" s="39"/>
      <c r="E10416" s="40"/>
      <c r="F10416" s="70" t="s">
        <v>13</v>
      </c>
      <c r="G10416" s="70" t="str">
        <f>IF(ISNUMBER(F10416),E10416*F10416,"")</f>
        <v/>
      </c>
      <c r="H10416" s="71"/>
      <c r="I10416" s="72"/>
      <c r="J10416" s="37">
        <v>0</v>
      </c>
    </row>
    <row r="10417" spans="1:10" hidden="1" x14ac:dyDescent="0.25">
      <c r="A10417" s="179"/>
      <c r="B10417" s="177"/>
      <c r="C10417" s="43" t="s">
        <v>2537</v>
      </c>
      <c r="D10417" s="43" t="s">
        <v>83</v>
      </c>
      <c r="E10417" s="44">
        <v>1</v>
      </c>
      <c r="F10417" s="70" t="s">
        <v>13</v>
      </c>
      <c r="G10417" s="70" t="str">
        <f>IF(ISNUMBER(F10417),E10417*F10417,"")</f>
        <v/>
      </c>
      <c r="H10417" s="46">
        <f>SUM(G10417:G10417)</f>
        <v>0</v>
      </c>
      <c r="I10417" s="47"/>
      <c r="J10417" s="37">
        <v>0</v>
      </c>
    </row>
    <row r="10418" spans="1:10" ht="15.75" hidden="1" thickBot="1" x14ac:dyDescent="0.3">
      <c r="A10418" s="180"/>
      <c r="B10418" s="178"/>
      <c r="C10418" s="49"/>
      <c r="D10418" s="49"/>
      <c r="E10418" s="50"/>
      <c r="F10418" s="83" t="s">
        <v>13</v>
      </c>
      <c r="G10418" s="83" t="str">
        <f>IF(ISNUMBER(F10418),E10418*F10418,"")</f>
        <v/>
      </c>
      <c r="H10418" s="84"/>
      <c r="I10418" s="72"/>
      <c r="J10418" s="37">
        <v>0</v>
      </c>
    </row>
    <row r="10419" spans="1:10" ht="15.75" hidden="1" thickBot="1" x14ac:dyDescent="0.3">
      <c r="A10419" s="173" t="s">
        <v>2538</v>
      </c>
      <c r="B10419" s="176" t="s">
        <v>10049</v>
      </c>
      <c r="C10419" s="31"/>
      <c r="D10419" s="32" t="s">
        <v>18</v>
      </c>
      <c r="E10419" s="33"/>
      <c r="F10419" s="60" t="s">
        <v>13</v>
      </c>
      <c r="G10419" s="34" t="str">
        <f>IF(ISNUMBER(F10419),E10419*F10419,"")</f>
        <v/>
      </c>
      <c r="H10419" s="35"/>
      <c r="I10419" s="36"/>
      <c r="J10419" s="37">
        <v>0</v>
      </c>
    </row>
    <row r="10420" spans="1:10" hidden="1" x14ac:dyDescent="0.25">
      <c r="A10420" s="179"/>
      <c r="B10420" s="177"/>
      <c r="C10420" s="39"/>
      <c r="D10420" s="39"/>
      <c r="E10420" s="40"/>
      <c r="F10420" s="70" t="s">
        <v>13</v>
      </c>
      <c r="G10420" s="70" t="str">
        <f>IF(ISNUMBER(F10420),E10420*F10420,"")</f>
        <v/>
      </c>
      <c r="H10420" s="71"/>
      <c r="I10420" s="72"/>
      <c r="J10420" s="37">
        <v>0</v>
      </c>
    </row>
    <row r="10421" spans="1:10" hidden="1" x14ac:dyDescent="0.25">
      <c r="A10421" s="179"/>
      <c r="B10421" s="177"/>
      <c r="C10421" s="43" t="s">
        <v>2539</v>
      </c>
      <c r="D10421" s="43" t="s">
        <v>83</v>
      </c>
      <c r="E10421" s="44">
        <v>1</v>
      </c>
      <c r="F10421" s="70" t="s">
        <v>13</v>
      </c>
      <c r="G10421" s="70" t="str">
        <f>IF(ISNUMBER(F10421),E10421*F10421,"")</f>
        <v/>
      </c>
      <c r="H10421" s="46">
        <f>SUM(G10421:G10421)</f>
        <v>0</v>
      </c>
      <c r="I10421" s="47"/>
      <c r="J10421" s="37">
        <v>0</v>
      </c>
    </row>
    <row r="10422" spans="1:10" ht="15.75" hidden="1" thickBot="1" x14ac:dyDescent="0.3">
      <c r="A10422" s="180"/>
      <c r="B10422" s="178"/>
      <c r="C10422" s="49"/>
      <c r="D10422" s="49"/>
      <c r="E10422" s="50"/>
      <c r="F10422" s="83" t="s">
        <v>13</v>
      </c>
      <c r="G10422" s="83" t="str">
        <f>IF(ISNUMBER(F10422),E10422*F10422,"")</f>
        <v/>
      </c>
      <c r="H10422" s="84"/>
      <c r="I10422" s="72"/>
      <c r="J10422" s="37">
        <v>0</v>
      </c>
    </row>
    <row r="10423" spans="1:10" ht="15.75" hidden="1" thickBot="1" x14ac:dyDescent="0.3">
      <c r="A10423" s="173" t="s">
        <v>2540</v>
      </c>
      <c r="B10423" s="176" t="s">
        <v>2541</v>
      </c>
      <c r="C10423" s="31"/>
      <c r="D10423" s="32" t="s">
        <v>18</v>
      </c>
      <c r="E10423" s="33"/>
      <c r="F10423" s="60" t="s">
        <v>13</v>
      </c>
      <c r="G10423" s="34" t="str">
        <f>IF(ISNUMBER(F10423),E10423*F10423,"")</f>
        <v/>
      </c>
      <c r="H10423" s="35"/>
      <c r="I10423" s="36"/>
      <c r="J10423" s="37">
        <v>0</v>
      </c>
    </row>
    <row r="10424" spans="1:10" hidden="1" x14ac:dyDescent="0.25">
      <c r="A10424" s="179"/>
      <c r="B10424" s="177"/>
      <c r="C10424" s="39"/>
      <c r="D10424" s="39"/>
      <c r="E10424" s="40"/>
      <c r="F10424" s="70" t="s">
        <v>13</v>
      </c>
      <c r="G10424" s="70" t="str">
        <f>IF(ISNUMBER(F10424),E10424*F10424,"")</f>
        <v/>
      </c>
      <c r="H10424" s="71"/>
      <c r="I10424" s="72"/>
      <c r="J10424" s="37">
        <v>0</v>
      </c>
    </row>
    <row r="10425" spans="1:10" hidden="1" x14ac:dyDescent="0.25">
      <c r="A10425" s="179"/>
      <c r="B10425" s="177"/>
      <c r="C10425" s="43" t="s">
        <v>2541</v>
      </c>
      <c r="D10425" s="43" t="s">
        <v>83</v>
      </c>
      <c r="E10425" s="44">
        <v>1</v>
      </c>
      <c r="F10425" s="70" t="s">
        <v>13</v>
      </c>
      <c r="G10425" s="70" t="str">
        <f>IF(ISNUMBER(F10425),E10425*F10425,"")</f>
        <v/>
      </c>
      <c r="H10425" s="46">
        <f>SUM(G10425:G10425)</f>
        <v>0</v>
      </c>
      <c r="I10425" s="47"/>
      <c r="J10425" s="37">
        <v>0</v>
      </c>
    </row>
    <row r="10426" spans="1:10" ht="15.75" hidden="1" thickBot="1" x14ac:dyDescent="0.3">
      <c r="A10426" s="180"/>
      <c r="B10426" s="178"/>
      <c r="C10426" s="49"/>
      <c r="D10426" s="49"/>
      <c r="E10426" s="50"/>
      <c r="F10426" s="83" t="s">
        <v>13</v>
      </c>
      <c r="G10426" s="83" t="str">
        <f>IF(ISNUMBER(F10426),E10426*F10426,"")</f>
        <v/>
      </c>
      <c r="H10426" s="84"/>
      <c r="I10426" s="72"/>
      <c r="J10426" s="37">
        <v>0</v>
      </c>
    </row>
    <row r="10427" spans="1:10" ht="15.75" hidden="1" thickBot="1" x14ac:dyDescent="0.3">
      <c r="A10427" s="173" t="s">
        <v>2542</v>
      </c>
      <c r="B10427" s="176" t="s">
        <v>2543</v>
      </c>
      <c r="C10427" s="31"/>
      <c r="D10427" s="32" t="s">
        <v>18</v>
      </c>
      <c r="E10427" s="33"/>
      <c r="F10427" s="60" t="s">
        <v>13</v>
      </c>
      <c r="G10427" s="34" t="str">
        <f>IF(ISNUMBER(F10427),E10427*F10427,"")</f>
        <v/>
      </c>
      <c r="H10427" s="35"/>
      <c r="I10427" s="36"/>
      <c r="J10427" s="37">
        <v>0</v>
      </c>
    </row>
    <row r="10428" spans="1:10" hidden="1" x14ac:dyDescent="0.25">
      <c r="A10428" s="179"/>
      <c r="B10428" s="177"/>
      <c r="C10428" s="39"/>
      <c r="D10428" s="39"/>
      <c r="E10428" s="40"/>
      <c r="F10428" s="70" t="s">
        <v>13</v>
      </c>
      <c r="G10428" s="70" t="str">
        <f>IF(ISNUMBER(F10428),E10428*F10428,"")</f>
        <v/>
      </c>
      <c r="H10428" s="71"/>
      <c r="I10428" s="72"/>
      <c r="J10428" s="37">
        <v>0</v>
      </c>
    </row>
    <row r="10429" spans="1:10" hidden="1" x14ac:dyDescent="0.25">
      <c r="A10429" s="179"/>
      <c r="B10429" s="177"/>
      <c r="C10429" s="43" t="s">
        <v>2543</v>
      </c>
      <c r="D10429" s="43" t="s">
        <v>83</v>
      </c>
      <c r="E10429" s="44">
        <v>1</v>
      </c>
      <c r="F10429" s="70" t="s">
        <v>13</v>
      </c>
      <c r="G10429" s="70" t="str">
        <f>IF(ISNUMBER(F10429),E10429*F10429,"")</f>
        <v/>
      </c>
      <c r="H10429" s="46">
        <f>SUM(G10429:G10429)</f>
        <v>0</v>
      </c>
      <c r="I10429" s="47"/>
      <c r="J10429" s="37">
        <v>0</v>
      </c>
    </row>
    <row r="10430" spans="1:10" ht="15.75" hidden="1" thickBot="1" x14ac:dyDescent="0.3">
      <c r="A10430" s="180"/>
      <c r="B10430" s="178"/>
      <c r="C10430" s="49"/>
      <c r="D10430" s="49"/>
      <c r="E10430" s="50"/>
      <c r="F10430" s="83" t="s">
        <v>13</v>
      </c>
      <c r="G10430" s="83" t="str">
        <f>IF(ISNUMBER(F10430),E10430*F10430,"")</f>
        <v/>
      </c>
      <c r="H10430" s="84"/>
      <c r="I10430" s="72"/>
      <c r="J10430" s="37">
        <v>0</v>
      </c>
    </row>
    <row r="10431" spans="1:10" ht="15.75" hidden="1" thickBot="1" x14ac:dyDescent="0.3">
      <c r="A10431" s="173" t="s">
        <v>2544</v>
      </c>
      <c r="B10431" s="176" t="s">
        <v>10060</v>
      </c>
      <c r="C10431" s="31"/>
      <c r="D10431" s="32" t="s">
        <v>106</v>
      </c>
      <c r="E10431" s="33"/>
      <c r="F10431" s="60" t="s">
        <v>13</v>
      </c>
      <c r="G10431" s="34" t="str">
        <f>IF(ISNUMBER(F10431),E10431*F10431,"")</f>
        <v/>
      </c>
      <c r="H10431" s="35"/>
      <c r="I10431" s="36"/>
      <c r="J10431" s="37">
        <v>0</v>
      </c>
    </row>
    <row r="10432" spans="1:10" hidden="1" x14ac:dyDescent="0.25">
      <c r="A10432" s="179"/>
      <c r="B10432" s="177"/>
      <c r="C10432" s="39"/>
      <c r="D10432" s="39"/>
      <c r="E10432" s="40"/>
      <c r="F10432" s="70" t="s">
        <v>13</v>
      </c>
      <c r="G10432" s="70" t="str">
        <f>IF(ISNUMBER(F10432),E10432*F10432,"")</f>
        <v/>
      </c>
      <c r="H10432" s="71"/>
      <c r="I10432" s="72"/>
      <c r="J10432" s="37">
        <v>0</v>
      </c>
    </row>
    <row r="10433" spans="1:10" ht="38.25" hidden="1" x14ac:dyDescent="0.25">
      <c r="A10433" s="179"/>
      <c r="B10433" s="177"/>
      <c r="C10433" s="43" t="s">
        <v>11824</v>
      </c>
      <c r="D10433" s="43" t="s">
        <v>1302</v>
      </c>
      <c r="E10433" s="44">
        <v>1</v>
      </c>
      <c r="F10433" s="70">
        <v>76.664999999999992</v>
      </c>
      <c r="G10433" s="70">
        <f>IF(ISNUMBER(F10433),E10433*F10433,"")</f>
        <v>76.664999999999992</v>
      </c>
      <c r="H10433" s="46">
        <f>SUM(G10433:G10433)</f>
        <v>76.664999999999992</v>
      </c>
      <c r="I10433" s="47"/>
      <c r="J10433" s="37">
        <v>0</v>
      </c>
    </row>
    <row r="10434" spans="1:10" ht="15.75" hidden="1" thickBot="1" x14ac:dyDescent="0.3">
      <c r="A10434" s="180"/>
      <c r="B10434" s="178"/>
      <c r="C10434" s="49"/>
      <c r="D10434" s="49"/>
      <c r="E10434" s="50"/>
      <c r="F10434" s="83" t="s">
        <v>13</v>
      </c>
      <c r="G10434" s="83" t="str">
        <f>IF(ISNUMBER(F10434),E10434*F10434,"")</f>
        <v/>
      </c>
      <c r="H10434" s="84"/>
      <c r="I10434" s="72"/>
      <c r="J10434" s="37">
        <v>0</v>
      </c>
    </row>
    <row r="10435" spans="1:10" ht="15.75" hidden="1" thickBot="1" x14ac:dyDescent="0.3">
      <c r="A10435" s="173" t="s">
        <v>2545</v>
      </c>
      <c r="B10435" s="176" t="s">
        <v>10061</v>
      </c>
      <c r="C10435" s="31"/>
      <c r="D10435" s="32" t="s">
        <v>106</v>
      </c>
      <c r="E10435" s="33"/>
      <c r="F10435" s="60" t="s">
        <v>13</v>
      </c>
      <c r="G10435" s="34" t="str">
        <f>IF(ISNUMBER(F10435),E10435*F10435,"")</f>
        <v/>
      </c>
      <c r="H10435" s="35"/>
      <c r="I10435" s="36"/>
      <c r="J10435" s="37">
        <v>0</v>
      </c>
    </row>
    <row r="10436" spans="1:10" hidden="1" x14ac:dyDescent="0.25">
      <c r="A10436" s="179"/>
      <c r="B10436" s="177"/>
      <c r="C10436" s="39"/>
      <c r="D10436" s="39"/>
      <c r="E10436" s="40"/>
      <c r="F10436" s="70" t="s">
        <v>13</v>
      </c>
      <c r="G10436" s="70" t="str">
        <f>IF(ISNUMBER(F10436),E10436*F10436,"")</f>
        <v/>
      </c>
      <c r="H10436" s="71"/>
      <c r="I10436" s="72"/>
      <c r="J10436" s="37">
        <v>0</v>
      </c>
    </row>
    <row r="10437" spans="1:10" ht="38.25" hidden="1" x14ac:dyDescent="0.25">
      <c r="A10437" s="179"/>
      <c r="B10437" s="177"/>
      <c r="C10437" s="43" t="s">
        <v>11825</v>
      </c>
      <c r="D10437" s="43" t="s">
        <v>1302</v>
      </c>
      <c r="E10437" s="44">
        <v>1</v>
      </c>
      <c r="F10437" s="70">
        <v>124.04149999999998</v>
      </c>
      <c r="G10437" s="70">
        <f>IF(ISNUMBER(F10437),E10437*F10437,"")</f>
        <v>124.04149999999998</v>
      </c>
      <c r="H10437" s="46">
        <f>SUM(G10437:G10437)</f>
        <v>124.04149999999998</v>
      </c>
      <c r="I10437" s="47"/>
      <c r="J10437" s="37">
        <v>0</v>
      </c>
    </row>
    <row r="10438" spans="1:10" ht="15.75" hidden="1" thickBot="1" x14ac:dyDescent="0.3">
      <c r="A10438" s="180"/>
      <c r="B10438" s="178"/>
      <c r="C10438" s="49"/>
      <c r="D10438" s="49"/>
      <c r="E10438" s="50"/>
      <c r="F10438" s="83" t="s">
        <v>13</v>
      </c>
      <c r="G10438" s="83" t="str">
        <f>IF(ISNUMBER(F10438),E10438*F10438,"")</f>
        <v/>
      </c>
      <c r="H10438" s="84"/>
      <c r="I10438" s="72"/>
      <c r="J10438" s="37">
        <v>0</v>
      </c>
    </row>
    <row r="10439" spans="1:10" ht="15.75" hidden="1" thickBot="1" x14ac:dyDescent="0.3">
      <c r="A10439" s="173" t="s">
        <v>2546</v>
      </c>
      <c r="B10439" s="176" t="s">
        <v>10064</v>
      </c>
      <c r="C10439" s="31"/>
      <c r="D10439" s="32" t="s">
        <v>461</v>
      </c>
      <c r="E10439" s="33"/>
      <c r="F10439" s="54" t="s">
        <v>13</v>
      </c>
      <c r="G10439" s="34" t="str">
        <f>IF(ISNUMBER(F10439),E10439*F10439,"")</f>
        <v/>
      </c>
      <c r="H10439" s="35"/>
      <c r="I10439" s="36"/>
      <c r="J10439" s="37">
        <v>0</v>
      </c>
    </row>
    <row r="10440" spans="1:10" hidden="1" x14ac:dyDescent="0.25">
      <c r="A10440" s="179"/>
      <c r="B10440" s="177"/>
      <c r="C10440" s="39"/>
      <c r="D10440" s="39"/>
      <c r="E10440" s="40"/>
      <c r="F10440" s="55" t="s">
        <v>13</v>
      </c>
      <c r="G10440" s="41" t="str">
        <f>IF(ISNUMBER(F10440),E10440*F10440,"")</f>
        <v/>
      </c>
      <c r="H10440" s="42"/>
      <c r="I10440" s="38"/>
      <c r="J10440" s="37">
        <v>0</v>
      </c>
    </row>
    <row r="10441" spans="1:10" ht="51" hidden="1" x14ac:dyDescent="0.25">
      <c r="A10441" s="179"/>
      <c r="B10441" s="177"/>
      <c r="C10441" s="43" t="s">
        <v>2547</v>
      </c>
      <c r="D10441" s="43" t="s">
        <v>18</v>
      </c>
      <c r="E10441" s="44">
        <v>2</v>
      </c>
      <c r="F10441" s="38" t="s">
        <v>13</v>
      </c>
      <c r="G10441" s="41" t="str">
        <f>IF(ISNUMBER(F10441),E10441*F10441,"")</f>
        <v/>
      </c>
      <c r="H10441" s="46">
        <f>SUM(G10441:G10448)</f>
        <v>418.86389960000002</v>
      </c>
      <c r="I10441" s="47"/>
      <c r="J10441" s="37">
        <v>0</v>
      </c>
    </row>
    <row r="10442" spans="1:10" ht="38.25" hidden="1" x14ac:dyDescent="0.25">
      <c r="A10442" s="179"/>
      <c r="B10442" s="177"/>
      <c r="C10442" s="43" t="s">
        <v>11711</v>
      </c>
      <c r="D10442" s="43" t="s">
        <v>83</v>
      </c>
      <c r="E10442" s="44">
        <f>4*2</f>
        <v>8</v>
      </c>
      <c r="F10442" s="38">
        <v>1.3584999999999998</v>
      </c>
      <c r="G10442" s="41">
        <f>IF(ISNUMBER(F10442),E10442*F10442,"")</f>
        <v>10.867999999999999</v>
      </c>
      <c r="H10442" s="42"/>
      <c r="I10442" s="47"/>
      <c r="J10442" s="37">
        <v>0</v>
      </c>
    </row>
    <row r="10443" spans="1:10" hidden="1" x14ac:dyDescent="0.25">
      <c r="A10443" s="179"/>
      <c r="B10443" s="177"/>
      <c r="C10443" s="43" t="s">
        <v>11712</v>
      </c>
      <c r="D10443" s="43" t="s">
        <v>1302</v>
      </c>
      <c r="E10443" s="44">
        <f>0.2*2</f>
        <v>0.4</v>
      </c>
      <c r="F10443" s="38">
        <v>3.2489999999999997</v>
      </c>
      <c r="G10443" s="41">
        <f>IF(ISNUMBER(F10443),E10443*F10443,"")</f>
        <v>1.2995999999999999</v>
      </c>
      <c r="H10443" s="42"/>
      <c r="I10443" s="47"/>
      <c r="J10443" s="37">
        <v>0</v>
      </c>
    </row>
    <row r="10444" spans="1:10" hidden="1" x14ac:dyDescent="0.25">
      <c r="A10444" s="179"/>
      <c r="B10444" s="177"/>
      <c r="C10444" s="43" t="s">
        <v>10933</v>
      </c>
      <c r="D10444" s="43" t="s">
        <v>83</v>
      </c>
      <c r="E10444" s="44">
        <f>4*2</f>
        <v>8</v>
      </c>
      <c r="F10444" s="38">
        <v>0.26600000000000001</v>
      </c>
      <c r="G10444" s="41">
        <f>IF(ISNUMBER(F10444),E10444*F10444,"")</f>
        <v>2.1280000000000001</v>
      </c>
      <c r="H10444" s="42"/>
      <c r="I10444" s="47"/>
      <c r="J10444" s="37">
        <v>0</v>
      </c>
    </row>
    <row r="10445" spans="1:10" hidden="1" x14ac:dyDescent="0.25">
      <c r="A10445" s="179"/>
      <c r="B10445" s="177"/>
      <c r="C10445" s="43" t="s">
        <v>10762</v>
      </c>
      <c r="D10445" s="43" t="s">
        <v>2800</v>
      </c>
      <c r="E10445" s="44">
        <f>0.633*2</f>
        <v>1.266</v>
      </c>
      <c r="F10445" s="38">
        <v>24.946999999999999</v>
      </c>
      <c r="G10445" s="41">
        <f>IF(ISNUMBER(F10445),E10445*F10445,"")</f>
        <v>31.582902000000001</v>
      </c>
      <c r="H10445" s="42"/>
      <c r="I10445" s="47"/>
      <c r="J10445" s="37">
        <v>0</v>
      </c>
    </row>
    <row r="10446" spans="1:10" ht="25.5" hidden="1" x14ac:dyDescent="0.25">
      <c r="A10446" s="179"/>
      <c r="B10446" s="177"/>
      <c r="C10446" s="43" t="s">
        <v>10753</v>
      </c>
      <c r="D10446" s="43" t="s">
        <v>2800</v>
      </c>
      <c r="E10446" s="44">
        <f>3.0647*2</f>
        <v>6.1294000000000004</v>
      </c>
      <c r="F10446" s="38">
        <v>23.997</v>
      </c>
      <c r="G10446" s="41">
        <f>IF(ISNUMBER(F10446),E10446*F10446,"")</f>
        <v>147.08721180000001</v>
      </c>
      <c r="H10446" s="42"/>
      <c r="I10446" s="47"/>
      <c r="J10446" s="37">
        <v>0</v>
      </c>
    </row>
    <row r="10447" spans="1:10" hidden="1" x14ac:dyDescent="0.25">
      <c r="A10447" s="179"/>
      <c r="B10447" s="177"/>
      <c r="C10447" s="43" t="s">
        <v>10763</v>
      </c>
      <c r="D10447" s="43" t="s">
        <v>2800</v>
      </c>
      <c r="E10447" s="44">
        <f>0.633*2</f>
        <v>1.266</v>
      </c>
      <c r="F10447" s="38">
        <v>31.435500000000001</v>
      </c>
      <c r="G10447" s="41">
        <f>IF(ISNUMBER(F10447),E10447*F10447,"")</f>
        <v>39.797343000000005</v>
      </c>
      <c r="H10447" s="42"/>
      <c r="I10447" s="47"/>
      <c r="J10447" s="37">
        <v>0</v>
      </c>
    </row>
    <row r="10448" spans="1:10" ht="25.5" hidden="1" x14ac:dyDescent="0.25">
      <c r="A10448" s="179"/>
      <c r="B10448" s="177"/>
      <c r="C10448" s="43" t="s">
        <v>10754</v>
      </c>
      <c r="D10448" s="43" t="s">
        <v>2800</v>
      </c>
      <c r="E10448" s="44">
        <f>3.0647*2</f>
        <v>6.1294000000000004</v>
      </c>
      <c r="F10448" s="38">
        <v>30.361999999999998</v>
      </c>
      <c r="G10448" s="41">
        <f>IF(ISNUMBER(F10448),E10448*F10448,"")</f>
        <v>186.10084280000001</v>
      </c>
      <c r="H10448" s="42"/>
      <c r="I10448" s="47"/>
      <c r="J10448" s="37">
        <v>0</v>
      </c>
    </row>
    <row r="10449" spans="1:10" ht="15.75" hidden="1" thickBot="1" x14ac:dyDescent="0.3">
      <c r="A10449" s="180"/>
      <c r="B10449" s="178"/>
      <c r="C10449" s="49"/>
      <c r="D10449" s="49"/>
      <c r="E10449" s="50"/>
      <c r="F10449" s="51" t="s">
        <v>13</v>
      </c>
      <c r="G10449" s="52" t="str">
        <f>IF(ISNUMBER(F10449),E10449*F10449,"")</f>
        <v/>
      </c>
      <c r="H10449" s="53"/>
      <c r="I10449" s="38"/>
      <c r="J10449" s="37">
        <v>0</v>
      </c>
    </row>
    <row r="10450" spans="1:10" ht="15.75" hidden="1" thickBot="1" x14ac:dyDescent="0.3">
      <c r="A10450" s="173" t="s">
        <v>2548</v>
      </c>
      <c r="B10450" s="176" t="s">
        <v>10065</v>
      </c>
      <c r="C10450" s="31"/>
      <c r="D10450" s="32" t="s">
        <v>18</v>
      </c>
      <c r="E10450" s="33"/>
      <c r="F10450" s="60" t="s">
        <v>13</v>
      </c>
      <c r="G10450" s="34" t="str">
        <f>IF(ISNUMBER(F10450),E10450*F10450,"")</f>
        <v/>
      </c>
      <c r="H10450" s="35"/>
      <c r="I10450" s="36"/>
      <c r="J10450" s="37">
        <v>0</v>
      </c>
    </row>
    <row r="10451" spans="1:10" hidden="1" x14ac:dyDescent="0.25">
      <c r="A10451" s="179"/>
      <c r="B10451" s="177"/>
      <c r="C10451" s="39"/>
      <c r="D10451" s="39"/>
      <c r="E10451" s="40"/>
      <c r="F10451" s="70" t="s">
        <v>13</v>
      </c>
      <c r="G10451" s="70" t="str">
        <f>IF(ISNUMBER(F10451),E10451*F10451,"")</f>
        <v/>
      </c>
      <c r="H10451" s="71"/>
      <c r="I10451" s="72"/>
      <c r="J10451" s="37">
        <v>0</v>
      </c>
    </row>
    <row r="10452" spans="1:10" ht="25.5" hidden="1" x14ac:dyDescent="0.25">
      <c r="A10452" s="179"/>
      <c r="B10452" s="177"/>
      <c r="C10452" s="43" t="s">
        <v>11708</v>
      </c>
      <c r="D10452" s="43" t="s">
        <v>83</v>
      </c>
      <c r="E10452" s="44">
        <v>1</v>
      </c>
      <c r="F10452" s="70">
        <v>32.242999999999995</v>
      </c>
      <c r="G10452" s="70">
        <f>IF(ISNUMBER(F10452),E10452*F10452,"")</f>
        <v>32.242999999999995</v>
      </c>
      <c r="H10452" s="46">
        <f>SUM(G10452:G10452)</f>
        <v>32.242999999999995</v>
      </c>
      <c r="I10452" s="47"/>
      <c r="J10452" s="37">
        <v>0</v>
      </c>
    </row>
    <row r="10453" spans="1:10" ht="15.75" hidden="1" thickBot="1" x14ac:dyDescent="0.3">
      <c r="A10453" s="180"/>
      <c r="B10453" s="178"/>
      <c r="C10453" s="49"/>
      <c r="D10453" s="49"/>
      <c r="E10453" s="50"/>
      <c r="F10453" s="83" t="s">
        <v>13</v>
      </c>
      <c r="G10453" s="83" t="str">
        <f>IF(ISNUMBER(F10453),E10453*F10453,"")</f>
        <v/>
      </c>
      <c r="H10453" s="84"/>
      <c r="I10453" s="72"/>
      <c r="J10453" s="37">
        <v>0</v>
      </c>
    </row>
    <row r="10454" spans="1:10" ht="15.75" hidden="1" thickBot="1" x14ac:dyDescent="0.3">
      <c r="A10454" s="173" t="s">
        <v>2549</v>
      </c>
      <c r="B10454" s="176" t="s">
        <v>10072</v>
      </c>
      <c r="C10454" s="31"/>
      <c r="D10454" s="32" t="s">
        <v>18</v>
      </c>
      <c r="E10454" s="33"/>
      <c r="F10454" s="60" t="s">
        <v>13</v>
      </c>
      <c r="G10454" s="34" t="str">
        <f>IF(ISNUMBER(F10454),E10454*F10454,"")</f>
        <v/>
      </c>
      <c r="H10454" s="35"/>
      <c r="I10454" s="36"/>
      <c r="J10454" s="37">
        <v>0</v>
      </c>
    </row>
    <row r="10455" spans="1:10" hidden="1" x14ac:dyDescent="0.25">
      <c r="A10455" s="179"/>
      <c r="B10455" s="177"/>
      <c r="C10455" s="39"/>
      <c r="D10455" s="39"/>
      <c r="E10455" s="40"/>
      <c r="F10455" s="70" t="s">
        <v>13</v>
      </c>
      <c r="G10455" s="70" t="str">
        <f>IF(ISNUMBER(F10455),E10455*F10455,"")</f>
        <v/>
      </c>
      <c r="H10455" s="71"/>
      <c r="I10455" s="72"/>
      <c r="J10455" s="37">
        <v>0</v>
      </c>
    </row>
    <row r="10456" spans="1:10" ht="25.5" hidden="1" x14ac:dyDescent="0.25">
      <c r="A10456" s="179"/>
      <c r="B10456" s="177"/>
      <c r="C10456" s="43" t="s">
        <v>11826</v>
      </c>
      <c r="D10456" s="43" t="s">
        <v>83</v>
      </c>
      <c r="E10456" s="44">
        <v>1</v>
      </c>
      <c r="F10456" s="70">
        <v>18.3065</v>
      </c>
      <c r="G10456" s="70">
        <f>IF(ISNUMBER(F10456),E10456*F10456,"")</f>
        <v>18.3065</v>
      </c>
      <c r="H10456" s="46">
        <f>SUM(G10456:G10456)</f>
        <v>18.3065</v>
      </c>
      <c r="I10456" s="47"/>
      <c r="J10456" s="37">
        <v>0</v>
      </c>
    </row>
    <row r="10457" spans="1:10" ht="15.75" hidden="1" thickBot="1" x14ac:dyDescent="0.3">
      <c r="A10457" s="180"/>
      <c r="B10457" s="178"/>
      <c r="C10457" s="49"/>
      <c r="D10457" s="49"/>
      <c r="E10457" s="50"/>
      <c r="F10457" s="83" t="s">
        <v>13</v>
      </c>
      <c r="G10457" s="83" t="str">
        <f>IF(ISNUMBER(F10457),E10457*F10457,"")</f>
        <v/>
      </c>
      <c r="H10457" s="84"/>
      <c r="I10457" s="72"/>
      <c r="J10457" s="37">
        <v>0</v>
      </c>
    </row>
    <row r="10458" spans="1:10" ht="15.75" hidden="1" thickBot="1" x14ac:dyDescent="0.3">
      <c r="A10458" s="173" t="s">
        <v>2550</v>
      </c>
      <c r="B10458" s="176" t="s">
        <v>10073</v>
      </c>
      <c r="C10458" s="31"/>
      <c r="D10458" s="32" t="s">
        <v>18</v>
      </c>
      <c r="E10458" s="33"/>
      <c r="F10458" s="60" t="s">
        <v>13</v>
      </c>
      <c r="G10458" s="34" t="str">
        <f>IF(ISNUMBER(F10458),E10458*F10458,"")</f>
        <v/>
      </c>
      <c r="H10458" s="35"/>
      <c r="I10458" s="36"/>
      <c r="J10458" s="37">
        <v>0</v>
      </c>
    </row>
    <row r="10459" spans="1:10" hidden="1" x14ac:dyDescent="0.25">
      <c r="A10459" s="179"/>
      <c r="B10459" s="177"/>
      <c r="C10459" s="39"/>
      <c r="D10459" s="39"/>
      <c r="E10459" s="40"/>
      <c r="F10459" s="70" t="s">
        <v>13</v>
      </c>
      <c r="G10459" s="70" t="str">
        <f>IF(ISNUMBER(F10459),E10459*F10459,"")</f>
        <v/>
      </c>
      <c r="H10459" s="71"/>
      <c r="I10459" s="72"/>
      <c r="J10459" s="37">
        <v>0</v>
      </c>
    </row>
    <row r="10460" spans="1:10" ht="25.5" hidden="1" x14ac:dyDescent="0.25">
      <c r="A10460" s="179"/>
      <c r="B10460" s="177"/>
      <c r="C10460" s="43" t="s">
        <v>11827</v>
      </c>
      <c r="D10460" s="43" t="s">
        <v>83</v>
      </c>
      <c r="E10460" s="44">
        <v>1</v>
      </c>
      <c r="F10460" s="70">
        <v>29.383499999999998</v>
      </c>
      <c r="G10460" s="70">
        <f>IF(ISNUMBER(F10460),E10460*F10460,"")</f>
        <v>29.383499999999998</v>
      </c>
      <c r="H10460" s="46">
        <f>SUM(G10460:G10460)</f>
        <v>29.383499999999998</v>
      </c>
      <c r="I10460" s="47"/>
      <c r="J10460" s="37">
        <v>0</v>
      </c>
    </row>
    <row r="10461" spans="1:10" ht="15.75" hidden="1" thickBot="1" x14ac:dyDescent="0.3">
      <c r="A10461" s="180"/>
      <c r="B10461" s="178"/>
      <c r="C10461" s="49"/>
      <c r="D10461" s="49"/>
      <c r="E10461" s="50"/>
      <c r="F10461" s="83" t="s">
        <v>13</v>
      </c>
      <c r="G10461" s="83" t="str">
        <f>IF(ISNUMBER(F10461),E10461*F10461,"")</f>
        <v/>
      </c>
      <c r="H10461" s="84"/>
      <c r="I10461" s="72"/>
      <c r="J10461" s="37">
        <v>0</v>
      </c>
    </row>
    <row r="10462" spans="1:10" ht="15.75" hidden="1" thickBot="1" x14ac:dyDescent="0.3">
      <c r="A10462" s="173" t="s">
        <v>2551</v>
      </c>
      <c r="B10462" s="176" t="s">
        <v>10074</v>
      </c>
      <c r="C10462" s="31"/>
      <c r="D10462" s="32" t="s">
        <v>18</v>
      </c>
      <c r="E10462" s="33"/>
      <c r="F10462" s="60" t="s">
        <v>13</v>
      </c>
      <c r="G10462" s="34" t="str">
        <f>IF(ISNUMBER(F10462),E10462*F10462,"")</f>
        <v/>
      </c>
      <c r="H10462" s="35"/>
      <c r="I10462" s="36"/>
      <c r="J10462" s="37">
        <v>0</v>
      </c>
    </row>
    <row r="10463" spans="1:10" hidden="1" x14ac:dyDescent="0.25">
      <c r="A10463" s="179"/>
      <c r="B10463" s="177"/>
      <c r="C10463" s="39"/>
      <c r="D10463" s="39"/>
      <c r="E10463" s="40"/>
      <c r="F10463" s="70" t="s">
        <v>13</v>
      </c>
      <c r="G10463" s="70" t="str">
        <f>IF(ISNUMBER(F10463),E10463*F10463,"")</f>
        <v/>
      </c>
      <c r="H10463" s="71"/>
      <c r="I10463" s="72"/>
      <c r="J10463" s="37">
        <v>0</v>
      </c>
    </row>
    <row r="10464" spans="1:10" ht="25.5" hidden="1" x14ac:dyDescent="0.25">
      <c r="A10464" s="179"/>
      <c r="B10464" s="177"/>
      <c r="C10464" s="43" t="s">
        <v>11828</v>
      </c>
      <c r="D10464" s="43" t="s">
        <v>83</v>
      </c>
      <c r="E10464" s="44">
        <v>1</v>
      </c>
      <c r="F10464" s="70">
        <v>65.378999999999991</v>
      </c>
      <c r="G10464" s="70">
        <f>IF(ISNUMBER(F10464),E10464*F10464,"")</f>
        <v>65.378999999999991</v>
      </c>
      <c r="H10464" s="46">
        <f>SUM(G10464:G10464)</f>
        <v>65.378999999999991</v>
      </c>
      <c r="I10464" s="47"/>
      <c r="J10464" s="37">
        <v>0</v>
      </c>
    </row>
    <row r="10465" spans="1:10" ht="15.75" hidden="1" thickBot="1" x14ac:dyDescent="0.3">
      <c r="A10465" s="180"/>
      <c r="B10465" s="178"/>
      <c r="C10465" s="49"/>
      <c r="D10465" s="49"/>
      <c r="E10465" s="50"/>
      <c r="F10465" s="83" t="s">
        <v>13</v>
      </c>
      <c r="G10465" s="83" t="str">
        <f>IF(ISNUMBER(F10465),E10465*F10465,"")</f>
        <v/>
      </c>
      <c r="H10465" s="84"/>
      <c r="I10465" s="72"/>
      <c r="J10465" s="37">
        <v>0</v>
      </c>
    </row>
    <row r="10466" spans="1:10" ht="15.75" hidden="1" thickBot="1" x14ac:dyDescent="0.3">
      <c r="A10466" s="173" t="s">
        <v>2552</v>
      </c>
      <c r="B10466" s="176" t="s">
        <v>10075</v>
      </c>
      <c r="C10466" s="31"/>
      <c r="D10466" s="32" t="s">
        <v>18</v>
      </c>
      <c r="E10466" s="33"/>
      <c r="F10466" s="60" t="s">
        <v>13</v>
      </c>
      <c r="G10466" s="34" t="str">
        <f>IF(ISNUMBER(F10466),E10466*F10466,"")</f>
        <v/>
      </c>
      <c r="H10466" s="35"/>
      <c r="I10466" s="36"/>
      <c r="J10466" s="37">
        <v>0</v>
      </c>
    </row>
    <row r="10467" spans="1:10" hidden="1" x14ac:dyDescent="0.25">
      <c r="A10467" s="179"/>
      <c r="B10467" s="177"/>
      <c r="C10467" s="39"/>
      <c r="D10467" s="39"/>
      <c r="E10467" s="40"/>
      <c r="F10467" s="70" t="s">
        <v>13</v>
      </c>
      <c r="G10467" s="70" t="str">
        <f>IF(ISNUMBER(F10467),E10467*F10467,"")</f>
        <v/>
      </c>
      <c r="H10467" s="71"/>
      <c r="I10467" s="72"/>
      <c r="J10467" s="37">
        <v>0</v>
      </c>
    </row>
    <row r="10468" spans="1:10" ht="25.5" hidden="1" x14ac:dyDescent="0.25">
      <c r="A10468" s="179"/>
      <c r="B10468" s="177"/>
      <c r="C10468" s="43" t="s">
        <v>11829</v>
      </c>
      <c r="D10468" s="43" t="s">
        <v>83</v>
      </c>
      <c r="E10468" s="44">
        <v>1</v>
      </c>
      <c r="F10468" s="70">
        <v>117.78099999999999</v>
      </c>
      <c r="G10468" s="70">
        <f>IF(ISNUMBER(F10468),E10468*F10468,"")</f>
        <v>117.78099999999999</v>
      </c>
      <c r="H10468" s="46">
        <f>SUM(G10468:G10468)</f>
        <v>117.78099999999999</v>
      </c>
      <c r="I10468" s="47"/>
      <c r="J10468" s="37">
        <v>0</v>
      </c>
    </row>
    <row r="10469" spans="1:10" ht="15.75" hidden="1" thickBot="1" x14ac:dyDescent="0.3">
      <c r="A10469" s="180"/>
      <c r="B10469" s="178"/>
      <c r="C10469" s="49"/>
      <c r="D10469" s="49"/>
      <c r="E10469" s="50"/>
      <c r="F10469" s="83" t="s">
        <v>13</v>
      </c>
      <c r="G10469" s="83" t="str">
        <f>IF(ISNUMBER(F10469),E10469*F10469,"")</f>
        <v/>
      </c>
      <c r="H10469" s="84"/>
      <c r="I10469" s="72"/>
      <c r="J10469" s="37">
        <v>0</v>
      </c>
    </row>
    <row r="10470" spans="1:10" ht="15.75" hidden="1" thickBot="1" x14ac:dyDescent="0.3">
      <c r="A10470" s="173" t="s">
        <v>2553</v>
      </c>
      <c r="B10470" s="176" t="s">
        <v>10076</v>
      </c>
      <c r="C10470" s="31"/>
      <c r="D10470" s="32" t="s">
        <v>18</v>
      </c>
      <c r="E10470" s="33"/>
      <c r="F10470" s="60" t="s">
        <v>13</v>
      </c>
      <c r="G10470" s="34" t="str">
        <f>IF(ISNUMBER(F10470),E10470*F10470,"")</f>
        <v/>
      </c>
      <c r="H10470" s="35"/>
      <c r="I10470" s="36"/>
      <c r="J10470" s="37">
        <v>0</v>
      </c>
    </row>
    <row r="10471" spans="1:10" hidden="1" x14ac:dyDescent="0.25">
      <c r="A10471" s="179"/>
      <c r="B10471" s="177"/>
      <c r="C10471" s="39"/>
      <c r="D10471" s="39"/>
      <c r="E10471" s="40"/>
      <c r="F10471" s="70" t="s">
        <v>13</v>
      </c>
      <c r="G10471" s="70" t="str">
        <f>IF(ISNUMBER(F10471),E10471*F10471,"")</f>
        <v/>
      </c>
      <c r="H10471" s="71"/>
      <c r="I10471" s="72"/>
      <c r="J10471" s="37">
        <v>0</v>
      </c>
    </row>
    <row r="10472" spans="1:10" hidden="1" x14ac:dyDescent="0.25">
      <c r="A10472" s="179"/>
      <c r="B10472" s="177"/>
      <c r="C10472" s="43" t="s">
        <v>11709</v>
      </c>
      <c r="D10472" s="43" t="s">
        <v>83</v>
      </c>
      <c r="E10472" s="44">
        <v>1</v>
      </c>
      <c r="F10472" s="70">
        <v>17.841000000000001</v>
      </c>
      <c r="G10472" s="70">
        <f>IF(ISNUMBER(F10472),E10472*F10472,"")</f>
        <v>17.841000000000001</v>
      </c>
      <c r="H10472" s="46">
        <f>SUM(G10472:G10472)</f>
        <v>17.841000000000001</v>
      </c>
      <c r="I10472" s="47"/>
      <c r="J10472" s="37">
        <v>0</v>
      </c>
    </row>
    <row r="10473" spans="1:10" ht="15.75" hidden="1" thickBot="1" x14ac:dyDescent="0.3">
      <c r="A10473" s="180"/>
      <c r="B10473" s="178"/>
      <c r="C10473" s="49"/>
      <c r="D10473" s="49"/>
      <c r="E10473" s="50"/>
      <c r="F10473" s="83" t="s">
        <v>13</v>
      </c>
      <c r="G10473" s="83" t="str">
        <f>IF(ISNUMBER(F10473),E10473*F10473,"")</f>
        <v/>
      </c>
      <c r="H10473" s="84"/>
      <c r="I10473" s="72"/>
      <c r="J10473" s="37">
        <v>0</v>
      </c>
    </row>
    <row r="10474" spans="1:10" ht="15.75" hidden="1" thickBot="1" x14ac:dyDescent="0.3">
      <c r="A10474" s="173" t="s">
        <v>2554</v>
      </c>
      <c r="B10474" s="176" t="s">
        <v>10077</v>
      </c>
      <c r="C10474" s="31"/>
      <c r="D10474" s="32" t="s">
        <v>18</v>
      </c>
      <c r="E10474" s="33"/>
      <c r="F10474" s="60" t="s">
        <v>13</v>
      </c>
      <c r="G10474" s="34" t="str">
        <f>IF(ISNUMBER(F10474),E10474*F10474,"")</f>
        <v/>
      </c>
      <c r="H10474" s="35"/>
      <c r="I10474" s="36"/>
      <c r="J10474" s="37">
        <v>0</v>
      </c>
    </row>
    <row r="10475" spans="1:10" hidden="1" x14ac:dyDescent="0.25">
      <c r="A10475" s="179"/>
      <c r="B10475" s="177"/>
      <c r="C10475" s="39"/>
      <c r="D10475" s="39"/>
      <c r="E10475" s="40"/>
      <c r="F10475" s="70" t="s">
        <v>13</v>
      </c>
      <c r="G10475" s="70" t="str">
        <f>IF(ISNUMBER(F10475),E10475*F10475,"")</f>
        <v/>
      </c>
      <c r="H10475" s="71"/>
      <c r="I10475" s="72"/>
      <c r="J10475" s="37">
        <v>0</v>
      </c>
    </row>
    <row r="10476" spans="1:10" hidden="1" x14ac:dyDescent="0.25">
      <c r="A10476" s="179"/>
      <c r="B10476" s="177"/>
      <c r="C10476" s="43" t="s">
        <v>11830</v>
      </c>
      <c r="D10476" s="43" t="s">
        <v>83</v>
      </c>
      <c r="E10476" s="44">
        <v>1</v>
      </c>
      <c r="F10476" s="70">
        <v>11.02</v>
      </c>
      <c r="G10476" s="70">
        <f>IF(ISNUMBER(F10476),E10476*F10476,"")</f>
        <v>11.02</v>
      </c>
      <c r="H10476" s="46">
        <f>SUM(G10476:G10476)</f>
        <v>11.02</v>
      </c>
      <c r="I10476" s="47"/>
      <c r="J10476" s="37">
        <v>0</v>
      </c>
    </row>
    <row r="10477" spans="1:10" ht="15.75" hidden="1" thickBot="1" x14ac:dyDescent="0.3">
      <c r="A10477" s="180"/>
      <c r="B10477" s="178"/>
      <c r="C10477" s="49"/>
      <c r="D10477" s="49"/>
      <c r="E10477" s="50"/>
      <c r="F10477" s="83" t="s">
        <v>13</v>
      </c>
      <c r="G10477" s="83" t="str">
        <f>IF(ISNUMBER(F10477),E10477*F10477,"")</f>
        <v/>
      </c>
      <c r="H10477" s="84"/>
      <c r="I10477" s="72"/>
      <c r="J10477" s="37">
        <v>0</v>
      </c>
    </row>
    <row r="10478" spans="1:10" ht="15.75" hidden="1" thickBot="1" x14ac:dyDescent="0.3">
      <c r="A10478" s="173" t="s">
        <v>2555</v>
      </c>
      <c r="B10478" s="176" t="s">
        <v>10078</v>
      </c>
      <c r="C10478" s="31"/>
      <c r="D10478" s="32" t="s">
        <v>18</v>
      </c>
      <c r="E10478" s="33"/>
      <c r="F10478" s="60" t="s">
        <v>13</v>
      </c>
      <c r="G10478" s="34" t="str">
        <f>IF(ISNUMBER(F10478),E10478*F10478,"")</f>
        <v/>
      </c>
      <c r="H10478" s="35"/>
      <c r="I10478" s="36"/>
      <c r="J10478" s="37">
        <v>0</v>
      </c>
    </row>
    <row r="10479" spans="1:10" hidden="1" x14ac:dyDescent="0.25">
      <c r="A10479" s="179"/>
      <c r="B10479" s="177"/>
      <c r="C10479" s="39"/>
      <c r="D10479" s="39"/>
      <c r="E10479" s="40"/>
      <c r="F10479" s="70" t="s">
        <v>13</v>
      </c>
      <c r="G10479" s="70" t="str">
        <f>IF(ISNUMBER(F10479),E10479*F10479,"")</f>
        <v/>
      </c>
      <c r="H10479" s="71"/>
      <c r="I10479" s="72"/>
      <c r="J10479" s="37">
        <v>0</v>
      </c>
    </row>
    <row r="10480" spans="1:10" hidden="1" x14ac:dyDescent="0.25">
      <c r="A10480" s="179"/>
      <c r="B10480" s="177"/>
      <c r="C10480" s="43" t="s">
        <v>11831</v>
      </c>
      <c r="D10480" s="43" t="s">
        <v>83</v>
      </c>
      <c r="E10480" s="44">
        <v>1</v>
      </c>
      <c r="F10480" s="70">
        <v>17.841000000000001</v>
      </c>
      <c r="G10480" s="70">
        <f>IF(ISNUMBER(F10480),E10480*F10480,"")</f>
        <v>17.841000000000001</v>
      </c>
      <c r="H10480" s="46">
        <f>SUM(G10480:G10480)</f>
        <v>17.841000000000001</v>
      </c>
      <c r="I10480" s="47"/>
      <c r="J10480" s="37">
        <v>0</v>
      </c>
    </row>
    <row r="10481" spans="1:10" ht="15.75" hidden="1" thickBot="1" x14ac:dyDescent="0.3">
      <c r="A10481" s="180"/>
      <c r="B10481" s="178"/>
      <c r="C10481" s="49"/>
      <c r="D10481" s="49"/>
      <c r="E10481" s="50"/>
      <c r="F10481" s="83" t="s">
        <v>13</v>
      </c>
      <c r="G10481" s="83" t="str">
        <f>IF(ISNUMBER(F10481),E10481*F10481,"")</f>
        <v/>
      </c>
      <c r="H10481" s="84"/>
      <c r="I10481" s="72"/>
      <c r="J10481" s="37">
        <v>0</v>
      </c>
    </row>
    <row r="10482" spans="1:10" ht="15.75" hidden="1" thickBot="1" x14ac:dyDescent="0.3">
      <c r="A10482" s="173" t="s">
        <v>2556</v>
      </c>
      <c r="B10482" s="176" t="s">
        <v>10079</v>
      </c>
      <c r="C10482" s="31"/>
      <c r="D10482" s="32" t="s">
        <v>18</v>
      </c>
      <c r="E10482" s="33"/>
      <c r="F10482" s="60" t="s">
        <v>13</v>
      </c>
      <c r="G10482" s="34" t="str">
        <f>IF(ISNUMBER(F10482),E10482*F10482,"")</f>
        <v/>
      </c>
      <c r="H10482" s="35"/>
      <c r="I10482" s="36"/>
      <c r="J10482" s="37">
        <v>0</v>
      </c>
    </row>
    <row r="10483" spans="1:10" hidden="1" x14ac:dyDescent="0.25">
      <c r="A10483" s="179"/>
      <c r="B10483" s="177"/>
      <c r="C10483" s="39"/>
      <c r="D10483" s="39"/>
      <c r="E10483" s="40"/>
      <c r="F10483" s="70" t="s">
        <v>13</v>
      </c>
      <c r="G10483" s="70" t="str">
        <f>IF(ISNUMBER(F10483),E10483*F10483,"")</f>
        <v/>
      </c>
      <c r="H10483" s="71"/>
      <c r="I10483" s="72"/>
      <c r="J10483" s="37">
        <v>0</v>
      </c>
    </row>
    <row r="10484" spans="1:10" hidden="1" x14ac:dyDescent="0.25">
      <c r="A10484" s="179"/>
      <c r="B10484" s="177"/>
      <c r="C10484" s="43" t="s">
        <v>11832</v>
      </c>
      <c r="D10484" s="43" t="s">
        <v>83</v>
      </c>
      <c r="E10484" s="44">
        <v>1</v>
      </c>
      <c r="F10484" s="70">
        <v>39.576999999999998</v>
      </c>
      <c r="G10484" s="70">
        <f>IF(ISNUMBER(F10484),E10484*F10484,"")</f>
        <v>39.576999999999998</v>
      </c>
      <c r="H10484" s="46">
        <f>SUM(G10484:G10484)</f>
        <v>39.576999999999998</v>
      </c>
      <c r="I10484" s="47"/>
      <c r="J10484" s="37">
        <v>0</v>
      </c>
    </row>
    <row r="10485" spans="1:10" ht="15.75" hidden="1" thickBot="1" x14ac:dyDescent="0.3">
      <c r="A10485" s="180"/>
      <c r="B10485" s="178"/>
      <c r="C10485" s="49"/>
      <c r="D10485" s="49"/>
      <c r="E10485" s="50"/>
      <c r="F10485" s="83" t="s">
        <v>13</v>
      </c>
      <c r="G10485" s="83" t="str">
        <f>IF(ISNUMBER(F10485),E10485*F10485,"")</f>
        <v/>
      </c>
      <c r="H10485" s="84"/>
      <c r="I10485" s="72"/>
      <c r="J10485" s="37">
        <v>0</v>
      </c>
    </row>
    <row r="10486" spans="1:10" ht="15.75" hidden="1" thickBot="1" x14ac:dyDescent="0.3">
      <c r="A10486" s="173" t="s">
        <v>2557</v>
      </c>
      <c r="B10486" s="176" t="s">
        <v>10080</v>
      </c>
      <c r="C10486" s="31"/>
      <c r="D10486" s="32" t="s">
        <v>18</v>
      </c>
      <c r="E10486" s="33"/>
      <c r="F10486" s="60" t="s">
        <v>13</v>
      </c>
      <c r="G10486" s="34" t="str">
        <f>IF(ISNUMBER(F10486),E10486*F10486,"")</f>
        <v/>
      </c>
      <c r="H10486" s="35"/>
      <c r="I10486" s="36"/>
      <c r="J10486" s="37">
        <v>0</v>
      </c>
    </row>
    <row r="10487" spans="1:10" hidden="1" x14ac:dyDescent="0.25">
      <c r="A10487" s="179"/>
      <c r="B10487" s="177"/>
      <c r="C10487" s="39"/>
      <c r="D10487" s="39"/>
      <c r="E10487" s="40"/>
      <c r="F10487" s="70" t="s">
        <v>13</v>
      </c>
      <c r="G10487" s="70" t="str">
        <f>IF(ISNUMBER(F10487),E10487*F10487,"")</f>
        <v/>
      </c>
      <c r="H10487" s="71"/>
      <c r="I10487" s="72"/>
      <c r="J10487" s="37">
        <v>0</v>
      </c>
    </row>
    <row r="10488" spans="1:10" hidden="1" x14ac:dyDescent="0.25">
      <c r="A10488" s="179"/>
      <c r="B10488" s="177"/>
      <c r="C10488" s="43" t="s">
        <v>11833</v>
      </c>
      <c r="D10488" s="43" t="s">
        <v>83</v>
      </c>
      <c r="E10488" s="44">
        <v>1</v>
      </c>
      <c r="F10488" s="70">
        <v>61.008999999999993</v>
      </c>
      <c r="G10488" s="70">
        <f>IF(ISNUMBER(F10488),E10488*F10488,"")</f>
        <v>61.008999999999993</v>
      </c>
      <c r="H10488" s="46">
        <f>SUM(G10488:G10488)</f>
        <v>61.008999999999993</v>
      </c>
      <c r="I10488" s="47"/>
      <c r="J10488" s="37">
        <v>0</v>
      </c>
    </row>
    <row r="10489" spans="1:10" ht="15.75" hidden="1" thickBot="1" x14ac:dyDescent="0.3">
      <c r="A10489" s="180"/>
      <c r="B10489" s="178"/>
      <c r="C10489" s="49"/>
      <c r="D10489" s="49"/>
      <c r="E10489" s="50"/>
      <c r="F10489" s="83" t="s">
        <v>13</v>
      </c>
      <c r="G10489" s="83" t="str">
        <f>IF(ISNUMBER(F10489),E10489*F10489,"")</f>
        <v/>
      </c>
      <c r="H10489" s="84"/>
      <c r="I10489" s="72"/>
      <c r="J10489" s="37">
        <v>0</v>
      </c>
    </row>
    <row r="10490" spans="1:10" ht="15.75" hidden="1" thickBot="1" x14ac:dyDescent="0.3">
      <c r="A10490" s="173" t="s">
        <v>2558</v>
      </c>
      <c r="B10490" s="176" t="s">
        <v>10081</v>
      </c>
      <c r="C10490" s="31"/>
      <c r="D10490" s="32" t="s">
        <v>18</v>
      </c>
      <c r="E10490" s="33"/>
      <c r="F10490" s="60" t="s">
        <v>13</v>
      </c>
      <c r="G10490" s="34" t="str">
        <f>IF(ISNUMBER(F10490),E10490*F10490,"")</f>
        <v/>
      </c>
      <c r="H10490" s="35"/>
      <c r="I10490" s="36"/>
      <c r="J10490" s="37">
        <v>0</v>
      </c>
    </row>
    <row r="10491" spans="1:10" hidden="1" x14ac:dyDescent="0.25">
      <c r="A10491" s="179"/>
      <c r="B10491" s="177"/>
      <c r="C10491" s="39"/>
      <c r="D10491" s="39"/>
      <c r="E10491" s="40"/>
      <c r="F10491" s="70" t="s">
        <v>13</v>
      </c>
      <c r="G10491" s="70" t="str">
        <f>IF(ISNUMBER(F10491),E10491*F10491,"")</f>
        <v/>
      </c>
      <c r="H10491" s="71"/>
      <c r="I10491" s="72"/>
      <c r="J10491" s="37">
        <v>0</v>
      </c>
    </row>
    <row r="10492" spans="1:10" hidden="1" x14ac:dyDescent="0.25">
      <c r="A10492" s="179"/>
      <c r="B10492" s="177"/>
      <c r="C10492" s="43" t="s">
        <v>11834</v>
      </c>
      <c r="D10492" s="43" t="s">
        <v>83</v>
      </c>
      <c r="E10492" s="44">
        <v>1</v>
      </c>
      <c r="F10492" s="70">
        <v>93.622499999999988</v>
      </c>
      <c r="G10492" s="70">
        <f>IF(ISNUMBER(F10492),E10492*F10492,"")</f>
        <v>93.622499999999988</v>
      </c>
      <c r="H10492" s="46">
        <f>SUM(G10492:G10492)</f>
        <v>93.622499999999988</v>
      </c>
      <c r="I10492" s="47"/>
      <c r="J10492" s="37">
        <v>0</v>
      </c>
    </row>
    <row r="10493" spans="1:10" ht="15.75" hidden="1" thickBot="1" x14ac:dyDescent="0.3">
      <c r="A10493" s="180"/>
      <c r="B10493" s="178"/>
      <c r="C10493" s="49"/>
      <c r="D10493" s="49"/>
      <c r="E10493" s="50"/>
      <c r="F10493" s="83" t="s">
        <v>13</v>
      </c>
      <c r="G10493" s="83" t="str">
        <f>IF(ISNUMBER(F10493),E10493*F10493,"")</f>
        <v/>
      </c>
      <c r="H10493" s="84"/>
      <c r="I10493" s="72"/>
      <c r="J10493" s="37">
        <v>0</v>
      </c>
    </row>
    <row r="10494" spans="1:10" ht="15.75" hidden="1" thickBot="1" x14ac:dyDescent="0.3">
      <c r="A10494" s="173" t="s">
        <v>2559</v>
      </c>
      <c r="B10494" s="176" t="s">
        <v>10082</v>
      </c>
      <c r="C10494" s="31"/>
      <c r="D10494" s="32" t="s">
        <v>18</v>
      </c>
      <c r="E10494" s="33"/>
      <c r="F10494" s="60" t="s">
        <v>13</v>
      </c>
      <c r="G10494" s="34" t="str">
        <f>IF(ISNUMBER(F10494),E10494*F10494,"")</f>
        <v/>
      </c>
      <c r="H10494" s="35"/>
      <c r="I10494" s="36"/>
      <c r="J10494" s="37">
        <v>0</v>
      </c>
    </row>
    <row r="10495" spans="1:10" hidden="1" x14ac:dyDescent="0.25">
      <c r="A10495" s="179"/>
      <c r="B10495" s="177"/>
      <c r="C10495" s="39"/>
      <c r="D10495" s="39"/>
      <c r="E10495" s="40"/>
      <c r="F10495" s="70" t="s">
        <v>13</v>
      </c>
      <c r="G10495" s="70" t="str">
        <f>IF(ISNUMBER(F10495),E10495*F10495,"")</f>
        <v/>
      </c>
      <c r="H10495" s="71"/>
      <c r="I10495" s="72"/>
      <c r="J10495" s="37">
        <v>0</v>
      </c>
    </row>
    <row r="10496" spans="1:10" hidden="1" x14ac:dyDescent="0.25">
      <c r="A10496" s="179"/>
      <c r="B10496" s="177"/>
      <c r="C10496" s="43" t="s">
        <v>11835</v>
      </c>
      <c r="D10496" s="43" t="s">
        <v>83</v>
      </c>
      <c r="E10496" s="44">
        <v>1</v>
      </c>
      <c r="F10496" s="70">
        <v>267.30149999999998</v>
      </c>
      <c r="G10496" s="70">
        <f>IF(ISNUMBER(F10496),E10496*F10496,"")</f>
        <v>267.30149999999998</v>
      </c>
      <c r="H10496" s="46">
        <f>SUM(G10496:G10496)</f>
        <v>267.30149999999998</v>
      </c>
      <c r="I10496" s="47"/>
      <c r="J10496" s="37">
        <v>0</v>
      </c>
    </row>
    <row r="10497" spans="1:10" ht="15.75" hidden="1" thickBot="1" x14ac:dyDescent="0.3">
      <c r="A10497" s="180"/>
      <c r="B10497" s="178"/>
      <c r="C10497" s="49"/>
      <c r="D10497" s="49"/>
      <c r="E10497" s="50"/>
      <c r="F10497" s="83" t="s">
        <v>13</v>
      </c>
      <c r="G10497" s="83" t="str">
        <f>IF(ISNUMBER(F10497),E10497*F10497,"")</f>
        <v/>
      </c>
      <c r="H10497" s="84"/>
      <c r="I10497" s="72"/>
      <c r="J10497" s="37">
        <v>0</v>
      </c>
    </row>
    <row r="10498" spans="1:10" ht="15.75" hidden="1" thickBot="1" x14ac:dyDescent="0.3">
      <c r="A10498" s="173" t="s">
        <v>2560</v>
      </c>
      <c r="B10498" s="176" t="s">
        <v>10085</v>
      </c>
      <c r="C10498" s="31"/>
      <c r="D10498" s="32" t="s">
        <v>18</v>
      </c>
      <c r="E10498" s="33"/>
      <c r="F10498" s="60" t="s">
        <v>13</v>
      </c>
      <c r="G10498" s="34" t="str">
        <f>IF(ISNUMBER(F10498),E10498*F10498,"")</f>
        <v/>
      </c>
      <c r="H10498" s="35"/>
      <c r="I10498" s="36"/>
      <c r="J10498" s="37">
        <v>0</v>
      </c>
    </row>
    <row r="10499" spans="1:10" hidden="1" x14ac:dyDescent="0.25">
      <c r="A10499" s="179"/>
      <c r="B10499" s="177"/>
      <c r="C10499" s="39"/>
      <c r="D10499" s="39"/>
      <c r="E10499" s="40"/>
      <c r="F10499" s="70" t="s">
        <v>13</v>
      </c>
      <c r="G10499" s="70" t="str">
        <f>IF(ISNUMBER(F10499),E10499*F10499,"")</f>
        <v/>
      </c>
      <c r="H10499" s="71"/>
      <c r="I10499" s="72"/>
      <c r="J10499" s="37">
        <v>0</v>
      </c>
    </row>
    <row r="10500" spans="1:10" ht="25.5" hidden="1" x14ac:dyDescent="0.25">
      <c r="A10500" s="179"/>
      <c r="B10500" s="177"/>
      <c r="C10500" s="43" t="s">
        <v>11836</v>
      </c>
      <c r="D10500" s="43" t="s">
        <v>83</v>
      </c>
      <c r="E10500" s="44">
        <v>1</v>
      </c>
      <c r="F10500" s="70">
        <v>14.354499999999998</v>
      </c>
      <c r="G10500" s="70">
        <f>IF(ISNUMBER(F10500),E10500*F10500,"")</f>
        <v>14.354499999999998</v>
      </c>
      <c r="H10500" s="46">
        <f>SUM(G10500:G10500)</f>
        <v>14.354499999999998</v>
      </c>
      <c r="I10500" s="47"/>
      <c r="J10500" s="37">
        <v>0</v>
      </c>
    </row>
    <row r="10501" spans="1:10" ht="15.75" hidden="1" thickBot="1" x14ac:dyDescent="0.3">
      <c r="A10501" s="180"/>
      <c r="B10501" s="178"/>
      <c r="C10501" s="49"/>
      <c r="D10501" s="49"/>
      <c r="E10501" s="50"/>
      <c r="F10501" s="83" t="s">
        <v>13</v>
      </c>
      <c r="G10501" s="83" t="str">
        <f>IF(ISNUMBER(F10501),E10501*F10501,"")</f>
        <v/>
      </c>
      <c r="H10501" s="84"/>
      <c r="I10501" s="72"/>
      <c r="J10501" s="37">
        <v>0</v>
      </c>
    </row>
    <row r="10502" spans="1:10" ht="15.75" hidden="1" thickBot="1" x14ac:dyDescent="0.3">
      <c r="A10502" s="173" t="s">
        <v>2561</v>
      </c>
      <c r="B10502" s="176" t="s">
        <v>10086</v>
      </c>
      <c r="C10502" s="31"/>
      <c r="D10502" s="32" t="s">
        <v>18</v>
      </c>
      <c r="E10502" s="33"/>
      <c r="F10502" s="60" t="s">
        <v>13</v>
      </c>
      <c r="G10502" s="34" t="str">
        <f>IF(ISNUMBER(F10502),E10502*F10502,"")</f>
        <v/>
      </c>
      <c r="H10502" s="35"/>
      <c r="I10502" s="36"/>
      <c r="J10502" s="37">
        <v>0</v>
      </c>
    </row>
    <row r="10503" spans="1:10" hidden="1" x14ac:dyDescent="0.25">
      <c r="A10503" s="179"/>
      <c r="B10503" s="177"/>
      <c r="C10503" s="39"/>
      <c r="D10503" s="39"/>
      <c r="E10503" s="40"/>
      <c r="F10503" s="70" t="s">
        <v>13</v>
      </c>
      <c r="G10503" s="70" t="str">
        <f>IF(ISNUMBER(F10503),E10503*F10503,"")</f>
        <v/>
      </c>
      <c r="H10503" s="71"/>
      <c r="I10503" s="72"/>
      <c r="J10503" s="37">
        <v>0</v>
      </c>
    </row>
    <row r="10504" spans="1:10" ht="25.5" hidden="1" x14ac:dyDescent="0.25">
      <c r="A10504" s="179"/>
      <c r="B10504" s="177"/>
      <c r="C10504" s="43" t="s">
        <v>11837</v>
      </c>
      <c r="D10504" s="43" t="s">
        <v>83</v>
      </c>
      <c r="E10504" s="44">
        <v>1</v>
      </c>
      <c r="F10504" s="70">
        <v>32.812999999999995</v>
      </c>
      <c r="G10504" s="70">
        <f>IF(ISNUMBER(F10504),E10504*F10504,"")</f>
        <v>32.812999999999995</v>
      </c>
      <c r="H10504" s="46">
        <f>SUM(G10504:G10504)</f>
        <v>32.812999999999995</v>
      </c>
      <c r="I10504" s="47"/>
      <c r="J10504" s="37">
        <v>0</v>
      </c>
    </row>
    <row r="10505" spans="1:10" ht="15.75" hidden="1" thickBot="1" x14ac:dyDescent="0.3">
      <c r="A10505" s="180"/>
      <c r="B10505" s="178"/>
      <c r="C10505" s="49"/>
      <c r="D10505" s="49"/>
      <c r="E10505" s="50"/>
      <c r="F10505" s="83" t="s">
        <v>13</v>
      </c>
      <c r="G10505" s="83" t="str">
        <f>IF(ISNUMBER(F10505),E10505*F10505,"")</f>
        <v/>
      </c>
      <c r="H10505" s="84"/>
      <c r="I10505" s="72"/>
      <c r="J10505" s="37">
        <v>0</v>
      </c>
    </row>
    <row r="10506" spans="1:10" ht="15.75" hidden="1" thickBot="1" x14ac:dyDescent="0.3">
      <c r="A10506" s="173" t="s">
        <v>2562</v>
      </c>
      <c r="B10506" s="176" t="s">
        <v>10087</v>
      </c>
      <c r="C10506" s="31"/>
      <c r="D10506" s="32" t="s">
        <v>18</v>
      </c>
      <c r="E10506" s="33"/>
      <c r="F10506" s="60" t="s">
        <v>13</v>
      </c>
      <c r="G10506" s="34" t="str">
        <f>IF(ISNUMBER(F10506),E10506*F10506,"")</f>
        <v/>
      </c>
      <c r="H10506" s="35"/>
      <c r="I10506" s="36"/>
      <c r="J10506" s="37">
        <v>0</v>
      </c>
    </row>
    <row r="10507" spans="1:10" hidden="1" x14ac:dyDescent="0.25">
      <c r="A10507" s="179"/>
      <c r="B10507" s="177"/>
      <c r="C10507" s="39"/>
      <c r="D10507" s="39"/>
      <c r="E10507" s="40"/>
      <c r="F10507" s="70" t="s">
        <v>13</v>
      </c>
      <c r="G10507" s="70" t="str">
        <f>IF(ISNUMBER(F10507),E10507*F10507,"")</f>
        <v/>
      </c>
      <c r="H10507" s="71"/>
      <c r="I10507" s="72"/>
      <c r="J10507" s="37">
        <v>0</v>
      </c>
    </row>
    <row r="10508" spans="1:10" ht="25.5" hidden="1" x14ac:dyDescent="0.25">
      <c r="A10508" s="179"/>
      <c r="B10508" s="177"/>
      <c r="C10508" s="43" t="s">
        <v>11838</v>
      </c>
      <c r="D10508" s="43" t="s">
        <v>83</v>
      </c>
      <c r="E10508" s="44">
        <v>1</v>
      </c>
      <c r="F10508" s="70">
        <v>39.652999999999999</v>
      </c>
      <c r="G10508" s="70">
        <f>IF(ISNUMBER(F10508),E10508*F10508,"")</f>
        <v>39.652999999999999</v>
      </c>
      <c r="H10508" s="46">
        <f>SUM(G10508:G10508)</f>
        <v>39.652999999999999</v>
      </c>
      <c r="I10508" s="47"/>
      <c r="J10508" s="37">
        <v>0</v>
      </c>
    </row>
    <row r="10509" spans="1:10" ht="15.75" hidden="1" thickBot="1" x14ac:dyDescent="0.3">
      <c r="A10509" s="180"/>
      <c r="B10509" s="178"/>
      <c r="C10509" s="49"/>
      <c r="D10509" s="49"/>
      <c r="E10509" s="50"/>
      <c r="F10509" s="83" t="s">
        <v>13</v>
      </c>
      <c r="G10509" s="83" t="str">
        <f>IF(ISNUMBER(F10509),E10509*F10509,"")</f>
        <v/>
      </c>
      <c r="H10509" s="84"/>
      <c r="I10509" s="72"/>
      <c r="J10509" s="37">
        <v>0</v>
      </c>
    </row>
    <row r="10510" spans="1:10" ht="15.75" hidden="1" thickBot="1" x14ac:dyDescent="0.3">
      <c r="A10510" s="173" t="s">
        <v>2563</v>
      </c>
      <c r="B10510" s="176" t="s">
        <v>2564</v>
      </c>
      <c r="C10510" s="31"/>
      <c r="D10510" s="32" t="s">
        <v>18</v>
      </c>
      <c r="E10510" s="33"/>
      <c r="F10510" s="60" t="s">
        <v>13</v>
      </c>
      <c r="G10510" s="34" t="str">
        <f>IF(ISNUMBER(F10510),E10510*F10510,"")</f>
        <v/>
      </c>
      <c r="H10510" s="35"/>
      <c r="I10510" s="36"/>
      <c r="J10510" s="37">
        <v>0</v>
      </c>
    </row>
    <row r="10511" spans="1:10" hidden="1" x14ac:dyDescent="0.25">
      <c r="A10511" s="179"/>
      <c r="B10511" s="177"/>
      <c r="C10511" s="39"/>
      <c r="D10511" s="39"/>
      <c r="E10511" s="40"/>
      <c r="F10511" s="70" t="s">
        <v>13</v>
      </c>
      <c r="G10511" s="70" t="str">
        <f>IF(ISNUMBER(F10511),E10511*F10511,"")</f>
        <v/>
      </c>
      <c r="H10511" s="71"/>
      <c r="I10511" s="72"/>
      <c r="J10511" s="37">
        <v>0</v>
      </c>
    </row>
    <row r="10512" spans="1:10" ht="25.5" hidden="1" x14ac:dyDescent="0.25">
      <c r="A10512" s="179"/>
      <c r="B10512" s="177"/>
      <c r="C10512" s="43" t="s">
        <v>2564</v>
      </c>
      <c r="D10512" s="43" t="s">
        <v>83</v>
      </c>
      <c r="E10512" s="44">
        <v>1</v>
      </c>
      <c r="F10512" s="70" t="s">
        <v>13</v>
      </c>
      <c r="G10512" s="70" t="str">
        <f>IF(ISNUMBER(F10512),E10512*F10512,"")</f>
        <v/>
      </c>
      <c r="H10512" s="46">
        <f>SUM(G10512:G10512)</f>
        <v>0</v>
      </c>
      <c r="I10512" s="47"/>
      <c r="J10512" s="37">
        <v>0</v>
      </c>
    </row>
    <row r="10513" spans="1:10" ht="15.75" hidden="1" thickBot="1" x14ac:dyDescent="0.3">
      <c r="A10513" s="180"/>
      <c r="B10513" s="178"/>
      <c r="C10513" s="49"/>
      <c r="D10513" s="49"/>
      <c r="E10513" s="50"/>
      <c r="F10513" s="83" t="s">
        <v>13</v>
      </c>
      <c r="G10513" s="83" t="str">
        <f>IF(ISNUMBER(F10513),E10513*F10513,"")</f>
        <v/>
      </c>
      <c r="H10513" s="84"/>
      <c r="I10513" s="72"/>
      <c r="J10513" s="37">
        <v>0</v>
      </c>
    </row>
    <row r="10514" spans="1:10" ht="15.75" hidden="1" thickBot="1" x14ac:dyDescent="0.3">
      <c r="A10514" s="173" t="s">
        <v>2565</v>
      </c>
      <c r="B10514" s="176" t="s">
        <v>2566</v>
      </c>
      <c r="C10514" s="31"/>
      <c r="D10514" s="32" t="s">
        <v>18</v>
      </c>
      <c r="E10514" s="33"/>
      <c r="F10514" s="60" t="s">
        <v>13</v>
      </c>
      <c r="G10514" s="34" t="str">
        <f>IF(ISNUMBER(F10514),E10514*F10514,"")</f>
        <v/>
      </c>
      <c r="H10514" s="35"/>
      <c r="I10514" s="36"/>
      <c r="J10514" s="37">
        <v>0</v>
      </c>
    </row>
    <row r="10515" spans="1:10" hidden="1" x14ac:dyDescent="0.25">
      <c r="A10515" s="179"/>
      <c r="B10515" s="177"/>
      <c r="C10515" s="39"/>
      <c r="D10515" s="39"/>
      <c r="E10515" s="40"/>
      <c r="F10515" s="70" t="s">
        <v>13</v>
      </c>
      <c r="G10515" s="70" t="str">
        <f>IF(ISNUMBER(F10515),E10515*F10515,"")</f>
        <v/>
      </c>
      <c r="H10515" s="71"/>
      <c r="I10515" s="72"/>
      <c r="J10515" s="37">
        <v>0</v>
      </c>
    </row>
    <row r="10516" spans="1:10" ht="25.5" hidden="1" x14ac:dyDescent="0.25">
      <c r="A10516" s="179"/>
      <c r="B10516" s="177"/>
      <c r="C10516" s="43" t="s">
        <v>2566</v>
      </c>
      <c r="D10516" s="43" t="s">
        <v>83</v>
      </c>
      <c r="E10516" s="44">
        <v>1</v>
      </c>
      <c r="F10516" s="70" t="s">
        <v>13</v>
      </c>
      <c r="G10516" s="70" t="str">
        <f>IF(ISNUMBER(F10516),E10516*F10516,"")</f>
        <v/>
      </c>
      <c r="H10516" s="46">
        <f>SUM(G10516:G10516)</f>
        <v>0</v>
      </c>
      <c r="I10516" s="47"/>
      <c r="J10516" s="37">
        <v>0</v>
      </c>
    </row>
    <row r="10517" spans="1:10" ht="15.75" hidden="1" thickBot="1" x14ac:dyDescent="0.3">
      <c r="A10517" s="180"/>
      <c r="B10517" s="178"/>
      <c r="C10517" s="49"/>
      <c r="D10517" s="49"/>
      <c r="E10517" s="50"/>
      <c r="F10517" s="83" t="s">
        <v>13</v>
      </c>
      <c r="G10517" s="83" t="str">
        <f>IF(ISNUMBER(F10517),E10517*F10517,"")</f>
        <v/>
      </c>
      <c r="H10517" s="84"/>
      <c r="I10517" s="72"/>
      <c r="J10517" s="37">
        <v>0</v>
      </c>
    </row>
    <row r="10518" spans="1:10" ht="15.75" hidden="1" thickBot="1" x14ac:dyDescent="0.3">
      <c r="A10518" s="173" t="s">
        <v>2567</v>
      </c>
      <c r="B10518" s="176" t="s">
        <v>2568</v>
      </c>
      <c r="C10518" s="31"/>
      <c r="D10518" s="32" t="s">
        <v>18</v>
      </c>
      <c r="E10518" s="33"/>
      <c r="F10518" s="60" t="s">
        <v>13</v>
      </c>
      <c r="G10518" s="34" t="str">
        <f>IF(ISNUMBER(F10518),E10518*F10518,"")</f>
        <v/>
      </c>
      <c r="H10518" s="35"/>
      <c r="I10518" s="36"/>
      <c r="J10518" s="37">
        <v>0</v>
      </c>
    </row>
    <row r="10519" spans="1:10" hidden="1" x14ac:dyDescent="0.25">
      <c r="A10519" s="179"/>
      <c r="B10519" s="177"/>
      <c r="C10519" s="39"/>
      <c r="D10519" s="39"/>
      <c r="E10519" s="40"/>
      <c r="F10519" s="70" t="s">
        <v>13</v>
      </c>
      <c r="G10519" s="70" t="str">
        <f>IF(ISNUMBER(F10519),E10519*F10519,"")</f>
        <v/>
      </c>
      <c r="H10519" s="71"/>
      <c r="I10519" s="72"/>
      <c r="J10519" s="37">
        <v>0</v>
      </c>
    </row>
    <row r="10520" spans="1:10" ht="25.5" hidden="1" x14ac:dyDescent="0.25">
      <c r="A10520" s="179"/>
      <c r="B10520" s="177"/>
      <c r="C10520" s="43" t="s">
        <v>2568</v>
      </c>
      <c r="D10520" s="43" t="s">
        <v>83</v>
      </c>
      <c r="E10520" s="44">
        <v>1</v>
      </c>
      <c r="F10520" s="70" t="s">
        <v>13</v>
      </c>
      <c r="G10520" s="70" t="str">
        <f>IF(ISNUMBER(F10520),E10520*F10520,"")</f>
        <v/>
      </c>
      <c r="H10520" s="46">
        <f>SUM(G10520:G10520)</f>
        <v>0</v>
      </c>
      <c r="I10520" s="47"/>
      <c r="J10520" s="37">
        <v>0</v>
      </c>
    </row>
    <row r="10521" spans="1:10" ht="15.75" hidden="1" thickBot="1" x14ac:dyDescent="0.3">
      <c r="A10521" s="180"/>
      <c r="B10521" s="178"/>
      <c r="C10521" s="49"/>
      <c r="D10521" s="49"/>
      <c r="E10521" s="50"/>
      <c r="F10521" s="83" t="s">
        <v>13</v>
      </c>
      <c r="G10521" s="83" t="str">
        <f>IF(ISNUMBER(F10521),E10521*F10521,"")</f>
        <v/>
      </c>
      <c r="H10521" s="84"/>
      <c r="I10521" s="72"/>
      <c r="J10521" s="37">
        <v>0</v>
      </c>
    </row>
    <row r="10522" spans="1:10" ht="15.75" hidden="1" thickBot="1" x14ac:dyDescent="0.3">
      <c r="A10522" s="173" t="s">
        <v>2569</v>
      </c>
      <c r="B10522" s="176" t="s">
        <v>2570</v>
      </c>
      <c r="C10522" s="31"/>
      <c r="D10522" s="32" t="s">
        <v>18</v>
      </c>
      <c r="E10522" s="33"/>
      <c r="F10522" s="60" t="s">
        <v>13</v>
      </c>
      <c r="G10522" s="34" t="str">
        <f>IF(ISNUMBER(F10522),E10522*F10522,"")</f>
        <v/>
      </c>
      <c r="H10522" s="35"/>
      <c r="I10522" s="36"/>
      <c r="J10522" s="37">
        <v>0</v>
      </c>
    </row>
    <row r="10523" spans="1:10" hidden="1" x14ac:dyDescent="0.25">
      <c r="A10523" s="179"/>
      <c r="B10523" s="177"/>
      <c r="C10523" s="39"/>
      <c r="D10523" s="39"/>
      <c r="E10523" s="40"/>
      <c r="F10523" s="70" t="s">
        <v>13</v>
      </c>
      <c r="G10523" s="70" t="str">
        <f>IF(ISNUMBER(F10523),E10523*F10523,"")</f>
        <v/>
      </c>
      <c r="H10523" s="71"/>
      <c r="I10523" s="72"/>
      <c r="J10523" s="37">
        <v>0</v>
      </c>
    </row>
    <row r="10524" spans="1:10" ht="25.5" hidden="1" x14ac:dyDescent="0.25">
      <c r="A10524" s="179"/>
      <c r="B10524" s="177"/>
      <c r="C10524" s="43" t="s">
        <v>2570</v>
      </c>
      <c r="D10524" s="43" t="s">
        <v>83</v>
      </c>
      <c r="E10524" s="44">
        <v>1</v>
      </c>
      <c r="F10524" s="70" t="s">
        <v>13</v>
      </c>
      <c r="G10524" s="70" t="str">
        <f>IF(ISNUMBER(F10524),E10524*F10524,"")</f>
        <v/>
      </c>
      <c r="H10524" s="46">
        <f>SUM(G10524:G10524)</f>
        <v>0</v>
      </c>
      <c r="I10524" s="47"/>
      <c r="J10524" s="37">
        <v>0</v>
      </c>
    </row>
    <row r="10525" spans="1:10" ht="15.75" hidden="1" thickBot="1" x14ac:dyDescent="0.3">
      <c r="A10525" s="180"/>
      <c r="B10525" s="178"/>
      <c r="C10525" s="49"/>
      <c r="D10525" s="49"/>
      <c r="E10525" s="50"/>
      <c r="F10525" s="83" t="s">
        <v>13</v>
      </c>
      <c r="G10525" s="83" t="str">
        <f>IF(ISNUMBER(F10525),E10525*F10525,"")</f>
        <v/>
      </c>
      <c r="H10525" s="84"/>
      <c r="I10525" s="72"/>
      <c r="J10525" s="37">
        <v>0</v>
      </c>
    </row>
    <row r="10526" spans="1:10" ht="15.75" hidden="1" thickBot="1" x14ac:dyDescent="0.3">
      <c r="A10526" s="173" t="s">
        <v>2571</v>
      </c>
      <c r="B10526" s="176" t="s">
        <v>2572</v>
      </c>
      <c r="C10526" s="31"/>
      <c r="D10526" s="32" t="s">
        <v>18</v>
      </c>
      <c r="E10526" s="33"/>
      <c r="F10526" s="60" t="s">
        <v>13</v>
      </c>
      <c r="G10526" s="34" t="str">
        <f>IF(ISNUMBER(F10526),E10526*F10526,"")</f>
        <v/>
      </c>
      <c r="H10526" s="35"/>
      <c r="I10526" s="36"/>
      <c r="J10526" s="37">
        <v>0</v>
      </c>
    </row>
    <row r="10527" spans="1:10" hidden="1" x14ac:dyDescent="0.25">
      <c r="A10527" s="179"/>
      <c r="B10527" s="177"/>
      <c r="C10527" s="39"/>
      <c r="D10527" s="39"/>
      <c r="E10527" s="40"/>
      <c r="F10527" s="70" t="s">
        <v>13</v>
      </c>
      <c r="G10527" s="70" t="str">
        <f>IF(ISNUMBER(F10527),E10527*F10527,"")</f>
        <v/>
      </c>
      <c r="H10527" s="71"/>
      <c r="I10527" s="72"/>
      <c r="J10527" s="37">
        <v>0</v>
      </c>
    </row>
    <row r="10528" spans="1:10" ht="25.5" hidden="1" x14ac:dyDescent="0.25">
      <c r="A10528" s="179"/>
      <c r="B10528" s="177"/>
      <c r="C10528" s="43" t="s">
        <v>2572</v>
      </c>
      <c r="D10528" s="43" t="s">
        <v>83</v>
      </c>
      <c r="E10528" s="44">
        <v>1</v>
      </c>
      <c r="F10528" s="70" t="s">
        <v>13</v>
      </c>
      <c r="G10528" s="70" t="str">
        <f>IF(ISNUMBER(F10528),E10528*F10528,"")</f>
        <v/>
      </c>
      <c r="H10528" s="46">
        <f>SUM(G10528:G10528)</f>
        <v>0</v>
      </c>
      <c r="I10528" s="47"/>
      <c r="J10528" s="37">
        <v>0</v>
      </c>
    </row>
    <row r="10529" spans="1:10" ht="15.75" hidden="1" thickBot="1" x14ac:dyDescent="0.3">
      <c r="A10529" s="180"/>
      <c r="B10529" s="178"/>
      <c r="C10529" s="49"/>
      <c r="D10529" s="49"/>
      <c r="E10529" s="50"/>
      <c r="F10529" s="83" t="s">
        <v>13</v>
      </c>
      <c r="G10529" s="83" t="str">
        <f>IF(ISNUMBER(F10529),E10529*F10529,"")</f>
        <v/>
      </c>
      <c r="H10529" s="84"/>
      <c r="I10529" s="72"/>
      <c r="J10529" s="37">
        <v>0</v>
      </c>
    </row>
    <row r="10530" spans="1:10" ht="15.75" hidden="1" thickBot="1" x14ac:dyDescent="0.3">
      <c r="A10530" s="173" t="s">
        <v>2573</v>
      </c>
      <c r="B10530" s="176" t="s">
        <v>2574</v>
      </c>
      <c r="C10530" s="31"/>
      <c r="D10530" s="32" t="s">
        <v>18</v>
      </c>
      <c r="E10530" s="33"/>
      <c r="F10530" s="60" t="s">
        <v>13</v>
      </c>
      <c r="G10530" s="34" t="str">
        <f>IF(ISNUMBER(F10530),E10530*F10530,"")</f>
        <v/>
      </c>
      <c r="H10530" s="35"/>
      <c r="I10530" s="36"/>
      <c r="J10530" s="37">
        <v>0</v>
      </c>
    </row>
    <row r="10531" spans="1:10" hidden="1" x14ac:dyDescent="0.25">
      <c r="A10531" s="179"/>
      <c r="B10531" s="177"/>
      <c r="C10531" s="39"/>
      <c r="D10531" s="39"/>
      <c r="E10531" s="40"/>
      <c r="F10531" s="70" t="s">
        <v>13</v>
      </c>
      <c r="G10531" s="70" t="str">
        <f>IF(ISNUMBER(F10531),E10531*F10531,"")</f>
        <v/>
      </c>
      <c r="H10531" s="71"/>
      <c r="I10531" s="72"/>
      <c r="J10531" s="37">
        <v>0</v>
      </c>
    </row>
    <row r="10532" spans="1:10" ht="25.5" hidden="1" x14ac:dyDescent="0.25">
      <c r="A10532" s="179"/>
      <c r="B10532" s="177"/>
      <c r="C10532" s="43" t="s">
        <v>2574</v>
      </c>
      <c r="D10532" s="43" t="s">
        <v>83</v>
      </c>
      <c r="E10532" s="44">
        <v>1</v>
      </c>
      <c r="F10532" s="70" t="s">
        <v>13</v>
      </c>
      <c r="G10532" s="70" t="str">
        <f>IF(ISNUMBER(F10532),E10532*F10532,"")</f>
        <v/>
      </c>
      <c r="H10532" s="46">
        <f>SUM(G10532:G10532)</f>
        <v>0</v>
      </c>
      <c r="I10532" s="47"/>
      <c r="J10532" s="37">
        <v>0</v>
      </c>
    </row>
    <row r="10533" spans="1:10" ht="15.75" hidden="1" thickBot="1" x14ac:dyDescent="0.3">
      <c r="A10533" s="180"/>
      <c r="B10533" s="178"/>
      <c r="C10533" s="49"/>
      <c r="D10533" s="49"/>
      <c r="E10533" s="50"/>
      <c r="F10533" s="83" t="s">
        <v>13</v>
      </c>
      <c r="G10533" s="83" t="str">
        <f>IF(ISNUMBER(F10533),E10533*F10533,"")</f>
        <v/>
      </c>
      <c r="H10533" s="84"/>
      <c r="I10533" s="72"/>
      <c r="J10533" s="37">
        <v>0</v>
      </c>
    </row>
    <row r="10534" spans="1:10" ht="15.75" hidden="1" thickBot="1" x14ac:dyDescent="0.3">
      <c r="A10534" s="173" t="s">
        <v>2575</v>
      </c>
      <c r="B10534" s="176" t="s">
        <v>2576</v>
      </c>
      <c r="C10534" s="31"/>
      <c r="D10534" s="32" t="s">
        <v>18</v>
      </c>
      <c r="E10534" s="33"/>
      <c r="F10534" s="60" t="s">
        <v>13</v>
      </c>
      <c r="G10534" s="34" t="str">
        <f>IF(ISNUMBER(F10534),E10534*F10534,"")</f>
        <v/>
      </c>
      <c r="H10534" s="35"/>
      <c r="I10534" s="36"/>
      <c r="J10534" s="37">
        <v>0</v>
      </c>
    </row>
    <row r="10535" spans="1:10" hidden="1" x14ac:dyDescent="0.25">
      <c r="A10535" s="179"/>
      <c r="B10535" s="177"/>
      <c r="C10535" s="39"/>
      <c r="D10535" s="39"/>
      <c r="E10535" s="40"/>
      <c r="F10535" s="70" t="s">
        <v>13</v>
      </c>
      <c r="G10535" s="70" t="str">
        <f>IF(ISNUMBER(F10535),E10535*F10535,"")</f>
        <v/>
      </c>
      <c r="H10535" s="71"/>
      <c r="I10535" s="72"/>
      <c r="J10535" s="37">
        <v>0</v>
      </c>
    </row>
    <row r="10536" spans="1:10" ht="25.5" hidden="1" x14ac:dyDescent="0.25">
      <c r="A10536" s="179"/>
      <c r="B10536" s="177"/>
      <c r="C10536" s="43" t="s">
        <v>2576</v>
      </c>
      <c r="D10536" s="43" t="s">
        <v>83</v>
      </c>
      <c r="E10536" s="44">
        <v>1</v>
      </c>
      <c r="F10536" s="70" t="s">
        <v>13</v>
      </c>
      <c r="G10536" s="70" t="str">
        <f>IF(ISNUMBER(F10536),E10536*F10536,"")</f>
        <v/>
      </c>
      <c r="H10536" s="46">
        <f>SUM(G10536:G10536)</f>
        <v>0</v>
      </c>
      <c r="I10536" s="47"/>
      <c r="J10536" s="37">
        <v>0</v>
      </c>
    </row>
    <row r="10537" spans="1:10" ht="15.75" hidden="1" thickBot="1" x14ac:dyDescent="0.3">
      <c r="A10537" s="180"/>
      <c r="B10537" s="178"/>
      <c r="C10537" s="49"/>
      <c r="D10537" s="49"/>
      <c r="E10537" s="50"/>
      <c r="F10537" s="83" t="s">
        <v>13</v>
      </c>
      <c r="G10537" s="83" t="str">
        <f>IF(ISNUMBER(F10537),E10537*F10537,"")</f>
        <v/>
      </c>
      <c r="H10537" s="84"/>
      <c r="I10537" s="72"/>
      <c r="J10537" s="37">
        <v>0</v>
      </c>
    </row>
    <row r="10538" spans="1:10" ht="15.75" hidden="1" thickBot="1" x14ac:dyDescent="0.3">
      <c r="A10538" s="173" t="s">
        <v>2577</v>
      </c>
      <c r="B10538" s="176" t="s">
        <v>2578</v>
      </c>
      <c r="C10538" s="31"/>
      <c r="D10538" s="32" t="s">
        <v>18</v>
      </c>
      <c r="E10538" s="33"/>
      <c r="F10538" s="60" t="s">
        <v>13</v>
      </c>
      <c r="G10538" s="34" t="str">
        <f>IF(ISNUMBER(F10538),E10538*F10538,"")</f>
        <v/>
      </c>
      <c r="H10538" s="35"/>
      <c r="I10538" s="36"/>
      <c r="J10538" s="37">
        <v>0</v>
      </c>
    </row>
    <row r="10539" spans="1:10" hidden="1" x14ac:dyDescent="0.25">
      <c r="A10539" s="179"/>
      <c r="B10539" s="177"/>
      <c r="C10539" s="39"/>
      <c r="D10539" s="39"/>
      <c r="E10539" s="40"/>
      <c r="F10539" s="70" t="s">
        <v>13</v>
      </c>
      <c r="G10539" s="70" t="str">
        <f>IF(ISNUMBER(F10539),E10539*F10539,"")</f>
        <v/>
      </c>
      <c r="H10539" s="71"/>
      <c r="I10539" s="72"/>
      <c r="J10539" s="37">
        <v>0</v>
      </c>
    </row>
    <row r="10540" spans="1:10" ht="25.5" hidden="1" x14ac:dyDescent="0.25">
      <c r="A10540" s="179"/>
      <c r="B10540" s="177"/>
      <c r="C10540" s="43" t="s">
        <v>2578</v>
      </c>
      <c r="D10540" s="43" t="s">
        <v>83</v>
      </c>
      <c r="E10540" s="44">
        <v>1</v>
      </c>
      <c r="F10540" s="70" t="s">
        <v>13</v>
      </c>
      <c r="G10540" s="70" t="str">
        <f>IF(ISNUMBER(F10540),E10540*F10540,"")</f>
        <v/>
      </c>
      <c r="H10540" s="46">
        <f>SUM(G10540:G10540)</f>
        <v>0</v>
      </c>
      <c r="I10540" s="47"/>
      <c r="J10540" s="37">
        <v>0</v>
      </c>
    </row>
    <row r="10541" spans="1:10" ht="15.75" hidden="1" thickBot="1" x14ac:dyDescent="0.3">
      <c r="A10541" s="180"/>
      <c r="B10541" s="178"/>
      <c r="C10541" s="49"/>
      <c r="D10541" s="49"/>
      <c r="E10541" s="50"/>
      <c r="F10541" s="83" t="s">
        <v>13</v>
      </c>
      <c r="G10541" s="83" t="str">
        <f>IF(ISNUMBER(F10541),E10541*F10541,"")</f>
        <v/>
      </c>
      <c r="H10541" s="84"/>
      <c r="I10541" s="72"/>
      <c r="J10541" s="37">
        <v>0</v>
      </c>
    </row>
    <row r="10542" spans="1:10" ht="15.75" hidden="1" thickBot="1" x14ac:dyDescent="0.3">
      <c r="A10542" s="173" t="s">
        <v>2579</v>
      </c>
      <c r="B10542" s="176" t="s">
        <v>2580</v>
      </c>
      <c r="C10542" s="31"/>
      <c r="D10542" s="32" t="s">
        <v>18</v>
      </c>
      <c r="E10542" s="33"/>
      <c r="F10542" s="60" t="s">
        <v>13</v>
      </c>
      <c r="G10542" s="34" t="str">
        <f>IF(ISNUMBER(F10542),E10542*F10542,"")</f>
        <v/>
      </c>
      <c r="H10542" s="35"/>
      <c r="I10542" s="36"/>
      <c r="J10542" s="37">
        <v>0</v>
      </c>
    </row>
    <row r="10543" spans="1:10" hidden="1" x14ac:dyDescent="0.25">
      <c r="A10543" s="179"/>
      <c r="B10543" s="177"/>
      <c r="C10543" s="39"/>
      <c r="D10543" s="39"/>
      <c r="E10543" s="40"/>
      <c r="F10543" s="70" t="s">
        <v>13</v>
      </c>
      <c r="G10543" s="70" t="str">
        <f>IF(ISNUMBER(F10543),E10543*F10543,"")</f>
        <v/>
      </c>
      <c r="H10543" s="71"/>
      <c r="I10543" s="72"/>
      <c r="J10543" s="37">
        <v>0</v>
      </c>
    </row>
    <row r="10544" spans="1:10" ht="25.5" hidden="1" x14ac:dyDescent="0.25">
      <c r="A10544" s="179"/>
      <c r="B10544" s="177"/>
      <c r="C10544" s="43" t="s">
        <v>2580</v>
      </c>
      <c r="D10544" s="43" t="s">
        <v>83</v>
      </c>
      <c r="E10544" s="44">
        <v>1</v>
      </c>
      <c r="F10544" s="70" t="s">
        <v>13</v>
      </c>
      <c r="G10544" s="70" t="str">
        <f>IF(ISNUMBER(F10544),E10544*F10544,"")</f>
        <v/>
      </c>
      <c r="H10544" s="46">
        <f>SUM(G10544:G10544)</f>
        <v>0</v>
      </c>
      <c r="I10544" s="47"/>
      <c r="J10544" s="37">
        <v>0</v>
      </c>
    </row>
    <row r="10545" spans="1:10" ht="15.75" hidden="1" thickBot="1" x14ac:dyDescent="0.3">
      <c r="A10545" s="180"/>
      <c r="B10545" s="178"/>
      <c r="C10545" s="49"/>
      <c r="D10545" s="49"/>
      <c r="E10545" s="50"/>
      <c r="F10545" s="83" t="s">
        <v>13</v>
      </c>
      <c r="G10545" s="83" t="str">
        <f>IF(ISNUMBER(F10545),E10545*F10545,"")</f>
        <v/>
      </c>
      <c r="H10545" s="84"/>
      <c r="I10545" s="72"/>
      <c r="J10545" s="37">
        <v>0</v>
      </c>
    </row>
    <row r="10546" spans="1:10" ht="15.75" hidden="1" thickBot="1" x14ac:dyDescent="0.3">
      <c r="A10546" s="173" t="s">
        <v>2581</v>
      </c>
      <c r="B10546" s="176" t="s">
        <v>2582</v>
      </c>
      <c r="C10546" s="31"/>
      <c r="D10546" s="32" t="s">
        <v>18</v>
      </c>
      <c r="E10546" s="33"/>
      <c r="F10546" s="60" t="s">
        <v>13</v>
      </c>
      <c r="G10546" s="34" t="str">
        <f>IF(ISNUMBER(F10546),E10546*F10546,"")</f>
        <v/>
      </c>
      <c r="H10546" s="35"/>
      <c r="I10546" s="36"/>
      <c r="J10546" s="37">
        <v>0</v>
      </c>
    </row>
    <row r="10547" spans="1:10" hidden="1" x14ac:dyDescent="0.25">
      <c r="A10547" s="179"/>
      <c r="B10547" s="177"/>
      <c r="C10547" s="39"/>
      <c r="D10547" s="39"/>
      <c r="E10547" s="40"/>
      <c r="F10547" s="70" t="s">
        <v>13</v>
      </c>
      <c r="G10547" s="70" t="str">
        <f>IF(ISNUMBER(F10547),E10547*F10547,"")</f>
        <v/>
      </c>
      <c r="H10547" s="71"/>
      <c r="I10547" s="72"/>
      <c r="J10547" s="37">
        <v>0</v>
      </c>
    </row>
    <row r="10548" spans="1:10" ht="25.5" hidden="1" x14ac:dyDescent="0.25">
      <c r="A10548" s="179"/>
      <c r="B10548" s="177"/>
      <c r="C10548" s="43" t="s">
        <v>2582</v>
      </c>
      <c r="D10548" s="43" t="s">
        <v>83</v>
      </c>
      <c r="E10548" s="44">
        <v>1</v>
      </c>
      <c r="F10548" s="70" t="s">
        <v>13</v>
      </c>
      <c r="G10548" s="70" t="str">
        <f>IF(ISNUMBER(F10548),E10548*F10548,"")</f>
        <v/>
      </c>
      <c r="H10548" s="46">
        <f>SUM(G10548:G10548)</f>
        <v>0</v>
      </c>
      <c r="I10548" s="47"/>
      <c r="J10548" s="37">
        <v>0</v>
      </c>
    </row>
    <row r="10549" spans="1:10" ht="15.75" hidden="1" thickBot="1" x14ac:dyDescent="0.3">
      <c r="A10549" s="180"/>
      <c r="B10549" s="178"/>
      <c r="C10549" s="49"/>
      <c r="D10549" s="49"/>
      <c r="E10549" s="50"/>
      <c r="F10549" s="83" t="s">
        <v>13</v>
      </c>
      <c r="G10549" s="83" t="str">
        <f>IF(ISNUMBER(F10549),E10549*F10549,"")</f>
        <v/>
      </c>
      <c r="H10549" s="84"/>
      <c r="I10549" s="72"/>
      <c r="J10549" s="37">
        <v>0</v>
      </c>
    </row>
    <row r="10550" spans="1:10" ht="15.75" hidden="1" thickBot="1" x14ac:dyDescent="0.3">
      <c r="A10550" s="173" t="s">
        <v>2583</v>
      </c>
      <c r="B10550" s="176" t="s">
        <v>10112</v>
      </c>
      <c r="C10550" s="31"/>
      <c r="D10550" s="32" t="s">
        <v>18</v>
      </c>
      <c r="E10550" s="33"/>
      <c r="F10550" s="60" t="s">
        <v>13</v>
      </c>
      <c r="G10550" s="34" t="str">
        <f>IF(ISNUMBER(F10550),E10550*F10550,"")</f>
        <v/>
      </c>
      <c r="H10550" s="35"/>
      <c r="I10550" s="36"/>
      <c r="J10550" s="37">
        <v>0</v>
      </c>
    </row>
    <row r="10551" spans="1:10" hidden="1" x14ac:dyDescent="0.25">
      <c r="A10551" s="179"/>
      <c r="B10551" s="177"/>
      <c r="C10551" s="39"/>
      <c r="D10551" s="39"/>
      <c r="E10551" s="40"/>
      <c r="F10551" s="70" t="s">
        <v>13</v>
      </c>
      <c r="G10551" s="70" t="str">
        <f>IF(ISNUMBER(F10551),E10551*F10551,"")</f>
        <v/>
      </c>
      <c r="H10551" s="71"/>
      <c r="I10551" s="72"/>
      <c r="J10551" s="37">
        <v>0</v>
      </c>
    </row>
    <row r="10552" spans="1:10" ht="25.5" hidden="1" x14ac:dyDescent="0.25">
      <c r="A10552" s="179"/>
      <c r="B10552" s="177"/>
      <c r="C10552" s="43" t="s">
        <v>11839</v>
      </c>
      <c r="D10552" s="43" t="s">
        <v>83</v>
      </c>
      <c r="E10552" s="44">
        <v>1</v>
      </c>
      <c r="F10552" s="70">
        <v>81.661999999999992</v>
      </c>
      <c r="G10552" s="70">
        <f>IF(ISNUMBER(F10552),E10552*F10552,"")</f>
        <v>81.661999999999992</v>
      </c>
      <c r="H10552" s="46">
        <f>SUM(G10552:G10552)</f>
        <v>81.661999999999992</v>
      </c>
      <c r="I10552" s="47"/>
      <c r="J10552" s="37">
        <v>0</v>
      </c>
    </row>
    <row r="10553" spans="1:10" ht="15.75" hidden="1" thickBot="1" x14ac:dyDescent="0.3">
      <c r="A10553" s="180"/>
      <c r="B10553" s="178"/>
      <c r="C10553" s="49"/>
      <c r="D10553" s="49"/>
      <c r="E10553" s="50"/>
      <c r="F10553" s="83" t="s">
        <v>13</v>
      </c>
      <c r="G10553" s="83" t="str">
        <f>IF(ISNUMBER(F10553),E10553*F10553,"")</f>
        <v/>
      </c>
      <c r="H10553" s="84"/>
      <c r="I10553" s="72"/>
      <c r="J10553" s="37">
        <v>0</v>
      </c>
    </row>
    <row r="10554" spans="1:10" ht="15.75" hidden="1" thickBot="1" x14ac:dyDescent="0.3">
      <c r="A10554" s="173" t="s">
        <v>2584</v>
      </c>
      <c r="B10554" s="176" t="s">
        <v>10113</v>
      </c>
      <c r="C10554" s="31"/>
      <c r="D10554" s="32" t="s">
        <v>18</v>
      </c>
      <c r="E10554" s="33"/>
      <c r="F10554" s="60" t="s">
        <v>13</v>
      </c>
      <c r="G10554" s="34" t="str">
        <f>IF(ISNUMBER(F10554),E10554*F10554,"")</f>
        <v/>
      </c>
      <c r="H10554" s="35"/>
      <c r="I10554" s="36"/>
      <c r="J10554" s="37">
        <v>0</v>
      </c>
    </row>
    <row r="10555" spans="1:10" hidden="1" x14ac:dyDescent="0.25">
      <c r="A10555" s="179"/>
      <c r="B10555" s="177"/>
      <c r="C10555" s="39"/>
      <c r="D10555" s="39"/>
      <c r="E10555" s="40"/>
      <c r="F10555" s="70" t="s">
        <v>13</v>
      </c>
      <c r="G10555" s="70" t="str">
        <f>IF(ISNUMBER(F10555),E10555*F10555,"")</f>
        <v/>
      </c>
      <c r="H10555" s="71"/>
      <c r="I10555" s="72"/>
      <c r="J10555" s="37">
        <v>0</v>
      </c>
    </row>
    <row r="10556" spans="1:10" ht="25.5" hidden="1" x14ac:dyDescent="0.25">
      <c r="A10556" s="179"/>
      <c r="B10556" s="177"/>
      <c r="C10556" s="43" t="s">
        <v>11840</v>
      </c>
      <c r="D10556" s="43" t="s">
        <v>83</v>
      </c>
      <c r="E10556" s="44">
        <v>1</v>
      </c>
      <c r="F10556" s="70">
        <v>119.681</v>
      </c>
      <c r="G10556" s="70">
        <f>IF(ISNUMBER(F10556),E10556*F10556,"")</f>
        <v>119.681</v>
      </c>
      <c r="H10556" s="46">
        <f>SUM(G10556:G10556)</f>
        <v>119.681</v>
      </c>
      <c r="I10556" s="47"/>
      <c r="J10556" s="37">
        <v>0</v>
      </c>
    </row>
    <row r="10557" spans="1:10" ht="15.75" hidden="1" thickBot="1" x14ac:dyDescent="0.3">
      <c r="A10557" s="180"/>
      <c r="B10557" s="178"/>
      <c r="C10557" s="49"/>
      <c r="D10557" s="49"/>
      <c r="E10557" s="50"/>
      <c r="F10557" s="83" t="s">
        <v>13</v>
      </c>
      <c r="G10557" s="83" t="str">
        <f>IF(ISNUMBER(F10557),E10557*F10557,"")</f>
        <v/>
      </c>
      <c r="H10557" s="84"/>
      <c r="I10557" s="72"/>
      <c r="J10557" s="37">
        <v>0</v>
      </c>
    </row>
    <row r="10558" spans="1:10" ht="15.75" hidden="1" thickBot="1" x14ac:dyDescent="0.3">
      <c r="A10558" s="173" t="s">
        <v>2585</v>
      </c>
      <c r="B10558" s="176" t="s">
        <v>2586</v>
      </c>
      <c r="C10558" s="31"/>
      <c r="D10558" s="32" t="s">
        <v>18</v>
      </c>
      <c r="E10558" s="33"/>
      <c r="F10558" s="60" t="s">
        <v>13</v>
      </c>
      <c r="G10558" s="34" t="str">
        <f>IF(ISNUMBER(F10558),E10558*F10558,"")</f>
        <v/>
      </c>
      <c r="H10558" s="35"/>
      <c r="I10558" s="36"/>
      <c r="J10558" s="37">
        <v>0</v>
      </c>
    </row>
    <row r="10559" spans="1:10" hidden="1" x14ac:dyDescent="0.25">
      <c r="A10559" s="179"/>
      <c r="B10559" s="177"/>
      <c r="C10559" s="39"/>
      <c r="D10559" s="39"/>
      <c r="E10559" s="40"/>
      <c r="F10559" s="70" t="s">
        <v>13</v>
      </c>
      <c r="G10559" s="70" t="str">
        <f>IF(ISNUMBER(F10559),E10559*F10559,"")</f>
        <v/>
      </c>
      <c r="H10559" s="71"/>
      <c r="I10559" s="72"/>
      <c r="J10559" s="37">
        <v>0</v>
      </c>
    </row>
    <row r="10560" spans="1:10" hidden="1" x14ac:dyDescent="0.25">
      <c r="A10560" s="179"/>
      <c r="B10560" s="177"/>
      <c r="C10560" s="43" t="s">
        <v>2586</v>
      </c>
      <c r="D10560" s="43" t="s">
        <v>83</v>
      </c>
      <c r="E10560" s="44">
        <v>1</v>
      </c>
      <c r="F10560" s="70" t="s">
        <v>13</v>
      </c>
      <c r="G10560" s="70" t="str">
        <f>IF(ISNUMBER(F10560),E10560*F10560,"")</f>
        <v/>
      </c>
      <c r="H10560" s="46">
        <f>SUM(G10560:G10560)</f>
        <v>0</v>
      </c>
      <c r="I10560" s="47"/>
      <c r="J10560" s="37">
        <v>0</v>
      </c>
    </row>
    <row r="10561" spans="1:10" ht="15.75" hidden="1" thickBot="1" x14ac:dyDescent="0.3">
      <c r="A10561" s="180"/>
      <c r="B10561" s="178"/>
      <c r="C10561" s="49"/>
      <c r="D10561" s="49"/>
      <c r="E10561" s="50"/>
      <c r="F10561" s="83" t="s">
        <v>13</v>
      </c>
      <c r="G10561" s="83" t="str">
        <f>IF(ISNUMBER(F10561),E10561*F10561,"")</f>
        <v/>
      </c>
      <c r="H10561" s="84"/>
      <c r="I10561" s="72"/>
      <c r="J10561" s="37">
        <v>0</v>
      </c>
    </row>
    <row r="10562" spans="1:10" ht="15.75" hidden="1" thickBot="1" x14ac:dyDescent="0.3">
      <c r="A10562" s="173" t="s">
        <v>2587</v>
      </c>
      <c r="B10562" s="176" t="s">
        <v>2588</v>
      </c>
      <c r="C10562" s="31"/>
      <c r="D10562" s="32" t="s">
        <v>18</v>
      </c>
      <c r="E10562" s="33"/>
      <c r="F10562" s="60" t="s">
        <v>13</v>
      </c>
      <c r="G10562" s="34" t="str">
        <f>IF(ISNUMBER(F10562),E10562*F10562,"")</f>
        <v/>
      </c>
      <c r="H10562" s="35"/>
      <c r="I10562" s="36"/>
      <c r="J10562" s="37">
        <v>0</v>
      </c>
    </row>
    <row r="10563" spans="1:10" hidden="1" x14ac:dyDescent="0.25">
      <c r="A10563" s="179"/>
      <c r="B10563" s="177"/>
      <c r="C10563" s="39"/>
      <c r="D10563" s="39"/>
      <c r="E10563" s="40"/>
      <c r="F10563" s="70" t="s">
        <v>13</v>
      </c>
      <c r="G10563" s="70" t="str">
        <f>IF(ISNUMBER(F10563),E10563*F10563,"")</f>
        <v/>
      </c>
      <c r="H10563" s="71"/>
      <c r="I10563" s="72"/>
      <c r="J10563" s="37">
        <v>0</v>
      </c>
    </row>
    <row r="10564" spans="1:10" hidden="1" x14ac:dyDescent="0.25">
      <c r="A10564" s="179"/>
      <c r="B10564" s="177"/>
      <c r="C10564" s="43" t="s">
        <v>2588</v>
      </c>
      <c r="D10564" s="43" t="s">
        <v>83</v>
      </c>
      <c r="E10564" s="44">
        <v>1</v>
      </c>
      <c r="F10564" s="70" t="s">
        <v>13</v>
      </c>
      <c r="G10564" s="70" t="str">
        <f>IF(ISNUMBER(F10564),E10564*F10564,"")</f>
        <v/>
      </c>
      <c r="H10564" s="46">
        <f>SUM(G10564:G10564)</f>
        <v>0</v>
      </c>
      <c r="I10564" s="47"/>
      <c r="J10564" s="37">
        <v>0</v>
      </c>
    </row>
    <row r="10565" spans="1:10" ht="15.75" hidden="1" thickBot="1" x14ac:dyDescent="0.3">
      <c r="A10565" s="180"/>
      <c r="B10565" s="178"/>
      <c r="C10565" s="49"/>
      <c r="D10565" s="49"/>
      <c r="E10565" s="50"/>
      <c r="F10565" s="83" t="s">
        <v>13</v>
      </c>
      <c r="G10565" s="83" t="str">
        <f>IF(ISNUMBER(F10565),E10565*F10565,"")</f>
        <v/>
      </c>
      <c r="H10565" s="84"/>
      <c r="I10565" s="72"/>
      <c r="J10565" s="37">
        <v>0</v>
      </c>
    </row>
    <row r="10566" spans="1:10" ht="15.75" hidden="1" thickBot="1" x14ac:dyDescent="0.3">
      <c r="A10566" s="173" t="s">
        <v>2589</v>
      </c>
      <c r="B10566" s="176" t="s">
        <v>10118</v>
      </c>
      <c r="C10566" s="31"/>
      <c r="D10566" s="32" t="s">
        <v>18</v>
      </c>
      <c r="E10566" s="33"/>
      <c r="F10566" s="60" t="s">
        <v>13</v>
      </c>
      <c r="G10566" s="34" t="str">
        <f>IF(ISNUMBER(F10566),E10566*F10566,"")</f>
        <v/>
      </c>
      <c r="H10566" s="35"/>
      <c r="I10566" s="36"/>
      <c r="J10566" s="37">
        <v>0</v>
      </c>
    </row>
    <row r="10567" spans="1:10" hidden="1" x14ac:dyDescent="0.25">
      <c r="A10567" s="179"/>
      <c r="B10567" s="177"/>
      <c r="C10567" s="39"/>
      <c r="D10567" s="39"/>
      <c r="E10567" s="40"/>
      <c r="F10567" s="70" t="s">
        <v>13</v>
      </c>
      <c r="G10567" s="70" t="str">
        <f>IF(ISNUMBER(F10567),E10567*F10567,"")</f>
        <v/>
      </c>
      <c r="H10567" s="71"/>
      <c r="I10567" s="72"/>
      <c r="J10567" s="37">
        <v>0</v>
      </c>
    </row>
    <row r="10568" spans="1:10" hidden="1" x14ac:dyDescent="0.25">
      <c r="A10568" s="179"/>
      <c r="B10568" s="177"/>
      <c r="C10568" s="43" t="s">
        <v>11841</v>
      </c>
      <c r="D10568" s="43" t="s">
        <v>83</v>
      </c>
      <c r="E10568" s="44">
        <v>1</v>
      </c>
      <c r="F10568" s="70">
        <v>831.81050000000005</v>
      </c>
      <c r="G10568" s="70">
        <f>IF(ISNUMBER(F10568),E10568*F10568,"")</f>
        <v>831.81050000000005</v>
      </c>
      <c r="H10568" s="46">
        <f>SUM(G10568:G10568)</f>
        <v>831.81050000000005</v>
      </c>
      <c r="I10568" s="47"/>
      <c r="J10568" s="37">
        <v>0</v>
      </c>
    </row>
    <row r="10569" spans="1:10" ht="15.75" hidden="1" thickBot="1" x14ac:dyDescent="0.3">
      <c r="A10569" s="180"/>
      <c r="B10569" s="178"/>
      <c r="C10569" s="49"/>
      <c r="D10569" s="49"/>
      <c r="E10569" s="50"/>
      <c r="F10569" s="83" t="s">
        <v>13</v>
      </c>
      <c r="G10569" s="83" t="str">
        <f>IF(ISNUMBER(F10569),E10569*F10569,"")</f>
        <v/>
      </c>
      <c r="H10569" s="84"/>
      <c r="I10569" s="72"/>
      <c r="J10569" s="37">
        <v>0</v>
      </c>
    </row>
    <row r="10570" spans="1:10" ht="15.75" hidden="1" thickBot="1" x14ac:dyDescent="0.3">
      <c r="A10570" s="173" t="s">
        <v>2590</v>
      </c>
      <c r="B10570" s="176" t="s">
        <v>10119</v>
      </c>
      <c r="C10570" s="31"/>
      <c r="D10570" s="32" t="s">
        <v>18</v>
      </c>
      <c r="E10570" s="33"/>
      <c r="F10570" s="60" t="s">
        <v>13</v>
      </c>
      <c r="G10570" s="34" t="str">
        <f>IF(ISNUMBER(F10570),E10570*F10570,"")</f>
        <v/>
      </c>
      <c r="H10570" s="35"/>
      <c r="I10570" s="36"/>
      <c r="J10570" s="37">
        <v>0</v>
      </c>
    </row>
    <row r="10571" spans="1:10" hidden="1" x14ac:dyDescent="0.25">
      <c r="A10571" s="179"/>
      <c r="B10571" s="177"/>
      <c r="C10571" s="39"/>
      <c r="D10571" s="39"/>
      <c r="E10571" s="40"/>
      <c r="F10571" s="70" t="s">
        <v>13</v>
      </c>
      <c r="G10571" s="70" t="str">
        <f>IF(ISNUMBER(F10571),E10571*F10571,"")</f>
        <v/>
      </c>
      <c r="H10571" s="71"/>
      <c r="I10571" s="72"/>
      <c r="J10571" s="37">
        <v>0</v>
      </c>
    </row>
    <row r="10572" spans="1:10" hidden="1" x14ac:dyDescent="0.25">
      <c r="A10572" s="179"/>
      <c r="B10572" s="177"/>
      <c r="C10572" s="43" t="s">
        <v>11842</v>
      </c>
      <c r="D10572" s="43" t="s">
        <v>83</v>
      </c>
      <c r="E10572" s="44">
        <v>1</v>
      </c>
      <c r="F10572" s="70">
        <v>913.63400000000001</v>
      </c>
      <c r="G10572" s="70">
        <f>IF(ISNUMBER(F10572),E10572*F10572,"")</f>
        <v>913.63400000000001</v>
      </c>
      <c r="H10572" s="46">
        <f>SUM(G10572:G10572)</f>
        <v>913.63400000000001</v>
      </c>
      <c r="I10572" s="47"/>
      <c r="J10572" s="37">
        <v>0</v>
      </c>
    </row>
    <row r="10573" spans="1:10" ht="15.75" hidden="1" thickBot="1" x14ac:dyDescent="0.3">
      <c r="A10573" s="180"/>
      <c r="B10573" s="178"/>
      <c r="C10573" s="49"/>
      <c r="D10573" s="49"/>
      <c r="E10573" s="50"/>
      <c r="F10573" s="83" t="s">
        <v>13</v>
      </c>
      <c r="G10573" s="83" t="str">
        <f>IF(ISNUMBER(F10573),E10573*F10573,"")</f>
        <v/>
      </c>
      <c r="H10573" s="84"/>
      <c r="I10573" s="72"/>
      <c r="J10573" s="37">
        <v>0</v>
      </c>
    </row>
    <row r="10574" spans="1:10" ht="15.75" hidden="1" thickBot="1" x14ac:dyDescent="0.3">
      <c r="A10574" s="173" t="s">
        <v>2591</v>
      </c>
      <c r="B10574" s="176" t="s">
        <v>10120</v>
      </c>
      <c r="C10574" s="31"/>
      <c r="D10574" s="32" t="s">
        <v>18</v>
      </c>
      <c r="E10574" s="33"/>
      <c r="F10574" s="60" t="s">
        <v>13</v>
      </c>
      <c r="G10574" s="34" t="str">
        <f>IF(ISNUMBER(F10574),E10574*F10574,"")</f>
        <v/>
      </c>
      <c r="H10574" s="35"/>
      <c r="I10574" s="36"/>
      <c r="J10574" s="37">
        <v>0</v>
      </c>
    </row>
    <row r="10575" spans="1:10" hidden="1" x14ac:dyDescent="0.25">
      <c r="A10575" s="179"/>
      <c r="B10575" s="177"/>
      <c r="C10575" s="39"/>
      <c r="D10575" s="39"/>
      <c r="E10575" s="40"/>
      <c r="F10575" s="70" t="s">
        <v>13</v>
      </c>
      <c r="G10575" s="70" t="str">
        <f>IF(ISNUMBER(F10575),E10575*F10575,"")</f>
        <v/>
      </c>
      <c r="H10575" s="71"/>
      <c r="I10575" s="72"/>
      <c r="J10575" s="37">
        <v>0</v>
      </c>
    </row>
    <row r="10576" spans="1:10" hidden="1" x14ac:dyDescent="0.25">
      <c r="A10576" s="179"/>
      <c r="B10576" s="177"/>
      <c r="C10576" s="43" t="s">
        <v>11843</v>
      </c>
      <c r="D10576" s="43" t="s">
        <v>83</v>
      </c>
      <c r="E10576" s="44">
        <v>1</v>
      </c>
      <c r="F10576" s="70">
        <v>1045.703</v>
      </c>
      <c r="G10576" s="70">
        <f>IF(ISNUMBER(F10576),E10576*F10576,"")</f>
        <v>1045.703</v>
      </c>
      <c r="H10576" s="46">
        <f>SUM(G10576:G10576)</f>
        <v>1045.703</v>
      </c>
      <c r="I10576" s="47"/>
      <c r="J10576" s="37">
        <v>0</v>
      </c>
    </row>
    <row r="10577" spans="1:10" ht="15.75" hidden="1" thickBot="1" x14ac:dyDescent="0.3">
      <c r="A10577" s="180"/>
      <c r="B10577" s="178"/>
      <c r="C10577" s="49"/>
      <c r="D10577" s="49"/>
      <c r="E10577" s="50"/>
      <c r="F10577" s="83" t="s">
        <v>13</v>
      </c>
      <c r="G10577" s="83" t="str">
        <f>IF(ISNUMBER(F10577),E10577*F10577,"")</f>
        <v/>
      </c>
      <c r="H10577" s="84"/>
      <c r="I10577" s="72"/>
      <c r="J10577" s="37">
        <v>0</v>
      </c>
    </row>
    <row r="10578" spans="1:10" ht="15.75" hidden="1" thickBot="1" x14ac:dyDescent="0.3">
      <c r="A10578" s="173" t="s">
        <v>2592</v>
      </c>
      <c r="B10578" s="176" t="s">
        <v>10121</v>
      </c>
      <c r="C10578" s="31"/>
      <c r="D10578" s="32" t="s">
        <v>18</v>
      </c>
      <c r="E10578" s="33"/>
      <c r="F10578" s="60" t="s">
        <v>13</v>
      </c>
      <c r="G10578" s="34" t="str">
        <f>IF(ISNUMBER(F10578),E10578*F10578,"")</f>
        <v/>
      </c>
      <c r="H10578" s="35"/>
      <c r="I10578" s="36"/>
      <c r="J10578" s="37">
        <v>0</v>
      </c>
    </row>
    <row r="10579" spans="1:10" hidden="1" x14ac:dyDescent="0.25">
      <c r="A10579" s="179"/>
      <c r="B10579" s="177"/>
      <c r="C10579" s="39"/>
      <c r="D10579" s="39"/>
      <c r="E10579" s="40"/>
      <c r="F10579" s="70" t="s">
        <v>13</v>
      </c>
      <c r="G10579" s="70" t="str">
        <f>IF(ISNUMBER(F10579),E10579*F10579,"")</f>
        <v/>
      </c>
      <c r="H10579" s="71"/>
      <c r="I10579" s="72"/>
      <c r="J10579" s="37">
        <v>0</v>
      </c>
    </row>
    <row r="10580" spans="1:10" hidden="1" x14ac:dyDescent="0.25">
      <c r="A10580" s="179"/>
      <c r="B10580" s="177"/>
      <c r="C10580" s="43" t="s">
        <v>11844</v>
      </c>
      <c r="D10580" s="43" t="s">
        <v>83</v>
      </c>
      <c r="E10580" s="44">
        <v>1</v>
      </c>
      <c r="F10580" s="70">
        <v>1309.2139999999999</v>
      </c>
      <c r="G10580" s="70">
        <f>IF(ISNUMBER(F10580),E10580*F10580,"")</f>
        <v>1309.2139999999999</v>
      </c>
      <c r="H10580" s="46">
        <f>SUM(G10580:G10580)</f>
        <v>1309.2139999999999</v>
      </c>
      <c r="I10580" s="47"/>
      <c r="J10580" s="37">
        <v>0</v>
      </c>
    </row>
    <row r="10581" spans="1:10" ht="15.75" hidden="1" thickBot="1" x14ac:dyDescent="0.3">
      <c r="A10581" s="180"/>
      <c r="B10581" s="178"/>
      <c r="C10581" s="49"/>
      <c r="D10581" s="49"/>
      <c r="E10581" s="50"/>
      <c r="F10581" s="83" t="s">
        <v>13</v>
      </c>
      <c r="G10581" s="83" t="str">
        <f>IF(ISNUMBER(F10581),E10581*F10581,"")</f>
        <v/>
      </c>
      <c r="H10581" s="84"/>
      <c r="I10581" s="72"/>
      <c r="J10581" s="37">
        <v>0</v>
      </c>
    </row>
    <row r="10582" spans="1:10" ht="15.75" hidden="1" thickBot="1" x14ac:dyDescent="0.3">
      <c r="A10582" s="173" t="s">
        <v>2593</v>
      </c>
      <c r="B10582" s="176" t="s">
        <v>10122</v>
      </c>
      <c r="C10582" s="31"/>
      <c r="D10582" s="32" t="s">
        <v>18</v>
      </c>
      <c r="E10582" s="33"/>
      <c r="F10582" s="60" t="s">
        <v>13</v>
      </c>
      <c r="G10582" s="34" t="str">
        <f>IF(ISNUMBER(F10582),E10582*F10582,"")</f>
        <v/>
      </c>
      <c r="H10582" s="35"/>
      <c r="I10582" s="36"/>
      <c r="J10582" s="37">
        <v>0</v>
      </c>
    </row>
    <row r="10583" spans="1:10" hidden="1" x14ac:dyDescent="0.25">
      <c r="A10583" s="179"/>
      <c r="B10583" s="177"/>
      <c r="C10583" s="39"/>
      <c r="D10583" s="39"/>
      <c r="E10583" s="40"/>
      <c r="F10583" s="70" t="s">
        <v>13</v>
      </c>
      <c r="G10583" s="70" t="str">
        <f>IF(ISNUMBER(F10583),E10583*F10583,"")</f>
        <v/>
      </c>
      <c r="H10583" s="71"/>
      <c r="I10583" s="72"/>
      <c r="J10583" s="37">
        <v>0</v>
      </c>
    </row>
    <row r="10584" spans="1:10" hidden="1" x14ac:dyDescent="0.25">
      <c r="A10584" s="179"/>
      <c r="B10584" s="177"/>
      <c r="C10584" s="43" t="s">
        <v>11845</v>
      </c>
      <c r="D10584" s="43" t="s">
        <v>83</v>
      </c>
      <c r="E10584" s="44">
        <v>1</v>
      </c>
      <c r="F10584" s="70">
        <v>1815.8205</v>
      </c>
      <c r="G10584" s="70">
        <f>IF(ISNUMBER(F10584),E10584*F10584,"")</f>
        <v>1815.8205</v>
      </c>
      <c r="H10584" s="46">
        <f>SUM(G10584:G10584)</f>
        <v>1815.8205</v>
      </c>
      <c r="I10584" s="47"/>
      <c r="J10584" s="37">
        <v>0</v>
      </c>
    </row>
    <row r="10585" spans="1:10" ht="15.75" hidden="1" thickBot="1" x14ac:dyDescent="0.3">
      <c r="A10585" s="180"/>
      <c r="B10585" s="178"/>
      <c r="C10585" s="49"/>
      <c r="D10585" s="49"/>
      <c r="E10585" s="50"/>
      <c r="F10585" s="83" t="s">
        <v>13</v>
      </c>
      <c r="G10585" s="83" t="str">
        <f>IF(ISNUMBER(F10585),E10585*F10585,"")</f>
        <v/>
      </c>
      <c r="H10585" s="84"/>
      <c r="I10585" s="72"/>
      <c r="J10585" s="37">
        <v>0</v>
      </c>
    </row>
    <row r="10586" spans="1:10" ht="15.75" hidden="1" thickBot="1" x14ac:dyDescent="0.3">
      <c r="A10586" s="173" t="s">
        <v>2594</v>
      </c>
      <c r="B10586" s="176" t="s">
        <v>10123</v>
      </c>
      <c r="C10586" s="31"/>
      <c r="D10586" s="32" t="s">
        <v>18</v>
      </c>
      <c r="E10586" s="33"/>
      <c r="F10586" s="60" t="s">
        <v>13</v>
      </c>
      <c r="G10586" s="34" t="str">
        <f>IF(ISNUMBER(F10586),E10586*F10586,"")</f>
        <v/>
      </c>
      <c r="H10586" s="35"/>
      <c r="I10586" s="36"/>
      <c r="J10586" s="37">
        <v>0</v>
      </c>
    </row>
    <row r="10587" spans="1:10" hidden="1" x14ac:dyDescent="0.25">
      <c r="A10587" s="179"/>
      <c r="B10587" s="177"/>
      <c r="C10587" s="39"/>
      <c r="D10587" s="39"/>
      <c r="E10587" s="40"/>
      <c r="F10587" s="70" t="s">
        <v>13</v>
      </c>
      <c r="G10587" s="70" t="str">
        <f>IF(ISNUMBER(F10587),E10587*F10587,"")</f>
        <v/>
      </c>
      <c r="H10587" s="71"/>
      <c r="I10587" s="72"/>
      <c r="J10587" s="37">
        <v>0</v>
      </c>
    </row>
    <row r="10588" spans="1:10" hidden="1" x14ac:dyDescent="0.25">
      <c r="A10588" s="179"/>
      <c r="B10588" s="177"/>
      <c r="C10588" s="43" t="s">
        <v>11846</v>
      </c>
      <c r="D10588" s="43" t="s">
        <v>83</v>
      </c>
      <c r="E10588" s="44">
        <v>1</v>
      </c>
      <c r="F10588" s="70">
        <v>2398.3984999999998</v>
      </c>
      <c r="G10588" s="70">
        <f>IF(ISNUMBER(F10588),E10588*F10588,"")</f>
        <v>2398.3984999999998</v>
      </c>
      <c r="H10588" s="46">
        <f>SUM(G10588:G10588)</f>
        <v>2398.3984999999998</v>
      </c>
      <c r="I10588" s="47"/>
      <c r="J10588" s="37">
        <v>0</v>
      </c>
    </row>
    <row r="10589" spans="1:10" ht="15.75" hidden="1" thickBot="1" x14ac:dyDescent="0.3">
      <c r="A10589" s="180"/>
      <c r="B10589" s="178"/>
      <c r="C10589" s="49"/>
      <c r="D10589" s="49"/>
      <c r="E10589" s="50"/>
      <c r="F10589" s="83" t="s">
        <v>13</v>
      </c>
      <c r="G10589" s="83" t="str">
        <f>IF(ISNUMBER(F10589),E10589*F10589,"")</f>
        <v/>
      </c>
      <c r="H10589" s="84"/>
      <c r="I10589" s="72"/>
      <c r="J10589" s="37">
        <v>0</v>
      </c>
    </row>
    <row r="10590" spans="1:10" ht="15.75" hidden="1" thickBot="1" x14ac:dyDescent="0.3">
      <c r="A10590" s="173" t="s">
        <v>2595</v>
      </c>
      <c r="B10590" s="176" t="s">
        <v>10124</v>
      </c>
      <c r="C10590" s="31"/>
      <c r="D10590" s="32" t="s">
        <v>18</v>
      </c>
      <c r="E10590" s="33"/>
      <c r="F10590" s="60" t="s">
        <v>13</v>
      </c>
      <c r="G10590" s="34" t="str">
        <f>IF(ISNUMBER(F10590),E10590*F10590,"")</f>
        <v/>
      </c>
      <c r="H10590" s="35"/>
      <c r="I10590" s="36"/>
      <c r="J10590" s="37">
        <v>0</v>
      </c>
    </row>
    <row r="10591" spans="1:10" hidden="1" x14ac:dyDescent="0.25">
      <c r="A10591" s="179"/>
      <c r="B10591" s="177"/>
      <c r="C10591" s="39"/>
      <c r="D10591" s="39"/>
      <c r="E10591" s="40"/>
      <c r="F10591" s="70" t="s">
        <v>13</v>
      </c>
      <c r="G10591" s="70" t="str">
        <f>IF(ISNUMBER(F10591),E10591*F10591,"")</f>
        <v/>
      </c>
      <c r="H10591" s="71"/>
      <c r="I10591" s="72"/>
      <c r="J10591" s="37">
        <v>0</v>
      </c>
    </row>
    <row r="10592" spans="1:10" ht="38.25" hidden="1" x14ac:dyDescent="0.25">
      <c r="A10592" s="179"/>
      <c r="B10592" s="177"/>
      <c r="C10592" s="43" t="s">
        <v>11847</v>
      </c>
      <c r="D10592" s="43" t="s">
        <v>83</v>
      </c>
      <c r="E10592" s="44">
        <v>1</v>
      </c>
      <c r="F10592" s="70">
        <v>9.2720000000000002</v>
      </c>
      <c r="G10592" s="70">
        <f>IF(ISNUMBER(F10592),E10592*F10592,"")</f>
        <v>9.2720000000000002</v>
      </c>
      <c r="H10592" s="46">
        <f>SUM(G10592:G10592)</f>
        <v>9.2720000000000002</v>
      </c>
      <c r="I10592" s="47"/>
      <c r="J10592" s="37">
        <v>0</v>
      </c>
    </row>
    <row r="10593" spans="1:10" ht="15.75" hidden="1" thickBot="1" x14ac:dyDescent="0.3">
      <c r="A10593" s="180"/>
      <c r="B10593" s="178"/>
      <c r="C10593" s="49"/>
      <c r="D10593" s="49"/>
      <c r="E10593" s="50"/>
      <c r="F10593" s="83" t="s">
        <v>13</v>
      </c>
      <c r="G10593" s="83" t="str">
        <f>IF(ISNUMBER(F10593),E10593*F10593,"")</f>
        <v/>
      </c>
      <c r="H10593" s="84"/>
      <c r="I10593" s="72"/>
      <c r="J10593" s="37">
        <v>0</v>
      </c>
    </row>
    <row r="10594" spans="1:10" ht="15.75" hidden="1" thickBot="1" x14ac:dyDescent="0.3">
      <c r="A10594" s="173" t="s">
        <v>2596</v>
      </c>
      <c r="B10594" s="176" t="s">
        <v>10125</v>
      </c>
      <c r="C10594" s="31"/>
      <c r="D10594" s="32" t="s">
        <v>18</v>
      </c>
      <c r="E10594" s="33"/>
      <c r="F10594" s="60" t="s">
        <v>13</v>
      </c>
      <c r="G10594" s="34" t="str">
        <f>IF(ISNUMBER(F10594),E10594*F10594,"")</f>
        <v/>
      </c>
      <c r="H10594" s="35"/>
      <c r="I10594" s="36"/>
      <c r="J10594" s="37">
        <v>0</v>
      </c>
    </row>
    <row r="10595" spans="1:10" hidden="1" x14ac:dyDescent="0.25">
      <c r="A10595" s="179"/>
      <c r="B10595" s="177"/>
      <c r="C10595" s="39"/>
      <c r="D10595" s="39"/>
      <c r="E10595" s="40"/>
      <c r="F10595" s="70" t="s">
        <v>13</v>
      </c>
      <c r="G10595" s="70" t="str">
        <f>IF(ISNUMBER(F10595),E10595*F10595,"")</f>
        <v/>
      </c>
      <c r="H10595" s="71"/>
      <c r="I10595" s="72"/>
      <c r="J10595" s="37">
        <v>0</v>
      </c>
    </row>
    <row r="10596" spans="1:10" ht="38.25" hidden="1" x14ac:dyDescent="0.25">
      <c r="A10596" s="179"/>
      <c r="B10596" s="177"/>
      <c r="C10596" s="43" t="s">
        <v>11848</v>
      </c>
      <c r="D10596" s="43" t="s">
        <v>83</v>
      </c>
      <c r="E10596" s="44">
        <v>1</v>
      </c>
      <c r="F10596" s="70">
        <v>13.727499999999999</v>
      </c>
      <c r="G10596" s="70">
        <f>IF(ISNUMBER(F10596),E10596*F10596,"")</f>
        <v>13.727499999999999</v>
      </c>
      <c r="H10596" s="46">
        <f>SUM(G10596:G10596)</f>
        <v>13.727499999999999</v>
      </c>
      <c r="I10596" s="47"/>
      <c r="J10596" s="37">
        <v>0</v>
      </c>
    </row>
    <row r="10597" spans="1:10" ht="15.75" hidden="1" thickBot="1" x14ac:dyDescent="0.3">
      <c r="A10597" s="180"/>
      <c r="B10597" s="178"/>
      <c r="C10597" s="49"/>
      <c r="D10597" s="49"/>
      <c r="E10597" s="50"/>
      <c r="F10597" s="83" t="s">
        <v>13</v>
      </c>
      <c r="G10597" s="83" t="str">
        <f>IF(ISNUMBER(F10597),E10597*F10597,"")</f>
        <v/>
      </c>
      <c r="H10597" s="84"/>
      <c r="I10597" s="72"/>
      <c r="J10597" s="37">
        <v>0</v>
      </c>
    </row>
    <row r="10598" spans="1:10" ht="15.75" hidden="1" thickBot="1" x14ac:dyDescent="0.3">
      <c r="A10598" s="173" t="s">
        <v>2597</v>
      </c>
      <c r="B10598" s="176" t="s">
        <v>10126</v>
      </c>
      <c r="C10598" s="31"/>
      <c r="D10598" s="32" t="s">
        <v>18</v>
      </c>
      <c r="E10598" s="33"/>
      <c r="F10598" s="60" t="s">
        <v>13</v>
      </c>
      <c r="G10598" s="34" t="str">
        <f>IF(ISNUMBER(F10598),E10598*F10598,"")</f>
        <v/>
      </c>
      <c r="H10598" s="35"/>
      <c r="I10598" s="36"/>
      <c r="J10598" s="37">
        <v>0</v>
      </c>
    </row>
    <row r="10599" spans="1:10" hidden="1" x14ac:dyDescent="0.25">
      <c r="A10599" s="179"/>
      <c r="B10599" s="177"/>
      <c r="C10599" s="39"/>
      <c r="D10599" s="39"/>
      <c r="E10599" s="40"/>
      <c r="F10599" s="70" t="s">
        <v>13</v>
      </c>
      <c r="G10599" s="70" t="str">
        <f>IF(ISNUMBER(F10599),E10599*F10599,"")</f>
        <v/>
      </c>
      <c r="H10599" s="71"/>
      <c r="I10599" s="72"/>
      <c r="J10599" s="37">
        <v>0</v>
      </c>
    </row>
    <row r="10600" spans="1:10" ht="38.25" hidden="1" x14ac:dyDescent="0.25">
      <c r="A10600" s="179"/>
      <c r="B10600" s="177"/>
      <c r="C10600" s="43" t="s">
        <v>11849</v>
      </c>
      <c r="D10600" s="43" t="s">
        <v>83</v>
      </c>
      <c r="E10600" s="44">
        <v>1</v>
      </c>
      <c r="F10600" s="70">
        <v>10.392999999999999</v>
      </c>
      <c r="G10600" s="70">
        <f>IF(ISNUMBER(F10600),E10600*F10600,"")</f>
        <v>10.392999999999999</v>
      </c>
      <c r="H10600" s="46">
        <f>SUM(G10600:G10600)</f>
        <v>10.392999999999999</v>
      </c>
      <c r="I10600" s="47"/>
      <c r="J10600" s="37">
        <v>0</v>
      </c>
    </row>
    <row r="10601" spans="1:10" ht="15.75" hidden="1" thickBot="1" x14ac:dyDescent="0.3">
      <c r="A10601" s="180"/>
      <c r="B10601" s="178"/>
      <c r="C10601" s="49"/>
      <c r="D10601" s="49"/>
      <c r="E10601" s="50"/>
      <c r="F10601" s="83" t="s">
        <v>13</v>
      </c>
      <c r="G10601" s="83" t="str">
        <f>IF(ISNUMBER(F10601),E10601*F10601,"")</f>
        <v/>
      </c>
      <c r="H10601" s="84"/>
      <c r="I10601" s="72"/>
      <c r="J10601" s="37">
        <v>0</v>
      </c>
    </row>
    <row r="10602" spans="1:10" ht="15.75" hidden="1" thickBot="1" x14ac:dyDescent="0.3">
      <c r="A10602" s="173" t="s">
        <v>2598</v>
      </c>
      <c r="B10602" s="176" t="s">
        <v>10127</v>
      </c>
      <c r="C10602" s="31"/>
      <c r="D10602" s="32" t="s">
        <v>18</v>
      </c>
      <c r="E10602" s="33"/>
      <c r="F10602" s="60" t="s">
        <v>13</v>
      </c>
      <c r="G10602" s="34" t="str">
        <f>IF(ISNUMBER(F10602),E10602*F10602,"")</f>
        <v/>
      </c>
      <c r="H10602" s="35"/>
      <c r="I10602" s="36"/>
      <c r="J10602" s="37">
        <v>0</v>
      </c>
    </row>
    <row r="10603" spans="1:10" hidden="1" x14ac:dyDescent="0.25">
      <c r="A10603" s="179"/>
      <c r="B10603" s="177"/>
      <c r="C10603" s="39"/>
      <c r="D10603" s="39"/>
      <c r="E10603" s="40"/>
      <c r="F10603" s="70" t="s">
        <v>13</v>
      </c>
      <c r="G10603" s="70" t="str">
        <f>IF(ISNUMBER(F10603),E10603*F10603,"")</f>
        <v/>
      </c>
      <c r="H10603" s="71"/>
      <c r="I10603" s="72"/>
      <c r="J10603" s="37">
        <v>0</v>
      </c>
    </row>
    <row r="10604" spans="1:10" ht="38.25" hidden="1" x14ac:dyDescent="0.25">
      <c r="A10604" s="179"/>
      <c r="B10604" s="177"/>
      <c r="C10604" s="43" t="s">
        <v>11850</v>
      </c>
      <c r="D10604" s="43" t="s">
        <v>83</v>
      </c>
      <c r="E10604" s="44">
        <v>1</v>
      </c>
      <c r="F10604" s="70">
        <v>19.170999999999999</v>
      </c>
      <c r="G10604" s="70">
        <f>IF(ISNUMBER(F10604),E10604*F10604,"")</f>
        <v>19.170999999999999</v>
      </c>
      <c r="H10604" s="46">
        <f>SUM(G10604:G10604)</f>
        <v>19.170999999999999</v>
      </c>
      <c r="I10604" s="47"/>
      <c r="J10604" s="37">
        <v>0</v>
      </c>
    </row>
    <row r="10605" spans="1:10" ht="15.75" hidden="1" thickBot="1" x14ac:dyDescent="0.3">
      <c r="A10605" s="180"/>
      <c r="B10605" s="178"/>
      <c r="C10605" s="49"/>
      <c r="D10605" s="49"/>
      <c r="E10605" s="50"/>
      <c r="F10605" s="83" t="s">
        <v>13</v>
      </c>
      <c r="G10605" s="83" t="str">
        <f>IF(ISNUMBER(F10605),E10605*F10605,"")</f>
        <v/>
      </c>
      <c r="H10605" s="84"/>
      <c r="I10605" s="72"/>
      <c r="J10605" s="37">
        <v>0</v>
      </c>
    </row>
    <row r="10606" spans="1:10" ht="15.75" hidden="1" thickBot="1" x14ac:dyDescent="0.3">
      <c r="A10606" s="173" t="s">
        <v>2599</v>
      </c>
      <c r="B10606" s="176" t="s">
        <v>10138</v>
      </c>
      <c r="C10606" s="31"/>
      <c r="D10606" s="32" t="s">
        <v>18</v>
      </c>
      <c r="E10606" s="33"/>
      <c r="F10606" s="60" t="s">
        <v>13</v>
      </c>
      <c r="G10606" s="34" t="str">
        <f>IF(ISNUMBER(F10606),E10606*F10606,"")</f>
        <v/>
      </c>
      <c r="H10606" s="35"/>
      <c r="I10606" s="36"/>
      <c r="J10606" s="37">
        <v>0</v>
      </c>
    </row>
    <row r="10607" spans="1:10" hidden="1" x14ac:dyDescent="0.25">
      <c r="A10607" s="179"/>
      <c r="B10607" s="177"/>
      <c r="C10607" s="39"/>
      <c r="D10607" s="39"/>
      <c r="E10607" s="40"/>
      <c r="F10607" s="70" t="s">
        <v>13</v>
      </c>
      <c r="G10607" s="70" t="str">
        <f>IF(ISNUMBER(F10607),E10607*F10607,"")</f>
        <v/>
      </c>
      <c r="H10607" s="71"/>
      <c r="I10607" s="72"/>
      <c r="J10607" s="37">
        <v>0</v>
      </c>
    </row>
    <row r="10608" spans="1:10" ht="38.25" hidden="1" x14ac:dyDescent="0.25">
      <c r="A10608" s="179"/>
      <c r="B10608" s="177"/>
      <c r="C10608" s="43" t="s">
        <v>11851</v>
      </c>
      <c r="D10608" s="43" t="s">
        <v>83</v>
      </c>
      <c r="E10608" s="44">
        <v>1</v>
      </c>
      <c r="F10608" s="70">
        <v>11.190999999999999</v>
      </c>
      <c r="G10608" s="70">
        <f>IF(ISNUMBER(F10608),E10608*F10608,"")</f>
        <v>11.190999999999999</v>
      </c>
      <c r="H10608" s="46">
        <f>SUM(G10608:G10608)</f>
        <v>11.190999999999999</v>
      </c>
      <c r="I10608" s="47"/>
      <c r="J10608" s="37">
        <v>0</v>
      </c>
    </row>
    <row r="10609" spans="1:10" ht="15.75" hidden="1" thickBot="1" x14ac:dyDescent="0.3">
      <c r="A10609" s="180"/>
      <c r="B10609" s="178"/>
      <c r="C10609" s="49"/>
      <c r="D10609" s="49"/>
      <c r="E10609" s="50"/>
      <c r="F10609" s="83" t="s">
        <v>13</v>
      </c>
      <c r="G10609" s="83" t="str">
        <f>IF(ISNUMBER(F10609),E10609*F10609,"")</f>
        <v/>
      </c>
      <c r="H10609" s="84"/>
      <c r="I10609" s="72"/>
      <c r="J10609" s="37">
        <v>0</v>
      </c>
    </row>
    <row r="10610" spans="1:10" ht="15.75" hidden="1" thickBot="1" x14ac:dyDescent="0.3">
      <c r="A10610" s="173" t="s">
        <v>2600</v>
      </c>
      <c r="B10610" s="176" t="s">
        <v>10128</v>
      </c>
      <c r="C10610" s="31"/>
      <c r="D10610" s="32" t="s">
        <v>18</v>
      </c>
      <c r="E10610" s="33"/>
      <c r="F10610" s="60" t="s">
        <v>13</v>
      </c>
      <c r="G10610" s="34" t="str">
        <f>IF(ISNUMBER(F10610),E10610*F10610,"")</f>
        <v/>
      </c>
      <c r="H10610" s="35"/>
      <c r="I10610" s="36"/>
      <c r="J10610" s="37">
        <v>0</v>
      </c>
    </row>
    <row r="10611" spans="1:10" hidden="1" x14ac:dyDescent="0.25">
      <c r="A10611" s="179"/>
      <c r="B10611" s="177"/>
      <c r="C10611" s="39"/>
      <c r="D10611" s="39"/>
      <c r="E10611" s="40"/>
      <c r="F10611" s="70" t="s">
        <v>13</v>
      </c>
      <c r="G10611" s="70" t="str">
        <f>IF(ISNUMBER(F10611),E10611*F10611,"")</f>
        <v/>
      </c>
      <c r="H10611" s="71"/>
      <c r="I10611" s="72"/>
      <c r="J10611" s="37">
        <v>0</v>
      </c>
    </row>
    <row r="10612" spans="1:10" ht="15" hidden="1" customHeight="1" x14ac:dyDescent="0.25">
      <c r="A10612" s="179"/>
      <c r="B10612" s="177"/>
      <c r="C10612" s="43" t="s">
        <v>2601</v>
      </c>
      <c r="D10612" s="43" t="s">
        <v>83</v>
      </c>
      <c r="E10612" s="44">
        <v>1</v>
      </c>
      <c r="F10612" s="70" t="s">
        <v>13</v>
      </c>
      <c r="G10612" s="70" t="str">
        <f>IF(ISNUMBER(F10612),E10612*F10612,"")</f>
        <v/>
      </c>
      <c r="H10612" s="46">
        <f>SUM(G10612:G10612)</f>
        <v>0</v>
      </c>
      <c r="I10612" s="47"/>
      <c r="J10612" s="37">
        <v>0</v>
      </c>
    </row>
    <row r="10613" spans="1:10" ht="15.75" hidden="1" thickBot="1" x14ac:dyDescent="0.3">
      <c r="A10613" s="180"/>
      <c r="B10613" s="178"/>
      <c r="C10613" s="49"/>
      <c r="D10613" s="49"/>
      <c r="E10613" s="50"/>
      <c r="F10613" s="83" t="s">
        <v>13</v>
      </c>
      <c r="G10613" s="83" t="str">
        <f>IF(ISNUMBER(F10613),E10613*F10613,"")</f>
        <v/>
      </c>
      <c r="H10613" s="84"/>
      <c r="I10613" s="72"/>
      <c r="J10613" s="37">
        <v>0</v>
      </c>
    </row>
    <row r="10614" spans="1:10" ht="15.75" hidden="1" thickBot="1" x14ac:dyDescent="0.3">
      <c r="A10614" s="173" t="s">
        <v>2602</v>
      </c>
      <c r="B10614" s="176" t="s">
        <v>10135</v>
      </c>
      <c r="C10614" s="31"/>
      <c r="D10614" s="32" t="s">
        <v>18</v>
      </c>
      <c r="E10614" s="33"/>
      <c r="F10614" s="60" t="s">
        <v>13</v>
      </c>
      <c r="G10614" s="34" t="str">
        <f>IF(ISNUMBER(F10614),E10614*F10614,"")</f>
        <v/>
      </c>
      <c r="H10614" s="35"/>
      <c r="I10614" s="36"/>
      <c r="J10614" s="37">
        <v>0</v>
      </c>
    </row>
    <row r="10615" spans="1:10" hidden="1" x14ac:dyDescent="0.25">
      <c r="A10615" s="179"/>
      <c r="B10615" s="177"/>
      <c r="C10615" s="39"/>
      <c r="D10615" s="39"/>
      <c r="E10615" s="40"/>
      <c r="F10615" s="70" t="s">
        <v>13</v>
      </c>
      <c r="G10615" s="70" t="str">
        <f>IF(ISNUMBER(F10615),E10615*F10615,"")</f>
        <v/>
      </c>
      <c r="H10615" s="71"/>
      <c r="I10615" s="72"/>
      <c r="J10615" s="37">
        <v>0</v>
      </c>
    </row>
    <row r="10616" spans="1:10" ht="15" hidden="1" customHeight="1" x14ac:dyDescent="0.25">
      <c r="A10616" s="179"/>
      <c r="B10616" s="177"/>
      <c r="C10616" s="43" t="s">
        <v>2603</v>
      </c>
      <c r="D10616" s="43" t="s">
        <v>83</v>
      </c>
      <c r="E10616" s="44">
        <v>1</v>
      </c>
      <c r="F10616" s="70" t="s">
        <v>13</v>
      </c>
      <c r="G10616" s="70" t="str">
        <f>IF(ISNUMBER(F10616),E10616*F10616,"")</f>
        <v/>
      </c>
      <c r="H10616" s="46">
        <f t="shared" ref="H10616" si="19">SUM(G10616:G10616)</f>
        <v>0</v>
      </c>
      <c r="I10616" s="47"/>
      <c r="J10616" s="37">
        <v>0</v>
      </c>
    </row>
    <row r="10617" spans="1:10" ht="15.75" hidden="1" thickBot="1" x14ac:dyDescent="0.3">
      <c r="A10617" s="180"/>
      <c r="B10617" s="178"/>
      <c r="C10617" s="49"/>
      <c r="D10617" s="49"/>
      <c r="E10617" s="50"/>
      <c r="F10617" s="83" t="s">
        <v>13</v>
      </c>
      <c r="G10617" s="83" t="str">
        <f>IF(ISNUMBER(F10617),E10617*F10617,"")</f>
        <v/>
      </c>
      <c r="H10617" s="84"/>
      <c r="I10617" s="72"/>
      <c r="J10617" s="37">
        <v>0</v>
      </c>
    </row>
    <row r="10618" spans="1:10" ht="15.75" hidden="1" thickBot="1" x14ac:dyDescent="0.3">
      <c r="A10618" s="173" t="s">
        <v>2604</v>
      </c>
      <c r="B10618" s="176" t="s">
        <v>10136</v>
      </c>
      <c r="C10618" s="31"/>
      <c r="D10618" s="32" t="s">
        <v>18</v>
      </c>
      <c r="E10618" s="33"/>
      <c r="F10618" s="60" t="s">
        <v>13</v>
      </c>
      <c r="G10618" s="34" t="str">
        <f>IF(ISNUMBER(F10618),E10618*F10618,"")</f>
        <v/>
      </c>
      <c r="H10618" s="35"/>
      <c r="I10618" s="36"/>
      <c r="J10618" s="37">
        <v>0</v>
      </c>
    </row>
    <row r="10619" spans="1:10" hidden="1" x14ac:dyDescent="0.25">
      <c r="A10619" s="179"/>
      <c r="B10619" s="177"/>
      <c r="C10619" s="39"/>
      <c r="D10619" s="39"/>
      <c r="E10619" s="40"/>
      <c r="F10619" s="70" t="s">
        <v>13</v>
      </c>
      <c r="G10619" s="70" t="str">
        <f>IF(ISNUMBER(F10619),E10619*F10619,"")</f>
        <v/>
      </c>
      <c r="H10619" s="71"/>
      <c r="I10619" s="72"/>
      <c r="J10619" s="37">
        <v>0</v>
      </c>
    </row>
    <row r="10620" spans="1:10" ht="25.5" hidden="1" x14ac:dyDescent="0.25">
      <c r="A10620" s="179"/>
      <c r="B10620" s="177"/>
      <c r="C10620" s="43" t="s">
        <v>2605</v>
      </c>
      <c r="D10620" s="43" t="s">
        <v>83</v>
      </c>
      <c r="E10620" s="44">
        <v>1</v>
      </c>
      <c r="F10620" s="70" t="s">
        <v>13</v>
      </c>
      <c r="G10620" s="70" t="str">
        <f>IF(ISNUMBER(F10620),E10620*F10620,"")</f>
        <v/>
      </c>
      <c r="H10620" s="46">
        <f t="shared" ref="H10620" si="20">SUM(G10620:G10620)</f>
        <v>0</v>
      </c>
      <c r="I10620" s="47"/>
      <c r="J10620" s="37">
        <v>0</v>
      </c>
    </row>
    <row r="10621" spans="1:10" ht="15.75" hidden="1" thickBot="1" x14ac:dyDescent="0.3">
      <c r="A10621" s="180"/>
      <c r="B10621" s="178"/>
      <c r="C10621" s="49"/>
      <c r="D10621" s="49"/>
      <c r="E10621" s="50"/>
      <c r="F10621" s="83" t="s">
        <v>13</v>
      </c>
      <c r="G10621" s="83" t="str">
        <f>IF(ISNUMBER(F10621),E10621*F10621,"")</f>
        <v/>
      </c>
      <c r="H10621" s="84"/>
      <c r="I10621" s="72"/>
      <c r="J10621" s="37">
        <v>0</v>
      </c>
    </row>
    <row r="10622" spans="1:10" ht="15.75" hidden="1" thickBot="1" x14ac:dyDescent="0.3">
      <c r="A10622" s="173" t="s">
        <v>2606</v>
      </c>
      <c r="B10622" s="176" t="s">
        <v>10137</v>
      </c>
      <c r="C10622" s="31"/>
      <c r="D10622" s="32" t="s">
        <v>18</v>
      </c>
      <c r="E10622" s="33"/>
      <c r="F10622" s="60" t="s">
        <v>13</v>
      </c>
      <c r="G10622" s="34" t="str">
        <f>IF(ISNUMBER(F10622),E10622*F10622,"")</f>
        <v/>
      </c>
      <c r="H10622" s="35"/>
      <c r="I10622" s="36"/>
      <c r="J10622" s="37">
        <v>0</v>
      </c>
    </row>
    <row r="10623" spans="1:10" hidden="1" x14ac:dyDescent="0.25">
      <c r="A10623" s="179"/>
      <c r="B10623" s="177"/>
      <c r="C10623" s="39"/>
      <c r="D10623" s="39"/>
      <c r="E10623" s="40"/>
      <c r="F10623" s="70" t="s">
        <v>13</v>
      </c>
      <c r="G10623" s="70" t="str">
        <f>IF(ISNUMBER(F10623),E10623*F10623,"")</f>
        <v/>
      </c>
      <c r="H10623" s="71"/>
      <c r="I10623" s="72"/>
      <c r="J10623" s="37">
        <v>0</v>
      </c>
    </row>
    <row r="10624" spans="1:10" ht="25.5" hidden="1" x14ac:dyDescent="0.25">
      <c r="A10624" s="179"/>
      <c r="B10624" s="177"/>
      <c r="C10624" s="43" t="s">
        <v>2607</v>
      </c>
      <c r="D10624" s="43" t="s">
        <v>83</v>
      </c>
      <c r="E10624" s="44">
        <v>1</v>
      </c>
      <c r="F10624" s="70" t="s">
        <v>13</v>
      </c>
      <c r="G10624" s="70" t="str">
        <f>IF(ISNUMBER(F10624),E10624*F10624,"")</f>
        <v/>
      </c>
      <c r="H10624" s="46">
        <f t="shared" ref="H10624" si="21">SUM(G10624:G10624)</f>
        <v>0</v>
      </c>
      <c r="I10624" s="47"/>
      <c r="J10624" s="37">
        <v>0</v>
      </c>
    </row>
    <row r="10625" spans="1:10" ht="15.75" hidden="1" thickBot="1" x14ac:dyDescent="0.3">
      <c r="A10625" s="180"/>
      <c r="B10625" s="178"/>
      <c r="C10625" s="49"/>
      <c r="D10625" s="49"/>
      <c r="E10625" s="50"/>
      <c r="F10625" s="83" t="s">
        <v>13</v>
      </c>
      <c r="G10625" s="83" t="str">
        <f>IF(ISNUMBER(F10625),E10625*F10625,"")</f>
        <v/>
      </c>
      <c r="H10625" s="84"/>
      <c r="I10625" s="72"/>
      <c r="J10625" s="37">
        <v>0</v>
      </c>
    </row>
    <row r="10626" spans="1:10" ht="15.75" hidden="1" thickBot="1" x14ac:dyDescent="0.3">
      <c r="A10626" s="173" t="s">
        <v>2608</v>
      </c>
      <c r="B10626" s="176" t="s">
        <v>10139</v>
      </c>
      <c r="C10626" s="31"/>
      <c r="D10626" s="32" t="s">
        <v>18</v>
      </c>
      <c r="E10626" s="33"/>
      <c r="F10626" s="60" t="s">
        <v>13</v>
      </c>
      <c r="G10626" s="34" t="str">
        <f>IF(ISNUMBER(F10626),E10626*F10626,"")</f>
        <v/>
      </c>
      <c r="H10626" s="35"/>
      <c r="I10626" s="36"/>
      <c r="J10626" s="37">
        <v>0</v>
      </c>
    </row>
    <row r="10627" spans="1:10" hidden="1" x14ac:dyDescent="0.25">
      <c r="A10627" s="179"/>
      <c r="B10627" s="177"/>
      <c r="C10627" s="39"/>
      <c r="D10627" s="39"/>
      <c r="E10627" s="40"/>
      <c r="F10627" s="70" t="s">
        <v>13</v>
      </c>
      <c r="G10627" s="70" t="str">
        <f>IF(ISNUMBER(F10627),E10627*F10627,"")</f>
        <v/>
      </c>
      <c r="H10627" s="71"/>
      <c r="I10627" s="72"/>
      <c r="J10627" s="37">
        <v>0</v>
      </c>
    </row>
    <row r="10628" spans="1:10" ht="38.25" hidden="1" x14ac:dyDescent="0.25">
      <c r="A10628" s="179"/>
      <c r="B10628" s="177"/>
      <c r="C10628" s="43" t="s">
        <v>11852</v>
      </c>
      <c r="D10628" s="43" t="s">
        <v>83</v>
      </c>
      <c r="E10628" s="44">
        <v>1</v>
      </c>
      <c r="F10628" s="70">
        <v>12.986499999999999</v>
      </c>
      <c r="G10628" s="70">
        <f>IF(ISNUMBER(F10628),E10628*F10628,"")</f>
        <v>12.986499999999999</v>
      </c>
      <c r="H10628" s="46">
        <f>SUM(G10628:G10628)</f>
        <v>12.986499999999999</v>
      </c>
      <c r="I10628" s="47"/>
      <c r="J10628" s="37">
        <v>0</v>
      </c>
    </row>
    <row r="10629" spans="1:10" ht="15.75" hidden="1" thickBot="1" x14ac:dyDescent="0.3">
      <c r="A10629" s="180"/>
      <c r="B10629" s="178"/>
      <c r="C10629" s="49"/>
      <c r="D10629" s="49"/>
      <c r="E10629" s="50"/>
      <c r="F10629" s="83" t="s">
        <v>13</v>
      </c>
      <c r="G10629" s="83" t="str">
        <f>IF(ISNUMBER(F10629),E10629*F10629,"")</f>
        <v/>
      </c>
      <c r="H10629" s="84"/>
      <c r="I10629" s="72"/>
      <c r="J10629" s="37">
        <v>0</v>
      </c>
    </row>
    <row r="10630" spans="1:10" ht="15.75" hidden="1" thickBot="1" x14ac:dyDescent="0.3">
      <c r="A10630" s="173" t="s">
        <v>2609</v>
      </c>
      <c r="B10630" s="176" t="s">
        <v>10140</v>
      </c>
      <c r="C10630" s="31"/>
      <c r="D10630" s="32" t="s">
        <v>18</v>
      </c>
      <c r="E10630" s="33"/>
      <c r="F10630" s="60" t="s">
        <v>13</v>
      </c>
      <c r="G10630" s="34" t="str">
        <f>IF(ISNUMBER(F10630),E10630*F10630,"")</f>
        <v/>
      </c>
      <c r="H10630" s="35"/>
      <c r="I10630" s="36"/>
      <c r="J10630" s="37">
        <v>0</v>
      </c>
    </row>
    <row r="10631" spans="1:10" hidden="1" x14ac:dyDescent="0.25">
      <c r="A10631" s="179"/>
      <c r="B10631" s="177"/>
      <c r="C10631" s="39"/>
      <c r="D10631" s="39"/>
      <c r="E10631" s="40"/>
      <c r="F10631" s="70" t="s">
        <v>13</v>
      </c>
      <c r="G10631" s="70" t="str">
        <f>IF(ISNUMBER(F10631),E10631*F10631,"")</f>
        <v/>
      </c>
      <c r="H10631" s="71"/>
      <c r="I10631" s="72"/>
      <c r="J10631" s="37">
        <v>0</v>
      </c>
    </row>
    <row r="10632" spans="1:10" ht="38.25" hidden="1" x14ac:dyDescent="0.25">
      <c r="A10632" s="179"/>
      <c r="B10632" s="177"/>
      <c r="C10632" s="43" t="s">
        <v>11853</v>
      </c>
      <c r="D10632" s="43" t="s">
        <v>83</v>
      </c>
      <c r="E10632" s="44">
        <v>1</v>
      </c>
      <c r="F10632" s="70">
        <v>15.408999999999999</v>
      </c>
      <c r="G10632" s="70">
        <f>IF(ISNUMBER(F10632),E10632*F10632,"")</f>
        <v>15.408999999999999</v>
      </c>
      <c r="H10632" s="46">
        <f>SUM(G10632:G10632)</f>
        <v>15.408999999999999</v>
      </c>
      <c r="I10632" s="47"/>
      <c r="J10632" s="37">
        <v>0</v>
      </c>
    </row>
    <row r="10633" spans="1:10" ht="15.75" hidden="1" thickBot="1" x14ac:dyDescent="0.3">
      <c r="A10633" s="180"/>
      <c r="B10633" s="178"/>
      <c r="C10633" s="49"/>
      <c r="D10633" s="49"/>
      <c r="E10633" s="50"/>
      <c r="F10633" s="83" t="s">
        <v>13</v>
      </c>
      <c r="G10633" s="83" t="str">
        <f>IF(ISNUMBER(F10633),E10633*F10633,"")</f>
        <v/>
      </c>
      <c r="H10633" s="84"/>
      <c r="I10633" s="72"/>
      <c r="J10633" s="37">
        <v>0</v>
      </c>
    </row>
    <row r="10634" spans="1:10" ht="15.75" hidden="1" thickBot="1" x14ac:dyDescent="0.3">
      <c r="A10634" s="173" t="s">
        <v>2610</v>
      </c>
      <c r="B10634" s="176" t="s">
        <v>10141</v>
      </c>
      <c r="C10634" s="31"/>
      <c r="D10634" s="32" t="s">
        <v>18</v>
      </c>
      <c r="E10634" s="33"/>
      <c r="F10634" s="60" t="s">
        <v>13</v>
      </c>
      <c r="G10634" s="34" t="str">
        <f>IF(ISNUMBER(F10634),E10634*F10634,"")</f>
        <v/>
      </c>
      <c r="H10634" s="35"/>
      <c r="I10634" s="36"/>
      <c r="J10634" s="37">
        <v>0</v>
      </c>
    </row>
    <row r="10635" spans="1:10" hidden="1" x14ac:dyDescent="0.25">
      <c r="A10635" s="179"/>
      <c r="B10635" s="177"/>
      <c r="C10635" s="39"/>
      <c r="D10635" s="39"/>
      <c r="E10635" s="40"/>
      <c r="F10635" s="70" t="s">
        <v>13</v>
      </c>
      <c r="G10635" s="70" t="str">
        <f>IF(ISNUMBER(F10635),E10635*F10635,"")</f>
        <v/>
      </c>
      <c r="H10635" s="71"/>
      <c r="I10635" s="72"/>
      <c r="J10635" s="37">
        <v>0</v>
      </c>
    </row>
    <row r="10636" spans="1:10" ht="38.25" hidden="1" x14ac:dyDescent="0.25">
      <c r="A10636" s="179"/>
      <c r="B10636" s="177"/>
      <c r="C10636" s="43" t="s">
        <v>11854</v>
      </c>
      <c r="D10636" s="43" t="s">
        <v>83</v>
      </c>
      <c r="E10636" s="44">
        <v>1</v>
      </c>
      <c r="F10636" s="70">
        <v>19.456</v>
      </c>
      <c r="G10636" s="70">
        <f>IF(ISNUMBER(F10636),E10636*F10636,"")</f>
        <v>19.456</v>
      </c>
      <c r="H10636" s="46">
        <f>SUM(G10636:G10636)</f>
        <v>19.456</v>
      </c>
      <c r="I10636" s="47"/>
      <c r="J10636" s="37">
        <v>0</v>
      </c>
    </row>
    <row r="10637" spans="1:10" ht="15.75" hidden="1" thickBot="1" x14ac:dyDescent="0.3">
      <c r="A10637" s="180"/>
      <c r="B10637" s="178"/>
      <c r="C10637" s="49"/>
      <c r="D10637" s="49"/>
      <c r="E10637" s="50"/>
      <c r="F10637" s="83" t="s">
        <v>13</v>
      </c>
      <c r="G10637" s="83" t="str">
        <f>IF(ISNUMBER(F10637),E10637*F10637,"")</f>
        <v/>
      </c>
      <c r="H10637" s="84"/>
      <c r="I10637" s="72"/>
      <c r="J10637" s="37">
        <v>0</v>
      </c>
    </row>
    <row r="10638" spans="1:10" ht="15.75" hidden="1" thickBot="1" x14ac:dyDescent="0.3">
      <c r="A10638" s="173" t="s">
        <v>2611</v>
      </c>
      <c r="B10638" s="176" t="s">
        <v>10142</v>
      </c>
      <c r="C10638" s="31"/>
      <c r="D10638" s="32" t="s">
        <v>18</v>
      </c>
      <c r="E10638" s="33"/>
      <c r="F10638" s="60" t="s">
        <v>13</v>
      </c>
      <c r="G10638" s="34" t="str">
        <f>IF(ISNUMBER(F10638),E10638*F10638,"")</f>
        <v/>
      </c>
      <c r="H10638" s="35"/>
      <c r="I10638" s="36"/>
      <c r="J10638" s="37">
        <v>0</v>
      </c>
    </row>
    <row r="10639" spans="1:10" hidden="1" x14ac:dyDescent="0.25">
      <c r="A10639" s="179"/>
      <c r="B10639" s="177"/>
      <c r="C10639" s="39"/>
      <c r="D10639" s="39"/>
      <c r="E10639" s="40"/>
      <c r="F10639" s="70" t="s">
        <v>13</v>
      </c>
      <c r="G10639" s="70" t="str">
        <f>IF(ISNUMBER(F10639),E10639*F10639,"")</f>
        <v/>
      </c>
      <c r="H10639" s="71"/>
      <c r="I10639" s="72"/>
      <c r="J10639" s="37">
        <v>0</v>
      </c>
    </row>
    <row r="10640" spans="1:10" ht="15" hidden="1" customHeight="1" x14ac:dyDescent="0.25">
      <c r="A10640" s="179"/>
      <c r="B10640" s="177"/>
      <c r="C10640" s="43" t="s">
        <v>2612</v>
      </c>
      <c r="D10640" s="43" t="s">
        <v>83</v>
      </c>
      <c r="E10640" s="44">
        <v>1</v>
      </c>
      <c r="F10640" s="70" t="s">
        <v>13</v>
      </c>
      <c r="G10640" s="70" t="str">
        <f>IF(ISNUMBER(F10640),E10640*F10640,"")</f>
        <v/>
      </c>
      <c r="H10640" s="46">
        <f t="shared" ref="H10640:H10644" si="22">SUM(G10640:G10640)</f>
        <v>0</v>
      </c>
      <c r="I10640" s="47"/>
      <c r="J10640" s="37">
        <v>0</v>
      </c>
    </row>
    <row r="10641" spans="1:10" ht="15.75" hidden="1" thickBot="1" x14ac:dyDescent="0.3">
      <c r="A10641" s="180"/>
      <c r="B10641" s="178"/>
      <c r="C10641" s="49"/>
      <c r="D10641" s="49"/>
      <c r="E10641" s="50"/>
      <c r="F10641" s="83" t="s">
        <v>13</v>
      </c>
      <c r="G10641" s="83" t="str">
        <f>IF(ISNUMBER(F10641),E10641*F10641,"")</f>
        <v/>
      </c>
      <c r="H10641" s="84"/>
      <c r="I10641" s="72"/>
      <c r="J10641" s="37">
        <v>0</v>
      </c>
    </row>
    <row r="10642" spans="1:10" ht="15.75" hidden="1" thickBot="1" x14ac:dyDescent="0.3">
      <c r="A10642" s="173" t="s">
        <v>2613</v>
      </c>
      <c r="B10642" s="176" t="s">
        <v>10143</v>
      </c>
      <c r="C10642" s="31"/>
      <c r="D10642" s="32" t="s">
        <v>18</v>
      </c>
      <c r="E10642" s="33"/>
      <c r="F10642" s="60" t="s">
        <v>13</v>
      </c>
      <c r="G10642" s="34" t="str">
        <f>IF(ISNUMBER(F10642),E10642*F10642,"")</f>
        <v/>
      </c>
      <c r="H10642" s="35"/>
      <c r="I10642" s="36"/>
      <c r="J10642" s="37">
        <v>0</v>
      </c>
    </row>
    <row r="10643" spans="1:10" hidden="1" x14ac:dyDescent="0.25">
      <c r="A10643" s="179"/>
      <c r="B10643" s="177"/>
      <c r="C10643" s="39"/>
      <c r="D10643" s="39"/>
      <c r="E10643" s="40"/>
      <c r="F10643" s="70" t="s">
        <v>13</v>
      </c>
      <c r="G10643" s="70" t="str">
        <f>IF(ISNUMBER(F10643),E10643*F10643,"")</f>
        <v/>
      </c>
      <c r="H10643" s="71"/>
      <c r="I10643" s="72"/>
      <c r="J10643" s="37">
        <v>0</v>
      </c>
    </row>
    <row r="10644" spans="1:10" ht="15" hidden="1" customHeight="1" x14ac:dyDescent="0.25">
      <c r="A10644" s="179"/>
      <c r="B10644" s="177"/>
      <c r="C10644" s="43" t="s">
        <v>2614</v>
      </c>
      <c r="D10644" s="43" t="s">
        <v>83</v>
      </c>
      <c r="E10644" s="44">
        <v>1</v>
      </c>
      <c r="F10644" s="70" t="s">
        <v>13</v>
      </c>
      <c r="G10644" s="70" t="str">
        <f>IF(ISNUMBER(F10644),E10644*F10644,"")</f>
        <v/>
      </c>
      <c r="H10644" s="46">
        <f t="shared" si="22"/>
        <v>0</v>
      </c>
      <c r="I10644" s="47"/>
      <c r="J10644" s="37">
        <v>0</v>
      </c>
    </row>
    <row r="10645" spans="1:10" ht="15.75" hidden="1" thickBot="1" x14ac:dyDescent="0.3">
      <c r="A10645" s="180"/>
      <c r="B10645" s="178"/>
      <c r="C10645" s="49"/>
      <c r="D10645" s="49"/>
      <c r="E10645" s="50"/>
      <c r="F10645" s="83" t="s">
        <v>13</v>
      </c>
      <c r="G10645" s="83" t="str">
        <f>IF(ISNUMBER(F10645),E10645*F10645,"")</f>
        <v/>
      </c>
      <c r="H10645" s="84"/>
      <c r="I10645" s="72"/>
      <c r="J10645" s="37">
        <v>0</v>
      </c>
    </row>
    <row r="10646" spans="1:10" ht="15.75" hidden="1" thickBot="1" x14ac:dyDescent="0.3">
      <c r="A10646" s="173" t="s">
        <v>2615</v>
      </c>
      <c r="B10646" s="176" t="s">
        <v>10146</v>
      </c>
      <c r="C10646" s="31"/>
      <c r="D10646" s="32" t="s">
        <v>18</v>
      </c>
      <c r="E10646" s="33"/>
      <c r="F10646" s="60" t="s">
        <v>13</v>
      </c>
      <c r="G10646" s="34" t="str">
        <f>IF(ISNUMBER(F10646),E10646*F10646,"")</f>
        <v/>
      </c>
      <c r="H10646" s="35"/>
      <c r="I10646" s="36"/>
      <c r="J10646" s="37">
        <v>0</v>
      </c>
    </row>
    <row r="10647" spans="1:10" hidden="1" x14ac:dyDescent="0.25">
      <c r="A10647" s="179"/>
      <c r="B10647" s="177"/>
      <c r="C10647" s="39"/>
      <c r="D10647" s="39"/>
      <c r="E10647" s="40"/>
      <c r="F10647" s="70" t="s">
        <v>13</v>
      </c>
      <c r="G10647" s="70" t="str">
        <f>IF(ISNUMBER(F10647),E10647*F10647,"")</f>
        <v/>
      </c>
      <c r="H10647" s="71"/>
      <c r="I10647" s="72"/>
      <c r="J10647" s="37">
        <v>0</v>
      </c>
    </row>
    <row r="10648" spans="1:10" ht="15" hidden="1" customHeight="1" x14ac:dyDescent="0.25">
      <c r="A10648" s="179"/>
      <c r="B10648" s="177"/>
      <c r="C10648" s="43" t="s">
        <v>2616</v>
      </c>
      <c r="D10648" s="43" t="s">
        <v>83</v>
      </c>
      <c r="E10648" s="44">
        <v>1</v>
      </c>
      <c r="F10648" s="70" t="s">
        <v>13</v>
      </c>
      <c r="G10648" s="70" t="str">
        <f>IF(ISNUMBER(F10648),E10648*F10648,"")</f>
        <v/>
      </c>
      <c r="H10648" s="46">
        <f t="shared" ref="H10648:H10652" si="23">SUM(G10648:G10648)</f>
        <v>0</v>
      </c>
      <c r="I10648" s="47"/>
      <c r="J10648" s="37">
        <v>0</v>
      </c>
    </row>
    <row r="10649" spans="1:10" ht="15.75" hidden="1" thickBot="1" x14ac:dyDescent="0.3">
      <c r="A10649" s="180"/>
      <c r="B10649" s="178"/>
      <c r="C10649" s="49"/>
      <c r="D10649" s="49"/>
      <c r="E10649" s="50"/>
      <c r="F10649" s="83" t="s">
        <v>13</v>
      </c>
      <c r="G10649" s="83" t="str">
        <f>IF(ISNUMBER(F10649),E10649*F10649,"")</f>
        <v/>
      </c>
      <c r="H10649" s="84"/>
      <c r="I10649" s="72"/>
      <c r="J10649" s="37">
        <v>0</v>
      </c>
    </row>
    <row r="10650" spans="1:10" ht="15.75" hidden="1" thickBot="1" x14ac:dyDescent="0.3">
      <c r="A10650" s="173" t="s">
        <v>2617</v>
      </c>
      <c r="B10650" s="176" t="s">
        <v>10149</v>
      </c>
      <c r="C10650" s="31"/>
      <c r="D10650" s="32" t="s">
        <v>18</v>
      </c>
      <c r="E10650" s="33"/>
      <c r="F10650" s="60" t="s">
        <v>13</v>
      </c>
      <c r="G10650" s="34" t="str">
        <f>IF(ISNUMBER(F10650),E10650*F10650,"")</f>
        <v/>
      </c>
      <c r="H10650" s="35"/>
      <c r="I10650" s="36"/>
      <c r="J10650" s="37">
        <v>0</v>
      </c>
    </row>
    <row r="10651" spans="1:10" hidden="1" x14ac:dyDescent="0.25">
      <c r="A10651" s="179"/>
      <c r="B10651" s="177"/>
      <c r="C10651" s="39"/>
      <c r="D10651" s="39"/>
      <c r="E10651" s="40"/>
      <c r="F10651" s="70" t="s">
        <v>13</v>
      </c>
      <c r="G10651" s="70" t="str">
        <f>IF(ISNUMBER(F10651),E10651*F10651,"")</f>
        <v/>
      </c>
      <c r="H10651" s="71"/>
      <c r="I10651" s="72"/>
      <c r="J10651" s="37">
        <v>0</v>
      </c>
    </row>
    <row r="10652" spans="1:10" ht="15" hidden="1" customHeight="1" x14ac:dyDescent="0.25">
      <c r="A10652" s="179"/>
      <c r="B10652" s="177"/>
      <c r="C10652" s="43" t="s">
        <v>2618</v>
      </c>
      <c r="D10652" s="43" t="s">
        <v>83</v>
      </c>
      <c r="E10652" s="44">
        <v>1</v>
      </c>
      <c r="F10652" s="70" t="s">
        <v>13</v>
      </c>
      <c r="G10652" s="70" t="str">
        <f>IF(ISNUMBER(F10652),E10652*F10652,"")</f>
        <v/>
      </c>
      <c r="H10652" s="46">
        <f t="shared" si="23"/>
        <v>0</v>
      </c>
      <c r="I10652" s="47"/>
      <c r="J10652" s="37">
        <v>0</v>
      </c>
    </row>
    <row r="10653" spans="1:10" ht="15.75" hidden="1" thickBot="1" x14ac:dyDescent="0.3">
      <c r="A10653" s="180"/>
      <c r="B10653" s="178"/>
      <c r="C10653" s="49"/>
      <c r="D10653" s="49"/>
      <c r="E10653" s="50"/>
      <c r="F10653" s="83" t="s">
        <v>13</v>
      </c>
      <c r="G10653" s="83" t="str">
        <f>IF(ISNUMBER(F10653),E10653*F10653,"")</f>
        <v/>
      </c>
      <c r="H10653" s="84"/>
      <c r="I10653" s="72"/>
      <c r="J10653" s="37">
        <v>0</v>
      </c>
    </row>
    <row r="10654" spans="1:10" ht="15.75" hidden="1" thickBot="1" x14ac:dyDescent="0.3">
      <c r="A10654" s="173" t="s">
        <v>2619</v>
      </c>
      <c r="B10654" s="176" t="s">
        <v>10150</v>
      </c>
      <c r="C10654" s="31"/>
      <c r="D10654" s="32" t="s">
        <v>18</v>
      </c>
      <c r="E10654" s="33"/>
      <c r="F10654" s="60" t="s">
        <v>13</v>
      </c>
      <c r="G10654" s="34" t="str">
        <f>IF(ISNUMBER(F10654),E10654*F10654,"")</f>
        <v/>
      </c>
      <c r="H10654" s="35"/>
      <c r="I10654" s="36"/>
      <c r="J10654" s="37">
        <v>0</v>
      </c>
    </row>
    <row r="10655" spans="1:10" hidden="1" x14ac:dyDescent="0.25">
      <c r="A10655" s="179"/>
      <c r="B10655" s="177"/>
      <c r="C10655" s="39"/>
      <c r="D10655" s="39"/>
      <c r="E10655" s="40"/>
      <c r="F10655" s="70" t="s">
        <v>13</v>
      </c>
      <c r="G10655" s="70" t="str">
        <f>IF(ISNUMBER(F10655),E10655*F10655,"")</f>
        <v/>
      </c>
      <c r="H10655" s="71"/>
      <c r="I10655" s="72"/>
      <c r="J10655" s="37">
        <v>0</v>
      </c>
    </row>
    <row r="10656" spans="1:10" ht="38.25" hidden="1" x14ac:dyDescent="0.25">
      <c r="A10656" s="179"/>
      <c r="B10656" s="177"/>
      <c r="C10656" s="43" t="s">
        <v>11855</v>
      </c>
      <c r="D10656" s="43" t="s">
        <v>83</v>
      </c>
      <c r="E10656" s="44">
        <v>1</v>
      </c>
      <c r="F10656" s="70">
        <v>9.3384999999999998</v>
      </c>
      <c r="G10656" s="70">
        <f>IF(ISNUMBER(F10656),E10656*F10656,"")</f>
        <v>9.3384999999999998</v>
      </c>
      <c r="H10656" s="46">
        <f>SUM(G10656:G10656)</f>
        <v>9.3384999999999998</v>
      </c>
      <c r="I10656" s="47"/>
      <c r="J10656" s="37">
        <v>0</v>
      </c>
    </row>
    <row r="10657" spans="1:10" ht="15.75" hidden="1" thickBot="1" x14ac:dyDescent="0.3">
      <c r="A10657" s="180"/>
      <c r="B10657" s="178"/>
      <c r="C10657" s="49"/>
      <c r="D10657" s="49"/>
      <c r="E10657" s="50"/>
      <c r="F10657" s="83" t="s">
        <v>13</v>
      </c>
      <c r="G10657" s="83" t="str">
        <f>IF(ISNUMBER(F10657),E10657*F10657,"")</f>
        <v/>
      </c>
      <c r="H10657" s="84"/>
      <c r="I10657" s="72"/>
      <c r="J10657" s="37">
        <v>0</v>
      </c>
    </row>
    <row r="10658" spans="1:10" ht="15.75" hidden="1" thickBot="1" x14ac:dyDescent="0.3">
      <c r="A10658" s="173" t="s">
        <v>2620</v>
      </c>
      <c r="B10658" s="176" t="s">
        <v>10151</v>
      </c>
      <c r="C10658" s="31"/>
      <c r="D10658" s="32" t="s">
        <v>18</v>
      </c>
      <c r="E10658" s="33"/>
      <c r="F10658" s="60" t="s">
        <v>13</v>
      </c>
      <c r="G10658" s="34" t="str">
        <f>IF(ISNUMBER(F10658),E10658*F10658,"")</f>
        <v/>
      </c>
      <c r="H10658" s="35"/>
      <c r="I10658" s="36"/>
      <c r="J10658" s="37">
        <v>0</v>
      </c>
    </row>
    <row r="10659" spans="1:10" hidden="1" x14ac:dyDescent="0.25">
      <c r="A10659" s="179"/>
      <c r="B10659" s="177"/>
      <c r="C10659" s="39"/>
      <c r="D10659" s="39"/>
      <c r="E10659" s="40"/>
      <c r="F10659" s="70" t="s">
        <v>13</v>
      </c>
      <c r="G10659" s="70" t="str">
        <f>IF(ISNUMBER(F10659),E10659*F10659,"")</f>
        <v/>
      </c>
      <c r="H10659" s="71"/>
      <c r="I10659" s="72"/>
      <c r="J10659" s="37">
        <v>0</v>
      </c>
    </row>
    <row r="10660" spans="1:10" ht="38.25" hidden="1" x14ac:dyDescent="0.25">
      <c r="A10660" s="179"/>
      <c r="B10660" s="177"/>
      <c r="C10660" s="43" t="s">
        <v>11856</v>
      </c>
      <c r="D10660" s="43" t="s">
        <v>83</v>
      </c>
      <c r="E10660" s="44">
        <v>1</v>
      </c>
      <c r="F10660" s="70">
        <v>12.501999999999999</v>
      </c>
      <c r="G10660" s="70">
        <f>IF(ISNUMBER(F10660),E10660*F10660,"")</f>
        <v>12.501999999999999</v>
      </c>
      <c r="H10660" s="46">
        <f>SUM(G10660:G10660)</f>
        <v>12.501999999999999</v>
      </c>
      <c r="I10660" s="47"/>
      <c r="J10660" s="37">
        <v>0</v>
      </c>
    </row>
    <row r="10661" spans="1:10" ht="15.75" hidden="1" thickBot="1" x14ac:dyDescent="0.3">
      <c r="A10661" s="180"/>
      <c r="B10661" s="178"/>
      <c r="C10661" s="49"/>
      <c r="D10661" s="49"/>
      <c r="E10661" s="50"/>
      <c r="F10661" s="83" t="s">
        <v>13</v>
      </c>
      <c r="G10661" s="83" t="str">
        <f>IF(ISNUMBER(F10661),E10661*F10661,"")</f>
        <v/>
      </c>
      <c r="H10661" s="84"/>
      <c r="I10661" s="72"/>
      <c r="J10661" s="37">
        <v>0</v>
      </c>
    </row>
    <row r="10662" spans="1:10" ht="15.75" hidden="1" thickBot="1" x14ac:dyDescent="0.3">
      <c r="A10662" s="173" t="s">
        <v>2621</v>
      </c>
      <c r="B10662" s="176" t="s">
        <v>10152</v>
      </c>
      <c r="C10662" s="31"/>
      <c r="D10662" s="32" t="s">
        <v>18</v>
      </c>
      <c r="E10662" s="33"/>
      <c r="F10662" s="60" t="s">
        <v>13</v>
      </c>
      <c r="G10662" s="34" t="str">
        <f>IF(ISNUMBER(F10662),E10662*F10662,"")</f>
        <v/>
      </c>
      <c r="H10662" s="35"/>
      <c r="I10662" s="36"/>
      <c r="J10662" s="37">
        <v>0</v>
      </c>
    </row>
    <row r="10663" spans="1:10" hidden="1" x14ac:dyDescent="0.25">
      <c r="A10663" s="179"/>
      <c r="B10663" s="177"/>
      <c r="C10663" s="39"/>
      <c r="D10663" s="39"/>
      <c r="E10663" s="40"/>
      <c r="F10663" s="70" t="s">
        <v>13</v>
      </c>
      <c r="G10663" s="70" t="str">
        <f>IF(ISNUMBER(F10663),E10663*F10663,"")</f>
        <v/>
      </c>
      <c r="H10663" s="71"/>
      <c r="I10663" s="72"/>
      <c r="J10663" s="37">
        <v>0</v>
      </c>
    </row>
    <row r="10664" spans="1:10" ht="38.25" hidden="1" x14ac:dyDescent="0.25">
      <c r="A10664" s="179"/>
      <c r="B10664" s="177"/>
      <c r="C10664" s="43" t="s">
        <v>11857</v>
      </c>
      <c r="D10664" s="43" t="s">
        <v>83</v>
      </c>
      <c r="E10664" s="44">
        <v>1</v>
      </c>
      <c r="F10664" s="70">
        <v>22.733499999999999</v>
      </c>
      <c r="G10664" s="70">
        <f>IF(ISNUMBER(F10664),E10664*F10664,"")</f>
        <v>22.733499999999999</v>
      </c>
      <c r="H10664" s="46">
        <f>SUM(G10664:G10664)</f>
        <v>22.733499999999999</v>
      </c>
      <c r="I10664" s="47"/>
      <c r="J10664" s="37">
        <v>0</v>
      </c>
    </row>
    <row r="10665" spans="1:10" ht="15.75" hidden="1" thickBot="1" x14ac:dyDescent="0.3">
      <c r="A10665" s="180"/>
      <c r="B10665" s="178"/>
      <c r="C10665" s="49"/>
      <c r="D10665" s="49"/>
      <c r="E10665" s="50"/>
      <c r="F10665" s="83" t="s">
        <v>13</v>
      </c>
      <c r="G10665" s="83" t="str">
        <f>IF(ISNUMBER(F10665),E10665*F10665,"")</f>
        <v/>
      </c>
      <c r="H10665" s="84"/>
      <c r="I10665" s="72"/>
      <c r="J10665" s="37">
        <v>0</v>
      </c>
    </row>
    <row r="10666" spans="1:10" ht="15.75" hidden="1" thickBot="1" x14ac:dyDescent="0.3">
      <c r="A10666" s="173" t="s">
        <v>2622</v>
      </c>
      <c r="B10666" s="176" t="s">
        <v>10155</v>
      </c>
      <c r="C10666" s="31"/>
      <c r="D10666" s="32" t="s">
        <v>18</v>
      </c>
      <c r="E10666" s="33"/>
      <c r="F10666" s="60" t="s">
        <v>13</v>
      </c>
      <c r="G10666" s="34" t="str">
        <f>IF(ISNUMBER(F10666),E10666*F10666,"")</f>
        <v/>
      </c>
      <c r="H10666" s="35"/>
      <c r="I10666" s="36"/>
      <c r="J10666" s="37">
        <v>0</v>
      </c>
    </row>
    <row r="10667" spans="1:10" hidden="1" x14ac:dyDescent="0.25">
      <c r="A10667" s="179"/>
      <c r="B10667" s="177"/>
      <c r="C10667" s="39"/>
      <c r="D10667" s="39"/>
      <c r="E10667" s="40"/>
      <c r="F10667" s="70" t="s">
        <v>13</v>
      </c>
      <c r="G10667" s="70" t="str">
        <f>IF(ISNUMBER(F10667),E10667*F10667,"")</f>
        <v/>
      </c>
      <c r="H10667" s="71"/>
      <c r="I10667" s="72"/>
      <c r="J10667" s="37">
        <v>0</v>
      </c>
    </row>
    <row r="10668" spans="1:10" ht="25.5" hidden="1" x14ac:dyDescent="0.25">
      <c r="A10668" s="179"/>
      <c r="B10668" s="177"/>
      <c r="C10668" s="43" t="s">
        <v>11858</v>
      </c>
      <c r="D10668" s="43" t="s">
        <v>83</v>
      </c>
      <c r="E10668" s="44">
        <v>1</v>
      </c>
      <c r="F10668" s="70">
        <v>15.931499999999998</v>
      </c>
      <c r="G10668" s="70">
        <f>IF(ISNUMBER(F10668),E10668*F10668,"")</f>
        <v>15.931499999999998</v>
      </c>
      <c r="H10668" s="46">
        <f>SUM(G10668:G10668)</f>
        <v>15.931499999999998</v>
      </c>
      <c r="I10668" s="47"/>
      <c r="J10668" s="37">
        <v>0</v>
      </c>
    </row>
    <row r="10669" spans="1:10" ht="15.75" hidden="1" thickBot="1" x14ac:dyDescent="0.3">
      <c r="A10669" s="180"/>
      <c r="B10669" s="178"/>
      <c r="C10669" s="49"/>
      <c r="D10669" s="49"/>
      <c r="E10669" s="50"/>
      <c r="F10669" s="83" t="s">
        <v>13</v>
      </c>
      <c r="G10669" s="83" t="str">
        <f>IF(ISNUMBER(F10669),E10669*F10669,"")</f>
        <v/>
      </c>
      <c r="H10669" s="84"/>
      <c r="I10669" s="72"/>
      <c r="J10669" s="37">
        <v>0</v>
      </c>
    </row>
    <row r="10670" spans="1:10" ht="15.75" hidden="1" thickBot="1" x14ac:dyDescent="0.3">
      <c r="A10670" s="173" t="s">
        <v>2623</v>
      </c>
      <c r="B10670" s="176" t="s">
        <v>10156</v>
      </c>
      <c r="C10670" s="31"/>
      <c r="D10670" s="32" t="s">
        <v>18</v>
      </c>
      <c r="E10670" s="33"/>
      <c r="F10670" s="60" t="s">
        <v>13</v>
      </c>
      <c r="G10670" s="34" t="str">
        <f>IF(ISNUMBER(F10670),E10670*F10670,"")</f>
        <v/>
      </c>
      <c r="H10670" s="35"/>
      <c r="I10670" s="36"/>
      <c r="J10670" s="37">
        <v>0</v>
      </c>
    </row>
    <row r="10671" spans="1:10" hidden="1" x14ac:dyDescent="0.25">
      <c r="A10671" s="179"/>
      <c r="B10671" s="177"/>
      <c r="C10671" s="39"/>
      <c r="D10671" s="39"/>
      <c r="E10671" s="40"/>
      <c r="F10671" s="70" t="s">
        <v>13</v>
      </c>
      <c r="G10671" s="70" t="str">
        <f>IF(ISNUMBER(F10671),E10671*F10671,"")</f>
        <v/>
      </c>
      <c r="H10671" s="71"/>
      <c r="I10671" s="72"/>
      <c r="J10671" s="37">
        <v>0</v>
      </c>
    </row>
    <row r="10672" spans="1:10" ht="25.5" hidden="1" x14ac:dyDescent="0.25">
      <c r="A10672" s="179"/>
      <c r="B10672" s="177"/>
      <c r="C10672" s="43" t="s">
        <v>11859</v>
      </c>
      <c r="D10672" s="43" t="s">
        <v>83</v>
      </c>
      <c r="E10672" s="44">
        <v>1</v>
      </c>
      <c r="F10672" s="70">
        <v>31.976999999999997</v>
      </c>
      <c r="G10672" s="70">
        <f>IF(ISNUMBER(F10672),E10672*F10672,"")</f>
        <v>31.976999999999997</v>
      </c>
      <c r="H10672" s="46">
        <f>SUM(G10672:G10672)</f>
        <v>31.976999999999997</v>
      </c>
      <c r="I10672" s="47"/>
      <c r="J10672" s="37">
        <v>0</v>
      </c>
    </row>
    <row r="10673" spans="1:10" ht="15.75" hidden="1" thickBot="1" x14ac:dyDescent="0.3">
      <c r="A10673" s="179"/>
      <c r="B10673" s="177"/>
      <c r="C10673" s="49"/>
      <c r="D10673" s="49"/>
      <c r="E10673" s="50"/>
      <c r="F10673" s="83" t="s">
        <v>13</v>
      </c>
      <c r="G10673" s="83" t="str">
        <f>IF(ISNUMBER(F10673),E10673*F10673,"")</f>
        <v/>
      </c>
      <c r="H10673" s="84"/>
      <c r="I10673" s="72"/>
      <c r="J10673" s="37">
        <v>0</v>
      </c>
    </row>
    <row r="10674" spans="1:10" ht="15.75" hidden="1" thickBot="1" x14ac:dyDescent="0.3">
      <c r="A10674" s="173" t="s">
        <v>2624</v>
      </c>
      <c r="B10674" s="176" t="s">
        <v>2625</v>
      </c>
      <c r="C10674" s="31"/>
      <c r="D10674" s="32" t="s">
        <v>18</v>
      </c>
      <c r="E10674" s="33"/>
      <c r="F10674" s="60" t="s">
        <v>13</v>
      </c>
      <c r="G10674" s="34" t="str">
        <f>IF(ISNUMBER(F10674),E10674*F10674,"")</f>
        <v/>
      </c>
      <c r="H10674" s="35"/>
      <c r="I10674" s="36"/>
      <c r="J10674" s="37">
        <v>0</v>
      </c>
    </row>
    <row r="10675" spans="1:10" hidden="1" x14ac:dyDescent="0.25">
      <c r="A10675" s="179"/>
      <c r="B10675" s="177"/>
      <c r="C10675" s="39"/>
      <c r="D10675" s="39"/>
      <c r="E10675" s="40"/>
      <c r="F10675" s="70" t="s">
        <v>13</v>
      </c>
      <c r="G10675" s="70" t="str">
        <f>IF(ISNUMBER(F10675),E10675*F10675,"")</f>
        <v/>
      </c>
      <c r="H10675" s="71"/>
      <c r="I10675" s="72"/>
      <c r="J10675" s="37">
        <v>0</v>
      </c>
    </row>
    <row r="10676" spans="1:10" ht="25.5" hidden="1" x14ac:dyDescent="0.25">
      <c r="A10676" s="179"/>
      <c r="B10676" s="177"/>
      <c r="C10676" s="43" t="s">
        <v>2625</v>
      </c>
      <c r="D10676" s="43" t="s">
        <v>83</v>
      </c>
      <c r="E10676" s="44">
        <v>1</v>
      </c>
      <c r="F10676" s="70" t="s">
        <v>13</v>
      </c>
      <c r="G10676" s="70" t="str">
        <f>IF(ISNUMBER(F10676),E10676*F10676,"")</f>
        <v/>
      </c>
      <c r="H10676" s="46">
        <f>SUM(G10676:G10676)</f>
        <v>0</v>
      </c>
      <c r="I10676" s="47"/>
      <c r="J10676" s="37">
        <v>0</v>
      </c>
    </row>
    <row r="10677" spans="1:10" ht="15.75" hidden="1" thickBot="1" x14ac:dyDescent="0.3">
      <c r="A10677" s="180"/>
      <c r="B10677" s="178"/>
      <c r="C10677" s="49"/>
      <c r="D10677" s="49"/>
      <c r="E10677" s="50"/>
      <c r="F10677" s="83" t="s">
        <v>13</v>
      </c>
      <c r="G10677" s="83" t="str">
        <f>IF(ISNUMBER(F10677),E10677*F10677,"")</f>
        <v/>
      </c>
      <c r="H10677" s="84"/>
      <c r="I10677" s="72"/>
      <c r="J10677" s="37">
        <v>0</v>
      </c>
    </row>
    <row r="10678" spans="1:10" ht="15.75" hidden="1" thickBot="1" x14ac:dyDescent="0.3">
      <c r="A10678" s="173" t="s">
        <v>2626</v>
      </c>
      <c r="B10678" s="176" t="s">
        <v>2627</v>
      </c>
      <c r="C10678" s="31"/>
      <c r="D10678" s="32" t="s">
        <v>18</v>
      </c>
      <c r="E10678" s="33"/>
      <c r="F10678" s="60" t="s">
        <v>13</v>
      </c>
      <c r="G10678" s="34" t="str">
        <f>IF(ISNUMBER(F10678),E10678*F10678,"")</f>
        <v/>
      </c>
      <c r="H10678" s="35"/>
      <c r="I10678" s="36"/>
      <c r="J10678" s="37">
        <v>0</v>
      </c>
    </row>
    <row r="10679" spans="1:10" hidden="1" x14ac:dyDescent="0.25">
      <c r="A10679" s="179"/>
      <c r="B10679" s="177"/>
      <c r="C10679" s="39"/>
      <c r="D10679" s="39"/>
      <c r="E10679" s="40"/>
      <c r="F10679" s="70" t="s">
        <v>13</v>
      </c>
      <c r="G10679" s="70" t="str">
        <f>IF(ISNUMBER(F10679),E10679*F10679,"")</f>
        <v/>
      </c>
      <c r="H10679" s="71"/>
      <c r="I10679" s="72"/>
      <c r="J10679" s="37">
        <v>0</v>
      </c>
    </row>
    <row r="10680" spans="1:10" ht="25.5" hidden="1" x14ac:dyDescent="0.25">
      <c r="A10680" s="179"/>
      <c r="B10680" s="177"/>
      <c r="C10680" s="43" t="s">
        <v>2627</v>
      </c>
      <c r="D10680" s="43" t="s">
        <v>83</v>
      </c>
      <c r="E10680" s="44">
        <v>1</v>
      </c>
      <c r="F10680" s="70" t="s">
        <v>13</v>
      </c>
      <c r="G10680" s="70" t="str">
        <f>IF(ISNUMBER(F10680),E10680*F10680,"")</f>
        <v/>
      </c>
      <c r="H10680" s="46">
        <f>SUM(G10680:G10680)</f>
        <v>0</v>
      </c>
      <c r="I10680" s="47"/>
      <c r="J10680" s="37">
        <v>0</v>
      </c>
    </row>
    <row r="10681" spans="1:10" ht="15.75" hidden="1" thickBot="1" x14ac:dyDescent="0.3">
      <c r="A10681" s="180"/>
      <c r="B10681" s="178"/>
      <c r="C10681" s="49"/>
      <c r="D10681" s="49"/>
      <c r="E10681" s="50"/>
      <c r="F10681" s="83" t="s">
        <v>13</v>
      </c>
      <c r="G10681" s="83" t="str">
        <f>IF(ISNUMBER(F10681),E10681*F10681,"")</f>
        <v/>
      </c>
      <c r="H10681" s="84"/>
      <c r="I10681" s="72"/>
      <c r="J10681" s="37">
        <v>0</v>
      </c>
    </row>
    <row r="10682" spans="1:10" ht="15.75" hidden="1" thickBot="1" x14ac:dyDescent="0.3">
      <c r="A10682" s="173" t="s">
        <v>2628</v>
      </c>
      <c r="B10682" s="176" t="s">
        <v>10169</v>
      </c>
      <c r="C10682" s="31"/>
      <c r="D10682" s="32" t="s">
        <v>18</v>
      </c>
      <c r="E10682" s="33"/>
      <c r="F10682" s="60" t="s">
        <v>13</v>
      </c>
      <c r="G10682" s="34" t="str">
        <f>IF(ISNUMBER(F10682),E10682*F10682,"")</f>
        <v/>
      </c>
      <c r="H10682" s="35"/>
      <c r="I10682" s="36"/>
      <c r="J10682" s="37">
        <v>0</v>
      </c>
    </row>
    <row r="10683" spans="1:10" hidden="1" x14ac:dyDescent="0.25">
      <c r="A10683" s="179"/>
      <c r="B10683" s="177"/>
      <c r="C10683" s="39"/>
      <c r="D10683" s="39"/>
      <c r="E10683" s="40"/>
      <c r="F10683" s="70" t="s">
        <v>13</v>
      </c>
      <c r="G10683" s="70" t="str">
        <f>IF(ISNUMBER(F10683),E10683*F10683,"")</f>
        <v/>
      </c>
      <c r="H10683" s="71"/>
      <c r="I10683" s="72"/>
      <c r="J10683" s="37">
        <v>0</v>
      </c>
    </row>
    <row r="10684" spans="1:10" ht="38.25" hidden="1" x14ac:dyDescent="0.25">
      <c r="A10684" s="179"/>
      <c r="B10684" s="177"/>
      <c r="C10684" s="43" t="s">
        <v>11860</v>
      </c>
      <c r="D10684" s="43" t="s">
        <v>83</v>
      </c>
      <c r="E10684" s="44">
        <v>1</v>
      </c>
      <c r="F10684" s="70">
        <v>20.614999999999998</v>
      </c>
      <c r="G10684" s="70">
        <f>IF(ISNUMBER(F10684),E10684*F10684,"")</f>
        <v>20.614999999999998</v>
      </c>
      <c r="H10684" s="46">
        <f>SUM(G10684:G10684)</f>
        <v>20.614999999999998</v>
      </c>
      <c r="I10684" s="47"/>
      <c r="J10684" s="37">
        <v>0</v>
      </c>
    </row>
    <row r="10685" spans="1:10" ht="15.75" hidden="1" thickBot="1" x14ac:dyDescent="0.3">
      <c r="A10685" s="180"/>
      <c r="B10685" s="178"/>
      <c r="C10685" s="49"/>
      <c r="D10685" s="49"/>
      <c r="E10685" s="50"/>
      <c r="F10685" s="83" t="s">
        <v>13</v>
      </c>
      <c r="G10685" s="83" t="str">
        <f>IF(ISNUMBER(F10685),E10685*F10685,"")</f>
        <v/>
      </c>
      <c r="H10685" s="84"/>
      <c r="I10685" s="72"/>
      <c r="J10685" s="37">
        <v>0</v>
      </c>
    </row>
    <row r="10686" spans="1:10" ht="15.75" hidden="1" thickBot="1" x14ac:dyDescent="0.3">
      <c r="A10686" s="173" t="s">
        <v>2629</v>
      </c>
      <c r="B10686" s="176" t="s">
        <v>10178</v>
      </c>
      <c r="C10686" s="31"/>
      <c r="D10686" s="32" t="s">
        <v>106</v>
      </c>
      <c r="E10686" s="33"/>
      <c r="F10686" s="60" t="s">
        <v>13</v>
      </c>
      <c r="G10686" s="34" t="str">
        <f>IF(ISNUMBER(F10686),E10686*F10686,"")</f>
        <v/>
      </c>
      <c r="H10686" s="35"/>
      <c r="I10686" s="36"/>
      <c r="J10686" s="37">
        <v>0</v>
      </c>
    </row>
    <row r="10687" spans="1:10" hidden="1" x14ac:dyDescent="0.25">
      <c r="A10687" s="179"/>
      <c r="B10687" s="177"/>
      <c r="C10687" s="39"/>
      <c r="D10687" s="39"/>
      <c r="E10687" s="40"/>
      <c r="F10687" s="70" t="s">
        <v>13</v>
      </c>
      <c r="G10687" s="70" t="str">
        <f>IF(ISNUMBER(F10687),E10687*F10687,"")</f>
        <v/>
      </c>
      <c r="H10687" s="71"/>
      <c r="I10687" s="72"/>
      <c r="J10687" s="37">
        <v>0</v>
      </c>
    </row>
    <row r="10688" spans="1:10" hidden="1" x14ac:dyDescent="0.25">
      <c r="A10688" s="179"/>
      <c r="B10688" s="177"/>
      <c r="C10688" s="43" t="s">
        <v>11861</v>
      </c>
      <c r="D10688" s="43" t="s">
        <v>1302</v>
      </c>
      <c r="E10688" s="44">
        <v>1</v>
      </c>
      <c r="F10688" s="70">
        <v>9.1864999999999988</v>
      </c>
      <c r="G10688" s="70">
        <f>IF(ISNUMBER(F10688),E10688*F10688,"")</f>
        <v>9.1864999999999988</v>
      </c>
      <c r="H10688" s="46">
        <f>SUM(G10688:G10688)</f>
        <v>9.1864999999999988</v>
      </c>
      <c r="I10688" s="47"/>
      <c r="J10688" s="37">
        <v>0</v>
      </c>
    </row>
    <row r="10689" spans="1:10" ht="15.75" hidden="1" thickBot="1" x14ac:dyDescent="0.3">
      <c r="A10689" s="180"/>
      <c r="B10689" s="178"/>
      <c r="C10689" s="49"/>
      <c r="D10689" s="49"/>
      <c r="E10689" s="50"/>
      <c r="F10689" s="83" t="s">
        <v>13</v>
      </c>
      <c r="G10689" s="83" t="str">
        <f>IF(ISNUMBER(F10689),E10689*F10689,"")</f>
        <v/>
      </c>
      <c r="H10689" s="84"/>
      <c r="I10689" s="72"/>
      <c r="J10689" s="37">
        <v>0</v>
      </c>
    </row>
    <row r="10690" spans="1:10" ht="15.75" hidden="1" thickBot="1" x14ac:dyDescent="0.3">
      <c r="A10690" s="173" t="s">
        <v>2630</v>
      </c>
      <c r="B10690" s="176" t="s">
        <v>10189</v>
      </c>
      <c r="C10690" s="31"/>
      <c r="D10690" s="32" t="s">
        <v>18</v>
      </c>
      <c r="E10690" s="33"/>
      <c r="F10690" s="60" t="s">
        <v>13</v>
      </c>
      <c r="G10690" s="34" t="str">
        <f>IF(ISNUMBER(F10690),E10690*F10690,"")</f>
        <v/>
      </c>
      <c r="H10690" s="35"/>
      <c r="I10690" s="36"/>
      <c r="J10690" s="37">
        <v>0</v>
      </c>
    </row>
    <row r="10691" spans="1:10" hidden="1" x14ac:dyDescent="0.25">
      <c r="A10691" s="179"/>
      <c r="B10691" s="177"/>
      <c r="C10691" s="39"/>
      <c r="D10691" s="39"/>
      <c r="E10691" s="40"/>
      <c r="F10691" s="70" t="s">
        <v>13</v>
      </c>
      <c r="G10691" s="70" t="str">
        <f>IF(ISNUMBER(F10691),E10691*F10691,"")</f>
        <v/>
      </c>
      <c r="H10691" s="71"/>
      <c r="I10691" s="72"/>
      <c r="J10691" s="37">
        <v>0</v>
      </c>
    </row>
    <row r="10692" spans="1:10" hidden="1" x14ac:dyDescent="0.25">
      <c r="A10692" s="179"/>
      <c r="B10692" s="177"/>
      <c r="C10692" s="43" t="s">
        <v>10763</v>
      </c>
      <c r="D10692" s="43" t="s">
        <v>2800</v>
      </c>
      <c r="E10692" s="44">
        <v>8</v>
      </c>
      <c r="F10692" s="70">
        <v>31.435500000000001</v>
      </c>
      <c r="G10692" s="70">
        <f>IF(ISNUMBER(F10692),E10692*F10692,"")</f>
        <v>251.48400000000001</v>
      </c>
      <c r="H10692" s="46">
        <f>SUM(G10692:G10693)</f>
        <v>451.06</v>
      </c>
      <c r="I10692" s="47"/>
      <c r="J10692" s="37">
        <v>0</v>
      </c>
    </row>
    <row r="10693" spans="1:10" hidden="1" x14ac:dyDescent="0.25">
      <c r="A10693" s="179"/>
      <c r="B10693" s="177"/>
      <c r="C10693" s="43" t="s">
        <v>10762</v>
      </c>
      <c r="D10693" s="43" t="s">
        <v>2800</v>
      </c>
      <c r="E10693" s="44">
        <v>8</v>
      </c>
      <c r="F10693" s="38">
        <v>24.946999999999999</v>
      </c>
      <c r="G10693" s="41">
        <f>IF(ISNUMBER(F10693),E10693*F10693,"")</f>
        <v>199.57599999999999</v>
      </c>
      <c r="H10693" s="71"/>
      <c r="I10693" s="72"/>
      <c r="J10693" s="37">
        <v>0</v>
      </c>
    </row>
    <row r="10694" spans="1:10" ht="15.75" hidden="1" thickBot="1" x14ac:dyDescent="0.3">
      <c r="A10694" s="180"/>
      <c r="B10694" s="178"/>
      <c r="C10694" s="49"/>
      <c r="D10694" s="49"/>
      <c r="E10694" s="50"/>
      <c r="F10694" s="83" t="s">
        <v>13</v>
      </c>
      <c r="G10694" s="83" t="str">
        <f>IF(ISNUMBER(F10694),E10694*F10694,"")</f>
        <v/>
      </c>
      <c r="H10694" s="84"/>
      <c r="I10694" s="72"/>
      <c r="J10694" s="37">
        <v>0</v>
      </c>
    </row>
    <row r="10695" spans="1:10" ht="15.75" hidden="1" thickBot="1" x14ac:dyDescent="0.3">
      <c r="A10695" s="173" t="s">
        <v>2631</v>
      </c>
      <c r="B10695" s="176" t="s">
        <v>10190</v>
      </c>
      <c r="C10695" s="31"/>
      <c r="D10695" s="32" t="s">
        <v>18</v>
      </c>
      <c r="E10695" s="33"/>
      <c r="F10695" s="60" t="s">
        <v>13</v>
      </c>
      <c r="G10695" s="34" t="str">
        <f>IF(ISNUMBER(F10695),E10695*F10695,"")</f>
        <v/>
      </c>
      <c r="H10695" s="35"/>
      <c r="I10695" s="36"/>
      <c r="J10695" s="37">
        <v>0</v>
      </c>
    </row>
    <row r="10696" spans="1:10" hidden="1" x14ac:dyDescent="0.25">
      <c r="A10696" s="179"/>
      <c r="B10696" s="177"/>
      <c r="C10696" s="39"/>
      <c r="D10696" s="39"/>
      <c r="E10696" s="40"/>
      <c r="F10696" s="70" t="s">
        <v>13</v>
      </c>
      <c r="G10696" s="70" t="str">
        <f>IF(ISNUMBER(F10696),E10696*F10696,"")</f>
        <v/>
      </c>
      <c r="H10696" s="71"/>
      <c r="I10696" s="72"/>
      <c r="J10696" s="37">
        <v>0</v>
      </c>
    </row>
    <row r="10697" spans="1:10" hidden="1" x14ac:dyDescent="0.25">
      <c r="A10697" s="179"/>
      <c r="B10697" s="177"/>
      <c r="C10697" s="43" t="s">
        <v>2632</v>
      </c>
      <c r="D10697" s="43" t="s">
        <v>83</v>
      </c>
      <c r="E10697" s="44">
        <v>1</v>
      </c>
      <c r="F10697" s="38" t="s">
        <v>13</v>
      </c>
      <c r="G10697" s="70" t="str">
        <f>IF(ISNUMBER(F10697),E10697*F10697,"")</f>
        <v/>
      </c>
      <c r="H10697" s="46">
        <f>SUM(G10697:G10699)</f>
        <v>225.53</v>
      </c>
      <c r="I10697" s="47"/>
      <c r="J10697" s="37">
        <v>0</v>
      </c>
    </row>
    <row r="10698" spans="1:10" hidden="1" x14ac:dyDescent="0.25">
      <c r="A10698" s="179"/>
      <c r="B10698" s="177"/>
      <c r="C10698" s="43" t="s">
        <v>10762</v>
      </c>
      <c r="D10698" s="43" t="s">
        <v>2800</v>
      </c>
      <c r="E10698" s="44">
        <v>4</v>
      </c>
      <c r="F10698" s="38">
        <v>24.946999999999999</v>
      </c>
      <c r="G10698" s="70">
        <f>IF(ISNUMBER(F10698),E10698*F10698,"")</f>
        <v>99.787999999999997</v>
      </c>
      <c r="H10698" s="57"/>
      <c r="I10698" s="47"/>
      <c r="J10698" s="37">
        <v>0</v>
      </c>
    </row>
    <row r="10699" spans="1:10" hidden="1" x14ac:dyDescent="0.25">
      <c r="A10699" s="179"/>
      <c r="B10699" s="177"/>
      <c r="C10699" s="43" t="s">
        <v>10763</v>
      </c>
      <c r="D10699" s="43" t="s">
        <v>2800</v>
      </c>
      <c r="E10699" s="44">
        <v>4</v>
      </c>
      <c r="F10699" s="38">
        <v>31.435500000000001</v>
      </c>
      <c r="G10699" s="70">
        <f>IF(ISNUMBER(F10699),E10699*F10699,"")</f>
        <v>125.742</v>
      </c>
      <c r="H10699" s="57"/>
      <c r="I10699" s="47"/>
      <c r="J10699" s="37">
        <v>0</v>
      </c>
    </row>
    <row r="10700" spans="1:10" ht="15.75" hidden="1" thickBot="1" x14ac:dyDescent="0.3">
      <c r="A10700" s="180"/>
      <c r="B10700" s="178"/>
      <c r="C10700" s="49"/>
      <c r="D10700" s="49"/>
      <c r="E10700" s="50"/>
      <c r="F10700" s="51" t="s">
        <v>13</v>
      </c>
      <c r="G10700" s="83" t="str">
        <f>IF(ISNUMBER(F10700),E10700*F10700,"")</f>
        <v/>
      </c>
      <c r="H10700" s="99"/>
      <c r="I10700" s="47"/>
      <c r="J10700" s="37">
        <v>0</v>
      </c>
    </row>
    <row r="10701" spans="1:10" ht="15.75" hidden="1" thickBot="1" x14ac:dyDescent="0.3">
      <c r="A10701" s="173" t="s">
        <v>2633</v>
      </c>
      <c r="B10701" s="176" t="s">
        <v>10191</v>
      </c>
      <c r="C10701" s="31"/>
      <c r="D10701" s="32" t="s">
        <v>18</v>
      </c>
      <c r="E10701" s="33"/>
      <c r="F10701" s="60" t="s">
        <v>13</v>
      </c>
      <c r="G10701" s="34" t="str">
        <f>IF(ISNUMBER(F10701),E10701*F10701,"")</f>
        <v/>
      </c>
      <c r="H10701" s="35"/>
      <c r="I10701" s="36"/>
      <c r="J10701" s="37">
        <v>0</v>
      </c>
    </row>
    <row r="10702" spans="1:10" hidden="1" x14ac:dyDescent="0.25">
      <c r="A10702" s="179"/>
      <c r="B10702" s="177"/>
      <c r="C10702" s="39"/>
      <c r="D10702" s="39"/>
      <c r="E10702" s="40"/>
      <c r="F10702" s="70" t="s">
        <v>13</v>
      </c>
      <c r="G10702" s="70" t="str">
        <f>IF(ISNUMBER(F10702),E10702*F10702,"")</f>
        <v/>
      </c>
      <c r="H10702" s="71"/>
      <c r="I10702" s="72"/>
      <c r="J10702" s="37">
        <v>0</v>
      </c>
    </row>
    <row r="10703" spans="1:10" hidden="1" x14ac:dyDescent="0.25">
      <c r="A10703" s="179"/>
      <c r="B10703" s="177"/>
      <c r="C10703" s="43" t="s">
        <v>2634</v>
      </c>
      <c r="D10703" s="43" t="s">
        <v>83</v>
      </c>
      <c r="E10703" s="44">
        <v>1</v>
      </c>
      <c r="F10703" s="38" t="s">
        <v>13</v>
      </c>
      <c r="G10703" s="70" t="str">
        <f>IF(ISNUMBER(F10703),E10703*F10703,"")</f>
        <v/>
      </c>
      <c r="H10703" s="46">
        <f>SUM(G10703:G10705)</f>
        <v>225.53</v>
      </c>
      <c r="I10703" s="47"/>
      <c r="J10703" s="37">
        <v>0</v>
      </c>
    </row>
    <row r="10704" spans="1:10" hidden="1" x14ac:dyDescent="0.25">
      <c r="A10704" s="179"/>
      <c r="B10704" s="177"/>
      <c r="C10704" s="43" t="s">
        <v>10762</v>
      </c>
      <c r="D10704" s="43" t="s">
        <v>2800</v>
      </c>
      <c r="E10704" s="44">
        <v>4</v>
      </c>
      <c r="F10704" s="38">
        <v>24.946999999999999</v>
      </c>
      <c r="G10704" s="70">
        <f>IF(ISNUMBER(F10704),E10704*F10704,"")</f>
        <v>99.787999999999997</v>
      </c>
      <c r="H10704" s="57"/>
      <c r="I10704" s="47"/>
      <c r="J10704" s="37">
        <v>0</v>
      </c>
    </row>
    <row r="10705" spans="1:10" hidden="1" x14ac:dyDescent="0.25">
      <c r="A10705" s="179"/>
      <c r="B10705" s="177"/>
      <c r="C10705" s="43" t="s">
        <v>10763</v>
      </c>
      <c r="D10705" s="43" t="s">
        <v>2800</v>
      </c>
      <c r="E10705" s="44">
        <v>4</v>
      </c>
      <c r="F10705" s="38">
        <v>31.435500000000001</v>
      </c>
      <c r="G10705" s="70">
        <f>IF(ISNUMBER(F10705),E10705*F10705,"")</f>
        <v>125.742</v>
      </c>
      <c r="H10705" s="57"/>
      <c r="I10705" s="47"/>
      <c r="J10705" s="37">
        <v>0</v>
      </c>
    </row>
    <row r="10706" spans="1:10" ht="15.75" hidden="1" thickBot="1" x14ac:dyDescent="0.3">
      <c r="A10706" s="180"/>
      <c r="B10706" s="178"/>
      <c r="C10706" s="49"/>
      <c r="D10706" s="49"/>
      <c r="E10706" s="50"/>
      <c r="F10706" s="51" t="s">
        <v>13</v>
      </c>
      <c r="G10706" s="83" t="str">
        <f>IF(ISNUMBER(F10706),E10706*F10706,"")</f>
        <v/>
      </c>
      <c r="H10706" s="99"/>
      <c r="I10706" s="47"/>
      <c r="J10706" s="37">
        <v>0</v>
      </c>
    </row>
    <row r="10707" spans="1:10" ht="15.75" hidden="1" thickBot="1" x14ac:dyDescent="0.3">
      <c r="A10707" s="173" t="s">
        <v>2635</v>
      </c>
      <c r="B10707" s="176" t="s">
        <v>10192</v>
      </c>
      <c r="C10707" s="31"/>
      <c r="D10707" s="32" t="s">
        <v>106</v>
      </c>
      <c r="E10707" s="33"/>
      <c r="F10707" s="60" t="s">
        <v>13</v>
      </c>
      <c r="G10707" s="34" t="str">
        <f>IF(ISNUMBER(F10707),E10707*F10707,"")</f>
        <v/>
      </c>
      <c r="H10707" s="35"/>
      <c r="I10707" s="36"/>
      <c r="J10707" s="37">
        <v>0</v>
      </c>
    </row>
    <row r="10708" spans="1:10" hidden="1" x14ac:dyDescent="0.25">
      <c r="A10708" s="179"/>
      <c r="B10708" s="177"/>
      <c r="C10708" s="39"/>
      <c r="D10708" s="39"/>
      <c r="E10708" s="40"/>
      <c r="F10708" s="70" t="s">
        <v>13</v>
      </c>
      <c r="G10708" s="70" t="str">
        <f>IF(ISNUMBER(F10708),E10708*F10708,"")</f>
        <v/>
      </c>
      <c r="H10708" s="71"/>
      <c r="I10708" s="72"/>
      <c r="J10708" s="37">
        <v>0</v>
      </c>
    </row>
    <row r="10709" spans="1:10" hidden="1" x14ac:dyDescent="0.25">
      <c r="A10709" s="179"/>
      <c r="B10709" s="177"/>
      <c r="C10709" s="43" t="s">
        <v>2636</v>
      </c>
      <c r="D10709" s="43" t="s">
        <v>106</v>
      </c>
      <c r="E10709" s="44">
        <v>1.05</v>
      </c>
      <c r="F10709" s="70" t="s">
        <v>13</v>
      </c>
      <c r="G10709" s="70" t="str">
        <f>IF(ISNUMBER(F10709),E10709*F10709,"")</f>
        <v/>
      </c>
      <c r="H10709" s="46">
        <f>SUM(G10709:G10711)</f>
        <v>56.3825</v>
      </c>
      <c r="I10709" s="47"/>
      <c r="J10709" s="37">
        <v>0</v>
      </c>
    </row>
    <row r="10710" spans="1:10" hidden="1" x14ac:dyDescent="0.25">
      <c r="A10710" s="179"/>
      <c r="B10710" s="177"/>
      <c r="C10710" s="43" t="s">
        <v>10763</v>
      </c>
      <c r="D10710" s="43" t="s">
        <v>2800</v>
      </c>
      <c r="E10710" s="44">
        <v>1</v>
      </c>
      <c r="F10710" s="38">
        <v>31.435500000000001</v>
      </c>
      <c r="G10710" s="41">
        <f>IF(ISNUMBER(F10710),E10710*F10710,"")</f>
        <v>31.435500000000001</v>
      </c>
      <c r="H10710" s="71"/>
      <c r="I10710" s="72"/>
      <c r="J10710" s="37">
        <v>0</v>
      </c>
    </row>
    <row r="10711" spans="1:10" hidden="1" x14ac:dyDescent="0.25">
      <c r="A10711" s="179"/>
      <c r="B10711" s="177"/>
      <c r="C10711" s="43" t="s">
        <v>10762</v>
      </c>
      <c r="D10711" s="43" t="s">
        <v>2800</v>
      </c>
      <c r="E10711" s="44">
        <v>1</v>
      </c>
      <c r="F10711" s="38">
        <v>24.946999999999999</v>
      </c>
      <c r="G10711" s="41">
        <f>IF(ISNUMBER(F10711),E10711*F10711,"")</f>
        <v>24.946999999999999</v>
      </c>
      <c r="H10711" s="71"/>
      <c r="I10711" s="72"/>
      <c r="J10711" s="37">
        <v>0</v>
      </c>
    </row>
    <row r="10712" spans="1:10" ht="15.75" hidden="1" thickBot="1" x14ac:dyDescent="0.3">
      <c r="A10712" s="180"/>
      <c r="B10712" s="178"/>
      <c r="C10712" s="49"/>
      <c r="D10712" s="49"/>
      <c r="E10712" s="50"/>
      <c r="F10712" s="83" t="s">
        <v>13</v>
      </c>
      <c r="G10712" s="83" t="str">
        <f>IF(ISNUMBER(F10712),E10712*F10712,"")</f>
        <v/>
      </c>
      <c r="H10712" s="84"/>
      <c r="I10712" s="72"/>
      <c r="J10712" s="37">
        <v>0</v>
      </c>
    </row>
    <row r="10713" spans="1:10" ht="15.75" hidden="1" thickBot="1" x14ac:dyDescent="0.3">
      <c r="A10713" s="173" t="s">
        <v>2637</v>
      </c>
      <c r="B10713" s="176" t="s">
        <v>10193</v>
      </c>
      <c r="C10713" s="31"/>
      <c r="D10713" s="32" t="s">
        <v>18</v>
      </c>
      <c r="E10713" s="33"/>
      <c r="F10713" s="60" t="s">
        <v>13</v>
      </c>
      <c r="G10713" s="34" t="str">
        <f>IF(ISNUMBER(F10713),E10713*F10713,"")</f>
        <v/>
      </c>
      <c r="H10713" s="35"/>
      <c r="I10713" s="36"/>
      <c r="J10713" s="37">
        <v>0</v>
      </c>
    </row>
    <row r="10714" spans="1:10" hidden="1" x14ac:dyDescent="0.25">
      <c r="A10714" s="179"/>
      <c r="B10714" s="177"/>
      <c r="C10714" s="39"/>
      <c r="D10714" s="39"/>
      <c r="E10714" s="40"/>
      <c r="F10714" s="70" t="s">
        <v>13</v>
      </c>
      <c r="G10714" s="70" t="str">
        <f>IF(ISNUMBER(F10714),E10714*F10714,"")</f>
        <v/>
      </c>
      <c r="H10714" s="71"/>
      <c r="I10714" s="72"/>
      <c r="J10714" s="37">
        <v>0</v>
      </c>
    </row>
    <row r="10715" spans="1:10" ht="25.5" hidden="1" x14ac:dyDescent="0.25">
      <c r="A10715" s="179"/>
      <c r="B10715" s="177"/>
      <c r="C10715" s="43" t="s">
        <v>11862</v>
      </c>
      <c r="D10715" s="43" t="s">
        <v>83</v>
      </c>
      <c r="E10715" s="44">
        <v>1</v>
      </c>
      <c r="F10715" s="38">
        <v>180.39549999999997</v>
      </c>
      <c r="G10715" s="70">
        <f>IF(ISNUMBER(F10715),E10715*F10715,"")</f>
        <v>180.39549999999997</v>
      </c>
      <c r="H10715" s="46">
        <f>SUM(G10715:G10718)</f>
        <v>214.85176724999997</v>
      </c>
      <c r="I10715" s="47"/>
      <c r="J10715" s="37">
        <v>0</v>
      </c>
    </row>
    <row r="10716" spans="1:10" ht="38.25" hidden="1" x14ac:dyDescent="0.25">
      <c r="A10716" s="179"/>
      <c r="B10716" s="177"/>
      <c r="C10716" s="43" t="s">
        <v>10931</v>
      </c>
      <c r="D10716" s="43" t="s">
        <v>83</v>
      </c>
      <c r="E10716" s="44">
        <v>2</v>
      </c>
      <c r="F10716" s="41">
        <v>0.38949999999999996</v>
      </c>
      <c r="G10716" s="41">
        <f>IF(ISNUMBER(F10716),E10716*F10716,"")</f>
        <v>0.77899999999999991</v>
      </c>
      <c r="H10716" s="42"/>
      <c r="I10716" s="38"/>
      <c r="J10716" s="37">
        <v>0</v>
      </c>
    </row>
    <row r="10717" spans="1:10" hidden="1" x14ac:dyDescent="0.25">
      <c r="A10717" s="179"/>
      <c r="B10717" s="177"/>
      <c r="C10717" s="43" t="s">
        <v>10762</v>
      </c>
      <c r="D10717" s="43" t="s">
        <v>2800</v>
      </c>
      <c r="E10717" s="44">
        <v>0.59730000000000005</v>
      </c>
      <c r="F10717" s="38">
        <v>24.946999999999999</v>
      </c>
      <c r="G10717" s="70">
        <f>IF(ISNUMBER(F10717),E10717*F10717,"")</f>
        <v>14.900843100000001</v>
      </c>
      <c r="H10717" s="57"/>
      <c r="I10717" s="47"/>
      <c r="J10717" s="37">
        <v>0</v>
      </c>
    </row>
    <row r="10718" spans="1:10" hidden="1" x14ac:dyDescent="0.25">
      <c r="A10718" s="179"/>
      <c r="B10718" s="177"/>
      <c r="C10718" s="43" t="s">
        <v>10763</v>
      </c>
      <c r="D10718" s="43" t="s">
        <v>2800</v>
      </c>
      <c r="E10718" s="44">
        <v>0.59730000000000005</v>
      </c>
      <c r="F10718" s="38">
        <v>31.435500000000001</v>
      </c>
      <c r="G10718" s="70">
        <f>IF(ISNUMBER(F10718),E10718*F10718,"")</f>
        <v>18.776424150000004</v>
      </c>
      <c r="H10718" s="57"/>
      <c r="I10718" s="47"/>
      <c r="J10718" s="37">
        <v>0</v>
      </c>
    </row>
    <row r="10719" spans="1:10" ht="15.75" hidden="1" thickBot="1" x14ac:dyDescent="0.3">
      <c r="A10719" s="180"/>
      <c r="B10719" s="178"/>
      <c r="C10719" s="49"/>
      <c r="D10719" s="63"/>
      <c r="E10719" s="50"/>
      <c r="F10719" s="83" t="s">
        <v>13</v>
      </c>
      <c r="G10719" s="83" t="str">
        <f>IF(ISNUMBER(F10719),E10719*F10719,"")</f>
        <v/>
      </c>
      <c r="H10719" s="84"/>
      <c r="I10719" s="72"/>
      <c r="J10719" s="37">
        <v>0</v>
      </c>
    </row>
    <row r="10720" spans="1:10" ht="15.75" hidden="1" thickBot="1" x14ac:dyDescent="0.3">
      <c r="A10720" s="173" t="s">
        <v>2638</v>
      </c>
      <c r="B10720" s="176" t="s">
        <v>10194</v>
      </c>
      <c r="C10720" s="31"/>
      <c r="D10720" s="32" t="s">
        <v>106</v>
      </c>
      <c r="E10720" s="33"/>
      <c r="F10720" s="60" t="s">
        <v>13</v>
      </c>
      <c r="G10720" s="34" t="str">
        <f>IF(ISNUMBER(F10720),E10720*F10720,"")</f>
        <v/>
      </c>
      <c r="H10720" s="35"/>
      <c r="I10720" s="36"/>
      <c r="J10720" s="37">
        <v>0</v>
      </c>
    </row>
    <row r="10721" spans="1:10" hidden="1" x14ac:dyDescent="0.25">
      <c r="A10721" s="179"/>
      <c r="B10721" s="177"/>
      <c r="C10721" s="39"/>
      <c r="D10721" s="39"/>
      <c r="E10721" s="40"/>
      <c r="F10721" s="70" t="s">
        <v>13</v>
      </c>
      <c r="G10721" s="70" t="str">
        <f>IF(ISNUMBER(F10721),E10721*F10721,"")</f>
        <v/>
      </c>
      <c r="H10721" s="71"/>
      <c r="I10721" s="72"/>
      <c r="J10721" s="37">
        <v>0</v>
      </c>
    </row>
    <row r="10722" spans="1:10" hidden="1" x14ac:dyDescent="0.25">
      <c r="A10722" s="179"/>
      <c r="B10722" s="177"/>
      <c r="C10722" s="43" t="s">
        <v>2639</v>
      </c>
      <c r="D10722" s="43" t="s">
        <v>106</v>
      </c>
      <c r="E10722" s="44">
        <v>1.05</v>
      </c>
      <c r="F10722" s="70" t="s">
        <v>13</v>
      </c>
      <c r="G10722" s="70" t="str">
        <f>IF(ISNUMBER(F10722),E10722*F10722,"")</f>
        <v/>
      </c>
      <c r="H10722" s="46">
        <f>SUM(G10722:G10724)</f>
        <v>56.3825</v>
      </c>
      <c r="I10722" s="47"/>
      <c r="J10722" s="37">
        <v>0</v>
      </c>
    </row>
    <row r="10723" spans="1:10" hidden="1" x14ac:dyDescent="0.25">
      <c r="A10723" s="179"/>
      <c r="B10723" s="177"/>
      <c r="C10723" s="43" t="s">
        <v>10763</v>
      </c>
      <c r="D10723" s="43" t="s">
        <v>2800</v>
      </c>
      <c r="E10723" s="44">
        <v>1</v>
      </c>
      <c r="F10723" s="38">
        <v>31.435500000000001</v>
      </c>
      <c r="G10723" s="41">
        <f>IF(ISNUMBER(F10723),E10723*F10723,"")</f>
        <v>31.435500000000001</v>
      </c>
      <c r="H10723" s="71"/>
      <c r="I10723" s="72"/>
      <c r="J10723" s="37">
        <v>0</v>
      </c>
    </row>
    <row r="10724" spans="1:10" hidden="1" x14ac:dyDescent="0.25">
      <c r="A10724" s="179"/>
      <c r="B10724" s="177"/>
      <c r="C10724" s="43" t="s">
        <v>10762</v>
      </c>
      <c r="D10724" s="43" t="s">
        <v>2800</v>
      </c>
      <c r="E10724" s="44">
        <v>1</v>
      </c>
      <c r="F10724" s="38">
        <v>24.946999999999999</v>
      </c>
      <c r="G10724" s="41">
        <f>IF(ISNUMBER(F10724),E10724*F10724,"")</f>
        <v>24.946999999999999</v>
      </c>
      <c r="H10724" s="71"/>
      <c r="I10724" s="72"/>
      <c r="J10724" s="37">
        <v>0</v>
      </c>
    </row>
    <row r="10725" spans="1:10" ht="15.75" hidden="1" thickBot="1" x14ac:dyDescent="0.3">
      <c r="A10725" s="180"/>
      <c r="B10725" s="178"/>
      <c r="C10725" s="49"/>
      <c r="D10725" s="49"/>
      <c r="E10725" s="50"/>
      <c r="F10725" s="83" t="s">
        <v>13</v>
      </c>
      <c r="G10725" s="83" t="str">
        <f>IF(ISNUMBER(F10725),E10725*F10725,"")</f>
        <v/>
      </c>
      <c r="H10725" s="84"/>
      <c r="I10725" s="72"/>
      <c r="J10725" s="37">
        <v>0</v>
      </c>
    </row>
    <row r="10726" spans="1:10" ht="15.75" hidden="1" thickBot="1" x14ac:dyDescent="0.3">
      <c r="A10726" s="173" t="s">
        <v>2640</v>
      </c>
      <c r="B10726" s="176" t="s">
        <v>10195</v>
      </c>
      <c r="C10726" s="31"/>
      <c r="D10726" s="32" t="s">
        <v>18</v>
      </c>
      <c r="E10726" s="33"/>
      <c r="F10726" s="60" t="s">
        <v>13</v>
      </c>
      <c r="G10726" s="34" t="str">
        <f>IF(ISNUMBER(F10726),E10726*F10726,"")</f>
        <v/>
      </c>
      <c r="H10726" s="35"/>
      <c r="I10726" s="36"/>
      <c r="J10726" s="37">
        <v>0</v>
      </c>
    </row>
    <row r="10727" spans="1:10" hidden="1" x14ac:dyDescent="0.25">
      <c r="A10727" s="179"/>
      <c r="B10727" s="177"/>
      <c r="C10727" s="39"/>
      <c r="D10727" s="39"/>
      <c r="E10727" s="40"/>
      <c r="F10727" s="70" t="s">
        <v>13</v>
      </c>
      <c r="G10727" s="70" t="str">
        <f>IF(ISNUMBER(F10727),E10727*F10727,"")</f>
        <v/>
      </c>
      <c r="H10727" s="71"/>
      <c r="I10727" s="72"/>
      <c r="J10727" s="37">
        <v>0</v>
      </c>
    </row>
    <row r="10728" spans="1:10" hidden="1" x14ac:dyDescent="0.25">
      <c r="A10728" s="179"/>
      <c r="B10728" s="177"/>
      <c r="C10728" s="43" t="s">
        <v>2641</v>
      </c>
      <c r="D10728" s="43" t="s">
        <v>83</v>
      </c>
      <c r="E10728" s="44">
        <v>1</v>
      </c>
      <c r="F10728" s="38" t="s">
        <v>13</v>
      </c>
      <c r="G10728" s="70" t="str">
        <f>IF(ISNUMBER(F10728),E10728*F10728,"")</f>
        <v/>
      </c>
      <c r="H10728" s="46">
        <f>SUM(G10728:G10731)</f>
        <v>34.456267250000003</v>
      </c>
      <c r="I10728" s="47"/>
      <c r="J10728" s="37">
        <v>0</v>
      </c>
    </row>
    <row r="10729" spans="1:10" ht="38.25" hidden="1" x14ac:dyDescent="0.25">
      <c r="A10729" s="179"/>
      <c r="B10729" s="177"/>
      <c r="C10729" s="43" t="s">
        <v>10931</v>
      </c>
      <c r="D10729" s="43" t="s">
        <v>83</v>
      </c>
      <c r="E10729" s="44">
        <v>2</v>
      </c>
      <c r="F10729" s="41">
        <v>0.38949999999999996</v>
      </c>
      <c r="G10729" s="41">
        <f>IF(ISNUMBER(F10729),E10729*F10729,"")</f>
        <v>0.77899999999999991</v>
      </c>
      <c r="H10729" s="42"/>
      <c r="I10729" s="38"/>
      <c r="J10729" s="37">
        <v>0</v>
      </c>
    </row>
    <row r="10730" spans="1:10" hidden="1" x14ac:dyDescent="0.25">
      <c r="A10730" s="179"/>
      <c r="B10730" s="177"/>
      <c r="C10730" s="43" t="s">
        <v>10762</v>
      </c>
      <c r="D10730" s="43" t="s">
        <v>2800</v>
      </c>
      <c r="E10730" s="44">
        <v>0.59730000000000005</v>
      </c>
      <c r="F10730" s="38">
        <v>24.946999999999999</v>
      </c>
      <c r="G10730" s="70">
        <f>IF(ISNUMBER(F10730),E10730*F10730,"")</f>
        <v>14.900843100000001</v>
      </c>
      <c r="H10730" s="57"/>
      <c r="I10730" s="47"/>
      <c r="J10730" s="37">
        <v>0</v>
      </c>
    </row>
    <row r="10731" spans="1:10" hidden="1" x14ac:dyDescent="0.25">
      <c r="A10731" s="179"/>
      <c r="B10731" s="177"/>
      <c r="C10731" s="43" t="s">
        <v>10763</v>
      </c>
      <c r="D10731" s="43" t="s">
        <v>2800</v>
      </c>
      <c r="E10731" s="44">
        <v>0.59730000000000005</v>
      </c>
      <c r="F10731" s="38">
        <v>31.435500000000001</v>
      </c>
      <c r="G10731" s="70">
        <f>IF(ISNUMBER(F10731),E10731*F10731,"")</f>
        <v>18.776424150000004</v>
      </c>
      <c r="H10731" s="57"/>
      <c r="I10731" s="47"/>
      <c r="J10731" s="37">
        <v>0</v>
      </c>
    </row>
    <row r="10732" spans="1:10" ht="15.75" hidden="1" thickBot="1" x14ac:dyDescent="0.3">
      <c r="A10732" s="180"/>
      <c r="B10732" s="178"/>
      <c r="C10732" s="49"/>
      <c r="D10732" s="63"/>
      <c r="E10732" s="50"/>
      <c r="F10732" s="83" t="s">
        <v>13</v>
      </c>
      <c r="G10732" s="83" t="str">
        <f>IF(ISNUMBER(F10732),E10732*F10732,"")</f>
        <v/>
      </c>
      <c r="H10732" s="84"/>
      <c r="I10732" s="72"/>
      <c r="J10732" s="37">
        <v>0</v>
      </c>
    </row>
    <row r="10733" spans="1:10" ht="15.75" hidden="1" thickBot="1" x14ac:dyDescent="0.3">
      <c r="A10733" s="173" t="s">
        <v>2642</v>
      </c>
      <c r="B10733" s="176" t="s">
        <v>10196</v>
      </c>
      <c r="C10733" s="31"/>
      <c r="D10733" s="32" t="s">
        <v>18</v>
      </c>
      <c r="E10733" s="33"/>
      <c r="F10733" s="54" t="s">
        <v>13</v>
      </c>
      <c r="G10733" s="34" t="str">
        <f>IF(ISNUMBER(F10733),E10733*F10733,"")</f>
        <v/>
      </c>
      <c r="H10733" s="35"/>
      <c r="I10733" s="36"/>
      <c r="J10733" s="37">
        <v>0</v>
      </c>
    </row>
    <row r="10734" spans="1:10" hidden="1" x14ac:dyDescent="0.25">
      <c r="A10734" s="174"/>
      <c r="B10734" s="177"/>
      <c r="C10734" s="39"/>
      <c r="D10734" s="39"/>
      <c r="E10734" s="40"/>
      <c r="F10734" s="55" t="s">
        <v>13</v>
      </c>
      <c r="G10734" s="38" t="str">
        <f>IF(ISNUMBER(F10734),E10734*F10734,"")</f>
        <v/>
      </c>
      <c r="H10734" s="42"/>
      <c r="I10734" s="38"/>
      <c r="J10734" s="37">
        <v>0</v>
      </c>
    </row>
    <row r="10735" spans="1:10" hidden="1" x14ac:dyDescent="0.25">
      <c r="A10735" s="174"/>
      <c r="B10735" s="177"/>
      <c r="C10735" s="43" t="s">
        <v>2643</v>
      </c>
      <c r="D10735" s="43" t="s">
        <v>87</v>
      </c>
      <c r="E10735" s="44">
        <v>1</v>
      </c>
      <c r="F10735" s="41" t="s">
        <v>13</v>
      </c>
      <c r="G10735" s="38" t="str">
        <f>IF(ISNUMBER(F10735),E10735*F10735,"")</f>
        <v/>
      </c>
      <c r="H10735" s="46">
        <f>SUM(G10735:G10740)</f>
        <v>18.211233287500001</v>
      </c>
      <c r="I10735" s="47"/>
      <c r="J10735" s="37">
        <v>0</v>
      </c>
    </row>
    <row r="10736" spans="1:10" ht="38.25" hidden="1" x14ac:dyDescent="0.25">
      <c r="A10736" s="174"/>
      <c r="B10736" s="177"/>
      <c r="C10736" s="43" t="s">
        <v>420</v>
      </c>
      <c r="D10736" s="43" t="s">
        <v>87</v>
      </c>
      <c r="E10736" s="44">
        <v>2</v>
      </c>
      <c r="F10736" s="41" t="s">
        <v>13</v>
      </c>
      <c r="G10736" s="38" t="str">
        <f>IF(ISNUMBER(F10736),E10736*F10736,"")</f>
        <v/>
      </c>
      <c r="H10736" s="42"/>
      <c r="I10736" s="38"/>
      <c r="J10736" s="37">
        <v>0</v>
      </c>
    </row>
    <row r="10737" spans="1:10" hidden="1" x14ac:dyDescent="0.25">
      <c r="A10737" s="174"/>
      <c r="B10737" s="177"/>
      <c r="C10737" s="43" t="s">
        <v>411</v>
      </c>
      <c r="D10737" s="43" t="s">
        <v>87</v>
      </c>
      <c r="E10737" s="44">
        <v>1</v>
      </c>
      <c r="F10737" s="41" t="s">
        <v>13</v>
      </c>
      <c r="G10737" s="38" t="str">
        <f>IF(ISNUMBER(F10737),E10737*F10737,"")</f>
        <v/>
      </c>
      <c r="H10737" s="42"/>
      <c r="I10737" s="38"/>
      <c r="J10737" s="37">
        <v>0</v>
      </c>
    </row>
    <row r="10738" spans="1:10" hidden="1" x14ac:dyDescent="0.25">
      <c r="A10738" s="174"/>
      <c r="B10738" s="177"/>
      <c r="C10738" s="43" t="s">
        <v>412</v>
      </c>
      <c r="D10738" s="43" t="s">
        <v>87</v>
      </c>
      <c r="E10738" s="44">
        <v>1</v>
      </c>
      <c r="F10738" s="41" t="s">
        <v>13</v>
      </c>
      <c r="G10738" s="38" t="str">
        <f>IF(ISNUMBER(F10738),E10738*F10738,"")</f>
        <v/>
      </c>
      <c r="H10738" s="42"/>
      <c r="I10738" s="38"/>
      <c r="J10738" s="37">
        <v>0</v>
      </c>
    </row>
    <row r="10739" spans="1:10" hidden="1" x14ac:dyDescent="0.25">
      <c r="A10739" s="174"/>
      <c r="B10739" s="177"/>
      <c r="C10739" s="43" t="s">
        <v>10762</v>
      </c>
      <c r="D10739" s="43" t="s">
        <v>2800</v>
      </c>
      <c r="E10739" s="44">
        <v>0.14506250000000001</v>
      </c>
      <c r="F10739" s="38">
        <v>24.946999999999999</v>
      </c>
      <c r="G10739" s="41">
        <f>IF(ISNUMBER(F10739),E10739*F10739,"")</f>
        <v>3.6188741875000003</v>
      </c>
      <c r="H10739" s="42"/>
      <c r="I10739" s="38"/>
      <c r="J10739" s="37">
        <v>0</v>
      </c>
    </row>
    <row r="10740" spans="1:10" hidden="1" x14ac:dyDescent="0.25">
      <c r="A10740" s="174"/>
      <c r="B10740" s="177"/>
      <c r="C10740" s="43" t="s">
        <v>10763</v>
      </c>
      <c r="D10740" s="43" t="s">
        <v>2800</v>
      </c>
      <c r="E10740" s="44">
        <v>0.4642</v>
      </c>
      <c r="F10740" s="38">
        <v>31.435500000000001</v>
      </c>
      <c r="G10740" s="38">
        <f>IF(ISNUMBER(F10740),E10740*F10740,"")</f>
        <v>14.592359100000001</v>
      </c>
      <c r="H10740" s="42"/>
      <c r="I10740" s="38"/>
      <c r="J10740" s="37">
        <v>0</v>
      </c>
    </row>
    <row r="10741" spans="1:10" ht="15.75" hidden="1" thickBot="1" x14ac:dyDescent="0.3">
      <c r="A10741" s="175"/>
      <c r="B10741" s="178"/>
      <c r="C10741" s="49"/>
      <c r="D10741" s="49"/>
      <c r="E10741" s="50"/>
      <c r="F10741" s="51" t="s">
        <v>13</v>
      </c>
      <c r="G10741" s="51" t="str">
        <f>IF(ISNUMBER(F10741),E10741*F10741,"")</f>
        <v/>
      </c>
      <c r="H10741" s="53"/>
      <c r="I10741" s="38"/>
      <c r="J10741" s="37">
        <v>0</v>
      </c>
    </row>
    <row r="10742" spans="1:10" ht="15.75" hidden="1" thickBot="1" x14ac:dyDescent="0.3">
      <c r="A10742" s="173" t="s">
        <v>2644</v>
      </c>
      <c r="B10742" s="176" t="s">
        <v>10197</v>
      </c>
      <c r="C10742" s="31"/>
      <c r="D10742" s="32" t="s">
        <v>18</v>
      </c>
      <c r="E10742" s="33"/>
      <c r="F10742" s="60" t="s">
        <v>13</v>
      </c>
      <c r="G10742" s="34" t="str">
        <f>IF(ISNUMBER(F10742),E10742*F10742,"")</f>
        <v/>
      </c>
      <c r="H10742" s="35"/>
      <c r="I10742" s="36"/>
      <c r="J10742" s="37">
        <v>0</v>
      </c>
    </row>
    <row r="10743" spans="1:10" hidden="1" x14ac:dyDescent="0.25">
      <c r="A10743" s="179"/>
      <c r="B10743" s="177"/>
      <c r="C10743" s="39"/>
      <c r="D10743" s="39"/>
      <c r="E10743" s="40"/>
      <c r="F10743" s="70" t="s">
        <v>13</v>
      </c>
      <c r="G10743" s="70" t="str">
        <f>IF(ISNUMBER(F10743),E10743*F10743,"")</f>
        <v/>
      </c>
      <c r="H10743" s="71"/>
      <c r="I10743" s="72"/>
      <c r="J10743" s="37">
        <v>0</v>
      </c>
    </row>
    <row r="10744" spans="1:10" ht="25.5" hidden="1" x14ac:dyDescent="0.25">
      <c r="A10744" s="179"/>
      <c r="B10744" s="177"/>
      <c r="C10744" s="43" t="s">
        <v>10823</v>
      </c>
      <c r="D10744" s="43" t="s">
        <v>2800</v>
      </c>
      <c r="E10744" s="44">
        <f>10*8</f>
        <v>80</v>
      </c>
      <c r="F10744" s="70">
        <v>120.95399999999999</v>
      </c>
      <c r="G10744" s="70">
        <f>IF(ISNUMBER(F10744),E10744*F10744,"")</f>
        <v>9676.32</v>
      </c>
      <c r="H10744" s="46">
        <f>SUM(G10744:G10746)</f>
        <v>11415.349999999999</v>
      </c>
      <c r="I10744" s="47"/>
      <c r="J10744" s="37">
        <v>0</v>
      </c>
    </row>
    <row r="10745" spans="1:10" hidden="1" x14ac:dyDescent="0.25">
      <c r="A10745" s="179"/>
      <c r="B10745" s="177"/>
      <c r="C10745" s="43" t="s">
        <v>11202</v>
      </c>
      <c r="D10745" s="43" t="s">
        <v>2800</v>
      </c>
      <c r="E10745" s="44">
        <f>10*8</f>
        <v>80</v>
      </c>
      <c r="F10745" s="38">
        <v>18.344499999999996</v>
      </c>
      <c r="G10745" s="41">
        <f>IF(ISNUMBER(F10745),E10745*F10745,"")</f>
        <v>1467.5599999999997</v>
      </c>
      <c r="H10745" s="71"/>
      <c r="I10745" s="72"/>
      <c r="J10745" s="37">
        <v>0</v>
      </c>
    </row>
    <row r="10746" spans="1:10" hidden="1" x14ac:dyDescent="0.25">
      <c r="A10746" s="179"/>
      <c r="B10746" s="177"/>
      <c r="C10746" s="43" t="s">
        <v>17</v>
      </c>
      <c r="D10746" s="43" t="s">
        <v>87</v>
      </c>
      <c r="E10746" s="44">
        <v>1</v>
      </c>
      <c r="F10746" s="41">
        <v>271.47000000000003</v>
      </c>
      <c r="G10746" s="38">
        <f>IF(ISNUMBER(F10746),E10746*F10746,"")</f>
        <v>271.47000000000003</v>
      </c>
      <c r="H10746" s="71"/>
      <c r="I10746" s="72"/>
      <c r="J10746" s="37">
        <v>0</v>
      </c>
    </row>
    <row r="10747" spans="1:10" ht="15.75" hidden="1" thickBot="1" x14ac:dyDescent="0.3">
      <c r="A10747" s="180"/>
      <c r="B10747" s="178"/>
      <c r="C10747" s="49"/>
      <c r="D10747" s="49"/>
      <c r="E10747" s="50"/>
      <c r="F10747" s="83" t="s">
        <v>13</v>
      </c>
      <c r="G10747" s="83" t="str">
        <f>IF(ISNUMBER(F10747),E10747*F10747,"")</f>
        <v/>
      </c>
      <c r="H10747" s="84"/>
      <c r="I10747" s="72"/>
      <c r="J10747" s="37">
        <v>0</v>
      </c>
    </row>
    <row r="10748" spans="1:10" ht="15.75" hidden="1" thickBot="1" x14ac:dyDescent="0.3">
      <c r="A10748" s="173" t="s">
        <v>2645</v>
      </c>
      <c r="B10748" s="176" t="s">
        <v>10198</v>
      </c>
      <c r="C10748" s="31"/>
      <c r="D10748" s="32" t="s">
        <v>18</v>
      </c>
      <c r="E10748" s="33"/>
      <c r="F10748" s="60" t="s">
        <v>13</v>
      </c>
      <c r="G10748" s="34" t="str">
        <f>IF(ISNUMBER(F10748),E10748*F10748,"")</f>
        <v/>
      </c>
      <c r="H10748" s="35"/>
      <c r="I10748" s="36"/>
      <c r="J10748" s="37">
        <v>0</v>
      </c>
    </row>
    <row r="10749" spans="1:10" hidden="1" x14ac:dyDescent="0.25">
      <c r="A10749" s="179"/>
      <c r="B10749" s="177"/>
      <c r="C10749" s="39"/>
      <c r="D10749" s="39"/>
      <c r="E10749" s="40"/>
      <c r="F10749" s="70" t="s">
        <v>13</v>
      </c>
      <c r="G10749" s="70" t="str">
        <f>IF(ISNUMBER(F10749),E10749*F10749,"")</f>
        <v/>
      </c>
      <c r="H10749" s="71"/>
      <c r="I10749" s="72"/>
      <c r="J10749" s="37">
        <v>0</v>
      </c>
    </row>
    <row r="10750" spans="1:10" hidden="1" x14ac:dyDescent="0.25">
      <c r="A10750" s="179"/>
      <c r="B10750" s="177"/>
      <c r="C10750" s="43" t="s">
        <v>10763</v>
      </c>
      <c r="D10750" s="43" t="s">
        <v>2800</v>
      </c>
      <c r="E10750" s="44">
        <v>4</v>
      </c>
      <c r="F10750" s="70">
        <v>31.435500000000001</v>
      </c>
      <c r="G10750" s="70">
        <f>IF(ISNUMBER(F10750),E10750*F10750,"")</f>
        <v>125.742</v>
      </c>
      <c r="H10750" s="46">
        <f>SUM(G10750:G10751)</f>
        <v>225.53</v>
      </c>
      <c r="I10750" s="47"/>
      <c r="J10750" s="37">
        <v>0</v>
      </c>
    </row>
    <row r="10751" spans="1:10" hidden="1" x14ac:dyDescent="0.25">
      <c r="A10751" s="179"/>
      <c r="B10751" s="177"/>
      <c r="C10751" s="43" t="s">
        <v>10762</v>
      </c>
      <c r="D10751" s="43" t="s">
        <v>2800</v>
      </c>
      <c r="E10751" s="44">
        <v>4</v>
      </c>
      <c r="F10751" s="38">
        <v>24.946999999999999</v>
      </c>
      <c r="G10751" s="41">
        <f>IF(ISNUMBER(F10751),E10751*F10751,"")</f>
        <v>99.787999999999997</v>
      </c>
      <c r="H10751" s="71"/>
      <c r="I10751" s="72"/>
      <c r="J10751" s="37">
        <v>0</v>
      </c>
    </row>
    <row r="10752" spans="1:10" ht="15.75" hidden="1" thickBot="1" x14ac:dyDescent="0.3">
      <c r="A10752" s="180"/>
      <c r="B10752" s="178"/>
      <c r="C10752" s="49"/>
      <c r="D10752" s="49"/>
      <c r="E10752" s="50"/>
      <c r="F10752" s="83" t="s">
        <v>13</v>
      </c>
      <c r="G10752" s="83" t="str">
        <f>IF(ISNUMBER(F10752),E10752*F10752,"")</f>
        <v/>
      </c>
      <c r="H10752" s="84"/>
      <c r="I10752" s="72"/>
      <c r="J10752" s="37">
        <v>0</v>
      </c>
    </row>
    <row r="10753" spans="1:10" ht="15.75" hidden="1" thickBot="1" x14ac:dyDescent="0.3">
      <c r="A10753" s="173" t="s">
        <v>2646</v>
      </c>
      <c r="B10753" s="176" t="s">
        <v>10201</v>
      </c>
      <c r="C10753" s="31"/>
      <c r="D10753" s="32" t="s">
        <v>106</v>
      </c>
      <c r="E10753" s="33"/>
      <c r="F10753" s="54" t="s">
        <v>13</v>
      </c>
      <c r="G10753" s="34" t="str">
        <f>IF(ISNUMBER(F10753),E10753*F10753,"")</f>
        <v/>
      </c>
      <c r="H10753" s="35"/>
      <c r="I10753" s="36"/>
      <c r="J10753" s="37">
        <v>0</v>
      </c>
    </row>
    <row r="10754" spans="1:10" hidden="1" x14ac:dyDescent="0.25">
      <c r="A10754" s="174"/>
      <c r="B10754" s="177"/>
      <c r="C10754" s="39"/>
      <c r="D10754" s="39"/>
      <c r="E10754" s="40"/>
      <c r="F10754" s="55" t="s">
        <v>13</v>
      </c>
      <c r="G10754" s="38" t="str">
        <f>IF(ISNUMBER(F10754),E10754*F10754,"")</f>
        <v/>
      </c>
      <c r="H10754" s="42"/>
      <c r="I10754" s="38"/>
      <c r="J10754" s="37">
        <v>0</v>
      </c>
    </row>
    <row r="10755" spans="1:10" hidden="1" x14ac:dyDescent="0.25">
      <c r="A10755" s="174"/>
      <c r="B10755" s="177"/>
      <c r="C10755" s="43" t="s">
        <v>10644</v>
      </c>
      <c r="D10755" s="43" t="s">
        <v>2800</v>
      </c>
      <c r="E10755" s="44">
        <v>1.33</v>
      </c>
      <c r="F10755" s="38">
        <v>30.837</v>
      </c>
      <c r="G10755" s="70">
        <f>IF(ISNUMBER(F10755),E10755*F10755,"")</f>
        <v>41.013210000000001</v>
      </c>
      <c r="H10755" s="46">
        <f>SUM(G10755:G10763)</f>
        <v>284.54228999999998</v>
      </c>
      <c r="I10755" s="47"/>
      <c r="J10755" s="37">
        <v>0</v>
      </c>
    </row>
    <row r="10756" spans="1:10" hidden="1" x14ac:dyDescent="0.25">
      <c r="A10756" s="174"/>
      <c r="B10756" s="177"/>
      <c r="C10756" s="43" t="s">
        <v>10614</v>
      </c>
      <c r="D10756" s="43" t="s">
        <v>2800</v>
      </c>
      <c r="E10756" s="44">
        <v>0.4</v>
      </c>
      <c r="F10756" s="38">
        <v>23.693000000000001</v>
      </c>
      <c r="G10756" s="41">
        <f>IF(ISNUMBER(F10756),E10756*F10756,"")</f>
        <v>9.4772000000000016</v>
      </c>
      <c r="H10756" s="42"/>
      <c r="I10756" s="38"/>
      <c r="J10756" s="37">
        <v>0</v>
      </c>
    </row>
    <row r="10757" spans="1:10" hidden="1" x14ac:dyDescent="0.25">
      <c r="A10757" s="174"/>
      <c r="B10757" s="177"/>
      <c r="C10757" s="43" t="s">
        <v>10643</v>
      </c>
      <c r="D10757" s="43" t="s">
        <v>2800</v>
      </c>
      <c r="E10757" s="44">
        <v>1.33</v>
      </c>
      <c r="F10757" s="38">
        <v>24.519499999999997</v>
      </c>
      <c r="G10757" s="41">
        <f>IF(ISNUMBER(F10757),E10757*F10757,"")</f>
        <v>32.610934999999998</v>
      </c>
      <c r="H10757" s="42"/>
      <c r="I10757" s="38"/>
      <c r="J10757" s="37">
        <v>0</v>
      </c>
    </row>
    <row r="10758" spans="1:10" ht="25.5" hidden="1" x14ac:dyDescent="0.25">
      <c r="A10758" s="174"/>
      <c r="B10758" s="177"/>
      <c r="C10758" s="43" t="s">
        <v>10647</v>
      </c>
      <c r="D10758" s="43" t="s">
        <v>2880</v>
      </c>
      <c r="E10758" s="44">
        <v>0.12</v>
      </c>
      <c r="F10758" s="38">
        <v>199.71849999999998</v>
      </c>
      <c r="G10758" s="41">
        <f>IF(ISNUMBER(F10758),E10758*F10758,"")</f>
        <v>23.966219999999996</v>
      </c>
      <c r="H10758" s="42"/>
      <c r="I10758" s="38"/>
      <c r="J10758" s="37">
        <v>0</v>
      </c>
    </row>
    <row r="10759" spans="1:10" hidden="1" x14ac:dyDescent="0.25">
      <c r="A10759" s="174"/>
      <c r="B10759" s="177"/>
      <c r="C10759" s="43" t="s">
        <v>10648</v>
      </c>
      <c r="D10759" s="43" t="s">
        <v>1044</v>
      </c>
      <c r="E10759" s="44">
        <v>72</v>
      </c>
      <c r="F10759" s="38">
        <v>0.64600000000000002</v>
      </c>
      <c r="G10759" s="41">
        <f>IF(ISNUMBER(F10759),E10759*F10759,"")</f>
        <v>46.512</v>
      </c>
      <c r="H10759" s="42"/>
      <c r="I10759" s="38"/>
      <c r="J10759" s="37">
        <v>0</v>
      </c>
    </row>
    <row r="10760" spans="1:10" hidden="1" x14ac:dyDescent="0.25">
      <c r="A10760" s="174"/>
      <c r="B10760" s="177"/>
      <c r="C10760" s="43" t="s">
        <v>10811</v>
      </c>
      <c r="D10760" s="43" t="s">
        <v>1044</v>
      </c>
      <c r="E10760" s="44">
        <v>0.95</v>
      </c>
      <c r="F10760" s="38">
        <v>7.0679999999999996</v>
      </c>
      <c r="G10760" s="41">
        <f>IF(ISNUMBER(F10760),E10760*F10760,"")</f>
        <v>6.714599999999999</v>
      </c>
      <c r="H10760" s="42"/>
      <c r="I10760" s="38"/>
      <c r="J10760" s="37">
        <v>0</v>
      </c>
    </row>
    <row r="10761" spans="1:10" hidden="1" x14ac:dyDescent="0.25">
      <c r="A10761" s="174"/>
      <c r="B10761" s="177"/>
      <c r="C10761" s="43" t="s">
        <v>11863</v>
      </c>
      <c r="D10761" s="43" t="s">
        <v>1044</v>
      </c>
      <c r="E10761" s="44">
        <v>16.05</v>
      </c>
      <c r="F10761" s="38">
        <v>7.3624999999999998</v>
      </c>
      <c r="G10761" s="41">
        <f>IF(ISNUMBER(F10761),E10761*F10761,"")</f>
        <v>118.168125</v>
      </c>
      <c r="H10761" s="42"/>
      <c r="I10761" s="38"/>
      <c r="J10761" s="37">
        <v>0</v>
      </c>
    </row>
    <row r="10762" spans="1:10" ht="25.5" hidden="1" x14ac:dyDescent="0.25">
      <c r="A10762" s="174"/>
      <c r="B10762" s="177"/>
      <c r="C10762" s="43" t="s">
        <v>10661</v>
      </c>
      <c r="D10762" s="43" t="s">
        <v>1044</v>
      </c>
      <c r="E10762" s="44">
        <v>0.32</v>
      </c>
      <c r="F10762" s="38">
        <v>19</v>
      </c>
      <c r="G10762" s="41">
        <f>IF(ISNUMBER(F10762),E10762*F10762,"")</f>
        <v>6.08</v>
      </c>
      <c r="H10762" s="42"/>
      <c r="I10762" s="38"/>
      <c r="J10762" s="37">
        <v>0</v>
      </c>
    </row>
    <row r="10763" spans="1:10" hidden="1" x14ac:dyDescent="0.25">
      <c r="A10763" s="174"/>
      <c r="B10763" s="177"/>
      <c r="C10763" s="43" t="s">
        <v>2647</v>
      </c>
      <c r="D10763" s="43" t="s">
        <v>106</v>
      </c>
      <c r="E10763" s="44">
        <v>1</v>
      </c>
      <c r="F10763" s="41" t="s">
        <v>13</v>
      </c>
      <c r="G10763" s="38" t="str">
        <f>IF(ISNUMBER(F10763),E10763*F10763,"")</f>
        <v/>
      </c>
      <c r="H10763" s="42"/>
      <c r="I10763" s="38"/>
      <c r="J10763" s="37">
        <v>0</v>
      </c>
    </row>
    <row r="10764" spans="1:10" ht="15.75" hidden="1" thickBot="1" x14ac:dyDescent="0.3">
      <c r="A10764" s="175"/>
      <c r="B10764" s="178"/>
      <c r="C10764" s="43"/>
      <c r="D10764" s="43"/>
      <c r="E10764" s="44"/>
      <c r="F10764" s="38" t="s">
        <v>13</v>
      </c>
      <c r="G10764" s="38" t="str">
        <f>IF(ISNUMBER(F10764),E10764*F10764,"")</f>
        <v/>
      </c>
      <c r="H10764" s="42"/>
      <c r="I10764" s="38"/>
      <c r="J10764" s="37">
        <v>0</v>
      </c>
    </row>
    <row r="10765" spans="1:10" ht="15.75" hidden="1" thickBot="1" x14ac:dyDescent="0.3">
      <c r="A10765" s="173" t="s">
        <v>2648</v>
      </c>
      <c r="B10765" s="176" t="s">
        <v>10202</v>
      </c>
      <c r="C10765" s="31"/>
      <c r="D10765" s="32" t="s">
        <v>68</v>
      </c>
      <c r="E10765" s="33"/>
      <c r="F10765" s="60" t="s">
        <v>13</v>
      </c>
      <c r="G10765" s="34" t="str">
        <f>IF(ISNUMBER(F10765),E10765*F10765,"")</f>
        <v/>
      </c>
      <c r="H10765" s="35"/>
      <c r="I10765" s="36"/>
      <c r="J10765" s="37">
        <v>0</v>
      </c>
    </row>
    <row r="10766" spans="1:10" hidden="1" x14ac:dyDescent="0.25">
      <c r="A10766" s="179"/>
      <c r="B10766" s="177"/>
      <c r="C10766" s="39"/>
      <c r="D10766" s="39"/>
      <c r="E10766" s="40"/>
      <c r="F10766" s="70" t="s">
        <v>13</v>
      </c>
      <c r="G10766" s="70" t="str">
        <f>IF(ISNUMBER(F10766),E10766*F10766,"")</f>
        <v/>
      </c>
      <c r="H10766" s="71"/>
      <c r="I10766" s="72"/>
      <c r="J10766" s="37">
        <v>0</v>
      </c>
    </row>
    <row r="10767" spans="1:10" hidden="1" x14ac:dyDescent="0.25">
      <c r="A10767" s="179"/>
      <c r="B10767" s="177"/>
      <c r="C10767" s="43" t="s">
        <v>10614</v>
      </c>
      <c r="D10767" s="43" t="s">
        <v>2800</v>
      </c>
      <c r="E10767" s="44">
        <v>5</v>
      </c>
      <c r="F10767" s="38">
        <v>23.693000000000001</v>
      </c>
      <c r="G10767" s="70">
        <f>IF(ISNUMBER(F10767),E10767*F10767,"")</f>
        <v>118.465</v>
      </c>
      <c r="H10767" s="46">
        <f>SUM(G10767:G10767)</f>
        <v>118.465</v>
      </c>
      <c r="I10767" s="47"/>
      <c r="J10767" s="37">
        <v>0</v>
      </c>
    </row>
    <row r="10768" spans="1:10" ht="15.75" hidden="1" thickBot="1" x14ac:dyDescent="0.3">
      <c r="A10768" s="180"/>
      <c r="B10768" s="178"/>
      <c r="C10768" s="49"/>
      <c r="D10768" s="63"/>
      <c r="E10768" s="50"/>
      <c r="F10768" s="83" t="s">
        <v>13</v>
      </c>
      <c r="G10768" s="83" t="str">
        <f>IF(ISNUMBER(F10768),E10768*F10768,"")</f>
        <v/>
      </c>
      <c r="H10768" s="84"/>
      <c r="I10768" s="72"/>
      <c r="J10768" s="37">
        <v>0</v>
      </c>
    </row>
    <row r="10769" spans="1:10" ht="15.75" hidden="1" thickBot="1" x14ac:dyDescent="0.3">
      <c r="A10769" s="173" t="s">
        <v>2649</v>
      </c>
      <c r="B10769" s="176" t="s">
        <v>10203</v>
      </c>
      <c r="C10769" s="31"/>
      <c r="D10769" s="32" t="s">
        <v>18</v>
      </c>
      <c r="E10769" s="33"/>
      <c r="F10769" s="54" t="s">
        <v>13</v>
      </c>
      <c r="G10769" s="34" t="str">
        <f>IF(ISNUMBER(F10769),E10769*F10769,"")</f>
        <v/>
      </c>
      <c r="H10769" s="35"/>
      <c r="I10769" s="36"/>
      <c r="J10769" s="37">
        <v>0</v>
      </c>
    </row>
    <row r="10770" spans="1:10" hidden="1" x14ac:dyDescent="0.25">
      <c r="A10770" s="174"/>
      <c r="B10770" s="177"/>
      <c r="C10770" s="39"/>
      <c r="D10770" s="39"/>
      <c r="E10770" s="40"/>
      <c r="F10770" s="55" t="s">
        <v>13</v>
      </c>
      <c r="G10770" s="38" t="str">
        <f>IF(ISNUMBER(F10770),E10770*F10770,"")</f>
        <v/>
      </c>
      <c r="H10770" s="42"/>
      <c r="I10770" s="38"/>
      <c r="J10770" s="37">
        <v>0</v>
      </c>
    </row>
    <row r="10771" spans="1:10" ht="25.5" hidden="1" x14ac:dyDescent="0.25">
      <c r="A10771" s="174"/>
      <c r="B10771" s="177"/>
      <c r="C10771" s="43" t="s">
        <v>2650</v>
      </c>
      <c r="D10771" s="43" t="s">
        <v>87</v>
      </c>
      <c r="E10771" s="44">
        <v>1</v>
      </c>
      <c r="F10771" s="41" t="s">
        <v>13</v>
      </c>
      <c r="G10771" s="38" t="str">
        <f>IF(ISNUMBER(F10771),E10771*F10771,"")</f>
        <v/>
      </c>
      <c r="H10771" s="46">
        <f>SUM(G10771:G10776)</f>
        <v>15.041333137500001</v>
      </c>
      <c r="I10771" s="47"/>
      <c r="J10771" s="37">
        <v>0</v>
      </c>
    </row>
    <row r="10772" spans="1:10" ht="25.5" hidden="1" x14ac:dyDescent="0.25">
      <c r="A10772" s="174"/>
      <c r="B10772" s="177"/>
      <c r="C10772" s="43" t="s">
        <v>410</v>
      </c>
      <c r="D10772" s="43" t="s">
        <v>106</v>
      </c>
      <c r="E10772" s="44">
        <v>1.5</v>
      </c>
      <c r="F10772" s="41" t="s">
        <v>13</v>
      </c>
      <c r="G10772" s="38" t="str">
        <f>IF(ISNUMBER(F10772),E10772*F10772,"")</f>
        <v/>
      </c>
      <c r="H10772" s="42"/>
      <c r="I10772" s="38"/>
      <c r="J10772" s="37">
        <v>0</v>
      </c>
    </row>
    <row r="10773" spans="1:10" hidden="1" x14ac:dyDescent="0.25">
      <c r="A10773" s="174"/>
      <c r="B10773" s="177"/>
      <c r="C10773" s="43" t="s">
        <v>411</v>
      </c>
      <c r="D10773" s="43" t="s">
        <v>87</v>
      </c>
      <c r="E10773" s="44">
        <v>1</v>
      </c>
      <c r="F10773" s="41" t="s">
        <v>13</v>
      </c>
      <c r="G10773" s="38" t="str">
        <f>IF(ISNUMBER(F10773),E10773*F10773,"")</f>
        <v/>
      </c>
      <c r="H10773" s="42"/>
      <c r="I10773" s="38"/>
      <c r="J10773" s="37">
        <v>0</v>
      </c>
    </row>
    <row r="10774" spans="1:10" hidden="1" x14ac:dyDescent="0.25">
      <c r="A10774" s="174"/>
      <c r="B10774" s="177"/>
      <c r="C10774" s="43" t="s">
        <v>412</v>
      </c>
      <c r="D10774" s="43" t="s">
        <v>87</v>
      </c>
      <c r="E10774" s="44">
        <v>1</v>
      </c>
      <c r="F10774" s="41" t="s">
        <v>13</v>
      </c>
      <c r="G10774" s="38" t="str">
        <f>IF(ISNUMBER(F10774),E10774*F10774,"")</f>
        <v/>
      </c>
      <c r="H10774" s="42"/>
      <c r="I10774" s="38"/>
      <c r="J10774" s="37">
        <v>0</v>
      </c>
    </row>
    <row r="10775" spans="1:10" hidden="1" x14ac:dyDescent="0.25">
      <c r="A10775" s="174"/>
      <c r="B10775" s="177"/>
      <c r="C10775" s="43" t="s">
        <v>10762</v>
      </c>
      <c r="D10775" s="43" t="s">
        <v>2800</v>
      </c>
      <c r="E10775" s="44">
        <v>0.1198125</v>
      </c>
      <c r="F10775" s="38">
        <v>24.946999999999999</v>
      </c>
      <c r="G10775" s="41">
        <f>IF(ISNUMBER(F10775),E10775*F10775,"")</f>
        <v>2.9889624375000001</v>
      </c>
      <c r="H10775" s="42"/>
      <c r="I10775" s="38"/>
      <c r="J10775" s="37">
        <v>0</v>
      </c>
    </row>
    <row r="10776" spans="1:10" hidden="1" x14ac:dyDescent="0.25">
      <c r="A10776" s="174"/>
      <c r="B10776" s="177"/>
      <c r="C10776" s="43" t="s">
        <v>10763</v>
      </c>
      <c r="D10776" s="43" t="s">
        <v>2800</v>
      </c>
      <c r="E10776" s="44">
        <v>0.38340000000000002</v>
      </c>
      <c r="F10776" s="38">
        <v>31.435500000000001</v>
      </c>
      <c r="G10776" s="38">
        <f>IF(ISNUMBER(F10776),E10776*F10776,"")</f>
        <v>12.052370700000001</v>
      </c>
      <c r="H10776" s="42"/>
      <c r="I10776" s="38"/>
      <c r="J10776" s="37">
        <v>0</v>
      </c>
    </row>
    <row r="10777" spans="1:10" ht="15.75" hidden="1" thickBot="1" x14ac:dyDescent="0.3">
      <c r="A10777" s="175"/>
      <c r="B10777" s="178"/>
      <c r="C10777" s="49"/>
      <c r="D10777" s="49"/>
      <c r="E10777" s="50"/>
      <c r="F10777" s="51" t="s">
        <v>13</v>
      </c>
      <c r="G10777" s="51" t="str">
        <f>IF(ISNUMBER(F10777),E10777*F10777,"")</f>
        <v/>
      </c>
      <c r="H10777" s="53"/>
      <c r="I10777" s="38"/>
      <c r="J10777" s="37">
        <v>0</v>
      </c>
    </row>
    <row r="10778" spans="1:10" ht="15.75" hidden="1" thickBot="1" x14ac:dyDescent="0.3">
      <c r="A10778" s="173" t="s">
        <v>2651</v>
      </c>
      <c r="B10778" s="176" t="s">
        <v>10204</v>
      </c>
      <c r="C10778" s="31"/>
      <c r="D10778" s="32" t="s">
        <v>18</v>
      </c>
      <c r="E10778" s="33"/>
      <c r="F10778" s="54" t="s">
        <v>13</v>
      </c>
      <c r="G10778" s="34" t="str">
        <f>IF(ISNUMBER(F10778),E10778*F10778,"")</f>
        <v/>
      </c>
      <c r="H10778" s="35"/>
      <c r="I10778" s="36"/>
      <c r="J10778" s="37">
        <v>0</v>
      </c>
    </row>
    <row r="10779" spans="1:10" hidden="1" x14ac:dyDescent="0.25">
      <c r="A10779" s="174"/>
      <c r="B10779" s="177"/>
      <c r="C10779" s="39"/>
      <c r="D10779" s="39"/>
      <c r="E10779" s="40"/>
      <c r="F10779" s="55" t="s">
        <v>13</v>
      </c>
      <c r="G10779" s="38" t="str">
        <f>IF(ISNUMBER(F10779),E10779*F10779,"")</f>
        <v/>
      </c>
      <c r="H10779" s="42"/>
      <c r="I10779" s="38"/>
      <c r="J10779" s="37">
        <v>0</v>
      </c>
    </row>
    <row r="10780" spans="1:10" ht="25.5" hidden="1" x14ac:dyDescent="0.25">
      <c r="A10780" s="174"/>
      <c r="B10780" s="177"/>
      <c r="C10780" s="43" t="s">
        <v>2652</v>
      </c>
      <c r="D10780" s="43" t="s">
        <v>87</v>
      </c>
      <c r="E10780" s="44">
        <v>1</v>
      </c>
      <c r="F10780" s="41" t="s">
        <v>13</v>
      </c>
      <c r="G10780" s="38" t="str">
        <f>IF(ISNUMBER(F10780),E10780*F10780,"")</f>
        <v/>
      </c>
      <c r="H10780" s="46">
        <f>SUM(G10780:G10785)</f>
        <v>15.041333137500001</v>
      </c>
      <c r="I10780" s="47"/>
      <c r="J10780" s="37">
        <v>0</v>
      </c>
    </row>
    <row r="10781" spans="1:10" ht="25.5" hidden="1" x14ac:dyDescent="0.25">
      <c r="A10781" s="174"/>
      <c r="B10781" s="177"/>
      <c r="C10781" s="43" t="s">
        <v>410</v>
      </c>
      <c r="D10781" s="43" t="s">
        <v>106</v>
      </c>
      <c r="E10781" s="44">
        <v>1.5</v>
      </c>
      <c r="F10781" s="41" t="s">
        <v>13</v>
      </c>
      <c r="G10781" s="38" t="str">
        <f>IF(ISNUMBER(F10781),E10781*F10781,"")</f>
        <v/>
      </c>
      <c r="H10781" s="42"/>
      <c r="I10781" s="38"/>
      <c r="J10781" s="37">
        <v>0</v>
      </c>
    </row>
    <row r="10782" spans="1:10" hidden="1" x14ac:dyDescent="0.25">
      <c r="A10782" s="174"/>
      <c r="B10782" s="177"/>
      <c r="C10782" s="43" t="s">
        <v>411</v>
      </c>
      <c r="D10782" s="43" t="s">
        <v>87</v>
      </c>
      <c r="E10782" s="44">
        <v>1</v>
      </c>
      <c r="F10782" s="41" t="s">
        <v>13</v>
      </c>
      <c r="G10782" s="38" t="str">
        <f>IF(ISNUMBER(F10782),E10782*F10782,"")</f>
        <v/>
      </c>
      <c r="H10782" s="42"/>
      <c r="I10782" s="38"/>
      <c r="J10782" s="37">
        <v>0</v>
      </c>
    </row>
    <row r="10783" spans="1:10" hidden="1" x14ac:dyDescent="0.25">
      <c r="A10783" s="174"/>
      <c r="B10783" s="177"/>
      <c r="C10783" s="43" t="s">
        <v>412</v>
      </c>
      <c r="D10783" s="43" t="s">
        <v>87</v>
      </c>
      <c r="E10783" s="44">
        <v>1</v>
      </c>
      <c r="F10783" s="41" t="s">
        <v>13</v>
      </c>
      <c r="G10783" s="38" t="str">
        <f>IF(ISNUMBER(F10783),E10783*F10783,"")</f>
        <v/>
      </c>
      <c r="H10783" s="42"/>
      <c r="I10783" s="38"/>
      <c r="J10783" s="37">
        <v>0</v>
      </c>
    </row>
    <row r="10784" spans="1:10" hidden="1" x14ac:dyDescent="0.25">
      <c r="A10784" s="174"/>
      <c r="B10784" s="177"/>
      <c r="C10784" s="43" t="s">
        <v>10762</v>
      </c>
      <c r="D10784" s="43" t="s">
        <v>2800</v>
      </c>
      <c r="E10784" s="44">
        <v>0.1198125</v>
      </c>
      <c r="F10784" s="38">
        <v>24.946999999999999</v>
      </c>
      <c r="G10784" s="41">
        <f>IF(ISNUMBER(F10784),E10784*F10784,"")</f>
        <v>2.9889624375000001</v>
      </c>
      <c r="H10784" s="42"/>
      <c r="I10784" s="38"/>
      <c r="J10784" s="37">
        <v>0</v>
      </c>
    </row>
    <row r="10785" spans="1:10" hidden="1" x14ac:dyDescent="0.25">
      <c r="A10785" s="174"/>
      <c r="B10785" s="177"/>
      <c r="C10785" s="43" t="s">
        <v>10763</v>
      </c>
      <c r="D10785" s="43" t="s">
        <v>2800</v>
      </c>
      <c r="E10785" s="44">
        <v>0.38340000000000002</v>
      </c>
      <c r="F10785" s="38">
        <v>31.435500000000001</v>
      </c>
      <c r="G10785" s="38">
        <f>IF(ISNUMBER(F10785),E10785*F10785,"")</f>
        <v>12.052370700000001</v>
      </c>
      <c r="H10785" s="42"/>
      <c r="I10785" s="38"/>
      <c r="J10785" s="37">
        <v>0</v>
      </c>
    </row>
    <row r="10786" spans="1:10" ht="15.75" hidden="1" thickBot="1" x14ac:dyDescent="0.3">
      <c r="A10786" s="175"/>
      <c r="B10786" s="178"/>
      <c r="C10786" s="49"/>
      <c r="D10786" s="49"/>
      <c r="E10786" s="50"/>
      <c r="F10786" s="51" t="s">
        <v>13</v>
      </c>
      <c r="G10786" s="51" t="str">
        <f>IF(ISNUMBER(F10786),E10786*F10786,"")</f>
        <v/>
      </c>
      <c r="H10786" s="53"/>
      <c r="I10786" s="38"/>
      <c r="J10786" s="37">
        <v>0</v>
      </c>
    </row>
    <row r="10787" spans="1:10" ht="15.75" hidden="1" thickBot="1" x14ac:dyDescent="0.3">
      <c r="A10787" s="173" t="s">
        <v>2653</v>
      </c>
      <c r="B10787" s="176" t="s">
        <v>10205</v>
      </c>
      <c r="C10787" s="31"/>
      <c r="D10787" s="32" t="s">
        <v>18</v>
      </c>
      <c r="E10787" s="33"/>
      <c r="F10787" s="60" t="s">
        <v>13</v>
      </c>
      <c r="G10787" s="34" t="str">
        <f>IF(ISNUMBER(F10787),E10787*F10787,"")</f>
        <v/>
      </c>
      <c r="H10787" s="35"/>
      <c r="I10787" s="36"/>
      <c r="J10787" s="37">
        <v>0</v>
      </c>
    </row>
    <row r="10788" spans="1:10" hidden="1" x14ac:dyDescent="0.25">
      <c r="A10788" s="179"/>
      <c r="B10788" s="177"/>
      <c r="C10788" s="39"/>
      <c r="D10788" s="39"/>
      <c r="E10788" s="40"/>
      <c r="F10788" s="70" t="s">
        <v>13</v>
      </c>
      <c r="G10788" s="70" t="str">
        <f>IF(ISNUMBER(F10788),E10788*F10788,"")</f>
        <v/>
      </c>
      <c r="H10788" s="71"/>
      <c r="I10788" s="72"/>
      <c r="J10788" s="37">
        <v>0</v>
      </c>
    </row>
    <row r="10789" spans="1:10" hidden="1" x14ac:dyDescent="0.25">
      <c r="A10789" s="179"/>
      <c r="B10789" s="177"/>
      <c r="C10789" s="43" t="s">
        <v>10959</v>
      </c>
      <c r="D10789" s="43" t="s">
        <v>83</v>
      </c>
      <c r="E10789" s="44">
        <v>1</v>
      </c>
      <c r="F10789" s="70">
        <v>73.216499999999996</v>
      </c>
      <c r="G10789" s="70">
        <f>IF(ISNUMBER(F10789),E10789*F10789,"")</f>
        <v>73.216499999999996</v>
      </c>
      <c r="H10789" s="46">
        <f>SUM(G10789:G10789)</f>
        <v>73.216499999999996</v>
      </c>
      <c r="I10789" s="47"/>
      <c r="J10789" s="37">
        <v>0</v>
      </c>
    </row>
    <row r="10790" spans="1:10" ht="15.75" hidden="1" thickBot="1" x14ac:dyDescent="0.3">
      <c r="A10790" s="180"/>
      <c r="B10790" s="178"/>
      <c r="C10790" s="49"/>
      <c r="D10790" s="49"/>
      <c r="E10790" s="50"/>
      <c r="F10790" s="83" t="s">
        <v>13</v>
      </c>
      <c r="G10790" s="83" t="str">
        <f>IF(ISNUMBER(F10790),E10790*F10790,"")</f>
        <v/>
      </c>
      <c r="H10790" s="84"/>
      <c r="I10790" s="72"/>
      <c r="J10790" s="37">
        <v>0</v>
      </c>
    </row>
    <row r="10791" spans="1:10" ht="15.75" hidden="1" thickBot="1" x14ac:dyDescent="0.3">
      <c r="A10791" s="173" t="s">
        <v>2654</v>
      </c>
      <c r="B10791" s="176" t="s">
        <v>10206</v>
      </c>
      <c r="C10791" s="31"/>
      <c r="D10791" s="32" t="s">
        <v>18</v>
      </c>
      <c r="E10791" s="33"/>
      <c r="F10791" s="60" t="s">
        <v>13</v>
      </c>
      <c r="G10791" s="34" t="str">
        <f>IF(ISNUMBER(F10791),E10791*F10791,"")</f>
        <v/>
      </c>
      <c r="H10791" s="35"/>
      <c r="I10791" s="36"/>
      <c r="J10791" s="37">
        <v>0</v>
      </c>
    </row>
    <row r="10792" spans="1:10" hidden="1" x14ac:dyDescent="0.25">
      <c r="A10792" s="179"/>
      <c r="B10792" s="177"/>
      <c r="C10792" s="39"/>
      <c r="D10792" s="39"/>
      <c r="E10792" s="40"/>
      <c r="F10792" s="70" t="s">
        <v>13</v>
      </c>
      <c r="G10792" s="70" t="str">
        <f>IF(ISNUMBER(F10792),E10792*F10792,"")</f>
        <v/>
      </c>
      <c r="H10792" s="71"/>
      <c r="I10792" s="72"/>
      <c r="J10792" s="37">
        <v>0</v>
      </c>
    </row>
    <row r="10793" spans="1:10" hidden="1" x14ac:dyDescent="0.25">
      <c r="A10793" s="179"/>
      <c r="B10793" s="177"/>
      <c r="C10793" s="43" t="s">
        <v>10958</v>
      </c>
      <c r="D10793" s="43" t="s">
        <v>83</v>
      </c>
      <c r="E10793" s="44">
        <v>1</v>
      </c>
      <c r="F10793" s="70">
        <v>109.12649999999999</v>
      </c>
      <c r="G10793" s="70">
        <f>IF(ISNUMBER(F10793),E10793*F10793,"")</f>
        <v>109.12649999999999</v>
      </c>
      <c r="H10793" s="46">
        <f>SUM(G10793:G10793)</f>
        <v>109.12649999999999</v>
      </c>
      <c r="I10793" s="47"/>
      <c r="J10793" s="37">
        <v>0</v>
      </c>
    </row>
    <row r="10794" spans="1:10" ht="15.75" hidden="1" thickBot="1" x14ac:dyDescent="0.3">
      <c r="A10794" s="180"/>
      <c r="B10794" s="178"/>
      <c r="C10794" s="49"/>
      <c r="D10794" s="49"/>
      <c r="E10794" s="50"/>
      <c r="F10794" s="83" t="s">
        <v>13</v>
      </c>
      <c r="G10794" s="83" t="str">
        <f>IF(ISNUMBER(F10794),E10794*F10794,"")</f>
        <v/>
      </c>
      <c r="H10794" s="84"/>
      <c r="I10794" s="72"/>
      <c r="J10794" s="37">
        <v>0</v>
      </c>
    </row>
    <row r="10795" spans="1:10" ht="15.75" hidden="1" thickBot="1" x14ac:dyDescent="0.3">
      <c r="A10795" s="173" t="s">
        <v>2655</v>
      </c>
      <c r="B10795" s="176" t="s">
        <v>10207</v>
      </c>
      <c r="C10795" s="31"/>
      <c r="D10795" s="32" t="s">
        <v>106</v>
      </c>
      <c r="E10795" s="33"/>
      <c r="F10795" s="60" t="s">
        <v>13</v>
      </c>
      <c r="G10795" s="34" t="str">
        <f>IF(ISNUMBER(F10795),E10795*F10795,"")</f>
        <v/>
      </c>
      <c r="H10795" s="35"/>
      <c r="I10795" s="36"/>
      <c r="J10795" s="37">
        <v>0</v>
      </c>
    </row>
    <row r="10796" spans="1:10" hidden="1" x14ac:dyDescent="0.25">
      <c r="A10796" s="179"/>
      <c r="B10796" s="177"/>
      <c r="C10796" s="39"/>
      <c r="D10796" s="39"/>
      <c r="E10796" s="40"/>
      <c r="F10796" s="70" t="s">
        <v>13</v>
      </c>
      <c r="G10796" s="70" t="str">
        <f>IF(ISNUMBER(F10796),E10796*F10796,"")</f>
        <v/>
      </c>
      <c r="H10796" s="71"/>
      <c r="I10796" s="72"/>
      <c r="J10796" s="37">
        <v>0</v>
      </c>
    </row>
    <row r="10797" spans="1:10" ht="25.5" hidden="1" x14ac:dyDescent="0.25">
      <c r="A10797" s="179"/>
      <c r="B10797" s="177"/>
      <c r="C10797" s="43" t="s">
        <v>11707</v>
      </c>
      <c r="D10797" s="43" t="s">
        <v>1302</v>
      </c>
      <c r="E10797" s="44">
        <v>1</v>
      </c>
      <c r="F10797" s="70">
        <v>157.79499999999999</v>
      </c>
      <c r="G10797" s="70">
        <f>IF(ISNUMBER(F10797),E10797*F10797,"")</f>
        <v>157.79499999999999</v>
      </c>
      <c r="H10797" s="46">
        <f>SUM(G10797:G10797)</f>
        <v>157.79499999999999</v>
      </c>
      <c r="I10797" s="47"/>
      <c r="J10797" s="37">
        <v>0</v>
      </c>
    </row>
    <row r="10798" spans="1:10" ht="15.75" hidden="1" thickBot="1" x14ac:dyDescent="0.3">
      <c r="A10798" s="180"/>
      <c r="B10798" s="178"/>
      <c r="C10798" s="49"/>
      <c r="D10798" s="49"/>
      <c r="E10798" s="50"/>
      <c r="F10798" s="83" t="s">
        <v>13</v>
      </c>
      <c r="G10798" s="83" t="str">
        <f>IF(ISNUMBER(F10798),E10798*F10798,"")</f>
        <v/>
      </c>
      <c r="H10798" s="84"/>
      <c r="I10798" s="72"/>
      <c r="J10798" s="37">
        <v>0</v>
      </c>
    </row>
    <row r="10799" spans="1:10" ht="15.75" hidden="1" thickBot="1" x14ac:dyDescent="0.3">
      <c r="A10799" s="173" t="s">
        <v>2656</v>
      </c>
      <c r="B10799" s="176" t="s">
        <v>10208</v>
      </c>
      <c r="C10799" s="31"/>
      <c r="D10799" s="32" t="s">
        <v>18</v>
      </c>
      <c r="E10799" s="33"/>
      <c r="F10799" s="60" t="s">
        <v>13</v>
      </c>
      <c r="G10799" s="34" t="str">
        <f>IF(ISNUMBER(F10799),E10799*F10799,"")</f>
        <v/>
      </c>
      <c r="H10799" s="35"/>
      <c r="I10799" s="36"/>
      <c r="J10799" s="37">
        <v>0</v>
      </c>
    </row>
    <row r="10800" spans="1:10" hidden="1" x14ac:dyDescent="0.25">
      <c r="A10800" s="179"/>
      <c r="B10800" s="177"/>
      <c r="C10800" s="39"/>
      <c r="D10800" s="39"/>
      <c r="E10800" s="40"/>
      <c r="F10800" s="70" t="s">
        <v>13</v>
      </c>
      <c r="G10800" s="70" t="str">
        <f>IF(ISNUMBER(F10800),E10800*F10800,"")</f>
        <v/>
      </c>
      <c r="H10800" s="71"/>
      <c r="I10800" s="72"/>
      <c r="J10800" s="37">
        <v>0</v>
      </c>
    </row>
    <row r="10801" spans="1:10" hidden="1" x14ac:dyDescent="0.25">
      <c r="A10801" s="179"/>
      <c r="B10801" s="177"/>
      <c r="C10801" s="43" t="s">
        <v>11864</v>
      </c>
      <c r="D10801" s="43" t="s">
        <v>1302</v>
      </c>
      <c r="E10801" s="44">
        <v>50</v>
      </c>
      <c r="F10801" s="70">
        <v>6.08</v>
      </c>
      <c r="G10801" s="70">
        <f>IF(ISNUMBER(F10801),E10801*F10801,"")</f>
        <v>304</v>
      </c>
      <c r="H10801" s="46">
        <f>SUM(G10801:G10801)</f>
        <v>304</v>
      </c>
      <c r="I10801" s="47"/>
      <c r="J10801" s="37">
        <v>0</v>
      </c>
    </row>
    <row r="10802" spans="1:10" ht="15.75" hidden="1" thickBot="1" x14ac:dyDescent="0.3">
      <c r="A10802" s="180"/>
      <c r="B10802" s="178"/>
      <c r="C10802" s="49"/>
      <c r="D10802" s="49"/>
      <c r="E10802" s="50"/>
      <c r="F10802" s="83" t="s">
        <v>13</v>
      </c>
      <c r="G10802" s="83" t="str">
        <f>IF(ISNUMBER(F10802),E10802*F10802,"")</f>
        <v/>
      </c>
      <c r="H10802" s="84"/>
      <c r="I10802" s="72"/>
      <c r="J10802" s="37">
        <v>0</v>
      </c>
    </row>
    <row r="10803" spans="1:10" ht="15.75" hidden="1" thickBot="1" x14ac:dyDescent="0.3">
      <c r="A10803" s="173" t="s">
        <v>2657</v>
      </c>
      <c r="B10803" s="176" t="s">
        <v>10209</v>
      </c>
      <c r="C10803" s="31"/>
      <c r="D10803" s="32" t="s">
        <v>461</v>
      </c>
      <c r="E10803" s="33"/>
      <c r="F10803" s="54" t="s">
        <v>13</v>
      </c>
      <c r="G10803" s="34" t="str">
        <f>IF(ISNUMBER(F10803),E10803*F10803,"")</f>
        <v/>
      </c>
      <c r="H10803" s="35"/>
      <c r="I10803" s="36"/>
      <c r="J10803" s="37">
        <v>0</v>
      </c>
    </row>
    <row r="10804" spans="1:10" hidden="1" x14ac:dyDescent="0.25">
      <c r="A10804" s="179"/>
      <c r="B10804" s="177"/>
      <c r="C10804" s="39"/>
      <c r="D10804" s="39"/>
      <c r="E10804" s="40"/>
      <c r="F10804" s="55" t="s">
        <v>13</v>
      </c>
      <c r="G10804" s="41" t="str">
        <f>IF(ISNUMBER(F10804),E10804*F10804,"")</f>
        <v/>
      </c>
      <c r="H10804" s="42"/>
      <c r="I10804" s="38"/>
      <c r="J10804" s="37">
        <v>0</v>
      </c>
    </row>
    <row r="10805" spans="1:10" ht="51" hidden="1" x14ac:dyDescent="0.25">
      <c r="A10805" s="179"/>
      <c r="B10805" s="177"/>
      <c r="C10805" s="43" t="s">
        <v>2658</v>
      </c>
      <c r="D10805" s="43" t="s">
        <v>18</v>
      </c>
      <c r="E10805" s="44">
        <v>5</v>
      </c>
      <c r="F10805" s="38" t="s">
        <v>13</v>
      </c>
      <c r="G10805" s="41" t="str">
        <f>IF(ISNUMBER(F10805),E10805*F10805,"")</f>
        <v/>
      </c>
      <c r="H10805" s="46">
        <f>SUM(G10805:G10812)</f>
        <v>1047.1597489999999</v>
      </c>
      <c r="I10805" s="47"/>
      <c r="J10805" s="37">
        <v>0</v>
      </c>
    </row>
    <row r="10806" spans="1:10" ht="38.25" hidden="1" x14ac:dyDescent="0.25">
      <c r="A10806" s="179"/>
      <c r="B10806" s="177"/>
      <c r="C10806" s="43" t="s">
        <v>11711</v>
      </c>
      <c r="D10806" s="43" t="s">
        <v>83</v>
      </c>
      <c r="E10806" s="44">
        <f>4*5</f>
        <v>20</v>
      </c>
      <c r="F10806" s="38">
        <v>1.3584999999999998</v>
      </c>
      <c r="G10806" s="41">
        <f>IF(ISNUMBER(F10806),E10806*F10806,"")</f>
        <v>27.169999999999995</v>
      </c>
      <c r="H10806" s="42"/>
      <c r="I10806" s="47"/>
      <c r="J10806" s="37">
        <v>0</v>
      </c>
    </row>
    <row r="10807" spans="1:10" hidden="1" x14ac:dyDescent="0.25">
      <c r="A10807" s="179"/>
      <c r="B10807" s="177"/>
      <c r="C10807" s="43" t="s">
        <v>11712</v>
      </c>
      <c r="D10807" s="43" t="s">
        <v>1302</v>
      </c>
      <c r="E10807" s="44">
        <f>0.2*5</f>
        <v>1</v>
      </c>
      <c r="F10807" s="38">
        <v>3.2489999999999997</v>
      </c>
      <c r="G10807" s="41">
        <f>IF(ISNUMBER(F10807),E10807*F10807,"")</f>
        <v>3.2489999999999997</v>
      </c>
      <c r="H10807" s="42"/>
      <c r="I10807" s="47"/>
      <c r="J10807" s="37">
        <v>0</v>
      </c>
    </row>
    <row r="10808" spans="1:10" hidden="1" x14ac:dyDescent="0.25">
      <c r="A10808" s="179"/>
      <c r="B10808" s="177"/>
      <c r="C10808" s="43" t="s">
        <v>10933</v>
      </c>
      <c r="D10808" s="43" t="s">
        <v>83</v>
      </c>
      <c r="E10808" s="44">
        <f>4*5</f>
        <v>20</v>
      </c>
      <c r="F10808" s="38">
        <v>0.26600000000000001</v>
      </c>
      <c r="G10808" s="41">
        <f>IF(ISNUMBER(F10808),E10808*F10808,"")</f>
        <v>5.32</v>
      </c>
      <c r="H10808" s="42"/>
      <c r="I10808" s="47"/>
      <c r="J10808" s="37">
        <v>0</v>
      </c>
    </row>
    <row r="10809" spans="1:10" hidden="1" x14ac:dyDescent="0.25">
      <c r="A10809" s="179"/>
      <c r="B10809" s="177"/>
      <c r="C10809" s="43" t="s">
        <v>10762</v>
      </c>
      <c r="D10809" s="43" t="s">
        <v>2800</v>
      </c>
      <c r="E10809" s="44">
        <f>0.633*5</f>
        <v>3.165</v>
      </c>
      <c r="F10809" s="38">
        <v>24.946999999999999</v>
      </c>
      <c r="G10809" s="41">
        <f>IF(ISNUMBER(F10809),E10809*F10809,"")</f>
        <v>78.957255000000004</v>
      </c>
      <c r="H10809" s="42"/>
      <c r="I10809" s="47"/>
      <c r="J10809" s="37">
        <v>0</v>
      </c>
    </row>
    <row r="10810" spans="1:10" ht="25.5" hidden="1" x14ac:dyDescent="0.25">
      <c r="A10810" s="179"/>
      <c r="B10810" s="177"/>
      <c r="C10810" s="43" t="s">
        <v>10753</v>
      </c>
      <c r="D10810" s="43" t="s">
        <v>2800</v>
      </c>
      <c r="E10810" s="44">
        <f>3.0647*5</f>
        <v>15.323500000000001</v>
      </c>
      <c r="F10810" s="38">
        <v>23.997</v>
      </c>
      <c r="G10810" s="41">
        <f>IF(ISNUMBER(F10810),E10810*F10810,"")</f>
        <v>367.7180295</v>
      </c>
      <c r="H10810" s="42"/>
      <c r="I10810" s="47"/>
      <c r="J10810" s="37">
        <v>0</v>
      </c>
    </row>
    <row r="10811" spans="1:10" hidden="1" x14ac:dyDescent="0.25">
      <c r="A10811" s="179"/>
      <c r="B10811" s="177"/>
      <c r="C10811" s="43" t="s">
        <v>10763</v>
      </c>
      <c r="D10811" s="43" t="s">
        <v>2800</v>
      </c>
      <c r="E10811" s="44">
        <f>0.633*5</f>
        <v>3.165</v>
      </c>
      <c r="F10811" s="38">
        <v>31.435500000000001</v>
      </c>
      <c r="G10811" s="41">
        <f>IF(ISNUMBER(F10811),E10811*F10811,"")</f>
        <v>99.493357500000002</v>
      </c>
      <c r="H10811" s="42"/>
      <c r="I10811" s="47"/>
      <c r="J10811" s="37">
        <v>0</v>
      </c>
    </row>
    <row r="10812" spans="1:10" ht="25.5" hidden="1" x14ac:dyDescent="0.25">
      <c r="A10812" s="179"/>
      <c r="B10812" s="177"/>
      <c r="C10812" s="43" t="s">
        <v>10754</v>
      </c>
      <c r="D10812" s="43" t="s">
        <v>2800</v>
      </c>
      <c r="E10812" s="44">
        <f>3.0647*5</f>
        <v>15.323500000000001</v>
      </c>
      <c r="F10812" s="38">
        <v>30.361999999999998</v>
      </c>
      <c r="G10812" s="41">
        <f>IF(ISNUMBER(F10812),E10812*F10812,"")</f>
        <v>465.25210700000002</v>
      </c>
      <c r="H10812" s="42"/>
      <c r="I10812" s="47"/>
      <c r="J10812" s="37">
        <v>0</v>
      </c>
    </row>
    <row r="10813" spans="1:10" ht="15.75" hidden="1" thickBot="1" x14ac:dyDescent="0.3">
      <c r="A10813" s="180"/>
      <c r="B10813" s="178"/>
      <c r="C10813" s="49"/>
      <c r="D10813" s="49"/>
      <c r="E10813" s="50"/>
      <c r="F10813" s="51" t="s">
        <v>13</v>
      </c>
      <c r="G10813" s="52" t="str">
        <f>IF(ISNUMBER(F10813),E10813*F10813,"")</f>
        <v/>
      </c>
      <c r="H10813" s="53"/>
      <c r="I10813" s="38"/>
      <c r="J10813" s="37">
        <v>0</v>
      </c>
    </row>
    <row r="10814" spans="1:10" ht="15.75" hidden="1" thickBot="1" x14ac:dyDescent="0.3">
      <c r="A10814" s="173" t="s">
        <v>2659</v>
      </c>
      <c r="B10814" s="176" t="s">
        <v>10210</v>
      </c>
      <c r="C10814" s="31"/>
      <c r="D10814" s="32" t="s">
        <v>18</v>
      </c>
      <c r="E10814" s="33"/>
      <c r="F10814" s="60" t="s">
        <v>13</v>
      </c>
      <c r="G10814" s="34" t="str">
        <f>IF(ISNUMBER(F10814),E10814*F10814,"")</f>
        <v/>
      </c>
      <c r="H10814" s="35"/>
      <c r="I10814" s="36"/>
      <c r="J10814" s="37">
        <v>0</v>
      </c>
    </row>
    <row r="10815" spans="1:10" hidden="1" x14ac:dyDescent="0.25">
      <c r="A10815" s="179"/>
      <c r="B10815" s="177"/>
      <c r="C10815" s="39"/>
      <c r="D10815" s="39"/>
      <c r="E10815" s="40"/>
      <c r="F10815" s="70" t="s">
        <v>13</v>
      </c>
      <c r="G10815" s="70" t="str">
        <f>IF(ISNUMBER(F10815),E10815*F10815,"")</f>
        <v/>
      </c>
      <c r="H10815" s="71"/>
      <c r="I10815" s="72"/>
      <c r="J10815" s="37">
        <v>0</v>
      </c>
    </row>
    <row r="10816" spans="1:10" ht="63.75" hidden="1" x14ac:dyDescent="0.25">
      <c r="A10816" s="179"/>
      <c r="B10816" s="177"/>
      <c r="C10816" s="43" t="s">
        <v>10781</v>
      </c>
      <c r="D10816" s="43" t="s">
        <v>1050</v>
      </c>
      <c r="E10816" s="44">
        <v>1.9699999999999999E-2</v>
      </c>
      <c r="F10816" s="38">
        <v>140.87549999999999</v>
      </c>
      <c r="G10816" s="70">
        <f>IF(ISNUMBER(F10816),E10816*F10816,"")</f>
        <v>2.7752473499999994</v>
      </c>
      <c r="H10816" s="46">
        <f>SUM(G10816:G10824)</f>
        <v>903.59644975588344</v>
      </c>
      <c r="I10816" s="47"/>
      <c r="J10816" s="37">
        <v>0</v>
      </c>
    </row>
    <row r="10817" spans="1:10" ht="63.75" hidden="1" x14ac:dyDescent="0.25">
      <c r="A10817" s="179"/>
      <c r="B10817" s="177"/>
      <c r="C10817" s="43" t="s">
        <v>10782</v>
      </c>
      <c r="D10817" s="43" t="s">
        <v>10677</v>
      </c>
      <c r="E10817" s="44">
        <v>4.02E-2</v>
      </c>
      <c r="F10817" s="41">
        <v>61.037499999999994</v>
      </c>
      <c r="G10817" s="41">
        <f>IF(ISNUMBER(F10817),E10817*F10817,"")</f>
        <v>2.4537074999999997</v>
      </c>
      <c r="H10817" s="42"/>
      <c r="I10817" s="38"/>
      <c r="J10817" s="37">
        <v>0</v>
      </c>
    </row>
    <row r="10818" spans="1:10" hidden="1" x14ac:dyDescent="0.25">
      <c r="A10818" s="179"/>
      <c r="B10818" s="177"/>
      <c r="C10818" s="43" t="s">
        <v>10861</v>
      </c>
      <c r="D10818" s="43" t="s">
        <v>83</v>
      </c>
      <c r="E10818" s="44">
        <v>208.21899999999999</v>
      </c>
      <c r="F10818" s="38">
        <v>0.71249999999999991</v>
      </c>
      <c r="G10818" s="70">
        <f>IF(ISNUMBER(F10818),E10818*F10818,"")</f>
        <v>148.35603749999999</v>
      </c>
      <c r="H10818" s="57"/>
      <c r="I10818" s="47"/>
      <c r="J10818" s="37">
        <v>0</v>
      </c>
    </row>
    <row r="10819" spans="1:10" ht="38.25" hidden="1" x14ac:dyDescent="0.25">
      <c r="A10819" s="179"/>
      <c r="B10819" s="177"/>
      <c r="C10819" s="43" t="s">
        <v>10705</v>
      </c>
      <c r="D10819" s="43" t="s">
        <v>2880</v>
      </c>
      <c r="E10819" s="44">
        <v>2.1000000000000001E-2</v>
      </c>
      <c r="F10819" s="38">
        <v>619.28009052499988</v>
      </c>
      <c r="G10819" s="70">
        <f>IF(ISNUMBER(F10819),E10819*F10819,"")</f>
        <v>13.004881901024998</v>
      </c>
      <c r="H10819" s="57"/>
      <c r="I10819" s="47"/>
      <c r="J10819" s="37">
        <v>0</v>
      </c>
    </row>
    <row r="10820" spans="1:10" hidden="1" x14ac:dyDescent="0.25">
      <c r="A10820" s="179"/>
      <c r="B10820" s="177"/>
      <c r="C10820" s="43" t="s">
        <v>10757</v>
      </c>
      <c r="D10820" s="43" t="s">
        <v>2800</v>
      </c>
      <c r="E10820" s="44">
        <v>7.1315</v>
      </c>
      <c r="F10820" s="38">
        <v>31.055499999999995</v>
      </c>
      <c r="G10820" s="70">
        <f>IF(ISNUMBER(F10820),E10820*F10820,"")</f>
        <v>221.47229824999997</v>
      </c>
      <c r="H10820" s="57"/>
      <c r="I10820" s="47"/>
      <c r="J10820" s="37">
        <v>0</v>
      </c>
    </row>
    <row r="10821" spans="1:10" hidden="1" x14ac:dyDescent="0.25">
      <c r="A10821" s="179"/>
      <c r="B10821" s="177"/>
      <c r="C10821" s="43" t="s">
        <v>10614</v>
      </c>
      <c r="D10821" s="43" t="s">
        <v>2800</v>
      </c>
      <c r="E10821" s="44">
        <v>5.6033999999999997</v>
      </c>
      <c r="F10821" s="38">
        <v>23.693000000000001</v>
      </c>
      <c r="G10821" s="70">
        <f>IF(ISNUMBER(F10821),E10821*F10821,"")</f>
        <v>132.76135619999999</v>
      </c>
      <c r="H10821" s="57"/>
      <c r="I10821" s="47"/>
      <c r="J10821" s="37">
        <v>0</v>
      </c>
    </row>
    <row r="10822" spans="1:10" ht="25.5" hidden="1" x14ac:dyDescent="0.25">
      <c r="A10822" s="179"/>
      <c r="B10822" s="177"/>
      <c r="C10822" s="43" t="s">
        <v>10746</v>
      </c>
      <c r="D10822" s="43" t="s">
        <v>2880</v>
      </c>
      <c r="E10822" s="44">
        <v>0.1008</v>
      </c>
      <c r="F10822" s="38">
        <v>1670.694650495125</v>
      </c>
      <c r="G10822" s="70">
        <f>IF(ISNUMBER(F10822),E10822*F10822,"")</f>
        <v>168.40602076990859</v>
      </c>
      <c r="H10822" s="57"/>
      <c r="I10822" s="47"/>
      <c r="J10822" s="37">
        <v>0</v>
      </c>
    </row>
    <row r="10823" spans="1:10" ht="38.25" hidden="1" x14ac:dyDescent="0.25">
      <c r="A10823" s="179"/>
      <c r="B10823" s="177"/>
      <c r="C10823" s="43" t="s">
        <v>10733</v>
      </c>
      <c r="D10823" s="43" t="s">
        <v>2880</v>
      </c>
      <c r="E10823" s="44">
        <v>0.1595</v>
      </c>
      <c r="F10823" s="38">
        <v>873.79997084999991</v>
      </c>
      <c r="G10823" s="70">
        <f>IF(ISNUMBER(F10823),E10823*F10823,"")</f>
        <v>139.37109535057499</v>
      </c>
      <c r="H10823" s="57"/>
      <c r="I10823" s="47"/>
      <c r="J10823" s="37">
        <v>0</v>
      </c>
    </row>
    <row r="10824" spans="1:10" ht="25.5" hidden="1" x14ac:dyDescent="0.25">
      <c r="A10824" s="179"/>
      <c r="B10824" s="177"/>
      <c r="C10824" s="43" t="s">
        <v>10715</v>
      </c>
      <c r="D10824" s="43" t="s">
        <v>2880</v>
      </c>
      <c r="E10824" s="44">
        <v>0.16900000000000001</v>
      </c>
      <c r="F10824" s="38">
        <v>443.76215937500001</v>
      </c>
      <c r="G10824" s="70">
        <f>IF(ISNUMBER(F10824),E10824*F10824,"")</f>
        <v>74.995804934375002</v>
      </c>
      <c r="H10824" s="57"/>
      <c r="I10824" s="47"/>
      <c r="J10824" s="37">
        <v>0</v>
      </c>
    </row>
    <row r="10825" spans="1:10" ht="15.75" hidden="1" thickBot="1" x14ac:dyDescent="0.3">
      <c r="A10825" s="180"/>
      <c r="B10825" s="178"/>
      <c r="C10825" s="49"/>
      <c r="D10825" s="63"/>
      <c r="E10825" s="50"/>
      <c r="F10825" s="83" t="s">
        <v>13</v>
      </c>
      <c r="G10825" s="83" t="str">
        <f>IF(ISNUMBER(F10825),E10825*F10825,"")</f>
        <v/>
      </c>
      <c r="H10825" s="84"/>
      <c r="I10825" s="72"/>
      <c r="J10825" s="37">
        <v>0</v>
      </c>
    </row>
    <row r="10826" spans="1:10" ht="15.75" hidden="1" thickBot="1" x14ac:dyDescent="0.3">
      <c r="A10826" s="173" t="s">
        <v>2660</v>
      </c>
      <c r="B10826" s="176" t="s">
        <v>10217</v>
      </c>
      <c r="C10826" s="31"/>
      <c r="D10826" s="32" t="s">
        <v>18</v>
      </c>
      <c r="E10826" s="33"/>
      <c r="F10826" s="60" t="s">
        <v>13</v>
      </c>
      <c r="G10826" s="34" t="str">
        <f>IF(ISNUMBER(F10826),E10826*F10826,"")</f>
        <v/>
      </c>
      <c r="H10826" s="35"/>
      <c r="I10826" s="36"/>
      <c r="J10826" s="37">
        <v>0</v>
      </c>
    </row>
    <row r="10827" spans="1:10" hidden="1" x14ac:dyDescent="0.25">
      <c r="A10827" s="179"/>
      <c r="B10827" s="177"/>
      <c r="C10827" s="39"/>
      <c r="D10827" s="39"/>
      <c r="E10827" s="40"/>
      <c r="F10827" s="70" t="s">
        <v>13</v>
      </c>
      <c r="G10827" s="70" t="str">
        <f>IF(ISNUMBER(F10827),E10827*F10827,"")</f>
        <v/>
      </c>
      <c r="H10827" s="71"/>
      <c r="I10827" s="72"/>
      <c r="J10827" s="37">
        <v>0</v>
      </c>
    </row>
    <row r="10828" spans="1:10" hidden="1" x14ac:dyDescent="0.25">
      <c r="A10828" s="179"/>
      <c r="B10828" s="177"/>
      <c r="C10828" s="43" t="s">
        <v>2661</v>
      </c>
      <c r="D10828" s="43" t="s">
        <v>83</v>
      </c>
      <c r="E10828" s="44">
        <v>1</v>
      </c>
      <c r="F10828" s="38" t="s">
        <v>13</v>
      </c>
      <c r="G10828" s="70" t="str">
        <f>IF(ISNUMBER(F10828),E10828*F10828,"")</f>
        <v/>
      </c>
      <c r="H10828" s="46">
        <f>SUM(G10828:G10831)</f>
        <v>32.853237132271254</v>
      </c>
      <c r="I10828" s="47"/>
      <c r="J10828" s="37">
        <v>0</v>
      </c>
    </row>
    <row r="10829" spans="1:10" hidden="1" x14ac:dyDescent="0.25">
      <c r="A10829" s="179"/>
      <c r="B10829" s="177"/>
      <c r="C10829" s="43" t="s">
        <v>10757</v>
      </c>
      <c r="D10829" s="43" t="s">
        <v>2800</v>
      </c>
      <c r="E10829" s="44">
        <v>0.51090000000000002</v>
      </c>
      <c r="F10829" s="41">
        <v>31.055499999999995</v>
      </c>
      <c r="G10829" s="41">
        <f>IF(ISNUMBER(F10829),E10829*F10829,"")</f>
        <v>15.866254949999998</v>
      </c>
      <c r="H10829" s="42"/>
      <c r="I10829" s="38"/>
      <c r="J10829" s="37">
        <v>0</v>
      </c>
    </row>
    <row r="10830" spans="1:10" hidden="1" x14ac:dyDescent="0.25">
      <c r="A10830" s="179"/>
      <c r="B10830" s="177"/>
      <c r="C10830" s="43" t="s">
        <v>10614</v>
      </c>
      <c r="D10830" s="43" t="s">
        <v>2800</v>
      </c>
      <c r="E10830" s="44">
        <v>0.51090000000000002</v>
      </c>
      <c r="F10830" s="38">
        <v>23.693000000000001</v>
      </c>
      <c r="G10830" s="70">
        <f>IF(ISNUMBER(F10830),E10830*F10830,"")</f>
        <v>12.104753700000002</v>
      </c>
      <c r="H10830" s="57"/>
      <c r="I10830" s="47"/>
      <c r="J10830" s="37">
        <v>0</v>
      </c>
    </row>
    <row r="10831" spans="1:10" ht="25.5" hidden="1" x14ac:dyDescent="0.25">
      <c r="A10831" s="179"/>
      <c r="B10831" s="177"/>
      <c r="C10831" s="43" t="s">
        <v>10679</v>
      </c>
      <c r="D10831" s="43" t="s">
        <v>2880</v>
      </c>
      <c r="E10831" s="44">
        <v>6.1000000000000004E-3</v>
      </c>
      <c r="F10831" s="38">
        <v>800.36532496250004</v>
      </c>
      <c r="G10831" s="70">
        <f>IF(ISNUMBER(F10831),E10831*F10831,"")</f>
        <v>4.8822284822712509</v>
      </c>
      <c r="H10831" s="57"/>
      <c r="I10831" s="47"/>
      <c r="J10831" s="37">
        <v>0</v>
      </c>
    </row>
    <row r="10832" spans="1:10" ht="15.75" hidden="1" thickBot="1" x14ac:dyDescent="0.3">
      <c r="A10832" s="180"/>
      <c r="B10832" s="178"/>
      <c r="C10832" s="49"/>
      <c r="D10832" s="63"/>
      <c r="E10832" s="50"/>
      <c r="F10832" s="83" t="s">
        <v>13</v>
      </c>
      <c r="G10832" s="83" t="str">
        <f>IF(ISNUMBER(F10832),E10832*F10832,"")</f>
        <v/>
      </c>
      <c r="H10832" s="84"/>
      <c r="I10832" s="72"/>
      <c r="J10832" s="37">
        <v>0</v>
      </c>
    </row>
    <row r="10833" spans="1:10" ht="15.75" hidden="1" thickBot="1" x14ac:dyDescent="0.3">
      <c r="A10833" s="173" t="s">
        <v>2662</v>
      </c>
      <c r="B10833" s="176" t="s">
        <v>10218</v>
      </c>
      <c r="C10833" s="31"/>
      <c r="D10833" s="32" t="s">
        <v>72</v>
      </c>
      <c r="E10833" s="33"/>
      <c r="F10833" s="60" t="s">
        <v>13</v>
      </c>
      <c r="G10833" s="34" t="str">
        <f>IF(ISNUMBER(F10833),E10833*F10833,"")</f>
        <v/>
      </c>
      <c r="H10833" s="35"/>
      <c r="I10833" s="36"/>
      <c r="J10833" s="37">
        <v>0</v>
      </c>
    </row>
    <row r="10834" spans="1:10" hidden="1" x14ac:dyDescent="0.25">
      <c r="A10834" s="179"/>
      <c r="B10834" s="177"/>
      <c r="C10834" s="39"/>
      <c r="D10834" s="39"/>
      <c r="E10834" s="40"/>
      <c r="F10834" s="70" t="s">
        <v>13</v>
      </c>
      <c r="G10834" s="70" t="str">
        <f>IF(ISNUMBER(F10834),E10834*F10834,"")</f>
        <v/>
      </c>
      <c r="H10834" s="71"/>
      <c r="I10834" s="72"/>
      <c r="J10834" s="37">
        <v>0</v>
      </c>
    </row>
    <row r="10835" spans="1:10" ht="38.25" hidden="1" x14ac:dyDescent="0.25">
      <c r="A10835" s="179"/>
      <c r="B10835" s="177"/>
      <c r="C10835" s="43" t="s">
        <v>10952</v>
      </c>
      <c r="D10835" s="43" t="s">
        <v>1050</v>
      </c>
      <c r="E10835" s="44">
        <v>2.0999999999999999E-3</v>
      </c>
      <c r="F10835" s="38">
        <v>328.45299999999997</v>
      </c>
      <c r="G10835" s="70">
        <f>IF(ISNUMBER(F10835),E10835*F10835,"")</f>
        <v>0.68975129999999996</v>
      </c>
      <c r="H10835" s="46">
        <f>SUM(G10835:G10846)</f>
        <v>16.30585795</v>
      </c>
      <c r="I10835" s="47"/>
      <c r="J10835" s="37">
        <v>0</v>
      </c>
    </row>
    <row r="10836" spans="1:10" ht="38.25" hidden="1" x14ac:dyDescent="0.25">
      <c r="A10836" s="179"/>
      <c r="B10836" s="177"/>
      <c r="C10836" s="43" t="s">
        <v>10953</v>
      </c>
      <c r="D10836" s="43" t="s">
        <v>10677</v>
      </c>
      <c r="E10836" s="44">
        <v>1.09E-2</v>
      </c>
      <c r="F10836" s="41">
        <v>167.39949999999999</v>
      </c>
      <c r="G10836" s="41">
        <f>IF(ISNUMBER(F10836),E10836*F10836,"")</f>
        <v>1.82465455</v>
      </c>
      <c r="H10836" s="42"/>
      <c r="I10836" s="38"/>
      <c r="J10836" s="37">
        <v>0</v>
      </c>
    </row>
    <row r="10837" spans="1:10" hidden="1" x14ac:dyDescent="0.25">
      <c r="A10837" s="179"/>
      <c r="B10837" s="177"/>
      <c r="C10837" s="43" t="s">
        <v>10846</v>
      </c>
      <c r="D10837" s="43" t="s">
        <v>1044</v>
      </c>
      <c r="E10837" s="44">
        <v>4.9000000000000002E-2</v>
      </c>
      <c r="F10837" s="38">
        <v>41.8</v>
      </c>
      <c r="G10837" s="70">
        <f>IF(ISNUMBER(F10837),E10837*F10837,"")</f>
        <v>2.0482</v>
      </c>
      <c r="H10837" s="57"/>
      <c r="I10837" s="47"/>
      <c r="J10837" s="37">
        <v>0</v>
      </c>
    </row>
    <row r="10838" spans="1:10" hidden="1" x14ac:dyDescent="0.25">
      <c r="A10838" s="179"/>
      <c r="B10838" s="177"/>
      <c r="C10838" s="43" t="s">
        <v>10808</v>
      </c>
      <c r="D10838" s="43" t="s">
        <v>2800</v>
      </c>
      <c r="E10838" s="44">
        <v>0.02</v>
      </c>
      <c r="F10838" s="38">
        <v>31.729999999999997</v>
      </c>
      <c r="G10838" s="70">
        <f>IF(ISNUMBER(F10838),E10838*F10838,"")</f>
        <v>0.63459999999999994</v>
      </c>
      <c r="H10838" s="57"/>
      <c r="I10838" s="47"/>
      <c r="J10838" s="37">
        <v>0</v>
      </c>
    </row>
    <row r="10839" spans="1:10" ht="25.5" hidden="1" x14ac:dyDescent="0.25">
      <c r="A10839" s="179"/>
      <c r="B10839" s="177"/>
      <c r="C10839" s="43" t="s">
        <v>10843</v>
      </c>
      <c r="D10839" s="43" t="s">
        <v>2800</v>
      </c>
      <c r="E10839" s="44">
        <v>0.1</v>
      </c>
      <c r="F10839" s="38">
        <v>23.388999999999999</v>
      </c>
      <c r="G10839" s="70">
        <f>IF(ISNUMBER(F10839),E10839*F10839,"")</f>
        <v>2.3389000000000002</v>
      </c>
      <c r="H10839" s="57"/>
      <c r="I10839" s="47"/>
      <c r="J10839" s="37">
        <v>0</v>
      </c>
    </row>
    <row r="10840" spans="1:10" ht="25.5" hidden="1" x14ac:dyDescent="0.25">
      <c r="A10840" s="179"/>
      <c r="B10840" s="177"/>
      <c r="C10840" s="43" t="s">
        <v>10825</v>
      </c>
      <c r="D10840" s="43" t="s">
        <v>2800</v>
      </c>
      <c r="E10840" s="44">
        <v>0.3</v>
      </c>
      <c r="F10840" s="38">
        <v>25.383999999999997</v>
      </c>
      <c r="G10840" s="70">
        <f>IF(ISNUMBER(F10840),E10840*F10840,"")</f>
        <v>7.6151999999999989</v>
      </c>
      <c r="H10840" s="57"/>
      <c r="I10840" s="47"/>
      <c r="J10840" s="37">
        <v>0</v>
      </c>
    </row>
    <row r="10841" spans="1:10" hidden="1" x14ac:dyDescent="0.25">
      <c r="A10841" s="179"/>
      <c r="B10841" s="177"/>
      <c r="C10841" s="43" t="s">
        <v>10673</v>
      </c>
      <c r="D10841" s="43" t="s">
        <v>70</v>
      </c>
      <c r="E10841" s="44">
        <f>0.003*3.6</f>
        <v>1.0800000000000001E-2</v>
      </c>
      <c r="F10841" s="38">
        <v>48.221999999999994</v>
      </c>
      <c r="G10841" s="70">
        <f>IF(ISNUMBER(F10841),E10841*F10841,"")</f>
        <v>0.52079759999999997</v>
      </c>
      <c r="H10841" s="57"/>
      <c r="I10841" s="47"/>
      <c r="J10841" s="37">
        <v>0</v>
      </c>
    </row>
    <row r="10842" spans="1:10" hidden="1" x14ac:dyDescent="0.25">
      <c r="A10842" s="179"/>
      <c r="B10842" s="177"/>
      <c r="C10842" s="43" t="s">
        <v>10844</v>
      </c>
      <c r="D10842" s="43" t="s">
        <v>2800</v>
      </c>
      <c r="E10842" s="44">
        <v>0.02</v>
      </c>
      <c r="F10842" s="38">
        <v>25.1845</v>
      </c>
      <c r="G10842" s="70">
        <f>IF(ISNUMBER(F10842),E10842*F10842,"")</f>
        <v>0.50368999999999997</v>
      </c>
      <c r="H10842" s="57"/>
      <c r="I10842" s="47"/>
      <c r="J10842" s="37">
        <v>0</v>
      </c>
    </row>
    <row r="10843" spans="1:10" ht="25.5" hidden="1" x14ac:dyDescent="0.25">
      <c r="A10843" s="179"/>
      <c r="B10843" s="177"/>
      <c r="C10843" s="43" t="s">
        <v>11865</v>
      </c>
      <c r="D10843" s="43" t="s">
        <v>83</v>
      </c>
      <c r="E10843" s="44">
        <v>3.0000000000000001E-3</v>
      </c>
      <c r="F10843" s="38">
        <v>4.0754999999999999</v>
      </c>
      <c r="G10843" s="70">
        <f>IF(ISNUMBER(F10843),E10843*F10843,"")</f>
        <v>1.22265E-2</v>
      </c>
      <c r="H10843" s="57"/>
      <c r="I10843" s="47"/>
      <c r="J10843" s="37">
        <v>0</v>
      </c>
    </row>
    <row r="10844" spans="1:10" ht="25.5" hidden="1" x14ac:dyDescent="0.25">
      <c r="A10844" s="179"/>
      <c r="B10844" s="177"/>
      <c r="C10844" s="43" t="s">
        <v>82</v>
      </c>
      <c r="D10844" s="43" t="s">
        <v>83</v>
      </c>
      <c r="E10844" s="44">
        <f>0.2219/7396.43</f>
        <v>3.0000959922557231E-5</v>
      </c>
      <c r="F10844" s="38" t="s">
        <v>13</v>
      </c>
      <c r="G10844" s="70" t="str">
        <f>IF(ISNUMBER(F10844),E10844*F10844,"")</f>
        <v/>
      </c>
      <c r="H10844" s="57"/>
      <c r="I10844" s="47"/>
      <c r="J10844" s="37">
        <v>0</v>
      </c>
    </row>
    <row r="10845" spans="1:10" ht="25.5" hidden="1" x14ac:dyDescent="0.25">
      <c r="A10845" s="179"/>
      <c r="B10845" s="177"/>
      <c r="C10845" s="43" t="s">
        <v>11866</v>
      </c>
      <c r="D10845" s="43" t="s">
        <v>1044</v>
      </c>
      <c r="E10845" s="44">
        <v>1.4E-2</v>
      </c>
      <c r="F10845" s="38">
        <v>8.4169999999999998</v>
      </c>
      <c r="G10845" s="70">
        <f>IF(ISNUMBER(F10845),E10845*F10845,"")</f>
        <v>0.117838</v>
      </c>
      <c r="H10845" s="57"/>
      <c r="I10845" s="47"/>
      <c r="J10845" s="37">
        <v>0</v>
      </c>
    </row>
    <row r="10846" spans="1:10" hidden="1" x14ac:dyDescent="0.25">
      <c r="A10846" s="179"/>
      <c r="B10846" s="177"/>
      <c r="C10846" s="43" t="s">
        <v>2663</v>
      </c>
      <c r="D10846" s="43" t="s">
        <v>1044</v>
      </c>
      <c r="E10846" s="44">
        <v>0.98599999999999999</v>
      </c>
      <c r="F10846" s="38" t="s">
        <v>13</v>
      </c>
      <c r="G10846" s="70" t="str">
        <f>IF(ISNUMBER(F10846),E10846*F10846,"")</f>
        <v/>
      </c>
      <c r="H10846" s="57"/>
      <c r="I10846" s="47"/>
      <c r="J10846" s="37">
        <v>0</v>
      </c>
    </row>
    <row r="10847" spans="1:10" ht="15.75" hidden="1" thickBot="1" x14ac:dyDescent="0.3">
      <c r="A10847" s="180"/>
      <c r="B10847" s="178"/>
      <c r="C10847" s="49"/>
      <c r="D10847" s="63"/>
      <c r="E10847" s="50"/>
      <c r="F10847" s="83" t="s">
        <v>13</v>
      </c>
      <c r="G10847" s="83" t="str">
        <f>IF(ISNUMBER(F10847),E10847*F10847,"")</f>
        <v/>
      </c>
      <c r="H10847" s="84"/>
      <c r="I10847" s="72"/>
      <c r="J10847" s="37">
        <v>0</v>
      </c>
    </row>
    <row r="10848" spans="1:10" ht="15.75" hidden="1" thickBot="1" x14ac:dyDescent="0.3">
      <c r="A10848" s="173" t="s">
        <v>2664</v>
      </c>
      <c r="B10848" s="176" t="s">
        <v>10219</v>
      </c>
      <c r="C10848" s="31"/>
      <c r="D10848" s="32" t="s">
        <v>68</v>
      </c>
      <c r="E10848" s="33"/>
      <c r="F10848" s="60" t="s">
        <v>13</v>
      </c>
      <c r="G10848" s="34" t="str">
        <f>IF(ISNUMBER(F10848),E10848*F10848,"")</f>
        <v/>
      </c>
      <c r="H10848" s="35"/>
      <c r="I10848" s="36"/>
      <c r="J10848" s="37">
        <v>0</v>
      </c>
    </row>
    <row r="10849" spans="1:10" hidden="1" x14ac:dyDescent="0.25">
      <c r="A10849" s="179"/>
      <c r="B10849" s="177"/>
      <c r="C10849" s="39"/>
      <c r="D10849" s="39"/>
      <c r="E10849" s="40"/>
      <c r="F10849" s="70" t="s">
        <v>13</v>
      </c>
      <c r="G10849" s="70" t="str">
        <f>IF(ISNUMBER(F10849),E10849*F10849,"")</f>
        <v/>
      </c>
      <c r="H10849" s="71"/>
      <c r="I10849" s="72"/>
      <c r="J10849" s="37">
        <v>0</v>
      </c>
    </row>
    <row r="10850" spans="1:10" ht="51" hidden="1" x14ac:dyDescent="0.25">
      <c r="A10850" s="179"/>
      <c r="B10850" s="177"/>
      <c r="C10850" s="43" t="s">
        <v>2665</v>
      </c>
      <c r="D10850" s="43" t="s">
        <v>18</v>
      </c>
      <c r="E10850" s="44">
        <v>1.1100000000000001</v>
      </c>
      <c r="F10850" s="70" t="s">
        <v>13</v>
      </c>
      <c r="G10850" s="70" t="str">
        <f>IF(ISNUMBER(F10850),E10850*F10850,"")</f>
        <v/>
      </c>
      <c r="H10850" s="46">
        <f>SUM(G10850:G10853)</f>
        <v>7.3243954999999996</v>
      </c>
      <c r="I10850" s="47"/>
      <c r="J10850" s="37">
        <v>0</v>
      </c>
    </row>
    <row r="10851" spans="1:10" ht="25.5" hidden="1" x14ac:dyDescent="0.25">
      <c r="A10851" s="179"/>
      <c r="B10851" s="177"/>
      <c r="C10851" s="43" t="s">
        <v>2666</v>
      </c>
      <c r="D10851" s="43" t="s">
        <v>72</v>
      </c>
      <c r="E10851" s="44">
        <v>0.3</v>
      </c>
      <c r="F10851" s="70" t="s">
        <v>13</v>
      </c>
      <c r="G10851" s="70" t="str">
        <f>IF(ISNUMBER(F10851),E10851*F10851,"")</f>
        <v/>
      </c>
      <c r="H10851" s="71"/>
      <c r="I10851" s="47"/>
      <c r="J10851" s="37">
        <v>0</v>
      </c>
    </row>
    <row r="10852" spans="1:10" hidden="1" x14ac:dyDescent="0.25">
      <c r="A10852" s="179"/>
      <c r="B10852" s="177"/>
      <c r="C10852" s="43" t="s">
        <v>10757</v>
      </c>
      <c r="D10852" s="43" t="s">
        <v>2800</v>
      </c>
      <c r="E10852" s="44">
        <v>0.17100000000000001</v>
      </c>
      <c r="F10852" s="38">
        <v>31.055499999999995</v>
      </c>
      <c r="G10852" s="41">
        <f>IF(ISNUMBER(F10852),E10852*F10852,"")</f>
        <v>5.3104904999999993</v>
      </c>
      <c r="H10852" s="71"/>
      <c r="I10852" s="72"/>
      <c r="J10852" s="37">
        <v>0</v>
      </c>
    </row>
    <row r="10853" spans="1:10" hidden="1" x14ac:dyDescent="0.25">
      <c r="A10853" s="179"/>
      <c r="B10853" s="177"/>
      <c r="C10853" s="43" t="s">
        <v>10614</v>
      </c>
      <c r="D10853" s="43" t="s">
        <v>2800</v>
      </c>
      <c r="E10853" s="44">
        <v>8.5000000000000006E-2</v>
      </c>
      <c r="F10853" s="38">
        <v>23.693000000000001</v>
      </c>
      <c r="G10853" s="41">
        <f>IF(ISNUMBER(F10853),E10853*F10853,"")</f>
        <v>2.0139050000000003</v>
      </c>
      <c r="H10853" s="71"/>
      <c r="I10853" s="72"/>
      <c r="J10853" s="37">
        <v>0</v>
      </c>
    </row>
    <row r="10854" spans="1:10" ht="15.75" hidden="1" thickBot="1" x14ac:dyDescent="0.3">
      <c r="A10854" s="180"/>
      <c r="B10854" s="178"/>
      <c r="C10854" s="49"/>
      <c r="D10854" s="49"/>
      <c r="E10854" s="50"/>
      <c r="F10854" s="83" t="s">
        <v>13</v>
      </c>
      <c r="G10854" s="83" t="str">
        <f>IF(ISNUMBER(F10854),E10854*F10854,"")</f>
        <v/>
      </c>
      <c r="H10854" s="84"/>
      <c r="I10854" s="72"/>
      <c r="J10854" s="37">
        <v>0</v>
      </c>
    </row>
    <row r="10855" spans="1:10" ht="15.75" hidden="1" thickBot="1" x14ac:dyDescent="0.3">
      <c r="A10855" s="179" t="s">
        <v>2667</v>
      </c>
      <c r="B10855" s="177" t="s">
        <v>10220</v>
      </c>
      <c r="C10855" s="56"/>
      <c r="D10855" s="48" t="s">
        <v>3982</v>
      </c>
      <c r="E10855" s="95"/>
      <c r="F10855" s="96" t="s">
        <v>13</v>
      </c>
      <c r="G10855" s="97" t="str">
        <f>IF(ISNUMBER(F10855),E10855*F10855,"")</f>
        <v/>
      </c>
      <c r="H10855" s="98"/>
      <c r="I10855" s="36"/>
      <c r="J10855" s="37">
        <v>0</v>
      </c>
    </row>
    <row r="10856" spans="1:10" hidden="1" x14ac:dyDescent="0.25">
      <c r="A10856" s="179"/>
      <c r="B10856" s="177"/>
      <c r="C10856" s="39"/>
      <c r="D10856" s="39"/>
      <c r="E10856" s="40"/>
      <c r="F10856" s="70" t="s">
        <v>13</v>
      </c>
      <c r="G10856" s="70" t="str">
        <f>IF(ISNUMBER(F10856),E10856*F10856,"")</f>
        <v/>
      </c>
      <c r="H10856" s="71"/>
      <c r="I10856" s="72"/>
      <c r="J10856" s="37">
        <v>0</v>
      </c>
    </row>
    <row r="10857" spans="1:10" hidden="1" x14ac:dyDescent="0.25">
      <c r="A10857" s="179"/>
      <c r="B10857" s="177"/>
      <c r="C10857" s="43" t="s">
        <v>11081</v>
      </c>
      <c r="D10857" s="43" t="s">
        <v>2800</v>
      </c>
      <c r="E10857" s="44" t="e">
        <f>IF(#REF!="Desonerado",ROUND(220/(1+'[1]Serviços SINAPI'!$E$6),4),ROUND(220/(1+'[1]Serviços SINAPI'!$F$6),4))</f>
        <v>#REF!</v>
      </c>
      <c r="F10857" s="38">
        <v>19.845500000000001</v>
      </c>
      <c r="G10857" s="70" t="e">
        <f>IF(ISNUMBER(F10857),E10857*F10857,"")</f>
        <v>#REF!</v>
      </c>
      <c r="H10857" s="46" t="e">
        <f>SUM(G10857:G10857)</f>
        <v>#REF!</v>
      </c>
      <c r="I10857" s="47"/>
      <c r="J10857" s="37">
        <v>0</v>
      </c>
    </row>
    <row r="10858" spans="1:10" hidden="1" x14ac:dyDescent="0.25">
      <c r="A10858" s="179"/>
      <c r="B10858" s="177"/>
      <c r="C10858" s="39"/>
      <c r="D10858" s="39"/>
      <c r="E10858" s="40"/>
      <c r="F10858" s="70" t="s">
        <v>13</v>
      </c>
      <c r="G10858" s="70" t="str">
        <f>IF(ISNUMBER(F10858),E10858*F10858,"")</f>
        <v/>
      </c>
      <c r="H10858" s="71"/>
      <c r="I10858" s="72"/>
      <c r="J10858" s="37">
        <v>0</v>
      </c>
    </row>
    <row r="10859" spans="1:10" ht="25.5" hidden="1" x14ac:dyDescent="0.25">
      <c r="A10859" s="179"/>
      <c r="B10859" s="177"/>
      <c r="C10859" s="4" t="s">
        <v>668</v>
      </c>
      <c r="D10859" s="39"/>
      <c r="E10859" s="40"/>
      <c r="F10859" s="70" t="s">
        <v>13</v>
      </c>
      <c r="G10859" s="70" t="str">
        <f>IF(ISNUMBER(F10859),E10859*F10859,"")</f>
        <v/>
      </c>
      <c r="H10859" s="71"/>
      <c r="I10859" s="72"/>
      <c r="J10859" s="37">
        <v>0</v>
      </c>
    </row>
    <row r="10860" spans="1:10" ht="15.75" hidden="1" thickBot="1" x14ac:dyDescent="0.3">
      <c r="A10860" s="180"/>
      <c r="B10860" s="178"/>
      <c r="C10860" s="49"/>
      <c r="D10860" s="63"/>
      <c r="E10860" s="50"/>
      <c r="F10860" s="83" t="s">
        <v>13</v>
      </c>
      <c r="G10860" s="83" t="str">
        <f>IF(ISNUMBER(F10860),E10860*F10860,"")</f>
        <v/>
      </c>
      <c r="H10860" s="84"/>
      <c r="I10860" s="72"/>
      <c r="J10860" s="37">
        <v>0</v>
      </c>
    </row>
    <row r="10861" spans="1:10" ht="15.75" hidden="1" thickBot="1" x14ac:dyDescent="0.3">
      <c r="A10861" s="173" t="s">
        <v>2668</v>
      </c>
      <c r="B10861" s="176" t="s">
        <v>10221</v>
      </c>
      <c r="C10861" s="31"/>
      <c r="D10861" s="32" t="s">
        <v>106</v>
      </c>
      <c r="E10861" s="33"/>
      <c r="F10861" s="60" t="s">
        <v>13</v>
      </c>
      <c r="G10861" s="34" t="str">
        <f>IF(ISNUMBER(F10861),E10861*F10861,"")</f>
        <v/>
      </c>
      <c r="H10861" s="35"/>
      <c r="I10861" s="36"/>
      <c r="J10861" s="37">
        <v>0</v>
      </c>
    </row>
    <row r="10862" spans="1:10" hidden="1" x14ac:dyDescent="0.25">
      <c r="A10862" s="179"/>
      <c r="B10862" s="177"/>
      <c r="C10862" s="39"/>
      <c r="D10862" s="39"/>
      <c r="E10862" s="40"/>
      <c r="F10862" s="70" t="s">
        <v>13</v>
      </c>
      <c r="G10862" s="70" t="str">
        <f>IF(ISNUMBER(F10862),E10862*F10862,"")</f>
        <v/>
      </c>
      <c r="H10862" s="71"/>
      <c r="I10862" s="72"/>
      <c r="J10862" s="37">
        <v>0</v>
      </c>
    </row>
    <row r="10863" spans="1:10" hidden="1" x14ac:dyDescent="0.25">
      <c r="A10863" s="179"/>
      <c r="B10863" s="177"/>
      <c r="C10863" s="43" t="s">
        <v>2669</v>
      </c>
      <c r="D10863" s="43" t="s">
        <v>18</v>
      </c>
      <c r="E10863" s="44">
        <v>1</v>
      </c>
      <c r="F10863" s="70" t="s">
        <v>13</v>
      </c>
      <c r="G10863" s="70" t="str">
        <f>IF(ISNUMBER(F10863),E10863*F10863,"")</f>
        <v/>
      </c>
      <c r="H10863" s="46">
        <f>SUM(G10863:G10865)</f>
        <v>82.692750000000004</v>
      </c>
      <c r="I10863" s="47"/>
      <c r="J10863" s="37">
        <v>0</v>
      </c>
    </row>
    <row r="10864" spans="1:10" hidden="1" x14ac:dyDescent="0.25">
      <c r="A10864" s="179"/>
      <c r="B10864" s="177"/>
      <c r="C10864" s="43" t="s">
        <v>10763</v>
      </c>
      <c r="D10864" s="43" t="s">
        <v>2800</v>
      </c>
      <c r="E10864" s="44">
        <v>1.5</v>
      </c>
      <c r="F10864" s="38">
        <v>31.435500000000001</v>
      </c>
      <c r="G10864" s="41">
        <f>IF(ISNUMBER(F10864),E10864*F10864,"")</f>
        <v>47.15325</v>
      </c>
      <c r="H10864" s="71"/>
      <c r="I10864" s="72"/>
      <c r="J10864" s="37">
        <v>0</v>
      </c>
    </row>
    <row r="10865" spans="1:10" hidden="1" x14ac:dyDescent="0.25">
      <c r="A10865" s="179"/>
      <c r="B10865" s="177"/>
      <c r="C10865" s="43" t="s">
        <v>10614</v>
      </c>
      <c r="D10865" s="43" t="s">
        <v>2800</v>
      </c>
      <c r="E10865" s="44">
        <v>1.5</v>
      </c>
      <c r="F10865" s="38">
        <v>23.693000000000001</v>
      </c>
      <c r="G10865" s="41">
        <f>IF(ISNUMBER(F10865),E10865*F10865,"")</f>
        <v>35.539500000000004</v>
      </c>
      <c r="H10865" s="71"/>
      <c r="I10865" s="72"/>
      <c r="J10865" s="37">
        <v>0</v>
      </c>
    </row>
    <row r="10866" spans="1:10" ht="15.75" hidden="1" thickBot="1" x14ac:dyDescent="0.3">
      <c r="A10866" s="179"/>
      <c r="B10866" s="177"/>
      <c r="C10866" s="49"/>
      <c r="D10866" s="49"/>
      <c r="E10866" s="50"/>
      <c r="F10866" s="83" t="s">
        <v>13</v>
      </c>
      <c r="G10866" s="83" t="str">
        <f>IF(ISNUMBER(F10866),E10866*F10866,"")</f>
        <v/>
      </c>
      <c r="H10866" s="84"/>
      <c r="I10866" s="72"/>
      <c r="J10866" s="37">
        <v>0</v>
      </c>
    </row>
    <row r="10867" spans="1:10" ht="15.75" hidden="1" thickBot="1" x14ac:dyDescent="0.3">
      <c r="A10867" s="173" t="s">
        <v>2670</v>
      </c>
      <c r="B10867" s="176" t="s">
        <v>10222</v>
      </c>
      <c r="C10867" s="31"/>
      <c r="D10867" s="32" t="s">
        <v>18</v>
      </c>
      <c r="E10867" s="33"/>
      <c r="F10867" s="60" t="s">
        <v>13</v>
      </c>
      <c r="G10867" s="34" t="str">
        <f>IF(ISNUMBER(F10867),E10867*F10867,"")</f>
        <v/>
      </c>
      <c r="H10867" s="35"/>
      <c r="I10867" s="36"/>
      <c r="J10867" s="37">
        <v>0</v>
      </c>
    </row>
    <row r="10868" spans="1:10" hidden="1" x14ac:dyDescent="0.25">
      <c r="A10868" s="179"/>
      <c r="B10868" s="177"/>
      <c r="C10868" s="39"/>
      <c r="D10868" s="39"/>
      <c r="E10868" s="40"/>
      <c r="F10868" s="70" t="s">
        <v>13</v>
      </c>
      <c r="G10868" s="70" t="str">
        <f>IF(ISNUMBER(F10868),E10868*F10868,"")</f>
        <v/>
      </c>
      <c r="H10868" s="71"/>
      <c r="I10868" s="72"/>
      <c r="J10868" s="37">
        <v>0</v>
      </c>
    </row>
    <row r="10869" spans="1:10" ht="25.5" hidden="1" x14ac:dyDescent="0.25">
      <c r="A10869" s="179"/>
      <c r="B10869" s="177"/>
      <c r="C10869" s="43" t="s">
        <v>2671</v>
      </c>
      <c r="D10869" s="43" t="s">
        <v>18</v>
      </c>
      <c r="E10869" s="44">
        <v>1</v>
      </c>
      <c r="F10869" s="38" t="s">
        <v>13</v>
      </c>
      <c r="G10869" s="70" t="str">
        <f>IF(ISNUMBER(F10869),E10869*F10869,"")</f>
        <v/>
      </c>
      <c r="H10869" s="46">
        <f>SUM(G10869:G10872)</f>
        <v>34.000490500000005</v>
      </c>
      <c r="I10869" s="47"/>
      <c r="J10869" s="37">
        <v>0</v>
      </c>
    </row>
    <row r="10870" spans="1:10" ht="25.5" hidden="1" x14ac:dyDescent="0.25">
      <c r="A10870" s="179"/>
      <c r="B10870" s="177"/>
      <c r="C10870" s="43" t="s">
        <v>11867</v>
      </c>
      <c r="D10870" s="43" t="s">
        <v>83</v>
      </c>
      <c r="E10870" s="44">
        <v>0.4</v>
      </c>
      <c r="F10870" s="41">
        <v>11.5425</v>
      </c>
      <c r="G10870" s="41">
        <f>IF(ISNUMBER(F10870),E10870*F10870,"")</f>
        <v>4.617</v>
      </c>
      <c r="H10870" s="42"/>
      <c r="I10870" s="38"/>
      <c r="J10870" s="37">
        <v>0</v>
      </c>
    </row>
    <row r="10871" spans="1:10" hidden="1" x14ac:dyDescent="0.25">
      <c r="A10871" s="179"/>
      <c r="B10871" s="177"/>
      <c r="C10871" s="43" t="s">
        <v>10763</v>
      </c>
      <c r="D10871" s="43" t="s">
        <v>2800</v>
      </c>
      <c r="E10871" s="44">
        <v>0.53300000000000003</v>
      </c>
      <c r="F10871" s="38">
        <v>31.435500000000001</v>
      </c>
      <c r="G10871" s="70">
        <f>IF(ISNUMBER(F10871),E10871*F10871,"")</f>
        <v>16.755121500000001</v>
      </c>
      <c r="H10871" s="57"/>
      <c r="I10871" s="47"/>
      <c r="J10871" s="37">
        <v>0</v>
      </c>
    </row>
    <row r="10872" spans="1:10" hidden="1" x14ac:dyDescent="0.25">
      <c r="A10872" s="179"/>
      <c r="B10872" s="177"/>
      <c r="C10872" s="43" t="s">
        <v>10614</v>
      </c>
      <c r="D10872" s="43" t="s">
        <v>2800</v>
      </c>
      <c r="E10872" s="44">
        <v>0.53300000000000003</v>
      </c>
      <c r="F10872" s="38">
        <v>23.693000000000001</v>
      </c>
      <c r="G10872" s="70">
        <f>IF(ISNUMBER(F10872),E10872*F10872,"")</f>
        <v>12.628369000000001</v>
      </c>
      <c r="H10872" s="57"/>
      <c r="I10872" s="47"/>
      <c r="J10872" s="37">
        <v>0</v>
      </c>
    </row>
    <row r="10873" spans="1:10" ht="15.75" hidden="1" thickBot="1" x14ac:dyDescent="0.3">
      <c r="A10873" s="180"/>
      <c r="B10873" s="178"/>
      <c r="C10873" s="49"/>
      <c r="D10873" s="63"/>
      <c r="E10873" s="50"/>
      <c r="F10873" s="83" t="s">
        <v>13</v>
      </c>
      <c r="G10873" s="83" t="str">
        <f>IF(ISNUMBER(F10873),E10873*F10873,"")</f>
        <v/>
      </c>
      <c r="H10873" s="84"/>
      <c r="I10873" s="72"/>
      <c r="J10873" s="37">
        <v>0</v>
      </c>
    </row>
    <row r="10874" spans="1:10" ht="15.75" hidden="1" thickBot="1" x14ac:dyDescent="0.3">
      <c r="A10874" s="173" t="s">
        <v>2672</v>
      </c>
      <c r="B10874" s="176" t="s">
        <v>10232</v>
      </c>
      <c r="C10874" s="31"/>
      <c r="D10874" s="32" t="s">
        <v>18</v>
      </c>
      <c r="E10874" s="33"/>
      <c r="F10874" s="54" t="s">
        <v>13</v>
      </c>
      <c r="G10874" s="34" t="str">
        <f>IF(ISNUMBER(F10874),E10874*F10874,"")</f>
        <v/>
      </c>
      <c r="H10874" s="35"/>
      <c r="I10874" s="36"/>
      <c r="J10874" s="37">
        <v>0</v>
      </c>
    </row>
    <row r="10875" spans="1:10" hidden="1" x14ac:dyDescent="0.25">
      <c r="A10875" s="174"/>
      <c r="B10875" s="177"/>
      <c r="C10875" s="39"/>
      <c r="D10875" s="39"/>
      <c r="E10875" s="40"/>
      <c r="F10875" s="55" t="s">
        <v>13</v>
      </c>
      <c r="G10875" s="38" t="str">
        <f>IF(ISNUMBER(F10875),E10875*F10875,"")</f>
        <v/>
      </c>
      <c r="H10875" s="42"/>
      <c r="I10875" s="38"/>
      <c r="J10875" s="37">
        <v>0</v>
      </c>
    </row>
    <row r="10876" spans="1:10" ht="25.5" hidden="1" x14ac:dyDescent="0.25">
      <c r="A10876" s="174"/>
      <c r="B10876" s="177"/>
      <c r="C10876" s="43" t="s">
        <v>10823</v>
      </c>
      <c r="D10876" s="43" t="s">
        <v>2800</v>
      </c>
      <c r="E10876" s="44">
        <v>60</v>
      </c>
      <c r="F10876" s="38">
        <v>120.95399999999999</v>
      </c>
      <c r="G10876" s="41">
        <f>IF(ISNUMBER(F10876),E10876*F10876,"")</f>
        <v>7257.24</v>
      </c>
      <c r="H10876" s="46">
        <f>SUM(G10876:G10878)</f>
        <v>8629.3799999999992</v>
      </c>
      <c r="I10876" s="47"/>
      <c r="J10876" s="37">
        <v>0</v>
      </c>
    </row>
    <row r="10877" spans="1:10" hidden="1" x14ac:dyDescent="0.25">
      <c r="A10877" s="174"/>
      <c r="B10877" s="177"/>
      <c r="C10877" s="43" t="s">
        <v>11202</v>
      </c>
      <c r="D10877" s="43" t="s">
        <v>2800</v>
      </c>
      <c r="E10877" s="44">
        <v>60</v>
      </c>
      <c r="F10877" s="38">
        <v>18.344499999999996</v>
      </c>
      <c r="G10877" s="41">
        <f>IF(ISNUMBER(F10877),E10877*F10877,"")</f>
        <v>1100.6699999999998</v>
      </c>
      <c r="H10877" s="42"/>
      <c r="I10877" s="38"/>
      <c r="J10877" s="37">
        <v>0</v>
      </c>
    </row>
    <row r="10878" spans="1:10" hidden="1" x14ac:dyDescent="0.25">
      <c r="A10878" s="174"/>
      <c r="B10878" s="177"/>
      <c r="C10878" s="43" t="s">
        <v>17</v>
      </c>
      <c r="D10878" s="43" t="s">
        <v>83</v>
      </c>
      <c r="E10878" s="44">
        <v>1</v>
      </c>
      <c r="F10878" s="38">
        <v>271.47000000000003</v>
      </c>
      <c r="G10878" s="41">
        <f>IF(ISNUMBER(F10878),E10878*F10878,"")</f>
        <v>271.47000000000003</v>
      </c>
      <c r="H10878" s="42"/>
      <c r="I10878" s="38"/>
      <c r="J10878" s="37">
        <v>0</v>
      </c>
    </row>
    <row r="10879" spans="1:10" ht="15.75" hidden="1" thickBot="1" x14ac:dyDescent="0.3">
      <c r="A10879" s="175"/>
      <c r="B10879" s="178"/>
      <c r="C10879" s="49"/>
      <c r="D10879" s="49"/>
      <c r="E10879" s="50"/>
      <c r="F10879" s="51" t="s">
        <v>13</v>
      </c>
      <c r="G10879" s="51" t="str">
        <f>IF(ISNUMBER(F10879),E10879*F10879,"")</f>
        <v/>
      </c>
      <c r="H10879" s="53"/>
      <c r="I10879" s="38"/>
      <c r="J10879" s="37">
        <v>0</v>
      </c>
    </row>
    <row r="10880" spans="1:10" ht="15.75" hidden="1" thickBot="1" x14ac:dyDescent="0.3">
      <c r="A10880" s="173" t="s">
        <v>2673</v>
      </c>
      <c r="B10880" s="176" t="s">
        <v>10235</v>
      </c>
      <c r="C10880" s="31"/>
      <c r="D10880" s="32" t="s">
        <v>18</v>
      </c>
      <c r="E10880" s="33"/>
      <c r="F10880" s="60" t="s">
        <v>13</v>
      </c>
      <c r="G10880" s="34" t="str">
        <f>IF(ISNUMBER(F10880),E10880*F10880,"")</f>
        <v/>
      </c>
      <c r="H10880" s="35"/>
      <c r="I10880" s="36"/>
      <c r="J10880" s="37">
        <v>0</v>
      </c>
    </row>
    <row r="10881" spans="1:10" hidden="1" x14ac:dyDescent="0.25">
      <c r="A10881" s="179"/>
      <c r="B10881" s="177"/>
      <c r="C10881" s="39"/>
      <c r="D10881" s="39"/>
      <c r="E10881" s="40"/>
      <c r="F10881" s="70" t="s">
        <v>13</v>
      </c>
      <c r="G10881" s="70" t="str">
        <f>IF(ISNUMBER(F10881),E10881*F10881,"")</f>
        <v/>
      </c>
      <c r="H10881" s="71"/>
      <c r="I10881" s="72"/>
      <c r="J10881" s="37">
        <v>0</v>
      </c>
    </row>
    <row r="10882" spans="1:10" ht="38.25" hidden="1" x14ac:dyDescent="0.25">
      <c r="A10882" s="179"/>
      <c r="B10882" s="177"/>
      <c r="C10882" s="43" t="s">
        <v>10712</v>
      </c>
      <c r="D10882" s="43" t="s">
        <v>2880</v>
      </c>
      <c r="E10882" s="44">
        <v>1.9199999999999998E-2</v>
      </c>
      <c r="F10882" s="38">
        <v>915.97571295</v>
      </c>
      <c r="G10882" s="38">
        <f>IF(ISNUMBER(F10882),E10882*F10882,"")</f>
        <v>17.586733688639999</v>
      </c>
      <c r="H10882" s="46">
        <f>SUM(G10882:G10889)</f>
        <v>243.11673368864001</v>
      </c>
      <c r="I10882" s="47"/>
      <c r="J10882" s="37">
        <v>0</v>
      </c>
    </row>
    <row r="10883" spans="1:10" hidden="1" x14ac:dyDescent="0.25">
      <c r="A10883" s="179"/>
      <c r="B10883" s="177"/>
      <c r="C10883" s="43" t="s">
        <v>10762</v>
      </c>
      <c r="D10883" s="43" t="s">
        <v>2800</v>
      </c>
      <c r="E10883" s="44">
        <v>4</v>
      </c>
      <c r="F10883" s="38">
        <v>24.946999999999999</v>
      </c>
      <c r="G10883" s="38">
        <f>IF(ISNUMBER(F10883),E10883*F10883,"")</f>
        <v>99.787999999999997</v>
      </c>
      <c r="H10883" s="42"/>
      <c r="I10883" s="38"/>
      <c r="J10883" s="37">
        <v>0</v>
      </c>
    </row>
    <row r="10884" spans="1:10" hidden="1" x14ac:dyDescent="0.25">
      <c r="A10884" s="179"/>
      <c r="B10884" s="177"/>
      <c r="C10884" s="43" t="s">
        <v>10763</v>
      </c>
      <c r="D10884" s="43" t="s">
        <v>2800</v>
      </c>
      <c r="E10884" s="44">
        <v>4</v>
      </c>
      <c r="F10884" s="38">
        <v>31.435500000000001</v>
      </c>
      <c r="G10884" s="38">
        <f>IF(ISNUMBER(F10884),E10884*F10884,"")</f>
        <v>125.742</v>
      </c>
      <c r="H10884" s="57"/>
      <c r="I10884" s="47"/>
      <c r="J10884" s="37">
        <v>0</v>
      </c>
    </row>
    <row r="10885" spans="1:10" hidden="1" x14ac:dyDescent="0.25">
      <c r="A10885" s="179"/>
      <c r="B10885" s="177"/>
      <c r="C10885" s="43" t="s">
        <v>2674</v>
      </c>
      <c r="D10885" s="43" t="s">
        <v>83</v>
      </c>
      <c r="E10885" s="44">
        <v>1</v>
      </c>
      <c r="F10885" s="38" t="s">
        <v>13</v>
      </c>
      <c r="G10885" s="41" t="str">
        <f>IF(ISNUMBER(F10885),E10885*F10885,"")</f>
        <v/>
      </c>
      <c r="H10885" s="57"/>
      <c r="I10885" s="47"/>
      <c r="J10885" s="37">
        <v>0</v>
      </c>
    </row>
    <row r="10886" spans="1:10" hidden="1" x14ac:dyDescent="0.25">
      <c r="A10886" s="179"/>
      <c r="B10886" s="177"/>
      <c r="C10886" s="43" t="s">
        <v>2675</v>
      </c>
      <c r="D10886" s="43" t="s">
        <v>83</v>
      </c>
      <c r="E10886" s="44">
        <v>1</v>
      </c>
      <c r="F10886" s="38" t="s">
        <v>13</v>
      </c>
      <c r="G10886" s="70" t="str">
        <f>IF(ISNUMBER(F10886),E10886*F10886,"")</f>
        <v/>
      </c>
      <c r="H10886" s="57"/>
      <c r="I10886" s="47"/>
      <c r="J10886" s="37">
        <v>0</v>
      </c>
    </row>
    <row r="10887" spans="1:10" hidden="1" x14ac:dyDescent="0.25">
      <c r="A10887" s="179"/>
      <c r="B10887" s="177"/>
      <c r="C10887" s="43" t="s">
        <v>2676</v>
      </c>
      <c r="D10887" s="43" t="s">
        <v>83</v>
      </c>
      <c r="E10887" s="44">
        <v>1</v>
      </c>
      <c r="F10887" s="38" t="s">
        <v>13</v>
      </c>
      <c r="G10887" s="70" t="str">
        <f>IF(ISNUMBER(F10887),E10887*F10887,"")</f>
        <v/>
      </c>
      <c r="H10887" s="57"/>
      <c r="I10887" s="47"/>
      <c r="J10887" s="37">
        <v>0</v>
      </c>
    </row>
    <row r="10888" spans="1:10" hidden="1" x14ac:dyDescent="0.25">
      <c r="A10888" s="179"/>
      <c r="B10888" s="177"/>
      <c r="C10888" s="43" t="s">
        <v>2677</v>
      </c>
      <c r="D10888" s="43" t="s">
        <v>83</v>
      </c>
      <c r="E10888" s="44">
        <v>4</v>
      </c>
      <c r="F10888" s="38" t="s">
        <v>13</v>
      </c>
      <c r="G10888" s="70" t="str">
        <f>IF(ISNUMBER(F10888),E10888*F10888,"")</f>
        <v/>
      </c>
      <c r="H10888" s="57"/>
      <c r="I10888" s="47"/>
      <c r="J10888" s="37">
        <v>0</v>
      </c>
    </row>
    <row r="10889" spans="1:10" hidden="1" x14ac:dyDescent="0.25">
      <c r="A10889" s="179"/>
      <c r="B10889" s="177"/>
      <c r="C10889" s="43" t="s">
        <v>2678</v>
      </c>
      <c r="D10889" s="43" t="s">
        <v>83</v>
      </c>
      <c r="E10889" s="44">
        <v>1</v>
      </c>
      <c r="F10889" s="38" t="s">
        <v>13</v>
      </c>
      <c r="G10889" s="70" t="str">
        <f>IF(ISNUMBER(F10889),E10889*F10889,"")</f>
        <v/>
      </c>
      <c r="H10889" s="57"/>
      <c r="I10889" s="47"/>
      <c r="J10889" s="37">
        <v>0</v>
      </c>
    </row>
    <row r="10890" spans="1:10" ht="15.75" hidden="1" thickBot="1" x14ac:dyDescent="0.3">
      <c r="A10890" s="180"/>
      <c r="B10890" s="178"/>
      <c r="C10890" s="49"/>
      <c r="D10890" s="63"/>
      <c r="E10890" s="50"/>
      <c r="F10890" s="83" t="s">
        <v>13</v>
      </c>
      <c r="G10890" s="83" t="str">
        <f>IF(ISNUMBER(F10890),E10890*F10890,"")</f>
        <v/>
      </c>
      <c r="H10890" s="84"/>
      <c r="I10890" s="72"/>
      <c r="J10890" s="37">
        <v>0</v>
      </c>
    </row>
    <row r="10891" spans="1:10" ht="15.75" hidden="1" thickBot="1" x14ac:dyDescent="0.3">
      <c r="A10891" s="173" t="s">
        <v>2679</v>
      </c>
      <c r="B10891" s="176" t="s">
        <v>10238</v>
      </c>
      <c r="C10891" s="31"/>
      <c r="D10891" s="32" t="s">
        <v>106</v>
      </c>
      <c r="E10891" s="33"/>
      <c r="F10891" s="54" t="s">
        <v>13</v>
      </c>
      <c r="G10891" s="34" t="str">
        <f>IF(ISNUMBER(F10891),E10891*F10891,"")</f>
        <v/>
      </c>
      <c r="H10891" s="35"/>
      <c r="I10891" s="36"/>
      <c r="J10891" s="37">
        <v>0</v>
      </c>
    </row>
    <row r="10892" spans="1:10" hidden="1" x14ac:dyDescent="0.25">
      <c r="A10892" s="174"/>
      <c r="B10892" s="177"/>
      <c r="C10892" s="39"/>
      <c r="D10892" s="39"/>
      <c r="E10892" s="40"/>
      <c r="F10892" s="55" t="s">
        <v>13</v>
      </c>
      <c r="G10892" s="38" t="str">
        <f>IF(ISNUMBER(F10892),E10892*F10892,"")</f>
        <v/>
      </c>
      <c r="H10892" s="42"/>
      <c r="I10892" s="38"/>
      <c r="J10892" s="37">
        <v>0</v>
      </c>
    </row>
    <row r="10893" spans="1:10" hidden="1" x14ac:dyDescent="0.25">
      <c r="A10893" s="174"/>
      <c r="B10893" s="177"/>
      <c r="C10893" s="43" t="s">
        <v>10762</v>
      </c>
      <c r="D10893" s="43" t="s">
        <v>2800</v>
      </c>
      <c r="E10893" s="44">
        <v>8.9999999999999993E-3</v>
      </c>
      <c r="F10893" s="38">
        <v>24.946999999999999</v>
      </c>
      <c r="G10893" s="41">
        <f>IF(ISNUMBER(F10893),E10893*F10893,"")</f>
        <v>0.22452299999999997</v>
      </c>
      <c r="H10893" s="46">
        <f>SUM(G10893:G10896)</f>
        <v>0.55104750000000002</v>
      </c>
      <c r="I10893" s="47"/>
      <c r="J10893" s="37">
        <v>0</v>
      </c>
    </row>
    <row r="10894" spans="1:10" hidden="1" x14ac:dyDescent="0.25">
      <c r="A10894" s="174"/>
      <c r="B10894" s="177"/>
      <c r="C10894" s="43" t="s">
        <v>10763</v>
      </c>
      <c r="D10894" s="43" t="s">
        <v>2800</v>
      </c>
      <c r="E10894" s="44">
        <v>8.9999999999999993E-3</v>
      </c>
      <c r="F10894" s="38">
        <v>31.435500000000001</v>
      </c>
      <c r="G10894" s="41">
        <f>IF(ISNUMBER(F10894),E10894*F10894,"")</f>
        <v>0.28291949999999999</v>
      </c>
      <c r="H10894" s="42"/>
      <c r="I10894" s="38"/>
      <c r="J10894" s="37">
        <v>0</v>
      </c>
    </row>
    <row r="10895" spans="1:10" ht="25.5" hidden="1" x14ac:dyDescent="0.25">
      <c r="A10895" s="174"/>
      <c r="B10895" s="177"/>
      <c r="C10895" s="43" t="s">
        <v>2680</v>
      </c>
      <c r="D10895" s="43" t="s">
        <v>106</v>
      </c>
      <c r="E10895" s="44">
        <v>1.0269999999999999</v>
      </c>
      <c r="F10895" s="41" t="s">
        <v>13</v>
      </c>
      <c r="G10895" s="41" t="str">
        <f>IF(ISNUMBER(F10895),E10895*F10895,"")</f>
        <v/>
      </c>
      <c r="H10895" s="42"/>
      <c r="I10895" s="38"/>
      <c r="J10895" s="37">
        <v>0</v>
      </c>
    </row>
    <row r="10896" spans="1:10" ht="25.5" hidden="1" x14ac:dyDescent="0.25">
      <c r="A10896" s="174"/>
      <c r="B10896" s="177"/>
      <c r="C10896" s="43" t="s">
        <v>10946</v>
      </c>
      <c r="D10896" s="43" t="s">
        <v>83</v>
      </c>
      <c r="E10896" s="44">
        <v>0.01</v>
      </c>
      <c r="F10896" s="41">
        <v>4.3605</v>
      </c>
      <c r="G10896" s="41">
        <f>IF(ISNUMBER(F10896),E10896*F10896,"")</f>
        <v>4.3604999999999998E-2</v>
      </c>
      <c r="H10896" s="42"/>
      <c r="I10896" s="38"/>
      <c r="J10896" s="37">
        <v>0</v>
      </c>
    </row>
    <row r="10897" spans="1:10" ht="15.75" hidden="1" thickBot="1" x14ac:dyDescent="0.3">
      <c r="A10897" s="175"/>
      <c r="B10897" s="178"/>
      <c r="C10897" s="49"/>
      <c r="D10897" s="49"/>
      <c r="E10897" s="50"/>
      <c r="F10897" s="51" t="s">
        <v>13</v>
      </c>
      <c r="G10897" s="51" t="str">
        <f>IF(ISNUMBER(F10897),E10897*F10897,"")</f>
        <v/>
      </c>
      <c r="H10897" s="53"/>
      <c r="I10897" s="38"/>
      <c r="J10897" s="37">
        <v>0</v>
      </c>
    </row>
    <row r="10898" spans="1:10" ht="15.75" hidden="1" thickBot="1" x14ac:dyDescent="0.3">
      <c r="A10898" s="179" t="s">
        <v>2681</v>
      </c>
      <c r="B10898" s="177" t="s">
        <v>10239</v>
      </c>
      <c r="C10898" s="56"/>
      <c r="D10898" s="48" t="s">
        <v>3982</v>
      </c>
      <c r="E10898" s="95"/>
      <c r="F10898" s="96" t="s">
        <v>13</v>
      </c>
      <c r="G10898" s="97" t="str">
        <f>IF(ISNUMBER(F10898),E10898*F10898,"")</f>
        <v/>
      </c>
      <c r="H10898" s="98"/>
      <c r="I10898" s="36"/>
      <c r="J10898" s="37">
        <v>0</v>
      </c>
    </row>
    <row r="10899" spans="1:10" hidden="1" x14ac:dyDescent="0.25">
      <c r="A10899" s="179"/>
      <c r="B10899" s="177"/>
      <c r="C10899" s="39"/>
      <c r="D10899" s="39"/>
      <c r="E10899" s="40"/>
      <c r="F10899" s="70" t="s">
        <v>13</v>
      </c>
      <c r="G10899" s="70" t="str">
        <f>IF(ISNUMBER(F10899),E10899*F10899,"")</f>
        <v/>
      </c>
      <c r="H10899" s="71"/>
      <c r="I10899" s="72"/>
      <c r="J10899" s="37">
        <v>0</v>
      </c>
    </row>
    <row r="10900" spans="1:10" hidden="1" x14ac:dyDescent="0.25">
      <c r="A10900" s="179"/>
      <c r="B10900" s="177"/>
      <c r="C10900" s="43" t="s">
        <v>11215</v>
      </c>
      <c r="D10900" s="43" t="s">
        <v>2800</v>
      </c>
      <c r="E10900" s="44" t="e">
        <f>IF(#REF!="Desonerado",ROUND(220/(1+'[1]Serviços SINAPI'!$E$6),4),ROUND(220/(1+'[1]Serviços SINAPI'!$F$6),4))</f>
        <v>#REF!</v>
      </c>
      <c r="F10900" s="38">
        <v>29.734999999999999</v>
      </c>
      <c r="G10900" s="70" t="e">
        <f>IF(ISNUMBER(F10900),E10900*F10900,"")</f>
        <v>#REF!</v>
      </c>
      <c r="H10900" s="46" t="e">
        <f>SUM(G10900:G10900)</f>
        <v>#REF!</v>
      </c>
      <c r="I10900" s="47"/>
      <c r="J10900" s="37">
        <v>0</v>
      </c>
    </row>
    <row r="10901" spans="1:10" hidden="1" x14ac:dyDescent="0.25">
      <c r="A10901" s="179"/>
      <c r="B10901" s="177"/>
      <c r="C10901" s="39"/>
      <c r="D10901" s="39"/>
      <c r="E10901" s="40"/>
      <c r="F10901" s="70" t="s">
        <v>13</v>
      </c>
      <c r="G10901" s="70" t="str">
        <f>IF(ISNUMBER(F10901),E10901*F10901,"")</f>
        <v/>
      </c>
      <c r="H10901" s="71"/>
      <c r="I10901" s="72"/>
      <c r="J10901" s="37">
        <v>0</v>
      </c>
    </row>
    <row r="10902" spans="1:10" ht="25.5" hidden="1" x14ac:dyDescent="0.25">
      <c r="A10902" s="179"/>
      <c r="B10902" s="177"/>
      <c r="C10902" s="4" t="s">
        <v>668</v>
      </c>
      <c r="D10902" s="39"/>
      <c r="E10902" s="40"/>
      <c r="F10902" s="70" t="s">
        <v>13</v>
      </c>
      <c r="G10902" s="70" t="str">
        <f>IF(ISNUMBER(F10902),E10902*F10902,"")</f>
        <v/>
      </c>
      <c r="H10902" s="71"/>
      <c r="I10902" s="72"/>
      <c r="J10902" s="37">
        <v>0</v>
      </c>
    </row>
    <row r="10903" spans="1:10" ht="15.75" hidden="1" thickBot="1" x14ac:dyDescent="0.3">
      <c r="A10903" s="180"/>
      <c r="B10903" s="178"/>
      <c r="C10903" s="49"/>
      <c r="D10903" s="63"/>
      <c r="E10903" s="50"/>
      <c r="F10903" s="83" t="s">
        <v>13</v>
      </c>
      <c r="G10903" s="83" t="str">
        <f>IF(ISNUMBER(F10903),E10903*F10903,"")</f>
        <v/>
      </c>
      <c r="H10903" s="84"/>
      <c r="I10903" s="72"/>
      <c r="J10903" s="37">
        <v>0</v>
      </c>
    </row>
    <row r="10904" spans="1:10" ht="15.75" hidden="1" thickBot="1" x14ac:dyDescent="0.3">
      <c r="A10904" s="179" t="s">
        <v>2682</v>
      </c>
      <c r="B10904" s="177" t="s">
        <v>10240</v>
      </c>
      <c r="C10904" s="56"/>
      <c r="D10904" s="48" t="s">
        <v>3982</v>
      </c>
      <c r="E10904" s="95"/>
      <c r="F10904" s="96" t="s">
        <v>13</v>
      </c>
      <c r="G10904" s="97" t="str">
        <f>IF(ISNUMBER(F10904),E10904*F10904,"")</f>
        <v/>
      </c>
      <c r="H10904" s="98"/>
      <c r="I10904" s="36"/>
      <c r="J10904" s="37">
        <v>0</v>
      </c>
    </row>
    <row r="10905" spans="1:10" hidden="1" x14ac:dyDescent="0.25">
      <c r="A10905" s="179"/>
      <c r="B10905" s="177"/>
      <c r="C10905" s="39"/>
      <c r="D10905" s="39"/>
      <c r="E10905" s="40"/>
      <c r="F10905" s="70" t="s">
        <v>13</v>
      </c>
      <c r="G10905" s="70" t="str">
        <f>IF(ISNUMBER(F10905),E10905*F10905,"")</f>
        <v/>
      </c>
      <c r="H10905" s="71"/>
      <c r="I10905" s="72"/>
      <c r="J10905" s="37">
        <v>0</v>
      </c>
    </row>
    <row r="10906" spans="1:10" hidden="1" x14ac:dyDescent="0.25">
      <c r="A10906" s="179"/>
      <c r="B10906" s="177"/>
      <c r="C10906" s="43" t="s">
        <v>11216</v>
      </c>
      <c r="D10906" s="43" t="s">
        <v>2800</v>
      </c>
      <c r="E10906" s="44" t="e">
        <f>IF(#REF!="Desonerado",ROUND(220/(1+'[1]Serviços SINAPI'!$E$6),4),ROUND(220/(1+'[1]Serviços SINAPI'!$F$6),4))</f>
        <v>#REF!</v>
      </c>
      <c r="F10906" s="38">
        <v>38.037999999999997</v>
      </c>
      <c r="G10906" s="70" t="e">
        <f>IF(ISNUMBER(F10906),E10906*F10906,"")</f>
        <v>#REF!</v>
      </c>
      <c r="H10906" s="46" t="e">
        <f>SUM(G10906:G10906)</f>
        <v>#REF!</v>
      </c>
      <c r="I10906" s="47"/>
      <c r="J10906" s="37">
        <v>0</v>
      </c>
    </row>
    <row r="10907" spans="1:10" hidden="1" x14ac:dyDescent="0.25">
      <c r="A10907" s="179"/>
      <c r="B10907" s="177"/>
      <c r="C10907" s="39"/>
      <c r="D10907" s="39"/>
      <c r="E10907" s="40"/>
      <c r="F10907" s="70" t="s">
        <v>13</v>
      </c>
      <c r="G10907" s="70" t="str">
        <f>IF(ISNUMBER(F10907),E10907*F10907,"")</f>
        <v/>
      </c>
      <c r="H10907" s="71"/>
      <c r="I10907" s="72"/>
      <c r="J10907" s="37">
        <v>0</v>
      </c>
    </row>
    <row r="10908" spans="1:10" ht="25.5" hidden="1" x14ac:dyDescent="0.25">
      <c r="A10908" s="179"/>
      <c r="B10908" s="177"/>
      <c r="C10908" s="4" t="s">
        <v>668</v>
      </c>
      <c r="D10908" s="39"/>
      <c r="E10908" s="40"/>
      <c r="F10908" s="70" t="s">
        <v>13</v>
      </c>
      <c r="G10908" s="70" t="str">
        <f>IF(ISNUMBER(F10908),E10908*F10908,"")</f>
        <v/>
      </c>
      <c r="H10908" s="71"/>
      <c r="I10908" s="72"/>
      <c r="J10908" s="37">
        <v>0</v>
      </c>
    </row>
    <row r="10909" spans="1:10" ht="15.75" hidden="1" thickBot="1" x14ac:dyDescent="0.3">
      <c r="A10909" s="180"/>
      <c r="B10909" s="178"/>
      <c r="C10909" s="49"/>
      <c r="D10909" s="63"/>
      <c r="E10909" s="50"/>
      <c r="F10909" s="83" t="s">
        <v>13</v>
      </c>
      <c r="G10909" s="83" t="str">
        <f>IF(ISNUMBER(F10909),E10909*F10909,"")</f>
        <v/>
      </c>
      <c r="H10909" s="84"/>
      <c r="I10909" s="72"/>
      <c r="J10909" s="37">
        <v>0</v>
      </c>
    </row>
    <row r="10910" spans="1:10" ht="15.75" hidden="1" thickBot="1" x14ac:dyDescent="0.3">
      <c r="A10910" s="173" t="s">
        <v>2683</v>
      </c>
      <c r="B10910" s="176" t="s">
        <v>10241</v>
      </c>
      <c r="C10910" s="31"/>
      <c r="D10910" s="32" t="s">
        <v>18</v>
      </c>
      <c r="E10910" s="33"/>
      <c r="F10910" s="60" t="s">
        <v>13</v>
      </c>
      <c r="G10910" s="34" t="str">
        <f>IF(ISNUMBER(F10910),E10910*F10910,"")</f>
        <v/>
      </c>
      <c r="H10910" s="35"/>
      <c r="I10910" s="36"/>
      <c r="J10910" s="37">
        <v>0</v>
      </c>
    </row>
    <row r="10911" spans="1:10" hidden="1" x14ac:dyDescent="0.25">
      <c r="A10911" s="179"/>
      <c r="B10911" s="177"/>
      <c r="C10911" s="39"/>
      <c r="D10911" s="39"/>
      <c r="E10911" s="40"/>
      <c r="F10911" s="70" t="s">
        <v>13</v>
      </c>
      <c r="G10911" s="70" t="str">
        <f>IF(ISNUMBER(F10911),E10911*F10911,"")</f>
        <v/>
      </c>
      <c r="H10911" s="71"/>
      <c r="I10911" s="72"/>
      <c r="J10911" s="37">
        <v>0</v>
      </c>
    </row>
    <row r="10912" spans="1:10" ht="25.5" hidden="1" x14ac:dyDescent="0.25">
      <c r="A10912" s="179"/>
      <c r="B10912" s="177"/>
      <c r="C10912" s="43" t="s">
        <v>11618</v>
      </c>
      <c r="D10912" s="43" t="s">
        <v>83</v>
      </c>
      <c r="E10912" s="44">
        <v>1</v>
      </c>
      <c r="F10912" s="70">
        <v>515.55550000000005</v>
      </c>
      <c r="G10912" s="70">
        <f>IF(ISNUMBER(F10912),E10912*F10912,"")</f>
        <v>515.55550000000005</v>
      </c>
      <c r="H10912" s="46">
        <f>SUM(G10912:G10912)</f>
        <v>515.55550000000005</v>
      </c>
      <c r="I10912" s="47"/>
      <c r="J10912" s="37">
        <v>0</v>
      </c>
    </row>
    <row r="10913" spans="1:10" ht="15.75" hidden="1" thickBot="1" x14ac:dyDescent="0.3">
      <c r="A10913" s="180"/>
      <c r="B10913" s="178"/>
      <c r="C10913" s="49"/>
      <c r="D10913" s="49"/>
      <c r="E10913" s="50"/>
      <c r="F10913" s="83" t="s">
        <v>13</v>
      </c>
      <c r="G10913" s="83" t="str">
        <f>IF(ISNUMBER(F10913),E10913*F10913,"")</f>
        <v/>
      </c>
      <c r="H10913" s="84"/>
      <c r="I10913" s="72"/>
      <c r="J10913" s="37">
        <v>0</v>
      </c>
    </row>
    <row r="10914" spans="1:10" ht="15.75" hidden="1" thickBot="1" x14ac:dyDescent="0.3">
      <c r="A10914" s="173" t="s">
        <v>2684</v>
      </c>
      <c r="B10914" s="176" t="s">
        <v>10242</v>
      </c>
      <c r="C10914" s="31"/>
      <c r="D10914" s="32" t="s">
        <v>18</v>
      </c>
      <c r="E10914" s="33"/>
      <c r="F10914" s="60" t="s">
        <v>13</v>
      </c>
      <c r="G10914" s="34" t="str">
        <f>IF(ISNUMBER(F10914),E10914*F10914,"")</f>
        <v/>
      </c>
      <c r="H10914" s="35"/>
      <c r="I10914" s="36"/>
      <c r="J10914" s="37">
        <v>0</v>
      </c>
    </row>
    <row r="10915" spans="1:10" hidden="1" x14ac:dyDescent="0.25">
      <c r="A10915" s="179"/>
      <c r="B10915" s="177"/>
      <c r="C10915" s="39"/>
      <c r="D10915" s="39"/>
      <c r="E10915" s="40"/>
      <c r="F10915" s="70" t="s">
        <v>13</v>
      </c>
      <c r="G10915" s="70" t="str">
        <f>IF(ISNUMBER(F10915),E10915*F10915,"")</f>
        <v/>
      </c>
      <c r="H10915" s="71"/>
      <c r="I10915" s="72"/>
      <c r="J10915" s="37">
        <v>0</v>
      </c>
    </row>
    <row r="10916" spans="1:10" ht="25.5" hidden="1" x14ac:dyDescent="0.25">
      <c r="A10916" s="179"/>
      <c r="B10916" s="177"/>
      <c r="C10916" s="43" t="s">
        <v>11107</v>
      </c>
      <c r="D10916" s="43" t="s">
        <v>83</v>
      </c>
      <c r="E10916" s="44">
        <v>1</v>
      </c>
      <c r="F10916" s="70">
        <v>18.772000000000002</v>
      </c>
      <c r="G10916" s="70">
        <f>IF(ISNUMBER(F10916),E10916*F10916,"")</f>
        <v>18.772000000000002</v>
      </c>
      <c r="H10916" s="46">
        <f>SUM(G10916:G10916)</f>
        <v>18.772000000000002</v>
      </c>
      <c r="I10916" s="47"/>
      <c r="J10916" s="37">
        <v>0</v>
      </c>
    </row>
    <row r="10917" spans="1:10" ht="15.75" hidden="1" thickBot="1" x14ac:dyDescent="0.3">
      <c r="A10917" s="180"/>
      <c r="B10917" s="178"/>
      <c r="C10917" s="49"/>
      <c r="D10917" s="49"/>
      <c r="E10917" s="50"/>
      <c r="F10917" s="83" t="s">
        <v>13</v>
      </c>
      <c r="G10917" s="83" t="str">
        <f>IF(ISNUMBER(F10917),E10917*F10917,"")</f>
        <v/>
      </c>
      <c r="H10917" s="84"/>
      <c r="I10917" s="72"/>
      <c r="J10917" s="37">
        <v>0</v>
      </c>
    </row>
    <row r="10918" spans="1:10" ht="15.75" hidden="1" thickBot="1" x14ac:dyDescent="0.3">
      <c r="A10918" s="173" t="s">
        <v>2685</v>
      </c>
      <c r="B10918" s="176" t="s">
        <v>10243</v>
      </c>
      <c r="C10918" s="31"/>
      <c r="D10918" s="32" t="s">
        <v>18</v>
      </c>
      <c r="E10918" s="33"/>
      <c r="F10918" s="60" t="s">
        <v>13</v>
      </c>
      <c r="G10918" s="34" t="str">
        <f>IF(ISNUMBER(F10918),E10918*F10918,"")</f>
        <v/>
      </c>
      <c r="H10918" s="35"/>
      <c r="I10918" s="36"/>
      <c r="J10918" s="37">
        <v>0</v>
      </c>
    </row>
    <row r="10919" spans="1:10" hidden="1" x14ac:dyDescent="0.25">
      <c r="A10919" s="179"/>
      <c r="B10919" s="177"/>
      <c r="C10919" s="39"/>
      <c r="D10919" s="39"/>
      <c r="E10919" s="40"/>
      <c r="F10919" s="70" t="s">
        <v>13</v>
      </c>
      <c r="G10919" s="70" t="str">
        <f>IF(ISNUMBER(F10919),E10919*F10919,"")</f>
        <v/>
      </c>
      <c r="H10919" s="71"/>
      <c r="I10919" s="72"/>
      <c r="J10919" s="37">
        <v>0</v>
      </c>
    </row>
    <row r="10920" spans="1:10" ht="25.5" hidden="1" x14ac:dyDescent="0.25">
      <c r="A10920" s="179"/>
      <c r="B10920" s="177"/>
      <c r="C10920" s="43" t="s">
        <v>11103</v>
      </c>
      <c r="D10920" s="43" t="s">
        <v>83</v>
      </c>
      <c r="E10920" s="44">
        <v>1</v>
      </c>
      <c r="F10920" s="70">
        <v>63.374499999999991</v>
      </c>
      <c r="G10920" s="70">
        <f>IF(ISNUMBER(F10920),E10920*F10920,"")</f>
        <v>63.374499999999991</v>
      </c>
      <c r="H10920" s="46">
        <f>SUM(G10920:G10920)</f>
        <v>63.374499999999991</v>
      </c>
      <c r="I10920" s="47"/>
      <c r="J10920" s="37">
        <v>0</v>
      </c>
    </row>
    <row r="10921" spans="1:10" ht="15.75" hidden="1" thickBot="1" x14ac:dyDescent="0.3">
      <c r="A10921" s="180"/>
      <c r="B10921" s="178"/>
      <c r="C10921" s="49"/>
      <c r="D10921" s="49"/>
      <c r="E10921" s="50"/>
      <c r="F10921" s="83" t="s">
        <v>13</v>
      </c>
      <c r="G10921" s="83" t="str">
        <f>IF(ISNUMBER(F10921),E10921*F10921,"")</f>
        <v/>
      </c>
      <c r="H10921" s="84"/>
      <c r="I10921" s="72"/>
      <c r="J10921" s="37">
        <v>0</v>
      </c>
    </row>
    <row r="10922" spans="1:10" ht="15.75" hidden="1" thickBot="1" x14ac:dyDescent="0.3">
      <c r="A10922" s="173" t="s">
        <v>2686</v>
      </c>
      <c r="B10922" s="176" t="s">
        <v>10244</v>
      </c>
      <c r="C10922" s="31"/>
      <c r="D10922" s="32" t="s">
        <v>18</v>
      </c>
      <c r="E10922" s="33"/>
      <c r="F10922" s="60" t="s">
        <v>13</v>
      </c>
      <c r="G10922" s="34" t="str">
        <f>IF(ISNUMBER(F10922),E10922*F10922,"")</f>
        <v/>
      </c>
      <c r="H10922" s="35"/>
      <c r="I10922" s="36"/>
      <c r="J10922" s="37">
        <v>0</v>
      </c>
    </row>
    <row r="10923" spans="1:10" hidden="1" x14ac:dyDescent="0.25">
      <c r="A10923" s="179"/>
      <c r="B10923" s="177"/>
      <c r="C10923" s="39"/>
      <c r="D10923" s="39"/>
      <c r="E10923" s="40"/>
      <c r="F10923" s="70" t="s">
        <v>13</v>
      </c>
      <c r="G10923" s="70" t="str">
        <f>IF(ISNUMBER(F10923),E10923*F10923,"")</f>
        <v/>
      </c>
      <c r="H10923" s="71"/>
      <c r="I10923" s="72"/>
      <c r="J10923" s="37">
        <v>0</v>
      </c>
    </row>
    <row r="10924" spans="1:10" ht="25.5" hidden="1" x14ac:dyDescent="0.25">
      <c r="A10924" s="179"/>
      <c r="B10924" s="177"/>
      <c r="C10924" s="43" t="s">
        <v>11106</v>
      </c>
      <c r="D10924" s="43" t="s">
        <v>83</v>
      </c>
      <c r="E10924" s="44">
        <v>1</v>
      </c>
      <c r="F10924" s="70">
        <v>97.260999999999996</v>
      </c>
      <c r="G10924" s="70">
        <f>IF(ISNUMBER(F10924),E10924*F10924,"")</f>
        <v>97.260999999999996</v>
      </c>
      <c r="H10924" s="46">
        <f>SUM(G10924:G10924)</f>
        <v>97.260999999999996</v>
      </c>
      <c r="I10924" s="47"/>
      <c r="J10924" s="37">
        <v>0</v>
      </c>
    </row>
    <row r="10925" spans="1:10" ht="15.75" hidden="1" thickBot="1" x14ac:dyDescent="0.3">
      <c r="A10925" s="180"/>
      <c r="B10925" s="178"/>
      <c r="C10925" s="49"/>
      <c r="D10925" s="49"/>
      <c r="E10925" s="50"/>
      <c r="F10925" s="83" t="s">
        <v>13</v>
      </c>
      <c r="G10925" s="83" t="str">
        <f>IF(ISNUMBER(F10925),E10925*F10925,"")</f>
        <v/>
      </c>
      <c r="H10925" s="84"/>
      <c r="I10925" s="72"/>
      <c r="J10925" s="37">
        <v>0</v>
      </c>
    </row>
    <row r="10926" spans="1:10" ht="15.75" hidden="1" thickBot="1" x14ac:dyDescent="0.3">
      <c r="A10926" s="173" t="s">
        <v>2687</v>
      </c>
      <c r="B10926" s="176" t="s">
        <v>10245</v>
      </c>
      <c r="C10926" s="31"/>
      <c r="D10926" s="32" t="s">
        <v>18</v>
      </c>
      <c r="E10926" s="33"/>
      <c r="F10926" s="60" t="s">
        <v>13</v>
      </c>
      <c r="G10926" s="34" t="str">
        <f>IF(ISNUMBER(F10926),E10926*F10926,"")</f>
        <v/>
      </c>
      <c r="H10926" s="35"/>
      <c r="I10926" s="36"/>
      <c r="J10926" s="37">
        <v>0</v>
      </c>
    </row>
    <row r="10927" spans="1:10" hidden="1" x14ac:dyDescent="0.25">
      <c r="A10927" s="179"/>
      <c r="B10927" s="177"/>
      <c r="C10927" s="39"/>
      <c r="D10927" s="39"/>
      <c r="E10927" s="40"/>
      <c r="F10927" s="70" t="s">
        <v>13</v>
      </c>
      <c r="G10927" s="70" t="str">
        <f>IF(ISNUMBER(F10927),E10927*F10927,"")</f>
        <v/>
      </c>
      <c r="H10927" s="71"/>
      <c r="I10927" s="72"/>
      <c r="J10927" s="37">
        <v>0</v>
      </c>
    </row>
    <row r="10928" spans="1:10" ht="25.5" hidden="1" x14ac:dyDescent="0.25">
      <c r="A10928" s="179"/>
      <c r="B10928" s="177"/>
      <c r="C10928" s="43" t="s">
        <v>11610</v>
      </c>
      <c r="D10928" s="43" t="s">
        <v>83</v>
      </c>
      <c r="E10928" s="44">
        <v>1</v>
      </c>
      <c r="F10928" s="70">
        <v>154.40349999999998</v>
      </c>
      <c r="G10928" s="70">
        <f>IF(ISNUMBER(F10928),E10928*F10928,"")</f>
        <v>154.40349999999998</v>
      </c>
      <c r="H10928" s="46">
        <f>SUM(G10928:G10928)</f>
        <v>154.40349999999998</v>
      </c>
      <c r="I10928" s="47"/>
      <c r="J10928" s="37">
        <v>0</v>
      </c>
    </row>
    <row r="10929" spans="1:10" ht="15.75" hidden="1" thickBot="1" x14ac:dyDescent="0.3">
      <c r="A10929" s="180"/>
      <c r="B10929" s="178"/>
      <c r="C10929" s="49"/>
      <c r="D10929" s="49"/>
      <c r="E10929" s="50"/>
      <c r="F10929" s="83" t="s">
        <v>13</v>
      </c>
      <c r="G10929" s="83" t="str">
        <f>IF(ISNUMBER(F10929),E10929*F10929,"")</f>
        <v/>
      </c>
      <c r="H10929" s="84"/>
      <c r="I10929" s="72"/>
      <c r="J10929" s="37">
        <v>0</v>
      </c>
    </row>
    <row r="10930" spans="1:10" ht="15.75" hidden="1" thickBot="1" x14ac:dyDescent="0.3">
      <c r="A10930" s="173" t="s">
        <v>2688</v>
      </c>
      <c r="B10930" s="176" t="s">
        <v>10246</v>
      </c>
      <c r="C10930" s="31"/>
      <c r="D10930" s="32" t="s">
        <v>18</v>
      </c>
      <c r="E10930" s="33"/>
      <c r="F10930" s="60" t="s">
        <v>13</v>
      </c>
      <c r="G10930" s="34" t="str">
        <f>IF(ISNUMBER(F10930),E10930*F10930,"")</f>
        <v/>
      </c>
      <c r="H10930" s="35"/>
      <c r="I10930" s="36"/>
      <c r="J10930" s="37">
        <v>0</v>
      </c>
    </row>
    <row r="10931" spans="1:10" hidden="1" x14ac:dyDescent="0.25">
      <c r="A10931" s="179"/>
      <c r="B10931" s="177"/>
      <c r="C10931" s="39"/>
      <c r="D10931" s="39"/>
      <c r="E10931" s="40"/>
      <c r="F10931" s="70" t="s">
        <v>13</v>
      </c>
      <c r="G10931" s="70" t="str">
        <f>IF(ISNUMBER(F10931),E10931*F10931,"")</f>
        <v/>
      </c>
      <c r="H10931" s="71"/>
      <c r="I10931" s="72"/>
      <c r="J10931" s="37">
        <v>0</v>
      </c>
    </row>
    <row r="10932" spans="1:10" ht="25.5" hidden="1" x14ac:dyDescent="0.25">
      <c r="A10932" s="179"/>
      <c r="B10932" s="177"/>
      <c r="C10932" s="43" t="s">
        <v>11614</v>
      </c>
      <c r="D10932" s="43" t="s">
        <v>83</v>
      </c>
      <c r="E10932" s="44">
        <v>1</v>
      </c>
      <c r="F10932" s="70">
        <v>537.63349999999991</v>
      </c>
      <c r="G10932" s="70">
        <f>IF(ISNUMBER(F10932),E10932*F10932,"")</f>
        <v>537.63349999999991</v>
      </c>
      <c r="H10932" s="46">
        <f>SUM(G10932:G10932)</f>
        <v>537.63349999999991</v>
      </c>
      <c r="I10932" s="47"/>
      <c r="J10932" s="37">
        <v>0</v>
      </c>
    </row>
    <row r="10933" spans="1:10" ht="15.75" hidden="1" thickBot="1" x14ac:dyDescent="0.3">
      <c r="A10933" s="180"/>
      <c r="B10933" s="178"/>
      <c r="C10933" s="49"/>
      <c r="D10933" s="49"/>
      <c r="E10933" s="50"/>
      <c r="F10933" s="83" t="s">
        <v>13</v>
      </c>
      <c r="G10933" s="83" t="str">
        <f>IF(ISNUMBER(F10933),E10933*F10933,"")</f>
        <v/>
      </c>
      <c r="H10933" s="84"/>
      <c r="I10933" s="72"/>
      <c r="J10933" s="37">
        <v>0</v>
      </c>
    </row>
    <row r="10934" spans="1:10" ht="15.75" hidden="1" thickBot="1" x14ac:dyDescent="0.3">
      <c r="A10934" s="173" t="s">
        <v>2689</v>
      </c>
      <c r="B10934" s="176" t="s">
        <v>10247</v>
      </c>
      <c r="C10934" s="31"/>
      <c r="D10934" s="32" t="s">
        <v>18</v>
      </c>
      <c r="E10934" s="33"/>
      <c r="F10934" s="60" t="s">
        <v>13</v>
      </c>
      <c r="G10934" s="34" t="str">
        <f>IF(ISNUMBER(F10934),E10934*F10934,"")</f>
        <v/>
      </c>
      <c r="H10934" s="35"/>
      <c r="I10934" s="36"/>
      <c r="J10934" s="37">
        <v>0</v>
      </c>
    </row>
    <row r="10935" spans="1:10" hidden="1" x14ac:dyDescent="0.25">
      <c r="A10935" s="179"/>
      <c r="B10935" s="177"/>
      <c r="C10935" s="39"/>
      <c r="D10935" s="39"/>
      <c r="E10935" s="40"/>
      <c r="F10935" s="70" t="s">
        <v>13</v>
      </c>
      <c r="G10935" s="70" t="str">
        <f>IF(ISNUMBER(F10935),E10935*F10935,"")</f>
        <v/>
      </c>
      <c r="H10935" s="71"/>
      <c r="I10935" s="72"/>
      <c r="J10935" s="37">
        <v>0</v>
      </c>
    </row>
    <row r="10936" spans="1:10" ht="25.5" hidden="1" x14ac:dyDescent="0.25">
      <c r="A10936" s="179"/>
      <c r="B10936" s="177"/>
      <c r="C10936" s="43" t="s">
        <v>11868</v>
      </c>
      <c r="D10936" s="43" t="s">
        <v>83</v>
      </c>
      <c r="E10936" s="44">
        <v>1</v>
      </c>
      <c r="F10936" s="70">
        <v>77.396499999999989</v>
      </c>
      <c r="G10936" s="70">
        <f>IF(ISNUMBER(F10936),E10936*F10936,"")</f>
        <v>77.396499999999989</v>
      </c>
      <c r="H10936" s="46">
        <f>SUM(G10936:G10936)</f>
        <v>77.396499999999989</v>
      </c>
      <c r="I10936" s="47"/>
      <c r="J10936" s="37">
        <v>0</v>
      </c>
    </row>
    <row r="10937" spans="1:10" ht="15.75" hidden="1" thickBot="1" x14ac:dyDescent="0.3">
      <c r="A10937" s="180"/>
      <c r="B10937" s="178"/>
      <c r="C10937" s="49"/>
      <c r="D10937" s="49"/>
      <c r="E10937" s="50"/>
      <c r="F10937" s="83" t="s">
        <v>13</v>
      </c>
      <c r="G10937" s="83" t="str">
        <f>IF(ISNUMBER(F10937),E10937*F10937,"")</f>
        <v/>
      </c>
      <c r="H10937" s="84"/>
      <c r="I10937" s="72"/>
      <c r="J10937" s="37">
        <v>0</v>
      </c>
    </row>
    <row r="10938" spans="1:10" ht="15.75" hidden="1" thickBot="1" x14ac:dyDescent="0.3">
      <c r="A10938" s="173" t="s">
        <v>2690</v>
      </c>
      <c r="B10938" s="176" t="s">
        <v>10248</v>
      </c>
      <c r="C10938" s="31"/>
      <c r="D10938" s="32" t="s">
        <v>18</v>
      </c>
      <c r="E10938" s="33"/>
      <c r="F10938" s="60" t="s">
        <v>13</v>
      </c>
      <c r="G10938" s="34" t="str">
        <f>IF(ISNUMBER(F10938),E10938*F10938,"")</f>
        <v/>
      </c>
      <c r="H10938" s="35"/>
      <c r="I10938" s="36"/>
      <c r="J10938" s="37">
        <v>0</v>
      </c>
    </row>
    <row r="10939" spans="1:10" hidden="1" x14ac:dyDescent="0.25">
      <c r="A10939" s="179"/>
      <c r="B10939" s="177"/>
      <c r="C10939" s="39"/>
      <c r="D10939" s="39"/>
      <c r="E10939" s="40"/>
      <c r="F10939" s="70" t="s">
        <v>13</v>
      </c>
      <c r="G10939" s="70" t="str">
        <f>IF(ISNUMBER(F10939),E10939*F10939,"")</f>
        <v/>
      </c>
      <c r="H10939" s="71"/>
      <c r="I10939" s="72"/>
      <c r="J10939" s="37">
        <v>0</v>
      </c>
    </row>
    <row r="10940" spans="1:10" ht="25.5" hidden="1" x14ac:dyDescent="0.25">
      <c r="A10940" s="179"/>
      <c r="B10940" s="177"/>
      <c r="C10940" s="43" t="s">
        <v>11869</v>
      </c>
      <c r="D10940" s="43" t="s">
        <v>83</v>
      </c>
      <c r="E10940" s="44">
        <v>1</v>
      </c>
      <c r="F10940" s="70">
        <v>123.5855</v>
      </c>
      <c r="G10940" s="70">
        <f>IF(ISNUMBER(F10940),E10940*F10940,"")</f>
        <v>123.5855</v>
      </c>
      <c r="H10940" s="46">
        <f>SUM(G10940:G10940)</f>
        <v>123.5855</v>
      </c>
      <c r="I10940" s="47"/>
      <c r="J10940" s="37">
        <v>0</v>
      </c>
    </row>
    <row r="10941" spans="1:10" ht="15.75" hidden="1" thickBot="1" x14ac:dyDescent="0.3">
      <c r="A10941" s="180"/>
      <c r="B10941" s="178"/>
      <c r="C10941" s="49"/>
      <c r="D10941" s="49"/>
      <c r="E10941" s="50"/>
      <c r="F10941" s="83" t="s">
        <v>13</v>
      </c>
      <c r="G10941" s="83" t="str">
        <f>IF(ISNUMBER(F10941),E10941*F10941,"")</f>
        <v/>
      </c>
      <c r="H10941" s="84"/>
      <c r="I10941" s="72"/>
      <c r="J10941" s="37">
        <v>0</v>
      </c>
    </row>
    <row r="10942" spans="1:10" ht="15.75" hidden="1" thickBot="1" x14ac:dyDescent="0.3">
      <c r="A10942" s="173" t="s">
        <v>2691</v>
      </c>
      <c r="B10942" s="176" t="s">
        <v>10249</v>
      </c>
      <c r="C10942" s="31"/>
      <c r="D10942" s="32" t="s">
        <v>18</v>
      </c>
      <c r="E10942" s="33"/>
      <c r="F10942" s="60" t="s">
        <v>13</v>
      </c>
      <c r="G10942" s="34" t="str">
        <f>IF(ISNUMBER(F10942),E10942*F10942,"")</f>
        <v/>
      </c>
      <c r="H10942" s="35"/>
      <c r="I10942" s="36"/>
      <c r="J10942" s="37">
        <v>0</v>
      </c>
    </row>
    <row r="10943" spans="1:10" hidden="1" x14ac:dyDescent="0.25">
      <c r="A10943" s="179"/>
      <c r="B10943" s="177"/>
      <c r="C10943" s="39"/>
      <c r="D10943" s="39"/>
      <c r="E10943" s="40"/>
      <c r="F10943" s="70" t="s">
        <v>13</v>
      </c>
      <c r="G10943" s="70" t="str">
        <f>IF(ISNUMBER(F10943),E10943*F10943,"")</f>
        <v/>
      </c>
      <c r="H10943" s="71"/>
      <c r="I10943" s="72"/>
      <c r="J10943" s="37">
        <v>0</v>
      </c>
    </row>
    <row r="10944" spans="1:10" ht="25.5" hidden="1" x14ac:dyDescent="0.25">
      <c r="A10944" s="179"/>
      <c r="B10944" s="177"/>
      <c r="C10944" s="43" t="s">
        <v>11870</v>
      </c>
      <c r="D10944" s="43" t="s">
        <v>83</v>
      </c>
      <c r="E10944" s="44">
        <v>1</v>
      </c>
      <c r="F10944" s="70">
        <v>183.559</v>
      </c>
      <c r="G10944" s="70">
        <f>IF(ISNUMBER(F10944),E10944*F10944,"")</f>
        <v>183.559</v>
      </c>
      <c r="H10944" s="46">
        <f>SUM(G10944:G10944)</f>
        <v>183.559</v>
      </c>
      <c r="I10944" s="47"/>
      <c r="J10944" s="37">
        <v>0</v>
      </c>
    </row>
    <row r="10945" spans="1:10" ht="15.75" hidden="1" thickBot="1" x14ac:dyDescent="0.3">
      <c r="A10945" s="180"/>
      <c r="B10945" s="178"/>
      <c r="C10945" s="49"/>
      <c r="D10945" s="49"/>
      <c r="E10945" s="50"/>
      <c r="F10945" s="83" t="s">
        <v>13</v>
      </c>
      <c r="G10945" s="83" t="str">
        <f>IF(ISNUMBER(F10945),E10945*F10945,"")</f>
        <v/>
      </c>
      <c r="H10945" s="84"/>
      <c r="I10945" s="72"/>
      <c r="J10945" s="37">
        <v>0</v>
      </c>
    </row>
    <row r="10946" spans="1:10" ht="15.75" hidden="1" thickBot="1" x14ac:dyDescent="0.3">
      <c r="A10946" s="173" t="s">
        <v>2692</v>
      </c>
      <c r="B10946" s="176" t="s">
        <v>10250</v>
      </c>
      <c r="C10946" s="31"/>
      <c r="D10946" s="32" t="s">
        <v>18</v>
      </c>
      <c r="E10946" s="33"/>
      <c r="F10946" s="60" t="s">
        <v>13</v>
      </c>
      <c r="G10946" s="34" t="str">
        <f>IF(ISNUMBER(F10946),E10946*F10946,"")</f>
        <v/>
      </c>
      <c r="H10946" s="35"/>
      <c r="I10946" s="36"/>
      <c r="J10946" s="37">
        <v>0</v>
      </c>
    </row>
    <row r="10947" spans="1:10" hidden="1" x14ac:dyDescent="0.25">
      <c r="A10947" s="179"/>
      <c r="B10947" s="177"/>
      <c r="C10947" s="39"/>
      <c r="D10947" s="39"/>
      <c r="E10947" s="40"/>
      <c r="F10947" s="70" t="s">
        <v>13</v>
      </c>
      <c r="G10947" s="70" t="str">
        <f>IF(ISNUMBER(F10947),E10947*F10947,"")</f>
        <v/>
      </c>
      <c r="H10947" s="71"/>
      <c r="I10947" s="72"/>
      <c r="J10947" s="37">
        <v>0</v>
      </c>
    </row>
    <row r="10948" spans="1:10" ht="25.5" hidden="1" x14ac:dyDescent="0.25">
      <c r="A10948" s="179"/>
      <c r="B10948" s="177"/>
      <c r="C10948" s="43" t="s">
        <v>11871</v>
      </c>
      <c r="D10948" s="43" t="s">
        <v>83</v>
      </c>
      <c r="E10948" s="44">
        <v>1</v>
      </c>
      <c r="F10948" s="70">
        <v>436.24949999999995</v>
      </c>
      <c r="G10948" s="70">
        <f>IF(ISNUMBER(F10948),E10948*F10948,"")</f>
        <v>436.24949999999995</v>
      </c>
      <c r="H10948" s="46">
        <f>SUM(G10948:G10948)</f>
        <v>436.24949999999995</v>
      </c>
      <c r="I10948" s="47"/>
      <c r="J10948" s="37">
        <v>0</v>
      </c>
    </row>
    <row r="10949" spans="1:10" ht="15.75" hidden="1" thickBot="1" x14ac:dyDescent="0.3">
      <c r="A10949" s="180"/>
      <c r="B10949" s="178"/>
      <c r="C10949" s="49"/>
      <c r="D10949" s="49"/>
      <c r="E10949" s="50"/>
      <c r="F10949" s="83" t="s">
        <v>13</v>
      </c>
      <c r="G10949" s="83" t="str">
        <f>IF(ISNUMBER(F10949),E10949*F10949,"")</f>
        <v/>
      </c>
      <c r="H10949" s="84"/>
      <c r="I10949" s="72"/>
      <c r="J10949" s="37">
        <v>0</v>
      </c>
    </row>
    <row r="10950" spans="1:10" ht="15.75" hidden="1" thickBot="1" x14ac:dyDescent="0.3">
      <c r="A10950" s="173" t="s">
        <v>2693</v>
      </c>
      <c r="B10950" s="176" t="s">
        <v>10259</v>
      </c>
      <c r="C10950" s="31"/>
      <c r="D10950" s="32" t="s">
        <v>18</v>
      </c>
      <c r="E10950" s="33"/>
      <c r="F10950" s="60" t="s">
        <v>13</v>
      </c>
      <c r="G10950" s="34" t="str">
        <f>IF(ISNUMBER(F10950),E10950*F10950,"")</f>
        <v/>
      </c>
      <c r="H10950" s="35"/>
      <c r="I10950" s="36"/>
      <c r="J10950" s="37">
        <v>0</v>
      </c>
    </row>
    <row r="10951" spans="1:10" hidden="1" x14ac:dyDescent="0.25">
      <c r="A10951" s="179"/>
      <c r="B10951" s="177"/>
      <c r="C10951" s="39"/>
      <c r="D10951" s="39"/>
      <c r="E10951" s="40"/>
      <c r="F10951" s="70" t="s">
        <v>13</v>
      </c>
      <c r="G10951" s="70" t="str">
        <f>IF(ISNUMBER(F10951),E10951*F10951,"")</f>
        <v/>
      </c>
      <c r="H10951" s="71"/>
      <c r="I10951" s="72"/>
      <c r="J10951" s="37">
        <v>0</v>
      </c>
    </row>
    <row r="10952" spans="1:10" ht="25.5" hidden="1" x14ac:dyDescent="0.25">
      <c r="A10952" s="179"/>
      <c r="B10952" s="177"/>
      <c r="C10952" s="43" t="s">
        <v>10753</v>
      </c>
      <c r="D10952" s="43" t="s">
        <v>2800</v>
      </c>
      <c r="E10952" s="44">
        <v>0.93</v>
      </c>
      <c r="F10952" s="38">
        <v>23.997</v>
      </c>
      <c r="G10952" s="70">
        <f>IF(ISNUMBER(F10952),E10952*F10952,"")</f>
        <v>22.317209999999999</v>
      </c>
      <c r="H10952" s="46">
        <f>SUM(G10952:G10954)</f>
        <v>50.553870000000003</v>
      </c>
      <c r="I10952" s="47"/>
      <c r="J10952" s="37">
        <v>0</v>
      </c>
    </row>
    <row r="10953" spans="1:10" ht="25.5" hidden="1" x14ac:dyDescent="0.25">
      <c r="A10953" s="179"/>
      <c r="B10953" s="177"/>
      <c r="C10953" s="43" t="s">
        <v>10754</v>
      </c>
      <c r="D10953" s="43" t="s">
        <v>2800</v>
      </c>
      <c r="E10953" s="44">
        <v>0.93</v>
      </c>
      <c r="F10953" s="38">
        <v>30.361999999999998</v>
      </c>
      <c r="G10953" s="70">
        <f>IF(ISNUMBER(F10953),E10953*F10953,"")</f>
        <v>28.236660000000001</v>
      </c>
      <c r="H10953" s="71"/>
      <c r="I10953" s="72"/>
      <c r="J10953" s="37">
        <v>0</v>
      </c>
    </row>
    <row r="10954" spans="1:10" hidden="1" x14ac:dyDescent="0.25">
      <c r="A10954" s="179"/>
      <c r="B10954" s="177"/>
      <c r="C10954" s="43" t="s">
        <v>2694</v>
      </c>
      <c r="D10954" s="43" t="s">
        <v>83</v>
      </c>
      <c r="E10954" s="44">
        <v>1</v>
      </c>
      <c r="F10954" s="38" t="s">
        <v>13</v>
      </c>
      <c r="G10954" s="70" t="str">
        <f>IF(ISNUMBER(F10954),E10954*F10954,"")</f>
        <v/>
      </c>
      <c r="H10954" s="71"/>
      <c r="I10954" s="72"/>
      <c r="J10954" s="37">
        <v>0</v>
      </c>
    </row>
    <row r="10955" spans="1:10" ht="15.75" hidden="1" thickBot="1" x14ac:dyDescent="0.3">
      <c r="A10955" s="180"/>
      <c r="B10955" s="178"/>
      <c r="C10955" s="49"/>
      <c r="D10955" s="63"/>
      <c r="E10955" s="50"/>
      <c r="F10955" s="83" t="s">
        <v>13</v>
      </c>
      <c r="G10955" s="83" t="str">
        <f>IF(ISNUMBER(F10955),E10955*F10955,"")</f>
        <v/>
      </c>
      <c r="H10955" s="84"/>
      <c r="I10955" s="72"/>
      <c r="J10955" s="37">
        <v>0</v>
      </c>
    </row>
    <row r="10956" spans="1:10" ht="15.75" hidden="1" thickBot="1" x14ac:dyDescent="0.3">
      <c r="A10956" s="173" t="s">
        <v>2695</v>
      </c>
      <c r="B10956" s="176" t="s">
        <v>10260</v>
      </c>
      <c r="C10956" s="31"/>
      <c r="D10956" s="32" t="s">
        <v>18</v>
      </c>
      <c r="E10956" s="33"/>
      <c r="F10956" s="60" t="s">
        <v>13</v>
      </c>
      <c r="G10956" s="34" t="str">
        <f>IF(ISNUMBER(F10956),E10956*F10956,"")</f>
        <v/>
      </c>
      <c r="H10956" s="35"/>
      <c r="I10956" s="36"/>
      <c r="J10956" s="37">
        <v>0</v>
      </c>
    </row>
    <row r="10957" spans="1:10" hidden="1" x14ac:dyDescent="0.25">
      <c r="A10957" s="179"/>
      <c r="B10957" s="177"/>
      <c r="C10957" s="39"/>
      <c r="D10957" s="39"/>
      <c r="E10957" s="40"/>
      <c r="F10957" s="70" t="s">
        <v>13</v>
      </c>
      <c r="G10957" s="70" t="str">
        <f>IF(ISNUMBER(F10957),E10957*F10957,"")</f>
        <v/>
      </c>
      <c r="H10957" s="71"/>
      <c r="I10957" s="72"/>
      <c r="J10957" s="37">
        <v>0</v>
      </c>
    </row>
    <row r="10958" spans="1:10" ht="25.5" hidden="1" x14ac:dyDescent="0.25">
      <c r="A10958" s="179"/>
      <c r="B10958" s="177"/>
      <c r="C10958" s="43" t="s">
        <v>10753</v>
      </c>
      <c r="D10958" s="43" t="s">
        <v>2800</v>
      </c>
      <c r="E10958" s="44">
        <v>0.93</v>
      </c>
      <c r="F10958" s="38">
        <v>23.997</v>
      </c>
      <c r="G10958" s="70">
        <f>IF(ISNUMBER(F10958),E10958*F10958,"")</f>
        <v>22.317209999999999</v>
      </c>
      <c r="H10958" s="46">
        <f>SUM(G10958:G10960)</f>
        <v>50.553870000000003</v>
      </c>
      <c r="I10958" s="47"/>
      <c r="J10958" s="37">
        <v>0</v>
      </c>
    </row>
    <row r="10959" spans="1:10" ht="25.5" hidden="1" x14ac:dyDescent="0.25">
      <c r="A10959" s="179"/>
      <c r="B10959" s="177"/>
      <c r="C10959" s="43" t="s">
        <v>10754</v>
      </c>
      <c r="D10959" s="43" t="s">
        <v>2800</v>
      </c>
      <c r="E10959" s="44">
        <v>0.93</v>
      </c>
      <c r="F10959" s="38">
        <v>30.361999999999998</v>
      </c>
      <c r="G10959" s="70">
        <f>IF(ISNUMBER(F10959),E10959*F10959,"")</f>
        <v>28.236660000000001</v>
      </c>
      <c r="H10959" s="71"/>
      <c r="I10959" s="72"/>
      <c r="J10959" s="37">
        <v>0</v>
      </c>
    </row>
    <row r="10960" spans="1:10" hidden="1" x14ac:dyDescent="0.25">
      <c r="A10960" s="179"/>
      <c r="B10960" s="177"/>
      <c r="C10960" s="43" t="s">
        <v>2696</v>
      </c>
      <c r="D10960" s="43" t="s">
        <v>83</v>
      </c>
      <c r="E10960" s="44">
        <v>1</v>
      </c>
      <c r="F10960" s="38" t="s">
        <v>13</v>
      </c>
      <c r="G10960" s="70" t="str">
        <f>IF(ISNUMBER(F10960),E10960*F10960,"")</f>
        <v/>
      </c>
      <c r="H10960" s="71"/>
      <c r="I10960" s="72"/>
      <c r="J10960" s="37">
        <v>0</v>
      </c>
    </row>
    <row r="10961" spans="1:10" ht="15.75" hidden="1" thickBot="1" x14ac:dyDescent="0.3">
      <c r="A10961" s="180"/>
      <c r="B10961" s="178"/>
      <c r="C10961" s="49"/>
      <c r="D10961" s="63"/>
      <c r="E10961" s="50"/>
      <c r="F10961" s="83" t="s">
        <v>13</v>
      </c>
      <c r="G10961" s="83" t="str">
        <f>IF(ISNUMBER(F10961),E10961*F10961,"")</f>
        <v/>
      </c>
      <c r="H10961" s="84"/>
      <c r="I10961" s="72"/>
      <c r="J10961" s="37">
        <v>0</v>
      </c>
    </row>
    <row r="10962" spans="1:10" ht="15.75" hidden="1" thickBot="1" x14ac:dyDescent="0.3">
      <c r="A10962" s="173" t="s">
        <v>2697</v>
      </c>
      <c r="B10962" s="176" t="s">
        <v>10261</v>
      </c>
      <c r="C10962" s="31"/>
      <c r="D10962" s="32" t="s">
        <v>18</v>
      </c>
      <c r="E10962" s="33"/>
      <c r="F10962" s="60" t="s">
        <v>13</v>
      </c>
      <c r="G10962" s="34" t="str">
        <f>IF(ISNUMBER(F10962),E10962*F10962,"")</f>
        <v/>
      </c>
      <c r="H10962" s="35"/>
      <c r="I10962" s="36"/>
      <c r="J10962" s="37">
        <v>0</v>
      </c>
    </row>
    <row r="10963" spans="1:10" hidden="1" x14ac:dyDescent="0.25">
      <c r="A10963" s="179"/>
      <c r="B10963" s="177"/>
      <c r="C10963" s="39"/>
      <c r="D10963" s="39"/>
      <c r="E10963" s="40"/>
      <c r="F10963" s="70" t="s">
        <v>13</v>
      </c>
      <c r="G10963" s="70" t="str">
        <f>IF(ISNUMBER(F10963),E10963*F10963,"")</f>
        <v/>
      </c>
      <c r="H10963" s="71"/>
      <c r="I10963" s="72"/>
      <c r="J10963" s="37">
        <v>0</v>
      </c>
    </row>
    <row r="10964" spans="1:10" hidden="1" x14ac:dyDescent="0.25">
      <c r="A10964" s="179"/>
      <c r="B10964" s="177"/>
      <c r="C10964" s="43" t="s">
        <v>11100</v>
      </c>
      <c r="D10964" s="43" t="s">
        <v>1044</v>
      </c>
      <c r="E10964" s="44">
        <f>ROUND(0.089*1.3,4)</f>
        <v>0.1157</v>
      </c>
      <c r="F10964" s="38">
        <v>40.137499999999996</v>
      </c>
      <c r="G10964" s="70">
        <f>IF(ISNUMBER(F10964),E10964*F10964,"")</f>
        <v>4.6439087499999996</v>
      </c>
      <c r="H10964" s="46">
        <f>SUM(G10964:G10968)</f>
        <v>108.72550975</v>
      </c>
      <c r="I10964" s="47"/>
      <c r="J10964" s="37">
        <v>0</v>
      </c>
    </row>
    <row r="10965" spans="1:10" ht="25.5" hidden="1" x14ac:dyDescent="0.25">
      <c r="A10965" s="179"/>
      <c r="B10965" s="177"/>
      <c r="C10965" s="43" t="s">
        <v>2698</v>
      </c>
      <c r="D10965" s="43" t="s">
        <v>83</v>
      </c>
      <c r="E10965" s="44">
        <v>1</v>
      </c>
      <c r="F10965" s="38" t="s">
        <v>13</v>
      </c>
      <c r="G10965" s="70" t="str">
        <f>IF(ISNUMBER(F10965),E10965*F10965,"")</f>
        <v/>
      </c>
      <c r="H10965" s="71"/>
      <c r="I10965" s="72"/>
      <c r="J10965" s="37">
        <v>0</v>
      </c>
    </row>
    <row r="10966" spans="1:10" ht="25.5" hidden="1" x14ac:dyDescent="0.25">
      <c r="A10966" s="179"/>
      <c r="B10966" s="177"/>
      <c r="C10966" s="43" t="s">
        <v>10753</v>
      </c>
      <c r="D10966" s="43" t="s">
        <v>2800</v>
      </c>
      <c r="E10966" s="44">
        <f>ROUND(0.93*1.3,4)</f>
        <v>1.2090000000000001</v>
      </c>
      <c r="F10966" s="38">
        <v>23.997</v>
      </c>
      <c r="G10966" s="70">
        <f>IF(ISNUMBER(F10966),E10966*F10966,"")</f>
        <v>29.012373</v>
      </c>
      <c r="H10966" s="71"/>
      <c r="I10966" s="72"/>
      <c r="J10966" s="37">
        <v>0</v>
      </c>
    </row>
    <row r="10967" spans="1:10" ht="25.5" hidden="1" x14ac:dyDescent="0.25">
      <c r="A10967" s="179"/>
      <c r="B10967" s="177"/>
      <c r="C10967" s="43" t="s">
        <v>10754</v>
      </c>
      <c r="D10967" s="43" t="s">
        <v>2800</v>
      </c>
      <c r="E10967" s="44">
        <f>ROUND(0.93*1.3,4)</f>
        <v>1.2090000000000001</v>
      </c>
      <c r="F10967" s="38">
        <v>30.361999999999998</v>
      </c>
      <c r="G10967" s="70">
        <f>IF(ISNUMBER(F10967),E10967*F10967,"")</f>
        <v>36.707658000000002</v>
      </c>
      <c r="H10967" s="71"/>
      <c r="I10967" s="72"/>
      <c r="J10967" s="37">
        <v>0</v>
      </c>
    </row>
    <row r="10968" spans="1:10" hidden="1" x14ac:dyDescent="0.25">
      <c r="A10968" s="179"/>
      <c r="B10968" s="177"/>
      <c r="C10968" s="43" t="s">
        <v>10808</v>
      </c>
      <c r="D10968" s="43" t="s">
        <v>2800</v>
      </c>
      <c r="E10968" s="44">
        <f>ROUND(0.93*1.3,4)</f>
        <v>1.2090000000000001</v>
      </c>
      <c r="F10968" s="70">
        <v>31.729999999999997</v>
      </c>
      <c r="G10968" s="70">
        <f>IF(ISNUMBER(F10968),E10968*F10968,"")</f>
        <v>38.36157</v>
      </c>
      <c r="H10968" s="71"/>
      <c r="I10968" s="72"/>
      <c r="J10968" s="37">
        <v>0</v>
      </c>
    </row>
    <row r="10969" spans="1:10" ht="15.75" hidden="1" thickBot="1" x14ac:dyDescent="0.3">
      <c r="A10969" s="180"/>
      <c r="B10969" s="178"/>
      <c r="C10969" s="49"/>
      <c r="D10969" s="63"/>
      <c r="E10969" s="50"/>
      <c r="F10969" s="83" t="s">
        <v>13</v>
      </c>
      <c r="G10969" s="83" t="str">
        <f>IF(ISNUMBER(F10969),E10969*F10969,"")</f>
        <v/>
      </c>
      <c r="H10969" s="84"/>
      <c r="I10969" s="72"/>
      <c r="J10969" s="37">
        <v>0</v>
      </c>
    </row>
    <row r="10970" spans="1:10" ht="15.75" hidden="1" thickBot="1" x14ac:dyDescent="0.3">
      <c r="A10970" s="173" t="s">
        <v>2699</v>
      </c>
      <c r="B10970" s="176" t="s">
        <v>10262</v>
      </c>
      <c r="C10970" s="31"/>
      <c r="D10970" s="32" t="s">
        <v>18</v>
      </c>
      <c r="E10970" s="33"/>
      <c r="F10970" s="60" t="s">
        <v>13</v>
      </c>
      <c r="G10970" s="34" t="str">
        <f>IF(ISNUMBER(F10970),E10970*F10970,"")</f>
        <v/>
      </c>
      <c r="H10970" s="35"/>
      <c r="I10970" s="36"/>
      <c r="J10970" s="37">
        <v>0</v>
      </c>
    </row>
    <row r="10971" spans="1:10" hidden="1" x14ac:dyDescent="0.25">
      <c r="A10971" s="179"/>
      <c r="B10971" s="177"/>
      <c r="C10971" s="39"/>
      <c r="D10971" s="39"/>
      <c r="E10971" s="40"/>
      <c r="F10971" s="70" t="s">
        <v>13</v>
      </c>
      <c r="G10971" s="70" t="str">
        <f>IF(ISNUMBER(F10971),E10971*F10971,"")</f>
        <v/>
      </c>
      <c r="H10971" s="71"/>
      <c r="I10971" s="72"/>
      <c r="J10971" s="37">
        <v>0</v>
      </c>
    </row>
    <row r="10972" spans="1:10" hidden="1" x14ac:dyDescent="0.25">
      <c r="A10972" s="179"/>
      <c r="B10972" s="177"/>
      <c r="C10972" s="43" t="s">
        <v>11100</v>
      </c>
      <c r="D10972" s="43" t="s">
        <v>1044</v>
      </c>
      <c r="E10972" s="44">
        <f>ROUND(0.089*1.3,4)</f>
        <v>0.1157</v>
      </c>
      <c r="F10972" s="38">
        <v>40.137499999999996</v>
      </c>
      <c r="G10972" s="70">
        <f>IF(ISNUMBER(F10972),E10972*F10972,"")</f>
        <v>4.6439087499999996</v>
      </c>
      <c r="H10972" s="46">
        <f>SUM(G10972:G10976)</f>
        <v>108.72550975</v>
      </c>
      <c r="I10972" s="47"/>
      <c r="J10972" s="37">
        <v>0</v>
      </c>
    </row>
    <row r="10973" spans="1:10" ht="25.5" hidden="1" x14ac:dyDescent="0.25">
      <c r="A10973" s="179"/>
      <c r="B10973" s="177"/>
      <c r="C10973" s="43" t="s">
        <v>2700</v>
      </c>
      <c r="D10973" s="43" t="s">
        <v>83</v>
      </c>
      <c r="E10973" s="44">
        <v>1</v>
      </c>
      <c r="F10973" s="38" t="s">
        <v>13</v>
      </c>
      <c r="G10973" s="70" t="str">
        <f>IF(ISNUMBER(F10973),E10973*F10973,"")</f>
        <v/>
      </c>
      <c r="H10973" s="71"/>
      <c r="I10973" s="72"/>
      <c r="J10973" s="37">
        <v>0</v>
      </c>
    </row>
    <row r="10974" spans="1:10" ht="25.5" hidden="1" x14ac:dyDescent="0.25">
      <c r="A10974" s="179"/>
      <c r="B10974" s="177"/>
      <c r="C10974" s="43" t="s">
        <v>10753</v>
      </c>
      <c r="D10974" s="43" t="s">
        <v>2800</v>
      </c>
      <c r="E10974" s="44">
        <f>ROUND(0.93*1.3,4)</f>
        <v>1.2090000000000001</v>
      </c>
      <c r="F10974" s="38">
        <v>23.997</v>
      </c>
      <c r="G10974" s="70">
        <f>IF(ISNUMBER(F10974),E10974*F10974,"")</f>
        <v>29.012373</v>
      </c>
      <c r="H10974" s="71"/>
      <c r="I10974" s="72"/>
      <c r="J10974" s="37">
        <v>0</v>
      </c>
    </row>
    <row r="10975" spans="1:10" ht="25.5" hidden="1" x14ac:dyDescent="0.25">
      <c r="A10975" s="179"/>
      <c r="B10975" s="177"/>
      <c r="C10975" s="43" t="s">
        <v>10754</v>
      </c>
      <c r="D10975" s="43" t="s">
        <v>2800</v>
      </c>
      <c r="E10975" s="44">
        <f>ROUND(0.93*1.3,4)</f>
        <v>1.2090000000000001</v>
      </c>
      <c r="F10975" s="38">
        <v>30.361999999999998</v>
      </c>
      <c r="G10975" s="70">
        <f>IF(ISNUMBER(F10975),E10975*F10975,"")</f>
        <v>36.707658000000002</v>
      </c>
      <c r="H10975" s="71"/>
      <c r="I10975" s="72"/>
      <c r="J10975" s="37">
        <v>0</v>
      </c>
    </row>
    <row r="10976" spans="1:10" hidden="1" x14ac:dyDescent="0.25">
      <c r="A10976" s="179"/>
      <c r="B10976" s="177"/>
      <c r="C10976" s="43" t="s">
        <v>10808</v>
      </c>
      <c r="D10976" s="43" t="s">
        <v>2800</v>
      </c>
      <c r="E10976" s="44">
        <f>ROUND(0.93*1.3,4)</f>
        <v>1.2090000000000001</v>
      </c>
      <c r="F10976" s="70">
        <v>31.729999999999997</v>
      </c>
      <c r="G10976" s="70">
        <f>IF(ISNUMBER(F10976),E10976*F10976,"")</f>
        <v>38.36157</v>
      </c>
      <c r="H10976" s="71"/>
      <c r="I10976" s="72"/>
      <c r="J10976" s="37">
        <v>0</v>
      </c>
    </row>
    <row r="10977" spans="1:10" ht="15.75" hidden="1" thickBot="1" x14ac:dyDescent="0.3">
      <c r="A10977" s="180"/>
      <c r="B10977" s="178"/>
      <c r="C10977" s="49"/>
      <c r="D10977" s="63"/>
      <c r="E10977" s="50"/>
      <c r="F10977" s="83" t="s">
        <v>13</v>
      </c>
      <c r="G10977" s="83" t="str">
        <f>IF(ISNUMBER(F10977),E10977*F10977,"")</f>
        <v/>
      </c>
      <c r="H10977" s="84"/>
      <c r="I10977" s="72"/>
      <c r="J10977" s="37">
        <v>0</v>
      </c>
    </row>
    <row r="10978" spans="1:10" ht="15.75" hidden="1" thickBot="1" x14ac:dyDescent="0.3">
      <c r="A10978" s="173" t="s">
        <v>2701</v>
      </c>
      <c r="B10978" s="176" t="s">
        <v>10263</v>
      </c>
      <c r="C10978" s="31"/>
      <c r="D10978" s="32" t="s">
        <v>18</v>
      </c>
      <c r="E10978" s="33"/>
      <c r="F10978" s="60" t="s">
        <v>13</v>
      </c>
      <c r="G10978" s="34" t="str">
        <f>IF(ISNUMBER(F10978),E10978*F10978,"")</f>
        <v/>
      </c>
      <c r="H10978" s="35"/>
      <c r="I10978" s="36"/>
      <c r="J10978" s="37">
        <v>0</v>
      </c>
    </row>
    <row r="10979" spans="1:10" hidden="1" x14ac:dyDescent="0.25">
      <c r="A10979" s="179"/>
      <c r="B10979" s="177"/>
      <c r="C10979" s="39"/>
      <c r="D10979" s="39"/>
      <c r="E10979" s="40"/>
      <c r="F10979" s="70" t="s">
        <v>13</v>
      </c>
      <c r="G10979" s="70" t="str">
        <f>IF(ISNUMBER(F10979),E10979*F10979,"")</f>
        <v/>
      </c>
      <c r="H10979" s="71"/>
      <c r="I10979" s="72"/>
      <c r="J10979" s="37">
        <v>0</v>
      </c>
    </row>
    <row r="10980" spans="1:10" hidden="1" x14ac:dyDescent="0.25">
      <c r="A10980" s="179"/>
      <c r="B10980" s="177"/>
      <c r="C10980" s="43" t="s">
        <v>11100</v>
      </c>
      <c r="D10980" s="43" t="s">
        <v>1044</v>
      </c>
      <c r="E10980" s="44">
        <f>ROUND(0.089*1.3,4)</f>
        <v>0.1157</v>
      </c>
      <c r="F10980" s="38">
        <v>40.137499999999996</v>
      </c>
      <c r="G10980" s="70">
        <f>IF(ISNUMBER(F10980),E10980*F10980,"")</f>
        <v>4.6439087499999996</v>
      </c>
      <c r="H10980" s="46">
        <f>SUM(G10980:G10984)</f>
        <v>108.72550975</v>
      </c>
      <c r="I10980" s="47"/>
      <c r="J10980" s="37">
        <v>0</v>
      </c>
    </row>
    <row r="10981" spans="1:10" ht="25.5" hidden="1" x14ac:dyDescent="0.25">
      <c r="A10981" s="179"/>
      <c r="B10981" s="177"/>
      <c r="C10981" s="43" t="s">
        <v>2702</v>
      </c>
      <c r="D10981" s="43" t="s">
        <v>83</v>
      </c>
      <c r="E10981" s="44">
        <v>1</v>
      </c>
      <c r="F10981" s="38" t="s">
        <v>13</v>
      </c>
      <c r="G10981" s="70" t="str">
        <f>IF(ISNUMBER(F10981),E10981*F10981,"")</f>
        <v/>
      </c>
      <c r="H10981" s="71"/>
      <c r="I10981" s="72"/>
      <c r="J10981" s="37">
        <v>0</v>
      </c>
    </row>
    <row r="10982" spans="1:10" ht="25.5" hidden="1" x14ac:dyDescent="0.25">
      <c r="A10982" s="179"/>
      <c r="B10982" s="177"/>
      <c r="C10982" s="43" t="s">
        <v>10753</v>
      </c>
      <c r="D10982" s="43" t="s">
        <v>2800</v>
      </c>
      <c r="E10982" s="44">
        <f>ROUND(0.93*1.3,4)</f>
        <v>1.2090000000000001</v>
      </c>
      <c r="F10982" s="38">
        <v>23.997</v>
      </c>
      <c r="G10982" s="70">
        <f>IF(ISNUMBER(F10982),E10982*F10982,"")</f>
        <v>29.012373</v>
      </c>
      <c r="H10982" s="71"/>
      <c r="I10982" s="72"/>
      <c r="J10982" s="37">
        <v>0</v>
      </c>
    </row>
    <row r="10983" spans="1:10" ht="25.5" hidden="1" x14ac:dyDescent="0.25">
      <c r="A10983" s="179"/>
      <c r="B10983" s="177"/>
      <c r="C10983" s="43" t="s">
        <v>10754</v>
      </c>
      <c r="D10983" s="43" t="s">
        <v>2800</v>
      </c>
      <c r="E10983" s="44">
        <f>ROUND(0.93*1.3,4)</f>
        <v>1.2090000000000001</v>
      </c>
      <c r="F10983" s="38">
        <v>30.361999999999998</v>
      </c>
      <c r="G10983" s="70">
        <f>IF(ISNUMBER(F10983),E10983*F10983,"")</f>
        <v>36.707658000000002</v>
      </c>
      <c r="H10983" s="71"/>
      <c r="I10983" s="72"/>
      <c r="J10983" s="37">
        <v>0</v>
      </c>
    </row>
    <row r="10984" spans="1:10" hidden="1" x14ac:dyDescent="0.25">
      <c r="A10984" s="179"/>
      <c r="B10984" s="177"/>
      <c r="C10984" s="43" t="s">
        <v>10808</v>
      </c>
      <c r="D10984" s="43" t="s">
        <v>2800</v>
      </c>
      <c r="E10984" s="44">
        <f>ROUND(0.93*1.3,4)</f>
        <v>1.2090000000000001</v>
      </c>
      <c r="F10984" s="70">
        <v>31.729999999999997</v>
      </c>
      <c r="G10984" s="70">
        <f>IF(ISNUMBER(F10984),E10984*F10984,"")</f>
        <v>38.36157</v>
      </c>
      <c r="H10984" s="71"/>
      <c r="I10984" s="72"/>
      <c r="J10984" s="37">
        <v>0</v>
      </c>
    </row>
    <row r="10985" spans="1:10" ht="15.75" hidden="1" thickBot="1" x14ac:dyDescent="0.3">
      <c r="A10985" s="180"/>
      <c r="B10985" s="178"/>
      <c r="C10985" s="49"/>
      <c r="D10985" s="63"/>
      <c r="E10985" s="50"/>
      <c r="F10985" s="83" t="s">
        <v>13</v>
      </c>
      <c r="G10985" s="83" t="str">
        <f>IF(ISNUMBER(F10985),E10985*F10985,"")</f>
        <v/>
      </c>
      <c r="H10985" s="84"/>
      <c r="I10985" s="72"/>
      <c r="J10985" s="37">
        <v>0</v>
      </c>
    </row>
    <row r="10986" spans="1:10" ht="15.75" hidden="1" thickBot="1" x14ac:dyDescent="0.3">
      <c r="A10986" s="173" t="s">
        <v>2703</v>
      </c>
      <c r="B10986" s="176" t="s">
        <v>10264</v>
      </c>
      <c r="C10986" s="31"/>
      <c r="D10986" s="32" t="s">
        <v>1788</v>
      </c>
      <c r="E10986" s="33"/>
      <c r="F10986" s="60" t="s">
        <v>13</v>
      </c>
      <c r="G10986" s="34" t="str">
        <f>IF(ISNUMBER(F10986),E10986*F10986,"")</f>
        <v/>
      </c>
      <c r="H10986" s="35"/>
      <c r="I10986" s="36"/>
      <c r="J10986" s="37">
        <v>0</v>
      </c>
    </row>
    <row r="10987" spans="1:10" hidden="1" x14ac:dyDescent="0.25">
      <c r="A10987" s="179"/>
      <c r="B10987" s="177"/>
      <c r="C10987" s="39"/>
      <c r="D10987" s="39"/>
      <c r="E10987" s="40"/>
      <c r="F10987" s="70" t="s">
        <v>13</v>
      </c>
      <c r="G10987" s="70" t="str">
        <f>IF(ISNUMBER(F10987),E10987*F10987,"")</f>
        <v/>
      </c>
      <c r="H10987" s="71"/>
      <c r="I10987" s="72"/>
      <c r="J10987" s="37">
        <v>0</v>
      </c>
    </row>
    <row r="10988" spans="1:10" ht="51" hidden="1" x14ac:dyDescent="0.25">
      <c r="A10988" s="179"/>
      <c r="B10988" s="177"/>
      <c r="C10988" s="43" t="s">
        <v>11872</v>
      </c>
      <c r="D10988" s="43" t="s">
        <v>10677</v>
      </c>
      <c r="E10988" s="44">
        <v>2.38</v>
      </c>
      <c r="F10988" s="38">
        <v>5.2915000000000001</v>
      </c>
      <c r="G10988" s="70">
        <f>IF(ISNUMBER(F10988),E10988*F10988,"")</f>
        <v>12.593769999999999</v>
      </c>
      <c r="H10988" s="46">
        <f>SUM(G10988:G10993)</f>
        <v>856.88066750000007</v>
      </c>
      <c r="I10988" s="47"/>
      <c r="J10988" s="37">
        <v>0</v>
      </c>
    </row>
    <row r="10989" spans="1:10" ht="51" hidden="1" x14ac:dyDescent="0.25">
      <c r="A10989" s="179"/>
      <c r="B10989" s="177"/>
      <c r="C10989" s="43" t="s">
        <v>11873</v>
      </c>
      <c r="D10989" s="43" t="s">
        <v>1050</v>
      </c>
      <c r="E10989" s="44">
        <v>0.75</v>
      </c>
      <c r="F10989" s="38">
        <v>14.268999999999998</v>
      </c>
      <c r="G10989" s="70">
        <f>IF(ISNUMBER(F10989),E10989*F10989,"")</f>
        <v>10.701749999999999</v>
      </c>
      <c r="H10989" s="71"/>
      <c r="I10989" s="72"/>
      <c r="J10989" s="37">
        <v>0</v>
      </c>
    </row>
    <row r="10990" spans="1:10" ht="25.5" hidden="1" x14ac:dyDescent="0.25">
      <c r="A10990" s="179"/>
      <c r="B10990" s="177"/>
      <c r="C10990" s="43" t="s">
        <v>10649</v>
      </c>
      <c r="D10990" s="43" t="s">
        <v>2800</v>
      </c>
      <c r="E10990" s="44">
        <v>3.12</v>
      </c>
      <c r="F10990" s="38">
        <v>25.745000000000001</v>
      </c>
      <c r="G10990" s="70">
        <f>IF(ISNUMBER(F10990),E10990*F10990,"")</f>
        <v>80.324400000000011</v>
      </c>
      <c r="H10990" s="71"/>
      <c r="I10990" s="72"/>
      <c r="J10990" s="37">
        <v>0</v>
      </c>
    </row>
    <row r="10991" spans="1:10" hidden="1" x14ac:dyDescent="0.25">
      <c r="A10991" s="179"/>
      <c r="B10991" s="177"/>
      <c r="C10991" s="43" t="s">
        <v>10614</v>
      </c>
      <c r="D10991" s="43" t="s">
        <v>2800</v>
      </c>
      <c r="E10991" s="44">
        <v>4.99</v>
      </c>
      <c r="F10991" s="38">
        <v>23.693000000000001</v>
      </c>
      <c r="G10991" s="70">
        <f>IF(ISNUMBER(F10991),E10991*F10991,"")</f>
        <v>118.22807000000002</v>
      </c>
      <c r="H10991" s="71"/>
      <c r="I10991" s="72"/>
      <c r="J10991" s="37">
        <v>0</v>
      </c>
    </row>
    <row r="10992" spans="1:10" ht="25.5" hidden="1" x14ac:dyDescent="0.25">
      <c r="A10992" s="179"/>
      <c r="B10992" s="177"/>
      <c r="C10992" s="43" t="s">
        <v>10647</v>
      </c>
      <c r="D10992" s="43" t="s">
        <v>2880</v>
      </c>
      <c r="E10992" s="44">
        <v>0.97499999999999998</v>
      </c>
      <c r="F10992" s="38">
        <v>199.71849999999998</v>
      </c>
      <c r="G10992" s="70">
        <f>IF(ISNUMBER(F10992),E10992*F10992,"")</f>
        <v>194.72553749999997</v>
      </c>
      <c r="H10992" s="71"/>
      <c r="I10992" s="72"/>
      <c r="J10992" s="37">
        <v>0</v>
      </c>
    </row>
    <row r="10993" spans="1:10" hidden="1" x14ac:dyDescent="0.25">
      <c r="A10993" s="179"/>
      <c r="B10993" s="177"/>
      <c r="C10993" s="43" t="s">
        <v>10648</v>
      </c>
      <c r="D10993" s="43" t="s">
        <v>1044</v>
      </c>
      <c r="E10993" s="44">
        <v>681.59</v>
      </c>
      <c r="F10993" s="38">
        <v>0.64600000000000002</v>
      </c>
      <c r="G10993" s="70">
        <f>IF(ISNUMBER(F10993),E10993*F10993,"")</f>
        <v>440.30714000000006</v>
      </c>
      <c r="H10993" s="71"/>
      <c r="I10993" s="72"/>
      <c r="J10993" s="37">
        <v>0</v>
      </c>
    </row>
    <row r="10994" spans="1:10" hidden="1" x14ac:dyDescent="0.25">
      <c r="A10994" s="179"/>
      <c r="B10994" s="177"/>
      <c r="C10994" s="43"/>
      <c r="D10994" s="43"/>
      <c r="E10994" s="44"/>
      <c r="F10994" s="38"/>
      <c r="G10994" s="70" t="str">
        <f>IF(ISNUMBER(F10994),E10994*F10994,"")</f>
        <v/>
      </c>
      <c r="H10994" s="71"/>
      <c r="I10994" s="72"/>
      <c r="J10994" s="37">
        <v>0</v>
      </c>
    </row>
    <row r="10995" spans="1:10" hidden="1" x14ac:dyDescent="0.25">
      <c r="A10995" s="179"/>
      <c r="B10995" s="177"/>
      <c r="C10995" s="4" t="s">
        <v>2704</v>
      </c>
      <c r="D10995" s="43"/>
      <c r="E10995" s="44"/>
      <c r="F10995" s="38"/>
      <c r="G10995" s="70" t="str">
        <f>IF(ISNUMBER(F10995),E10995*F10995,"")</f>
        <v/>
      </c>
      <c r="H10995" s="71"/>
      <c r="I10995" s="72"/>
      <c r="J10995" s="37">
        <v>0</v>
      </c>
    </row>
    <row r="10996" spans="1:10" ht="15.75" hidden="1" thickBot="1" x14ac:dyDescent="0.3">
      <c r="A10996" s="180"/>
      <c r="B10996" s="178"/>
      <c r="C10996" s="49"/>
      <c r="D10996" s="63"/>
      <c r="E10996" s="50"/>
      <c r="F10996" s="83" t="s">
        <v>13</v>
      </c>
      <c r="G10996" s="83" t="str">
        <f>IF(ISNUMBER(F10996),E10996*F10996,"")</f>
        <v/>
      </c>
      <c r="H10996" s="84"/>
      <c r="I10996" s="72"/>
      <c r="J10996" s="37">
        <v>0</v>
      </c>
    </row>
    <row r="10997" spans="1:10" ht="15.75" hidden="1" thickBot="1" x14ac:dyDescent="0.3">
      <c r="A10997" s="173" t="s">
        <v>2705</v>
      </c>
      <c r="B10997" s="176" t="s">
        <v>2706</v>
      </c>
      <c r="C10997" s="31"/>
      <c r="D10997" s="32" t="s">
        <v>18</v>
      </c>
      <c r="E10997" s="33"/>
      <c r="F10997" s="60" t="s">
        <v>13</v>
      </c>
      <c r="G10997" s="34" t="str">
        <f>IF(ISNUMBER(F10997),E10997*F10997,"")</f>
        <v/>
      </c>
      <c r="H10997" s="35"/>
      <c r="I10997" s="36"/>
      <c r="J10997" s="37">
        <v>0</v>
      </c>
    </row>
    <row r="10998" spans="1:10" hidden="1" x14ac:dyDescent="0.25">
      <c r="A10998" s="179"/>
      <c r="B10998" s="177"/>
      <c r="C10998" s="39"/>
      <c r="D10998" s="39"/>
      <c r="E10998" s="40"/>
      <c r="F10998" s="70" t="s">
        <v>13</v>
      </c>
      <c r="G10998" s="70" t="str">
        <f>IF(ISNUMBER(F10998),E10998*F10998,"")</f>
        <v/>
      </c>
      <c r="H10998" s="71"/>
      <c r="I10998" s="72"/>
      <c r="J10998" s="37">
        <v>0</v>
      </c>
    </row>
    <row r="10999" spans="1:10" hidden="1" x14ac:dyDescent="0.25">
      <c r="A10999" s="179"/>
      <c r="B10999" s="177"/>
      <c r="C10999" s="43" t="s">
        <v>11100</v>
      </c>
      <c r="D10999" s="43" t="s">
        <v>1044</v>
      </c>
      <c r="E10999" s="44">
        <f>ROUND(0.089*1.3,4)</f>
        <v>0.1157</v>
      </c>
      <c r="F10999" s="38">
        <v>40.137499999999996</v>
      </c>
      <c r="G10999" s="70">
        <f>IF(ISNUMBER(F10999),E10999*F10999,"")</f>
        <v>4.6439087499999996</v>
      </c>
      <c r="H10999" s="46">
        <f>SUM(G10999:G11003)</f>
        <v>108.72550975</v>
      </c>
      <c r="I10999" s="47"/>
      <c r="J10999" s="37">
        <v>0</v>
      </c>
    </row>
    <row r="11000" spans="1:10" hidden="1" x14ac:dyDescent="0.25">
      <c r="A11000" s="179"/>
      <c r="B11000" s="177"/>
      <c r="C11000" s="43" t="s">
        <v>2706</v>
      </c>
      <c r="D11000" s="43" t="s">
        <v>83</v>
      </c>
      <c r="E11000" s="44">
        <v>1</v>
      </c>
      <c r="F11000" s="38" t="s">
        <v>13</v>
      </c>
      <c r="G11000" s="70" t="str">
        <f>IF(ISNUMBER(F11000),E11000*F11000,"")</f>
        <v/>
      </c>
      <c r="H11000" s="71"/>
      <c r="I11000" s="72"/>
      <c r="J11000" s="37">
        <v>0</v>
      </c>
    </row>
    <row r="11001" spans="1:10" ht="25.5" hidden="1" x14ac:dyDescent="0.25">
      <c r="A11001" s="179"/>
      <c r="B11001" s="177"/>
      <c r="C11001" s="43" t="s">
        <v>10753</v>
      </c>
      <c r="D11001" s="43" t="s">
        <v>2800</v>
      </c>
      <c r="E11001" s="44">
        <f>ROUND(0.93*1.3,4)</f>
        <v>1.2090000000000001</v>
      </c>
      <c r="F11001" s="38">
        <v>23.997</v>
      </c>
      <c r="G11001" s="70">
        <f>IF(ISNUMBER(F11001),E11001*F11001,"")</f>
        <v>29.012373</v>
      </c>
      <c r="H11001" s="71"/>
      <c r="I11001" s="72"/>
      <c r="J11001" s="37">
        <v>0</v>
      </c>
    </row>
    <row r="11002" spans="1:10" ht="25.5" hidden="1" x14ac:dyDescent="0.25">
      <c r="A11002" s="179"/>
      <c r="B11002" s="177"/>
      <c r="C11002" s="43" t="s">
        <v>10754</v>
      </c>
      <c r="D11002" s="43" t="s">
        <v>2800</v>
      </c>
      <c r="E11002" s="44">
        <f>ROUND(0.93*1.3,4)</f>
        <v>1.2090000000000001</v>
      </c>
      <c r="F11002" s="38">
        <v>30.361999999999998</v>
      </c>
      <c r="G11002" s="70">
        <f>IF(ISNUMBER(F11002),E11002*F11002,"")</f>
        <v>36.707658000000002</v>
      </c>
      <c r="H11002" s="71"/>
      <c r="I11002" s="72"/>
      <c r="J11002" s="37">
        <v>0</v>
      </c>
    </row>
    <row r="11003" spans="1:10" hidden="1" x14ac:dyDescent="0.25">
      <c r="A11003" s="179"/>
      <c r="B11003" s="177"/>
      <c r="C11003" s="43" t="s">
        <v>10808</v>
      </c>
      <c r="D11003" s="43" t="s">
        <v>2800</v>
      </c>
      <c r="E11003" s="44">
        <f>ROUND(0.93*1.3,4)</f>
        <v>1.2090000000000001</v>
      </c>
      <c r="F11003" s="70">
        <v>31.729999999999997</v>
      </c>
      <c r="G11003" s="70">
        <f>IF(ISNUMBER(F11003),E11003*F11003,"")</f>
        <v>38.36157</v>
      </c>
      <c r="H11003" s="71"/>
      <c r="I11003" s="72"/>
      <c r="J11003" s="37">
        <v>0</v>
      </c>
    </row>
    <row r="11004" spans="1:10" ht="15.75" hidden="1" thickBot="1" x14ac:dyDescent="0.3">
      <c r="A11004" s="180"/>
      <c r="B11004" s="178"/>
      <c r="C11004" s="49"/>
      <c r="D11004" s="63"/>
      <c r="E11004" s="50"/>
      <c r="F11004" s="83" t="s">
        <v>13</v>
      </c>
      <c r="G11004" s="83" t="str">
        <f>IF(ISNUMBER(F11004),E11004*F11004,"")</f>
        <v/>
      </c>
      <c r="H11004" s="84"/>
      <c r="I11004" s="72"/>
      <c r="J11004" s="37">
        <v>0</v>
      </c>
    </row>
    <row r="11005" spans="1:10" ht="15.75" hidden="1" thickBot="1" x14ac:dyDescent="0.3">
      <c r="A11005" s="173" t="s">
        <v>2707</v>
      </c>
      <c r="B11005" s="176" t="s">
        <v>2708</v>
      </c>
      <c r="C11005" s="31"/>
      <c r="D11005" s="32" t="s">
        <v>18</v>
      </c>
      <c r="E11005" s="33"/>
      <c r="F11005" s="60" t="s">
        <v>13</v>
      </c>
      <c r="G11005" s="34" t="str">
        <f>IF(ISNUMBER(F11005),E11005*F11005,"")</f>
        <v/>
      </c>
      <c r="H11005" s="35"/>
      <c r="I11005" s="36"/>
      <c r="J11005" s="37">
        <v>0</v>
      </c>
    </row>
    <row r="11006" spans="1:10" hidden="1" x14ac:dyDescent="0.25">
      <c r="A11006" s="179"/>
      <c r="B11006" s="177"/>
      <c r="C11006" s="39"/>
      <c r="D11006" s="39"/>
      <c r="E11006" s="40"/>
      <c r="F11006" s="70" t="s">
        <v>13</v>
      </c>
      <c r="G11006" s="70" t="str">
        <f>IF(ISNUMBER(F11006),E11006*F11006,"")</f>
        <v/>
      </c>
      <c r="H11006" s="71"/>
      <c r="I11006" s="72"/>
      <c r="J11006" s="37">
        <v>0</v>
      </c>
    </row>
    <row r="11007" spans="1:10" hidden="1" x14ac:dyDescent="0.25">
      <c r="A11007" s="179"/>
      <c r="B11007" s="177"/>
      <c r="C11007" s="43" t="s">
        <v>11100</v>
      </c>
      <c r="D11007" s="43" t="s">
        <v>1044</v>
      </c>
      <c r="E11007" s="44">
        <f>ROUND(0.089*1.3,4)</f>
        <v>0.1157</v>
      </c>
      <c r="F11007" s="38">
        <v>40.137499999999996</v>
      </c>
      <c r="G11007" s="70">
        <f>IF(ISNUMBER(F11007),E11007*F11007,"")</f>
        <v>4.6439087499999996</v>
      </c>
      <c r="H11007" s="46">
        <f>SUM(G11007:G11011)</f>
        <v>108.72550975</v>
      </c>
      <c r="I11007" s="47"/>
      <c r="J11007" s="37">
        <v>0</v>
      </c>
    </row>
    <row r="11008" spans="1:10" hidden="1" x14ac:dyDescent="0.25">
      <c r="A11008" s="179"/>
      <c r="B11008" s="177"/>
      <c r="C11008" s="43" t="s">
        <v>2708</v>
      </c>
      <c r="D11008" s="43" t="s">
        <v>83</v>
      </c>
      <c r="E11008" s="44">
        <v>1</v>
      </c>
      <c r="F11008" s="38" t="s">
        <v>13</v>
      </c>
      <c r="G11008" s="70" t="str">
        <f>IF(ISNUMBER(F11008),E11008*F11008,"")</f>
        <v/>
      </c>
      <c r="H11008" s="71"/>
      <c r="I11008" s="72"/>
      <c r="J11008" s="37">
        <v>0</v>
      </c>
    </row>
    <row r="11009" spans="1:10" ht="25.5" hidden="1" x14ac:dyDescent="0.25">
      <c r="A11009" s="179"/>
      <c r="B11009" s="177"/>
      <c r="C11009" s="43" t="s">
        <v>10753</v>
      </c>
      <c r="D11009" s="43" t="s">
        <v>2800</v>
      </c>
      <c r="E11009" s="44">
        <f>ROUND(0.93*1.3,4)</f>
        <v>1.2090000000000001</v>
      </c>
      <c r="F11009" s="38">
        <v>23.997</v>
      </c>
      <c r="G11009" s="70">
        <f>IF(ISNUMBER(F11009),E11009*F11009,"")</f>
        <v>29.012373</v>
      </c>
      <c r="H11009" s="71"/>
      <c r="I11009" s="72"/>
      <c r="J11009" s="37">
        <v>0</v>
      </c>
    </row>
    <row r="11010" spans="1:10" ht="25.5" hidden="1" x14ac:dyDescent="0.25">
      <c r="A11010" s="179"/>
      <c r="B11010" s="177"/>
      <c r="C11010" s="43" t="s">
        <v>10754</v>
      </c>
      <c r="D11010" s="43" t="s">
        <v>2800</v>
      </c>
      <c r="E11010" s="44">
        <f>ROUND(0.93*1.3,4)</f>
        <v>1.2090000000000001</v>
      </c>
      <c r="F11010" s="38">
        <v>30.361999999999998</v>
      </c>
      <c r="G11010" s="70">
        <f>IF(ISNUMBER(F11010),E11010*F11010,"")</f>
        <v>36.707658000000002</v>
      </c>
      <c r="H11010" s="71"/>
      <c r="I11010" s="72"/>
      <c r="J11010" s="37">
        <v>0</v>
      </c>
    </row>
    <row r="11011" spans="1:10" hidden="1" x14ac:dyDescent="0.25">
      <c r="A11011" s="179"/>
      <c r="B11011" s="177"/>
      <c r="C11011" s="43" t="s">
        <v>10808</v>
      </c>
      <c r="D11011" s="43" t="s">
        <v>2800</v>
      </c>
      <c r="E11011" s="44">
        <f>ROUND(0.93*1.3,4)</f>
        <v>1.2090000000000001</v>
      </c>
      <c r="F11011" s="70">
        <v>31.729999999999997</v>
      </c>
      <c r="G11011" s="70">
        <f>IF(ISNUMBER(F11011),E11011*F11011,"")</f>
        <v>38.36157</v>
      </c>
      <c r="H11011" s="71"/>
      <c r="I11011" s="72"/>
      <c r="J11011" s="37">
        <v>0</v>
      </c>
    </row>
    <row r="11012" spans="1:10" ht="15.75" hidden="1" thickBot="1" x14ac:dyDescent="0.3">
      <c r="A11012" s="180"/>
      <c r="B11012" s="178"/>
      <c r="C11012" s="49"/>
      <c r="D11012" s="63"/>
      <c r="E11012" s="50"/>
      <c r="F11012" s="83" t="s">
        <v>13</v>
      </c>
      <c r="G11012" s="83" t="str">
        <f>IF(ISNUMBER(F11012),E11012*F11012,"")</f>
        <v/>
      </c>
      <c r="H11012" s="84"/>
      <c r="I11012" s="72"/>
      <c r="J11012" s="37">
        <v>0</v>
      </c>
    </row>
    <row r="11013" spans="1:10" ht="15.75" hidden="1" thickBot="1" x14ac:dyDescent="0.3">
      <c r="A11013" s="173" t="s">
        <v>2709</v>
      </c>
      <c r="B11013" s="176" t="s">
        <v>2710</v>
      </c>
      <c r="C11013" s="31"/>
      <c r="D11013" s="32" t="s">
        <v>18</v>
      </c>
      <c r="E11013" s="33"/>
      <c r="F11013" s="60" t="s">
        <v>13</v>
      </c>
      <c r="G11013" s="34" t="str">
        <f>IF(ISNUMBER(F11013),E11013*F11013,"")</f>
        <v/>
      </c>
      <c r="H11013" s="35"/>
      <c r="I11013" s="36"/>
      <c r="J11013" s="37">
        <v>0</v>
      </c>
    </row>
    <row r="11014" spans="1:10" hidden="1" x14ac:dyDescent="0.25">
      <c r="A11014" s="179"/>
      <c r="B11014" s="177"/>
      <c r="C11014" s="39"/>
      <c r="D11014" s="39"/>
      <c r="E11014" s="40"/>
      <c r="F11014" s="70" t="s">
        <v>13</v>
      </c>
      <c r="G11014" s="70" t="str">
        <f>IF(ISNUMBER(F11014),E11014*F11014,"")</f>
        <v/>
      </c>
      <c r="H11014" s="71"/>
      <c r="I11014" s="72"/>
      <c r="J11014" s="37">
        <v>0</v>
      </c>
    </row>
    <row r="11015" spans="1:10" hidden="1" x14ac:dyDescent="0.25">
      <c r="A11015" s="179"/>
      <c r="B11015" s="177"/>
      <c r="C11015" s="43" t="s">
        <v>11100</v>
      </c>
      <c r="D11015" s="43" t="s">
        <v>1044</v>
      </c>
      <c r="E11015" s="44">
        <f>ROUND(0.089*1.3,4)</f>
        <v>0.1157</v>
      </c>
      <c r="F11015" s="38">
        <v>40.137499999999996</v>
      </c>
      <c r="G11015" s="70">
        <f>IF(ISNUMBER(F11015),E11015*F11015,"")</f>
        <v>4.6439087499999996</v>
      </c>
      <c r="H11015" s="46">
        <f>SUM(G11015:G11019)</f>
        <v>108.72550975</v>
      </c>
      <c r="I11015" s="47"/>
      <c r="J11015" s="37">
        <v>0</v>
      </c>
    </row>
    <row r="11016" spans="1:10" hidden="1" x14ac:dyDescent="0.25">
      <c r="A11016" s="179"/>
      <c r="B11016" s="177"/>
      <c r="C11016" s="43" t="s">
        <v>2710</v>
      </c>
      <c r="D11016" s="43" t="s">
        <v>83</v>
      </c>
      <c r="E11016" s="44">
        <v>1</v>
      </c>
      <c r="F11016" s="38" t="s">
        <v>13</v>
      </c>
      <c r="G11016" s="70" t="str">
        <f>IF(ISNUMBER(F11016),E11016*F11016,"")</f>
        <v/>
      </c>
      <c r="H11016" s="71"/>
      <c r="I11016" s="72"/>
      <c r="J11016" s="37">
        <v>0</v>
      </c>
    </row>
    <row r="11017" spans="1:10" ht="25.5" hidden="1" x14ac:dyDescent="0.25">
      <c r="A11017" s="179"/>
      <c r="B11017" s="177"/>
      <c r="C11017" s="43" t="s">
        <v>10753</v>
      </c>
      <c r="D11017" s="43" t="s">
        <v>2800</v>
      </c>
      <c r="E11017" s="44">
        <f>ROUND(0.93*1.3,4)</f>
        <v>1.2090000000000001</v>
      </c>
      <c r="F11017" s="38">
        <v>23.997</v>
      </c>
      <c r="G11017" s="70">
        <f>IF(ISNUMBER(F11017),E11017*F11017,"")</f>
        <v>29.012373</v>
      </c>
      <c r="H11017" s="71"/>
      <c r="I11017" s="72"/>
      <c r="J11017" s="37">
        <v>0</v>
      </c>
    </row>
    <row r="11018" spans="1:10" ht="25.5" hidden="1" x14ac:dyDescent="0.25">
      <c r="A11018" s="179"/>
      <c r="B11018" s="177"/>
      <c r="C11018" s="43" t="s">
        <v>10754</v>
      </c>
      <c r="D11018" s="43" t="s">
        <v>2800</v>
      </c>
      <c r="E11018" s="44">
        <f>ROUND(0.93*1.3,4)</f>
        <v>1.2090000000000001</v>
      </c>
      <c r="F11018" s="38">
        <v>30.361999999999998</v>
      </c>
      <c r="G11018" s="70">
        <f>IF(ISNUMBER(F11018),E11018*F11018,"")</f>
        <v>36.707658000000002</v>
      </c>
      <c r="H11018" s="71"/>
      <c r="I11018" s="72"/>
      <c r="J11018" s="37">
        <v>0</v>
      </c>
    </row>
    <row r="11019" spans="1:10" hidden="1" x14ac:dyDescent="0.25">
      <c r="A11019" s="179"/>
      <c r="B11019" s="177"/>
      <c r="C11019" s="43" t="s">
        <v>10808</v>
      </c>
      <c r="D11019" s="43" t="s">
        <v>2800</v>
      </c>
      <c r="E11019" s="44">
        <f>ROUND(0.93*1.3,4)</f>
        <v>1.2090000000000001</v>
      </c>
      <c r="F11019" s="70">
        <v>31.729999999999997</v>
      </c>
      <c r="G11019" s="70">
        <f>IF(ISNUMBER(F11019),E11019*F11019,"")</f>
        <v>38.36157</v>
      </c>
      <c r="H11019" s="71"/>
      <c r="I11019" s="72"/>
      <c r="J11019" s="37">
        <v>0</v>
      </c>
    </row>
    <row r="11020" spans="1:10" ht="15.75" hidden="1" thickBot="1" x14ac:dyDescent="0.3">
      <c r="A11020" s="180"/>
      <c r="B11020" s="178"/>
      <c r="C11020" s="49"/>
      <c r="D11020" s="63"/>
      <c r="E11020" s="50"/>
      <c r="F11020" s="83" t="s">
        <v>13</v>
      </c>
      <c r="G11020" s="83" t="str">
        <f>IF(ISNUMBER(F11020),E11020*F11020,"")</f>
        <v/>
      </c>
      <c r="H11020" s="84"/>
      <c r="I11020" s="72"/>
      <c r="J11020" s="37">
        <v>0</v>
      </c>
    </row>
    <row r="11021" spans="1:10" ht="15.75" hidden="1" thickBot="1" x14ac:dyDescent="0.3">
      <c r="A11021" s="173" t="s">
        <v>2711</v>
      </c>
      <c r="B11021" s="176" t="s">
        <v>10265</v>
      </c>
      <c r="C11021" s="31"/>
      <c r="D11021" s="32" t="s">
        <v>106</v>
      </c>
      <c r="E11021" s="33"/>
      <c r="F11021" s="54" t="s">
        <v>13</v>
      </c>
      <c r="G11021" s="34" t="str">
        <f>IF(ISNUMBER(F11021),E11021*F11021,"")</f>
        <v/>
      </c>
      <c r="H11021" s="35"/>
      <c r="I11021" s="36"/>
      <c r="J11021" s="37">
        <v>0</v>
      </c>
    </row>
    <row r="11022" spans="1:10" hidden="1" x14ac:dyDescent="0.25">
      <c r="A11022" s="174"/>
      <c r="B11022" s="177"/>
      <c r="C11022" s="39"/>
      <c r="D11022" s="39"/>
      <c r="E11022" s="40"/>
      <c r="F11022" s="55" t="s">
        <v>13</v>
      </c>
      <c r="G11022" s="38" t="str">
        <f>IF(ISNUMBER(F11022),E11022*F11022,"")</f>
        <v/>
      </c>
      <c r="H11022" s="42"/>
      <c r="I11022" s="38"/>
      <c r="J11022" s="37">
        <v>0</v>
      </c>
    </row>
    <row r="11023" spans="1:10" ht="38.25" hidden="1" x14ac:dyDescent="0.25">
      <c r="A11023" s="174"/>
      <c r="B11023" s="177"/>
      <c r="C11023" s="43" t="s">
        <v>2712</v>
      </c>
      <c r="D11023" s="62" t="s">
        <v>106</v>
      </c>
      <c r="E11023" s="44">
        <v>1.0225</v>
      </c>
      <c r="F11023" s="41" t="s">
        <v>13</v>
      </c>
      <c r="G11023" s="41" t="str">
        <f>IF(ISNUMBER(F11023),E11023*F11023,"")</f>
        <v/>
      </c>
      <c r="H11023" s="46">
        <f>SUM(G11023:G11025)</f>
        <v>2.5766165999999999</v>
      </c>
      <c r="I11023" s="47"/>
      <c r="J11023" s="37">
        <v>0</v>
      </c>
    </row>
    <row r="11024" spans="1:10" ht="25.5" hidden="1" x14ac:dyDescent="0.25">
      <c r="A11024" s="174"/>
      <c r="B11024" s="177"/>
      <c r="C11024" s="43" t="s">
        <v>10753</v>
      </c>
      <c r="D11024" s="43" t="s">
        <v>2800</v>
      </c>
      <c r="E11024" s="44">
        <f>0.158*0.3</f>
        <v>4.7399999999999998E-2</v>
      </c>
      <c r="F11024" s="38">
        <v>23.997</v>
      </c>
      <c r="G11024" s="41">
        <f>IF(ISNUMBER(F11024),E11024*F11024,"")</f>
        <v>1.1374578</v>
      </c>
      <c r="H11024" s="42"/>
      <c r="I11024" s="38"/>
      <c r="J11024" s="37">
        <v>0</v>
      </c>
    </row>
    <row r="11025" spans="1:10" ht="25.5" hidden="1" x14ac:dyDescent="0.25">
      <c r="A11025" s="174"/>
      <c r="B11025" s="177"/>
      <c r="C11025" s="43" t="s">
        <v>10754</v>
      </c>
      <c r="D11025" s="43" t="s">
        <v>2800</v>
      </c>
      <c r="E11025" s="44">
        <f>0.158*0.3</f>
        <v>4.7399999999999998E-2</v>
      </c>
      <c r="F11025" s="38">
        <v>30.361999999999998</v>
      </c>
      <c r="G11025" s="41">
        <f>IF(ISNUMBER(F11025),E11025*F11025,"")</f>
        <v>1.4391588</v>
      </c>
      <c r="H11025" s="42"/>
      <c r="I11025" s="38"/>
      <c r="J11025" s="37">
        <v>0</v>
      </c>
    </row>
    <row r="11026" spans="1:10" hidden="1" x14ac:dyDescent="0.25">
      <c r="A11026" s="174"/>
      <c r="B11026" s="177"/>
      <c r="C11026" s="43"/>
      <c r="D11026" s="62"/>
      <c r="E11026" s="44"/>
      <c r="F11026" s="41" t="s">
        <v>13</v>
      </c>
      <c r="G11026" s="41" t="str">
        <f>IF(ISNUMBER(F11026),E11026*F11026,"")</f>
        <v/>
      </c>
      <c r="H11026" s="42"/>
      <c r="I11026" s="38"/>
      <c r="J11026" s="37">
        <v>0</v>
      </c>
    </row>
    <row r="11027" spans="1:10" ht="38.25" hidden="1" x14ac:dyDescent="0.25">
      <c r="A11027" s="174"/>
      <c r="B11027" s="177"/>
      <c r="C11027" s="65" t="s">
        <v>520</v>
      </c>
      <c r="D11027" s="62"/>
      <c r="E11027" s="44"/>
      <c r="F11027" s="41" t="s">
        <v>13</v>
      </c>
      <c r="G11027" s="41" t="str">
        <f>IF(ISNUMBER(F11027),E11027*F11027,"")</f>
        <v/>
      </c>
      <c r="H11027" s="42"/>
      <c r="I11027" s="38"/>
      <c r="J11027" s="37">
        <v>0</v>
      </c>
    </row>
    <row r="11028" spans="1:10" ht="15.75" hidden="1" thickBot="1" x14ac:dyDescent="0.3">
      <c r="A11028" s="175"/>
      <c r="B11028" s="178"/>
      <c r="C11028" s="49"/>
      <c r="D11028" s="49"/>
      <c r="E11028" s="50"/>
      <c r="F11028" s="51" t="s">
        <v>13</v>
      </c>
      <c r="G11028" s="51" t="str">
        <f>IF(ISNUMBER(F11028),E11028*F11028,"")</f>
        <v/>
      </c>
      <c r="H11028" s="53"/>
      <c r="I11028" s="38"/>
      <c r="J11028" s="37">
        <v>0</v>
      </c>
    </row>
    <row r="11029" spans="1:10" ht="15.75" hidden="1" thickBot="1" x14ac:dyDescent="0.3">
      <c r="A11029" s="173" t="s">
        <v>2713</v>
      </c>
      <c r="B11029" s="176" t="s">
        <v>10266</v>
      </c>
      <c r="C11029" s="31"/>
      <c r="D11029" s="32" t="s">
        <v>106</v>
      </c>
      <c r="E11029" s="33"/>
      <c r="F11029" s="54" t="s">
        <v>13</v>
      </c>
      <c r="G11029" s="34" t="str">
        <f>IF(ISNUMBER(F11029),E11029*F11029,"")</f>
        <v/>
      </c>
      <c r="H11029" s="35"/>
      <c r="I11029" s="36"/>
      <c r="J11029" s="37">
        <v>0</v>
      </c>
    </row>
    <row r="11030" spans="1:10" hidden="1" x14ac:dyDescent="0.25">
      <c r="A11030" s="174"/>
      <c r="B11030" s="177"/>
      <c r="C11030" s="39"/>
      <c r="D11030" s="39"/>
      <c r="E11030" s="40"/>
      <c r="F11030" s="55" t="s">
        <v>13</v>
      </c>
      <c r="G11030" s="38" t="str">
        <f>IF(ISNUMBER(F11030),E11030*F11030,"")</f>
        <v/>
      </c>
      <c r="H11030" s="42"/>
      <c r="I11030" s="38"/>
      <c r="J11030" s="37">
        <v>0</v>
      </c>
    </row>
    <row r="11031" spans="1:10" ht="38.25" hidden="1" x14ac:dyDescent="0.25">
      <c r="A11031" s="174"/>
      <c r="B11031" s="177"/>
      <c r="C11031" s="43" t="s">
        <v>2714</v>
      </c>
      <c r="D11031" s="62" t="s">
        <v>106</v>
      </c>
      <c r="E11031" s="44">
        <v>1.0225</v>
      </c>
      <c r="F11031" s="41" t="s">
        <v>13</v>
      </c>
      <c r="G11031" s="41" t="str">
        <f>IF(ISNUMBER(F11031),E11031*F11031,"")</f>
        <v/>
      </c>
      <c r="H11031" s="46">
        <f>SUM(G11031:G11033)</f>
        <v>2.5766165999999999</v>
      </c>
      <c r="I11031" s="47"/>
      <c r="J11031" s="37">
        <v>0</v>
      </c>
    </row>
    <row r="11032" spans="1:10" ht="25.5" hidden="1" x14ac:dyDescent="0.25">
      <c r="A11032" s="174"/>
      <c r="B11032" s="177"/>
      <c r="C11032" s="43" t="s">
        <v>10753</v>
      </c>
      <c r="D11032" s="43" t="s">
        <v>2800</v>
      </c>
      <c r="E11032" s="44">
        <f>0.158*0.3</f>
        <v>4.7399999999999998E-2</v>
      </c>
      <c r="F11032" s="38">
        <v>23.997</v>
      </c>
      <c r="G11032" s="41">
        <f>IF(ISNUMBER(F11032),E11032*F11032,"")</f>
        <v>1.1374578</v>
      </c>
      <c r="H11032" s="42"/>
      <c r="I11032" s="38"/>
      <c r="J11032" s="37">
        <v>0</v>
      </c>
    </row>
    <row r="11033" spans="1:10" ht="25.5" hidden="1" x14ac:dyDescent="0.25">
      <c r="A11033" s="174"/>
      <c r="B11033" s="177"/>
      <c r="C11033" s="43" t="s">
        <v>10754</v>
      </c>
      <c r="D11033" s="43" t="s">
        <v>2800</v>
      </c>
      <c r="E11033" s="44">
        <f>0.158*0.3</f>
        <v>4.7399999999999998E-2</v>
      </c>
      <c r="F11033" s="38">
        <v>30.361999999999998</v>
      </c>
      <c r="G11033" s="41">
        <f>IF(ISNUMBER(F11033),E11033*F11033,"")</f>
        <v>1.4391588</v>
      </c>
      <c r="H11033" s="42"/>
      <c r="I11033" s="38"/>
      <c r="J11033" s="37">
        <v>0</v>
      </c>
    </row>
    <row r="11034" spans="1:10" hidden="1" x14ac:dyDescent="0.25">
      <c r="A11034" s="174"/>
      <c r="B11034" s="177"/>
      <c r="C11034" s="43"/>
      <c r="D11034" s="62"/>
      <c r="E11034" s="44"/>
      <c r="F11034" s="41" t="s">
        <v>13</v>
      </c>
      <c r="G11034" s="41" t="str">
        <f>IF(ISNUMBER(F11034),E11034*F11034,"")</f>
        <v/>
      </c>
      <c r="H11034" s="42"/>
      <c r="I11034" s="38"/>
      <c r="J11034" s="37">
        <v>0</v>
      </c>
    </row>
    <row r="11035" spans="1:10" ht="38.25" hidden="1" x14ac:dyDescent="0.25">
      <c r="A11035" s="174"/>
      <c r="B11035" s="177"/>
      <c r="C11035" s="65" t="s">
        <v>520</v>
      </c>
      <c r="D11035" s="62"/>
      <c r="E11035" s="44"/>
      <c r="F11035" s="41" t="s">
        <v>13</v>
      </c>
      <c r="G11035" s="41" t="str">
        <f>IF(ISNUMBER(F11035),E11035*F11035,"")</f>
        <v/>
      </c>
      <c r="H11035" s="42"/>
      <c r="I11035" s="38"/>
      <c r="J11035" s="37">
        <v>0</v>
      </c>
    </row>
    <row r="11036" spans="1:10" ht="15.75" hidden="1" thickBot="1" x14ac:dyDescent="0.3">
      <c r="A11036" s="175"/>
      <c r="B11036" s="178"/>
      <c r="C11036" s="43"/>
      <c r="D11036" s="43"/>
      <c r="E11036" s="44"/>
      <c r="F11036" s="38" t="s">
        <v>13</v>
      </c>
      <c r="G11036" s="38" t="str">
        <f>IF(ISNUMBER(F11036),E11036*F11036,"")</f>
        <v/>
      </c>
      <c r="H11036" s="42"/>
      <c r="I11036" s="38"/>
      <c r="J11036" s="37">
        <v>0</v>
      </c>
    </row>
    <row r="11037" spans="1:10" ht="15.75" hidden="1" thickBot="1" x14ac:dyDescent="0.3">
      <c r="A11037" s="173" t="s">
        <v>2715</v>
      </c>
      <c r="B11037" s="176" t="s">
        <v>10267</v>
      </c>
      <c r="C11037" s="31"/>
      <c r="D11037" s="32" t="s">
        <v>106</v>
      </c>
      <c r="E11037" s="33"/>
      <c r="F11037" s="54" t="s">
        <v>13</v>
      </c>
      <c r="G11037" s="34" t="str">
        <f>IF(ISNUMBER(F11037),E11037*F11037,"")</f>
        <v/>
      </c>
      <c r="H11037" s="35"/>
      <c r="I11037" s="36"/>
      <c r="J11037" s="37">
        <v>0</v>
      </c>
    </row>
    <row r="11038" spans="1:10" hidden="1" x14ac:dyDescent="0.25">
      <c r="A11038" s="174"/>
      <c r="B11038" s="177"/>
      <c r="C11038" s="39"/>
      <c r="D11038" s="39"/>
      <c r="E11038" s="40"/>
      <c r="F11038" s="55" t="s">
        <v>13</v>
      </c>
      <c r="G11038" s="38" t="str">
        <f>IF(ISNUMBER(F11038),E11038*F11038,"")</f>
        <v/>
      </c>
      <c r="H11038" s="42"/>
      <c r="I11038" s="38"/>
      <c r="J11038" s="37">
        <v>0</v>
      </c>
    </row>
    <row r="11039" spans="1:10" ht="38.25" hidden="1" x14ac:dyDescent="0.25">
      <c r="A11039" s="174"/>
      <c r="B11039" s="177"/>
      <c r="C11039" s="43" t="s">
        <v>2716</v>
      </c>
      <c r="D11039" s="62" t="s">
        <v>106</v>
      </c>
      <c r="E11039" s="44">
        <v>1.0225</v>
      </c>
      <c r="F11039" s="41" t="s">
        <v>13</v>
      </c>
      <c r="G11039" s="41" t="str">
        <f>IF(ISNUMBER(F11039),E11039*F11039,"")</f>
        <v/>
      </c>
      <c r="H11039" s="46">
        <f>SUM(G11039:G11041)</f>
        <v>2.5766165999999999</v>
      </c>
      <c r="I11039" s="47"/>
      <c r="J11039" s="37">
        <v>0</v>
      </c>
    </row>
    <row r="11040" spans="1:10" ht="25.5" hidden="1" x14ac:dyDescent="0.25">
      <c r="A11040" s="174"/>
      <c r="B11040" s="177"/>
      <c r="C11040" s="43" t="s">
        <v>10753</v>
      </c>
      <c r="D11040" s="43" t="s">
        <v>2800</v>
      </c>
      <c r="E11040" s="44">
        <f>0.158*0.3</f>
        <v>4.7399999999999998E-2</v>
      </c>
      <c r="F11040" s="38">
        <v>23.997</v>
      </c>
      <c r="G11040" s="41">
        <f>IF(ISNUMBER(F11040),E11040*F11040,"")</f>
        <v>1.1374578</v>
      </c>
      <c r="H11040" s="42"/>
      <c r="I11040" s="38"/>
      <c r="J11040" s="37">
        <v>0</v>
      </c>
    </row>
    <row r="11041" spans="1:10" ht="25.5" hidden="1" x14ac:dyDescent="0.25">
      <c r="A11041" s="174"/>
      <c r="B11041" s="177"/>
      <c r="C11041" s="43" t="s">
        <v>10754</v>
      </c>
      <c r="D11041" s="43" t="s">
        <v>2800</v>
      </c>
      <c r="E11041" s="44">
        <f>0.158*0.3</f>
        <v>4.7399999999999998E-2</v>
      </c>
      <c r="F11041" s="38">
        <v>30.361999999999998</v>
      </c>
      <c r="G11041" s="41">
        <f>IF(ISNUMBER(F11041),E11041*F11041,"")</f>
        <v>1.4391588</v>
      </c>
      <c r="H11041" s="42"/>
      <c r="I11041" s="38"/>
      <c r="J11041" s="37">
        <v>0</v>
      </c>
    </row>
    <row r="11042" spans="1:10" hidden="1" x14ac:dyDescent="0.25">
      <c r="A11042" s="174"/>
      <c r="B11042" s="177"/>
      <c r="C11042" s="43"/>
      <c r="D11042" s="62"/>
      <c r="E11042" s="44"/>
      <c r="F11042" s="41" t="s">
        <v>13</v>
      </c>
      <c r="G11042" s="41" t="str">
        <f>IF(ISNUMBER(F11042),E11042*F11042,"")</f>
        <v/>
      </c>
      <c r="H11042" s="42"/>
      <c r="I11042" s="38"/>
      <c r="J11042" s="37">
        <v>0</v>
      </c>
    </row>
    <row r="11043" spans="1:10" ht="38.25" hidden="1" x14ac:dyDescent="0.25">
      <c r="A11043" s="174"/>
      <c r="B11043" s="177"/>
      <c r="C11043" s="65" t="s">
        <v>520</v>
      </c>
      <c r="D11043" s="62"/>
      <c r="E11043" s="44"/>
      <c r="F11043" s="41" t="s">
        <v>13</v>
      </c>
      <c r="G11043" s="41" t="str">
        <f>IF(ISNUMBER(F11043),E11043*F11043,"")</f>
        <v/>
      </c>
      <c r="H11043" s="42"/>
      <c r="I11043" s="38"/>
      <c r="J11043" s="37">
        <v>0</v>
      </c>
    </row>
    <row r="11044" spans="1:10" ht="15.75" hidden="1" thickBot="1" x14ac:dyDescent="0.3">
      <c r="A11044" s="175"/>
      <c r="B11044" s="178"/>
      <c r="C11044" s="49"/>
      <c r="D11044" s="49"/>
      <c r="E11044" s="50"/>
      <c r="F11044" s="51" t="s">
        <v>13</v>
      </c>
      <c r="G11044" s="51" t="str">
        <f>IF(ISNUMBER(F11044),E11044*F11044,"")</f>
        <v/>
      </c>
      <c r="H11044" s="53"/>
      <c r="I11044" s="38"/>
      <c r="J11044" s="37">
        <v>0</v>
      </c>
    </row>
    <row r="11045" spans="1:10" ht="15.75" hidden="1" thickBot="1" x14ac:dyDescent="0.3">
      <c r="A11045" s="173" t="s">
        <v>2717</v>
      </c>
      <c r="B11045" s="176" t="s">
        <v>2718</v>
      </c>
      <c r="C11045" s="31"/>
      <c r="D11045" s="32" t="s">
        <v>18</v>
      </c>
      <c r="E11045" s="33"/>
      <c r="F11045" s="60" t="s">
        <v>13</v>
      </c>
      <c r="G11045" s="34" t="str">
        <f>IF(ISNUMBER(F11045),E11045*F11045,"")</f>
        <v/>
      </c>
      <c r="H11045" s="35"/>
      <c r="I11045" s="36"/>
      <c r="J11045" s="37">
        <v>0</v>
      </c>
    </row>
    <row r="11046" spans="1:10" hidden="1" x14ac:dyDescent="0.25">
      <c r="A11046" s="179"/>
      <c r="B11046" s="177"/>
      <c r="C11046" s="39"/>
      <c r="D11046" s="39"/>
      <c r="E11046" s="40"/>
      <c r="F11046" s="70" t="s">
        <v>13</v>
      </c>
      <c r="G11046" s="70" t="str">
        <f>IF(ISNUMBER(F11046),E11046*F11046,"")</f>
        <v/>
      </c>
      <c r="H11046" s="71"/>
      <c r="I11046" s="72"/>
      <c r="J11046" s="37">
        <v>0</v>
      </c>
    </row>
    <row r="11047" spans="1:10" hidden="1" x14ac:dyDescent="0.25">
      <c r="A11047" s="179"/>
      <c r="B11047" s="177"/>
      <c r="C11047" s="43" t="s">
        <v>11100</v>
      </c>
      <c r="D11047" s="43" t="s">
        <v>1044</v>
      </c>
      <c r="E11047" s="44">
        <f>ROUND(0.089*1.3,4)</f>
        <v>0.1157</v>
      </c>
      <c r="F11047" s="38">
        <v>40.137499999999996</v>
      </c>
      <c r="G11047" s="70">
        <f>IF(ISNUMBER(F11047),E11047*F11047,"")</f>
        <v>4.6439087499999996</v>
      </c>
      <c r="H11047" s="46">
        <f>SUM(G11047:G11051)</f>
        <v>74.031642750000003</v>
      </c>
      <c r="I11047" s="47"/>
      <c r="J11047" s="37">
        <v>0</v>
      </c>
    </row>
    <row r="11048" spans="1:10" ht="25.5" hidden="1" x14ac:dyDescent="0.25">
      <c r="A11048" s="179"/>
      <c r="B11048" s="177"/>
      <c r="C11048" s="43" t="s">
        <v>2718</v>
      </c>
      <c r="D11048" s="43" t="s">
        <v>83</v>
      </c>
      <c r="E11048" s="44">
        <v>1</v>
      </c>
      <c r="F11048" s="38" t="s">
        <v>13</v>
      </c>
      <c r="G11048" s="70" t="str">
        <f>IF(ISNUMBER(F11048),E11048*F11048,"")</f>
        <v/>
      </c>
      <c r="H11048" s="71"/>
      <c r="I11048" s="72"/>
      <c r="J11048" s="37">
        <v>0</v>
      </c>
    </row>
    <row r="11049" spans="1:10" ht="25.5" hidden="1" x14ac:dyDescent="0.25">
      <c r="A11049" s="179"/>
      <c r="B11049" s="177"/>
      <c r="C11049" s="43" t="s">
        <v>10753</v>
      </c>
      <c r="D11049" s="43" t="s">
        <v>2800</v>
      </c>
      <c r="E11049" s="44">
        <f>ROUND(0.62*1.3,4)</f>
        <v>0.80600000000000005</v>
      </c>
      <c r="F11049" s="38">
        <v>23.997</v>
      </c>
      <c r="G11049" s="70">
        <f>IF(ISNUMBER(F11049),E11049*F11049,"")</f>
        <v>19.341582000000002</v>
      </c>
      <c r="H11049" s="71"/>
      <c r="I11049" s="72"/>
      <c r="J11049" s="37">
        <v>0</v>
      </c>
    </row>
    <row r="11050" spans="1:10" ht="25.5" hidden="1" x14ac:dyDescent="0.25">
      <c r="A11050" s="179"/>
      <c r="B11050" s="177"/>
      <c r="C11050" s="43" t="s">
        <v>10754</v>
      </c>
      <c r="D11050" s="43" t="s">
        <v>2800</v>
      </c>
      <c r="E11050" s="44">
        <f>ROUND(0.62*1.3,4)</f>
        <v>0.80600000000000005</v>
      </c>
      <c r="F11050" s="38">
        <v>30.361999999999998</v>
      </c>
      <c r="G11050" s="70">
        <f>IF(ISNUMBER(F11050),E11050*F11050,"")</f>
        <v>24.471772000000001</v>
      </c>
      <c r="H11050" s="71"/>
      <c r="I11050" s="72"/>
      <c r="J11050" s="37">
        <v>0</v>
      </c>
    </row>
    <row r="11051" spans="1:10" hidden="1" x14ac:dyDescent="0.25">
      <c r="A11051" s="179"/>
      <c r="B11051" s="177"/>
      <c r="C11051" s="43" t="s">
        <v>10808</v>
      </c>
      <c r="D11051" s="43" t="s">
        <v>2800</v>
      </c>
      <c r="E11051" s="44">
        <f>ROUND(0.62*1.3,4)</f>
        <v>0.80600000000000005</v>
      </c>
      <c r="F11051" s="70">
        <v>31.729999999999997</v>
      </c>
      <c r="G11051" s="70">
        <f>IF(ISNUMBER(F11051),E11051*F11051,"")</f>
        <v>25.574379999999998</v>
      </c>
      <c r="H11051" s="71"/>
      <c r="I11051" s="72"/>
      <c r="J11051" s="37">
        <v>0</v>
      </c>
    </row>
    <row r="11052" spans="1:10" ht="15.75" hidden="1" thickBot="1" x14ac:dyDescent="0.3">
      <c r="A11052" s="180"/>
      <c r="B11052" s="178"/>
      <c r="C11052" s="49"/>
      <c r="D11052" s="63"/>
      <c r="E11052" s="50"/>
      <c r="F11052" s="83" t="s">
        <v>13</v>
      </c>
      <c r="G11052" s="83" t="str">
        <f>IF(ISNUMBER(F11052),E11052*F11052,"")</f>
        <v/>
      </c>
      <c r="H11052" s="84"/>
      <c r="I11052" s="72"/>
      <c r="J11052" s="37">
        <v>0</v>
      </c>
    </row>
    <row r="11053" spans="1:10" ht="15.75" hidden="1" thickBot="1" x14ac:dyDescent="0.3">
      <c r="A11053" s="173" t="s">
        <v>2719</v>
      </c>
      <c r="B11053" s="176" t="s">
        <v>2720</v>
      </c>
      <c r="C11053" s="31"/>
      <c r="D11053" s="32" t="s">
        <v>18</v>
      </c>
      <c r="E11053" s="33"/>
      <c r="F11053" s="60" t="s">
        <v>13</v>
      </c>
      <c r="G11053" s="34" t="str">
        <f>IF(ISNUMBER(F11053),E11053*F11053,"")</f>
        <v/>
      </c>
      <c r="H11053" s="35"/>
      <c r="I11053" s="36"/>
      <c r="J11053" s="37">
        <v>0</v>
      </c>
    </row>
    <row r="11054" spans="1:10" hidden="1" x14ac:dyDescent="0.25">
      <c r="A11054" s="179"/>
      <c r="B11054" s="177"/>
      <c r="C11054" s="39"/>
      <c r="D11054" s="39"/>
      <c r="E11054" s="40"/>
      <c r="F11054" s="70" t="s">
        <v>13</v>
      </c>
      <c r="G11054" s="70" t="str">
        <f>IF(ISNUMBER(F11054),E11054*F11054,"")</f>
        <v/>
      </c>
      <c r="H11054" s="71"/>
      <c r="I11054" s="72"/>
      <c r="J11054" s="37">
        <v>0</v>
      </c>
    </row>
    <row r="11055" spans="1:10" hidden="1" x14ac:dyDescent="0.25">
      <c r="A11055" s="179"/>
      <c r="B11055" s="177"/>
      <c r="C11055" s="43" t="s">
        <v>11100</v>
      </c>
      <c r="D11055" s="43" t="s">
        <v>1044</v>
      </c>
      <c r="E11055" s="44">
        <f>ROUND(0.089*1.3,4)</f>
        <v>0.1157</v>
      </c>
      <c r="F11055" s="38">
        <v>40.137499999999996</v>
      </c>
      <c r="G11055" s="70">
        <f>IF(ISNUMBER(F11055),E11055*F11055,"")</f>
        <v>4.6439087499999996</v>
      </c>
      <c r="H11055" s="46">
        <f>SUM(G11055:G11059)</f>
        <v>74.031642750000003</v>
      </c>
      <c r="I11055" s="47"/>
      <c r="J11055" s="37">
        <v>0</v>
      </c>
    </row>
    <row r="11056" spans="1:10" ht="25.5" hidden="1" x14ac:dyDescent="0.25">
      <c r="A11056" s="179"/>
      <c r="B11056" s="177"/>
      <c r="C11056" s="43" t="s">
        <v>2720</v>
      </c>
      <c r="D11056" s="43" t="s">
        <v>83</v>
      </c>
      <c r="E11056" s="44">
        <v>1</v>
      </c>
      <c r="F11056" s="38" t="s">
        <v>13</v>
      </c>
      <c r="G11056" s="70" t="str">
        <f>IF(ISNUMBER(F11056),E11056*F11056,"")</f>
        <v/>
      </c>
      <c r="H11056" s="71"/>
      <c r="I11056" s="72"/>
      <c r="J11056" s="37">
        <v>0</v>
      </c>
    </row>
    <row r="11057" spans="1:10" ht="25.5" hidden="1" x14ac:dyDescent="0.25">
      <c r="A11057" s="179"/>
      <c r="B11057" s="177"/>
      <c r="C11057" s="43" t="s">
        <v>10753</v>
      </c>
      <c r="D11057" s="43" t="s">
        <v>2800</v>
      </c>
      <c r="E11057" s="44">
        <f>ROUND(0.62*1.3,4)</f>
        <v>0.80600000000000005</v>
      </c>
      <c r="F11057" s="38">
        <v>23.997</v>
      </c>
      <c r="G11057" s="70">
        <f>IF(ISNUMBER(F11057),E11057*F11057,"")</f>
        <v>19.341582000000002</v>
      </c>
      <c r="H11057" s="71"/>
      <c r="I11057" s="72"/>
      <c r="J11057" s="37">
        <v>0</v>
      </c>
    </row>
    <row r="11058" spans="1:10" ht="25.5" hidden="1" x14ac:dyDescent="0.25">
      <c r="A11058" s="179"/>
      <c r="B11058" s="177"/>
      <c r="C11058" s="43" t="s">
        <v>10754</v>
      </c>
      <c r="D11058" s="43" t="s">
        <v>2800</v>
      </c>
      <c r="E11058" s="44">
        <f>ROUND(0.62*1.3,4)</f>
        <v>0.80600000000000005</v>
      </c>
      <c r="F11058" s="38">
        <v>30.361999999999998</v>
      </c>
      <c r="G11058" s="70">
        <f>IF(ISNUMBER(F11058),E11058*F11058,"")</f>
        <v>24.471772000000001</v>
      </c>
      <c r="H11058" s="71"/>
      <c r="I11058" s="72"/>
      <c r="J11058" s="37">
        <v>0</v>
      </c>
    </row>
    <row r="11059" spans="1:10" hidden="1" x14ac:dyDescent="0.25">
      <c r="A11059" s="179"/>
      <c r="B11059" s="177"/>
      <c r="C11059" s="43" t="s">
        <v>10808</v>
      </c>
      <c r="D11059" s="43" t="s">
        <v>2800</v>
      </c>
      <c r="E11059" s="44">
        <f>ROUND(0.62*1.3,4)</f>
        <v>0.80600000000000005</v>
      </c>
      <c r="F11059" s="70">
        <v>31.729999999999997</v>
      </c>
      <c r="G11059" s="70">
        <f>IF(ISNUMBER(F11059),E11059*F11059,"")</f>
        <v>25.574379999999998</v>
      </c>
      <c r="H11059" s="71"/>
      <c r="I11059" s="72"/>
      <c r="J11059" s="37">
        <v>0</v>
      </c>
    </row>
    <row r="11060" spans="1:10" ht="15.75" hidden="1" thickBot="1" x14ac:dyDescent="0.3">
      <c r="A11060" s="180"/>
      <c r="B11060" s="178"/>
      <c r="C11060" s="49"/>
      <c r="D11060" s="63"/>
      <c r="E11060" s="50"/>
      <c r="F11060" s="83" t="s">
        <v>13</v>
      </c>
      <c r="G11060" s="83" t="str">
        <f>IF(ISNUMBER(F11060),E11060*F11060,"")</f>
        <v/>
      </c>
      <c r="H11060" s="84"/>
      <c r="I11060" s="72"/>
      <c r="J11060" s="37">
        <v>0</v>
      </c>
    </row>
    <row r="11061" spans="1:10" ht="15.75" hidden="1" thickBot="1" x14ac:dyDescent="0.3">
      <c r="A11061" s="173" t="s">
        <v>2721</v>
      </c>
      <c r="B11061" s="176" t="s">
        <v>2722</v>
      </c>
      <c r="C11061" s="31"/>
      <c r="D11061" s="32" t="s">
        <v>18</v>
      </c>
      <c r="E11061" s="33"/>
      <c r="F11061" s="60" t="s">
        <v>13</v>
      </c>
      <c r="G11061" s="34" t="str">
        <f>IF(ISNUMBER(F11061),E11061*F11061,"")</f>
        <v/>
      </c>
      <c r="H11061" s="35"/>
      <c r="I11061" s="36"/>
      <c r="J11061" s="37">
        <v>0</v>
      </c>
    </row>
    <row r="11062" spans="1:10" hidden="1" x14ac:dyDescent="0.25">
      <c r="A11062" s="179"/>
      <c r="B11062" s="177"/>
      <c r="C11062" s="39"/>
      <c r="D11062" s="39"/>
      <c r="E11062" s="40"/>
      <c r="F11062" s="70" t="s">
        <v>13</v>
      </c>
      <c r="G11062" s="70" t="str">
        <f>IF(ISNUMBER(F11062),E11062*F11062,"")</f>
        <v/>
      </c>
      <c r="H11062" s="71"/>
      <c r="I11062" s="72"/>
      <c r="J11062" s="37">
        <v>0</v>
      </c>
    </row>
    <row r="11063" spans="1:10" hidden="1" x14ac:dyDescent="0.25">
      <c r="A11063" s="179"/>
      <c r="B11063" s="177"/>
      <c r="C11063" s="43" t="s">
        <v>11100</v>
      </c>
      <c r="D11063" s="43" t="s">
        <v>1044</v>
      </c>
      <c r="E11063" s="44">
        <f>ROUND(0.089*1.3,4)</f>
        <v>0.1157</v>
      </c>
      <c r="F11063" s="38">
        <v>40.137499999999996</v>
      </c>
      <c r="G11063" s="70">
        <f>IF(ISNUMBER(F11063),E11063*F11063,"")</f>
        <v>4.6439087499999996</v>
      </c>
      <c r="H11063" s="46">
        <f>SUM(G11063:G11067)</f>
        <v>74.031642750000003</v>
      </c>
      <c r="I11063" s="47"/>
      <c r="J11063" s="37">
        <v>0</v>
      </c>
    </row>
    <row r="11064" spans="1:10" ht="25.5" hidden="1" x14ac:dyDescent="0.25">
      <c r="A11064" s="179"/>
      <c r="B11064" s="177"/>
      <c r="C11064" s="43" t="s">
        <v>2722</v>
      </c>
      <c r="D11064" s="43" t="s">
        <v>83</v>
      </c>
      <c r="E11064" s="44">
        <v>1</v>
      </c>
      <c r="F11064" s="38" t="s">
        <v>13</v>
      </c>
      <c r="G11064" s="70" t="str">
        <f>IF(ISNUMBER(F11064),E11064*F11064,"")</f>
        <v/>
      </c>
      <c r="H11064" s="71"/>
      <c r="I11064" s="72"/>
      <c r="J11064" s="37">
        <v>0</v>
      </c>
    </row>
    <row r="11065" spans="1:10" ht="25.5" hidden="1" x14ac:dyDescent="0.25">
      <c r="A11065" s="179"/>
      <c r="B11065" s="177"/>
      <c r="C11065" s="43" t="s">
        <v>10753</v>
      </c>
      <c r="D11065" s="43" t="s">
        <v>2800</v>
      </c>
      <c r="E11065" s="44">
        <f>ROUND(0.62*1.3,4)</f>
        <v>0.80600000000000005</v>
      </c>
      <c r="F11065" s="38">
        <v>23.997</v>
      </c>
      <c r="G11065" s="70">
        <f>IF(ISNUMBER(F11065),E11065*F11065,"")</f>
        <v>19.341582000000002</v>
      </c>
      <c r="H11065" s="71"/>
      <c r="I11065" s="72"/>
      <c r="J11065" s="37">
        <v>0</v>
      </c>
    </row>
    <row r="11066" spans="1:10" ht="25.5" hidden="1" x14ac:dyDescent="0.25">
      <c r="A11066" s="179"/>
      <c r="B11066" s="177"/>
      <c r="C11066" s="43" t="s">
        <v>10754</v>
      </c>
      <c r="D11066" s="43" t="s">
        <v>2800</v>
      </c>
      <c r="E11066" s="44">
        <f>ROUND(0.62*1.3,4)</f>
        <v>0.80600000000000005</v>
      </c>
      <c r="F11066" s="38">
        <v>30.361999999999998</v>
      </c>
      <c r="G11066" s="70">
        <f>IF(ISNUMBER(F11066),E11066*F11066,"")</f>
        <v>24.471772000000001</v>
      </c>
      <c r="H11066" s="71"/>
      <c r="I11066" s="72"/>
      <c r="J11066" s="37">
        <v>0</v>
      </c>
    </row>
    <row r="11067" spans="1:10" hidden="1" x14ac:dyDescent="0.25">
      <c r="A11067" s="179"/>
      <c r="B11067" s="177"/>
      <c r="C11067" s="43" t="s">
        <v>10808</v>
      </c>
      <c r="D11067" s="43" t="s">
        <v>2800</v>
      </c>
      <c r="E11067" s="44">
        <f>ROUND(0.62*1.3,4)</f>
        <v>0.80600000000000005</v>
      </c>
      <c r="F11067" s="70">
        <v>31.729999999999997</v>
      </c>
      <c r="G11067" s="70">
        <f>IF(ISNUMBER(F11067),E11067*F11067,"")</f>
        <v>25.574379999999998</v>
      </c>
      <c r="H11067" s="71"/>
      <c r="I11067" s="72"/>
      <c r="J11067" s="37">
        <v>0</v>
      </c>
    </row>
    <row r="11068" spans="1:10" ht="15.75" hidden="1" thickBot="1" x14ac:dyDescent="0.3">
      <c r="A11068" s="180"/>
      <c r="B11068" s="178"/>
      <c r="C11068" s="49"/>
      <c r="D11068" s="63"/>
      <c r="E11068" s="50"/>
      <c r="F11068" s="83" t="s">
        <v>13</v>
      </c>
      <c r="G11068" s="83" t="str">
        <f>IF(ISNUMBER(F11068),E11068*F11068,"")</f>
        <v/>
      </c>
      <c r="H11068" s="84"/>
      <c r="I11068" s="72"/>
      <c r="J11068" s="37">
        <v>0</v>
      </c>
    </row>
    <row r="11069" spans="1:10" ht="15.75" hidden="1" thickBot="1" x14ac:dyDescent="0.3">
      <c r="A11069" s="173" t="s">
        <v>2723</v>
      </c>
      <c r="B11069" s="176" t="s">
        <v>2724</v>
      </c>
      <c r="C11069" s="31"/>
      <c r="D11069" s="32" t="s">
        <v>18</v>
      </c>
      <c r="E11069" s="33"/>
      <c r="F11069" s="60" t="s">
        <v>13</v>
      </c>
      <c r="G11069" s="34" t="str">
        <f>IF(ISNUMBER(F11069),E11069*F11069,"")</f>
        <v/>
      </c>
      <c r="H11069" s="35"/>
      <c r="I11069" s="36"/>
      <c r="J11069" s="37">
        <v>0</v>
      </c>
    </row>
    <row r="11070" spans="1:10" hidden="1" x14ac:dyDescent="0.25">
      <c r="A11070" s="179"/>
      <c r="B11070" s="177"/>
      <c r="C11070" s="39"/>
      <c r="D11070" s="39"/>
      <c r="E11070" s="40"/>
      <c r="F11070" s="70" t="s">
        <v>13</v>
      </c>
      <c r="G11070" s="70" t="str">
        <f>IF(ISNUMBER(F11070),E11070*F11070,"")</f>
        <v/>
      </c>
      <c r="H11070" s="71"/>
      <c r="I11070" s="72"/>
      <c r="J11070" s="37">
        <v>0</v>
      </c>
    </row>
    <row r="11071" spans="1:10" hidden="1" x14ac:dyDescent="0.25">
      <c r="A11071" s="179"/>
      <c r="B11071" s="177"/>
      <c r="C11071" s="43" t="s">
        <v>11100</v>
      </c>
      <c r="D11071" s="43" t="s">
        <v>1044</v>
      </c>
      <c r="E11071" s="44">
        <f>ROUND(0.089*1.3,4)</f>
        <v>0.1157</v>
      </c>
      <c r="F11071" s="38">
        <v>40.137499999999996</v>
      </c>
      <c r="G11071" s="70">
        <f>IF(ISNUMBER(F11071),E11071*F11071,"")</f>
        <v>4.6439087499999996</v>
      </c>
      <c r="H11071" s="46">
        <f>SUM(G11071:G11075)</f>
        <v>74.031642750000003</v>
      </c>
      <c r="I11071" s="47"/>
      <c r="J11071" s="37">
        <v>0</v>
      </c>
    </row>
    <row r="11072" spans="1:10" ht="25.5" hidden="1" x14ac:dyDescent="0.25">
      <c r="A11072" s="179"/>
      <c r="B11072" s="177"/>
      <c r="C11072" s="43" t="s">
        <v>2724</v>
      </c>
      <c r="D11072" s="43" t="s">
        <v>83</v>
      </c>
      <c r="E11072" s="44">
        <v>1</v>
      </c>
      <c r="F11072" s="38" t="s">
        <v>13</v>
      </c>
      <c r="G11072" s="70" t="str">
        <f>IF(ISNUMBER(F11072),E11072*F11072,"")</f>
        <v/>
      </c>
      <c r="H11072" s="71"/>
      <c r="I11072" s="72"/>
      <c r="J11072" s="37">
        <v>0</v>
      </c>
    </row>
    <row r="11073" spans="1:10" ht="25.5" hidden="1" x14ac:dyDescent="0.25">
      <c r="A11073" s="179"/>
      <c r="B11073" s="177"/>
      <c r="C11073" s="43" t="s">
        <v>10753</v>
      </c>
      <c r="D11073" s="43" t="s">
        <v>2800</v>
      </c>
      <c r="E11073" s="44">
        <f>ROUND(0.62*1.3,4)</f>
        <v>0.80600000000000005</v>
      </c>
      <c r="F11073" s="38">
        <v>23.997</v>
      </c>
      <c r="G11073" s="70">
        <f>IF(ISNUMBER(F11073),E11073*F11073,"")</f>
        <v>19.341582000000002</v>
      </c>
      <c r="H11073" s="71"/>
      <c r="I11073" s="72"/>
      <c r="J11073" s="37">
        <v>0</v>
      </c>
    </row>
    <row r="11074" spans="1:10" ht="25.5" hidden="1" x14ac:dyDescent="0.25">
      <c r="A11074" s="179"/>
      <c r="B11074" s="177"/>
      <c r="C11074" s="43" t="s">
        <v>10754</v>
      </c>
      <c r="D11074" s="43" t="s">
        <v>2800</v>
      </c>
      <c r="E11074" s="44">
        <f>ROUND(0.62*1.3,4)</f>
        <v>0.80600000000000005</v>
      </c>
      <c r="F11074" s="38">
        <v>30.361999999999998</v>
      </c>
      <c r="G11074" s="70">
        <f>IF(ISNUMBER(F11074),E11074*F11074,"")</f>
        <v>24.471772000000001</v>
      </c>
      <c r="H11074" s="71"/>
      <c r="I11074" s="72"/>
      <c r="J11074" s="37">
        <v>0</v>
      </c>
    </row>
    <row r="11075" spans="1:10" hidden="1" x14ac:dyDescent="0.25">
      <c r="A11075" s="179"/>
      <c r="B11075" s="177"/>
      <c r="C11075" s="43" t="s">
        <v>10808</v>
      </c>
      <c r="D11075" s="43" t="s">
        <v>2800</v>
      </c>
      <c r="E11075" s="44">
        <f>ROUND(0.62*1.3,4)</f>
        <v>0.80600000000000005</v>
      </c>
      <c r="F11075" s="70">
        <v>31.729999999999997</v>
      </c>
      <c r="G11075" s="70">
        <f>IF(ISNUMBER(F11075),E11075*F11075,"")</f>
        <v>25.574379999999998</v>
      </c>
      <c r="H11075" s="71"/>
      <c r="I11075" s="72"/>
      <c r="J11075" s="37">
        <v>0</v>
      </c>
    </row>
    <row r="11076" spans="1:10" ht="15.75" hidden="1" thickBot="1" x14ac:dyDescent="0.3">
      <c r="A11076" s="180"/>
      <c r="B11076" s="178"/>
      <c r="C11076" s="49"/>
      <c r="D11076" s="63"/>
      <c r="E11076" s="50"/>
      <c r="F11076" s="83" t="s">
        <v>13</v>
      </c>
      <c r="G11076" s="83" t="str">
        <f>IF(ISNUMBER(F11076),E11076*F11076,"")</f>
        <v/>
      </c>
      <c r="H11076" s="84"/>
      <c r="I11076" s="72"/>
      <c r="J11076" s="37">
        <v>0</v>
      </c>
    </row>
    <row r="11077" spans="1:10" ht="15.75" hidden="1" thickBot="1" x14ac:dyDescent="0.3">
      <c r="A11077" s="173" t="s">
        <v>2725</v>
      </c>
      <c r="B11077" s="176" t="s">
        <v>10268</v>
      </c>
      <c r="C11077" s="31"/>
      <c r="D11077" s="32" t="s">
        <v>18</v>
      </c>
      <c r="E11077" s="33"/>
      <c r="F11077" s="60" t="s">
        <v>13</v>
      </c>
      <c r="G11077" s="34" t="str">
        <f>IF(ISNUMBER(F11077),E11077*F11077,"")</f>
        <v/>
      </c>
      <c r="H11077" s="35"/>
      <c r="I11077" s="36"/>
      <c r="J11077" s="37">
        <v>0</v>
      </c>
    </row>
    <row r="11078" spans="1:10" hidden="1" x14ac:dyDescent="0.25">
      <c r="A11078" s="179"/>
      <c r="B11078" s="177"/>
      <c r="C11078" s="39"/>
      <c r="D11078" s="39"/>
      <c r="E11078" s="40"/>
      <c r="F11078" s="70" t="s">
        <v>13</v>
      </c>
      <c r="G11078" s="70" t="str">
        <f>IF(ISNUMBER(F11078),E11078*F11078,"")</f>
        <v/>
      </c>
      <c r="H11078" s="71"/>
      <c r="I11078" s="72"/>
      <c r="J11078" s="37">
        <v>0</v>
      </c>
    </row>
    <row r="11079" spans="1:10" hidden="1" x14ac:dyDescent="0.25">
      <c r="A11079" s="179"/>
      <c r="B11079" s="177"/>
      <c r="C11079" s="43" t="s">
        <v>2726</v>
      </c>
      <c r="D11079" s="43" t="s">
        <v>83</v>
      </c>
      <c r="E11079" s="44">
        <v>1</v>
      </c>
      <c r="F11079" s="38" t="s">
        <v>13</v>
      </c>
      <c r="G11079" s="70" t="str">
        <f>IF(ISNUMBER(F11079),E11079*F11079,"")</f>
        <v/>
      </c>
      <c r="H11079" s="46">
        <f>SUM(G11079:G11081)</f>
        <v>16.307699999999997</v>
      </c>
      <c r="I11079" s="47"/>
      <c r="J11079" s="37">
        <v>0</v>
      </c>
    </row>
    <row r="11080" spans="1:10" ht="25.5" hidden="1" x14ac:dyDescent="0.25">
      <c r="A11080" s="179"/>
      <c r="B11080" s="177"/>
      <c r="C11080" s="43" t="s">
        <v>10753</v>
      </c>
      <c r="D11080" s="43" t="s">
        <v>2800</v>
      </c>
      <c r="E11080" s="44">
        <v>0.3</v>
      </c>
      <c r="F11080" s="38">
        <v>23.997</v>
      </c>
      <c r="G11080" s="70">
        <f>IF(ISNUMBER(F11080),E11080*F11080,"")</f>
        <v>7.1990999999999996</v>
      </c>
      <c r="H11080" s="71"/>
      <c r="I11080" s="72"/>
      <c r="J11080" s="37">
        <v>0</v>
      </c>
    </row>
    <row r="11081" spans="1:10" ht="25.5" hidden="1" x14ac:dyDescent="0.25">
      <c r="A11081" s="179"/>
      <c r="B11081" s="177"/>
      <c r="C11081" s="43" t="s">
        <v>10754</v>
      </c>
      <c r="D11081" s="43" t="s">
        <v>2800</v>
      </c>
      <c r="E11081" s="44">
        <v>0.3</v>
      </c>
      <c r="F11081" s="38">
        <v>30.361999999999998</v>
      </c>
      <c r="G11081" s="70">
        <f>IF(ISNUMBER(F11081),E11081*F11081,"")</f>
        <v>9.1085999999999991</v>
      </c>
      <c r="H11081" s="71"/>
      <c r="I11081" s="72"/>
      <c r="J11081" s="37">
        <v>0</v>
      </c>
    </row>
    <row r="11082" spans="1:10" ht="15.75" hidden="1" thickBot="1" x14ac:dyDescent="0.3">
      <c r="A11082" s="180"/>
      <c r="B11082" s="178"/>
      <c r="C11082" s="49"/>
      <c r="D11082" s="63"/>
      <c r="E11082" s="50"/>
      <c r="F11082" s="83" t="s">
        <v>13</v>
      </c>
      <c r="G11082" s="83" t="str">
        <f>IF(ISNUMBER(F11082),E11082*F11082,"")</f>
        <v/>
      </c>
      <c r="H11082" s="84"/>
      <c r="I11082" s="72"/>
      <c r="J11082" s="37">
        <v>0</v>
      </c>
    </row>
    <row r="11083" spans="1:10" ht="15.75" hidden="1" thickBot="1" x14ac:dyDescent="0.3">
      <c r="A11083" s="173" t="s">
        <v>2727</v>
      </c>
      <c r="B11083" s="176" t="s">
        <v>10269</v>
      </c>
      <c r="C11083" s="31"/>
      <c r="D11083" s="32" t="s">
        <v>18</v>
      </c>
      <c r="E11083" s="33"/>
      <c r="F11083" s="60" t="s">
        <v>13</v>
      </c>
      <c r="G11083" s="34" t="str">
        <f>IF(ISNUMBER(F11083),E11083*F11083,"")</f>
        <v/>
      </c>
      <c r="H11083" s="35"/>
      <c r="I11083" s="36"/>
      <c r="J11083" s="37">
        <v>0</v>
      </c>
    </row>
    <row r="11084" spans="1:10" hidden="1" x14ac:dyDescent="0.25">
      <c r="A11084" s="179"/>
      <c r="B11084" s="177"/>
      <c r="C11084" s="39"/>
      <c r="D11084" s="39"/>
      <c r="E11084" s="40"/>
      <c r="F11084" s="70" t="s">
        <v>13</v>
      </c>
      <c r="G11084" s="70" t="str">
        <f>IF(ISNUMBER(F11084),E11084*F11084,"")</f>
        <v/>
      </c>
      <c r="H11084" s="71"/>
      <c r="I11084" s="72"/>
      <c r="J11084" s="37">
        <v>0</v>
      </c>
    </row>
    <row r="11085" spans="1:10" hidden="1" x14ac:dyDescent="0.25">
      <c r="A11085" s="179"/>
      <c r="B11085" s="177"/>
      <c r="C11085" s="43" t="s">
        <v>2728</v>
      </c>
      <c r="D11085" s="43" t="s">
        <v>83</v>
      </c>
      <c r="E11085" s="44">
        <v>1</v>
      </c>
      <c r="F11085" s="38" t="s">
        <v>13</v>
      </c>
      <c r="G11085" s="70" t="str">
        <f>IF(ISNUMBER(F11085),E11085*F11085,"")</f>
        <v/>
      </c>
      <c r="H11085" s="46">
        <f>SUM(G11085:G11087)</f>
        <v>16.307699999999997</v>
      </c>
      <c r="I11085" s="47"/>
      <c r="J11085" s="37">
        <v>0</v>
      </c>
    </row>
    <row r="11086" spans="1:10" ht="25.5" hidden="1" x14ac:dyDescent="0.25">
      <c r="A11086" s="179"/>
      <c r="B11086" s="177"/>
      <c r="C11086" s="43" t="s">
        <v>10753</v>
      </c>
      <c r="D11086" s="43" t="s">
        <v>2800</v>
      </c>
      <c r="E11086" s="44">
        <v>0.3</v>
      </c>
      <c r="F11086" s="38">
        <v>23.997</v>
      </c>
      <c r="G11086" s="70">
        <f>IF(ISNUMBER(F11086),E11086*F11086,"")</f>
        <v>7.1990999999999996</v>
      </c>
      <c r="H11086" s="71"/>
      <c r="I11086" s="72"/>
      <c r="J11086" s="37">
        <v>0</v>
      </c>
    </row>
    <row r="11087" spans="1:10" ht="25.5" hidden="1" x14ac:dyDescent="0.25">
      <c r="A11087" s="179"/>
      <c r="B11087" s="177"/>
      <c r="C11087" s="43" t="s">
        <v>10754</v>
      </c>
      <c r="D11087" s="43" t="s">
        <v>2800</v>
      </c>
      <c r="E11087" s="44">
        <v>0.3</v>
      </c>
      <c r="F11087" s="38">
        <v>30.361999999999998</v>
      </c>
      <c r="G11087" s="70">
        <f>IF(ISNUMBER(F11087),E11087*F11087,"")</f>
        <v>9.1085999999999991</v>
      </c>
      <c r="H11087" s="71"/>
      <c r="I11087" s="72"/>
      <c r="J11087" s="37">
        <v>0</v>
      </c>
    </row>
    <row r="11088" spans="1:10" ht="15.75" hidden="1" thickBot="1" x14ac:dyDescent="0.3">
      <c r="A11088" s="180"/>
      <c r="B11088" s="178"/>
      <c r="C11088" s="49"/>
      <c r="D11088" s="63"/>
      <c r="E11088" s="50"/>
      <c r="F11088" s="83" t="s">
        <v>13</v>
      </c>
      <c r="G11088" s="83" t="str">
        <f>IF(ISNUMBER(F11088),E11088*F11088,"")</f>
        <v/>
      </c>
      <c r="H11088" s="84"/>
      <c r="I11088" s="72"/>
      <c r="J11088" s="37">
        <v>0</v>
      </c>
    </row>
    <row r="11089" spans="1:10" ht="15.75" hidden="1" thickBot="1" x14ac:dyDescent="0.3">
      <c r="A11089" s="173" t="s">
        <v>2729</v>
      </c>
      <c r="B11089" s="176" t="s">
        <v>10270</v>
      </c>
      <c r="C11089" s="31"/>
      <c r="D11089" s="32" t="s">
        <v>18</v>
      </c>
      <c r="E11089" s="33"/>
      <c r="F11089" s="54" t="s">
        <v>13</v>
      </c>
      <c r="G11089" s="34" t="str">
        <f>IF(ISNUMBER(F11089),E11089*F11089,"")</f>
        <v/>
      </c>
      <c r="H11089" s="35"/>
      <c r="I11089" s="36"/>
      <c r="J11089" s="37">
        <v>0</v>
      </c>
    </row>
    <row r="11090" spans="1:10" hidden="1" x14ac:dyDescent="0.25">
      <c r="A11090" s="179"/>
      <c r="B11090" s="177"/>
      <c r="C11090" s="39"/>
      <c r="D11090" s="39"/>
      <c r="E11090" s="40"/>
      <c r="F11090" s="55" t="s">
        <v>13</v>
      </c>
      <c r="G11090" s="41" t="str">
        <f>IF(ISNUMBER(F11090),E11090*F11090,"")</f>
        <v/>
      </c>
      <c r="H11090" s="42"/>
      <c r="I11090" s="38"/>
      <c r="J11090" s="37">
        <v>0</v>
      </c>
    </row>
    <row r="11091" spans="1:10" ht="51" hidden="1" x14ac:dyDescent="0.25">
      <c r="A11091" s="179"/>
      <c r="B11091" s="177"/>
      <c r="C11091" s="43" t="s">
        <v>2730</v>
      </c>
      <c r="D11091" s="43" t="s">
        <v>18</v>
      </c>
      <c r="E11091" s="44">
        <v>1</v>
      </c>
      <c r="F11091" s="38" t="s">
        <v>13</v>
      </c>
      <c r="G11091" s="41" t="str">
        <f>IF(ISNUMBER(F11091),E11091*F11091,"")</f>
        <v/>
      </c>
      <c r="H11091" s="46">
        <f>SUM(G11091:G11098)</f>
        <v>209.43194980000001</v>
      </c>
      <c r="I11091" s="47"/>
      <c r="J11091" s="37">
        <v>0</v>
      </c>
    </row>
    <row r="11092" spans="1:10" ht="38.25" hidden="1" x14ac:dyDescent="0.25">
      <c r="A11092" s="179"/>
      <c r="B11092" s="177"/>
      <c r="C11092" s="43" t="s">
        <v>11711</v>
      </c>
      <c r="D11092" s="43" t="s">
        <v>83</v>
      </c>
      <c r="E11092" s="44">
        <v>4</v>
      </c>
      <c r="F11092" s="38">
        <v>1.3584999999999998</v>
      </c>
      <c r="G11092" s="41">
        <f>IF(ISNUMBER(F11092),E11092*F11092,"")</f>
        <v>5.4339999999999993</v>
      </c>
      <c r="H11092" s="42"/>
      <c r="I11092" s="47"/>
      <c r="J11092" s="37">
        <v>0</v>
      </c>
    </row>
    <row r="11093" spans="1:10" hidden="1" x14ac:dyDescent="0.25">
      <c r="A11093" s="179"/>
      <c r="B11093" s="177"/>
      <c r="C11093" s="43" t="s">
        <v>11712</v>
      </c>
      <c r="D11093" s="43" t="s">
        <v>1302</v>
      </c>
      <c r="E11093" s="44">
        <v>0.2</v>
      </c>
      <c r="F11093" s="38">
        <v>3.2489999999999997</v>
      </c>
      <c r="G11093" s="41">
        <f>IF(ISNUMBER(F11093),E11093*F11093,"")</f>
        <v>0.64979999999999993</v>
      </c>
      <c r="H11093" s="42"/>
      <c r="I11093" s="47"/>
      <c r="J11093" s="37">
        <v>0</v>
      </c>
    </row>
    <row r="11094" spans="1:10" hidden="1" x14ac:dyDescent="0.25">
      <c r="A11094" s="179"/>
      <c r="B11094" s="177"/>
      <c r="C11094" s="43" t="s">
        <v>10933</v>
      </c>
      <c r="D11094" s="43" t="s">
        <v>83</v>
      </c>
      <c r="E11094" s="44">
        <v>4</v>
      </c>
      <c r="F11094" s="38">
        <v>0.26600000000000001</v>
      </c>
      <c r="G11094" s="41">
        <f>IF(ISNUMBER(F11094),E11094*F11094,"")</f>
        <v>1.0640000000000001</v>
      </c>
      <c r="H11094" s="42"/>
      <c r="I11094" s="47"/>
      <c r="J11094" s="37">
        <v>0</v>
      </c>
    </row>
    <row r="11095" spans="1:10" hidden="1" x14ac:dyDescent="0.25">
      <c r="A11095" s="179"/>
      <c r="B11095" s="177"/>
      <c r="C11095" s="43" t="s">
        <v>10762</v>
      </c>
      <c r="D11095" s="43" t="s">
        <v>2800</v>
      </c>
      <c r="E11095" s="44">
        <v>0.63300000000000001</v>
      </c>
      <c r="F11095" s="38">
        <v>24.946999999999999</v>
      </c>
      <c r="G11095" s="41">
        <f>IF(ISNUMBER(F11095),E11095*F11095,"")</f>
        <v>15.791451</v>
      </c>
      <c r="H11095" s="42"/>
      <c r="I11095" s="47"/>
      <c r="J11095" s="37">
        <v>0</v>
      </c>
    </row>
    <row r="11096" spans="1:10" ht="25.5" hidden="1" x14ac:dyDescent="0.25">
      <c r="A11096" s="179"/>
      <c r="B11096" s="177"/>
      <c r="C11096" s="43" t="s">
        <v>10753</v>
      </c>
      <c r="D11096" s="43" t="s">
        <v>2800</v>
      </c>
      <c r="E11096" s="44">
        <v>3.0647000000000002</v>
      </c>
      <c r="F11096" s="38">
        <v>23.997</v>
      </c>
      <c r="G11096" s="41">
        <f>IF(ISNUMBER(F11096),E11096*F11096,"")</f>
        <v>73.543605900000003</v>
      </c>
      <c r="H11096" s="42"/>
      <c r="I11096" s="47"/>
      <c r="J11096" s="37">
        <v>0</v>
      </c>
    </row>
    <row r="11097" spans="1:10" hidden="1" x14ac:dyDescent="0.25">
      <c r="A11097" s="179"/>
      <c r="B11097" s="177"/>
      <c r="C11097" s="43" t="s">
        <v>10763</v>
      </c>
      <c r="D11097" s="43" t="s">
        <v>2800</v>
      </c>
      <c r="E11097" s="44">
        <v>0.63300000000000001</v>
      </c>
      <c r="F11097" s="38">
        <v>31.435500000000001</v>
      </c>
      <c r="G11097" s="41">
        <f>IF(ISNUMBER(F11097),E11097*F11097,"")</f>
        <v>19.898671500000003</v>
      </c>
      <c r="H11097" s="42"/>
      <c r="I11097" s="47"/>
      <c r="J11097" s="37">
        <v>0</v>
      </c>
    </row>
    <row r="11098" spans="1:10" ht="25.5" hidden="1" x14ac:dyDescent="0.25">
      <c r="A11098" s="179"/>
      <c r="B11098" s="177"/>
      <c r="C11098" s="43" t="s">
        <v>10754</v>
      </c>
      <c r="D11098" s="43" t="s">
        <v>2800</v>
      </c>
      <c r="E11098" s="44">
        <v>3.0647000000000002</v>
      </c>
      <c r="F11098" s="38">
        <v>30.361999999999998</v>
      </c>
      <c r="G11098" s="41">
        <f>IF(ISNUMBER(F11098),E11098*F11098,"")</f>
        <v>93.050421400000005</v>
      </c>
      <c r="H11098" s="42"/>
      <c r="I11098" s="47"/>
      <c r="J11098" s="37">
        <v>0</v>
      </c>
    </row>
    <row r="11099" spans="1:10" ht="15.75" hidden="1" thickBot="1" x14ac:dyDescent="0.3">
      <c r="A11099" s="180"/>
      <c r="B11099" s="178"/>
      <c r="C11099" s="49"/>
      <c r="D11099" s="49"/>
      <c r="E11099" s="50"/>
      <c r="F11099" s="51" t="s">
        <v>13</v>
      </c>
      <c r="G11099" s="52" t="str">
        <f>IF(ISNUMBER(F11099),E11099*F11099,"")</f>
        <v/>
      </c>
      <c r="H11099" s="53"/>
      <c r="I11099" s="38"/>
      <c r="J11099" s="37">
        <v>0</v>
      </c>
    </row>
    <row r="11100" spans="1:10" ht="15.75" hidden="1" thickBot="1" x14ac:dyDescent="0.3">
      <c r="A11100" s="173" t="s">
        <v>2731</v>
      </c>
      <c r="B11100" s="176" t="s">
        <v>10271</v>
      </c>
      <c r="C11100" s="31"/>
      <c r="D11100" s="32" t="s">
        <v>106</v>
      </c>
      <c r="E11100" s="33"/>
      <c r="F11100" s="60" t="s">
        <v>13</v>
      </c>
      <c r="G11100" s="34" t="str">
        <f>IF(ISNUMBER(F11100),E11100*F11100,"")</f>
        <v/>
      </c>
      <c r="H11100" s="35"/>
      <c r="I11100" s="36"/>
      <c r="J11100" s="37">
        <v>0</v>
      </c>
    </row>
    <row r="11101" spans="1:10" hidden="1" x14ac:dyDescent="0.25">
      <c r="A11101" s="179"/>
      <c r="B11101" s="177"/>
      <c r="C11101" s="39"/>
      <c r="D11101" s="39"/>
      <c r="E11101" s="40"/>
      <c r="F11101" s="70" t="s">
        <v>13</v>
      </c>
      <c r="G11101" s="70" t="str">
        <f>IF(ISNUMBER(F11101),E11101*F11101,"")</f>
        <v/>
      </c>
      <c r="H11101" s="71"/>
      <c r="I11101" s="72"/>
      <c r="J11101" s="37">
        <v>0</v>
      </c>
    </row>
    <row r="11102" spans="1:10" ht="25.5" hidden="1" x14ac:dyDescent="0.25">
      <c r="A11102" s="179"/>
      <c r="B11102" s="177"/>
      <c r="C11102" s="43" t="s">
        <v>11374</v>
      </c>
      <c r="D11102" s="43" t="s">
        <v>1302</v>
      </c>
      <c r="E11102" s="44">
        <v>1.0225</v>
      </c>
      <c r="F11102" s="38">
        <v>156.98749999999998</v>
      </c>
      <c r="G11102" s="70">
        <f>IF(ISNUMBER(F11102),E11102*F11102,"")</f>
        <v>160.51971874999998</v>
      </c>
      <c r="H11102" s="46">
        <f>SUM(G11102:G11104)</f>
        <v>164.40638724999999</v>
      </c>
      <c r="I11102" s="47"/>
      <c r="J11102" s="37">
        <v>0</v>
      </c>
    </row>
    <row r="11103" spans="1:10" ht="25.5" hidden="1" x14ac:dyDescent="0.25">
      <c r="A11103" s="179"/>
      <c r="B11103" s="177"/>
      <c r="C11103" s="43" t="s">
        <v>10753</v>
      </c>
      <c r="D11103" s="43" t="s">
        <v>2800</v>
      </c>
      <c r="E11103" s="44">
        <v>7.1499999999999994E-2</v>
      </c>
      <c r="F11103" s="38">
        <v>23.997</v>
      </c>
      <c r="G11103" s="70">
        <f>IF(ISNUMBER(F11103),E11103*F11103,"")</f>
        <v>1.7157854999999997</v>
      </c>
      <c r="H11103" s="71"/>
      <c r="I11103" s="72"/>
      <c r="J11103" s="37">
        <v>0</v>
      </c>
    </row>
    <row r="11104" spans="1:10" ht="25.5" hidden="1" x14ac:dyDescent="0.25">
      <c r="A11104" s="179"/>
      <c r="B11104" s="177"/>
      <c r="C11104" s="43" t="s">
        <v>10754</v>
      </c>
      <c r="D11104" s="43" t="s">
        <v>2800</v>
      </c>
      <c r="E11104" s="44">
        <v>7.1499999999999994E-2</v>
      </c>
      <c r="F11104" s="38">
        <v>30.361999999999998</v>
      </c>
      <c r="G11104" s="70">
        <f>IF(ISNUMBER(F11104),E11104*F11104,"")</f>
        <v>2.1708829999999999</v>
      </c>
      <c r="H11104" s="71"/>
      <c r="I11104" s="72"/>
      <c r="J11104" s="37">
        <v>0</v>
      </c>
    </row>
    <row r="11105" spans="1:10" ht="15.75" hidden="1" thickBot="1" x14ac:dyDescent="0.3">
      <c r="A11105" s="180"/>
      <c r="B11105" s="178"/>
      <c r="C11105" s="49"/>
      <c r="D11105" s="63"/>
      <c r="E11105" s="50"/>
      <c r="F11105" s="83" t="s">
        <v>13</v>
      </c>
      <c r="G11105" s="83" t="str">
        <f>IF(ISNUMBER(F11105),E11105*F11105,"")</f>
        <v/>
      </c>
      <c r="H11105" s="84"/>
      <c r="I11105" s="72"/>
      <c r="J11105" s="37">
        <v>0</v>
      </c>
    </row>
    <row r="11106" spans="1:10" ht="15.75" hidden="1" thickBot="1" x14ac:dyDescent="0.3">
      <c r="A11106" s="173" t="s">
        <v>2732</v>
      </c>
      <c r="B11106" s="176" t="s">
        <v>10272</v>
      </c>
      <c r="C11106" s="31"/>
      <c r="D11106" s="32" t="s">
        <v>18</v>
      </c>
      <c r="E11106" s="33"/>
      <c r="F11106" s="60" t="s">
        <v>13</v>
      </c>
      <c r="G11106" s="34" t="str">
        <f>IF(ISNUMBER(F11106),E11106*F11106,"")</f>
        <v/>
      </c>
      <c r="H11106" s="35"/>
      <c r="I11106" s="36"/>
      <c r="J11106" s="37">
        <v>0</v>
      </c>
    </row>
    <row r="11107" spans="1:10" hidden="1" x14ac:dyDescent="0.25">
      <c r="A11107" s="179"/>
      <c r="B11107" s="177"/>
      <c r="C11107" s="39"/>
      <c r="D11107" s="39"/>
      <c r="E11107" s="40"/>
      <c r="F11107" s="70" t="s">
        <v>13</v>
      </c>
      <c r="G11107" s="70" t="str">
        <f>IF(ISNUMBER(F11107),E11107*F11107,"")</f>
        <v/>
      </c>
      <c r="H11107" s="71"/>
      <c r="I11107" s="72"/>
      <c r="J11107" s="37">
        <v>0</v>
      </c>
    </row>
    <row r="11108" spans="1:10" hidden="1" x14ac:dyDescent="0.25">
      <c r="A11108" s="179"/>
      <c r="B11108" s="177"/>
      <c r="C11108" s="43" t="s">
        <v>10907</v>
      </c>
      <c r="D11108" s="43" t="s">
        <v>83</v>
      </c>
      <c r="E11108" s="44">
        <v>1.6799999999999999E-2</v>
      </c>
      <c r="F11108" s="38">
        <v>14.715499999999999</v>
      </c>
      <c r="G11108" s="70">
        <f>IF(ISNUMBER(F11108),E11108*F11108,"")</f>
        <v>0.24722039999999995</v>
      </c>
      <c r="H11108" s="46">
        <f>SUM(G11108:G11111)</f>
        <v>82.350174300000006</v>
      </c>
      <c r="I11108" s="47"/>
      <c r="J11108" s="37">
        <v>0</v>
      </c>
    </row>
    <row r="11109" spans="1:10" hidden="1" x14ac:dyDescent="0.25">
      <c r="A11109" s="179"/>
      <c r="B11109" s="177"/>
      <c r="C11109" s="43" t="s">
        <v>11352</v>
      </c>
      <c r="D11109" s="43" t="s">
        <v>83</v>
      </c>
      <c r="E11109" s="44">
        <v>1</v>
      </c>
      <c r="F11109" s="41">
        <v>71.11699999999999</v>
      </c>
      <c r="G11109" s="41">
        <f>IF(ISNUMBER(F11109),E11109*F11109,"")</f>
        <v>71.11699999999999</v>
      </c>
      <c r="H11109" s="42"/>
      <c r="I11109" s="38"/>
      <c r="J11109" s="37">
        <v>0</v>
      </c>
    </row>
    <row r="11110" spans="1:10" ht="25.5" hidden="1" x14ac:dyDescent="0.25">
      <c r="A11110" s="179"/>
      <c r="B11110" s="177"/>
      <c r="C11110" s="43" t="s">
        <v>10753</v>
      </c>
      <c r="D11110" s="43" t="s">
        <v>2800</v>
      </c>
      <c r="E11110" s="44">
        <v>0.2021</v>
      </c>
      <c r="F11110" s="38">
        <v>23.997</v>
      </c>
      <c r="G11110" s="70">
        <f>IF(ISNUMBER(F11110),E11110*F11110,"")</f>
        <v>4.8497937000000002</v>
      </c>
      <c r="H11110" s="57"/>
      <c r="I11110" s="47"/>
      <c r="J11110" s="37">
        <v>0</v>
      </c>
    </row>
    <row r="11111" spans="1:10" ht="25.5" hidden="1" x14ac:dyDescent="0.25">
      <c r="A11111" s="179"/>
      <c r="B11111" s="177"/>
      <c r="C11111" s="43" t="s">
        <v>10754</v>
      </c>
      <c r="D11111" s="43" t="s">
        <v>2800</v>
      </c>
      <c r="E11111" s="44">
        <v>0.2021</v>
      </c>
      <c r="F11111" s="38">
        <v>30.361999999999998</v>
      </c>
      <c r="G11111" s="70">
        <f>IF(ISNUMBER(F11111),E11111*F11111,"")</f>
        <v>6.1361602</v>
      </c>
      <c r="H11111" s="57"/>
      <c r="I11111" s="47"/>
      <c r="J11111" s="37">
        <v>0</v>
      </c>
    </row>
    <row r="11112" spans="1:10" ht="15.75" hidden="1" thickBot="1" x14ac:dyDescent="0.3">
      <c r="A11112" s="180"/>
      <c r="B11112" s="178"/>
      <c r="C11112" s="49"/>
      <c r="D11112" s="63"/>
      <c r="E11112" s="50"/>
      <c r="F11112" s="83" t="s">
        <v>13</v>
      </c>
      <c r="G11112" s="83" t="str">
        <f>IF(ISNUMBER(F11112),E11112*F11112,"")</f>
        <v/>
      </c>
      <c r="H11112" s="84"/>
      <c r="I11112" s="72"/>
      <c r="J11112" s="37">
        <v>0</v>
      </c>
    </row>
    <row r="11113" spans="1:10" ht="15.75" hidden="1" thickBot="1" x14ac:dyDescent="0.3">
      <c r="A11113" s="173" t="s">
        <v>2733</v>
      </c>
      <c r="B11113" s="176" t="s">
        <v>2734</v>
      </c>
      <c r="C11113" s="31"/>
      <c r="D11113" s="32" t="s">
        <v>18</v>
      </c>
      <c r="E11113" s="33"/>
      <c r="F11113" s="54" t="s">
        <v>13</v>
      </c>
      <c r="G11113" s="34" t="str">
        <f>IF(ISNUMBER(F11113),E11113*F11113,"")</f>
        <v/>
      </c>
      <c r="H11113" s="35"/>
      <c r="I11113" s="36"/>
      <c r="J11113" s="37">
        <v>0</v>
      </c>
    </row>
    <row r="11114" spans="1:10" hidden="1" x14ac:dyDescent="0.25">
      <c r="A11114" s="174"/>
      <c r="B11114" s="177"/>
      <c r="C11114" s="39"/>
      <c r="D11114" s="39"/>
      <c r="E11114" s="40"/>
      <c r="F11114" s="55" t="s">
        <v>13</v>
      </c>
      <c r="G11114" s="38" t="str">
        <f>IF(ISNUMBER(F11114),E11114*F11114,"")</f>
        <v/>
      </c>
      <c r="H11114" s="42"/>
      <c r="I11114" s="38"/>
      <c r="J11114" s="37">
        <v>0</v>
      </c>
    </row>
    <row r="11115" spans="1:10" ht="25.5" hidden="1" x14ac:dyDescent="0.25">
      <c r="A11115" s="174"/>
      <c r="B11115" s="177"/>
      <c r="C11115" s="43" t="s">
        <v>2734</v>
      </c>
      <c r="D11115" s="62" t="s">
        <v>18</v>
      </c>
      <c r="E11115" s="44">
        <v>1</v>
      </c>
      <c r="F11115" s="41" t="s">
        <v>13</v>
      </c>
      <c r="G11115" s="38" t="str">
        <f>IF(ISNUMBER(F11115),E11115*F11115,"")</f>
        <v/>
      </c>
      <c r="H11115" s="46">
        <f>SUM(G11115:G11118)</f>
        <v>243.11673368864001</v>
      </c>
      <c r="I11115" s="47"/>
      <c r="J11115" s="37">
        <v>0</v>
      </c>
    </row>
    <row r="11116" spans="1:10" ht="38.25" hidden="1" x14ac:dyDescent="0.25">
      <c r="A11116" s="174"/>
      <c r="B11116" s="177"/>
      <c r="C11116" s="43" t="s">
        <v>10712</v>
      </c>
      <c r="D11116" s="43" t="s">
        <v>2880</v>
      </c>
      <c r="E11116" s="44">
        <v>1.9199999999999998E-2</v>
      </c>
      <c r="F11116" s="38">
        <v>915.97571295</v>
      </c>
      <c r="G11116" s="38">
        <f>IF(ISNUMBER(F11116),E11116*F11116,"")</f>
        <v>17.586733688639999</v>
      </c>
      <c r="H11116" s="42"/>
      <c r="I11116" s="38"/>
      <c r="J11116" s="37">
        <v>0</v>
      </c>
    </row>
    <row r="11117" spans="1:10" hidden="1" x14ac:dyDescent="0.25">
      <c r="A11117" s="174"/>
      <c r="B11117" s="177"/>
      <c r="C11117" s="43" t="s">
        <v>10762</v>
      </c>
      <c r="D11117" s="43" t="s">
        <v>2800</v>
      </c>
      <c r="E11117" s="44">
        <v>4</v>
      </c>
      <c r="F11117" s="38">
        <v>24.946999999999999</v>
      </c>
      <c r="G11117" s="38">
        <f>IF(ISNUMBER(F11117),E11117*F11117,"")</f>
        <v>99.787999999999997</v>
      </c>
      <c r="H11117" s="42"/>
      <c r="I11117" s="38"/>
      <c r="J11117" s="37">
        <v>0</v>
      </c>
    </row>
    <row r="11118" spans="1:10" hidden="1" x14ac:dyDescent="0.25">
      <c r="A11118" s="174"/>
      <c r="B11118" s="177"/>
      <c r="C11118" s="43" t="s">
        <v>10763</v>
      </c>
      <c r="D11118" s="43" t="s">
        <v>2800</v>
      </c>
      <c r="E11118" s="44">
        <v>4</v>
      </c>
      <c r="F11118" s="38">
        <v>31.435500000000001</v>
      </c>
      <c r="G11118" s="41">
        <f>IF(ISNUMBER(F11118),E11118*F11118,"")</f>
        <v>125.742</v>
      </c>
      <c r="H11118" s="42"/>
      <c r="I11118" s="38"/>
      <c r="J11118" s="37">
        <v>0</v>
      </c>
    </row>
    <row r="11119" spans="1:10" ht="15.75" hidden="1" thickBot="1" x14ac:dyDescent="0.3">
      <c r="A11119" s="175"/>
      <c r="B11119" s="178"/>
      <c r="C11119" s="49"/>
      <c r="D11119" s="49"/>
      <c r="E11119" s="50"/>
      <c r="F11119" s="51" t="s">
        <v>13</v>
      </c>
      <c r="G11119" s="51" t="str">
        <f>IF(ISNUMBER(F11119),E11119*F11119,"")</f>
        <v/>
      </c>
      <c r="H11119" s="53"/>
      <c r="I11119" s="38"/>
      <c r="J11119" s="37">
        <v>0</v>
      </c>
    </row>
    <row r="11120" spans="1:10" ht="15.75" hidden="1" thickBot="1" x14ac:dyDescent="0.3">
      <c r="A11120" s="173" t="s">
        <v>2735</v>
      </c>
      <c r="B11120" s="176" t="s">
        <v>2736</v>
      </c>
      <c r="C11120" s="31"/>
      <c r="D11120" s="32" t="s">
        <v>18</v>
      </c>
      <c r="E11120" s="33"/>
      <c r="F11120" s="60" t="s">
        <v>13</v>
      </c>
      <c r="G11120" s="34" t="str">
        <f>IF(ISNUMBER(F11120),E11120*F11120,"")</f>
        <v/>
      </c>
      <c r="H11120" s="35"/>
      <c r="I11120" s="36"/>
      <c r="J11120" s="37">
        <v>0</v>
      </c>
    </row>
    <row r="11121" spans="1:10" hidden="1" x14ac:dyDescent="0.25">
      <c r="A11121" s="179"/>
      <c r="B11121" s="177"/>
      <c r="C11121" s="39"/>
      <c r="D11121" s="39"/>
      <c r="E11121" s="40"/>
      <c r="F11121" s="70" t="s">
        <v>13</v>
      </c>
      <c r="G11121" s="70" t="str">
        <f>IF(ISNUMBER(F11121),E11121*F11121,"")</f>
        <v/>
      </c>
      <c r="H11121" s="71"/>
      <c r="I11121" s="72"/>
      <c r="J11121" s="37">
        <v>0</v>
      </c>
    </row>
    <row r="11122" spans="1:10" hidden="1" x14ac:dyDescent="0.25">
      <c r="A11122" s="179"/>
      <c r="B11122" s="177"/>
      <c r="C11122" s="43" t="s">
        <v>11100</v>
      </c>
      <c r="D11122" s="43" t="s">
        <v>1044</v>
      </c>
      <c r="E11122" s="44">
        <f>ROUND(0.133*1.3,4)</f>
        <v>0.1729</v>
      </c>
      <c r="F11122" s="38">
        <v>40.137499999999996</v>
      </c>
      <c r="G11122" s="70">
        <f>IF(ISNUMBER(F11122),E11122*F11122,"")</f>
        <v>6.9397737499999996</v>
      </c>
      <c r="H11122" s="46">
        <f>SUM(G11122:G11126)</f>
        <v>114.60267714999998</v>
      </c>
      <c r="I11122" s="47"/>
      <c r="J11122" s="37">
        <v>0</v>
      </c>
    </row>
    <row r="11123" spans="1:10" hidden="1" x14ac:dyDescent="0.25">
      <c r="A11123" s="179"/>
      <c r="B11123" s="177"/>
      <c r="C11123" s="43" t="s">
        <v>2736</v>
      </c>
      <c r="D11123" s="43" t="s">
        <v>83</v>
      </c>
      <c r="E11123" s="44">
        <v>1</v>
      </c>
      <c r="F11123" s="38" t="s">
        <v>13</v>
      </c>
      <c r="G11123" s="70" t="str">
        <f>IF(ISNUMBER(F11123),E11123*F11123,"")</f>
        <v/>
      </c>
      <c r="H11123" s="71"/>
      <c r="I11123" s="72"/>
      <c r="J11123" s="37">
        <v>0</v>
      </c>
    </row>
    <row r="11124" spans="1:10" ht="25.5" hidden="1" x14ac:dyDescent="0.25">
      <c r="A11124" s="179"/>
      <c r="B11124" s="177"/>
      <c r="C11124" s="43" t="s">
        <v>10753</v>
      </c>
      <c r="D11124" s="43" t="s">
        <v>2800</v>
      </c>
      <c r="E11124" s="44">
        <f>ROUND(0.962*1.3,4)</f>
        <v>1.2505999999999999</v>
      </c>
      <c r="F11124" s="38">
        <v>23.997</v>
      </c>
      <c r="G11124" s="70">
        <f>IF(ISNUMBER(F11124),E11124*F11124,"")</f>
        <v>30.010648199999999</v>
      </c>
      <c r="H11124" s="71"/>
      <c r="I11124" s="72"/>
      <c r="J11124" s="37">
        <v>0</v>
      </c>
    </row>
    <row r="11125" spans="1:10" ht="25.5" hidden="1" x14ac:dyDescent="0.25">
      <c r="A11125" s="179"/>
      <c r="B11125" s="177"/>
      <c r="C11125" s="43" t="s">
        <v>10754</v>
      </c>
      <c r="D11125" s="43" t="s">
        <v>2800</v>
      </c>
      <c r="E11125" s="44">
        <f>ROUND(0.962*1.3,4)</f>
        <v>1.2505999999999999</v>
      </c>
      <c r="F11125" s="38">
        <v>30.361999999999998</v>
      </c>
      <c r="G11125" s="70">
        <f>IF(ISNUMBER(F11125),E11125*F11125,"")</f>
        <v>37.970717199999996</v>
      </c>
      <c r="H11125" s="71"/>
      <c r="I11125" s="72"/>
      <c r="J11125" s="37">
        <v>0</v>
      </c>
    </row>
    <row r="11126" spans="1:10" hidden="1" x14ac:dyDescent="0.25">
      <c r="A11126" s="179"/>
      <c r="B11126" s="177"/>
      <c r="C11126" s="43" t="s">
        <v>10808</v>
      </c>
      <c r="D11126" s="43" t="s">
        <v>2800</v>
      </c>
      <c r="E11126" s="44">
        <f>ROUND(0.962*1.3,4)</f>
        <v>1.2505999999999999</v>
      </c>
      <c r="F11126" s="70">
        <v>31.729999999999997</v>
      </c>
      <c r="G11126" s="70">
        <f>IF(ISNUMBER(F11126),E11126*F11126,"")</f>
        <v>39.681537999999996</v>
      </c>
      <c r="H11126" s="71"/>
      <c r="I11126" s="72"/>
      <c r="J11126" s="37">
        <v>0</v>
      </c>
    </row>
    <row r="11127" spans="1:10" ht="15.75" hidden="1" thickBot="1" x14ac:dyDescent="0.3">
      <c r="A11127" s="180"/>
      <c r="B11127" s="178"/>
      <c r="C11127" s="49"/>
      <c r="D11127" s="63"/>
      <c r="E11127" s="50"/>
      <c r="F11127" s="83" t="s">
        <v>13</v>
      </c>
      <c r="G11127" s="83" t="str">
        <f>IF(ISNUMBER(F11127),E11127*F11127,"")</f>
        <v/>
      </c>
      <c r="H11127" s="84"/>
      <c r="I11127" s="72"/>
      <c r="J11127" s="37">
        <v>0</v>
      </c>
    </row>
    <row r="11128" spans="1:10" ht="15.75" hidden="1" thickBot="1" x14ac:dyDescent="0.3">
      <c r="A11128" s="173" t="s">
        <v>2737</v>
      </c>
      <c r="B11128" s="176" t="s">
        <v>2738</v>
      </c>
      <c r="C11128" s="31"/>
      <c r="D11128" s="32" t="s">
        <v>18</v>
      </c>
      <c r="E11128" s="33"/>
      <c r="F11128" s="60" t="s">
        <v>13</v>
      </c>
      <c r="G11128" s="34" t="str">
        <f>IF(ISNUMBER(F11128),E11128*F11128,"")</f>
        <v/>
      </c>
      <c r="H11128" s="35"/>
      <c r="I11128" s="36"/>
      <c r="J11128" s="37">
        <v>0</v>
      </c>
    </row>
    <row r="11129" spans="1:10" hidden="1" x14ac:dyDescent="0.25">
      <c r="A11129" s="179"/>
      <c r="B11129" s="177"/>
      <c r="C11129" s="39"/>
      <c r="D11129" s="39"/>
      <c r="E11129" s="40"/>
      <c r="F11129" s="70" t="s">
        <v>13</v>
      </c>
      <c r="G11129" s="70" t="str">
        <f>IF(ISNUMBER(F11129),E11129*F11129,"")</f>
        <v/>
      </c>
      <c r="H11129" s="71"/>
      <c r="I11129" s="72"/>
      <c r="J11129" s="37">
        <v>0</v>
      </c>
    </row>
    <row r="11130" spans="1:10" hidden="1" x14ac:dyDescent="0.25">
      <c r="A11130" s="179"/>
      <c r="B11130" s="177"/>
      <c r="C11130" s="43" t="s">
        <v>11100</v>
      </c>
      <c r="D11130" s="43" t="s">
        <v>1044</v>
      </c>
      <c r="E11130" s="44">
        <f>ROUND(0.133*1.3,4)</f>
        <v>0.1729</v>
      </c>
      <c r="F11130" s="38">
        <v>40.137499999999996</v>
      </c>
      <c r="G11130" s="70">
        <f>IF(ISNUMBER(F11130),E11130*F11130,"")</f>
        <v>6.9397737499999996</v>
      </c>
      <c r="H11130" s="46">
        <f>SUM(G11130:G11134)</f>
        <v>114.60267714999998</v>
      </c>
      <c r="I11130" s="47"/>
      <c r="J11130" s="37">
        <v>0</v>
      </c>
    </row>
    <row r="11131" spans="1:10" hidden="1" x14ac:dyDescent="0.25">
      <c r="A11131" s="179"/>
      <c r="B11131" s="177"/>
      <c r="C11131" s="43" t="s">
        <v>2738</v>
      </c>
      <c r="D11131" s="43" t="s">
        <v>83</v>
      </c>
      <c r="E11131" s="44">
        <v>1</v>
      </c>
      <c r="F11131" s="38" t="s">
        <v>13</v>
      </c>
      <c r="G11131" s="70" t="str">
        <f>IF(ISNUMBER(F11131),E11131*F11131,"")</f>
        <v/>
      </c>
      <c r="H11131" s="71"/>
      <c r="I11131" s="72"/>
      <c r="J11131" s="37">
        <v>0</v>
      </c>
    </row>
    <row r="11132" spans="1:10" ht="25.5" hidden="1" x14ac:dyDescent="0.25">
      <c r="A11132" s="179"/>
      <c r="B11132" s="177"/>
      <c r="C11132" s="43" t="s">
        <v>10753</v>
      </c>
      <c r="D11132" s="43" t="s">
        <v>2800</v>
      </c>
      <c r="E11132" s="44">
        <f>ROUND(0.962*1.3,4)</f>
        <v>1.2505999999999999</v>
      </c>
      <c r="F11132" s="38">
        <v>23.997</v>
      </c>
      <c r="G11132" s="70">
        <f>IF(ISNUMBER(F11132),E11132*F11132,"")</f>
        <v>30.010648199999999</v>
      </c>
      <c r="H11132" s="71"/>
      <c r="I11132" s="72"/>
      <c r="J11132" s="37">
        <v>0</v>
      </c>
    </row>
    <row r="11133" spans="1:10" ht="25.5" hidden="1" x14ac:dyDescent="0.25">
      <c r="A11133" s="179"/>
      <c r="B11133" s="177"/>
      <c r="C11133" s="43" t="s">
        <v>10754</v>
      </c>
      <c r="D11133" s="43" t="s">
        <v>2800</v>
      </c>
      <c r="E11133" s="44">
        <f>ROUND(0.962*1.3,4)</f>
        <v>1.2505999999999999</v>
      </c>
      <c r="F11133" s="38">
        <v>30.361999999999998</v>
      </c>
      <c r="G11133" s="70">
        <f>IF(ISNUMBER(F11133),E11133*F11133,"")</f>
        <v>37.970717199999996</v>
      </c>
      <c r="H11133" s="71"/>
      <c r="I11133" s="72"/>
      <c r="J11133" s="37">
        <v>0</v>
      </c>
    </row>
    <row r="11134" spans="1:10" hidden="1" x14ac:dyDescent="0.25">
      <c r="A11134" s="179"/>
      <c r="B11134" s="177"/>
      <c r="C11134" s="43" t="s">
        <v>10808</v>
      </c>
      <c r="D11134" s="43" t="s">
        <v>2800</v>
      </c>
      <c r="E11134" s="44">
        <f>ROUND(0.962*1.3,4)</f>
        <v>1.2505999999999999</v>
      </c>
      <c r="F11134" s="70">
        <v>31.729999999999997</v>
      </c>
      <c r="G11134" s="70">
        <f>IF(ISNUMBER(F11134),E11134*F11134,"")</f>
        <v>39.681537999999996</v>
      </c>
      <c r="H11134" s="71"/>
      <c r="I11134" s="72"/>
      <c r="J11134" s="37">
        <v>0</v>
      </c>
    </row>
    <row r="11135" spans="1:10" ht="15.75" hidden="1" thickBot="1" x14ac:dyDescent="0.3">
      <c r="A11135" s="180"/>
      <c r="B11135" s="178"/>
      <c r="C11135" s="49"/>
      <c r="D11135" s="63"/>
      <c r="E11135" s="50"/>
      <c r="F11135" s="83" t="s">
        <v>13</v>
      </c>
      <c r="G11135" s="83" t="str">
        <f>IF(ISNUMBER(F11135),E11135*F11135,"")</f>
        <v/>
      </c>
      <c r="H11135" s="84"/>
      <c r="I11135" s="72"/>
      <c r="J11135" s="37">
        <v>0</v>
      </c>
    </row>
    <row r="11136" spans="1:10" ht="15.75" hidden="1" thickBot="1" x14ac:dyDescent="0.3">
      <c r="A11136" s="173" t="s">
        <v>2739</v>
      </c>
      <c r="B11136" s="176" t="s">
        <v>10273</v>
      </c>
      <c r="C11136" s="31"/>
      <c r="D11136" s="32" t="s">
        <v>106</v>
      </c>
      <c r="E11136" s="33"/>
      <c r="F11136" s="54" t="s">
        <v>13</v>
      </c>
      <c r="G11136" s="34" t="str">
        <f>IF(ISNUMBER(F11136),E11136*F11136,"")</f>
        <v/>
      </c>
      <c r="H11136" s="35"/>
      <c r="I11136" s="36"/>
      <c r="J11136" s="37">
        <v>0</v>
      </c>
    </row>
    <row r="11137" spans="1:10" hidden="1" x14ac:dyDescent="0.25">
      <c r="A11137" s="174"/>
      <c r="B11137" s="177"/>
      <c r="C11137" s="39"/>
      <c r="D11137" s="39"/>
      <c r="E11137" s="40"/>
      <c r="F11137" s="55" t="s">
        <v>13</v>
      </c>
      <c r="G11137" s="38" t="str">
        <f>IF(ISNUMBER(F11137),E11137*F11137,"")</f>
        <v/>
      </c>
      <c r="H11137" s="42"/>
      <c r="I11137" s="38"/>
      <c r="J11137" s="37">
        <v>0</v>
      </c>
    </row>
    <row r="11138" spans="1:10" ht="25.5" hidden="1" x14ac:dyDescent="0.25">
      <c r="A11138" s="174"/>
      <c r="B11138" s="177"/>
      <c r="C11138" s="43" t="s">
        <v>11331</v>
      </c>
      <c r="D11138" s="43" t="s">
        <v>1302</v>
      </c>
      <c r="E11138" s="44">
        <v>1.0389999999999999</v>
      </c>
      <c r="F11138" s="38">
        <v>176.434</v>
      </c>
      <c r="G11138" s="41">
        <f>IF(ISNUMBER(F11138),E11138*F11138,"")</f>
        <v>183.31492599999999</v>
      </c>
      <c r="H11138" s="46">
        <f>SUM(G11138:G11141)</f>
        <v>219.38621699999999</v>
      </c>
      <c r="I11138" s="47"/>
      <c r="J11138" s="37">
        <v>0</v>
      </c>
    </row>
    <row r="11139" spans="1:10" ht="25.5" hidden="1" x14ac:dyDescent="0.25">
      <c r="A11139" s="174"/>
      <c r="B11139" s="177"/>
      <c r="C11139" s="43" t="s">
        <v>10753</v>
      </c>
      <c r="D11139" s="43" t="s">
        <v>2800</v>
      </c>
      <c r="E11139" s="44">
        <v>0.41899999999999998</v>
      </c>
      <c r="F11139" s="38">
        <v>23.997</v>
      </c>
      <c r="G11139" s="41">
        <f>IF(ISNUMBER(F11139),E11139*F11139,"")</f>
        <v>10.054743</v>
      </c>
      <c r="H11139" s="42"/>
      <c r="I11139" s="38"/>
      <c r="J11139" s="37">
        <v>0</v>
      </c>
    </row>
    <row r="11140" spans="1:10" ht="25.5" hidden="1" x14ac:dyDescent="0.25">
      <c r="A11140" s="174"/>
      <c r="B11140" s="177"/>
      <c r="C11140" s="43" t="s">
        <v>10754</v>
      </c>
      <c r="D11140" s="43" t="s">
        <v>2800</v>
      </c>
      <c r="E11140" s="44">
        <v>0.41899999999999998</v>
      </c>
      <c r="F11140" s="41">
        <v>30.361999999999998</v>
      </c>
      <c r="G11140" s="41">
        <f>IF(ISNUMBER(F11140),E11140*F11140,"")</f>
        <v>12.721677999999999</v>
      </c>
      <c r="H11140" s="42"/>
      <c r="I11140" s="38"/>
      <c r="J11140" s="37">
        <v>0</v>
      </c>
    </row>
    <row r="11141" spans="1:10" hidden="1" x14ac:dyDescent="0.25">
      <c r="A11141" s="174"/>
      <c r="B11141" s="177"/>
      <c r="C11141" s="43" t="s">
        <v>10808</v>
      </c>
      <c r="D11141" s="43" t="s">
        <v>2800</v>
      </c>
      <c r="E11141" s="44">
        <v>0.41899999999999998</v>
      </c>
      <c r="F11141" s="41">
        <v>31.729999999999997</v>
      </c>
      <c r="G11141" s="41">
        <f>IF(ISNUMBER(F11141),E11141*F11141,"")</f>
        <v>13.294869999999998</v>
      </c>
      <c r="H11141" s="42"/>
      <c r="I11141" s="38"/>
      <c r="J11141" s="37">
        <v>0</v>
      </c>
    </row>
    <row r="11142" spans="1:10" ht="15.75" hidden="1" thickBot="1" x14ac:dyDescent="0.3">
      <c r="A11142" s="175"/>
      <c r="B11142" s="178"/>
      <c r="C11142" s="43"/>
      <c r="D11142" s="43"/>
      <c r="E11142" s="44"/>
      <c r="F11142" s="38" t="s">
        <v>13</v>
      </c>
      <c r="G11142" s="38" t="str">
        <f>IF(ISNUMBER(F11142),E11142*F11142,"")</f>
        <v/>
      </c>
      <c r="H11142" s="42"/>
      <c r="I11142" s="38"/>
      <c r="J11142" s="37">
        <v>0</v>
      </c>
    </row>
    <row r="11143" spans="1:10" ht="15.75" hidden="1" thickBot="1" x14ac:dyDescent="0.3">
      <c r="A11143" s="173" t="s">
        <v>2740</v>
      </c>
      <c r="B11143" s="176" t="s">
        <v>10274</v>
      </c>
      <c r="C11143" s="31"/>
      <c r="D11143" s="32" t="s">
        <v>106</v>
      </c>
      <c r="E11143" s="33"/>
      <c r="F11143" s="54" t="s">
        <v>13</v>
      </c>
      <c r="G11143" s="34" t="str">
        <f>IF(ISNUMBER(F11143),E11143*F11143,"")</f>
        <v/>
      </c>
      <c r="H11143" s="35"/>
      <c r="I11143" s="36"/>
      <c r="J11143" s="37">
        <v>0</v>
      </c>
    </row>
    <row r="11144" spans="1:10" hidden="1" x14ac:dyDescent="0.25">
      <c r="A11144" s="174"/>
      <c r="B11144" s="177"/>
      <c r="C11144" s="39"/>
      <c r="D11144" s="39"/>
      <c r="E11144" s="40"/>
      <c r="F11144" s="55" t="s">
        <v>13</v>
      </c>
      <c r="G11144" s="38" t="str">
        <f>IF(ISNUMBER(F11144),E11144*F11144,"")</f>
        <v/>
      </c>
      <c r="H11144" s="42"/>
      <c r="I11144" s="38"/>
      <c r="J11144" s="37">
        <v>0</v>
      </c>
    </row>
    <row r="11145" spans="1:10" ht="25.5" hidden="1" x14ac:dyDescent="0.25">
      <c r="A11145" s="174"/>
      <c r="B11145" s="177"/>
      <c r="C11145" s="43" t="s">
        <v>11330</v>
      </c>
      <c r="D11145" s="43" t="s">
        <v>1302</v>
      </c>
      <c r="E11145" s="44">
        <v>1.0389999999999999</v>
      </c>
      <c r="F11145" s="38">
        <v>108.89849999999998</v>
      </c>
      <c r="G11145" s="41">
        <f>IF(ISNUMBER(F11145),E11145*F11145,"")</f>
        <v>113.14554149999998</v>
      </c>
      <c r="H11145" s="46">
        <f>SUM(G11145:G11148)</f>
        <v>145.68718349999997</v>
      </c>
      <c r="I11145" s="47"/>
      <c r="J11145" s="37">
        <v>0</v>
      </c>
    </row>
    <row r="11146" spans="1:10" ht="25.5" hidden="1" x14ac:dyDescent="0.25">
      <c r="A11146" s="174"/>
      <c r="B11146" s="177"/>
      <c r="C11146" s="43" t="s">
        <v>10753</v>
      </c>
      <c r="D11146" s="43" t="s">
        <v>2800</v>
      </c>
      <c r="E11146" s="44">
        <v>0.378</v>
      </c>
      <c r="F11146" s="38">
        <v>23.997</v>
      </c>
      <c r="G11146" s="41">
        <f>IF(ISNUMBER(F11146),E11146*F11146,"")</f>
        <v>9.0708660000000005</v>
      </c>
      <c r="H11146" s="42"/>
      <c r="I11146" s="38"/>
      <c r="J11146" s="37">
        <v>0</v>
      </c>
    </row>
    <row r="11147" spans="1:10" ht="25.5" hidden="1" x14ac:dyDescent="0.25">
      <c r="A11147" s="174"/>
      <c r="B11147" s="177"/>
      <c r="C11147" s="43" t="s">
        <v>10754</v>
      </c>
      <c r="D11147" s="43" t="s">
        <v>2800</v>
      </c>
      <c r="E11147" s="44">
        <v>0.378</v>
      </c>
      <c r="F11147" s="41">
        <v>30.361999999999998</v>
      </c>
      <c r="G11147" s="41">
        <f>IF(ISNUMBER(F11147),E11147*F11147,"")</f>
        <v>11.476835999999999</v>
      </c>
      <c r="H11147" s="42"/>
      <c r="I11147" s="38"/>
      <c r="J11147" s="37">
        <v>0</v>
      </c>
    </row>
    <row r="11148" spans="1:10" hidden="1" x14ac:dyDescent="0.25">
      <c r="A11148" s="174"/>
      <c r="B11148" s="177"/>
      <c r="C11148" s="43" t="s">
        <v>10808</v>
      </c>
      <c r="D11148" s="43" t="s">
        <v>2800</v>
      </c>
      <c r="E11148" s="44">
        <v>0.378</v>
      </c>
      <c r="F11148" s="41">
        <v>31.729999999999997</v>
      </c>
      <c r="G11148" s="41">
        <f>IF(ISNUMBER(F11148),E11148*F11148,"")</f>
        <v>11.993939999999998</v>
      </c>
      <c r="H11148" s="42"/>
      <c r="I11148" s="38"/>
      <c r="J11148" s="37">
        <v>0</v>
      </c>
    </row>
    <row r="11149" spans="1:10" ht="15.75" hidden="1" thickBot="1" x14ac:dyDescent="0.3">
      <c r="A11149" s="175"/>
      <c r="B11149" s="178"/>
      <c r="C11149" s="49"/>
      <c r="D11149" s="49"/>
      <c r="E11149" s="50"/>
      <c r="F11149" s="51" t="s">
        <v>13</v>
      </c>
      <c r="G11149" s="51" t="str">
        <f>IF(ISNUMBER(F11149),E11149*F11149,"")</f>
        <v/>
      </c>
      <c r="H11149" s="53"/>
      <c r="I11149" s="38"/>
      <c r="J11149" s="37">
        <v>0</v>
      </c>
    </row>
    <row r="11150" spans="1:10" ht="15.75" hidden="1" thickBot="1" x14ac:dyDescent="0.3">
      <c r="A11150" s="173" t="s">
        <v>2741</v>
      </c>
      <c r="B11150" s="176" t="s">
        <v>10275</v>
      </c>
      <c r="C11150" s="31"/>
      <c r="D11150" s="32" t="s">
        <v>106</v>
      </c>
      <c r="E11150" s="33"/>
      <c r="F11150" s="54" t="s">
        <v>13</v>
      </c>
      <c r="G11150" s="34" t="str">
        <f>IF(ISNUMBER(F11150),E11150*F11150,"")</f>
        <v/>
      </c>
      <c r="H11150" s="35"/>
      <c r="I11150" s="36"/>
      <c r="J11150" s="37">
        <v>0</v>
      </c>
    </row>
    <row r="11151" spans="1:10" hidden="1" x14ac:dyDescent="0.25">
      <c r="A11151" s="174"/>
      <c r="B11151" s="177"/>
      <c r="C11151" s="39"/>
      <c r="D11151" s="39"/>
      <c r="E11151" s="40"/>
      <c r="F11151" s="55" t="s">
        <v>13</v>
      </c>
      <c r="G11151" s="38" t="str">
        <f>IF(ISNUMBER(F11151),E11151*F11151,"")</f>
        <v/>
      </c>
      <c r="H11151" s="42"/>
      <c r="I11151" s="38"/>
      <c r="J11151" s="37">
        <v>0</v>
      </c>
    </row>
    <row r="11152" spans="1:10" ht="25.5" hidden="1" x14ac:dyDescent="0.25">
      <c r="A11152" s="174"/>
      <c r="B11152" s="177"/>
      <c r="C11152" s="43" t="s">
        <v>11699</v>
      </c>
      <c r="D11152" s="43" t="s">
        <v>1302</v>
      </c>
      <c r="E11152" s="44">
        <v>1.0389999999999999</v>
      </c>
      <c r="F11152" s="38">
        <v>323.209</v>
      </c>
      <c r="G11152" s="41">
        <f>IF(ISNUMBER(F11152),E11152*F11152,"")</f>
        <v>335.81415099999998</v>
      </c>
      <c r="H11152" s="46">
        <f>SUM(G11152:G11155)</f>
        <v>371.88544199999995</v>
      </c>
      <c r="I11152" s="47"/>
      <c r="J11152" s="37">
        <v>0</v>
      </c>
    </row>
    <row r="11153" spans="1:10" ht="25.5" hidden="1" x14ac:dyDescent="0.25">
      <c r="A11153" s="174"/>
      <c r="B11153" s="177"/>
      <c r="C11153" s="43" t="s">
        <v>10753</v>
      </c>
      <c r="D11153" s="43" t="s">
        <v>2800</v>
      </c>
      <c r="E11153" s="44">
        <v>0.41899999999999998</v>
      </c>
      <c r="F11153" s="38">
        <v>23.997</v>
      </c>
      <c r="G11153" s="41">
        <f>IF(ISNUMBER(F11153),E11153*F11153,"")</f>
        <v>10.054743</v>
      </c>
      <c r="H11153" s="42"/>
      <c r="I11153" s="38"/>
      <c r="J11153" s="37">
        <v>0</v>
      </c>
    </row>
    <row r="11154" spans="1:10" ht="25.5" hidden="1" x14ac:dyDescent="0.25">
      <c r="A11154" s="174"/>
      <c r="B11154" s="177"/>
      <c r="C11154" s="43" t="s">
        <v>10754</v>
      </c>
      <c r="D11154" s="43" t="s">
        <v>2800</v>
      </c>
      <c r="E11154" s="44">
        <v>0.41899999999999998</v>
      </c>
      <c r="F11154" s="41">
        <v>30.361999999999998</v>
      </c>
      <c r="G11154" s="41">
        <f>IF(ISNUMBER(F11154),E11154*F11154,"")</f>
        <v>12.721677999999999</v>
      </c>
      <c r="H11154" s="42"/>
      <c r="I11154" s="38"/>
      <c r="J11154" s="37">
        <v>0</v>
      </c>
    </row>
    <row r="11155" spans="1:10" hidden="1" x14ac:dyDescent="0.25">
      <c r="A11155" s="174"/>
      <c r="B11155" s="177"/>
      <c r="C11155" s="43" t="s">
        <v>10808</v>
      </c>
      <c r="D11155" s="43" t="s">
        <v>2800</v>
      </c>
      <c r="E11155" s="44">
        <v>0.41899999999999998</v>
      </c>
      <c r="F11155" s="41">
        <v>31.729999999999997</v>
      </c>
      <c r="G11155" s="41">
        <f>IF(ISNUMBER(F11155),E11155*F11155,"")</f>
        <v>13.294869999999998</v>
      </c>
      <c r="H11155" s="42"/>
      <c r="I11155" s="38"/>
      <c r="J11155" s="37">
        <v>0</v>
      </c>
    </row>
    <row r="11156" spans="1:10" ht="15.75" hidden="1" thickBot="1" x14ac:dyDescent="0.3">
      <c r="A11156" s="175"/>
      <c r="B11156" s="178"/>
      <c r="C11156" s="49"/>
      <c r="D11156" s="49"/>
      <c r="E11156" s="50"/>
      <c r="F11156" s="51" t="s">
        <v>13</v>
      </c>
      <c r="G11156" s="51" t="str">
        <f>IF(ISNUMBER(F11156),E11156*F11156,"")</f>
        <v/>
      </c>
      <c r="H11156" s="53"/>
      <c r="I11156" s="38"/>
      <c r="J11156" s="37">
        <v>0</v>
      </c>
    </row>
    <row r="11157" spans="1:10" ht="15.75" hidden="1" thickBot="1" x14ac:dyDescent="0.3">
      <c r="A11157" s="173" t="s">
        <v>2742</v>
      </c>
      <c r="B11157" s="176" t="s">
        <v>10276</v>
      </c>
      <c r="C11157" s="31"/>
      <c r="D11157" s="32" t="s">
        <v>106</v>
      </c>
      <c r="E11157" s="33"/>
      <c r="F11157" s="54" t="s">
        <v>13</v>
      </c>
      <c r="G11157" s="34" t="str">
        <f>IF(ISNUMBER(F11157),E11157*F11157,"")</f>
        <v/>
      </c>
      <c r="H11157" s="35"/>
      <c r="I11157" s="36"/>
      <c r="J11157" s="37">
        <v>0</v>
      </c>
    </row>
    <row r="11158" spans="1:10" hidden="1" x14ac:dyDescent="0.25">
      <c r="A11158" s="174"/>
      <c r="B11158" s="177"/>
      <c r="C11158" s="39"/>
      <c r="D11158" s="39"/>
      <c r="E11158" s="40"/>
      <c r="F11158" s="55" t="s">
        <v>13</v>
      </c>
      <c r="G11158" s="38" t="str">
        <f>IF(ISNUMBER(F11158),E11158*F11158,"")</f>
        <v/>
      </c>
      <c r="H11158" s="42"/>
      <c r="I11158" s="38"/>
      <c r="J11158" s="37">
        <v>0</v>
      </c>
    </row>
    <row r="11159" spans="1:10" ht="25.5" hidden="1" x14ac:dyDescent="0.25">
      <c r="A11159" s="174"/>
      <c r="B11159" s="177"/>
      <c r="C11159" s="43" t="s">
        <v>11700</v>
      </c>
      <c r="D11159" s="43" t="s">
        <v>1302</v>
      </c>
      <c r="E11159" s="44">
        <v>1.0389999999999999</v>
      </c>
      <c r="F11159" s="38">
        <v>570.71249999999998</v>
      </c>
      <c r="G11159" s="41">
        <f>IF(ISNUMBER(F11159),E11159*F11159,"")</f>
        <v>592.97028749999993</v>
      </c>
      <c r="H11159" s="46">
        <f>SUM(G11159:G11162)</f>
        <v>629.0415784999999</v>
      </c>
      <c r="I11159" s="47"/>
      <c r="J11159" s="37">
        <v>0</v>
      </c>
    </row>
    <row r="11160" spans="1:10" ht="25.5" hidden="1" x14ac:dyDescent="0.25">
      <c r="A11160" s="174"/>
      <c r="B11160" s="177"/>
      <c r="C11160" s="43" t="s">
        <v>10753</v>
      </c>
      <c r="D11160" s="43" t="s">
        <v>2800</v>
      </c>
      <c r="E11160" s="44">
        <v>0.41899999999999998</v>
      </c>
      <c r="F11160" s="38">
        <v>23.997</v>
      </c>
      <c r="G11160" s="41">
        <f>IF(ISNUMBER(F11160),E11160*F11160,"")</f>
        <v>10.054743</v>
      </c>
      <c r="H11160" s="42"/>
      <c r="I11160" s="38"/>
      <c r="J11160" s="37">
        <v>0</v>
      </c>
    </row>
    <row r="11161" spans="1:10" ht="25.5" hidden="1" x14ac:dyDescent="0.25">
      <c r="A11161" s="174"/>
      <c r="B11161" s="177"/>
      <c r="C11161" s="43" t="s">
        <v>10754</v>
      </c>
      <c r="D11161" s="43" t="s">
        <v>2800</v>
      </c>
      <c r="E11161" s="44">
        <v>0.41899999999999998</v>
      </c>
      <c r="F11161" s="41">
        <v>30.361999999999998</v>
      </c>
      <c r="G11161" s="41">
        <f>IF(ISNUMBER(F11161),E11161*F11161,"")</f>
        <v>12.721677999999999</v>
      </c>
      <c r="H11161" s="42"/>
      <c r="I11161" s="38"/>
      <c r="J11161" s="37">
        <v>0</v>
      </c>
    </row>
    <row r="11162" spans="1:10" hidden="1" x14ac:dyDescent="0.25">
      <c r="A11162" s="174"/>
      <c r="B11162" s="177"/>
      <c r="C11162" s="43" t="s">
        <v>10808</v>
      </c>
      <c r="D11162" s="43" t="s">
        <v>2800</v>
      </c>
      <c r="E11162" s="44">
        <v>0.41899999999999998</v>
      </c>
      <c r="F11162" s="41">
        <v>31.729999999999997</v>
      </c>
      <c r="G11162" s="41">
        <f>IF(ISNUMBER(F11162),E11162*F11162,"")</f>
        <v>13.294869999999998</v>
      </c>
      <c r="H11162" s="42"/>
      <c r="I11162" s="38"/>
      <c r="J11162" s="37">
        <v>0</v>
      </c>
    </row>
    <row r="11163" spans="1:10" ht="15.75" hidden="1" thickBot="1" x14ac:dyDescent="0.3">
      <c r="A11163" s="175"/>
      <c r="B11163" s="178"/>
      <c r="C11163" s="49"/>
      <c r="D11163" s="49"/>
      <c r="E11163" s="50"/>
      <c r="F11163" s="51" t="s">
        <v>13</v>
      </c>
      <c r="G11163" s="51" t="str">
        <f>IF(ISNUMBER(F11163),E11163*F11163,"")</f>
        <v/>
      </c>
      <c r="H11163" s="53"/>
      <c r="I11163" s="38"/>
      <c r="J11163" s="37">
        <v>0</v>
      </c>
    </row>
    <row r="11164" spans="1:10" ht="15.75" hidden="1" thickBot="1" x14ac:dyDescent="0.3">
      <c r="A11164" s="173" t="s">
        <v>2743</v>
      </c>
      <c r="B11164" s="176" t="s">
        <v>10277</v>
      </c>
      <c r="C11164" s="31"/>
      <c r="D11164" s="32" t="s">
        <v>18</v>
      </c>
      <c r="E11164" s="33"/>
      <c r="F11164" s="54" t="s">
        <v>13</v>
      </c>
      <c r="G11164" s="34" t="str">
        <f>IF(ISNUMBER(F11164),E11164*F11164,"")</f>
        <v/>
      </c>
      <c r="H11164" s="35"/>
      <c r="I11164" s="36"/>
      <c r="J11164" s="37">
        <v>0</v>
      </c>
    </row>
    <row r="11165" spans="1:10" hidden="1" x14ac:dyDescent="0.25">
      <c r="A11165" s="174"/>
      <c r="B11165" s="177"/>
      <c r="C11165" s="39"/>
      <c r="D11165" s="39"/>
      <c r="E11165" s="40"/>
      <c r="F11165" s="55" t="s">
        <v>13</v>
      </c>
      <c r="G11165" s="38" t="str">
        <f>IF(ISNUMBER(F11165),E11165*F11165,"")</f>
        <v/>
      </c>
      <c r="H11165" s="42"/>
      <c r="I11165" s="38"/>
      <c r="J11165" s="37">
        <v>0</v>
      </c>
    </row>
    <row r="11166" spans="1:10" hidden="1" x14ac:dyDescent="0.25">
      <c r="A11166" s="174"/>
      <c r="B11166" s="177"/>
      <c r="C11166" s="43" t="s">
        <v>10907</v>
      </c>
      <c r="D11166" s="43" t="s">
        <v>83</v>
      </c>
      <c r="E11166" s="44">
        <v>3.0200000000000001E-2</v>
      </c>
      <c r="F11166" s="38">
        <v>14.715499999999999</v>
      </c>
      <c r="G11166" s="41">
        <f>IF(ISNUMBER(F11166),E11166*F11166,"")</f>
        <v>0.44440809999999997</v>
      </c>
      <c r="H11166" s="46">
        <f>SUM(G11166:G11169)</f>
        <v>25.1560095</v>
      </c>
      <c r="I11166" s="47"/>
      <c r="J11166" s="37">
        <v>0</v>
      </c>
    </row>
    <row r="11167" spans="1:10" ht="25.5" hidden="1" x14ac:dyDescent="0.25">
      <c r="A11167" s="174"/>
      <c r="B11167" s="177"/>
      <c r="C11167" s="43" t="s">
        <v>2744</v>
      </c>
      <c r="D11167" s="43" t="s">
        <v>83</v>
      </c>
      <c r="E11167" s="44">
        <v>1</v>
      </c>
      <c r="F11167" s="38" t="s">
        <v>13</v>
      </c>
      <c r="G11167" s="41" t="str">
        <f>IF(ISNUMBER(F11167),E11167*F11167,"")</f>
        <v/>
      </c>
      <c r="H11167" s="42"/>
      <c r="I11167" s="38"/>
      <c r="J11167" s="37">
        <v>0</v>
      </c>
    </row>
    <row r="11168" spans="1:10" ht="25.5" hidden="1" x14ac:dyDescent="0.25">
      <c r="A11168" s="174"/>
      <c r="B11168" s="177"/>
      <c r="C11168" s="43" t="s">
        <v>10753</v>
      </c>
      <c r="D11168" s="43" t="s">
        <v>2800</v>
      </c>
      <c r="E11168" s="44">
        <v>0.4546</v>
      </c>
      <c r="F11168" s="41">
        <v>23.997</v>
      </c>
      <c r="G11168" s="41">
        <f>IF(ISNUMBER(F11168),E11168*F11168,"")</f>
        <v>10.909036199999999</v>
      </c>
      <c r="H11168" s="42"/>
      <c r="I11168" s="38"/>
      <c r="J11168" s="37">
        <v>0</v>
      </c>
    </row>
    <row r="11169" spans="1:10" ht="25.5" hidden="1" x14ac:dyDescent="0.25">
      <c r="A11169" s="174"/>
      <c r="B11169" s="177"/>
      <c r="C11169" s="43" t="s">
        <v>10754</v>
      </c>
      <c r="D11169" s="43" t="s">
        <v>2800</v>
      </c>
      <c r="E11169" s="44">
        <v>0.4546</v>
      </c>
      <c r="F11169" s="41">
        <v>30.361999999999998</v>
      </c>
      <c r="G11169" s="41">
        <f>IF(ISNUMBER(F11169),E11169*F11169,"")</f>
        <v>13.8025652</v>
      </c>
      <c r="H11169" s="42"/>
      <c r="I11169" s="38"/>
      <c r="J11169" s="37">
        <v>0</v>
      </c>
    </row>
    <row r="11170" spans="1:10" ht="15.75" hidden="1" thickBot="1" x14ac:dyDescent="0.3">
      <c r="A11170" s="175"/>
      <c r="B11170" s="178"/>
      <c r="C11170" s="49"/>
      <c r="D11170" s="49"/>
      <c r="E11170" s="50"/>
      <c r="F11170" s="51" t="s">
        <v>13</v>
      </c>
      <c r="G11170" s="51" t="str">
        <f>IF(ISNUMBER(F11170),E11170*F11170,"")</f>
        <v/>
      </c>
      <c r="H11170" s="53"/>
      <c r="I11170" s="38"/>
      <c r="J11170" s="37">
        <v>0</v>
      </c>
    </row>
    <row r="11171" spans="1:10" ht="15.75" hidden="1" thickBot="1" x14ac:dyDescent="0.3">
      <c r="A11171" s="173" t="s">
        <v>2745</v>
      </c>
      <c r="B11171" s="176" t="s">
        <v>10278</v>
      </c>
      <c r="C11171" s="31"/>
      <c r="D11171" s="32" t="s">
        <v>18</v>
      </c>
      <c r="E11171" s="33"/>
      <c r="F11171" s="54" t="s">
        <v>13</v>
      </c>
      <c r="G11171" s="34" t="str">
        <f>IF(ISNUMBER(F11171),E11171*F11171,"")</f>
        <v/>
      </c>
      <c r="H11171" s="35"/>
      <c r="I11171" s="36"/>
      <c r="J11171" s="37">
        <v>0</v>
      </c>
    </row>
    <row r="11172" spans="1:10" hidden="1" x14ac:dyDescent="0.25">
      <c r="A11172" s="174"/>
      <c r="B11172" s="177"/>
      <c r="C11172" s="39"/>
      <c r="D11172" s="39"/>
      <c r="E11172" s="40"/>
      <c r="F11172" s="55" t="s">
        <v>13</v>
      </c>
      <c r="G11172" s="38" t="str">
        <f>IF(ISNUMBER(F11172),E11172*F11172,"")</f>
        <v/>
      </c>
      <c r="H11172" s="42"/>
      <c r="I11172" s="38"/>
      <c r="J11172" s="37">
        <v>0</v>
      </c>
    </row>
    <row r="11173" spans="1:10" hidden="1" x14ac:dyDescent="0.25">
      <c r="A11173" s="174"/>
      <c r="B11173" s="177"/>
      <c r="C11173" s="43" t="s">
        <v>10907</v>
      </c>
      <c r="D11173" s="43" t="s">
        <v>83</v>
      </c>
      <c r="E11173" s="44">
        <v>2.4E-2</v>
      </c>
      <c r="F11173" s="38">
        <v>14.715499999999999</v>
      </c>
      <c r="G11173" s="41">
        <f>IF(ISNUMBER(F11173),E11173*F11173,"")</f>
        <v>0.35317199999999999</v>
      </c>
      <c r="H11173" s="46">
        <f>SUM(G11173:G11176)</f>
        <v>18.824360200000001</v>
      </c>
      <c r="I11173" s="47"/>
      <c r="J11173" s="37">
        <v>0</v>
      </c>
    </row>
    <row r="11174" spans="1:10" ht="25.5" hidden="1" x14ac:dyDescent="0.25">
      <c r="A11174" s="174"/>
      <c r="B11174" s="177"/>
      <c r="C11174" s="43" t="s">
        <v>2746</v>
      </c>
      <c r="D11174" s="43" t="s">
        <v>83</v>
      </c>
      <c r="E11174" s="44">
        <v>1</v>
      </c>
      <c r="F11174" s="38" t="s">
        <v>13</v>
      </c>
      <c r="G11174" s="41" t="str">
        <f>IF(ISNUMBER(F11174),E11174*F11174,"")</f>
        <v/>
      </c>
      <c r="H11174" s="42"/>
      <c r="I11174" s="38"/>
      <c r="J11174" s="37">
        <v>0</v>
      </c>
    </row>
    <row r="11175" spans="1:10" ht="25.5" hidden="1" x14ac:dyDescent="0.25">
      <c r="A11175" s="174"/>
      <c r="B11175" s="177"/>
      <c r="C11175" s="43" t="s">
        <v>10753</v>
      </c>
      <c r="D11175" s="43" t="s">
        <v>2800</v>
      </c>
      <c r="E11175" s="44">
        <v>0.33979999999999999</v>
      </c>
      <c r="F11175" s="41">
        <v>23.997</v>
      </c>
      <c r="G11175" s="41">
        <f>IF(ISNUMBER(F11175),E11175*F11175,"")</f>
        <v>8.1541806000000001</v>
      </c>
      <c r="H11175" s="42"/>
      <c r="I11175" s="38"/>
      <c r="J11175" s="37">
        <v>0</v>
      </c>
    </row>
    <row r="11176" spans="1:10" ht="25.5" hidden="1" x14ac:dyDescent="0.25">
      <c r="A11176" s="174"/>
      <c r="B11176" s="177"/>
      <c r="C11176" s="43" t="s">
        <v>10754</v>
      </c>
      <c r="D11176" s="43" t="s">
        <v>2800</v>
      </c>
      <c r="E11176" s="44">
        <v>0.33979999999999999</v>
      </c>
      <c r="F11176" s="41">
        <v>30.361999999999998</v>
      </c>
      <c r="G11176" s="41">
        <f>IF(ISNUMBER(F11176),E11176*F11176,"")</f>
        <v>10.317007599999998</v>
      </c>
      <c r="H11176" s="42"/>
      <c r="I11176" s="38"/>
      <c r="J11176" s="37">
        <v>0</v>
      </c>
    </row>
    <row r="11177" spans="1:10" ht="15.75" hidden="1" thickBot="1" x14ac:dyDescent="0.3">
      <c r="A11177" s="175"/>
      <c r="B11177" s="178"/>
      <c r="C11177" s="49"/>
      <c r="D11177" s="49"/>
      <c r="E11177" s="50"/>
      <c r="F11177" s="51" t="s">
        <v>13</v>
      </c>
      <c r="G11177" s="51" t="str">
        <f>IF(ISNUMBER(F11177),E11177*F11177,"")</f>
        <v/>
      </c>
      <c r="H11177" s="53"/>
      <c r="I11177" s="38"/>
      <c r="J11177" s="37">
        <v>0</v>
      </c>
    </row>
    <row r="11178" spans="1:10" ht="15.75" hidden="1" thickBot="1" x14ac:dyDescent="0.3">
      <c r="A11178" s="173" t="s">
        <v>2747</v>
      </c>
      <c r="B11178" s="176" t="s">
        <v>10279</v>
      </c>
      <c r="C11178" s="31"/>
      <c r="D11178" s="32" t="s">
        <v>18</v>
      </c>
      <c r="E11178" s="33"/>
      <c r="F11178" s="54" t="s">
        <v>13</v>
      </c>
      <c r="G11178" s="34" t="str">
        <f>IF(ISNUMBER(F11178),E11178*F11178,"")</f>
        <v/>
      </c>
      <c r="H11178" s="35"/>
      <c r="I11178" s="36"/>
      <c r="J11178" s="37">
        <v>0</v>
      </c>
    </row>
    <row r="11179" spans="1:10" hidden="1" x14ac:dyDescent="0.25">
      <c r="A11179" s="174"/>
      <c r="B11179" s="177"/>
      <c r="C11179" s="39"/>
      <c r="D11179" s="39"/>
      <c r="E11179" s="40"/>
      <c r="F11179" s="55" t="s">
        <v>13</v>
      </c>
      <c r="G11179" s="38" t="str">
        <f>IF(ISNUMBER(F11179),E11179*F11179,"")</f>
        <v/>
      </c>
      <c r="H11179" s="42"/>
      <c r="I11179" s="38"/>
      <c r="J11179" s="37">
        <v>0</v>
      </c>
    </row>
    <row r="11180" spans="1:10" hidden="1" x14ac:dyDescent="0.25">
      <c r="A11180" s="174"/>
      <c r="B11180" s="177"/>
      <c r="C11180" s="43" t="s">
        <v>10907</v>
      </c>
      <c r="D11180" s="43" t="s">
        <v>83</v>
      </c>
      <c r="E11180" s="44">
        <v>4.5199999999999997E-2</v>
      </c>
      <c r="F11180" s="38">
        <v>14.715499999999999</v>
      </c>
      <c r="G11180" s="41">
        <f>IF(ISNUMBER(F11180),E11180*F11180,"")</f>
        <v>0.66514059999999986</v>
      </c>
      <c r="H11180" s="46">
        <f>SUM(G11180:G11183)</f>
        <v>39.939518100000001</v>
      </c>
      <c r="I11180" s="47"/>
      <c r="J11180" s="37">
        <v>0</v>
      </c>
    </row>
    <row r="11181" spans="1:10" ht="25.5" hidden="1" x14ac:dyDescent="0.25">
      <c r="A11181" s="174"/>
      <c r="B11181" s="177"/>
      <c r="C11181" s="43" t="s">
        <v>2748</v>
      </c>
      <c r="D11181" s="43" t="s">
        <v>83</v>
      </c>
      <c r="E11181" s="44">
        <v>1</v>
      </c>
      <c r="F11181" s="38" t="s">
        <v>13</v>
      </c>
      <c r="G11181" s="41" t="str">
        <f>IF(ISNUMBER(F11181),E11181*F11181,"")</f>
        <v/>
      </c>
      <c r="H11181" s="42"/>
      <c r="I11181" s="38"/>
      <c r="J11181" s="37">
        <v>0</v>
      </c>
    </row>
    <row r="11182" spans="1:10" ht="25.5" hidden="1" x14ac:dyDescent="0.25">
      <c r="A11182" s="174"/>
      <c r="B11182" s="177"/>
      <c r="C11182" s="43" t="s">
        <v>10753</v>
      </c>
      <c r="D11182" s="43" t="s">
        <v>2800</v>
      </c>
      <c r="E11182" s="44">
        <v>0.72250000000000003</v>
      </c>
      <c r="F11182" s="41">
        <v>23.997</v>
      </c>
      <c r="G11182" s="41">
        <f>IF(ISNUMBER(F11182),E11182*F11182,"")</f>
        <v>17.337832500000001</v>
      </c>
      <c r="H11182" s="42"/>
      <c r="I11182" s="38"/>
      <c r="J11182" s="37">
        <v>0</v>
      </c>
    </row>
    <row r="11183" spans="1:10" ht="25.5" hidden="1" x14ac:dyDescent="0.25">
      <c r="A11183" s="174"/>
      <c r="B11183" s="177"/>
      <c r="C11183" s="43" t="s">
        <v>10754</v>
      </c>
      <c r="D11183" s="43" t="s">
        <v>2800</v>
      </c>
      <c r="E11183" s="44">
        <v>0.72250000000000003</v>
      </c>
      <c r="F11183" s="41">
        <v>30.361999999999998</v>
      </c>
      <c r="G11183" s="41">
        <f>IF(ISNUMBER(F11183),E11183*F11183,"")</f>
        <v>21.936544999999999</v>
      </c>
      <c r="H11183" s="42"/>
      <c r="I11183" s="38"/>
      <c r="J11183" s="37">
        <v>0</v>
      </c>
    </row>
    <row r="11184" spans="1:10" ht="15.75" hidden="1" thickBot="1" x14ac:dyDescent="0.3">
      <c r="A11184" s="175"/>
      <c r="B11184" s="178"/>
      <c r="C11184" s="49"/>
      <c r="D11184" s="49"/>
      <c r="E11184" s="50"/>
      <c r="F11184" s="51" t="s">
        <v>13</v>
      </c>
      <c r="G11184" s="51" t="str">
        <f>IF(ISNUMBER(F11184),E11184*F11184,"")</f>
        <v/>
      </c>
      <c r="H11184" s="53"/>
      <c r="I11184" s="38"/>
      <c r="J11184" s="37">
        <v>0</v>
      </c>
    </row>
    <row r="11185" spans="1:10" ht="15.75" hidden="1" thickBot="1" x14ac:dyDescent="0.3">
      <c r="A11185" s="173" t="s">
        <v>2749</v>
      </c>
      <c r="B11185" s="176" t="s">
        <v>10280</v>
      </c>
      <c r="C11185" s="31"/>
      <c r="D11185" s="32" t="s">
        <v>18</v>
      </c>
      <c r="E11185" s="33"/>
      <c r="F11185" s="54" t="s">
        <v>13</v>
      </c>
      <c r="G11185" s="34" t="str">
        <f>IF(ISNUMBER(F11185),E11185*F11185,"")</f>
        <v/>
      </c>
      <c r="H11185" s="35"/>
      <c r="I11185" s="36"/>
      <c r="J11185" s="37">
        <v>0</v>
      </c>
    </row>
    <row r="11186" spans="1:10" hidden="1" x14ac:dyDescent="0.25">
      <c r="A11186" s="174"/>
      <c r="B11186" s="177"/>
      <c r="C11186" s="39"/>
      <c r="D11186" s="39"/>
      <c r="E11186" s="40"/>
      <c r="F11186" s="55" t="s">
        <v>13</v>
      </c>
      <c r="G11186" s="38" t="str">
        <f>IF(ISNUMBER(F11186),E11186*F11186,"")</f>
        <v/>
      </c>
      <c r="H11186" s="42"/>
      <c r="I11186" s="38"/>
      <c r="J11186" s="37">
        <v>0</v>
      </c>
    </row>
    <row r="11187" spans="1:10" hidden="1" x14ac:dyDescent="0.25">
      <c r="A11187" s="174"/>
      <c r="B11187" s="177"/>
      <c r="C11187" s="43" t="s">
        <v>10907</v>
      </c>
      <c r="D11187" s="43" t="s">
        <v>83</v>
      </c>
      <c r="E11187" s="44">
        <v>4.5199999999999997E-2</v>
      </c>
      <c r="F11187" s="38">
        <v>14.715499999999999</v>
      </c>
      <c r="G11187" s="41">
        <f>IF(ISNUMBER(F11187),E11187*F11187,"")</f>
        <v>0.66514059999999986</v>
      </c>
      <c r="H11187" s="46">
        <f>SUM(G11187:G11190)</f>
        <v>39.939518100000001</v>
      </c>
      <c r="I11187" s="47"/>
      <c r="J11187" s="37">
        <v>0</v>
      </c>
    </row>
    <row r="11188" spans="1:10" ht="25.5" hidden="1" x14ac:dyDescent="0.25">
      <c r="A11188" s="174"/>
      <c r="B11188" s="177"/>
      <c r="C11188" s="43" t="s">
        <v>2750</v>
      </c>
      <c r="D11188" s="43" t="s">
        <v>83</v>
      </c>
      <c r="E11188" s="44">
        <v>1</v>
      </c>
      <c r="F11188" s="38" t="s">
        <v>13</v>
      </c>
      <c r="G11188" s="41" t="str">
        <f>IF(ISNUMBER(F11188),E11188*F11188,"")</f>
        <v/>
      </c>
      <c r="H11188" s="42"/>
      <c r="I11188" s="38"/>
      <c r="J11188" s="37">
        <v>0</v>
      </c>
    </row>
    <row r="11189" spans="1:10" ht="25.5" hidden="1" x14ac:dyDescent="0.25">
      <c r="A11189" s="174"/>
      <c r="B11189" s="177"/>
      <c r="C11189" s="43" t="s">
        <v>10753</v>
      </c>
      <c r="D11189" s="43" t="s">
        <v>2800</v>
      </c>
      <c r="E11189" s="44">
        <v>0.72250000000000003</v>
      </c>
      <c r="F11189" s="41">
        <v>23.997</v>
      </c>
      <c r="G11189" s="41">
        <f>IF(ISNUMBER(F11189),E11189*F11189,"")</f>
        <v>17.337832500000001</v>
      </c>
      <c r="H11189" s="42"/>
      <c r="I11189" s="38"/>
      <c r="J11189" s="37">
        <v>0</v>
      </c>
    </row>
    <row r="11190" spans="1:10" ht="25.5" hidden="1" x14ac:dyDescent="0.25">
      <c r="A11190" s="174"/>
      <c r="B11190" s="177"/>
      <c r="C11190" s="43" t="s">
        <v>10754</v>
      </c>
      <c r="D11190" s="43" t="s">
        <v>2800</v>
      </c>
      <c r="E11190" s="44">
        <v>0.72250000000000003</v>
      </c>
      <c r="F11190" s="41">
        <v>30.361999999999998</v>
      </c>
      <c r="G11190" s="41">
        <f>IF(ISNUMBER(F11190),E11190*F11190,"")</f>
        <v>21.936544999999999</v>
      </c>
      <c r="H11190" s="42"/>
      <c r="I11190" s="38"/>
      <c r="J11190" s="37">
        <v>0</v>
      </c>
    </row>
    <row r="11191" spans="1:10" ht="15.75" hidden="1" thickBot="1" x14ac:dyDescent="0.3">
      <c r="A11191" s="175"/>
      <c r="B11191" s="178"/>
      <c r="C11191" s="49"/>
      <c r="D11191" s="49"/>
      <c r="E11191" s="50"/>
      <c r="F11191" s="51" t="s">
        <v>13</v>
      </c>
      <c r="G11191" s="51" t="str">
        <f>IF(ISNUMBER(F11191),E11191*F11191,"")</f>
        <v/>
      </c>
      <c r="H11191" s="53"/>
      <c r="I11191" s="38"/>
      <c r="J11191" s="37">
        <v>0</v>
      </c>
    </row>
    <row r="11192" spans="1:10" ht="15.75" hidden="1" thickBot="1" x14ac:dyDescent="0.3">
      <c r="A11192" s="173" t="s">
        <v>2751</v>
      </c>
      <c r="B11192" s="176" t="s">
        <v>10281</v>
      </c>
      <c r="C11192" s="31"/>
      <c r="D11192" s="32" t="s">
        <v>106</v>
      </c>
      <c r="E11192" s="33"/>
      <c r="F11192" s="60" t="s">
        <v>13</v>
      </c>
      <c r="G11192" s="34" t="str">
        <f>IF(ISNUMBER(F11192),E11192*F11192,"")</f>
        <v/>
      </c>
      <c r="H11192" s="35"/>
      <c r="I11192" s="36"/>
      <c r="J11192" s="37">
        <v>0</v>
      </c>
    </row>
    <row r="11193" spans="1:10" hidden="1" x14ac:dyDescent="0.25">
      <c r="A11193" s="179"/>
      <c r="B11193" s="177"/>
      <c r="C11193" s="39"/>
      <c r="D11193" s="39"/>
      <c r="E11193" s="40"/>
      <c r="F11193" s="70" t="s">
        <v>13</v>
      </c>
      <c r="G11193" s="70" t="str">
        <f>IF(ISNUMBER(F11193),E11193*F11193,"")</f>
        <v/>
      </c>
      <c r="H11193" s="71"/>
      <c r="I11193" s="72"/>
      <c r="J11193" s="37">
        <v>0</v>
      </c>
    </row>
    <row r="11194" spans="1:10" hidden="1" x14ac:dyDescent="0.25">
      <c r="A11194" s="179"/>
      <c r="B11194" s="177"/>
      <c r="C11194" s="43" t="s">
        <v>10614</v>
      </c>
      <c r="D11194" s="43" t="s">
        <v>2800</v>
      </c>
      <c r="E11194" s="44">
        <f>0.474/3</f>
        <v>0.158</v>
      </c>
      <c r="F11194" s="38">
        <v>23.693000000000001</v>
      </c>
      <c r="G11194" s="70">
        <f>IF(ISNUMBER(F11194),E11194*F11194,"")</f>
        <v>3.7434940000000001</v>
      </c>
      <c r="H11194" s="46">
        <f>SUM(G11194:G11195)</f>
        <v>8.396210833333333</v>
      </c>
      <c r="I11194" s="47"/>
      <c r="J11194" s="37">
        <v>0</v>
      </c>
    </row>
    <row r="11195" spans="1:10" hidden="1" x14ac:dyDescent="0.25">
      <c r="A11195" s="179"/>
      <c r="B11195" s="177"/>
      <c r="C11195" s="43" t="s">
        <v>10831</v>
      </c>
      <c r="D11195" s="43" t="s">
        <v>2800</v>
      </c>
      <c r="E11195" s="44">
        <f>0.487/3</f>
        <v>0.16233333333333333</v>
      </c>
      <c r="F11195" s="38">
        <v>28.6615</v>
      </c>
      <c r="G11195" s="70">
        <f>IF(ISNUMBER(F11195),E11195*F11195,"")</f>
        <v>4.6527168333333329</v>
      </c>
      <c r="H11195" s="71"/>
      <c r="I11195" s="72"/>
      <c r="J11195" s="37">
        <v>0</v>
      </c>
    </row>
    <row r="11196" spans="1:10" ht="15.75" hidden="1" thickBot="1" x14ac:dyDescent="0.3">
      <c r="A11196" s="180"/>
      <c r="B11196" s="178"/>
      <c r="C11196" s="49"/>
      <c r="D11196" s="63"/>
      <c r="E11196" s="50"/>
      <c r="F11196" s="83" t="s">
        <v>13</v>
      </c>
      <c r="G11196" s="83" t="str">
        <f>IF(ISNUMBER(F11196),E11196*F11196,"")</f>
        <v/>
      </c>
      <c r="H11196" s="84"/>
      <c r="I11196" s="72"/>
      <c r="J11196" s="37">
        <v>0</v>
      </c>
    </row>
    <row r="11197" spans="1:10" ht="15.75" hidden="1" thickBot="1" x14ac:dyDescent="0.3">
      <c r="A11197" s="173" t="s">
        <v>2752</v>
      </c>
      <c r="B11197" s="176" t="s">
        <v>2753</v>
      </c>
      <c r="C11197" s="31"/>
      <c r="D11197" s="32" t="s">
        <v>68</v>
      </c>
      <c r="E11197" s="33"/>
      <c r="F11197" s="54" t="s">
        <v>13</v>
      </c>
      <c r="G11197" s="34" t="str">
        <f>IF(ISNUMBER(F11197),E11197*F11197,"")</f>
        <v/>
      </c>
      <c r="H11197" s="35"/>
      <c r="I11197" s="36"/>
      <c r="J11197" s="37">
        <v>0</v>
      </c>
    </row>
    <row r="11198" spans="1:10" hidden="1" x14ac:dyDescent="0.25">
      <c r="A11198" s="174"/>
      <c r="B11198" s="177"/>
      <c r="C11198" s="39"/>
      <c r="D11198" s="39"/>
      <c r="E11198" s="40"/>
      <c r="F11198" s="55" t="s">
        <v>13</v>
      </c>
      <c r="G11198" s="38" t="str">
        <f>IF(ISNUMBER(F11198),E11198*F11198,"")</f>
        <v/>
      </c>
      <c r="H11198" s="42"/>
      <c r="I11198" s="38"/>
      <c r="J11198" s="37">
        <v>0</v>
      </c>
    </row>
    <row r="11199" spans="1:10" hidden="1" x14ac:dyDescent="0.25">
      <c r="A11199" s="174"/>
      <c r="B11199" s="177"/>
      <c r="C11199" s="43" t="s">
        <v>10831</v>
      </c>
      <c r="D11199" s="43" t="s">
        <v>2800</v>
      </c>
      <c r="E11199" s="44">
        <v>0.15</v>
      </c>
      <c r="F11199" s="38">
        <v>28.6615</v>
      </c>
      <c r="G11199" s="41">
        <f>IF(ISNUMBER(F11199),E11199*F11199,"")</f>
        <v>4.2992249999999999</v>
      </c>
      <c r="H11199" s="46">
        <f>SUM(G11199:G11200)</f>
        <v>4.2992249999999999</v>
      </c>
      <c r="I11199" s="47"/>
      <c r="J11199" s="37">
        <v>0</v>
      </c>
    </row>
    <row r="11200" spans="1:10" hidden="1" x14ac:dyDescent="0.25">
      <c r="A11200" s="174"/>
      <c r="B11200" s="177"/>
      <c r="C11200" s="43" t="s">
        <v>2753</v>
      </c>
      <c r="D11200" s="43" t="s">
        <v>68</v>
      </c>
      <c r="E11200" s="44">
        <v>1</v>
      </c>
      <c r="F11200" s="41" t="s">
        <v>13</v>
      </c>
      <c r="G11200" s="38" t="str">
        <f>IF(ISNUMBER(F11200),E11200*F11200,"")</f>
        <v/>
      </c>
      <c r="H11200" s="42"/>
      <c r="I11200" s="38"/>
      <c r="J11200" s="37">
        <v>0</v>
      </c>
    </row>
    <row r="11201" spans="1:10" ht="15.75" hidden="1" thickBot="1" x14ac:dyDescent="0.3">
      <c r="A11201" s="175"/>
      <c r="B11201" s="178"/>
      <c r="C11201" s="49"/>
      <c r="D11201" s="49"/>
      <c r="E11201" s="50"/>
      <c r="F11201" s="51" t="s">
        <v>13</v>
      </c>
      <c r="G11201" s="51" t="str">
        <f>IF(ISNUMBER(F11201),E11201*F11201,"")</f>
        <v/>
      </c>
      <c r="H11201" s="53"/>
      <c r="I11201" s="38"/>
      <c r="J11201" s="37">
        <v>0</v>
      </c>
    </row>
    <row r="11202" spans="1:10" ht="15.75" hidden="1" thickBot="1" x14ac:dyDescent="0.3">
      <c r="A11202" s="173" t="s">
        <v>2754</v>
      </c>
      <c r="B11202" s="176" t="s">
        <v>10282</v>
      </c>
      <c r="C11202" s="31"/>
      <c r="D11202" s="32" t="s">
        <v>106</v>
      </c>
      <c r="E11202" s="33"/>
      <c r="F11202" s="60" t="s">
        <v>13</v>
      </c>
      <c r="G11202" s="34" t="str">
        <f>IF(ISNUMBER(F11202),E11202*F11202,"")</f>
        <v/>
      </c>
      <c r="H11202" s="35"/>
      <c r="I11202" s="36"/>
      <c r="J11202" s="37">
        <v>0</v>
      </c>
    </row>
    <row r="11203" spans="1:10" hidden="1" x14ac:dyDescent="0.25">
      <c r="A11203" s="179"/>
      <c r="B11203" s="177"/>
      <c r="C11203" s="39"/>
      <c r="D11203" s="39"/>
      <c r="E11203" s="40"/>
      <c r="F11203" s="70" t="s">
        <v>13</v>
      </c>
      <c r="G11203" s="70" t="str">
        <f>IF(ISNUMBER(F11203),E11203*F11203,"")</f>
        <v/>
      </c>
      <c r="H11203" s="71"/>
      <c r="I11203" s="72"/>
      <c r="J11203" s="37">
        <v>0</v>
      </c>
    </row>
    <row r="11204" spans="1:10" hidden="1" x14ac:dyDescent="0.25">
      <c r="A11204" s="179"/>
      <c r="B11204" s="177"/>
      <c r="C11204" s="43" t="s">
        <v>10614</v>
      </c>
      <c r="D11204" s="43" t="s">
        <v>2800</v>
      </c>
      <c r="E11204" s="44">
        <f>0.346/2</f>
        <v>0.17299999999999999</v>
      </c>
      <c r="F11204" s="38">
        <v>23.693000000000001</v>
      </c>
      <c r="G11204" s="70">
        <f>IF(ISNUMBER(F11204),E11204*F11204,"")</f>
        <v>4.0988889999999998</v>
      </c>
      <c r="H11204" s="46">
        <f>SUM(G11204:G11205)</f>
        <v>9.2006359999999994</v>
      </c>
      <c r="I11204" s="47"/>
      <c r="J11204" s="37">
        <v>0</v>
      </c>
    </row>
    <row r="11205" spans="1:10" hidden="1" x14ac:dyDescent="0.25">
      <c r="A11205" s="179"/>
      <c r="B11205" s="177"/>
      <c r="C11205" s="43" t="s">
        <v>10831</v>
      </c>
      <c r="D11205" s="43" t="s">
        <v>2800</v>
      </c>
      <c r="E11205" s="44">
        <f>0.356/2</f>
        <v>0.17799999999999999</v>
      </c>
      <c r="F11205" s="38">
        <v>28.6615</v>
      </c>
      <c r="G11205" s="70">
        <f>IF(ISNUMBER(F11205),E11205*F11205,"")</f>
        <v>5.1017469999999996</v>
      </c>
      <c r="H11205" s="71"/>
      <c r="I11205" s="72"/>
      <c r="J11205" s="37">
        <v>0</v>
      </c>
    </row>
    <row r="11206" spans="1:10" ht="15.75" hidden="1" thickBot="1" x14ac:dyDescent="0.3">
      <c r="A11206" s="180"/>
      <c r="B11206" s="178"/>
      <c r="C11206" s="49"/>
      <c r="D11206" s="63"/>
      <c r="E11206" s="50"/>
      <c r="F11206" s="83" t="s">
        <v>13</v>
      </c>
      <c r="G11206" s="83" t="str">
        <f>IF(ISNUMBER(F11206),E11206*F11206,"")</f>
        <v/>
      </c>
      <c r="H11206" s="84"/>
      <c r="I11206" s="72"/>
      <c r="J11206" s="37">
        <v>0</v>
      </c>
    </row>
    <row r="11207" spans="1:10" ht="15.75" hidden="1" thickBot="1" x14ac:dyDescent="0.3">
      <c r="A11207" s="173" t="s">
        <v>2755</v>
      </c>
      <c r="B11207" s="176" t="s">
        <v>2756</v>
      </c>
      <c r="C11207" s="31"/>
      <c r="D11207" s="32" t="s">
        <v>68</v>
      </c>
      <c r="E11207" s="33"/>
      <c r="F11207" s="54" t="s">
        <v>13</v>
      </c>
      <c r="G11207" s="34" t="str">
        <f>IF(ISNUMBER(F11207),E11207*F11207,"")</f>
        <v/>
      </c>
      <c r="H11207" s="35"/>
      <c r="I11207" s="36"/>
      <c r="J11207" s="37">
        <v>0</v>
      </c>
    </row>
    <row r="11208" spans="1:10" hidden="1" x14ac:dyDescent="0.25">
      <c r="A11208" s="174"/>
      <c r="B11208" s="177"/>
      <c r="C11208" s="39"/>
      <c r="D11208" s="39"/>
      <c r="E11208" s="40"/>
      <c r="F11208" s="55" t="s">
        <v>13</v>
      </c>
      <c r="G11208" s="38" t="str">
        <f>IF(ISNUMBER(F11208),E11208*F11208,"")</f>
        <v/>
      </c>
      <c r="H11208" s="42"/>
      <c r="I11208" s="38"/>
      <c r="J11208" s="37">
        <v>0</v>
      </c>
    </row>
    <row r="11209" spans="1:10" hidden="1" x14ac:dyDescent="0.25">
      <c r="A11209" s="174"/>
      <c r="B11209" s="177"/>
      <c r="C11209" s="43" t="s">
        <v>10831</v>
      </c>
      <c r="D11209" s="43" t="s">
        <v>2800</v>
      </c>
      <c r="E11209" s="44">
        <v>0.15</v>
      </c>
      <c r="F11209" s="38">
        <v>28.6615</v>
      </c>
      <c r="G11209" s="41">
        <f>IF(ISNUMBER(F11209),E11209*F11209,"")</f>
        <v>4.2992249999999999</v>
      </c>
      <c r="H11209" s="46">
        <f>SUM(G11209:G11210)</f>
        <v>4.2992249999999999</v>
      </c>
      <c r="I11209" s="47"/>
      <c r="J11209" s="37">
        <v>0</v>
      </c>
    </row>
    <row r="11210" spans="1:10" hidden="1" x14ac:dyDescent="0.25">
      <c r="A11210" s="174"/>
      <c r="B11210" s="177"/>
      <c r="C11210" s="43" t="s">
        <v>2756</v>
      </c>
      <c r="D11210" s="43" t="s">
        <v>68</v>
      </c>
      <c r="E11210" s="44">
        <v>1</v>
      </c>
      <c r="F11210" s="41" t="s">
        <v>13</v>
      </c>
      <c r="G11210" s="38" t="str">
        <f>IF(ISNUMBER(F11210),E11210*F11210,"")</f>
        <v/>
      </c>
      <c r="H11210" s="42"/>
      <c r="I11210" s="38"/>
      <c r="J11210" s="37">
        <v>0</v>
      </c>
    </row>
    <row r="11211" spans="1:10" ht="15.75" hidden="1" thickBot="1" x14ac:dyDescent="0.3">
      <c r="A11211" s="175"/>
      <c r="B11211" s="178"/>
      <c r="C11211" s="49"/>
      <c r="D11211" s="49"/>
      <c r="E11211" s="50"/>
      <c r="F11211" s="51" t="s">
        <v>13</v>
      </c>
      <c r="G11211" s="51" t="str">
        <f>IF(ISNUMBER(F11211),E11211*F11211,"")</f>
        <v/>
      </c>
      <c r="H11211" s="53"/>
      <c r="I11211" s="38"/>
      <c r="J11211" s="37">
        <v>0</v>
      </c>
    </row>
    <row r="11212" spans="1:10" ht="15.75" hidden="1" thickBot="1" x14ac:dyDescent="0.3">
      <c r="A11212" s="173" t="s">
        <v>2757</v>
      </c>
      <c r="B11212" s="176" t="s">
        <v>10285</v>
      </c>
      <c r="C11212" s="31"/>
      <c r="D11212" s="32" t="s">
        <v>18</v>
      </c>
      <c r="E11212" s="33"/>
      <c r="F11212" s="60" t="s">
        <v>13</v>
      </c>
      <c r="G11212" s="34" t="str">
        <f>IF(ISNUMBER(F11212),E11212*F11212,"")</f>
        <v/>
      </c>
      <c r="H11212" s="35"/>
      <c r="I11212" s="36"/>
      <c r="J11212" s="37">
        <v>0</v>
      </c>
    </row>
    <row r="11213" spans="1:10" hidden="1" x14ac:dyDescent="0.25">
      <c r="A11213" s="179"/>
      <c r="B11213" s="177"/>
      <c r="C11213" s="39"/>
      <c r="D11213" s="39"/>
      <c r="E11213" s="40"/>
      <c r="F11213" s="70" t="s">
        <v>13</v>
      </c>
      <c r="G11213" s="70" t="str">
        <f>IF(ISNUMBER(F11213),E11213*F11213,"")</f>
        <v/>
      </c>
      <c r="H11213" s="71"/>
      <c r="I11213" s="72"/>
      <c r="J11213" s="37">
        <v>0</v>
      </c>
    </row>
    <row r="11214" spans="1:10" ht="38.25" hidden="1" x14ac:dyDescent="0.25">
      <c r="A11214" s="179"/>
      <c r="B11214" s="177"/>
      <c r="C11214" s="43" t="s">
        <v>10952</v>
      </c>
      <c r="D11214" s="43" t="s">
        <v>1050</v>
      </c>
      <c r="E11214" s="44">
        <f>54089*0.0021</f>
        <v>113.5869</v>
      </c>
      <c r="F11214" s="38">
        <v>328.45299999999997</v>
      </c>
      <c r="G11214" s="70">
        <f>IF(ISNUMBER(F11214),E11214*F11214,"")</f>
        <v>37307.958065699997</v>
      </c>
      <c r="H11214" s="46">
        <f>SUM(G11214:G11240)</f>
        <v>896757.95903154998</v>
      </c>
      <c r="I11214" s="47"/>
      <c r="J11214" s="37">
        <v>0</v>
      </c>
    </row>
    <row r="11215" spans="1:10" ht="38.25" hidden="1" x14ac:dyDescent="0.25">
      <c r="A11215" s="179"/>
      <c r="B11215" s="177"/>
      <c r="C11215" s="43" t="s">
        <v>10953</v>
      </c>
      <c r="D11215" s="43" t="s">
        <v>10677</v>
      </c>
      <c r="E11215" s="44">
        <f>54089*0.0109</f>
        <v>589.57010000000002</v>
      </c>
      <c r="F11215" s="41">
        <v>167.39949999999999</v>
      </c>
      <c r="G11215" s="41">
        <f>IF(ISNUMBER(F11215),E11215*F11215,"")</f>
        <v>98693.739954949997</v>
      </c>
      <c r="H11215" s="42"/>
      <c r="I11215" s="38"/>
      <c r="J11215" s="37">
        <v>0</v>
      </c>
    </row>
    <row r="11216" spans="1:10" hidden="1" x14ac:dyDescent="0.25">
      <c r="A11216" s="179"/>
      <c r="B11216" s="177"/>
      <c r="C11216" s="43" t="s">
        <v>10846</v>
      </c>
      <c r="D11216" s="43" t="s">
        <v>1044</v>
      </c>
      <c r="E11216" s="44">
        <f>54089*0.049</f>
        <v>2650.3609999999999</v>
      </c>
      <c r="F11216" s="38">
        <v>41.8</v>
      </c>
      <c r="G11216" s="70">
        <f>IF(ISNUMBER(F11216),E11216*F11216,"")</f>
        <v>110785.08979999999</v>
      </c>
      <c r="H11216" s="57"/>
      <c r="I11216" s="47"/>
      <c r="J11216" s="37">
        <v>0</v>
      </c>
    </row>
    <row r="11217" spans="1:10" hidden="1" x14ac:dyDescent="0.25">
      <c r="A11217" s="179"/>
      <c r="B11217" s="177"/>
      <c r="C11217" s="43" t="s">
        <v>10808</v>
      </c>
      <c r="D11217" s="43" t="s">
        <v>2800</v>
      </c>
      <c r="E11217" s="44">
        <f>54089*0.02</f>
        <v>1081.78</v>
      </c>
      <c r="F11217" s="38">
        <v>31.729999999999997</v>
      </c>
      <c r="G11217" s="70">
        <f>IF(ISNUMBER(F11217),E11217*F11217,"")</f>
        <v>34324.879399999998</v>
      </c>
      <c r="H11217" s="57"/>
      <c r="I11217" s="47"/>
      <c r="J11217" s="37">
        <v>0</v>
      </c>
    </row>
    <row r="11218" spans="1:10" ht="25.5" hidden="1" x14ac:dyDescent="0.25">
      <c r="A11218" s="179"/>
      <c r="B11218" s="177"/>
      <c r="C11218" s="43" t="s">
        <v>10843</v>
      </c>
      <c r="D11218" s="43" t="s">
        <v>2800</v>
      </c>
      <c r="E11218" s="44">
        <f>54089*0.1</f>
        <v>5408.9000000000005</v>
      </c>
      <c r="F11218" s="38">
        <v>23.388999999999999</v>
      </c>
      <c r="G11218" s="70">
        <f>IF(ISNUMBER(F11218),E11218*F11218,"")</f>
        <v>126508.76210000001</v>
      </c>
      <c r="H11218" s="57"/>
      <c r="I11218" s="47"/>
      <c r="J11218" s="37">
        <v>0</v>
      </c>
    </row>
    <row r="11219" spans="1:10" ht="25.5" hidden="1" x14ac:dyDescent="0.25">
      <c r="A11219" s="179"/>
      <c r="B11219" s="177"/>
      <c r="C11219" s="43" t="s">
        <v>10825</v>
      </c>
      <c r="D11219" s="43" t="s">
        <v>2800</v>
      </c>
      <c r="E11219" s="44">
        <f>54089*0.3</f>
        <v>16226.699999999999</v>
      </c>
      <c r="F11219" s="38">
        <v>25.383999999999997</v>
      </c>
      <c r="G11219" s="70">
        <f>IF(ISNUMBER(F11219),E11219*F11219,"")</f>
        <v>411898.55279999995</v>
      </c>
      <c r="H11219" s="57"/>
      <c r="I11219" s="47"/>
      <c r="J11219" s="37">
        <v>0</v>
      </c>
    </row>
    <row r="11220" spans="1:10" hidden="1" x14ac:dyDescent="0.25">
      <c r="A11220" s="179"/>
      <c r="B11220" s="177"/>
      <c r="C11220" s="43" t="s">
        <v>10673</v>
      </c>
      <c r="D11220" s="43" t="s">
        <v>70</v>
      </c>
      <c r="E11220" s="44">
        <f>54089*0.003*3.6</f>
        <v>584.16120000000001</v>
      </c>
      <c r="F11220" s="38">
        <v>48.221999999999994</v>
      </c>
      <c r="G11220" s="70">
        <f>IF(ISNUMBER(F11220),E11220*F11220,"")</f>
        <v>28169.421386399998</v>
      </c>
      <c r="H11220" s="57"/>
      <c r="I11220" s="47"/>
      <c r="J11220" s="37">
        <v>0</v>
      </c>
    </row>
    <row r="11221" spans="1:10" hidden="1" x14ac:dyDescent="0.25">
      <c r="A11221" s="179"/>
      <c r="B11221" s="177"/>
      <c r="C11221" s="43" t="s">
        <v>10844</v>
      </c>
      <c r="D11221" s="43" t="s">
        <v>2800</v>
      </c>
      <c r="E11221" s="44">
        <f>54089*0.02</f>
        <v>1081.78</v>
      </c>
      <c r="F11221" s="38">
        <v>25.1845</v>
      </c>
      <c r="G11221" s="70">
        <f>IF(ISNUMBER(F11221),E11221*F11221,"")</f>
        <v>27244.08841</v>
      </c>
      <c r="H11221" s="57"/>
      <c r="I11221" s="47"/>
      <c r="J11221" s="37">
        <v>0</v>
      </c>
    </row>
    <row r="11222" spans="1:10" ht="25.5" hidden="1" x14ac:dyDescent="0.25">
      <c r="A11222" s="179"/>
      <c r="B11222" s="177"/>
      <c r="C11222" s="43" t="s">
        <v>11865</v>
      </c>
      <c r="D11222" s="43" t="s">
        <v>83</v>
      </c>
      <c r="E11222" s="44">
        <f>54089*0.003</f>
        <v>162.267</v>
      </c>
      <c r="F11222" s="38">
        <v>4.0754999999999999</v>
      </c>
      <c r="G11222" s="70">
        <f>IF(ISNUMBER(F11222),E11222*F11222,"")</f>
        <v>661.31915849999996</v>
      </c>
      <c r="H11222" s="57"/>
      <c r="I11222" s="47"/>
      <c r="J11222" s="37">
        <v>0</v>
      </c>
    </row>
    <row r="11223" spans="1:10" ht="25.5" hidden="1" x14ac:dyDescent="0.25">
      <c r="A11223" s="179"/>
      <c r="B11223" s="177"/>
      <c r="C11223" s="43" t="s">
        <v>82</v>
      </c>
      <c r="D11223" s="43" t="s">
        <v>83</v>
      </c>
      <c r="E11223" s="44">
        <f>54089*0.2219/7396.43</f>
        <v>1.6227219212511981</v>
      </c>
      <c r="F11223" s="38" t="s">
        <v>13</v>
      </c>
      <c r="G11223" s="70" t="str">
        <f>IF(ISNUMBER(F11223),E11223*F11223,"")</f>
        <v/>
      </c>
      <c r="H11223" s="57"/>
      <c r="I11223" s="47"/>
      <c r="J11223" s="37">
        <v>0</v>
      </c>
    </row>
    <row r="11224" spans="1:10" ht="25.5" hidden="1" x14ac:dyDescent="0.25">
      <c r="A11224" s="179"/>
      <c r="B11224" s="177"/>
      <c r="C11224" s="43" t="s">
        <v>11866</v>
      </c>
      <c r="D11224" s="43" t="s">
        <v>1044</v>
      </c>
      <c r="E11224" s="44">
        <f>54089*0.014</f>
        <v>757.24599999999998</v>
      </c>
      <c r="F11224" s="38">
        <v>8.4169999999999998</v>
      </c>
      <c r="G11224" s="70">
        <f>IF(ISNUMBER(F11224),E11224*F11224,"")</f>
        <v>6373.7395819999992</v>
      </c>
      <c r="H11224" s="57"/>
      <c r="I11224" s="47"/>
      <c r="J11224" s="37">
        <v>0</v>
      </c>
    </row>
    <row r="11225" spans="1:10" hidden="1" x14ac:dyDescent="0.25">
      <c r="A11225" s="179"/>
      <c r="B11225" s="177"/>
      <c r="C11225" s="43" t="s">
        <v>2663</v>
      </c>
      <c r="D11225" s="43" t="s">
        <v>1044</v>
      </c>
      <c r="E11225" s="44">
        <f>54089*0.986</f>
        <v>53331.754000000001</v>
      </c>
      <c r="F11225" s="38" t="s">
        <v>13</v>
      </c>
      <c r="G11225" s="70" t="str">
        <f>IF(ISNUMBER(F11225),E11225*F11225,"")</f>
        <v/>
      </c>
      <c r="H11225" s="57"/>
      <c r="I11225" s="47"/>
      <c r="J11225" s="37">
        <v>0</v>
      </c>
    </row>
    <row r="11226" spans="1:10" hidden="1" x14ac:dyDescent="0.25">
      <c r="A11226" s="179"/>
      <c r="B11226" s="177"/>
      <c r="C11226" s="43" t="s">
        <v>10643</v>
      </c>
      <c r="D11226" s="43" t="s">
        <v>2800</v>
      </c>
      <c r="E11226" s="44">
        <f>93*0.0032</f>
        <v>0.29760000000000003</v>
      </c>
      <c r="F11226" s="38">
        <v>24.519499999999997</v>
      </c>
      <c r="G11226" s="70">
        <f>IF(ISNUMBER(F11226),E11226*F11226,"")</f>
        <v>7.2970031999999998</v>
      </c>
      <c r="H11226" s="57"/>
      <c r="I11226" s="47"/>
      <c r="J11226" s="37">
        <v>0</v>
      </c>
    </row>
    <row r="11227" spans="1:10" hidden="1" x14ac:dyDescent="0.25">
      <c r="A11227" s="179"/>
      <c r="B11227" s="177"/>
      <c r="C11227" s="43" t="s">
        <v>10644</v>
      </c>
      <c r="D11227" s="43" t="s">
        <v>2800</v>
      </c>
      <c r="E11227" s="44">
        <f>93*0.0224</f>
        <v>2.0832000000000002</v>
      </c>
      <c r="F11227" s="38">
        <v>30.837</v>
      </c>
      <c r="G11227" s="70">
        <f>IF(ISNUMBER(F11227),E11227*F11227,"")</f>
        <v>64.239638400000004</v>
      </c>
      <c r="H11227" s="57"/>
      <c r="I11227" s="47"/>
      <c r="J11227" s="37">
        <v>0</v>
      </c>
    </row>
    <row r="11228" spans="1:10" hidden="1" x14ac:dyDescent="0.25">
      <c r="A11228" s="179"/>
      <c r="B11228" s="177"/>
      <c r="C11228" s="43" t="s">
        <v>10811</v>
      </c>
      <c r="D11228" s="43" t="s">
        <v>1044</v>
      </c>
      <c r="E11228" s="44">
        <f>93*1.11</f>
        <v>103.23</v>
      </c>
      <c r="F11228" s="38">
        <v>7.0679999999999996</v>
      </c>
      <c r="G11228" s="70">
        <f>IF(ISNUMBER(F11228),E11228*F11228,"")</f>
        <v>729.62963999999999</v>
      </c>
      <c r="H11228" s="57"/>
      <c r="I11228" s="47"/>
      <c r="J11228" s="37">
        <v>0</v>
      </c>
    </row>
    <row r="11229" spans="1:10" hidden="1" x14ac:dyDescent="0.25">
      <c r="A11229" s="179"/>
      <c r="B11229" s="177"/>
      <c r="C11229" s="43" t="s">
        <v>10643</v>
      </c>
      <c r="D11229" s="43" t="s">
        <v>2800</v>
      </c>
      <c r="E11229" s="44">
        <f>93*0.0115</f>
        <v>1.0694999999999999</v>
      </c>
      <c r="F11229" s="38">
        <v>24.519499999999997</v>
      </c>
      <c r="G11229" s="70">
        <f>IF(ISNUMBER(F11229),E11229*F11229,"")</f>
        <v>26.223605249999995</v>
      </c>
      <c r="H11229" s="57"/>
      <c r="I11229" s="47"/>
      <c r="J11229" s="37">
        <v>0</v>
      </c>
    </row>
    <row r="11230" spans="1:10" hidden="1" x14ac:dyDescent="0.25">
      <c r="A11230" s="179"/>
      <c r="B11230" s="177"/>
      <c r="C11230" s="43" t="s">
        <v>10644</v>
      </c>
      <c r="D11230" s="43" t="s">
        <v>2800</v>
      </c>
      <c r="E11230" s="44">
        <f>93*0.0707</f>
        <v>6.5750999999999999</v>
      </c>
      <c r="F11230" s="38">
        <v>30.837</v>
      </c>
      <c r="G11230" s="70">
        <f>IF(ISNUMBER(F11230),E11230*F11230,"")</f>
        <v>202.75635869999999</v>
      </c>
      <c r="H11230" s="57"/>
      <c r="I11230" s="47"/>
      <c r="J11230" s="37">
        <v>0</v>
      </c>
    </row>
    <row r="11231" spans="1:10" hidden="1" x14ac:dyDescent="0.25">
      <c r="A11231" s="179"/>
      <c r="B11231" s="177"/>
      <c r="C11231" s="43" t="s">
        <v>10747</v>
      </c>
      <c r="D11231" s="43" t="s">
        <v>1044</v>
      </c>
      <c r="E11231" s="44">
        <f>93*1</f>
        <v>93</v>
      </c>
      <c r="F11231" s="38">
        <v>8.6146912000000011</v>
      </c>
      <c r="G11231" s="70">
        <f>IF(ISNUMBER(F11231),E11231*F11231,"")</f>
        <v>801.16628160000005</v>
      </c>
      <c r="H11231" s="57"/>
      <c r="I11231" s="47"/>
      <c r="J11231" s="37">
        <v>0</v>
      </c>
    </row>
    <row r="11232" spans="1:10" ht="25.5" hidden="1" x14ac:dyDescent="0.25">
      <c r="A11232" s="179"/>
      <c r="B11232" s="177"/>
      <c r="C11232" s="43" t="s">
        <v>10661</v>
      </c>
      <c r="D11232" s="43" t="s">
        <v>1044</v>
      </c>
      <c r="E11232" s="44">
        <f>93*0.025</f>
        <v>2.3250000000000002</v>
      </c>
      <c r="F11232" s="38">
        <v>19</v>
      </c>
      <c r="G11232" s="70">
        <f>IF(ISNUMBER(F11232),E11232*F11232,"")</f>
        <v>44.175000000000004</v>
      </c>
      <c r="H11232" s="57"/>
      <c r="I11232" s="47"/>
      <c r="J11232" s="37">
        <v>0</v>
      </c>
    </row>
    <row r="11233" spans="1:10" ht="38.25" hidden="1" x14ac:dyDescent="0.25">
      <c r="A11233" s="179"/>
      <c r="B11233" s="177"/>
      <c r="C11233" s="43" t="s">
        <v>10660</v>
      </c>
      <c r="D11233" s="43" t="s">
        <v>83</v>
      </c>
      <c r="E11233" s="44">
        <f>93*0.743</f>
        <v>69.099000000000004</v>
      </c>
      <c r="F11233" s="38">
        <v>0.20899999999999999</v>
      </c>
      <c r="G11233" s="70">
        <f>IF(ISNUMBER(F11233),E11233*F11233,"")</f>
        <v>14.441691</v>
      </c>
      <c r="H11233" s="57"/>
      <c r="I11233" s="47"/>
      <c r="J11233" s="37">
        <v>0</v>
      </c>
    </row>
    <row r="11234" spans="1:10" hidden="1" x14ac:dyDescent="0.25">
      <c r="A11234" s="179"/>
      <c r="B11234" s="177"/>
      <c r="C11234" s="43" t="s">
        <v>10644</v>
      </c>
      <c r="D11234" s="43" t="s">
        <v>2800</v>
      </c>
      <c r="E11234" s="44">
        <f>671*0.0037</f>
        <v>2.4826999999999999</v>
      </c>
      <c r="F11234" s="38">
        <v>30.837</v>
      </c>
      <c r="G11234" s="70">
        <f>IF(ISNUMBER(F11234),E11234*F11234,"")</f>
        <v>76.559019899999996</v>
      </c>
      <c r="H11234" s="57"/>
      <c r="I11234" s="47"/>
      <c r="J11234" s="37">
        <v>0</v>
      </c>
    </row>
    <row r="11235" spans="1:10" ht="25.5" hidden="1" x14ac:dyDescent="0.25">
      <c r="A11235" s="179"/>
      <c r="B11235" s="177"/>
      <c r="C11235" s="43" t="s">
        <v>10666</v>
      </c>
      <c r="D11235" s="43" t="s">
        <v>1044</v>
      </c>
      <c r="E11235" s="44">
        <f>671*1.11</f>
        <v>744.81000000000006</v>
      </c>
      <c r="F11235" s="38">
        <v>7.9135</v>
      </c>
      <c r="G11235" s="70">
        <f>IF(ISNUMBER(F11235),E11235*F11235,"")</f>
        <v>5894.0539350000008</v>
      </c>
      <c r="H11235" s="57"/>
      <c r="I11235" s="47"/>
      <c r="J11235" s="37">
        <v>0</v>
      </c>
    </row>
    <row r="11236" spans="1:10" hidden="1" x14ac:dyDescent="0.25">
      <c r="A11236" s="179"/>
      <c r="B11236" s="177"/>
      <c r="C11236" s="43" t="s">
        <v>10643</v>
      </c>
      <c r="D11236" s="43" t="s">
        <v>2800</v>
      </c>
      <c r="E11236" s="44">
        <f>671*0.0043</f>
        <v>2.8853</v>
      </c>
      <c r="F11236" s="38">
        <v>24.519499999999997</v>
      </c>
      <c r="G11236" s="70">
        <f>IF(ISNUMBER(F11236),E11236*F11236,"")</f>
        <v>70.746113349999987</v>
      </c>
      <c r="H11236" s="57"/>
      <c r="I11236" s="47"/>
      <c r="J11236" s="37">
        <v>0</v>
      </c>
    </row>
    <row r="11237" spans="1:10" hidden="1" x14ac:dyDescent="0.25">
      <c r="A11237" s="179"/>
      <c r="B11237" s="177"/>
      <c r="C11237" s="43" t="s">
        <v>10644</v>
      </c>
      <c r="D11237" s="43" t="s">
        <v>2800</v>
      </c>
      <c r="E11237" s="44">
        <f>671*0.0261</f>
        <v>17.513100000000001</v>
      </c>
      <c r="F11237" s="38">
        <v>30.837</v>
      </c>
      <c r="G11237" s="70">
        <f>IF(ISNUMBER(F11237),E11237*F11237,"")</f>
        <v>540.0514647</v>
      </c>
      <c r="H11237" s="57"/>
      <c r="I11237" s="47"/>
      <c r="J11237" s="37">
        <v>0</v>
      </c>
    </row>
    <row r="11238" spans="1:10" hidden="1" x14ac:dyDescent="0.25">
      <c r="A11238" s="179"/>
      <c r="B11238" s="177"/>
      <c r="C11238" s="43" t="s">
        <v>10633</v>
      </c>
      <c r="D11238" s="43" t="s">
        <v>1044</v>
      </c>
      <c r="E11238" s="44">
        <f>671*1</f>
        <v>671</v>
      </c>
      <c r="F11238" s="38">
        <v>8.8980819000000011</v>
      </c>
      <c r="G11238" s="70">
        <f>IF(ISNUMBER(F11238),E11238*F11238,"")</f>
        <v>5970.6129549000007</v>
      </c>
      <c r="H11238" s="57"/>
      <c r="I11238" s="47"/>
      <c r="J11238" s="37">
        <v>0</v>
      </c>
    </row>
    <row r="11239" spans="1:10" ht="25.5" hidden="1" x14ac:dyDescent="0.25">
      <c r="A11239" s="179"/>
      <c r="B11239" s="177"/>
      <c r="C11239" s="43" t="s">
        <v>10661</v>
      </c>
      <c r="D11239" s="43" t="s">
        <v>1044</v>
      </c>
      <c r="E11239" s="44">
        <f>671*0.025</f>
        <v>16.775000000000002</v>
      </c>
      <c r="F11239" s="38">
        <v>19</v>
      </c>
      <c r="G11239" s="70">
        <f>IF(ISNUMBER(F11239),E11239*F11239,"")</f>
        <v>318.72500000000002</v>
      </c>
      <c r="H11239" s="57"/>
      <c r="I11239" s="47"/>
      <c r="J11239" s="37">
        <v>0</v>
      </c>
    </row>
    <row r="11240" spans="1:10" ht="38.25" hidden="1" x14ac:dyDescent="0.25">
      <c r="A11240" s="179"/>
      <c r="B11240" s="177"/>
      <c r="C11240" s="43" t="s">
        <v>10660</v>
      </c>
      <c r="D11240" s="43" t="s">
        <v>83</v>
      </c>
      <c r="E11240" s="44">
        <f>671*0.212</f>
        <v>142.25200000000001</v>
      </c>
      <c r="F11240" s="38">
        <v>0.20899999999999999</v>
      </c>
      <c r="G11240" s="70">
        <f>IF(ISNUMBER(F11240),E11240*F11240,"")</f>
        <v>29.730668000000001</v>
      </c>
      <c r="H11240" s="57"/>
      <c r="I11240" s="47"/>
      <c r="J11240" s="37">
        <v>0</v>
      </c>
    </row>
    <row r="11241" spans="1:10" hidden="1" x14ac:dyDescent="0.25">
      <c r="A11241" s="179"/>
      <c r="B11241" s="177"/>
      <c r="C11241" s="43"/>
      <c r="D11241" s="43"/>
      <c r="E11241" s="44"/>
      <c r="F11241" s="38"/>
      <c r="G11241" s="70" t="str">
        <f>IF(ISNUMBER(F11241),E11241*F11241,"")</f>
        <v/>
      </c>
      <c r="H11241" s="71"/>
      <c r="I11241" s="72"/>
      <c r="J11241" s="37">
        <v>0</v>
      </c>
    </row>
    <row r="11242" spans="1:10" ht="38.25" hidden="1" x14ac:dyDescent="0.25">
      <c r="A11242" s="179"/>
      <c r="B11242" s="177"/>
      <c r="C11242" s="4" t="s">
        <v>2758</v>
      </c>
      <c r="D11242" s="43"/>
      <c r="E11242" s="44"/>
      <c r="F11242" s="38"/>
      <c r="G11242" s="70" t="str">
        <f>IF(ISNUMBER(F11242),E11242*F11242,"")</f>
        <v/>
      </c>
      <c r="H11242" s="42"/>
      <c r="I11242" s="72"/>
      <c r="J11242" s="37">
        <v>0</v>
      </c>
    </row>
    <row r="11243" spans="1:10" ht="15.75" hidden="1" thickBot="1" x14ac:dyDescent="0.3">
      <c r="A11243" s="180"/>
      <c r="B11243" s="178"/>
      <c r="C11243" s="49"/>
      <c r="D11243" s="49"/>
      <c r="E11243" s="50"/>
      <c r="F11243" s="51" t="s">
        <v>13</v>
      </c>
      <c r="G11243" s="51" t="str">
        <f>IF(ISNUMBER(F11243),E11243*F11243,"")</f>
        <v/>
      </c>
      <c r="H11243" s="53"/>
      <c r="I11243" s="72"/>
      <c r="J11243" s="37">
        <v>0</v>
      </c>
    </row>
    <row r="11244" spans="1:10" ht="15.75" hidden="1" thickBot="1" x14ac:dyDescent="0.3">
      <c r="A11244" s="173" t="s">
        <v>2759</v>
      </c>
      <c r="B11244" s="176" t="s">
        <v>10286</v>
      </c>
      <c r="C11244" s="31"/>
      <c r="D11244" s="32" t="s">
        <v>18</v>
      </c>
      <c r="E11244" s="33"/>
      <c r="F11244" s="54" t="s">
        <v>13</v>
      </c>
      <c r="G11244" s="34" t="str">
        <f>IF(ISNUMBER(F11244),E11244*F11244,"")</f>
        <v/>
      </c>
      <c r="H11244" s="35"/>
      <c r="I11244" s="36"/>
      <c r="J11244" s="37">
        <v>0</v>
      </c>
    </row>
    <row r="11245" spans="1:10" hidden="1" x14ac:dyDescent="0.25">
      <c r="A11245" s="174"/>
      <c r="B11245" s="177"/>
      <c r="C11245" s="39"/>
      <c r="D11245" s="39"/>
      <c r="E11245" s="40"/>
      <c r="F11245" s="55" t="s">
        <v>13</v>
      </c>
      <c r="G11245" s="38" t="str">
        <f>IF(ISNUMBER(F11245),E11245*F11245,"")</f>
        <v/>
      </c>
      <c r="H11245" s="42"/>
      <c r="I11245" s="38"/>
      <c r="J11245" s="37">
        <v>0</v>
      </c>
    </row>
    <row r="11246" spans="1:10" hidden="1" x14ac:dyDescent="0.25">
      <c r="A11246" s="174"/>
      <c r="B11246" s="177"/>
      <c r="C11246" s="43" t="s">
        <v>10908</v>
      </c>
      <c r="D11246" s="43" t="s">
        <v>83</v>
      </c>
      <c r="E11246" s="44">
        <v>4.8999999999999998E-3</v>
      </c>
      <c r="F11246" s="41">
        <v>69.435500000000005</v>
      </c>
      <c r="G11246" s="38">
        <f>IF(ISNUMBER(F11246),E11246*F11246,"")</f>
        <v>0.34023395000000001</v>
      </c>
      <c r="H11246" s="46">
        <f>SUM(G11246:G11251)</f>
        <v>22.482205999999998</v>
      </c>
      <c r="I11246" s="47"/>
      <c r="J11246" s="37">
        <v>0</v>
      </c>
    </row>
    <row r="11247" spans="1:10" ht="25.5" hidden="1" x14ac:dyDescent="0.25">
      <c r="A11247" s="174"/>
      <c r="B11247" s="177"/>
      <c r="C11247" s="43" t="s">
        <v>10912</v>
      </c>
      <c r="D11247" s="43" t="s">
        <v>83</v>
      </c>
      <c r="E11247" s="44">
        <v>1</v>
      </c>
      <c r="F11247" s="41">
        <v>12.4925</v>
      </c>
      <c r="G11247" s="38">
        <f>IF(ISNUMBER(F11247),E11247*F11247,"")</f>
        <v>12.4925</v>
      </c>
      <c r="H11247" s="42"/>
      <c r="I11247" s="38"/>
      <c r="J11247" s="37">
        <v>0</v>
      </c>
    </row>
    <row r="11248" spans="1:10" ht="25.5" hidden="1" x14ac:dyDescent="0.25">
      <c r="A11248" s="174"/>
      <c r="B11248" s="177"/>
      <c r="C11248" s="43" t="s">
        <v>10910</v>
      </c>
      <c r="D11248" s="43" t="s">
        <v>83</v>
      </c>
      <c r="E11248" s="44">
        <v>7.4999999999999997E-3</v>
      </c>
      <c r="F11248" s="41">
        <v>78.669499999999999</v>
      </c>
      <c r="G11248" s="38">
        <f>IF(ISNUMBER(F11248),E11248*F11248,"")</f>
        <v>0.59002124999999994</v>
      </c>
      <c r="H11248" s="42"/>
      <c r="I11248" s="38"/>
      <c r="J11248" s="37">
        <v>0</v>
      </c>
    </row>
    <row r="11249" spans="1:10" hidden="1" x14ac:dyDescent="0.25">
      <c r="A11249" s="174"/>
      <c r="B11249" s="177"/>
      <c r="C11249" s="43" t="s">
        <v>10899</v>
      </c>
      <c r="D11249" s="43" t="s">
        <v>83</v>
      </c>
      <c r="E11249" s="44">
        <v>3.5999999999999997E-2</v>
      </c>
      <c r="F11249" s="41">
        <v>2.2039999999999997</v>
      </c>
      <c r="G11249" s="38">
        <f>IF(ISNUMBER(F11249),E11249*F11249,"")</f>
        <v>7.9343999999999984E-2</v>
      </c>
      <c r="H11249" s="42"/>
      <c r="I11249" s="38"/>
      <c r="J11249" s="37">
        <v>0</v>
      </c>
    </row>
    <row r="11250" spans="1:10" ht="25.5" hidden="1" x14ac:dyDescent="0.25">
      <c r="A11250" s="174"/>
      <c r="B11250" s="177"/>
      <c r="C11250" s="43" t="s">
        <v>10753</v>
      </c>
      <c r="D11250" s="43" t="s">
        <v>2800</v>
      </c>
      <c r="E11250" s="44">
        <v>0.16520000000000001</v>
      </c>
      <c r="F11250" s="38">
        <v>23.997</v>
      </c>
      <c r="G11250" s="41">
        <f>IF(ISNUMBER(F11250),E11250*F11250,"")</f>
        <v>3.9643044000000005</v>
      </c>
      <c r="H11250" s="42"/>
      <c r="I11250" s="38"/>
      <c r="J11250" s="37">
        <v>0</v>
      </c>
    </row>
    <row r="11251" spans="1:10" ht="25.5" hidden="1" x14ac:dyDescent="0.25">
      <c r="A11251" s="174"/>
      <c r="B11251" s="177"/>
      <c r="C11251" s="43" t="s">
        <v>10754</v>
      </c>
      <c r="D11251" s="43" t="s">
        <v>2800</v>
      </c>
      <c r="E11251" s="44">
        <v>0.16520000000000001</v>
      </c>
      <c r="F11251" s="38">
        <v>30.361999999999998</v>
      </c>
      <c r="G11251" s="38">
        <f>IF(ISNUMBER(F11251),E11251*F11251,"")</f>
        <v>5.0158024000000001</v>
      </c>
      <c r="H11251" s="42"/>
      <c r="I11251" s="38"/>
      <c r="J11251" s="37">
        <v>0</v>
      </c>
    </row>
    <row r="11252" spans="1:10" ht="15.75" hidden="1" thickBot="1" x14ac:dyDescent="0.3">
      <c r="A11252" s="175"/>
      <c r="B11252" s="178"/>
      <c r="C11252" s="49"/>
      <c r="D11252" s="49"/>
      <c r="E11252" s="50"/>
      <c r="F11252" s="51" t="s">
        <v>13</v>
      </c>
      <c r="G11252" s="51" t="str">
        <f>IF(ISNUMBER(F11252),E11252*F11252,"")</f>
        <v/>
      </c>
      <c r="H11252" s="53"/>
      <c r="I11252" s="38"/>
      <c r="J11252" s="37">
        <v>0</v>
      </c>
    </row>
    <row r="11253" spans="1:10" ht="15.75" hidden="1" thickBot="1" x14ac:dyDescent="0.3">
      <c r="A11253" s="173" t="s">
        <v>2760</v>
      </c>
      <c r="B11253" s="176" t="s">
        <v>10287</v>
      </c>
      <c r="C11253" s="31"/>
      <c r="D11253" s="32" t="s">
        <v>18</v>
      </c>
      <c r="E11253" s="33"/>
      <c r="F11253" s="54" t="s">
        <v>13</v>
      </c>
      <c r="G11253" s="34" t="str">
        <f>IF(ISNUMBER(F11253),E11253*F11253,"")</f>
        <v/>
      </c>
      <c r="H11253" s="35"/>
      <c r="I11253" s="36"/>
      <c r="J11253" s="37">
        <v>0</v>
      </c>
    </row>
    <row r="11254" spans="1:10" hidden="1" x14ac:dyDescent="0.25">
      <c r="A11254" s="174"/>
      <c r="B11254" s="177"/>
      <c r="C11254" s="39"/>
      <c r="D11254" s="39"/>
      <c r="E11254" s="40"/>
      <c r="F11254" s="55" t="s">
        <v>13</v>
      </c>
      <c r="G11254" s="41" t="str">
        <f>IF(ISNUMBER(F11254),E11254*F11254,"")</f>
        <v/>
      </c>
      <c r="H11254" s="42"/>
      <c r="I11254" s="38"/>
      <c r="J11254" s="37">
        <v>0</v>
      </c>
    </row>
    <row r="11255" spans="1:10" hidden="1" x14ac:dyDescent="0.25">
      <c r="A11255" s="174"/>
      <c r="B11255" s="177"/>
      <c r="C11255" s="43" t="s">
        <v>11202</v>
      </c>
      <c r="D11255" s="43" t="s">
        <v>2800</v>
      </c>
      <c r="E11255" s="44">
        <v>24</v>
      </c>
      <c r="F11255" s="41">
        <v>18.344499999999996</v>
      </c>
      <c r="G11255" s="41">
        <f>IF(ISNUMBER(F11255),E11255*F11255,"")</f>
        <v>440.26799999999992</v>
      </c>
      <c r="H11255" s="46">
        <f>SUM(G11255:G11256)</f>
        <v>3343.1639999999998</v>
      </c>
      <c r="I11255" s="47"/>
      <c r="J11255" s="37">
        <v>0</v>
      </c>
    </row>
    <row r="11256" spans="1:10" ht="25.5" hidden="1" x14ac:dyDescent="0.25">
      <c r="A11256" s="174"/>
      <c r="B11256" s="177"/>
      <c r="C11256" s="43" t="s">
        <v>10823</v>
      </c>
      <c r="D11256" s="43" t="s">
        <v>2800</v>
      </c>
      <c r="E11256" s="44">
        <v>24</v>
      </c>
      <c r="F11256" s="41">
        <v>120.95399999999999</v>
      </c>
      <c r="G11256" s="41">
        <f>IF(ISNUMBER(F11256),E11256*F11256,"")</f>
        <v>2902.8959999999997</v>
      </c>
      <c r="H11256" s="42"/>
      <c r="I11256" s="38"/>
      <c r="J11256" s="37">
        <v>0</v>
      </c>
    </row>
    <row r="11257" spans="1:10" ht="15.75" hidden="1" thickBot="1" x14ac:dyDescent="0.3">
      <c r="A11257" s="175"/>
      <c r="B11257" s="178"/>
      <c r="C11257" s="49"/>
      <c r="D11257" s="49"/>
      <c r="E11257" s="50"/>
      <c r="F11257" s="51" t="s">
        <v>13</v>
      </c>
      <c r="G11257" s="52" t="str">
        <f>IF(ISNUMBER(F11257),E11257*F11257,"")</f>
        <v/>
      </c>
      <c r="H11257" s="53"/>
      <c r="I11257" s="38"/>
      <c r="J11257" s="37">
        <v>0</v>
      </c>
    </row>
    <row r="11258" spans="1:10" ht="15.75" hidden="1" thickBot="1" x14ac:dyDescent="0.3">
      <c r="A11258" s="173" t="s">
        <v>2761</v>
      </c>
      <c r="B11258" s="176" t="s">
        <v>10292</v>
      </c>
      <c r="C11258" s="31"/>
      <c r="D11258" s="32" t="s">
        <v>18</v>
      </c>
      <c r="E11258" s="33"/>
      <c r="F11258" s="54" t="s">
        <v>13</v>
      </c>
      <c r="G11258" s="34" t="str">
        <f>IF(ISNUMBER(F11258),E11258*F11258,"")</f>
        <v/>
      </c>
      <c r="H11258" s="35"/>
      <c r="I11258" s="36"/>
      <c r="J11258" s="37">
        <v>0</v>
      </c>
    </row>
    <row r="11259" spans="1:10" hidden="1" x14ac:dyDescent="0.25">
      <c r="A11259" s="174"/>
      <c r="B11259" s="177"/>
      <c r="C11259" s="39"/>
      <c r="D11259" s="39"/>
      <c r="E11259" s="40"/>
      <c r="F11259" s="55" t="s">
        <v>13</v>
      </c>
      <c r="G11259" s="41" t="str">
        <f>IF(ISNUMBER(F11259),E11259*F11259,"")</f>
        <v/>
      </c>
      <c r="H11259" s="42"/>
      <c r="I11259" s="38"/>
      <c r="J11259" s="37">
        <v>0</v>
      </c>
    </row>
    <row r="11260" spans="1:10" hidden="1" x14ac:dyDescent="0.25">
      <c r="A11260" s="174"/>
      <c r="B11260" s="177"/>
      <c r="C11260" s="43" t="s">
        <v>10831</v>
      </c>
      <c r="D11260" s="43" t="s">
        <v>2800</v>
      </c>
      <c r="E11260" s="44">
        <v>0.3</v>
      </c>
      <c r="F11260" s="41">
        <v>28.6615</v>
      </c>
      <c r="G11260" s="41">
        <f>IF(ISNUMBER(F11260),E11260*F11260,"")</f>
        <v>8.5984499999999997</v>
      </c>
      <c r="H11260" s="46">
        <f>SUM(G11260:G11261)</f>
        <v>8.5984499999999997</v>
      </c>
      <c r="I11260" s="47"/>
      <c r="J11260" s="37">
        <v>0</v>
      </c>
    </row>
    <row r="11261" spans="1:10" ht="25.5" hidden="1" x14ac:dyDescent="0.25">
      <c r="A11261" s="174"/>
      <c r="B11261" s="177"/>
      <c r="C11261" s="43" t="s">
        <v>2762</v>
      </c>
      <c r="D11261" s="62" t="s">
        <v>18</v>
      </c>
      <c r="E11261" s="44">
        <v>1</v>
      </c>
      <c r="F11261" s="38" t="s">
        <v>13</v>
      </c>
      <c r="G11261" s="41" t="str">
        <f>IF(ISNUMBER(F11261),E11261*F11261,"")</f>
        <v/>
      </c>
      <c r="H11261" s="42"/>
      <c r="I11261" s="38"/>
      <c r="J11261" s="37">
        <v>0</v>
      </c>
    </row>
    <row r="11262" spans="1:10" ht="15.75" hidden="1" thickBot="1" x14ac:dyDescent="0.3">
      <c r="A11262" s="175"/>
      <c r="B11262" s="178"/>
      <c r="C11262" s="49"/>
      <c r="D11262" s="49"/>
      <c r="E11262" s="50"/>
      <c r="F11262" s="51" t="s">
        <v>13</v>
      </c>
      <c r="G11262" s="52" t="str">
        <f>IF(ISNUMBER(F11262),E11262*F11262,"")</f>
        <v/>
      </c>
      <c r="H11262" s="53"/>
      <c r="I11262" s="38"/>
      <c r="J11262" s="37">
        <v>0</v>
      </c>
    </row>
    <row r="11263" spans="1:10" ht="15.75" hidden="1" thickBot="1" x14ac:dyDescent="0.3">
      <c r="A11263" s="173" t="s">
        <v>2763</v>
      </c>
      <c r="B11263" s="176" t="s">
        <v>10293</v>
      </c>
      <c r="C11263" s="31"/>
      <c r="D11263" s="32" t="s">
        <v>18</v>
      </c>
      <c r="E11263" s="33"/>
      <c r="F11263" s="60" t="s">
        <v>13</v>
      </c>
      <c r="G11263" s="34" t="str">
        <f>IF(ISNUMBER(F11263),E11263*F11263,"")</f>
        <v/>
      </c>
      <c r="H11263" s="35"/>
      <c r="I11263" s="36"/>
      <c r="J11263" s="37">
        <v>0</v>
      </c>
    </row>
    <row r="11264" spans="1:10" hidden="1" x14ac:dyDescent="0.25">
      <c r="A11264" s="179"/>
      <c r="B11264" s="177"/>
      <c r="C11264" s="39"/>
      <c r="D11264" s="39"/>
      <c r="E11264" s="40"/>
      <c r="F11264" s="70" t="s">
        <v>13</v>
      </c>
      <c r="G11264" s="70" t="str">
        <f>IF(ISNUMBER(F11264),E11264*F11264,"")</f>
        <v/>
      </c>
      <c r="H11264" s="71"/>
      <c r="I11264" s="72"/>
      <c r="J11264" s="37">
        <v>0</v>
      </c>
    </row>
    <row r="11265" spans="1:10" hidden="1" x14ac:dyDescent="0.25">
      <c r="A11265" s="179"/>
      <c r="B11265" s="177"/>
      <c r="C11265" s="43" t="s">
        <v>10831</v>
      </c>
      <c r="D11265" s="43" t="s">
        <v>2800</v>
      </c>
      <c r="E11265" s="44">
        <v>1.2875000000000001</v>
      </c>
      <c r="F11265" s="38">
        <v>28.6615</v>
      </c>
      <c r="G11265" s="70">
        <f>IF(ISNUMBER(F11265),E11265*F11265,"")</f>
        <v>36.901681250000003</v>
      </c>
      <c r="H11265" s="46">
        <f>SUM(G11265:G11267)</f>
        <v>1508.4804187500001</v>
      </c>
      <c r="I11265" s="47"/>
      <c r="J11265" s="37">
        <v>0</v>
      </c>
    </row>
    <row r="11266" spans="1:10" hidden="1" x14ac:dyDescent="0.25">
      <c r="A11266" s="179"/>
      <c r="B11266" s="177"/>
      <c r="C11266" s="43" t="s">
        <v>10614</v>
      </c>
      <c r="D11266" s="43" t="s">
        <v>2800</v>
      </c>
      <c r="E11266" s="44">
        <v>1.2875000000000001</v>
      </c>
      <c r="F11266" s="38">
        <v>23.693000000000001</v>
      </c>
      <c r="G11266" s="70">
        <f>IF(ISNUMBER(F11266),E11266*F11266,"")</f>
        <v>30.504737500000005</v>
      </c>
      <c r="H11266" s="71"/>
      <c r="I11266" s="72"/>
      <c r="J11266" s="37">
        <v>0</v>
      </c>
    </row>
    <row r="11267" spans="1:10" hidden="1" x14ac:dyDescent="0.25">
      <c r="A11267" s="179"/>
      <c r="B11267" s="177"/>
      <c r="C11267" s="43" t="s">
        <v>11874</v>
      </c>
      <c r="D11267" s="43" t="s">
        <v>11903</v>
      </c>
      <c r="E11267" s="44">
        <v>1</v>
      </c>
      <c r="F11267" s="38">
        <v>1441.0740000000001</v>
      </c>
      <c r="G11267" s="70">
        <f>IF(ISNUMBER(F11267),E11267*F11267,"")</f>
        <v>1441.0740000000001</v>
      </c>
      <c r="H11267" s="71"/>
      <c r="I11267" s="72"/>
      <c r="J11267" s="37">
        <v>0</v>
      </c>
    </row>
    <row r="11268" spans="1:10" ht="15.75" hidden="1" thickBot="1" x14ac:dyDescent="0.3">
      <c r="A11268" s="180"/>
      <c r="B11268" s="178"/>
      <c r="C11268" s="49"/>
      <c r="D11268" s="63"/>
      <c r="E11268" s="50"/>
      <c r="F11268" s="83" t="s">
        <v>13</v>
      </c>
      <c r="G11268" s="83" t="str">
        <f>IF(ISNUMBER(F11268),E11268*F11268,"")</f>
        <v/>
      </c>
      <c r="H11268" s="84"/>
      <c r="I11268" s="72"/>
      <c r="J11268" s="37">
        <v>0</v>
      </c>
    </row>
    <row r="11269" spans="1:10" ht="15.75" hidden="1" thickBot="1" x14ac:dyDescent="0.3">
      <c r="A11269" s="173" t="s">
        <v>2764</v>
      </c>
      <c r="B11269" s="176" t="s">
        <v>10294</v>
      </c>
      <c r="C11269" s="31"/>
      <c r="D11269" s="32" t="s">
        <v>18</v>
      </c>
      <c r="E11269" s="33"/>
      <c r="F11269" s="60" t="s">
        <v>13</v>
      </c>
      <c r="G11269" s="34" t="str">
        <f>IF(ISNUMBER(F11269),E11269*F11269,"")</f>
        <v/>
      </c>
      <c r="H11269" s="35"/>
      <c r="I11269" s="36"/>
      <c r="J11269" s="37">
        <v>0</v>
      </c>
    </row>
    <row r="11270" spans="1:10" hidden="1" x14ac:dyDescent="0.25">
      <c r="A11270" s="179"/>
      <c r="B11270" s="177"/>
      <c r="C11270" s="39"/>
      <c r="D11270" s="39"/>
      <c r="E11270" s="40"/>
      <c r="F11270" s="70" t="s">
        <v>13</v>
      </c>
      <c r="G11270" s="70" t="str">
        <f>IF(ISNUMBER(F11270),E11270*F11270,"")</f>
        <v/>
      </c>
      <c r="H11270" s="71"/>
      <c r="I11270" s="72"/>
      <c r="J11270" s="37">
        <v>0</v>
      </c>
    </row>
    <row r="11271" spans="1:10" ht="38.25" hidden="1" x14ac:dyDescent="0.25">
      <c r="A11271" s="179"/>
      <c r="B11271" s="177"/>
      <c r="C11271" s="43" t="s">
        <v>11875</v>
      </c>
      <c r="D11271" s="43" t="s">
        <v>162</v>
      </c>
      <c r="E11271" s="44">
        <f>2.2*2.5</f>
        <v>5.5</v>
      </c>
      <c r="F11271" s="38">
        <v>642.11449999999991</v>
      </c>
      <c r="G11271" s="70">
        <f>IF(ISNUMBER(F11271),E11271*F11271,"")</f>
        <v>3531.6297499999996</v>
      </c>
      <c r="H11271" s="46">
        <f>SUM(G11271:G11275)</f>
        <v>3822.7161909999995</v>
      </c>
      <c r="I11271" s="47"/>
      <c r="J11271" s="37">
        <v>0</v>
      </c>
    </row>
    <row r="11272" spans="1:10" hidden="1" x14ac:dyDescent="0.25">
      <c r="A11272" s="179"/>
      <c r="B11272" s="177"/>
      <c r="C11272" s="43" t="s">
        <v>11014</v>
      </c>
      <c r="D11272" s="43" t="s">
        <v>2800</v>
      </c>
      <c r="E11272" s="44">
        <v>2</v>
      </c>
      <c r="F11272" s="38">
        <v>30.837</v>
      </c>
      <c r="G11272" s="70">
        <f>IF(ISNUMBER(F11272),E11272*F11272,"")</f>
        <v>61.673999999999999</v>
      </c>
      <c r="H11272" s="71"/>
      <c r="I11272" s="72"/>
      <c r="J11272" s="37">
        <v>0</v>
      </c>
    </row>
    <row r="11273" spans="1:10" hidden="1" x14ac:dyDescent="0.25">
      <c r="A11273" s="179"/>
      <c r="B11273" s="177"/>
      <c r="C11273" s="43" t="s">
        <v>11013</v>
      </c>
      <c r="D11273" s="43" t="s">
        <v>2800</v>
      </c>
      <c r="E11273" s="44">
        <v>1</v>
      </c>
      <c r="F11273" s="38">
        <v>24.519499999999997</v>
      </c>
      <c r="G11273" s="70">
        <f>IF(ISNUMBER(F11273),E11273*F11273,"")</f>
        <v>24.519499999999997</v>
      </c>
      <c r="H11273" s="71"/>
      <c r="I11273" s="72"/>
      <c r="J11273" s="37">
        <v>0</v>
      </c>
    </row>
    <row r="11274" spans="1:10" hidden="1" x14ac:dyDescent="0.25">
      <c r="A11274" s="179"/>
      <c r="B11274" s="177"/>
      <c r="C11274" s="43" t="s">
        <v>10674</v>
      </c>
      <c r="D11274" s="43" t="s">
        <v>2800</v>
      </c>
      <c r="E11274" s="44">
        <f>0.5708*(2.2*2.5*2)</f>
        <v>6.2787999999999995</v>
      </c>
      <c r="F11274" s="38">
        <v>32.6325</v>
      </c>
      <c r="G11274" s="70">
        <f>IF(ISNUMBER(F11274),E11274*F11274,"")</f>
        <v>204.89294099999998</v>
      </c>
      <c r="H11274" s="71"/>
      <c r="I11274" s="72"/>
      <c r="J11274" s="37">
        <v>0</v>
      </c>
    </row>
    <row r="11275" spans="1:10" hidden="1" x14ac:dyDescent="0.25">
      <c r="A11275" s="179"/>
      <c r="B11275" s="177"/>
      <c r="C11275" s="43" t="s">
        <v>126</v>
      </c>
      <c r="D11275" s="6" t="s">
        <v>70</v>
      </c>
      <c r="E11275" s="44">
        <f>ROUND(3*3.6/75*(2.2*2.5)*2,4)</f>
        <v>1.5840000000000001</v>
      </c>
      <c r="F11275" s="70" t="s">
        <v>13</v>
      </c>
      <c r="G11275" s="70" t="str">
        <f>IF(ISNUMBER(F11275),E11275*F11275,"")</f>
        <v/>
      </c>
      <c r="H11275" s="71"/>
      <c r="I11275" s="72"/>
      <c r="J11275" s="37">
        <v>0</v>
      </c>
    </row>
    <row r="11276" spans="1:10" ht="15.75" hidden="1" thickBot="1" x14ac:dyDescent="0.3">
      <c r="A11276" s="180"/>
      <c r="B11276" s="178"/>
      <c r="C11276" s="49"/>
      <c r="D11276" s="63"/>
      <c r="E11276" s="50"/>
      <c r="F11276" s="83" t="s">
        <v>13</v>
      </c>
      <c r="G11276" s="83" t="str">
        <f>IF(ISNUMBER(F11276),E11276*F11276,"")</f>
        <v/>
      </c>
      <c r="H11276" s="84"/>
      <c r="I11276" s="72"/>
      <c r="J11276" s="37">
        <v>0</v>
      </c>
    </row>
    <row r="11277" spans="1:10" ht="15.75" hidden="1" thickBot="1" x14ac:dyDescent="0.3">
      <c r="A11277" s="173" t="s">
        <v>2765</v>
      </c>
      <c r="B11277" s="176" t="s">
        <v>2766</v>
      </c>
      <c r="C11277" s="31"/>
      <c r="D11277" s="32" t="s">
        <v>18</v>
      </c>
      <c r="E11277" s="33"/>
      <c r="F11277" s="60" t="s">
        <v>13</v>
      </c>
      <c r="G11277" s="34" t="str">
        <f>IF(ISNUMBER(F11277),E11277*F11277,"")</f>
        <v/>
      </c>
      <c r="H11277" s="35"/>
      <c r="I11277" s="36"/>
      <c r="J11277" s="37">
        <v>0</v>
      </c>
    </row>
    <row r="11278" spans="1:10" hidden="1" x14ac:dyDescent="0.25">
      <c r="A11278" s="179"/>
      <c r="B11278" s="177"/>
      <c r="C11278" s="39"/>
      <c r="D11278" s="39"/>
      <c r="E11278" s="40"/>
      <c r="F11278" s="70" t="s">
        <v>13</v>
      </c>
      <c r="G11278" s="70" t="str">
        <f>IF(ISNUMBER(F11278),E11278*F11278,"")</f>
        <v/>
      </c>
      <c r="H11278" s="71"/>
      <c r="I11278" s="72"/>
      <c r="J11278" s="37">
        <v>0</v>
      </c>
    </row>
    <row r="11279" spans="1:10" hidden="1" x14ac:dyDescent="0.25">
      <c r="A11279" s="179"/>
      <c r="B11279" s="177"/>
      <c r="C11279" s="43" t="s">
        <v>2766</v>
      </c>
      <c r="D11279" s="43" t="s">
        <v>83</v>
      </c>
      <c r="E11279" s="44">
        <v>1</v>
      </c>
      <c r="F11279" s="38" t="s">
        <v>13</v>
      </c>
      <c r="G11279" s="70" t="str">
        <f>IF(ISNUMBER(F11279),E11279*F11279,"")</f>
        <v/>
      </c>
      <c r="H11279" s="46">
        <f>SUM(G11279:G11281)</f>
        <v>18.211233287500001</v>
      </c>
      <c r="I11279" s="47"/>
      <c r="J11279" s="37">
        <v>0</v>
      </c>
    </row>
    <row r="11280" spans="1:10" hidden="1" x14ac:dyDescent="0.25">
      <c r="A11280" s="179"/>
      <c r="B11280" s="177"/>
      <c r="C11280" s="43" t="s">
        <v>10762</v>
      </c>
      <c r="D11280" s="43" t="s">
        <v>2800</v>
      </c>
      <c r="E11280" s="44">
        <v>0.14506250000000001</v>
      </c>
      <c r="F11280" s="38">
        <v>24.946999999999999</v>
      </c>
      <c r="G11280" s="70">
        <f>IF(ISNUMBER(F11280),E11280*F11280,"")</f>
        <v>3.6188741875000003</v>
      </c>
      <c r="H11280" s="71"/>
      <c r="I11280" s="72"/>
      <c r="J11280" s="37">
        <v>0</v>
      </c>
    </row>
    <row r="11281" spans="1:10" hidden="1" x14ac:dyDescent="0.25">
      <c r="A11281" s="179"/>
      <c r="B11281" s="177"/>
      <c r="C11281" s="43" t="s">
        <v>10763</v>
      </c>
      <c r="D11281" s="43" t="s">
        <v>2800</v>
      </c>
      <c r="E11281" s="44">
        <v>0.4642</v>
      </c>
      <c r="F11281" s="38">
        <v>31.435500000000001</v>
      </c>
      <c r="G11281" s="70">
        <f>IF(ISNUMBER(F11281),E11281*F11281,"")</f>
        <v>14.592359100000001</v>
      </c>
      <c r="H11281" s="71"/>
      <c r="I11281" s="72"/>
      <c r="J11281" s="37">
        <v>0</v>
      </c>
    </row>
    <row r="11282" spans="1:10" ht="15.75" hidden="1" thickBot="1" x14ac:dyDescent="0.3">
      <c r="A11282" s="180"/>
      <c r="B11282" s="178"/>
      <c r="C11282" s="49"/>
      <c r="D11282" s="63"/>
      <c r="E11282" s="50"/>
      <c r="F11282" s="83" t="s">
        <v>13</v>
      </c>
      <c r="G11282" s="83" t="str">
        <f>IF(ISNUMBER(F11282),E11282*F11282,"")</f>
        <v/>
      </c>
      <c r="H11282" s="84"/>
      <c r="I11282" s="72"/>
      <c r="J11282" s="37">
        <v>0</v>
      </c>
    </row>
    <row r="11283" spans="1:10" ht="15.75" hidden="1" thickBot="1" x14ac:dyDescent="0.3">
      <c r="A11283" s="179" t="s">
        <v>2767</v>
      </c>
      <c r="B11283" s="177" t="s">
        <v>10295</v>
      </c>
      <c r="C11283" s="56"/>
      <c r="D11283" s="48" t="s">
        <v>3982</v>
      </c>
      <c r="E11283" s="95"/>
      <c r="F11283" s="96" t="s">
        <v>13</v>
      </c>
      <c r="G11283" s="97" t="str">
        <f>IF(ISNUMBER(F11283),E11283*F11283,"")</f>
        <v/>
      </c>
      <c r="H11283" s="98"/>
      <c r="I11283" s="36"/>
      <c r="J11283" s="37">
        <v>0</v>
      </c>
    </row>
    <row r="11284" spans="1:10" hidden="1" x14ac:dyDescent="0.25">
      <c r="A11284" s="179"/>
      <c r="B11284" s="177"/>
      <c r="C11284" s="39"/>
      <c r="D11284" s="39"/>
      <c r="E11284" s="40"/>
      <c r="F11284" s="70" t="s">
        <v>13</v>
      </c>
      <c r="G11284" s="70" t="str">
        <f>IF(ISNUMBER(F11284),E11284*F11284,"")</f>
        <v/>
      </c>
      <c r="H11284" s="71"/>
      <c r="I11284" s="72"/>
      <c r="J11284" s="37">
        <v>0</v>
      </c>
    </row>
    <row r="11285" spans="1:10" ht="25.5" hidden="1" x14ac:dyDescent="0.25">
      <c r="A11285" s="179"/>
      <c r="B11285" s="177"/>
      <c r="C11285" s="43" t="s">
        <v>10611</v>
      </c>
      <c r="D11285" s="43" t="s">
        <v>2800</v>
      </c>
      <c r="E11285" s="44" t="e">
        <f>IF(#REF!="Desonerado",ROUND(220/(1+'[1]Serviços SINAPI'!$E$6),4),ROUND(220/(1+'[1]Serviços SINAPI'!$F$6),4))</f>
        <v>#REF!</v>
      </c>
      <c r="F11285" s="38">
        <v>142.75650000000002</v>
      </c>
      <c r="G11285" s="70" t="e">
        <f>IF(ISNUMBER(F11285),E11285*F11285,"")</f>
        <v>#REF!</v>
      </c>
      <c r="H11285" s="46" t="e">
        <f>SUM(G11285:G11285)</f>
        <v>#REF!</v>
      </c>
      <c r="I11285" s="47"/>
      <c r="J11285" s="37">
        <v>0</v>
      </c>
    </row>
    <row r="11286" spans="1:10" hidden="1" x14ac:dyDescent="0.25">
      <c r="A11286" s="179"/>
      <c r="B11286" s="177"/>
      <c r="C11286" s="39"/>
      <c r="D11286" s="39"/>
      <c r="E11286" s="40"/>
      <c r="F11286" s="70" t="s">
        <v>13</v>
      </c>
      <c r="G11286" s="70" t="str">
        <f>IF(ISNUMBER(F11286),E11286*F11286,"")</f>
        <v/>
      </c>
      <c r="H11286" s="71"/>
      <c r="I11286" s="72"/>
      <c r="J11286" s="37">
        <v>0</v>
      </c>
    </row>
    <row r="11287" spans="1:10" ht="25.5" hidden="1" x14ac:dyDescent="0.25">
      <c r="A11287" s="179"/>
      <c r="B11287" s="177"/>
      <c r="C11287" s="4" t="s">
        <v>668</v>
      </c>
      <c r="D11287" s="39"/>
      <c r="E11287" s="40"/>
      <c r="F11287" s="70" t="s">
        <v>13</v>
      </c>
      <c r="G11287" s="70" t="str">
        <f>IF(ISNUMBER(F11287),E11287*F11287,"")</f>
        <v/>
      </c>
      <c r="H11287" s="71"/>
      <c r="I11287" s="72"/>
      <c r="J11287" s="37">
        <v>0</v>
      </c>
    </row>
    <row r="11288" spans="1:10" ht="15.75" hidden="1" thickBot="1" x14ac:dyDescent="0.3">
      <c r="A11288" s="180"/>
      <c r="B11288" s="178"/>
      <c r="C11288" s="49"/>
      <c r="D11288" s="63"/>
      <c r="E11288" s="50"/>
      <c r="F11288" s="83" t="s">
        <v>13</v>
      </c>
      <c r="G11288" s="83" t="str">
        <f>IF(ISNUMBER(F11288),E11288*F11288,"")</f>
        <v/>
      </c>
      <c r="H11288" s="84"/>
      <c r="I11288" s="72"/>
      <c r="J11288" s="37">
        <v>0</v>
      </c>
    </row>
    <row r="11289" spans="1:10" ht="15.75" hidden="1" thickBot="1" x14ac:dyDescent="0.3">
      <c r="A11289" s="179" t="s">
        <v>2768</v>
      </c>
      <c r="B11289" s="177" t="s">
        <v>10302</v>
      </c>
      <c r="C11289" s="56"/>
      <c r="D11289" s="48" t="s">
        <v>3982</v>
      </c>
      <c r="E11289" s="95"/>
      <c r="F11289" s="96" t="s">
        <v>13</v>
      </c>
      <c r="G11289" s="97" t="str">
        <f>IF(ISNUMBER(F11289),E11289*F11289,"")</f>
        <v/>
      </c>
      <c r="H11289" s="98"/>
      <c r="I11289" s="36"/>
      <c r="J11289" s="37">
        <v>0</v>
      </c>
    </row>
    <row r="11290" spans="1:10" hidden="1" x14ac:dyDescent="0.25">
      <c r="A11290" s="179"/>
      <c r="B11290" s="177"/>
      <c r="C11290" s="39"/>
      <c r="D11290" s="39"/>
      <c r="E11290" s="40"/>
      <c r="F11290" s="70" t="s">
        <v>13</v>
      </c>
      <c r="G11290" s="70" t="str">
        <f>IF(ISNUMBER(F11290),E11290*F11290,"")</f>
        <v/>
      </c>
      <c r="H11290" s="71"/>
      <c r="I11290" s="72"/>
      <c r="J11290" s="37">
        <v>0</v>
      </c>
    </row>
    <row r="11291" spans="1:10" hidden="1" x14ac:dyDescent="0.25">
      <c r="A11291" s="179"/>
      <c r="B11291" s="177"/>
      <c r="C11291" s="43" t="s">
        <v>11216</v>
      </c>
      <c r="D11291" s="43" t="s">
        <v>2800</v>
      </c>
      <c r="E11291" s="44" t="e">
        <f>IF(#REF!="Desonerado",ROUND(220/(1+'[1]Serviços SINAPI'!$E$6),4),ROUND(220/(1+'[1]Serviços SINAPI'!$F$6),4))</f>
        <v>#REF!</v>
      </c>
      <c r="F11291" s="38">
        <v>38.037999999999997</v>
      </c>
      <c r="G11291" s="70" t="e">
        <f>IF(ISNUMBER(F11291),E11291*F11291,"")</f>
        <v>#REF!</v>
      </c>
      <c r="H11291" s="46" t="e">
        <f>SUM(G11291:G11291)</f>
        <v>#REF!</v>
      </c>
      <c r="I11291" s="47"/>
      <c r="J11291" s="37">
        <v>0</v>
      </c>
    </row>
    <row r="11292" spans="1:10" hidden="1" x14ac:dyDescent="0.25">
      <c r="A11292" s="179"/>
      <c r="B11292" s="177"/>
      <c r="C11292" s="39"/>
      <c r="D11292" s="39"/>
      <c r="E11292" s="40"/>
      <c r="F11292" s="70" t="s">
        <v>13</v>
      </c>
      <c r="G11292" s="70" t="str">
        <f>IF(ISNUMBER(F11292),E11292*F11292,"")</f>
        <v/>
      </c>
      <c r="H11292" s="71"/>
      <c r="I11292" s="72"/>
      <c r="J11292" s="37">
        <v>0</v>
      </c>
    </row>
    <row r="11293" spans="1:10" ht="25.5" hidden="1" x14ac:dyDescent="0.25">
      <c r="A11293" s="179"/>
      <c r="B11293" s="177"/>
      <c r="C11293" s="4" t="s">
        <v>668</v>
      </c>
      <c r="D11293" s="39"/>
      <c r="E11293" s="40"/>
      <c r="F11293" s="70" t="s">
        <v>13</v>
      </c>
      <c r="G11293" s="70" t="str">
        <f>IF(ISNUMBER(F11293),E11293*F11293,"")</f>
        <v/>
      </c>
      <c r="H11293" s="71"/>
      <c r="I11293" s="72"/>
      <c r="J11293" s="37">
        <v>0</v>
      </c>
    </row>
    <row r="11294" spans="1:10" ht="15.75" hidden="1" thickBot="1" x14ac:dyDescent="0.3">
      <c r="A11294" s="180"/>
      <c r="B11294" s="178"/>
      <c r="C11294" s="49"/>
      <c r="D11294" s="63"/>
      <c r="E11294" s="50"/>
      <c r="F11294" s="83" t="s">
        <v>13</v>
      </c>
      <c r="G11294" s="83" t="str">
        <f>IF(ISNUMBER(F11294),E11294*F11294,"")</f>
        <v/>
      </c>
      <c r="H11294" s="84"/>
      <c r="I11294" s="72"/>
      <c r="J11294" s="37">
        <v>0</v>
      </c>
    </row>
    <row r="11295" spans="1:10" ht="15.75" hidden="1" thickBot="1" x14ac:dyDescent="0.3">
      <c r="A11295" s="179" t="s">
        <v>2769</v>
      </c>
      <c r="B11295" s="177" t="s">
        <v>10307</v>
      </c>
      <c r="C11295" s="56"/>
      <c r="D11295" s="48" t="s">
        <v>3982</v>
      </c>
      <c r="E11295" s="95"/>
      <c r="F11295" s="96" t="s">
        <v>13</v>
      </c>
      <c r="G11295" s="97" t="str">
        <f>IF(ISNUMBER(F11295),E11295*F11295,"")</f>
        <v/>
      </c>
      <c r="H11295" s="98"/>
      <c r="I11295" s="36"/>
      <c r="J11295" s="37">
        <v>0</v>
      </c>
    </row>
    <row r="11296" spans="1:10" hidden="1" x14ac:dyDescent="0.25">
      <c r="A11296" s="179"/>
      <c r="B11296" s="177"/>
      <c r="C11296" s="39"/>
      <c r="D11296" s="39"/>
      <c r="E11296" s="40"/>
      <c r="F11296" s="70" t="s">
        <v>13</v>
      </c>
      <c r="G11296" s="70" t="str">
        <f>IF(ISNUMBER(F11296),E11296*F11296,"")</f>
        <v/>
      </c>
      <c r="H11296" s="71"/>
      <c r="I11296" s="72"/>
      <c r="J11296" s="37">
        <v>0</v>
      </c>
    </row>
    <row r="11297" spans="1:10" ht="25.5" hidden="1" x14ac:dyDescent="0.25">
      <c r="A11297" s="179"/>
      <c r="B11297" s="177"/>
      <c r="C11297" s="43" t="s">
        <v>10611</v>
      </c>
      <c r="D11297" s="43" t="s">
        <v>2800</v>
      </c>
      <c r="E11297" s="44" t="e">
        <f>IF(#REF!="Desonerado",ROUND(220/(1+'[1]Serviços SINAPI'!$E$6),4),ROUND(220/(1+'[1]Serviços SINAPI'!$F$6),4))</f>
        <v>#REF!</v>
      </c>
      <c r="F11297" s="38">
        <v>142.75650000000002</v>
      </c>
      <c r="G11297" s="70" t="e">
        <f>IF(ISNUMBER(F11297),E11297*F11297,"")</f>
        <v>#REF!</v>
      </c>
      <c r="H11297" s="46" t="e">
        <f>SUM(G11297:G11297)</f>
        <v>#REF!</v>
      </c>
      <c r="I11297" s="47"/>
      <c r="J11297" s="37">
        <v>0</v>
      </c>
    </row>
    <row r="11298" spans="1:10" hidden="1" x14ac:dyDescent="0.25">
      <c r="A11298" s="179"/>
      <c r="B11298" s="177"/>
      <c r="C11298" s="39"/>
      <c r="D11298" s="39"/>
      <c r="E11298" s="40"/>
      <c r="F11298" s="70" t="s">
        <v>13</v>
      </c>
      <c r="G11298" s="70" t="str">
        <f>IF(ISNUMBER(F11298),E11298*F11298,"")</f>
        <v/>
      </c>
      <c r="H11298" s="71"/>
      <c r="I11298" s="72"/>
      <c r="J11298" s="37">
        <v>0</v>
      </c>
    </row>
    <row r="11299" spans="1:10" ht="25.5" hidden="1" x14ac:dyDescent="0.25">
      <c r="A11299" s="179"/>
      <c r="B11299" s="177"/>
      <c r="C11299" s="4" t="s">
        <v>668</v>
      </c>
      <c r="D11299" s="39"/>
      <c r="E11299" s="40"/>
      <c r="F11299" s="70" t="s">
        <v>13</v>
      </c>
      <c r="G11299" s="70" t="str">
        <f>IF(ISNUMBER(F11299),E11299*F11299,"")</f>
        <v/>
      </c>
      <c r="H11299" s="71"/>
      <c r="I11299" s="72"/>
      <c r="J11299" s="37">
        <v>0</v>
      </c>
    </row>
    <row r="11300" spans="1:10" ht="15.75" hidden="1" thickBot="1" x14ac:dyDescent="0.3">
      <c r="A11300" s="180"/>
      <c r="B11300" s="178"/>
      <c r="C11300" s="49"/>
      <c r="D11300" s="63"/>
      <c r="E11300" s="50"/>
      <c r="F11300" s="83" t="s">
        <v>13</v>
      </c>
      <c r="G11300" s="83" t="str">
        <f>IF(ISNUMBER(F11300),E11300*F11300,"")</f>
        <v/>
      </c>
      <c r="H11300" s="84"/>
      <c r="I11300" s="72"/>
      <c r="J11300" s="37">
        <v>0</v>
      </c>
    </row>
    <row r="11301" spans="1:10" ht="15.75" hidden="1" thickBot="1" x14ac:dyDescent="0.3">
      <c r="A11301" s="179" t="s">
        <v>2770</v>
      </c>
      <c r="B11301" s="177" t="s">
        <v>10308</v>
      </c>
      <c r="C11301" s="56"/>
      <c r="D11301" s="48" t="s">
        <v>3982</v>
      </c>
      <c r="E11301" s="95"/>
      <c r="F11301" s="96" t="s">
        <v>13</v>
      </c>
      <c r="G11301" s="97" t="str">
        <f>IF(ISNUMBER(F11301),E11301*F11301,"")</f>
        <v/>
      </c>
      <c r="H11301" s="98"/>
      <c r="I11301" s="36"/>
      <c r="J11301" s="37">
        <v>0</v>
      </c>
    </row>
    <row r="11302" spans="1:10" hidden="1" x14ac:dyDescent="0.25">
      <c r="A11302" s="179"/>
      <c r="B11302" s="177"/>
      <c r="C11302" s="39"/>
      <c r="D11302" s="39"/>
      <c r="E11302" s="40"/>
      <c r="F11302" s="70" t="s">
        <v>13</v>
      </c>
      <c r="G11302" s="70" t="str">
        <f>IF(ISNUMBER(F11302),E11302*F11302,"")</f>
        <v/>
      </c>
      <c r="H11302" s="71"/>
      <c r="I11302" s="72"/>
      <c r="J11302" s="37">
        <v>0</v>
      </c>
    </row>
    <row r="11303" spans="1:10" hidden="1" x14ac:dyDescent="0.25">
      <c r="A11303" s="179"/>
      <c r="B11303" s="177"/>
      <c r="C11303" s="43" t="s">
        <v>11081</v>
      </c>
      <c r="D11303" s="43" t="s">
        <v>2800</v>
      </c>
      <c r="E11303" s="44" t="e">
        <f>IF(#REF!="Desonerado",ROUND(220/(1+'[1]Serviços SINAPI'!$E$6),4),ROUND(220/(1+'[1]Serviços SINAPI'!$F$6),4))</f>
        <v>#REF!</v>
      </c>
      <c r="F11303" s="38">
        <v>19.845500000000001</v>
      </c>
      <c r="G11303" s="70" t="e">
        <f>IF(ISNUMBER(F11303),E11303*F11303,"")</f>
        <v>#REF!</v>
      </c>
      <c r="H11303" s="46" t="e">
        <f>SUM(G11303:G11303)</f>
        <v>#REF!</v>
      </c>
      <c r="I11303" s="47"/>
      <c r="J11303" s="37">
        <v>0</v>
      </c>
    </row>
    <row r="11304" spans="1:10" hidden="1" x14ac:dyDescent="0.25">
      <c r="A11304" s="179"/>
      <c r="B11304" s="177"/>
      <c r="C11304" s="39"/>
      <c r="D11304" s="39"/>
      <c r="E11304" s="40"/>
      <c r="F11304" s="70" t="s">
        <v>13</v>
      </c>
      <c r="G11304" s="70" t="str">
        <f>IF(ISNUMBER(F11304),E11304*F11304,"")</f>
        <v/>
      </c>
      <c r="H11304" s="71"/>
      <c r="I11304" s="72"/>
      <c r="J11304" s="37">
        <v>0</v>
      </c>
    </row>
    <row r="11305" spans="1:10" ht="25.5" hidden="1" x14ac:dyDescent="0.25">
      <c r="A11305" s="179"/>
      <c r="B11305" s="177"/>
      <c r="C11305" s="4" t="s">
        <v>668</v>
      </c>
      <c r="D11305" s="39"/>
      <c r="E11305" s="40"/>
      <c r="F11305" s="70" t="s">
        <v>13</v>
      </c>
      <c r="G11305" s="70" t="str">
        <f>IF(ISNUMBER(F11305),E11305*F11305,"")</f>
        <v/>
      </c>
      <c r="H11305" s="71"/>
      <c r="I11305" s="72"/>
      <c r="J11305" s="37">
        <v>0</v>
      </c>
    </row>
    <row r="11306" spans="1:10" ht="15.75" hidden="1" thickBot="1" x14ac:dyDescent="0.3">
      <c r="A11306" s="180"/>
      <c r="B11306" s="178"/>
      <c r="C11306" s="49"/>
      <c r="D11306" s="63"/>
      <c r="E11306" s="50"/>
      <c r="F11306" s="83" t="s">
        <v>13</v>
      </c>
      <c r="G11306" s="83" t="str">
        <f>IF(ISNUMBER(F11306),E11306*F11306,"")</f>
        <v/>
      </c>
      <c r="H11306" s="84"/>
      <c r="I11306" s="72"/>
      <c r="J11306" s="37">
        <v>0</v>
      </c>
    </row>
    <row r="11307" spans="1:10" ht="15.75" hidden="1" thickBot="1" x14ac:dyDescent="0.3">
      <c r="A11307" s="173" t="s">
        <v>2771</v>
      </c>
      <c r="B11307" s="176" t="s">
        <v>10309</v>
      </c>
      <c r="C11307" s="31"/>
      <c r="D11307" s="32" t="s">
        <v>18</v>
      </c>
      <c r="E11307" s="33"/>
      <c r="F11307" s="54" t="s">
        <v>13</v>
      </c>
      <c r="G11307" s="34" t="str">
        <f>IF(ISNUMBER(F11307),E11307*F11307,"")</f>
        <v/>
      </c>
      <c r="H11307" s="35"/>
      <c r="I11307" s="36"/>
      <c r="J11307" s="37">
        <v>0</v>
      </c>
    </row>
    <row r="11308" spans="1:10" hidden="1" x14ac:dyDescent="0.25">
      <c r="A11308" s="174"/>
      <c r="B11308" s="177"/>
      <c r="C11308" s="39"/>
      <c r="D11308" s="39"/>
      <c r="E11308" s="40"/>
      <c r="F11308" s="55" t="s">
        <v>13</v>
      </c>
      <c r="G11308" s="38" t="str">
        <f>IF(ISNUMBER(F11308),E11308*F11308,"")</f>
        <v/>
      </c>
      <c r="H11308" s="42"/>
      <c r="I11308" s="38"/>
      <c r="J11308" s="37">
        <v>0</v>
      </c>
    </row>
    <row r="11309" spans="1:10" ht="25.5" hidden="1" x14ac:dyDescent="0.25">
      <c r="A11309" s="174"/>
      <c r="B11309" s="177"/>
      <c r="C11309" s="43" t="s">
        <v>2772</v>
      </c>
      <c r="D11309" s="43" t="s">
        <v>87</v>
      </c>
      <c r="E11309" s="44">
        <v>1</v>
      </c>
      <c r="F11309" s="41" t="s">
        <v>13</v>
      </c>
      <c r="G11309" s="38" t="str">
        <f>IF(ISNUMBER(F11309),E11309*F11309,"")</f>
        <v/>
      </c>
      <c r="H11309" s="46">
        <f>SUM(G11309:G11315)</f>
        <v>18.211233287500001</v>
      </c>
      <c r="I11309" s="47"/>
      <c r="J11309" s="37">
        <v>0</v>
      </c>
    </row>
    <row r="11310" spans="1:10" hidden="1" x14ac:dyDescent="0.25">
      <c r="A11310" s="174"/>
      <c r="B11310" s="177"/>
      <c r="C11310" s="43" t="s">
        <v>2773</v>
      </c>
      <c r="D11310" s="43" t="s">
        <v>87</v>
      </c>
      <c r="E11310" s="44">
        <v>2</v>
      </c>
      <c r="F11310" s="41" t="s">
        <v>13</v>
      </c>
      <c r="G11310" s="38" t="str">
        <f>IF(ISNUMBER(F11310),E11310*F11310,"")</f>
        <v/>
      </c>
      <c r="H11310" s="58"/>
      <c r="I11310" s="59"/>
      <c r="J11310" s="37">
        <v>0</v>
      </c>
    </row>
    <row r="11311" spans="1:10" ht="25.5" hidden="1" x14ac:dyDescent="0.25">
      <c r="A11311" s="174"/>
      <c r="B11311" s="177"/>
      <c r="C11311" s="43" t="s">
        <v>410</v>
      </c>
      <c r="D11311" s="43" t="s">
        <v>106</v>
      </c>
      <c r="E11311" s="44">
        <v>1.5</v>
      </c>
      <c r="F11311" s="41" t="s">
        <v>13</v>
      </c>
      <c r="G11311" s="38" t="str">
        <f>IF(ISNUMBER(F11311),E11311*F11311,"")</f>
        <v/>
      </c>
      <c r="H11311" s="42"/>
      <c r="I11311" s="38"/>
      <c r="J11311" s="37">
        <v>0</v>
      </c>
    </row>
    <row r="11312" spans="1:10" hidden="1" x14ac:dyDescent="0.25">
      <c r="A11312" s="174"/>
      <c r="B11312" s="177"/>
      <c r="C11312" s="43" t="s">
        <v>411</v>
      </c>
      <c r="D11312" s="43" t="s">
        <v>87</v>
      </c>
      <c r="E11312" s="44">
        <v>1</v>
      </c>
      <c r="F11312" s="41" t="s">
        <v>13</v>
      </c>
      <c r="G11312" s="38" t="str">
        <f>IF(ISNUMBER(F11312),E11312*F11312,"")</f>
        <v/>
      </c>
      <c r="H11312" s="42"/>
      <c r="I11312" s="38"/>
      <c r="J11312" s="37">
        <v>0</v>
      </c>
    </row>
    <row r="11313" spans="1:10" hidden="1" x14ac:dyDescent="0.25">
      <c r="A11313" s="174"/>
      <c r="B11313" s="177"/>
      <c r="C11313" s="43" t="s">
        <v>412</v>
      </c>
      <c r="D11313" s="43" t="s">
        <v>87</v>
      </c>
      <c r="E11313" s="44">
        <v>1</v>
      </c>
      <c r="F11313" s="41" t="s">
        <v>13</v>
      </c>
      <c r="G11313" s="38" t="str">
        <f>IF(ISNUMBER(F11313),E11313*F11313,"")</f>
        <v/>
      </c>
      <c r="H11313" s="42"/>
      <c r="I11313" s="38"/>
      <c r="J11313" s="37">
        <v>0</v>
      </c>
    </row>
    <row r="11314" spans="1:10" hidden="1" x14ac:dyDescent="0.25">
      <c r="A11314" s="174"/>
      <c r="B11314" s="177"/>
      <c r="C11314" s="43" t="s">
        <v>10762</v>
      </c>
      <c r="D11314" s="43" t="s">
        <v>2800</v>
      </c>
      <c r="E11314" s="44">
        <v>0.14506250000000001</v>
      </c>
      <c r="F11314" s="38">
        <v>24.946999999999999</v>
      </c>
      <c r="G11314" s="41">
        <f>IF(ISNUMBER(F11314),E11314*F11314,"")</f>
        <v>3.6188741875000003</v>
      </c>
      <c r="H11314" s="42"/>
      <c r="I11314" s="38"/>
      <c r="J11314" s="37">
        <v>0</v>
      </c>
    </row>
    <row r="11315" spans="1:10" hidden="1" x14ac:dyDescent="0.25">
      <c r="A11315" s="174"/>
      <c r="B11315" s="177"/>
      <c r="C11315" s="43" t="s">
        <v>10763</v>
      </c>
      <c r="D11315" s="43" t="s">
        <v>2800</v>
      </c>
      <c r="E11315" s="44">
        <v>0.4642</v>
      </c>
      <c r="F11315" s="38">
        <v>31.435500000000001</v>
      </c>
      <c r="G11315" s="38">
        <f>IF(ISNUMBER(F11315),E11315*F11315,"")</f>
        <v>14.592359100000001</v>
      </c>
      <c r="H11315" s="42"/>
      <c r="I11315" s="38"/>
      <c r="J11315" s="37">
        <v>0</v>
      </c>
    </row>
    <row r="11316" spans="1:10" ht="15.75" hidden="1" thickBot="1" x14ac:dyDescent="0.3">
      <c r="A11316" s="175"/>
      <c r="B11316" s="178"/>
      <c r="C11316" s="49"/>
      <c r="D11316" s="49"/>
      <c r="E11316" s="50"/>
      <c r="F11316" s="51" t="s">
        <v>13</v>
      </c>
      <c r="G11316" s="51" t="str">
        <f>IF(ISNUMBER(F11316),E11316*F11316,"")</f>
        <v/>
      </c>
      <c r="H11316" s="53"/>
      <c r="I11316" s="38"/>
      <c r="J11316" s="37">
        <v>0</v>
      </c>
    </row>
    <row r="11317" spans="1:10" ht="15.75" hidden="1" thickBot="1" x14ac:dyDescent="0.3">
      <c r="A11317" s="173" t="s">
        <v>2774</v>
      </c>
      <c r="B11317" s="176" t="s">
        <v>10316</v>
      </c>
      <c r="C11317" s="31"/>
      <c r="D11317" s="32" t="s">
        <v>18</v>
      </c>
      <c r="E11317" s="33"/>
      <c r="F11317" s="60" t="s">
        <v>13</v>
      </c>
      <c r="G11317" s="34" t="str">
        <f>IF(ISNUMBER(F11317),E11317*F11317,"")</f>
        <v/>
      </c>
      <c r="H11317" s="35"/>
      <c r="I11317" s="36"/>
      <c r="J11317" s="37">
        <v>0</v>
      </c>
    </row>
    <row r="11318" spans="1:10" hidden="1" x14ac:dyDescent="0.25">
      <c r="A11318" s="179"/>
      <c r="B11318" s="177"/>
      <c r="C11318" s="39"/>
      <c r="D11318" s="39"/>
      <c r="E11318" s="40"/>
      <c r="F11318" s="70" t="s">
        <v>13</v>
      </c>
      <c r="G11318" s="70" t="str">
        <f>IF(ISNUMBER(F11318),E11318*F11318,"")</f>
        <v/>
      </c>
      <c r="H11318" s="71"/>
      <c r="I11318" s="72"/>
      <c r="J11318" s="37">
        <v>0</v>
      </c>
    </row>
    <row r="11319" spans="1:10" hidden="1" x14ac:dyDescent="0.25">
      <c r="A11319" s="179"/>
      <c r="B11319" s="177"/>
      <c r="C11319" s="43" t="s">
        <v>11876</v>
      </c>
      <c r="D11319" s="43" t="s">
        <v>83</v>
      </c>
      <c r="E11319" s="44">
        <v>1</v>
      </c>
      <c r="F11319" s="38">
        <v>23.683499999999999</v>
      </c>
      <c r="G11319" s="70">
        <f>IF(ISNUMBER(F11319),E11319*F11319,"")</f>
        <v>23.683499999999999</v>
      </c>
      <c r="H11319" s="46">
        <f>SUM(G11319:G11319)</f>
        <v>23.683499999999999</v>
      </c>
      <c r="I11319" s="47"/>
      <c r="J11319" s="37">
        <v>0</v>
      </c>
    </row>
    <row r="11320" spans="1:10" ht="15.75" hidden="1" thickBot="1" x14ac:dyDescent="0.3">
      <c r="A11320" s="180"/>
      <c r="B11320" s="178"/>
      <c r="C11320" s="49"/>
      <c r="D11320" s="63"/>
      <c r="E11320" s="50"/>
      <c r="F11320" s="83" t="s">
        <v>13</v>
      </c>
      <c r="G11320" s="83" t="str">
        <f>IF(ISNUMBER(F11320),E11320*F11320,"")</f>
        <v/>
      </c>
      <c r="H11320" s="84"/>
      <c r="I11320" s="72"/>
      <c r="J11320" s="37">
        <v>0</v>
      </c>
    </row>
    <row r="11321" spans="1:10" ht="15.75" hidden="1" thickBot="1" x14ac:dyDescent="0.3">
      <c r="A11321" s="173" t="s">
        <v>2775</v>
      </c>
      <c r="B11321" s="176" t="s">
        <v>10317</v>
      </c>
      <c r="C11321" s="31"/>
      <c r="D11321" s="32" t="s">
        <v>18</v>
      </c>
      <c r="E11321" s="33"/>
      <c r="F11321" s="60" t="s">
        <v>13</v>
      </c>
      <c r="G11321" s="34" t="str">
        <f>IF(ISNUMBER(F11321),E11321*F11321,"")</f>
        <v/>
      </c>
      <c r="H11321" s="35"/>
      <c r="I11321" s="36"/>
      <c r="J11321" s="37">
        <v>0</v>
      </c>
    </row>
    <row r="11322" spans="1:10" hidden="1" x14ac:dyDescent="0.25">
      <c r="A11322" s="179"/>
      <c r="B11322" s="177"/>
      <c r="C11322" s="39"/>
      <c r="D11322" s="39"/>
      <c r="E11322" s="40"/>
      <c r="F11322" s="70" t="s">
        <v>13</v>
      </c>
      <c r="G11322" s="70" t="str">
        <f>IF(ISNUMBER(F11322),E11322*F11322,"")</f>
        <v/>
      </c>
      <c r="H11322" s="71"/>
      <c r="I11322" s="72"/>
      <c r="J11322" s="37">
        <v>0</v>
      </c>
    </row>
    <row r="11323" spans="1:10" ht="25.5" hidden="1" x14ac:dyDescent="0.25">
      <c r="A11323" s="179"/>
      <c r="B11323" s="177"/>
      <c r="C11323" s="43" t="s">
        <v>11667</v>
      </c>
      <c r="D11323" s="43" t="s">
        <v>83</v>
      </c>
      <c r="E11323" s="44">
        <v>1</v>
      </c>
      <c r="F11323" s="38">
        <v>9.9085000000000001</v>
      </c>
      <c r="G11323" s="70">
        <f>IF(ISNUMBER(F11323),E11323*F11323,"")</f>
        <v>9.9085000000000001</v>
      </c>
      <c r="H11323" s="46">
        <f>SUM(G11323:G11323)</f>
        <v>9.9085000000000001</v>
      </c>
      <c r="I11323" s="47"/>
      <c r="J11323" s="37">
        <v>0</v>
      </c>
    </row>
    <row r="11324" spans="1:10" ht="15.75" hidden="1" thickBot="1" x14ac:dyDescent="0.3">
      <c r="A11324" s="180"/>
      <c r="B11324" s="178"/>
      <c r="C11324" s="49"/>
      <c r="D11324" s="63"/>
      <c r="E11324" s="50"/>
      <c r="F11324" s="83" t="s">
        <v>13</v>
      </c>
      <c r="G11324" s="83" t="str">
        <f>IF(ISNUMBER(F11324),E11324*F11324,"")</f>
        <v/>
      </c>
      <c r="H11324" s="84"/>
      <c r="I11324" s="72"/>
      <c r="J11324" s="37">
        <v>0</v>
      </c>
    </row>
    <row r="11325" spans="1:10" ht="15.75" hidden="1" thickBot="1" x14ac:dyDescent="0.3">
      <c r="A11325" s="173" t="s">
        <v>2776</v>
      </c>
      <c r="B11325" s="176" t="s">
        <v>10318</v>
      </c>
      <c r="C11325" s="31"/>
      <c r="D11325" s="32" t="s">
        <v>18</v>
      </c>
      <c r="E11325" s="33"/>
      <c r="F11325" s="54" t="s">
        <v>13</v>
      </c>
      <c r="G11325" s="34" t="str">
        <f>IF(ISNUMBER(F11325),E11325*F11325,"")</f>
        <v/>
      </c>
      <c r="H11325" s="35"/>
      <c r="I11325" s="36"/>
      <c r="J11325" s="37">
        <v>0</v>
      </c>
    </row>
    <row r="11326" spans="1:10" hidden="1" x14ac:dyDescent="0.25">
      <c r="A11326" s="174"/>
      <c r="B11326" s="177"/>
      <c r="C11326" s="39"/>
      <c r="D11326" s="39"/>
      <c r="E11326" s="40"/>
      <c r="F11326" s="55" t="s">
        <v>13</v>
      </c>
      <c r="G11326" s="38" t="str">
        <f>IF(ISNUMBER(F11326),E11326*F11326,"")</f>
        <v/>
      </c>
      <c r="H11326" s="42"/>
      <c r="I11326" s="38"/>
      <c r="J11326" s="37">
        <v>0</v>
      </c>
    </row>
    <row r="11327" spans="1:10" ht="25.5" hidden="1" x14ac:dyDescent="0.25">
      <c r="A11327" s="174"/>
      <c r="B11327" s="177"/>
      <c r="C11327" s="43" t="s">
        <v>2777</v>
      </c>
      <c r="D11327" s="43" t="s">
        <v>87</v>
      </c>
      <c r="E11327" s="44">
        <v>1</v>
      </c>
      <c r="F11327" s="41" t="s">
        <v>13</v>
      </c>
      <c r="G11327" s="38" t="str">
        <f>IF(ISNUMBER(F11327),E11327*F11327,"")</f>
        <v/>
      </c>
      <c r="H11327" s="46">
        <f>SUM(G11327:G11333)</f>
        <v>18.211233287500001</v>
      </c>
      <c r="I11327" s="47"/>
      <c r="J11327" s="37">
        <v>0</v>
      </c>
    </row>
    <row r="11328" spans="1:10" hidden="1" x14ac:dyDescent="0.25">
      <c r="A11328" s="174"/>
      <c r="B11328" s="177"/>
      <c r="C11328" s="43" t="s">
        <v>2773</v>
      </c>
      <c r="D11328" s="43" t="s">
        <v>87</v>
      </c>
      <c r="E11328" s="44">
        <v>2</v>
      </c>
      <c r="F11328" s="41" t="s">
        <v>13</v>
      </c>
      <c r="G11328" s="38" t="str">
        <f>IF(ISNUMBER(F11328),E11328*F11328,"")</f>
        <v/>
      </c>
      <c r="H11328" s="58"/>
      <c r="I11328" s="59"/>
      <c r="J11328" s="37">
        <v>0</v>
      </c>
    </row>
    <row r="11329" spans="1:10" ht="25.5" hidden="1" x14ac:dyDescent="0.25">
      <c r="A11329" s="174"/>
      <c r="B11329" s="177"/>
      <c r="C11329" s="43" t="s">
        <v>410</v>
      </c>
      <c r="D11329" s="43" t="s">
        <v>106</v>
      </c>
      <c r="E11329" s="44">
        <v>1.5</v>
      </c>
      <c r="F11329" s="41" t="s">
        <v>13</v>
      </c>
      <c r="G11329" s="38" t="str">
        <f>IF(ISNUMBER(F11329),E11329*F11329,"")</f>
        <v/>
      </c>
      <c r="H11329" s="42"/>
      <c r="I11329" s="38"/>
      <c r="J11329" s="37">
        <v>0</v>
      </c>
    </row>
    <row r="11330" spans="1:10" hidden="1" x14ac:dyDescent="0.25">
      <c r="A11330" s="174"/>
      <c r="B11330" s="177"/>
      <c r="C11330" s="43" t="s">
        <v>411</v>
      </c>
      <c r="D11330" s="43" t="s">
        <v>87</v>
      </c>
      <c r="E11330" s="44">
        <v>1</v>
      </c>
      <c r="F11330" s="41" t="s">
        <v>13</v>
      </c>
      <c r="G11330" s="38" t="str">
        <f>IF(ISNUMBER(F11330),E11330*F11330,"")</f>
        <v/>
      </c>
      <c r="H11330" s="42"/>
      <c r="I11330" s="38"/>
      <c r="J11330" s="37">
        <v>0</v>
      </c>
    </row>
    <row r="11331" spans="1:10" hidden="1" x14ac:dyDescent="0.25">
      <c r="A11331" s="174"/>
      <c r="B11331" s="177"/>
      <c r="C11331" s="43" t="s">
        <v>412</v>
      </c>
      <c r="D11331" s="43" t="s">
        <v>87</v>
      </c>
      <c r="E11331" s="44">
        <v>1</v>
      </c>
      <c r="F11331" s="41" t="s">
        <v>13</v>
      </c>
      <c r="G11331" s="38" t="str">
        <f>IF(ISNUMBER(F11331),E11331*F11331,"")</f>
        <v/>
      </c>
      <c r="H11331" s="42"/>
      <c r="I11331" s="38"/>
      <c r="J11331" s="37">
        <v>0</v>
      </c>
    </row>
    <row r="11332" spans="1:10" hidden="1" x14ac:dyDescent="0.25">
      <c r="A11332" s="174"/>
      <c r="B11332" s="177"/>
      <c r="C11332" s="43" t="s">
        <v>10762</v>
      </c>
      <c r="D11332" s="43" t="s">
        <v>2800</v>
      </c>
      <c r="E11332" s="44">
        <v>0.14506250000000001</v>
      </c>
      <c r="F11332" s="38">
        <v>24.946999999999999</v>
      </c>
      <c r="G11332" s="41">
        <f>IF(ISNUMBER(F11332),E11332*F11332,"")</f>
        <v>3.6188741875000003</v>
      </c>
      <c r="H11332" s="42"/>
      <c r="I11332" s="38"/>
      <c r="J11332" s="37">
        <v>0</v>
      </c>
    </row>
    <row r="11333" spans="1:10" hidden="1" x14ac:dyDescent="0.25">
      <c r="A11333" s="174"/>
      <c r="B11333" s="177"/>
      <c r="C11333" s="43" t="s">
        <v>10763</v>
      </c>
      <c r="D11333" s="43" t="s">
        <v>2800</v>
      </c>
      <c r="E11333" s="44">
        <v>0.4642</v>
      </c>
      <c r="F11333" s="38">
        <v>31.435500000000001</v>
      </c>
      <c r="G11333" s="38">
        <f>IF(ISNUMBER(F11333),E11333*F11333,"")</f>
        <v>14.592359100000001</v>
      </c>
      <c r="H11333" s="42"/>
      <c r="I11333" s="38"/>
      <c r="J11333" s="37">
        <v>0</v>
      </c>
    </row>
    <row r="11334" spans="1:10" ht="15.75" hidden="1" thickBot="1" x14ac:dyDescent="0.3">
      <c r="A11334" s="175"/>
      <c r="B11334" s="178"/>
      <c r="C11334" s="49"/>
      <c r="D11334" s="49"/>
      <c r="E11334" s="50"/>
      <c r="F11334" s="51" t="s">
        <v>13</v>
      </c>
      <c r="G11334" s="51" t="str">
        <f>IF(ISNUMBER(F11334),E11334*F11334,"")</f>
        <v/>
      </c>
      <c r="H11334" s="53"/>
      <c r="I11334" s="38"/>
      <c r="J11334" s="37">
        <v>0</v>
      </c>
    </row>
    <row r="11335" spans="1:10" ht="15.75" hidden="1" thickBot="1" x14ac:dyDescent="0.3">
      <c r="A11335" s="173" t="s">
        <v>2778</v>
      </c>
      <c r="B11335" s="176" t="s">
        <v>10319</v>
      </c>
      <c r="C11335" s="31"/>
      <c r="D11335" s="32" t="s">
        <v>18</v>
      </c>
      <c r="E11335" s="33"/>
      <c r="F11335" s="54" t="s">
        <v>13</v>
      </c>
      <c r="G11335" s="34" t="str">
        <f>IF(ISNUMBER(F11335),E11335*F11335,"")</f>
        <v/>
      </c>
      <c r="H11335" s="35"/>
      <c r="I11335" s="36"/>
      <c r="J11335" s="37">
        <v>0</v>
      </c>
    </row>
    <row r="11336" spans="1:10" hidden="1" x14ac:dyDescent="0.25">
      <c r="A11336" s="174"/>
      <c r="B11336" s="177"/>
      <c r="C11336" s="39"/>
      <c r="D11336" s="39"/>
      <c r="E11336" s="40"/>
      <c r="F11336" s="55" t="s">
        <v>13</v>
      </c>
      <c r="G11336" s="38" t="str">
        <f>IF(ISNUMBER(F11336),E11336*F11336,"")</f>
        <v/>
      </c>
      <c r="H11336" s="42"/>
      <c r="I11336" s="38"/>
      <c r="J11336" s="37">
        <v>0</v>
      </c>
    </row>
    <row r="11337" spans="1:10" ht="25.5" hidden="1" x14ac:dyDescent="0.25">
      <c r="A11337" s="174"/>
      <c r="B11337" s="177"/>
      <c r="C11337" s="43" t="s">
        <v>2779</v>
      </c>
      <c r="D11337" s="43" t="s">
        <v>87</v>
      </c>
      <c r="E11337" s="44">
        <v>1</v>
      </c>
      <c r="F11337" s="41" t="s">
        <v>13</v>
      </c>
      <c r="G11337" s="38" t="str">
        <f>IF(ISNUMBER(F11337),E11337*F11337,"")</f>
        <v/>
      </c>
      <c r="H11337" s="46">
        <f>SUM(G11337:G11343)</f>
        <v>18.211233287500001</v>
      </c>
      <c r="I11337" s="47"/>
      <c r="J11337" s="37">
        <v>0</v>
      </c>
    </row>
    <row r="11338" spans="1:10" hidden="1" x14ac:dyDescent="0.25">
      <c r="A11338" s="174"/>
      <c r="B11338" s="177"/>
      <c r="C11338" s="43" t="s">
        <v>2780</v>
      </c>
      <c r="D11338" s="43" t="s">
        <v>87</v>
      </c>
      <c r="E11338" s="44">
        <v>2</v>
      </c>
      <c r="F11338" s="41" t="s">
        <v>13</v>
      </c>
      <c r="G11338" s="38" t="str">
        <f>IF(ISNUMBER(F11338),E11338*F11338,"")</f>
        <v/>
      </c>
      <c r="H11338" s="58"/>
      <c r="I11338" s="59"/>
      <c r="J11338" s="37">
        <v>0</v>
      </c>
    </row>
    <row r="11339" spans="1:10" ht="25.5" hidden="1" x14ac:dyDescent="0.25">
      <c r="A11339" s="174"/>
      <c r="B11339" s="177"/>
      <c r="C11339" s="43" t="s">
        <v>410</v>
      </c>
      <c r="D11339" s="43" t="s">
        <v>106</v>
      </c>
      <c r="E11339" s="44">
        <v>1.5</v>
      </c>
      <c r="F11339" s="41" t="s">
        <v>13</v>
      </c>
      <c r="G11339" s="38" t="str">
        <f>IF(ISNUMBER(F11339),E11339*F11339,"")</f>
        <v/>
      </c>
      <c r="H11339" s="42"/>
      <c r="I11339" s="38"/>
      <c r="J11339" s="37">
        <v>0</v>
      </c>
    </row>
    <row r="11340" spans="1:10" hidden="1" x14ac:dyDescent="0.25">
      <c r="A11340" s="174"/>
      <c r="B11340" s="177"/>
      <c r="C11340" s="43" t="s">
        <v>411</v>
      </c>
      <c r="D11340" s="43" t="s">
        <v>87</v>
      </c>
      <c r="E11340" s="44">
        <v>1</v>
      </c>
      <c r="F11340" s="41" t="s">
        <v>13</v>
      </c>
      <c r="G11340" s="38" t="str">
        <f>IF(ISNUMBER(F11340),E11340*F11340,"")</f>
        <v/>
      </c>
      <c r="H11340" s="42"/>
      <c r="I11340" s="38"/>
      <c r="J11340" s="37">
        <v>0</v>
      </c>
    </row>
    <row r="11341" spans="1:10" hidden="1" x14ac:dyDescent="0.25">
      <c r="A11341" s="174"/>
      <c r="B11341" s="177"/>
      <c r="C11341" s="43" t="s">
        <v>412</v>
      </c>
      <c r="D11341" s="43" t="s">
        <v>87</v>
      </c>
      <c r="E11341" s="44">
        <v>1</v>
      </c>
      <c r="F11341" s="41" t="s">
        <v>13</v>
      </c>
      <c r="G11341" s="38" t="str">
        <f>IF(ISNUMBER(F11341),E11341*F11341,"")</f>
        <v/>
      </c>
      <c r="H11341" s="42"/>
      <c r="I11341" s="38"/>
      <c r="J11341" s="37">
        <v>0</v>
      </c>
    </row>
    <row r="11342" spans="1:10" hidden="1" x14ac:dyDescent="0.25">
      <c r="A11342" s="174"/>
      <c r="B11342" s="177"/>
      <c r="C11342" s="43" t="s">
        <v>10762</v>
      </c>
      <c r="D11342" s="43" t="s">
        <v>2800</v>
      </c>
      <c r="E11342" s="44">
        <v>0.14506250000000001</v>
      </c>
      <c r="F11342" s="38">
        <v>24.946999999999999</v>
      </c>
      <c r="G11342" s="41">
        <f>IF(ISNUMBER(F11342),E11342*F11342,"")</f>
        <v>3.6188741875000003</v>
      </c>
      <c r="H11342" s="42"/>
      <c r="I11342" s="38"/>
      <c r="J11342" s="37">
        <v>0</v>
      </c>
    </row>
    <row r="11343" spans="1:10" hidden="1" x14ac:dyDescent="0.25">
      <c r="A11343" s="174"/>
      <c r="B11343" s="177"/>
      <c r="C11343" s="43" t="s">
        <v>10763</v>
      </c>
      <c r="D11343" s="43" t="s">
        <v>2800</v>
      </c>
      <c r="E11343" s="44">
        <v>0.4642</v>
      </c>
      <c r="F11343" s="38">
        <v>31.435500000000001</v>
      </c>
      <c r="G11343" s="38">
        <f>IF(ISNUMBER(F11343),E11343*F11343,"")</f>
        <v>14.592359100000001</v>
      </c>
      <c r="H11343" s="42"/>
      <c r="I11343" s="38"/>
      <c r="J11343" s="37">
        <v>0</v>
      </c>
    </row>
    <row r="11344" spans="1:10" ht="15.75" hidden="1" thickBot="1" x14ac:dyDescent="0.3">
      <c r="A11344" s="175"/>
      <c r="B11344" s="178"/>
      <c r="C11344" s="49"/>
      <c r="D11344" s="49"/>
      <c r="E11344" s="50"/>
      <c r="F11344" s="51" t="s">
        <v>13</v>
      </c>
      <c r="G11344" s="51" t="str">
        <f>IF(ISNUMBER(F11344),E11344*F11344,"")</f>
        <v/>
      </c>
      <c r="H11344" s="53"/>
      <c r="I11344" s="38"/>
      <c r="J11344" s="37">
        <v>0</v>
      </c>
    </row>
    <row r="11345" spans="1:10" ht="15.75" hidden="1" thickBot="1" x14ac:dyDescent="0.3">
      <c r="A11345" s="173" t="s">
        <v>2781</v>
      </c>
      <c r="B11345" s="176" t="s">
        <v>10320</v>
      </c>
      <c r="C11345" s="31"/>
      <c r="D11345" s="32" t="s">
        <v>18</v>
      </c>
      <c r="E11345" s="33"/>
      <c r="F11345" s="54" t="s">
        <v>13</v>
      </c>
      <c r="G11345" s="34" t="str">
        <f>IF(ISNUMBER(F11345),E11345*F11345,"")</f>
        <v/>
      </c>
      <c r="H11345" s="35"/>
      <c r="I11345" s="36"/>
      <c r="J11345" s="37">
        <v>0</v>
      </c>
    </row>
    <row r="11346" spans="1:10" hidden="1" x14ac:dyDescent="0.25">
      <c r="A11346" s="174"/>
      <c r="B11346" s="177"/>
      <c r="C11346" s="39"/>
      <c r="D11346" s="39"/>
      <c r="E11346" s="40"/>
      <c r="F11346" s="55" t="s">
        <v>13</v>
      </c>
      <c r="G11346" s="38" t="str">
        <f>IF(ISNUMBER(F11346),E11346*F11346,"")</f>
        <v/>
      </c>
      <c r="H11346" s="42"/>
      <c r="I11346" s="38"/>
      <c r="J11346" s="37">
        <v>0</v>
      </c>
    </row>
    <row r="11347" spans="1:10" ht="25.5" hidden="1" x14ac:dyDescent="0.25">
      <c r="A11347" s="174"/>
      <c r="B11347" s="177"/>
      <c r="C11347" s="43" t="s">
        <v>2782</v>
      </c>
      <c r="D11347" s="43" t="s">
        <v>87</v>
      </c>
      <c r="E11347" s="44">
        <v>1</v>
      </c>
      <c r="F11347" s="41" t="s">
        <v>13</v>
      </c>
      <c r="G11347" s="38" t="str">
        <f>IF(ISNUMBER(F11347),E11347*F11347,"")</f>
        <v/>
      </c>
      <c r="H11347" s="46">
        <f>SUM(G11347:G11353)</f>
        <v>18.211233287500001</v>
      </c>
      <c r="I11347" s="47"/>
      <c r="J11347" s="37">
        <v>0</v>
      </c>
    </row>
    <row r="11348" spans="1:10" hidden="1" x14ac:dyDescent="0.25">
      <c r="A11348" s="174"/>
      <c r="B11348" s="177"/>
      <c r="C11348" s="43" t="s">
        <v>2780</v>
      </c>
      <c r="D11348" s="43" t="s">
        <v>87</v>
      </c>
      <c r="E11348" s="44">
        <v>2</v>
      </c>
      <c r="F11348" s="41" t="s">
        <v>13</v>
      </c>
      <c r="G11348" s="38" t="str">
        <f>IF(ISNUMBER(F11348),E11348*F11348,"")</f>
        <v/>
      </c>
      <c r="H11348" s="58"/>
      <c r="I11348" s="59"/>
      <c r="J11348" s="37">
        <v>0</v>
      </c>
    </row>
    <row r="11349" spans="1:10" ht="25.5" hidden="1" x14ac:dyDescent="0.25">
      <c r="A11349" s="174"/>
      <c r="B11349" s="177"/>
      <c r="C11349" s="43" t="s">
        <v>410</v>
      </c>
      <c r="D11349" s="43" t="s">
        <v>106</v>
      </c>
      <c r="E11349" s="44">
        <v>1.5</v>
      </c>
      <c r="F11349" s="41" t="s">
        <v>13</v>
      </c>
      <c r="G11349" s="38" t="str">
        <f>IF(ISNUMBER(F11349),E11349*F11349,"")</f>
        <v/>
      </c>
      <c r="H11349" s="42"/>
      <c r="I11349" s="38"/>
      <c r="J11349" s="37">
        <v>0</v>
      </c>
    </row>
    <row r="11350" spans="1:10" hidden="1" x14ac:dyDescent="0.25">
      <c r="A11350" s="174"/>
      <c r="B11350" s="177"/>
      <c r="C11350" s="43" t="s">
        <v>411</v>
      </c>
      <c r="D11350" s="43" t="s">
        <v>87</v>
      </c>
      <c r="E11350" s="44">
        <v>1</v>
      </c>
      <c r="F11350" s="41" t="s">
        <v>13</v>
      </c>
      <c r="G11350" s="38" t="str">
        <f>IF(ISNUMBER(F11350),E11350*F11350,"")</f>
        <v/>
      </c>
      <c r="H11350" s="42"/>
      <c r="I11350" s="38"/>
      <c r="J11350" s="37">
        <v>0</v>
      </c>
    </row>
    <row r="11351" spans="1:10" hidden="1" x14ac:dyDescent="0.25">
      <c r="A11351" s="174"/>
      <c r="B11351" s="177"/>
      <c r="C11351" s="43" t="s">
        <v>412</v>
      </c>
      <c r="D11351" s="43" t="s">
        <v>87</v>
      </c>
      <c r="E11351" s="44">
        <v>1</v>
      </c>
      <c r="F11351" s="41" t="s">
        <v>13</v>
      </c>
      <c r="G11351" s="38" t="str">
        <f>IF(ISNUMBER(F11351),E11351*F11351,"")</f>
        <v/>
      </c>
      <c r="H11351" s="42"/>
      <c r="I11351" s="38"/>
      <c r="J11351" s="37">
        <v>0</v>
      </c>
    </row>
    <row r="11352" spans="1:10" hidden="1" x14ac:dyDescent="0.25">
      <c r="A11352" s="174"/>
      <c r="B11352" s="177"/>
      <c r="C11352" s="43" t="s">
        <v>10762</v>
      </c>
      <c r="D11352" s="43" t="s">
        <v>2800</v>
      </c>
      <c r="E11352" s="44">
        <v>0.14506250000000001</v>
      </c>
      <c r="F11352" s="38">
        <v>24.946999999999999</v>
      </c>
      <c r="G11352" s="41">
        <f>IF(ISNUMBER(F11352),E11352*F11352,"")</f>
        <v>3.6188741875000003</v>
      </c>
      <c r="H11352" s="42"/>
      <c r="I11352" s="38"/>
      <c r="J11352" s="37">
        <v>0</v>
      </c>
    </row>
    <row r="11353" spans="1:10" hidden="1" x14ac:dyDescent="0.25">
      <c r="A11353" s="174"/>
      <c r="B11353" s="177"/>
      <c r="C11353" s="43" t="s">
        <v>10763</v>
      </c>
      <c r="D11353" s="43" t="s">
        <v>2800</v>
      </c>
      <c r="E11353" s="44">
        <v>0.4642</v>
      </c>
      <c r="F11353" s="38">
        <v>31.435500000000001</v>
      </c>
      <c r="G11353" s="38">
        <f>IF(ISNUMBER(F11353),E11353*F11353,"")</f>
        <v>14.592359100000001</v>
      </c>
      <c r="H11353" s="42"/>
      <c r="I11353" s="38"/>
      <c r="J11353" s="37">
        <v>0</v>
      </c>
    </row>
    <row r="11354" spans="1:10" ht="15.75" hidden="1" thickBot="1" x14ac:dyDescent="0.3">
      <c r="A11354" s="175"/>
      <c r="B11354" s="178"/>
      <c r="C11354" s="49"/>
      <c r="D11354" s="49"/>
      <c r="E11354" s="50"/>
      <c r="F11354" s="51" t="s">
        <v>13</v>
      </c>
      <c r="G11354" s="51" t="str">
        <f>IF(ISNUMBER(F11354),E11354*F11354,"")</f>
        <v/>
      </c>
      <c r="H11354" s="53"/>
      <c r="I11354" s="38"/>
      <c r="J11354" s="37">
        <v>0</v>
      </c>
    </row>
    <row r="11355" spans="1:10" ht="15.75" hidden="1" thickBot="1" x14ac:dyDescent="0.3">
      <c r="A11355" s="173" t="s">
        <v>2783</v>
      </c>
      <c r="B11355" s="176" t="s">
        <v>10343</v>
      </c>
      <c r="C11355" s="31"/>
      <c r="D11355" s="32" t="s">
        <v>18</v>
      </c>
      <c r="E11355" s="33"/>
      <c r="F11355" s="60" t="s">
        <v>13</v>
      </c>
      <c r="G11355" s="34" t="str">
        <f>IF(ISNUMBER(F11355),E11355*F11355,"")</f>
        <v/>
      </c>
      <c r="H11355" s="35"/>
      <c r="I11355" s="36"/>
      <c r="J11355" s="37">
        <v>0</v>
      </c>
    </row>
    <row r="11356" spans="1:10" hidden="1" x14ac:dyDescent="0.25">
      <c r="A11356" s="179"/>
      <c r="B11356" s="177"/>
      <c r="C11356" s="39"/>
      <c r="D11356" s="39"/>
      <c r="E11356" s="40"/>
      <c r="F11356" s="70" t="s">
        <v>13</v>
      </c>
      <c r="G11356" s="70" t="str">
        <f>IF(ISNUMBER(F11356),E11356*F11356,"")</f>
        <v/>
      </c>
      <c r="H11356" s="71"/>
      <c r="I11356" s="72"/>
      <c r="J11356" s="37">
        <v>0</v>
      </c>
    </row>
    <row r="11357" spans="1:10" ht="15" hidden="1" customHeight="1" x14ac:dyDescent="0.25">
      <c r="A11357" s="179"/>
      <c r="B11357" s="177"/>
      <c r="C11357" s="43" t="s">
        <v>2784</v>
      </c>
      <c r="D11357" s="43" t="s">
        <v>83</v>
      </c>
      <c r="E11357" s="44">
        <v>1</v>
      </c>
      <c r="F11357" s="70" t="s">
        <v>13</v>
      </c>
      <c r="G11357" s="70" t="str">
        <f>IF(ISNUMBER(F11357),E11357*F11357,"")</f>
        <v/>
      </c>
      <c r="H11357" s="46">
        <f t="shared" ref="H11357:H11361" si="24">SUM(G11357:G11357)</f>
        <v>0</v>
      </c>
      <c r="I11357" s="47"/>
      <c r="J11357" s="37">
        <v>0</v>
      </c>
    </row>
    <row r="11358" spans="1:10" ht="15.75" hidden="1" thickBot="1" x14ac:dyDescent="0.3">
      <c r="A11358" s="180"/>
      <c r="B11358" s="178"/>
      <c r="C11358" s="49"/>
      <c r="D11358" s="49"/>
      <c r="E11358" s="50"/>
      <c r="F11358" s="83" t="s">
        <v>13</v>
      </c>
      <c r="G11358" s="83" t="str">
        <f>IF(ISNUMBER(F11358),E11358*F11358,"")</f>
        <v/>
      </c>
      <c r="H11358" s="84"/>
      <c r="I11358" s="72"/>
      <c r="J11358" s="37">
        <v>0</v>
      </c>
    </row>
    <row r="11359" spans="1:10" ht="15.75" hidden="1" thickBot="1" x14ac:dyDescent="0.3">
      <c r="A11359" s="173" t="s">
        <v>2785</v>
      </c>
      <c r="B11359" s="176" t="s">
        <v>10344</v>
      </c>
      <c r="C11359" s="31"/>
      <c r="D11359" s="32" t="s">
        <v>18</v>
      </c>
      <c r="E11359" s="33"/>
      <c r="F11359" s="60" t="s">
        <v>13</v>
      </c>
      <c r="G11359" s="34" t="str">
        <f>IF(ISNUMBER(F11359),E11359*F11359,"")</f>
        <v/>
      </c>
      <c r="H11359" s="35"/>
      <c r="I11359" s="36"/>
      <c r="J11359" s="37">
        <v>0</v>
      </c>
    </row>
    <row r="11360" spans="1:10" hidden="1" x14ac:dyDescent="0.25">
      <c r="A11360" s="179"/>
      <c r="B11360" s="177"/>
      <c r="C11360" s="39"/>
      <c r="D11360" s="39"/>
      <c r="E11360" s="40"/>
      <c r="F11360" s="70" t="s">
        <v>13</v>
      </c>
      <c r="G11360" s="70" t="str">
        <f>IF(ISNUMBER(F11360),E11360*F11360,"")</f>
        <v/>
      </c>
      <c r="H11360" s="71"/>
      <c r="I11360" s="72"/>
      <c r="J11360" s="37">
        <v>0</v>
      </c>
    </row>
    <row r="11361" spans="1:10" ht="25.5" hidden="1" x14ac:dyDescent="0.25">
      <c r="A11361" s="179"/>
      <c r="B11361" s="177"/>
      <c r="C11361" s="43" t="s">
        <v>11877</v>
      </c>
      <c r="D11361" s="43" t="s">
        <v>83</v>
      </c>
      <c r="E11361" s="44">
        <v>1</v>
      </c>
      <c r="F11361" s="70">
        <v>48.725499999999997</v>
      </c>
      <c r="G11361" s="70">
        <f>IF(ISNUMBER(F11361),E11361*F11361,"")</f>
        <v>48.725499999999997</v>
      </c>
      <c r="H11361" s="46">
        <f t="shared" si="24"/>
        <v>48.725499999999997</v>
      </c>
      <c r="I11361" s="47"/>
      <c r="J11361" s="37">
        <v>0</v>
      </c>
    </row>
    <row r="11362" spans="1:10" ht="15.75" hidden="1" thickBot="1" x14ac:dyDescent="0.3">
      <c r="A11362" s="180"/>
      <c r="B11362" s="178"/>
      <c r="C11362" s="49"/>
      <c r="D11362" s="49"/>
      <c r="E11362" s="50"/>
      <c r="F11362" s="83" t="s">
        <v>13</v>
      </c>
      <c r="G11362" s="83" t="str">
        <f>IF(ISNUMBER(F11362),E11362*F11362,"")</f>
        <v/>
      </c>
      <c r="H11362" s="84"/>
      <c r="I11362" s="72"/>
      <c r="J11362" s="37">
        <v>0</v>
      </c>
    </row>
    <row r="11363" spans="1:10" ht="15.75" hidden="1" thickBot="1" x14ac:dyDescent="0.3">
      <c r="A11363" s="173" t="s">
        <v>2786</v>
      </c>
      <c r="B11363" s="176" t="s">
        <v>10347</v>
      </c>
      <c r="C11363" s="31"/>
      <c r="D11363" s="32" t="s">
        <v>18</v>
      </c>
      <c r="E11363" s="33"/>
      <c r="F11363" s="54" t="s">
        <v>13</v>
      </c>
      <c r="G11363" s="34" t="str">
        <f>IF(ISNUMBER(F11363),E11363*F11363,"")</f>
        <v/>
      </c>
      <c r="H11363" s="35"/>
      <c r="I11363" s="36"/>
      <c r="J11363" s="37">
        <v>0</v>
      </c>
    </row>
    <row r="11364" spans="1:10" hidden="1" x14ac:dyDescent="0.25">
      <c r="A11364" s="174"/>
      <c r="B11364" s="177"/>
      <c r="C11364" s="39"/>
      <c r="D11364" s="39"/>
      <c r="E11364" s="40"/>
      <c r="F11364" s="55" t="s">
        <v>13</v>
      </c>
      <c r="G11364" s="38" t="str">
        <f>IF(ISNUMBER(F11364),E11364*F11364,"")</f>
        <v/>
      </c>
      <c r="H11364" s="42"/>
      <c r="I11364" s="38"/>
      <c r="J11364" s="37">
        <v>0</v>
      </c>
    </row>
    <row r="11365" spans="1:10" ht="25.5" hidden="1" x14ac:dyDescent="0.25">
      <c r="A11365" s="174"/>
      <c r="B11365" s="177"/>
      <c r="C11365" s="43" t="s">
        <v>10713</v>
      </c>
      <c r="D11365" s="43" t="s">
        <v>2880</v>
      </c>
      <c r="E11365" s="44">
        <v>7.1999999999999998E-3</v>
      </c>
      <c r="F11365" s="38">
        <v>688.25221496250003</v>
      </c>
      <c r="G11365" s="41">
        <f>IF(ISNUMBER(F11365),E11365*F11365,"")</f>
        <v>4.9554159477299997</v>
      </c>
      <c r="H11365" s="46">
        <f>SUM(G11365:G11368)</f>
        <v>775.38695079773004</v>
      </c>
      <c r="I11365" s="47"/>
      <c r="J11365" s="37">
        <v>0</v>
      </c>
    </row>
    <row r="11366" spans="1:10" hidden="1" x14ac:dyDescent="0.25">
      <c r="A11366" s="174"/>
      <c r="B11366" s="177"/>
      <c r="C11366" s="43" t="s">
        <v>10614</v>
      </c>
      <c r="D11366" s="43" t="s">
        <v>2800</v>
      </c>
      <c r="E11366" s="44">
        <v>1.3080000000000001</v>
      </c>
      <c r="F11366" s="41">
        <v>23.693000000000001</v>
      </c>
      <c r="G11366" s="41">
        <f>IF(ISNUMBER(F11366),E11366*F11366,"")</f>
        <v>30.990444000000004</v>
      </c>
      <c r="H11366" s="42"/>
      <c r="I11366" s="38"/>
      <c r="J11366" s="37">
        <v>0</v>
      </c>
    </row>
    <row r="11367" spans="1:10" hidden="1" x14ac:dyDescent="0.25">
      <c r="A11367" s="174"/>
      <c r="B11367" s="177"/>
      <c r="C11367" s="43" t="s">
        <v>10757</v>
      </c>
      <c r="D11367" s="43" t="s">
        <v>2800</v>
      </c>
      <c r="E11367" s="44">
        <v>1.6647000000000001</v>
      </c>
      <c r="F11367" s="41">
        <v>31.055499999999995</v>
      </c>
      <c r="G11367" s="41">
        <f>IF(ISNUMBER(F11367),E11367*F11367,"")</f>
        <v>51.698090849999993</v>
      </c>
      <c r="H11367" s="42"/>
      <c r="I11367" s="38"/>
      <c r="J11367" s="37">
        <v>0</v>
      </c>
    </row>
    <row r="11368" spans="1:10" ht="38.25" hidden="1" x14ac:dyDescent="0.25">
      <c r="A11368" s="174"/>
      <c r="B11368" s="177"/>
      <c r="C11368" s="43" t="s">
        <v>11878</v>
      </c>
      <c r="D11368" s="43" t="s">
        <v>83</v>
      </c>
      <c r="E11368" s="44">
        <v>1</v>
      </c>
      <c r="F11368" s="41">
        <v>687.74300000000005</v>
      </c>
      <c r="G11368" s="41">
        <f>IF(ISNUMBER(F11368),E11368*F11368,"")</f>
        <v>687.74300000000005</v>
      </c>
      <c r="H11368" s="42"/>
      <c r="I11368" s="38"/>
      <c r="J11368" s="37">
        <v>0</v>
      </c>
    </row>
    <row r="11369" spans="1:10" ht="15.75" hidden="1" thickBot="1" x14ac:dyDescent="0.3">
      <c r="A11369" s="175"/>
      <c r="B11369" s="178"/>
      <c r="C11369" s="49"/>
      <c r="D11369" s="49"/>
      <c r="E11369" s="50"/>
      <c r="F11369" s="51" t="s">
        <v>13</v>
      </c>
      <c r="G11369" s="51" t="str">
        <f>IF(ISNUMBER(F11369),E11369*F11369,"")</f>
        <v/>
      </c>
      <c r="H11369" s="53"/>
      <c r="I11369" s="38"/>
      <c r="J11369" s="37">
        <v>0</v>
      </c>
    </row>
    <row r="11370" spans="1:10" ht="15.75" hidden="1" thickBot="1" x14ac:dyDescent="0.3">
      <c r="A11370" s="173" t="s">
        <v>2787</v>
      </c>
      <c r="B11370" s="176" t="s">
        <v>10372</v>
      </c>
      <c r="C11370" s="31"/>
      <c r="D11370" s="32" t="s">
        <v>18</v>
      </c>
      <c r="E11370" s="33"/>
      <c r="F11370" s="54" t="s">
        <v>13</v>
      </c>
      <c r="G11370" s="34" t="str">
        <f>IF(ISNUMBER(F11370),E11370*F11370,"")</f>
        <v/>
      </c>
      <c r="H11370" s="35"/>
      <c r="I11370" s="36"/>
      <c r="J11370" s="37">
        <v>0</v>
      </c>
    </row>
    <row r="11371" spans="1:10" hidden="1" x14ac:dyDescent="0.25">
      <c r="A11371" s="174"/>
      <c r="B11371" s="177"/>
      <c r="C11371" s="39"/>
      <c r="D11371" s="39"/>
      <c r="E11371" s="40"/>
      <c r="F11371" s="55" t="s">
        <v>13</v>
      </c>
      <c r="G11371" s="41" t="str">
        <f>IF(ISNUMBER(F11371),E11371*F11371,"")</f>
        <v/>
      </c>
      <c r="H11371" s="42"/>
      <c r="I11371" s="38"/>
      <c r="J11371" s="37">
        <v>0</v>
      </c>
    </row>
    <row r="11372" spans="1:10" hidden="1" x14ac:dyDescent="0.25">
      <c r="A11372" s="174"/>
      <c r="B11372" s="177"/>
      <c r="C11372" s="43" t="s">
        <v>11202</v>
      </c>
      <c r="D11372" s="43" t="s">
        <v>2800</v>
      </c>
      <c r="E11372" s="44">
        <v>16</v>
      </c>
      <c r="F11372" s="41">
        <v>18.344499999999996</v>
      </c>
      <c r="G11372" s="41">
        <f>IF(ISNUMBER(F11372),E11372*F11372,"")</f>
        <v>293.51199999999994</v>
      </c>
      <c r="H11372" s="46">
        <f>SUM(G11372:G11373)</f>
        <v>2228.7759999999998</v>
      </c>
      <c r="I11372" s="47"/>
      <c r="J11372" s="37">
        <v>0</v>
      </c>
    </row>
    <row r="11373" spans="1:10" ht="25.5" hidden="1" x14ac:dyDescent="0.25">
      <c r="A11373" s="174"/>
      <c r="B11373" s="177"/>
      <c r="C11373" s="43" t="s">
        <v>10823</v>
      </c>
      <c r="D11373" s="43" t="s">
        <v>2800</v>
      </c>
      <c r="E11373" s="44">
        <v>16</v>
      </c>
      <c r="F11373" s="41">
        <v>120.95399999999999</v>
      </c>
      <c r="G11373" s="41">
        <f>IF(ISNUMBER(F11373),E11373*F11373,"")</f>
        <v>1935.2639999999999</v>
      </c>
      <c r="H11373" s="42"/>
      <c r="I11373" s="38"/>
      <c r="J11373" s="37">
        <v>0</v>
      </c>
    </row>
    <row r="11374" spans="1:10" ht="15.75" hidden="1" thickBot="1" x14ac:dyDescent="0.3">
      <c r="A11374" s="175"/>
      <c r="B11374" s="178"/>
      <c r="C11374" s="49"/>
      <c r="D11374" s="49"/>
      <c r="E11374" s="50"/>
      <c r="F11374" s="51" t="s">
        <v>13</v>
      </c>
      <c r="G11374" s="52" t="str">
        <f>IF(ISNUMBER(F11374),E11374*F11374,"")</f>
        <v/>
      </c>
      <c r="H11374" s="53"/>
      <c r="I11374" s="38"/>
      <c r="J11374" s="37">
        <v>0</v>
      </c>
    </row>
    <row r="11375" spans="1:10" ht="15.75" hidden="1" thickBot="1" x14ac:dyDescent="0.3">
      <c r="A11375" s="173" t="s">
        <v>2788</v>
      </c>
      <c r="B11375" s="176" t="s">
        <v>10373</v>
      </c>
      <c r="C11375" s="31"/>
      <c r="D11375" s="32" t="s">
        <v>18</v>
      </c>
      <c r="E11375" s="33"/>
      <c r="F11375" s="54" t="s">
        <v>13</v>
      </c>
      <c r="G11375" s="34" t="str">
        <f>IF(ISNUMBER(F11375),E11375*F11375,"")</f>
        <v/>
      </c>
      <c r="H11375" s="35"/>
      <c r="I11375" s="36"/>
      <c r="J11375" s="37">
        <v>0</v>
      </c>
    </row>
    <row r="11376" spans="1:10" hidden="1" x14ac:dyDescent="0.25">
      <c r="A11376" s="174"/>
      <c r="B11376" s="177"/>
      <c r="C11376" s="39"/>
      <c r="D11376" s="39"/>
      <c r="E11376" s="40"/>
      <c r="F11376" s="55" t="s">
        <v>13</v>
      </c>
      <c r="G11376" s="41" t="str">
        <f>IF(ISNUMBER(F11376),E11376*F11376,"")</f>
        <v/>
      </c>
      <c r="H11376" s="42"/>
      <c r="I11376" s="38"/>
      <c r="J11376" s="37">
        <v>0</v>
      </c>
    </row>
    <row r="11377" spans="1:10" hidden="1" x14ac:dyDescent="0.25">
      <c r="A11377" s="174"/>
      <c r="B11377" s="177"/>
      <c r="C11377" s="43" t="s">
        <v>11202</v>
      </c>
      <c r="D11377" s="43" t="s">
        <v>2800</v>
      </c>
      <c r="E11377" s="44">
        <v>16</v>
      </c>
      <c r="F11377" s="41">
        <v>18.344499999999996</v>
      </c>
      <c r="G11377" s="41">
        <f>IF(ISNUMBER(F11377),E11377*F11377,"")</f>
        <v>293.51199999999994</v>
      </c>
      <c r="H11377" s="46">
        <f>SUM(G11377:G11378)</f>
        <v>2228.7759999999998</v>
      </c>
      <c r="I11377" s="47"/>
      <c r="J11377" s="37">
        <v>0</v>
      </c>
    </row>
    <row r="11378" spans="1:10" ht="25.5" hidden="1" x14ac:dyDescent="0.25">
      <c r="A11378" s="174"/>
      <c r="B11378" s="177"/>
      <c r="C11378" s="43" t="s">
        <v>10823</v>
      </c>
      <c r="D11378" s="43" t="s">
        <v>2800</v>
      </c>
      <c r="E11378" s="44">
        <v>16</v>
      </c>
      <c r="F11378" s="41">
        <v>120.95399999999999</v>
      </c>
      <c r="G11378" s="41">
        <f>IF(ISNUMBER(F11378),E11378*F11378,"")</f>
        <v>1935.2639999999999</v>
      </c>
      <c r="H11378" s="42"/>
      <c r="I11378" s="38"/>
      <c r="J11378" s="37">
        <v>0</v>
      </c>
    </row>
    <row r="11379" spans="1:10" ht="15.75" hidden="1" thickBot="1" x14ac:dyDescent="0.3">
      <c r="A11379" s="175"/>
      <c r="B11379" s="178"/>
      <c r="C11379" s="49"/>
      <c r="D11379" s="49"/>
      <c r="E11379" s="50"/>
      <c r="F11379" s="51" t="s">
        <v>13</v>
      </c>
      <c r="G11379" s="52" t="str">
        <f>IF(ISNUMBER(F11379),E11379*F11379,"")</f>
        <v/>
      </c>
      <c r="H11379" s="53"/>
      <c r="I11379" s="38"/>
      <c r="J11379" s="37">
        <v>0</v>
      </c>
    </row>
    <row r="11380" spans="1:10" ht="15.75" hidden="1" thickBot="1" x14ac:dyDescent="0.3">
      <c r="A11380" s="173" t="s">
        <v>2789</v>
      </c>
      <c r="B11380" s="176" t="s">
        <v>10374</v>
      </c>
      <c r="C11380" s="31"/>
      <c r="D11380" s="32" t="s">
        <v>18</v>
      </c>
      <c r="E11380" s="33"/>
      <c r="F11380" s="54" t="s">
        <v>13</v>
      </c>
      <c r="G11380" s="34" t="str">
        <f>IF(ISNUMBER(F11380),E11380*F11380,"")</f>
        <v/>
      </c>
      <c r="H11380" s="35"/>
      <c r="I11380" s="36"/>
      <c r="J11380" s="37">
        <v>0</v>
      </c>
    </row>
    <row r="11381" spans="1:10" hidden="1" x14ac:dyDescent="0.25">
      <c r="A11381" s="174"/>
      <c r="B11381" s="177"/>
      <c r="C11381" s="39"/>
      <c r="D11381" s="39"/>
      <c r="E11381" s="40"/>
      <c r="F11381" s="55" t="s">
        <v>13</v>
      </c>
      <c r="G11381" s="41" t="str">
        <f>IF(ISNUMBER(F11381),E11381*F11381,"")</f>
        <v/>
      </c>
      <c r="H11381" s="42"/>
      <c r="I11381" s="38"/>
      <c r="J11381" s="37">
        <v>0</v>
      </c>
    </row>
    <row r="11382" spans="1:10" hidden="1" x14ac:dyDescent="0.25">
      <c r="A11382" s="174"/>
      <c r="B11382" s="177"/>
      <c r="C11382" s="43" t="s">
        <v>11202</v>
      </c>
      <c r="D11382" s="43" t="s">
        <v>2800</v>
      </c>
      <c r="E11382" s="44">
        <v>8</v>
      </c>
      <c r="F11382" s="41">
        <v>18.344499999999996</v>
      </c>
      <c r="G11382" s="41">
        <f>IF(ISNUMBER(F11382),E11382*F11382,"")</f>
        <v>146.75599999999997</v>
      </c>
      <c r="H11382" s="46">
        <f>SUM(G11382:G11383)</f>
        <v>1114.3879999999999</v>
      </c>
      <c r="I11382" s="47"/>
      <c r="J11382" s="37">
        <v>0</v>
      </c>
    </row>
    <row r="11383" spans="1:10" ht="25.5" hidden="1" x14ac:dyDescent="0.25">
      <c r="A11383" s="174"/>
      <c r="B11383" s="177"/>
      <c r="C11383" s="43" t="s">
        <v>10823</v>
      </c>
      <c r="D11383" s="43" t="s">
        <v>2800</v>
      </c>
      <c r="E11383" s="44">
        <v>8</v>
      </c>
      <c r="F11383" s="41">
        <v>120.95399999999999</v>
      </c>
      <c r="G11383" s="41">
        <f>IF(ISNUMBER(F11383),E11383*F11383,"")</f>
        <v>967.63199999999995</v>
      </c>
      <c r="H11383" s="42"/>
      <c r="I11383" s="38"/>
      <c r="J11383" s="37">
        <v>0</v>
      </c>
    </row>
    <row r="11384" spans="1:10" ht="15.75" hidden="1" thickBot="1" x14ac:dyDescent="0.3">
      <c r="A11384" s="175"/>
      <c r="B11384" s="178"/>
      <c r="C11384" s="49"/>
      <c r="D11384" s="49"/>
      <c r="E11384" s="50"/>
      <c r="F11384" s="51" t="s">
        <v>13</v>
      </c>
      <c r="G11384" s="52" t="str">
        <f>IF(ISNUMBER(F11384),E11384*F11384,"")</f>
        <v/>
      </c>
      <c r="H11384" s="53"/>
      <c r="I11384" s="38"/>
      <c r="J11384" s="37">
        <v>0</v>
      </c>
    </row>
    <row r="11385" spans="1:10" ht="15.75" hidden="1" thickBot="1" x14ac:dyDescent="0.3">
      <c r="A11385" s="173" t="s">
        <v>2790</v>
      </c>
      <c r="B11385" s="176" t="s">
        <v>10375</v>
      </c>
      <c r="C11385" s="31"/>
      <c r="D11385" s="32" t="s">
        <v>68</v>
      </c>
      <c r="E11385" s="33"/>
      <c r="F11385" s="54" t="s">
        <v>13</v>
      </c>
      <c r="G11385" s="34" t="str">
        <f>IF(ISNUMBER(F11385),E11385*F11385,"")</f>
        <v/>
      </c>
      <c r="H11385" s="35"/>
      <c r="I11385" s="36"/>
      <c r="J11385" s="37">
        <v>0</v>
      </c>
    </row>
    <row r="11386" spans="1:10" hidden="1" x14ac:dyDescent="0.25">
      <c r="A11386" s="174"/>
      <c r="B11386" s="177"/>
      <c r="C11386" s="39"/>
      <c r="D11386" s="39"/>
      <c r="E11386" s="40"/>
      <c r="F11386" s="55" t="s">
        <v>13</v>
      </c>
      <c r="G11386" s="38" t="str">
        <f>IF(ISNUMBER(F11386),E11386*F11386,"")</f>
        <v/>
      </c>
      <c r="H11386" s="42"/>
      <c r="I11386" s="38"/>
      <c r="J11386" s="37">
        <v>0</v>
      </c>
    </row>
    <row r="11387" spans="1:10" ht="38.25" hidden="1" x14ac:dyDescent="0.25">
      <c r="A11387" s="174"/>
      <c r="B11387" s="177"/>
      <c r="C11387" s="43" t="s">
        <v>11879</v>
      </c>
      <c r="D11387" s="43" t="s">
        <v>162</v>
      </c>
      <c r="E11387" s="44">
        <v>1</v>
      </c>
      <c r="F11387" s="38">
        <v>548.52049999999997</v>
      </c>
      <c r="G11387" s="41">
        <f>IF(ISNUMBER(F11387),E11387*F11387,"")</f>
        <v>548.52049999999997</v>
      </c>
      <c r="H11387" s="46">
        <f>SUM(G11387:G11390)</f>
        <v>578.21702780344992</v>
      </c>
      <c r="I11387" s="47"/>
      <c r="J11387" s="37">
        <v>0</v>
      </c>
    </row>
    <row r="11388" spans="1:10" hidden="1" x14ac:dyDescent="0.25">
      <c r="A11388" s="174"/>
      <c r="B11388" s="177"/>
      <c r="C11388" s="43" t="s">
        <v>10757</v>
      </c>
      <c r="D11388" s="43" t="s">
        <v>2800</v>
      </c>
      <c r="E11388" s="44">
        <v>0.45700000000000002</v>
      </c>
      <c r="F11388" s="41">
        <v>31.055499999999995</v>
      </c>
      <c r="G11388" s="41">
        <f>IF(ISNUMBER(F11388),E11388*F11388,"")</f>
        <v>14.192363499999999</v>
      </c>
      <c r="H11388" s="42"/>
      <c r="I11388" s="38"/>
      <c r="J11388" s="37">
        <v>0</v>
      </c>
    </row>
    <row r="11389" spans="1:10" hidden="1" x14ac:dyDescent="0.25">
      <c r="A11389" s="174"/>
      <c r="B11389" s="177"/>
      <c r="C11389" s="43" t="s">
        <v>10614</v>
      </c>
      <c r="D11389" s="43" t="s">
        <v>2800</v>
      </c>
      <c r="E11389" s="44">
        <v>0.22900000000000001</v>
      </c>
      <c r="F11389" s="41">
        <v>23.693000000000001</v>
      </c>
      <c r="G11389" s="41">
        <f>IF(ISNUMBER(F11389),E11389*F11389,"")</f>
        <v>5.4256970000000004</v>
      </c>
      <c r="H11389" s="42"/>
      <c r="I11389" s="38"/>
      <c r="J11389" s="37">
        <v>0</v>
      </c>
    </row>
    <row r="11390" spans="1:10" ht="38.25" hidden="1" x14ac:dyDescent="0.25">
      <c r="A11390" s="174"/>
      <c r="B11390" s="177"/>
      <c r="C11390" s="43" t="s">
        <v>10702</v>
      </c>
      <c r="D11390" s="43" t="s">
        <v>2880</v>
      </c>
      <c r="E11390" s="44">
        <v>1.2E-2</v>
      </c>
      <c r="F11390" s="41">
        <v>839.87227528749997</v>
      </c>
      <c r="G11390" s="41">
        <f>IF(ISNUMBER(F11390),E11390*F11390,"")</f>
        <v>10.078467303449999</v>
      </c>
      <c r="H11390" s="42"/>
      <c r="I11390" s="38"/>
      <c r="J11390" s="37">
        <v>0</v>
      </c>
    </row>
    <row r="11391" spans="1:10" ht="15.75" hidden="1" thickBot="1" x14ac:dyDescent="0.3">
      <c r="A11391" s="175"/>
      <c r="B11391" s="178"/>
      <c r="C11391" s="49"/>
      <c r="D11391" s="49"/>
      <c r="E11391" s="50"/>
      <c r="F11391" s="51" t="s">
        <v>13</v>
      </c>
      <c r="G11391" s="51" t="str">
        <f>IF(ISNUMBER(F11391),E11391*F11391,"")</f>
        <v/>
      </c>
      <c r="H11391" s="53"/>
      <c r="I11391" s="38"/>
      <c r="J11391" s="37">
        <v>0</v>
      </c>
    </row>
    <row r="11392" spans="1:10" ht="15.75" hidden="1" thickBot="1" x14ac:dyDescent="0.3">
      <c r="A11392" s="173" t="s">
        <v>2791</v>
      </c>
      <c r="B11392" s="176" t="s">
        <v>10376</v>
      </c>
      <c r="C11392" s="31"/>
      <c r="D11392" s="32" t="s">
        <v>68</v>
      </c>
      <c r="E11392" s="33"/>
      <c r="F11392" s="54" t="s">
        <v>13</v>
      </c>
      <c r="G11392" s="34" t="str">
        <f>IF(ISNUMBER(F11392),E11392*F11392,"")</f>
        <v/>
      </c>
      <c r="H11392" s="35"/>
      <c r="I11392" s="36"/>
      <c r="J11392" s="37">
        <v>0</v>
      </c>
    </row>
    <row r="11393" spans="1:10" hidden="1" x14ac:dyDescent="0.25">
      <c r="A11393" s="174"/>
      <c r="B11393" s="177"/>
      <c r="C11393" s="39"/>
      <c r="D11393" s="39"/>
      <c r="E11393" s="40"/>
      <c r="F11393" s="55" t="s">
        <v>13</v>
      </c>
      <c r="G11393" s="38" t="str">
        <f>IF(ISNUMBER(F11393),E11393*F11393,"")</f>
        <v/>
      </c>
      <c r="H11393" s="42"/>
      <c r="I11393" s="38"/>
      <c r="J11393" s="37">
        <v>0</v>
      </c>
    </row>
    <row r="11394" spans="1:10" ht="25.5" hidden="1" x14ac:dyDescent="0.25">
      <c r="A11394" s="174"/>
      <c r="B11394" s="177"/>
      <c r="C11394" s="43" t="s">
        <v>11004</v>
      </c>
      <c r="D11394" s="43" t="s">
        <v>162</v>
      </c>
      <c r="E11394" s="44">
        <v>1.0203</v>
      </c>
      <c r="F11394" s="38">
        <v>31.463999999999995</v>
      </c>
      <c r="G11394" s="41">
        <f>IF(ISNUMBER(F11394),E11394*F11394,"")</f>
        <v>32.102719199999996</v>
      </c>
      <c r="H11394" s="46">
        <f>SUM(G11394:G11401)</f>
        <v>169.51866604218682</v>
      </c>
      <c r="I11394" s="47"/>
      <c r="J11394" s="37">
        <v>0</v>
      </c>
    </row>
    <row r="11395" spans="1:10" ht="25.5" hidden="1" x14ac:dyDescent="0.25">
      <c r="A11395" s="174"/>
      <c r="B11395" s="177"/>
      <c r="C11395" s="43" t="s">
        <v>11880</v>
      </c>
      <c r="D11395" s="43" t="s">
        <v>1302</v>
      </c>
      <c r="E11395" s="44">
        <v>0.61050000000000004</v>
      </c>
      <c r="F11395" s="41">
        <v>70.613500000000002</v>
      </c>
      <c r="G11395" s="41">
        <f>IF(ISNUMBER(F11395),E11395*F11395,"")</f>
        <v>43.109541750000005</v>
      </c>
      <c r="H11395" s="42"/>
      <c r="I11395" s="38"/>
      <c r="J11395" s="37">
        <v>0</v>
      </c>
    </row>
    <row r="11396" spans="1:10" ht="25.5" hidden="1" x14ac:dyDescent="0.25">
      <c r="A11396" s="174"/>
      <c r="B11396" s="177"/>
      <c r="C11396" s="43" t="s">
        <v>11881</v>
      </c>
      <c r="D11396" s="43" t="s">
        <v>1302</v>
      </c>
      <c r="E11396" s="44">
        <v>0.87009999999999998</v>
      </c>
      <c r="F11396" s="41">
        <v>42.151499999999999</v>
      </c>
      <c r="G11396" s="41">
        <f>IF(ISNUMBER(F11396),E11396*F11396,"")</f>
        <v>36.676020149999999</v>
      </c>
      <c r="H11396" s="42"/>
      <c r="I11396" s="38"/>
      <c r="J11396" s="37">
        <v>0</v>
      </c>
    </row>
    <row r="11397" spans="1:10" hidden="1" x14ac:dyDescent="0.25">
      <c r="A11397" s="174"/>
      <c r="B11397" s="177"/>
      <c r="C11397" s="43" t="s">
        <v>11100</v>
      </c>
      <c r="D11397" s="43" t="s">
        <v>1044</v>
      </c>
      <c r="E11397" s="44">
        <v>2.5000000000000001E-3</v>
      </c>
      <c r="F11397" s="41">
        <v>40.137499999999996</v>
      </c>
      <c r="G11397" s="41">
        <f>IF(ISNUMBER(F11397),E11397*F11397,"")</f>
        <v>0.10034375</v>
      </c>
      <c r="H11397" s="42"/>
      <c r="I11397" s="38"/>
      <c r="J11397" s="37">
        <v>0</v>
      </c>
    </row>
    <row r="11398" spans="1:10" ht="25.5" hidden="1" x14ac:dyDescent="0.25">
      <c r="A11398" s="174"/>
      <c r="B11398" s="177"/>
      <c r="C11398" s="43" t="s">
        <v>11882</v>
      </c>
      <c r="D11398" s="43" t="s">
        <v>1044</v>
      </c>
      <c r="E11398" s="44">
        <v>7.9699999999999993E-2</v>
      </c>
      <c r="F11398" s="41">
        <v>19</v>
      </c>
      <c r="G11398" s="41">
        <f>IF(ISNUMBER(F11398),E11398*F11398,"")</f>
        <v>1.5143</v>
      </c>
      <c r="H11398" s="42"/>
      <c r="I11398" s="38"/>
      <c r="J11398" s="37">
        <v>0</v>
      </c>
    </row>
    <row r="11399" spans="1:10" hidden="1" x14ac:dyDescent="0.25">
      <c r="A11399" s="174"/>
      <c r="B11399" s="177"/>
      <c r="C11399" s="43" t="s">
        <v>11014</v>
      </c>
      <c r="D11399" s="43" t="s">
        <v>2800</v>
      </c>
      <c r="E11399" s="44">
        <v>0.97740000000000005</v>
      </c>
      <c r="F11399" s="41">
        <v>30.837</v>
      </c>
      <c r="G11399" s="41">
        <f>IF(ISNUMBER(F11399),E11399*F11399,"")</f>
        <v>30.140083800000003</v>
      </c>
      <c r="H11399" s="42"/>
      <c r="I11399" s="38"/>
      <c r="J11399" s="37">
        <v>0</v>
      </c>
    </row>
    <row r="11400" spans="1:10" hidden="1" x14ac:dyDescent="0.25">
      <c r="A11400" s="174"/>
      <c r="B11400" s="177"/>
      <c r="C11400" s="43" t="s">
        <v>10614</v>
      </c>
      <c r="D11400" s="43" t="s">
        <v>2800</v>
      </c>
      <c r="E11400" s="44">
        <v>0.97740000000000005</v>
      </c>
      <c r="F11400" s="41">
        <v>23.693000000000001</v>
      </c>
      <c r="G11400" s="41">
        <f>IF(ISNUMBER(F11400),E11400*F11400,"")</f>
        <v>23.157538200000001</v>
      </c>
      <c r="H11400" s="42"/>
      <c r="I11400" s="38"/>
      <c r="J11400" s="37">
        <v>0</v>
      </c>
    </row>
    <row r="11401" spans="1:10" ht="38.25" hidden="1" x14ac:dyDescent="0.25">
      <c r="A11401" s="174"/>
      <c r="B11401" s="177"/>
      <c r="C11401" s="43" t="s">
        <v>10698</v>
      </c>
      <c r="D11401" s="43" t="s">
        <v>2880</v>
      </c>
      <c r="E11401" s="44">
        <v>4.4999999999999997E-3</v>
      </c>
      <c r="F11401" s="41">
        <v>604.0264871526249</v>
      </c>
      <c r="G11401" s="41">
        <f>IF(ISNUMBER(F11401),E11401*F11401,"")</f>
        <v>2.718119192186812</v>
      </c>
      <c r="H11401" s="42"/>
      <c r="I11401" s="38"/>
      <c r="J11401" s="37">
        <v>0</v>
      </c>
    </row>
    <row r="11402" spans="1:10" ht="15.75" hidden="1" thickBot="1" x14ac:dyDescent="0.3">
      <c r="A11402" s="175"/>
      <c r="B11402" s="178"/>
      <c r="C11402" s="49"/>
      <c r="D11402" s="49"/>
      <c r="E11402" s="50"/>
      <c r="F11402" s="51" t="s">
        <v>13</v>
      </c>
      <c r="G11402" s="51" t="str">
        <f>IF(ISNUMBER(F11402),E11402*F11402,"")</f>
        <v/>
      </c>
      <c r="H11402" s="53"/>
      <c r="I11402" s="38"/>
      <c r="J11402" s="37">
        <v>0</v>
      </c>
    </row>
    <row r="11403" spans="1:10" ht="15.75" hidden="1" thickBot="1" x14ac:dyDescent="0.3">
      <c r="A11403" s="173" t="s">
        <v>2792</v>
      </c>
      <c r="B11403" s="176" t="s">
        <v>2793</v>
      </c>
      <c r="C11403" s="31"/>
      <c r="D11403" s="32" t="s">
        <v>18</v>
      </c>
      <c r="E11403" s="33"/>
      <c r="F11403" s="60" t="s">
        <v>13</v>
      </c>
      <c r="G11403" s="34" t="str">
        <f>IF(ISNUMBER(F11403),E11403*F11403,"")</f>
        <v/>
      </c>
      <c r="H11403" s="35"/>
      <c r="I11403" s="36"/>
      <c r="J11403" s="37">
        <v>0</v>
      </c>
    </row>
    <row r="11404" spans="1:10" hidden="1" x14ac:dyDescent="0.25">
      <c r="A11404" s="179"/>
      <c r="B11404" s="177"/>
      <c r="C11404" s="39"/>
      <c r="D11404" s="39"/>
      <c r="E11404" s="40"/>
      <c r="F11404" s="70" t="s">
        <v>13</v>
      </c>
      <c r="G11404" s="70" t="str">
        <f>IF(ISNUMBER(F11404),E11404*F11404,"")</f>
        <v/>
      </c>
      <c r="H11404" s="71"/>
      <c r="I11404" s="72"/>
      <c r="J11404" s="37">
        <v>0</v>
      </c>
    </row>
    <row r="11405" spans="1:10" hidden="1" x14ac:dyDescent="0.25">
      <c r="A11405" s="179"/>
      <c r="B11405" s="177"/>
      <c r="C11405" s="43" t="s">
        <v>2793</v>
      </c>
      <c r="D11405" s="43" t="s">
        <v>87</v>
      </c>
      <c r="E11405" s="44">
        <v>1</v>
      </c>
      <c r="F11405" s="38" t="s">
        <v>13</v>
      </c>
      <c r="G11405" s="70" t="str">
        <f>IF(ISNUMBER(F11405),E11405*F11405,"")</f>
        <v/>
      </c>
      <c r="H11405" s="46">
        <f>SUM(G11405:G11407)</f>
        <v>5.6382500000000002</v>
      </c>
      <c r="I11405" s="47"/>
      <c r="J11405" s="37">
        <v>0</v>
      </c>
    </row>
    <row r="11406" spans="1:10" hidden="1" x14ac:dyDescent="0.25">
      <c r="A11406" s="179"/>
      <c r="B11406" s="177"/>
      <c r="C11406" s="43" t="s">
        <v>10762</v>
      </c>
      <c r="D11406" s="43" t="s">
        <v>2800</v>
      </c>
      <c r="E11406" s="44">
        <v>0.1</v>
      </c>
      <c r="F11406" s="38">
        <v>24.946999999999999</v>
      </c>
      <c r="G11406" s="70">
        <f>IF(ISNUMBER(F11406),E11406*F11406,"")</f>
        <v>2.4946999999999999</v>
      </c>
      <c r="H11406" s="71"/>
      <c r="I11406" s="72"/>
      <c r="J11406" s="37">
        <v>0</v>
      </c>
    </row>
    <row r="11407" spans="1:10" hidden="1" x14ac:dyDescent="0.25">
      <c r="A11407" s="179"/>
      <c r="B11407" s="177"/>
      <c r="C11407" s="43" t="s">
        <v>10763</v>
      </c>
      <c r="D11407" s="43" t="s">
        <v>2800</v>
      </c>
      <c r="E11407" s="44">
        <v>0.1</v>
      </c>
      <c r="F11407" s="38">
        <v>31.435500000000001</v>
      </c>
      <c r="G11407" s="70">
        <f>IF(ISNUMBER(F11407),E11407*F11407,"")</f>
        <v>3.1435500000000003</v>
      </c>
      <c r="H11407" s="71"/>
      <c r="I11407" s="72"/>
      <c r="J11407" s="37">
        <v>0</v>
      </c>
    </row>
    <row r="11408" spans="1:10" ht="15.75" hidden="1" thickBot="1" x14ac:dyDescent="0.3">
      <c r="A11408" s="180"/>
      <c r="B11408" s="178"/>
      <c r="C11408" s="49"/>
      <c r="D11408" s="63"/>
      <c r="E11408" s="50"/>
      <c r="F11408" s="83" t="s">
        <v>13</v>
      </c>
      <c r="G11408" s="83" t="str">
        <f>IF(ISNUMBER(F11408),E11408*F11408,"")</f>
        <v/>
      </c>
      <c r="H11408" s="84"/>
      <c r="I11408" s="72"/>
      <c r="J11408" s="37">
        <v>0</v>
      </c>
    </row>
    <row r="11409" spans="1:10" ht="15.75" hidden="1" thickBot="1" x14ac:dyDescent="0.3">
      <c r="A11409" s="173" t="s">
        <v>2794</v>
      </c>
      <c r="B11409" s="176" t="s">
        <v>2795</v>
      </c>
      <c r="C11409" s="31"/>
      <c r="D11409" s="32" t="s">
        <v>18</v>
      </c>
      <c r="E11409" s="33"/>
      <c r="F11409" s="60" t="s">
        <v>13</v>
      </c>
      <c r="G11409" s="34" t="str">
        <f>IF(ISNUMBER(F11409),E11409*F11409,"")</f>
        <v/>
      </c>
      <c r="H11409" s="35"/>
      <c r="I11409" s="36"/>
      <c r="J11409" s="37">
        <v>0</v>
      </c>
    </row>
    <row r="11410" spans="1:10" hidden="1" x14ac:dyDescent="0.25">
      <c r="A11410" s="179"/>
      <c r="B11410" s="177"/>
      <c r="C11410" s="39"/>
      <c r="D11410" s="39"/>
      <c r="E11410" s="40"/>
      <c r="F11410" s="70" t="s">
        <v>13</v>
      </c>
      <c r="G11410" s="70" t="str">
        <f>IF(ISNUMBER(F11410),E11410*F11410,"")</f>
        <v/>
      </c>
      <c r="H11410" s="71"/>
      <c r="I11410" s="72"/>
      <c r="J11410" s="37">
        <v>0</v>
      </c>
    </row>
    <row r="11411" spans="1:10" hidden="1" x14ac:dyDescent="0.25">
      <c r="A11411" s="179"/>
      <c r="B11411" s="177"/>
      <c r="C11411" s="43" t="s">
        <v>2795</v>
      </c>
      <c r="D11411" s="43" t="s">
        <v>87</v>
      </c>
      <c r="E11411" s="44">
        <v>1</v>
      </c>
      <c r="F11411" s="38" t="s">
        <v>13</v>
      </c>
      <c r="G11411" s="70" t="str">
        <f>IF(ISNUMBER(F11411),E11411*F11411,"")</f>
        <v/>
      </c>
      <c r="H11411" s="46">
        <f>SUM(G11411:G11415)</f>
        <v>12.652784</v>
      </c>
      <c r="I11411" s="47"/>
      <c r="J11411" s="37">
        <v>0</v>
      </c>
    </row>
    <row r="11412" spans="1:10" ht="25.5" hidden="1" x14ac:dyDescent="0.25">
      <c r="A11412" s="179"/>
      <c r="B11412" s="177"/>
      <c r="C11412" s="43" t="s">
        <v>10886</v>
      </c>
      <c r="D11412" s="43" t="s">
        <v>10818</v>
      </c>
      <c r="E11412" s="44">
        <f>2/100</f>
        <v>0.02</v>
      </c>
      <c r="F11412" s="38">
        <v>41.125499999999995</v>
      </c>
      <c r="G11412" s="70">
        <f>IF(ISNUMBER(F11412),E11412*F11412,"")</f>
        <v>0.82250999999999996</v>
      </c>
      <c r="H11412" s="71"/>
      <c r="I11412" s="72"/>
      <c r="J11412" s="37">
        <v>0</v>
      </c>
    </row>
    <row r="11413" spans="1:10" ht="25.5" hidden="1" x14ac:dyDescent="0.25">
      <c r="A11413" s="179"/>
      <c r="B11413" s="177"/>
      <c r="C11413" s="43" t="s">
        <v>10803</v>
      </c>
      <c r="D11413" s="43" t="s">
        <v>10820</v>
      </c>
      <c r="E11413" s="44">
        <v>1.2999999999999999E-2</v>
      </c>
      <c r="F11413" s="38">
        <v>42.597999999999999</v>
      </c>
      <c r="G11413" s="70">
        <f>IF(ISNUMBER(F11413),E11413*F11413,"")</f>
        <v>0.55377399999999999</v>
      </c>
      <c r="H11413" s="71"/>
      <c r="I11413" s="72"/>
      <c r="J11413" s="37">
        <v>0</v>
      </c>
    </row>
    <row r="11414" spans="1:10" hidden="1" x14ac:dyDescent="0.25">
      <c r="A11414" s="179"/>
      <c r="B11414" s="177"/>
      <c r="C11414" s="43" t="s">
        <v>10762</v>
      </c>
      <c r="D11414" s="43" t="s">
        <v>2800</v>
      </c>
      <c r="E11414" s="44">
        <v>0.2</v>
      </c>
      <c r="F11414" s="38">
        <v>24.946999999999999</v>
      </c>
      <c r="G11414" s="70">
        <f>IF(ISNUMBER(F11414),E11414*F11414,"")</f>
        <v>4.9893999999999998</v>
      </c>
      <c r="H11414" s="71"/>
      <c r="I11414" s="72"/>
      <c r="J11414" s="37">
        <v>0</v>
      </c>
    </row>
    <row r="11415" spans="1:10" hidden="1" x14ac:dyDescent="0.25">
      <c r="A11415" s="179"/>
      <c r="B11415" s="177"/>
      <c r="C11415" s="43" t="s">
        <v>10763</v>
      </c>
      <c r="D11415" s="43" t="s">
        <v>2800</v>
      </c>
      <c r="E11415" s="44">
        <v>0.2</v>
      </c>
      <c r="F11415" s="38">
        <v>31.435500000000001</v>
      </c>
      <c r="G11415" s="70">
        <f>IF(ISNUMBER(F11415),E11415*F11415,"")</f>
        <v>6.2871000000000006</v>
      </c>
      <c r="H11415" s="71"/>
      <c r="I11415" s="72"/>
      <c r="J11415" s="37">
        <v>0</v>
      </c>
    </row>
    <row r="11416" spans="1:10" ht="15.75" hidden="1" thickBot="1" x14ac:dyDescent="0.3">
      <c r="A11416" s="180"/>
      <c r="B11416" s="178"/>
      <c r="C11416" s="49"/>
      <c r="D11416" s="63"/>
      <c r="E11416" s="50"/>
      <c r="F11416" s="83" t="s">
        <v>13</v>
      </c>
      <c r="G11416" s="83" t="str">
        <f>IF(ISNUMBER(F11416),E11416*F11416,"")</f>
        <v/>
      </c>
      <c r="H11416" s="84"/>
      <c r="I11416" s="72"/>
      <c r="J11416" s="37">
        <v>0</v>
      </c>
    </row>
    <row r="11417" spans="1:10" ht="15.75" hidden="1" thickBot="1" x14ac:dyDescent="0.3">
      <c r="A11417" s="173" t="s">
        <v>2796</v>
      </c>
      <c r="B11417" s="176" t="s">
        <v>2797</v>
      </c>
      <c r="C11417" s="31"/>
      <c r="D11417" s="32" t="s">
        <v>18</v>
      </c>
      <c r="E11417" s="33"/>
      <c r="F11417" s="60" t="s">
        <v>13</v>
      </c>
      <c r="G11417" s="34" t="str">
        <f>IF(ISNUMBER(F11417),E11417*F11417,"")</f>
        <v/>
      </c>
      <c r="H11417" s="35"/>
      <c r="I11417" s="36"/>
      <c r="J11417" s="37">
        <v>0</v>
      </c>
    </row>
    <row r="11418" spans="1:10" hidden="1" x14ac:dyDescent="0.25">
      <c r="A11418" s="179"/>
      <c r="B11418" s="177"/>
      <c r="C11418" s="39"/>
      <c r="D11418" s="39"/>
      <c r="E11418" s="40"/>
      <c r="F11418" s="70" t="s">
        <v>13</v>
      </c>
      <c r="G11418" s="70" t="str">
        <f>IF(ISNUMBER(F11418),E11418*F11418,"")</f>
        <v/>
      </c>
      <c r="H11418" s="71"/>
      <c r="I11418" s="72"/>
      <c r="J11418" s="37">
        <v>0</v>
      </c>
    </row>
    <row r="11419" spans="1:10" hidden="1" x14ac:dyDescent="0.25">
      <c r="A11419" s="179"/>
      <c r="B11419" s="177"/>
      <c r="C11419" s="43" t="s">
        <v>2797</v>
      </c>
      <c r="D11419" s="43" t="s">
        <v>87</v>
      </c>
      <c r="E11419" s="44">
        <v>1</v>
      </c>
      <c r="F11419" s="38" t="s">
        <v>13</v>
      </c>
      <c r="G11419" s="70" t="str">
        <f>IF(ISNUMBER(F11419),E11419*F11419,"")</f>
        <v/>
      </c>
      <c r="H11419" s="46">
        <f>SUM(G11419:G11421)</f>
        <v>5.6382500000000002</v>
      </c>
      <c r="I11419" s="47"/>
      <c r="J11419" s="37">
        <v>0</v>
      </c>
    </row>
    <row r="11420" spans="1:10" hidden="1" x14ac:dyDescent="0.25">
      <c r="A11420" s="179"/>
      <c r="B11420" s="177"/>
      <c r="C11420" s="43" t="s">
        <v>10762</v>
      </c>
      <c r="D11420" s="43" t="s">
        <v>2800</v>
      </c>
      <c r="E11420" s="44">
        <v>0.1</v>
      </c>
      <c r="F11420" s="38">
        <v>24.946999999999999</v>
      </c>
      <c r="G11420" s="70">
        <f>IF(ISNUMBER(F11420),E11420*F11420,"")</f>
        <v>2.4946999999999999</v>
      </c>
      <c r="H11420" s="71"/>
      <c r="I11420" s="72"/>
      <c r="J11420" s="37">
        <v>0</v>
      </c>
    </row>
    <row r="11421" spans="1:10" hidden="1" x14ac:dyDescent="0.25">
      <c r="A11421" s="179"/>
      <c r="B11421" s="177"/>
      <c r="C11421" s="43" t="s">
        <v>10763</v>
      </c>
      <c r="D11421" s="43" t="s">
        <v>2800</v>
      </c>
      <c r="E11421" s="44">
        <v>0.1</v>
      </c>
      <c r="F11421" s="38">
        <v>31.435500000000001</v>
      </c>
      <c r="G11421" s="70">
        <f>IF(ISNUMBER(F11421),E11421*F11421,"")</f>
        <v>3.1435500000000003</v>
      </c>
      <c r="H11421" s="71"/>
      <c r="I11421" s="72"/>
      <c r="J11421" s="37">
        <v>0</v>
      </c>
    </row>
    <row r="11422" spans="1:10" ht="15.75" hidden="1" thickBot="1" x14ac:dyDescent="0.3">
      <c r="A11422" s="180"/>
      <c r="B11422" s="178"/>
      <c r="C11422" s="49"/>
      <c r="D11422" s="63"/>
      <c r="E11422" s="50"/>
      <c r="F11422" s="83" t="s">
        <v>13</v>
      </c>
      <c r="G11422" s="83" t="str">
        <f>IF(ISNUMBER(F11422),E11422*F11422,"")</f>
        <v/>
      </c>
      <c r="H11422" s="84"/>
      <c r="I11422" s="72"/>
      <c r="J11422" s="37">
        <v>0</v>
      </c>
    </row>
    <row r="11423" spans="1:10" ht="15.75" hidden="1" thickBot="1" x14ac:dyDescent="0.3">
      <c r="A11423" s="173" t="s">
        <v>2798</v>
      </c>
      <c r="B11423" s="176" t="s">
        <v>10377</v>
      </c>
      <c r="C11423" s="31"/>
      <c r="D11423" s="32" t="s">
        <v>68</v>
      </c>
      <c r="E11423" s="33"/>
      <c r="F11423" s="60" t="s">
        <v>13</v>
      </c>
      <c r="G11423" s="34" t="str">
        <f>IF(ISNUMBER(F11423),E11423*F11423,"")</f>
        <v/>
      </c>
      <c r="H11423" s="35"/>
      <c r="I11423" s="36"/>
      <c r="J11423" s="37">
        <v>0</v>
      </c>
    </row>
    <row r="11424" spans="1:10" hidden="1" x14ac:dyDescent="0.25">
      <c r="A11424" s="179"/>
      <c r="B11424" s="177"/>
      <c r="C11424" s="39"/>
      <c r="D11424" s="39"/>
      <c r="E11424" s="40"/>
      <c r="F11424" s="70" t="s">
        <v>13</v>
      </c>
      <c r="G11424" s="70" t="str">
        <f>IF(ISNUMBER(F11424),E11424*F11424,"")</f>
        <v/>
      </c>
      <c r="H11424" s="71"/>
      <c r="I11424" s="72"/>
      <c r="J11424" s="37">
        <v>0</v>
      </c>
    </row>
    <row r="11425" spans="1:10" hidden="1" x14ac:dyDescent="0.25">
      <c r="A11425" s="179"/>
      <c r="B11425" s="177"/>
      <c r="C11425" s="43" t="s">
        <v>2799</v>
      </c>
      <c r="D11425" s="43" t="s">
        <v>2800</v>
      </c>
      <c r="E11425" s="44">
        <f>1/60.23*1/1.5</f>
        <v>1.1068681166638996E-2</v>
      </c>
      <c r="F11425" s="38" t="s">
        <v>13</v>
      </c>
      <c r="G11425" s="70" t="str">
        <f>IF(ISNUMBER(F11425),E11425*F11425,"")</f>
        <v/>
      </c>
      <c r="H11425" s="46">
        <f>SUM(G11425:G11430)</f>
        <v>1.049001051524711</v>
      </c>
      <c r="I11425" s="47"/>
      <c r="J11425" s="37">
        <v>0</v>
      </c>
    </row>
    <row r="11426" spans="1:10" hidden="1" x14ac:dyDescent="0.25">
      <c r="A11426" s="179"/>
      <c r="B11426" s="177"/>
      <c r="C11426" s="43" t="s">
        <v>10614</v>
      </c>
      <c r="D11426" s="43" t="s">
        <v>2800</v>
      </c>
      <c r="E11426" s="44">
        <f>4/60.23*1/1.5</f>
        <v>4.4274724666555985E-2</v>
      </c>
      <c r="F11426" s="38">
        <v>23.693000000000001</v>
      </c>
      <c r="G11426" s="70">
        <f>IF(ISNUMBER(F11426),E11426*F11426,"")</f>
        <v>1.049001051524711</v>
      </c>
      <c r="H11426" s="71"/>
      <c r="I11426" s="72"/>
      <c r="J11426" s="37">
        <v>0</v>
      </c>
    </row>
    <row r="11427" spans="1:10" hidden="1" x14ac:dyDescent="0.25">
      <c r="A11427" s="179"/>
      <c r="B11427" s="177"/>
      <c r="C11427" s="43" t="s">
        <v>2801</v>
      </c>
      <c r="D11427" s="43" t="s">
        <v>2800</v>
      </c>
      <c r="E11427" s="44">
        <f>1/60.23</f>
        <v>1.6603021749958494E-2</v>
      </c>
      <c r="F11427" s="38" t="s">
        <v>13</v>
      </c>
      <c r="G11427" s="70" t="str">
        <f>IF(ISNUMBER(F11427),E11427*F11427,"")</f>
        <v/>
      </c>
      <c r="H11427" s="71"/>
      <c r="I11427" s="72"/>
      <c r="J11427" s="37">
        <v>0</v>
      </c>
    </row>
    <row r="11428" spans="1:10" hidden="1" x14ac:dyDescent="0.25">
      <c r="A11428" s="179"/>
      <c r="B11428" s="177"/>
      <c r="C11428" s="43" t="s">
        <v>2802</v>
      </c>
      <c r="D11428" s="43" t="s">
        <v>72</v>
      </c>
      <c r="E11428" s="44">
        <f>0.35*1/1.5</f>
        <v>0.23333333333333331</v>
      </c>
      <c r="F11428" s="38" t="s">
        <v>13</v>
      </c>
      <c r="G11428" s="70" t="str">
        <f>IF(ISNUMBER(F11428),E11428*F11428,"")</f>
        <v/>
      </c>
      <c r="H11428" s="71"/>
      <c r="I11428" s="72"/>
      <c r="J11428" s="37">
        <v>0</v>
      </c>
    </row>
    <row r="11429" spans="1:10" ht="25.5" hidden="1" x14ac:dyDescent="0.25">
      <c r="A11429" s="179"/>
      <c r="B11429" s="177"/>
      <c r="C11429" s="43" t="s">
        <v>2803</v>
      </c>
      <c r="D11429" s="43" t="s">
        <v>70</v>
      </c>
      <c r="E11429" s="44">
        <f>0.00097*1/1.5</f>
        <v>6.466666666666667E-4</v>
      </c>
      <c r="F11429" s="38" t="s">
        <v>13</v>
      </c>
      <c r="G11429" s="70" t="str">
        <f>IF(ISNUMBER(F11429),E11429*F11429,"")</f>
        <v/>
      </c>
      <c r="H11429" s="71"/>
      <c r="I11429" s="72"/>
      <c r="J11429" s="37">
        <v>0</v>
      </c>
    </row>
    <row r="11430" spans="1:10" ht="25.5" hidden="1" x14ac:dyDescent="0.25">
      <c r="A11430" s="179"/>
      <c r="B11430" s="177"/>
      <c r="C11430" s="43" t="s">
        <v>2804</v>
      </c>
      <c r="D11430" s="43" t="s">
        <v>72</v>
      </c>
      <c r="E11430" s="44">
        <f>3*1/1.5</f>
        <v>2</v>
      </c>
      <c r="F11430" s="38" t="s">
        <v>13</v>
      </c>
      <c r="G11430" s="70" t="str">
        <f>IF(ISNUMBER(F11430),E11430*F11430,"")</f>
        <v/>
      </c>
      <c r="H11430" s="71"/>
      <c r="I11430" s="72"/>
      <c r="J11430" s="37">
        <v>0</v>
      </c>
    </row>
    <row r="11431" spans="1:10" ht="15.75" hidden="1" thickBot="1" x14ac:dyDescent="0.3">
      <c r="A11431" s="180"/>
      <c r="B11431" s="178"/>
      <c r="C11431" s="49"/>
      <c r="D11431" s="63"/>
      <c r="E11431" s="50"/>
      <c r="F11431" s="83" t="s">
        <v>13</v>
      </c>
      <c r="G11431" s="83" t="str">
        <f>IF(ISNUMBER(F11431),E11431*F11431,"")</f>
        <v/>
      </c>
      <c r="H11431" s="84"/>
      <c r="I11431" s="72"/>
      <c r="J11431" s="37">
        <v>0</v>
      </c>
    </row>
    <row r="11432" spans="1:10" ht="15.75" hidden="1" thickBot="1" x14ac:dyDescent="0.3">
      <c r="A11432" s="173" t="s">
        <v>2805</v>
      </c>
      <c r="B11432" s="176" t="s">
        <v>10380</v>
      </c>
      <c r="C11432" s="31"/>
      <c r="D11432" s="32" t="s">
        <v>68</v>
      </c>
      <c r="E11432" s="33"/>
      <c r="F11432" s="60" t="s">
        <v>13</v>
      </c>
      <c r="G11432" s="34" t="str">
        <f>IF(ISNUMBER(F11432),E11432*F11432,"")</f>
        <v/>
      </c>
      <c r="H11432" s="35"/>
      <c r="I11432" s="36"/>
      <c r="J11432" s="37">
        <v>0</v>
      </c>
    </row>
    <row r="11433" spans="1:10" hidden="1" x14ac:dyDescent="0.25">
      <c r="A11433" s="179"/>
      <c r="B11433" s="177"/>
      <c r="C11433" s="39"/>
      <c r="D11433" s="39"/>
      <c r="E11433" s="40"/>
      <c r="F11433" s="70" t="s">
        <v>13</v>
      </c>
      <c r="G11433" s="70" t="str">
        <f>IF(ISNUMBER(F11433),E11433*F11433,"")</f>
        <v/>
      </c>
      <c r="H11433" s="71"/>
      <c r="I11433" s="72"/>
      <c r="J11433" s="37">
        <v>0</v>
      </c>
    </row>
    <row r="11434" spans="1:10" hidden="1" x14ac:dyDescent="0.25">
      <c r="A11434" s="179"/>
      <c r="B11434" s="177"/>
      <c r="C11434" s="43" t="s">
        <v>2799</v>
      </c>
      <c r="D11434" s="43" t="s">
        <v>2800</v>
      </c>
      <c r="E11434" s="44">
        <f>1/60.23</f>
        <v>1.6603021749958494E-2</v>
      </c>
      <c r="F11434" s="38" t="s">
        <v>13</v>
      </c>
      <c r="G11434" s="70" t="str">
        <f>IF(ISNUMBER(F11434),E11434*F11434,"")</f>
        <v/>
      </c>
      <c r="H11434" s="46">
        <f>SUM(G11434:G11439)</f>
        <v>1.5735015772870664</v>
      </c>
      <c r="I11434" s="47"/>
      <c r="J11434" s="37">
        <v>0</v>
      </c>
    </row>
    <row r="11435" spans="1:10" hidden="1" x14ac:dyDescent="0.25">
      <c r="A11435" s="179"/>
      <c r="B11435" s="177"/>
      <c r="C11435" s="43" t="s">
        <v>10614</v>
      </c>
      <c r="D11435" s="43" t="s">
        <v>2800</v>
      </c>
      <c r="E11435" s="44">
        <f>4/60.23</f>
        <v>6.6412086999833975E-2</v>
      </c>
      <c r="F11435" s="38">
        <v>23.693000000000001</v>
      </c>
      <c r="G11435" s="70">
        <f>IF(ISNUMBER(F11435),E11435*F11435,"")</f>
        <v>1.5735015772870664</v>
      </c>
      <c r="H11435" s="71"/>
      <c r="I11435" s="72"/>
      <c r="J11435" s="37">
        <v>0</v>
      </c>
    </row>
    <row r="11436" spans="1:10" hidden="1" x14ac:dyDescent="0.25">
      <c r="A11436" s="179"/>
      <c r="B11436" s="177"/>
      <c r="C11436" s="43" t="s">
        <v>2801</v>
      </c>
      <c r="D11436" s="43" t="s">
        <v>2800</v>
      </c>
      <c r="E11436" s="44">
        <f>1/60.23</f>
        <v>1.6603021749958494E-2</v>
      </c>
      <c r="F11436" s="38" t="s">
        <v>13</v>
      </c>
      <c r="G11436" s="70" t="str">
        <f>IF(ISNUMBER(F11436),E11436*F11436,"")</f>
        <v/>
      </c>
      <c r="H11436" s="71"/>
      <c r="I11436" s="72"/>
      <c r="J11436" s="37">
        <v>0</v>
      </c>
    </row>
    <row r="11437" spans="1:10" hidden="1" x14ac:dyDescent="0.25">
      <c r="A11437" s="179"/>
      <c r="B11437" s="177"/>
      <c r="C11437" s="43" t="s">
        <v>2802</v>
      </c>
      <c r="D11437" s="43" t="s">
        <v>72</v>
      </c>
      <c r="E11437" s="44">
        <v>0.35</v>
      </c>
      <c r="F11437" s="38" t="s">
        <v>13</v>
      </c>
      <c r="G11437" s="70" t="str">
        <f>IF(ISNUMBER(F11437),E11437*F11437,"")</f>
        <v/>
      </c>
      <c r="H11437" s="71"/>
      <c r="I11437" s="72"/>
      <c r="J11437" s="37">
        <v>0</v>
      </c>
    </row>
    <row r="11438" spans="1:10" ht="25.5" hidden="1" x14ac:dyDescent="0.25">
      <c r="A11438" s="179"/>
      <c r="B11438" s="177"/>
      <c r="C11438" s="43" t="s">
        <v>2803</v>
      </c>
      <c r="D11438" s="43" t="s">
        <v>70</v>
      </c>
      <c r="E11438" s="44">
        <v>9.7000000000000005E-4</v>
      </c>
      <c r="F11438" s="38" t="s">
        <v>13</v>
      </c>
      <c r="G11438" s="70" t="str">
        <f>IF(ISNUMBER(F11438),E11438*F11438,"")</f>
        <v/>
      </c>
      <c r="H11438" s="71"/>
      <c r="I11438" s="72"/>
      <c r="J11438" s="37">
        <v>0</v>
      </c>
    </row>
    <row r="11439" spans="1:10" ht="25.5" hidden="1" x14ac:dyDescent="0.25">
      <c r="A11439" s="179"/>
      <c r="B11439" s="177"/>
      <c r="C11439" s="43" t="s">
        <v>2804</v>
      </c>
      <c r="D11439" s="43" t="s">
        <v>72</v>
      </c>
      <c r="E11439" s="44">
        <v>3</v>
      </c>
      <c r="F11439" s="38" t="s">
        <v>13</v>
      </c>
      <c r="G11439" s="70" t="str">
        <f>IF(ISNUMBER(F11439),E11439*F11439,"")</f>
        <v/>
      </c>
      <c r="H11439" s="71"/>
      <c r="I11439" s="72"/>
      <c r="J11439" s="37">
        <v>0</v>
      </c>
    </row>
    <row r="11440" spans="1:10" ht="15.75" hidden="1" thickBot="1" x14ac:dyDescent="0.3">
      <c r="A11440" s="180"/>
      <c r="B11440" s="178"/>
      <c r="C11440" s="49"/>
      <c r="D11440" s="63"/>
      <c r="E11440" s="50"/>
      <c r="F11440" s="83" t="s">
        <v>13</v>
      </c>
      <c r="G11440" s="83" t="str">
        <f>IF(ISNUMBER(F11440),E11440*F11440,"")</f>
        <v/>
      </c>
      <c r="H11440" s="84"/>
      <c r="I11440" s="72"/>
      <c r="J11440" s="37">
        <v>0</v>
      </c>
    </row>
    <row r="11441" spans="1:10" ht="15.75" hidden="1" thickBot="1" x14ac:dyDescent="0.3">
      <c r="A11441" s="173" t="s">
        <v>2806</v>
      </c>
      <c r="B11441" s="176" t="s">
        <v>10387</v>
      </c>
      <c r="C11441" s="31"/>
      <c r="D11441" s="32" t="s">
        <v>18</v>
      </c>
      <c r="E11441" s="33"/>
      <c r="F11441" s="60" t="s">
        <v>13</v>
      </c>
      <c r="G11441" s="34" t="str">
        <f>IF(ISNUMBER(F11441),E11441*F11441,"")</f>
        <v/>
      </c>
      <c r="H11441" s="35"/>
      <c r="I11441" s="36"/>
      <c r="J11441" s="37">
        <v>0</v>
      </c>
    </row>
    <row r="11442" spans="1:10" hidden="1" x14ac:dyDescent="0.25">
      <c r="A11442" s="179"/>
      <c r="B11442" s="177"/>
      <c r="C11442" s="39"/>
      <c r="D11442" s="39"/>
      <c r="E11442" s="40"/>
      <c r="F11442" s="70" t="s">
        <v>13</v>
      </c>
      <c r="G11442" s="70" t="str">
        <f>IF(ISNUMBER(F11442),E11442*F11442,"")</f>
        <v/>
      </c>
      <c r="H11442" s="71"/>
      <c r="I11442" s="72"/>
      <c r="J11442" s="37">
        <v>0</v>
      </c>
    </row>
    <row r="11443" spans="1:10" hidden="1" x14ac:dyDescent="0.25">
      <c r="A11443" s="179"/>
      <c r="B11443" s="177"/>
      <c r="C11443" s="43" t="s">
        <v>11883</v>
      </c>
      <c r="D11443" s="43" t="s">
        <v>83</v>
      </c>
      <c r="E11443" s="44">
        <v>1</v>
      </c>
      <c r="F11443" s="70">
        <v>5.548</v>
      </c>
      <c r="G11443" s="70">
        <f>IF(ISNUMBER(F11443),E11443*F11443,"")</f>
        <v>5.548</v>
      </c>
      <c r="H11443" s="46">
        <f t="shared" ref="H11443:H11455" si="25">SUM(G11443:G11443)</f>
        <v>5.548</v>
      </c>
      <c r="I11443" s="47"/>
      <c r="J11443" s="37">
        <v>0</v>
      </c>
    </row>
    <row r="11444" spans="1:10" ht="15.75" hidden="1" thickBot="1" x14ac:dyDescent="0.3">
      <c r="A11444" s="180"/>
      <c r="B11444" s="178"/>
      <c r="C11444" s="49"/>
      <c r="D11444" s="49"/>
      <c r="E11444" s="50"/>
      <c r="F11444" s="83" t="s">
        <v>13</v>
      </c>
      <c r="G11444" s="83" t="str">
        <f>IF(ISNUMBER(F11444),E11444*F11444,"")</f>
        <v/>
      </c>
      <c r="H11444" s="84"/>
      <c r="I11444" s="72"/>
      <c r="J11444" s="37">
        <v>0</v>
      </c>
    </row>
    <row r="11445" spans="1:10" ht="15.75" hidden="1" thickBot="1" x14ac:dyDescent="0.3">
      <c r="A11445" s="173" t="s">
        <v>2807</v>
      </c>
      <c r="B11445" s="176" t="s">
        <v>10388</v>
      </c>
      <c r="C11445" s="31"/>
      <c r="D11445" s="32" t="s">
        <v>18</v>
      </c>
      <c r="E11445" s="33"/>
      <c r="F11445" s="60" t="s">
        <v>13</v>
      </c>
      <c r="G11445" s="34" t="str">
        <f>IF(ISNUMBER(F11445),E11445*F11445,"")</f>
        <v/>
      </c>
      <c r="H11445" s="35"/>
      <c r="I11445" s="36"/>
      <c r="J11445" s="37">
        <v>0</v>
      </c>
    </row>
    <row r="11446" spans="1:10" hidden="1" x14ac:dyDescent="0.25">
      <c r="A11446" s="179"/>
      <c r="B11446" s="177"/>
      <c r="C11446" s="39"/>
      <c r="D11446" s="39"/>
      <c r="E11446" s="40"/>
      <c r="F11446" s="70" t="s">
        <v>13</v>
      </c>
      <c r="G11446" s="70" t="str">
        <f>IF(ISNUMBER(F11446),E11446*F11446,"")</f>
        <v/>
      </c>
      <c r="H11446" s="71"/>
      <c r="I11446" s="72"/>
      <c r="J11446" s="37">
        <v>0</v>
      </c>
    </row>
    <row r="11447" spans="1:10" ht="25.5" hidden="1" x14ac:dyDescent="0.25">
      <c r="A11447" s="179"/>
      <c r="B11447" s="177"/>
      <c r="C11447" s="43" t="s">
        <v>11884</v>
      </c>
      <c r="D11447" s="43" t="s">
        <v>83</v>
      </c>
      <c r="E11447" s="44">
        <v>1</v>
      </c>
      <c r="F11447" s="70">
        <v>227.75299999999999</v>
      </c>
      <c r="G11447" s="70">
        <f>IF(ISNUMBER(F11447),E11447*F11447,"")</f>
        <v>227.75299999999999</v>
      </c>
      <c r="H11447" s="46">
        <f t="shared" si="25"/>
        <v>227.75299999999999</v>
      </c>
      <c r="I11447" s="47"/>
      <c r="J11447" s="37">
        <v>0</v>
      </c>
    </row>
    <row r="11448" spans="1:10" ht="15.75" hidden="1" thickBot="1" x14ac:dyDescent="0.3">
      <c r="A11448" s="180"/>
      <c r="B11448" s="178"/>
      <c r="C11448" s="49"/>
      <c r="D11448" s="49"/>
      <c r="E11448" s="50"/>
      <c r="F11448" s="83" t="s">
        <v>13</v>
      </c>
      <c r="G11448" s="83" t="str">
        <f>IF(ISNUMBER(F11448),E11448*F11448,"")</f>
        <v/>
      </c>
      <c r="H11448" s="84"/>
      <c r="I11448" s="72"/>
      <c r="J11448" s="37">
        <v>0</v>
      </c>
    </row>
    <row r="11449" spans="1:10" ht="15.75" hidden="1" thickBot="1" x14ac:dyDescent="0.3">
      <c r="A11449" s="173" t="s">
        <v>2808</v>
      </c>
      <c r="B11449" s="176" t="s">
        <v>10389</v>
      </c>
      <c r="C11449" s="31"/>
      <c r="D11449" s="32" t="s">
        <v>18</v>
      </c>
      <c r="E11449" s="33"/>
      <c r="F11449" s="60" t="s">
        <v>13</v>
      </c>
      <c r="G11449" s="34" t="str">
        <f>IF(ISNUMBER(F11449),E11449*F11449,"")</f>
        <v/>
      </c>
      <c r="H11449" s="35"/>
      <c r="I11449" s="36"/>
      <c r="J11449" s="37">
        <v>0</v>
      </c>
    </row>
    <row r="11450" spans="1:10" hidden="1" x14ac:dyDescent="0.25">
      <c r="A11450" s="179"/>
      <c r="B11450" s="177"/>
      <c r="C11450" s="39"/>
      <c r="D11450" s="39"/>
      <c r="E11450" s="40"/>
      <c r="F11450" s="70" t="s">
        <v>13</v>
      </c>
      <c r="G11450" s="70" t="str">
        <f>IF(ISNUMBER(F11450),E11450*F11450,"")</f>
        <v/>
      </c>
      <c r="H11450" s="71"/>
      <c r="I11450" s="72"/>
      <c r="J11450" s="37">
        <v>0</v>
      </c>
    </row>
    <row r="11451" spans="1:10" hidden="1" x14ac:dyDescent="0.25">
      <c r="A11451" s="179"/>
      <c r="B11451" s="177"/>
      <c r="C11451" s="43" t="s">
        <v>2809</v>
      </c>
      <c r="D11451" s="43" t="s">
        <v>83</v>
      </c>
      <c r="E11451" s="44">
        <v>1</v>
      </c>
      <c r="F11451" s="70" t="s">
        <v>13</v>
      </c>
      <c r="G11451" s="70" t="str">
        <f>IF(ISNUMBER(F11451),E11451*F11451,"")</f>
        <v/>
      </c>
      <c r="H11451" s="46">
        <f t="shared" si="25"/>
        <v>0</v>
      </c>
      <c r="I11451" s="47"/>
      <c r="J11451" s="37">
        <v>0</v>
      </c>
    </row>
    <row r="11452" spans="1:10" ht="15.75" hidden="1" thickBot="1" x14ac:dyDescent="0.3">
      <c r="A11452" s="180"/>
      <c r="B11452" s="178"/>
      <c r="C11452" s="49"/>
      <c r="D11452" s="49"/>
      <c r="E11452" s="50"/>
      <c r="F11452" s="83" t="s">
        <v>13</v>
      </c>
      <c r="G11452" s="83" t="str">
        <f>IF(ISNUMBER(F11452),E11452*F11452,"")</f>
        <v/>
      </c>
      <c r="H11452" s="84"/>
      <c r="I11452" s="72"/>
      <c r="J11452" s="37">
        <v>0</v>
      </c>
    </row>
    <row r="11453" spans="1:10" ht="15.75" hidden="1" thickBot="1" x14ac:dyDescent="0.3">
      <c r="A11453" s="173" t="s">
        <v>2810</v>
      </c>
      <c r="B11453" s="176" t="s">
        <v>10394</v>
      </c>
      <c r="C11453" s="31"/>
      <c r="D11453" s="32" t="s">
        <v>18</v>
      </c>
      <c r="E11453" s="33"/>
      <c r="F11453" s="60" t="s">
        <v>13</v>
      </c>
      <c r="G11453" s="34" t="str">
        <f>IF(ISNUMBER(F11453),E11453*F11453,"")</f>
        <v/>
      </c>
      <c r="H11453" s="35"/>
      <c r="I11453" s="36"/>
      <c r="J11453" s="37">
        <v>0</v>
      </c>
    </row>
    <row r="11454" spans="1:10" hidden="1" x14ac:dyDescent="0.25">
      <c r="A11454" s="179"/>
      <c r="B11454" s="177"/>
      <c r="C11454" s="39"/>
      <c r="D11454" s="39"/>
      <c r="E11454" s="40"/>
      <c r="F11454" s="70" t="s">
        <v>13</v>
      </c>
      <c r="G11454" s="70" t="str">
        <f>IF(ISNUMBER(F11454),E11454*F11454,"")</f>
        <v/>
      </c>
      <c r="H11454" s="71"/>
      <c r="I11454" s="72"/>
      <c r="J11454" s="37">
        <v>0</v>
      </c>
    </row>
    <row r="11455" spans="1:10" hidden="1" x14ac:dyDescent="0.25">
      <c r="A11455" s="179"/>
      <c r="B11455" s="177"/>
      <c r="C11455" s="43" t="s">
        <v>2811</v>
      </c>
      <c r="D11455" s="43" t="s">
        <v>83</v>
      </c>
      <c r="E11455" s="44">
        <v>1</v>
      </c>
      <c r="F11455" s="70" t="s">
        <v>13</v>
      </c>
      <c r="G11455" s="70" t="str">
        <f>IF(ISNUMBER(F11455),E11455*F11455,"")</f>
        <v/>
      </c>
      <c r="H11455" s="46">
        <f t="shared" si="25"/>
        <v>0</v>
      </c>
      <c r="I11455" s="47"/>
      <c r="J11455" s="37">
        <v>0</v>
      </c>
    </row>
    <row r="11456" spans="1:10" ht="15.75" hidden="1" thickBot="1" x14ac:dyDescent="0.3">
      <c r="A11456" s="180"/>
      <c r="B11456" s="178"/>
      <c r="C11456" s="49"/>
      <c r="D11456" s="49"/>
      <c r="E11456" s="50"/>
      <c r="F11456" s="83" t="s">
        <v>13</v>
      </c>
      <c r="G11456" s="83" t="str">
        <f>IF(ISNUMBER(F11456),E11456*F11456,"")</f>
        <v/>
      </c>
      <c r="H11456" s="84"/>
      <c r="I11456" s="72"/>
      <c r="J11456" s="37">
        <v>0</v>
      </c>
    </row>
    <row r="11457" spans="1:10" ht="15.75" hidden="1" thickBot="1" x14ac:dyDescent="0.3">
      <c r="A11457" s="173" t="s">
        <v>2812</v>
      </c>
      <c r="B11457" s="176" t="s">
        <v>10407</v>
      </c>
      <c r="C11457" s="31"/>
      <c r="D11457" s="32" t="s">
        <v>72</v>
      </c>
      <c r="E11457" s="33"/>
      <c r="F11457" s="60" t="s">
        <v>13</v>
      </c>
      <c r="G11457" s="34" t="str">
        <f>IF(ISNUMBER(F11457),E11457*F11457,"")</f>
        <v/>
      </c>
      <c r="H11457" s="35"/>
      <c r="I11457" s="36"/>
      <c r="J11457" s="37">
        <v>0</v>
      </c>
    </row>
    <row r="11458" spans="1:10" hidden="1" x14ac:dyDescent="0.25">
      <c r="A11458" s="179"/>
      <c r="B11458" s="177"/>
      <c r="C11458" s="39"/>
      <c r="D11458" s="39"/>
      <c r="E11458" s="40"/>
      <c r="F11458" s="70" t="s">
        <v>13</v>
      </c>
      <c r="G11458" s="70" t="str">
        <f>IF(ISNUMBER(F11458),E11458*F11458,"")</f>
        <v/>
      </c>
      <c r="H11458" s="71"/>
      <c r="I11458" s="72"/>
      <c r="J11458" s="37">
        <v>0</v>
      </c>
    </row>
    <row r="11459" spans="1:10" ht="38.25" hidden="1" x14ac:dyDescent="0.25">
      <c r="A11459" s="179"/>
      <c r="B11459" s="177"/>
      <c r="C11459" s="43" t="s">
        <v>10952</v>
      </c>
      <c r="D11459" s="43" t="s">
        <v>1050</v>
      </c>
      <c r="E11459" s="44">
        <v>2.0999999999999999E-3</v>
      </c>
      <c r="F11459" s="38">
        <v>328.45299999999997</v>
      </c>
      <c r="G11459" s="70">
        <f>IF(ISNUMBER(F11459),E11459*F11459,"")</f>
        <v>0.68975129999999996</v>
      </c>
      <c r="H11459" s="46">
        <f>SUM(G11459:G11470)</f>
        <v>16.30585795</v>
      </c>
      <c r="I11459" s="47"/>
      <c r="J11459" s="37">
        <v>0</v>
      </c>
    </row>
    <row r="11460" spans="1:10" ht="38.25" hidden="1" x14ac:dyDescent="0.25">
      <c r="A11460" s="179"/>
      <c r="B11460" s="177"/>
      <c r="C11460" s="43" t="s">
        <v>10953</v>
      </c>
      <c r="D11460" s="43" t="s">
        <v>10677</v>
      </c>
      <c r="E11460" s="44">
        <v>1.09E-2</v>
      </c>
      <c r="F11460" s="41">
        <v>167.39949999999999</v>
      </c>
      <c r="G11460" s="41">
        <f>IF(ISNUMBER(F11460),E11460*F11460,"")</f>
        <v>1.82465455</v>
      </c>
      <c r="H11460" s="42"/>
      <c r="I11460" s="38"/>
      <c r="J11460" s="37">
        <v>0</v>
      </c>
    </row>
    <row r="11461" spans="1:10" hidden="1" x14ac:dyDescent="0.25">
      <c r="A11461" s="179"/>
      <c r="B11461" s="177"/>
      <c r="C11461" s="43" t="s">
        <v>10846</v>
      </c>
      <c r="D11461" s="43" t="s">
        <v>1044</v>
      </c>
      <c r="E11461" s="44">
        <v>4.9000000000000002E-2</v>
      </c>
      <c r="F11461" s="38">
        <v>41.8</v>
      </c>
      <c r="G11461" s="70">
        <f>IF(ISNUMBER(F11461),E11461*F11461,"")</f>
        <v>2.0482</v>
      </c>
      <c r="H11461" s="57"/>
      <c r="I11461" s="47"/>
      <c r="J11461" s="37">
        <v>0</v>
      </c>
    </row>
    <row r="11462" spans="1:10" hidden="1" x14ac:dyDescent="0.25">
      <c r="A11462" s="179"/>
      <c r="B11462" s="177"/>
      <c r="C11462" s="43" t="s">
        <v>10808</v>
      </c>
      <c r="D11462" s="43" t="s">
        <v>2800</v>
      </c>
      <c r="E11462" s="44">
        <v>0.02</v>
      </c>
      <c r="F11462" s="38">
        <v>31.729999999999997</v>
      </c>
      <c r="G11462" s="70">
        <f>IF(ISNUMBER(F11462),E11462*F11462,"")</f>
        <v>0.63459999999999994</v>
      </c>
      <c r="H11462" s="57"/>
      <c r="I11462" s="47"/>
      <c r="J11462" s="37">
        <v>0</v>
      </c>
    </row>
    <row r="11463" spans="1:10" ht="25.5" hidden="1" x14ac:dyDescent="0.25">
      <c r="A11463" s="179"/>
      <c r="B11463" s="177"/>
      <c r="C11463" s="43" t="s">
        <v>10843</v>
      </c>
      <c r="D11463" s="43" t="s">
        <v>2800</v>
      </c>
      <c r="E11463" s="44">
        <v>0.1</v>
      </c>
      <c r="F11463" s="38">
        <v>23.388999999999999</v>
      </c>
      <c r="G11463" s="70">
        <f>IF(ISNUMBER(F11463),E11463*F11463,"")</f>
        <v>2.3389000000000002</v>
      </c>
      <c r="H11463" s="57"/>
      <c r="I11463" s="47"/>
      <c r="J11463" s="37">
        <v>0</v>
      </c>
    </row>
    <row r="11464" spans="1:10" ht="25.5" hidden="1" x14ac:dyDescent="0.25">
      <c r="A11464" s="179"/>
      <c r="B11464" s="177"/>
      <c r="C11464" s="43" t="s">
        <v>10825</v>
      </c>
      <c r="D11464" s="43" t="s">
        <v>2800</v>
      </c>
      <c r="E11464" s="44">
        <v>0.3</v>
      </c>
      <c r="F11464" s="38">
        <v>25.383999999999997</v>
      </c>
      <c r="G11464" s="70">
        <f>IF(ISNUMBER(F11464),E11464*F11464,"")</f>
        <v>7.6151999999999989</v>
      </c>
      <c r="H11464" s="57"/>
      <c r="I11464" s="47"/>
      <c r="J11464" s="37">
        <v>0</v>
      </c>
    </row>
    <row r="11465" spans="1:10" hidden="1" x14ac:dyDescent="0.25">
      <c r="A11465" s="179"/>
      <c r="B11465" s="177"/>
      <c r="C11465" s="43" t="s">
        <v>10673</v>
      </c>
      <c r="D11465" s="43" t="s">
        <v>70</v>
      </c>
      <c r="E11465" s="44">
        <f>0.003*3.6</f>
        <v>1.0800000000000001E-2</v>
      </c>
      <c r="F11465" s="38">
        <v>48.221999999999994</v>
      </c>
      <c r="G11465" s="70">
        <f>IF(ISNUMBER(F11465),E11465*F11465,"")</f>
        <v>0.52079759999999997</v>
      </c>
      <c r="H11465" s="57"/>
      <c r="I11465" s="47"/>
      <c r="J11465" s="37">
        <v>0</v>
      </c>
    </row>
    <row r="11466" spans="1:10" hidden="1" x14ac:dyDescent="0.25">
      <c r="A11466" s="179"/>
      <c r="B11466" s="177"/>
      <c r="C11466" s="43" t="s">
        <v>10844</v>
      </c>
      <c r="D11466" s="43" t="s">
        <v>2800</v>
      </c>
      <c r="E11466" s="44">
        <v>0.02</v>
      </c>
      <c r="F11466" s="38">
        <v>25.1845</v>
      </c>
      <c r="G11466" s="70">
        <f>IF(ISNUMBER(F11466),E11466*F11466,"")</f>
        <v>0.50368999999999997</v>
      </c>
      <c r="H11466" s="57"/>
      <c r="I11466" s="47"/>
      <c r="J11466" s="37">
        <v>0</v>
      </c>
    </row>
    <row r="11467" spans="1:10" ht="25.5" hidden="1" x14ac:dyDescent="0.25">
      <c r="A11467" s="179"/>
      <c r="B11467" s="177"/>
      <c r="C11467" s="43" t="s">
        <v>11865</v>
      </c>
      <c r="D11467" s="43" t="s">
        <v>83</v>
      </c>
      <c r="E11467" s="44">
        <v>3.0000000000000001E-3</v>
      </c>
      <c r="F11467" s="38">
        <v>4.0754999999999999</v>
      </c>
      <c r="G11467" s="70">
        <f>IF(ISNUMBER(F11467),E11467*F11467,"")</f>
        <v>1.22265E-2</v>
      </c>
      <c r="H11467" s="57"/>
      <c r="I11467" s="47"/>
      <c r="J11467" s="37">
        <v>0</v>
      </c>
    </row>
    <row r="11468" spans="1:10" ht="25.5" hidden="1" x14ac:dyDescent="0.25">
      <c r="A11468" s="179"/>
      <c r="B11468" s="177"/>
      <c r="C11468" s="43" t="s">
        <v>82</v>
      </c>
      <c r="D11468" s="43" t="s">
        <v>83</v>
      </c>
      <c r="E11468" s="44">
        <f>0.2219/7396.43</f>
        <v>3.0000959922557231E-5</v>
      </c>
      <c r="F11468" s="38" t="s">
        <v>13</v>
      </c>
      <c r="G11468" s="70" t="str">
        <f>IF(ISNUMBER(F11468),E11468*F11468,"")</f>
        <v/>
      </c>
      <c r="H11468" s="57"/>
      <c r="I11468" s="47"/>
      <c r="J11468" s="37">
        <v>0</v>
      </c>
    </row>
    <row r="11469" spans="1:10" ht="25.5" hidden="1" x14ac:dyDescent="0.25">
      <c r="A11469" s="179"/>
      <c r="B11469" s="177"/>
      <c r="C11469" s="43" t="s">
        <v>11866</v>
      </c>
      <c r="D11469" s="43" t="s">
        <v>1044</v>
      </c>
      <c r="E11469" s="44">
        <v>1.4E-2</v>
      </c>
      <c r="F11469" s="38">
        <v>8.4169999999999998</v>
      </c>
      <c r="G11469" s="70">
        <f>IF(ISNUMBER(F11469),E11469*F11469,"")</f>
        <v>0.117838</v>
      </c>
      <c r="H11469" s="57"/>
      <c r="I11469" s="47"/>
      <c r="J11469" s="37">
        <v>0</v>
      </c>
    </row>
    <row r="11470" spans="1:10" hidden="1" x14ac:dyDescent="0.25">
      <c r="A11470" s="179"/>
      <c r="B11470" s="177"/>
      <c r="C11470" s="43" t="s">
        <v>2663</v>
      </c>
      <c r="D11470" s="43" t="s">
        <v>1044</v>
      </c>
      <c r="E11470" s="44">
        <v>0.98599999999999999</v>
      </c>
      <c r="F11470" s="38" t="s">
        <v>13</v>
      </c>
      <c r="G11470" s="70" t="str">
        <f>IF(ISNUMBER(F11470),E11470*F11470,"")</f>
        <v/>
      </c>
      <c r="H11470" s="57"/>
      <c r="I11470" s="47"/>
      <c r="J11470" s="37">
        <v>0</v>
      </c>
    </row>
    <row r="11471" spans="1:10" ht="15.75" hidden="1" thickBot="1" x14ac:dyDescent="0.3">
      <c r="A11471" s="180"/>
      <c r="B11471" s="178"/>
      <c r="C11471" s="49"/>
      <c r="D11471" s="63"/>
      <c r="E11471" s="50"/>
      <c r="F11471" s="83" t="s">
        <v>13</v>
      </c>
      <c r="G11471" s="83" t="str">
        <f>IF(ISNUMBER(F11471),E11471*F11471,"")</f>
        <v/>
      </c>
      <c r="H11471" s="84"/>
      <c r="I11471" s="72"/>
      <c r="J11471" s="37">
        <v>0</v>
      </c>
    </row>
    <row r="11472" spans="1:10" ht="15.75" hidden="1" thickBot="1" x14ac:dyDescent="0.3">
      <c r="A11472" s="173" t="s">
        <v>2813</v>
      </c>
      <c r="B11472" s="176" t="s">
        <v>6078</v>
      </c>
      <c r="C11472" s="31"/>
      <c r="D11472" s="32" t="s">
        <v>18</v>
      </c>
      <c r="E11472" s="33"/>
      <c r="F11472" s="60" t="s">
        <v>13</v>
      </c>
      <c r="G11472" s="34" t="str">
        <f>IF(ISNUMBER(F11472),E11472*F11472,"")</f>
        <v/>
      </c>
      <c r="H11472" s="35"/>
      <c r="I11472" s="36"/>
      <c r="J11472" s="37">
        <v>0</v>
      </c>
    </row>
    <row r="11473" spans="1:10" hidden="1" x14ac:dyDescent="0.25">
      <c r="A11473" s="179"/>
      <c r="B11473" s="177"/>
      <c r="C11473" s="39"/>
      <c r="D11473" s="39"/>
      <c r="E11473" s="40"/>
      <c r="F11473" s="70" t="s">
        <v>13</v>
      </c>
      <c r="G11473" s="70" t="str">
        <f>IF(ISNUMBER(F11473),E11473*F11473,"")</f>
        <v/>
      </c>
      <c r="H11473" s="71"/>
      <c r="I11473" s="72"/>
      <c r="J11473" s="37">
        <v>0</v>
      </c>
    </row>
    <row r="11474" spans="1:10" hidden="1" x14ac:dyDescent="0.25">
      <c r="A11474" s="179"/>
      <c r="B11474" s="177"/>
      <c r="C11474" s="43" t="s">
        <v>2814</v>
      </c>
      <c r="D11474" s="43" t="s">
        <v>83</v>
      </c>
      <c r="E11474" s="44">
        <v>1</v>
      </c>
      <c r="F11474" s="38" t="s">
        <v>13</v>
      </c>
      <c r="G11474" s="70" t="str">
        <f>IF(ISNUMBER(F11474),E11474*F11474,"")</f>
        <v/>
      </c>
      <c r="H11474" s="46">
        <f>SUM(G11474:G11476)</f>
        <v>25.176414086400001</v>
      </c>
      <c r="I11474" s="47"/>
      <c r="J11474" s="37">
        <v>0</v>
      </c>
    </row>
    <row r="11475" spans="1:10" hidden="1" x14ac:dyDescent="0.25">
      <c r="A11475" s="179"/>
      <c r="B11475" s="177"/>
      <c r="C11475" s="43" t="s">
        <v>10762</v>
      </c>
      <c r="D11475" s="43" t="s">
        <v>2800</v>
      </c>
      <c r="E11475" s="44">
        <v>0.200544</v>
      </c>
      <c r="F11475" s="38">
        <v>24.946999999999999</v>
      </c>
      <c r="G11475" s="70">
        <f>IF(ISNUMBER(F11475),E11475*F11475,"")</f>
        <v>5.0029711680000002</v>
      </c>
      <c r="H11475" s="71"/>
      <c r="I11475" s="72"/>
      <c r="J11475" s="37">
        <v>0</v>
      </c>
    </row>
    <row r="11476" spans="1:10" hidden="1" x14ac:dyDescent="0.25">
      <c r="A11476" s="179"/>
      <c r="B11476" s="177"/>
      <c r="C11476" s="43" t="s">
        <v>10763</v>
      </c>
      <c r="D11476" s="43" t="s">
        <v>2800</v>
      </c>
      <c r="E11476" s="44">
        <v>0.6417408</v>
      </c>
      <c r="F11476" s="38">
        <v>31.435500000000001</v>
      </c>
      <c r="G11476" s="70">
        <f>IF(ISNUMBER(F11476),E11476*F11476,"")</f>
        <v>20.173442918399999</v>
      </c>
      <c r="H11476" s="71"/>
      <c r="I11476" s="72"/>
      <c r="J11476" s="37">
        <v>0</v>
      </c>
    </row>
    <row r="11477" spans="1:10" ht="15.75" hidden="1" thickBot="1" x14ac:dyDescent="0.3">
      <c r="A11477" s="180"/>
      <c r="B11477" s="178"/>
      <c r="C11477" s="49"/>
      <c r="D11477" s="63"/>
      <c r="E11477" s="50"/>
      <c r="F11477" s="83" t="s">
        <v>13</v>
      </c>
      <c r="G11477" s="83" t="str">
        <f>IF(ISNUMBER(F11477),E11477*F11477,"")</f>
        <v/>
      </c>
      <c r="H11477" s="84"/>
      <c r="I11477" s="72"/>
      <c r="J11477" s="37">
        <v>0</v>
      </c>
    </row>
    <row r="11478" spans="1:10" ht="15.75" hidden="1" thickBot="1" x14ac:dyDescent="0.3">
      <c r="A11478" s="173" t="s">
        <v>2815</v>
      </c>
      <c r="B11478" s="176" t="s">
        <v>6080</v>
      </c>
      <c r="C11478" s="31"/>
      <c r="D11478" s="32" t="s">
        <v>18</v>
      </c>
      <c r="E11478" s="33"/>
      <c r="F11478" s="60" t="s">
        <v>13</v>
      </c>
      <c r="G11478" s="34" t="str">
        <f>IF(ISNUMBER(F11478),E11478*F11478,"")</f>
        <v/>
      </c>
      <c r="H11478" s="35"/>
      <c r="I11478" s="36"/>
      <c r="J11478" s="37">
        <v>0</v>
      </c>
    </row>
    <row r="11479" spans="1:10" hidden="1" x14ac:dyDescent="0.25">
      <c r="A11479" s="179"/>
      <c r="B11479" s="177"/>
      <c r="C11479" s="39"/>
      <c r="D11479" s="39"/>
      <c r="E11479" s="40"/>
      <c r="F11479" s="70" t="s">
        <v>13</v>
      </c>
      <c r="G11479" s="70" t="str">
        <f>IF(ISNUMBER(F11479),E11479*F11479,"")</f>
        <v/>
      </c>
      <c r="H11479" s="71"/>
      <c r="I11479" s="72"/>
      <c r="J11479" s="37">
        <v>0</v>
      </c>
    </row>
    <row r="11480" spans="1:10" hidden="1" x14ac:dyDescent="0.25">
      <c r="A11480" s="179"/>
      <c r="B11480" s="177"/>
      <c r="C11480" s="43" t="s">
        <v>2816</v>
      </c>
      <c r="D11480" s="43" t="s">
        <v>83</v>
      </c>
      <c r="E11480" s="44">
        <v>1</v>
      </c>
      <c r="F11480" s="38" t="s">
        <v>13</v>
      </c>
      <c r="G11480" s="70" t="str">
        <f>IF(ISNUMBER(F11480),E11480*F11480,"")</f>
        <v/>
      </c>
      <c r="H11480" s="46">
        <f>SUM(G11480:G11482)</f>
        <v>21.339956120699998</v>
      </c>
      <c r="I11480" s="47"/>
      <c r="J11480" s="37">
        <v>0</v>
      </c>
    </row>
    <row r="11481" spans="1:10" hidden="1" x14ac:dyDescent="0.25">
      <c r="A11481" s="179"/>
      <c r="B11481" s="177"/>
      <c r="C11481" s="43" t="s">
        <v>10762</v>
      </c>
      <c r="D11481" s="43" t="s">
        <v>2800</v>
      </c>
      <c r="E11481" s="44">
        <v>0.16998450000000001</v>
      </c>
      <c r="F11481" s="38">
        <v>24.946999999999999</v>
      </c>
      <c r="G11481" s="70">
        <f>IF(ISNUMBER(F11481),E11481*F11481,"")</f>
        <v>4.2406033215000001</v>
      </c>
      <c r="H11481" s="71"/>
      <c r="I11481" s="72"/>
      <c r="J11481" s="37">
        <v>0</v>
      </c>
    </row>
    <row r="11482" spans="1:10" hidden="1" x14ac:dyDescent="0.25">
      <c r="A11482" s="179"/>
      <c r="B11482" s="177"/>
      <c r="C11482" s="43" t="s">
        <v>10763</v>
      </c>
      <c r="D11482" s="43" t="s">
        <v>2800</v>
      </c>
      <c r="E11482" s="44">
        <v>0.54395039999999995</v>
      </c>
      <c r="F11482" s="38">
        <v>31.435500000000001</v>
      </c>
      <c r="G11482" s="70">
        <f>IF(ISNUMBER(F11482),E11482*F11482,"")</f>
        <v>17.099352799199998</v>
      </c>
      <c r="H11482" s="71"/>
      <c r="I11482" s="72"/>
      <c r="J11482" s="37">
        <v>0</v>
      </c>
    </row>
    <row r="11483" spans="1:10" ht="15.75" hidden="1" thickBot="1" x14ac:dyDescent="0.3">
      <c r="A11483" s="180"/>
      <c r="B11483" s="178"/>
      <c r="C11483" s="49"/>
      <c r="D11483" s="63"/>
      <c r="E11483" s="50"/>
      <c r="F11483" s="83" t="s">
        <v>13</v>
      </c>
      <c r="G11483" s="83" t="str">
        <f>IF(ISNUMBER(F11483),E11483*F11483,"")</f>
        <v/>
      </c>
      <c r="H11483" s="84"/>
      <c r="I11483" s="72"/>
      <c r="J11483" s="37">
        <v>0</v>
      </c>
    </row>
    <row r="11484" spans="1:10" ht="15.75" hidden="1" thickBot="1" x14ac:dyDescent="0.3">
      <c r="A11484" s="173" t="s">
        <v>2817</v>
      </c>
      <c r="B11484" s="176" t="s">
        <v>8197</v>
      </c>
      <c r="C11484" s="31"/>
      <c r="D11484" s="32" t="s">
        <v>8198</v>
      </c>
      <c r="E11484" s="33"/>
      <c r="F11484" s="60" t="s">
        <v>13</v>
      </c>
      <c r="G11484" s="34" t="str">
        <f>IF(ISNUMBER(F11484),E11484*F11484,"")</f>
        <v/>
      </c>
      <c r="H11484" s="35"/>
      <c r="I11484" s="36"/>
      <c r="J11484" s="37">
        <v>0</v>
      </c>
    </row>
    <row r="11485" spans="1:10" hidden="1" x14ac:dyDescent="0.25">
      <c r="A11485" s="179"/>
      <c r="B11485" s="177"/>
      <c r="C11485" s="39"/>
      <c r="D11485" s="39"/>
      <c r="E11485" s="40"/>
      <c r="F11485" s="70" t="s">
        <v>13</v>
      </c>
      <c r="G11485" s="70" t="str">
        <f>IF(ISNUMBER(F11485),E11485*F11485,"")</f>
        <v/>
      </c>
      <c r="H11485" s="71"/>
      <c r="I11485" s="72"/>
      <c r="J11485" s="37">
        <v>0</v>
      </c>
    </row>
    <row r="11486" spans="1:10" hidden="1" x14ac:dyDescent="0.25">
      <c r="A11486" s="179"/>
      <c r="B11486" s="177"/>
      <c r="C11486" s="43" t="s">
        <v>11885</v>
      </c>
      <c r="D11486" s="43" t="s">
        <v>2880</v>
      </c>
      <c r="E11486" s="44">
        <v>0.1</v>
      </c>
      <c r="F11486" s="70">
        <v>736.51599999999996</v>
      </c>
      <c r="G11486" s="70">
        <f>IF(ISNUMBER(F11486),E11486*F11486,"")</f>
        <v>73.651600000000002</v>
      </c>
      <c r="H11486" s="46">
        <f t="shared" ref="H11486" si="26">SUM(G11486:G11486)</f>
        <v>73.651600000000002</v>
      </c>
      <c r="I11486" s="47"/>
      <c r="J11486" s="37">
        <v>0</v>
      </c>
    </row>
    <row r="11487" spans="1:10" ht="15.75" hidden="1" thickBot="1" x14ac:dyDescent="0.3">
      <c r="A11487" s="180"/>
      <c r="B11487" s="178"/>
      <c r="C11487" s="49"/>
      <c r="D11487" s="49"/>
      <c r="E11487" s="50"/>
      <c r="F11487" s="83" t="s">
        <v>13</v>
      </c>
      <c r="G11487" s="83" t="str">
        <f>IF(ISNUMBER(F11487),E11487*F11487,"")</f>
        <v/>
      </c>
      <c r="H11487" s="84"/>
      <c r="I11487" s="72"/>
      <c r="J11487" s="37">
        <v>0</v>
      </c>
    </row>
    <row r="11488" spans="1:10" ht="15.75" hidden="1" thickBot="1" x14ac:dyDescent="0.3">
      <c r="A11488" s="173" t="s">
        <v>2818</v>
      </c>
      <c r="B11488" s="176" t="s">
        <v>10410</v>
      </c>
      <c r="C11488" s="31"/>
      <c r="D11488" s="32" t="s">
        <v>18</v>
      </c>
      <c r="E11488" s="33"/>
      <c r="F11488" s="60" t="s">
        <v>13</v>
      </c>
      <c r="G11488" s="34" t="str">
        <f>IF(ISNUMBER(F11488),E11488*F11488,"")</f>
        <v/>
      </c>
      <c r="H11488" s="35"/>
      <c r="I11488" s="36"/>
      <c r="J11488" s="37">
        <v>0</v>
      </c>
    </row>
    <row r="11489" spans="1:10" hidden="1" x14ac:dyDescent="0.25">
      <c r="A11489" s="179"/>
      <c r="B11489" s="177"/>
      <c r="C11489" s="39"/>
      <c r="D11489" s="39"/>
      <c r="E11489" s="40"/>
      <c r="F11489" s="70" t="s">
        <v>13</v>
      </c>
      <c r="G11489" s="70" t="str">
        <f>IF(ISNUMBER(F11489),E11489*F11489,"")</f>
        <v/>
      </c>
      <c r="H11489" s="71"/>
      <c r="I11489" s="72"/>
      <c r="J11489" s="37">
        <v>0</v>
      </c>
    </row>
    <row r="11490" spans="1:10" ht="38.25" hidden="1" x14ac:dyDescent="0.25">
      <c r="A11490" s="179"/>
      <c r="B11490" s="177"/>
      <c r="C11490" s="43" t="s">
        <v>11886</v>
      </c>
      <c r="D11490" s="43" t="s">
        <v>83</v>
      </c>
      <c r="E11490" s="44">
        <v>1</v>
      </c>
      <c r="F11490" s="70">
        <v>5055.9284999999991</v>
      </c>
      <c r="G11490" s="70">
        <f>IF(ISNUMBER(F11490),E11490*F11490,"")</f>
        <v>5055.9284999999991</v>
      </c>
      <c r="H11490" s="46">
        <f t="shared" ref="H11490" si="27">SUM(G11490:G11490)</f>
        <v>5055.9284999999991</v>
      </c>
      <c r="I11490" s="47"/>
      <c r="J11490" s="37">
        <v>0</v>
      </c>
    </row>
    <row r="11491" spans="1:10" ht="15.75" hidden="1" thickBot="1" x14ac:dyDescent="0.3">
      <c r="A11491" s="180"/>
      <c r="B11491" s="178"/>
      <c r="C11491" s="49"/>
      <c r="D11491" s="49"/>
      <c r="E11491" s="50"/>
      <c r="F11491" s="83" t="s">
        <v>13</v>
      </c>
      <c r="G11491" s="83" t="str">
        <f>IF(ISNUMBER(F11491),E11491*F11491,"")</f>
        <v/>
      </c>
      <c r="H11491" s="84"/>
      <c r="I11491" s="72"/>
      <c r="J11491" s="37">
        <v>0</v>
      </c>
    </row>
    <row r="11492" spans="1:10" ht="15.75" hidden="1" thickBot="1" x14ac:dyDescent="0.3">
      <c r="A11492" s="173" t="s">
        <v>2819</v>
      </c>
      <c r="B11492" s="176" t="s">
        <v>10411</v>
      </c>
      <c r="C11492" s="31"/>
      <c r="D11492" s="32" t="s">
        <v>18</v>
      </c>
      <c r="E11492" s="33"/>
      <c r="F11492" s="60" t="s">
        <v>13</v>
      </c>
      <c r="G11492" s="34" t="str">
        <f>IF(ISNUMBER(F11492),E11492*F11492,"")</f>
        <v/>
      </c>
      <c r="H11492" s="35"/>
      <c r="I11492" s="36"/>
      <c r="J11492" s="37">
        <v>0</v>
      </c>
    </row>
    <row r="11493" spans="1:10" hidden="1" x14ac:dyDescent="0.25">
      <c r="A11493" s="179"/>
      <c r="B11493" s="177"/>
      <c r="C11493" s="39"/>
      <c r="D11493" s="39"/>
      <c r="E11493" s="40"/>
      <c r="F11493" s="70" t="s">
        <v>13</v>
      </c>
      <c r="G11493" s="70" t="str">
        <f>IF(ISNUMBER(F11493),E11493*F11493,"")</f>
        <v/>
      </c>
      <c r="H11493" s="71"/>
      <c r="I11493" s="72"/>
      <c r="J11493" s="37">
        <v>0</v>
      </c>
    </row>
    <row r="11494" spans="1:10" ht="51" hidden="1" x14ac:dyDescent="0.25">
      <c r="A11494" s="179"/>
      <c r="B11494" s="177"/>
      <c r="C11494" s="43" t="s">
        <v>11887</v>
      </c>
      <c r="D11494" s="43" t="s">
        <v>83</v>
      </c>
      <c r="E11494" s="44">
        <v>1</v>
      </c>
      <c r="F11494" s="70">
        <v>28.271999999999998</v>
      </c>
      <c r="G11494" s="70">
        <f>IF(ISNUMBER(F11494),E11494*F11494,"")</f>
        <v>28.271999999999998</v>
      </c>
      <c r="H11494" s="46">
        <f t="shared" ref="H11494" si="28">SUM(G11494:G11494)</f>
        <v>28.271999999999998</v>
      </c>
      <c r="I11494" s="47"/>
      <c r="J11494" s="37">
        <v>0</v>
      </c>
    </row>
    <row r="11495" spans="1:10" ht="15.75" hidden="1" thickBot="1" x14ac:dyDescent="0.3">
      <c r="A11495" s="180"/>
      <c r="B11495" s="178"/>
      <c r="C11495" s="49"/>
      <c r="D11495" s="49"/>
      <c r="E11495" s="50"/>
      <c r="F11495" s="83" t="s">
        <v>13</v>
      </c>
      <c r="G11495" s="83" t="str">
        <f>IF(ISNUMBER(F11495),E11495*F11495,"")</f>
        <v/>
      </c>
      <c r="H11495" s="84"/>
      <c r="I11495" s="72"/>
      <c r="J11495" s="37">
        <v>0</v>
      </c>
    </row>
    <row r="11496" spans="1:10" ht="15.75" hidden="1" thickBot="1" x14ac:dyDescent="0.3">
      <c r="A11496" s="173" t="s">
        <v>2820</v>
      </c>
      <c r="B11496" s="176" t="s">
        <v>10412</v>
      </c>
      <c r="C11496" s="31"/>
      <c r="D11496" s="32" t="s">
        <v>18</v>
      </c>
      <c r="E11496" s="33"/>
      <c r="F11496" s="60" t="s">
        <v>13</v>
      </c>
      <c r="G11496" s="34" t="str">
        <f>IF(ISNUMBER(F11496),E11496*F11496,"")</f>
        <v/>
      </c>
      <c r="H11496" s="35"/>
      <c r="I11496" s="36"/>
      <c r="J11496" s="37">
        <v>0</v>
      </c>
    </row>
    <row r="11497" spans="1:10" hidden="1" x14ac:dyDescent="0.25">
      <c r="A11497" s="179"/>
      <c r="B11497" s="177"/>
      <c r="C11497" s="39"/>
      <c r="D11497" s="39"/>
      <c r="E11497" s="40"/>
      <c r="F11497" s="70" t="s">
        <v>13</v>
      </c>
      <c r="G11497" s="70" t="str">
        <f>IF(ISNUMBER(F11497),E11497*F11497,"")</f>
        <v/>
      </c>
      <c r="H11497" s="71"/>
      <c r="I11497" s="72"/>
      <c r="J11497" s="37">
        <v>0</v>
      </c>
    </row>
    <row r="11498" spans="1:10" ht="25.5" hidden="1" x14ac:dyDescent="0.25">
      <c r="A11498" s="179"/>
      <c r="B11498" s="177"/>
      <c r="C11498" s="43" t="s">
        <v>11888</v>
      </c>
      <c r="D11498" s="43" t="s">
        <v>83</v>
      </c>
      <c r="E11498" s="44">
        <v>1</v>
      </c>
      <c r="F11498" s="70">
        <v>20.500999999999998</v>
      </c>
      <c r="G11498" s="70">
        <f>IF(ISNUMBER(F11498),E11498*F11498,"")</f>
        <v>20.500999999999998</v>
      </c>
      <c r="H11498" s="46">
        <f t="shared" ref="H11498" si="29">SUM(G11498:G11498)</f>
        <v>20.500999999999998</v>
      </c>
      <c r="I11498" s="47"/>
      <c r="J11498" s="37">
        <v>0</v>
      </c>
    </row>
    <row r="11499" spans="1:10" ht="15.75" hidden="1" thickBot="1" x14ac:dyDescent="0.3">
      <c r="A11499" s="180"/>
      <c r="B11499" s="178"/>
      <c r="C11499" s="49"/>
      <c r="D11499" s="49"/>
      <c r="E11499" s="50"/>
      <c r="F11499" s="83" t="s">
        <v>13</v>
      </c>
      <c r="G11499" s="83" t="str">
        <f>IF(ISNUMBER(F11499),E11499*F11499,"")</f>
        <v/>
      </c>
      <c r="H11499" s="84"/>
      <c r="I11499" s="72"/>
      <c r="J11499" s="37">
        <v>0</v>
      </c>
    </row>
    <row r="11500" spans="1:10" ht="15.75" hidden="1" thickBot="1" x14ac:dyDescent="0.3">
      <c r="A11500" s="173" t="s">
        <v>2821</v>
      </c>
      <c r="B11500" s="176" t="s">
        <v>10413</v>
      </c>
      <c r="C11500" s="31"/>
      <c r="D11500" s="32" t="s">
        <v>18</v>
      </c>
      <c r="E11500" s="33"/>
      <c r="F11500" s="60" t="s">
        <v>13</v>
      </c>
      <c r="G11500" s="34" t="str">
        <f>IF(ISNUMBER(F11500),E11500*F11500,"")</f>
        <v/>
      </c>
      <c r="H11500" s="35"/>
      <c r="I11500" s="36"/>
      <c r="J11500" s="37">
        <v>0</v>
      </c>
    </row>
    <row r="11501" spans="1:10" hidden="1" x14ac:dyDescent="0.25">
      <c r="A11501" s="179"/>
      <c r="B11501" s="177"/>
      <c r="C11501" s="39"/>
      <c r="D11501" s="39"/>
      <c r="E11501" s="40"/>
      <c r="F11501" s="70" t="s">
        <v>13</v>
      </c>
      <c r="G11501" s="70" t="str">
        <f>IF(ISNUMBER(F11501),E11501*F11501,"")</f>
        <v/>
      </c>
      <c r="H11501" s="71"/>
      <c r="I11501" s="72"/>
      <c r="J11501" s="37">
        <v>0</v>
      </c>
    </row>
    <row r="11502" spans="1:10" ht="25.5" hidden="1" x14ac:dyDescent="0.25">
      <c r="A11502" s="179"/>
      <c r="B11502" s="177"/>
      <c r="C11502" s="43" t="s">
        <v>11889</v>
      </c>
      <c r="D11502" s="43" t="s">
        <v>83</v>
      </c>
      <c r="E11502" s="44">
        <v>1</v>
      </c>
      <c r="F11502" s="70">
        <v>44.2605</v>
      </c>
      <c r="G11502" s="70">
        <f>IF(ISNUMBER(F11502),E11502*F11502,"")</f>
        <v>44.2605</v>
      </c>
      <c r="H11502" s="46">
        <f t="shared" ref="H11502" si="30">SUM(G11502:G11502)</f>
        <v>44.2605</v>
      </c>
      <c r="I11502" s="47"/>
      <c r="J11502" s="37">
        <v>0</v>
      </c>
    </row>
    <row r="11503" spans="1:10" ht="15.75" hidden="1" thickBot="1" x14ac:dyDescent="0.3">
      <c r="A11503" s="180"/>
      <c r="B11503" s="178"/>
      <c r="C11503" s="49"/>
      <c r="D11503" s="49"/>
      <c r="E11503" s="50"/>
      <c r="F11503" s="83" t="s">
        <v>13</v>
      </c>
      <c r="G11503" s="83" t="str">
        <f>IF(ISNUMBER(F11503),E11503*F11503,"")</f>
        <v/>
      </c>
      <c r="H11503" s="84"/>
      <c r="I11503" s="72"/>
      <c r="J11503" s="37">
        <v>0</v>
      </c>
    </row>
    <row r="11504" spans="1:10" ht="15.75" hidden="1" thickBot="1" x14ac:dyDescent="0.3">
      <c r="A11504" s="173" t="s">
        <v>2822</v>
      </c>
      <c r="B11504" s="176" t="s">
        <v>10414</v>
      </c>
      <c r="C11504" s="31"/>
      <c r="D11504" s="32" t="s">
        <v>18</v>
      </c>
      <c r="E11504" s="33"/>
      <c r="F11504" s="60" t="s">
        <v>13</v>
      </c>
      <c r="G11504" s="34" t="str">
        <f>IF(ISNUMBER(F11504),E11504*F11504,"")</f>
        <v/>
      </c>
      <c r="H11504" s="35"/>
      <c r="I11504" s="36"/>
      <c r="J11504" s="37">
        <v>0</v>
      </c>
    </row>
    <row r="11505" spans="1:10" hidden="1" x14ac:dyDescent="0.25">
      <c r="A11505" s="179"/>
      <c r="B11505" s="177"/>
      <c r="C11505" s="39"/>
      <c r="D11505" s="39"/>
      <c r="E11505" s="40"/>
      <c r="F11505" s="70" t="s">
        <v>13</v>
      </c>
      <c r="G11505" s="70" t="str">
        <f>IF(ISNUMBER(F11505),E11505*F11505,"")</f>
        <v/>
      </c>
      <c r="H11505" s="71"/>
      <c r="I11505" s="72"/>
      <c r="J11505" s="37">
        <v>0</v>
      </c>
    </row>
    <row r="11506" spans="1:10" ht="25.5" hidden="1" x14ac:dyDescent="0.25">
      <c r="A11506" s="179"/>
      <c r="B11506" s="177"/>
      <c r="C11506" s="43" t="s">
        <v>11890</v>
      </c>
      <c r="D11506" s="43" t="s">
        <v>83</v>
      </c>
      <c r="E11506" s="44">
        <v>1</v>
      </c>
      <c r="F11506" s="70">
        <v>44.2605</v>
      </c>
      <c r="G11506" s="70">
        <f>IF(ISNUMBER(F11506),E11506*F11506,"")</f>
        <v>44.2605</v>
      </c>
      <c r="H11506" s="46">
        <f t="shared" ref="H11506" si="31">SUM(G11506:G11506)</f>
        <v>44.2605</v>
      </c>
      <c r="I11506" s="47"/>
      <c r="J11506" s="37">
        <v>0</v>
      </c>
    </row>
    <row r="11507" spans="1:10" ht="15.75" hidden="1" thickBot="1" x14ac:dyDescent="0.3">
      <c r="A11507" s="180"/>
      <c r="B11507" s="178"/>
      <c r="C11507" s="49"/>
      <c r="D11507" s="49"/>
      <c r="E11507" s="50"/>
      <c r="F11507" s="83" t="s">
        <v>13</v>
      </c>
      <c r="G11507" s="83" t="str">
        <f>IF(ISNUMBER(F11507),E11507*F11507,"")</f>
        <v/>
      </c>
      <c r="H11507" s="84"/>
      <c r="I11507" s="72"/>
      <c r="J11507" s="37">
        <v>0</v>
      </c>
    </row>
    <row r="11508" spans="1:10" ht="15.75" hidden="1" thickBot="1" x14ac:dyDescent="0.3">
      <c r="A11508" s="173" t="s">
        <v>2823</v>
      </c>
      <c r="B11508" s="176" t="s">
        <v>10415</v>
      </c>
      <c r="C11508" s="31"/>
      <c r="D11508" s="32" t="s">
        <v>18</v>
      </c>
      <c r="E11508" s="33"/>
      <c r="F11508" s="60" t="s">
        <v>13</v>
      </c>
      <c r="G11508" s="34" t="str">
        <f>IF(ISNUMBER(F11508),E11508*F11508,"")</f>
        <v/>
      </c>
      <c r="H11508" s="35"/>
      <c r="I11508" s="36"/>
      <c r="J11508" s="37">
        <v>0</v>
      </c>
    </row>
    <row r="11509" spans="1:10" hidden="1" x14ac:dyDescent="0.25">
      <c r="A11509" s="179"/>
      <c r="B11509" s="177"/>
      <c r="C11509" s="39"/>
      <c r="D11509" s="39"/>
      <c r="E11509" s="40"/>
      <c r="F11509" s="70" t="s">
        <v>13</v>
      </c>
      <c r="G11509" s="70" t="str">
        <f>IF(ISNUMBER(F11509),E11509*F11509,"")</f>
        <v/>
      </c>
      <c r="H11509" s="71"/>
      <c r="I11509" s="72"/>
      <c r="J11509" s="37">
        <v>0</v>
      </c>
    </row>
    <row r="11510" spans="1:10" ht="25.5" hidden="1" x14ac:dyDescent="0.25">
      <c r="A11510" s="179"/>
      <c r="B11510" s="177"/>
      <c r="C11510" s="43" t="s">
        <v>11891</v>
      </c>
      <c r="D11510" s="43" t="s">
        <v>83</v>
      </c>
      <c r="E11510" s="44">
        <v>1</v>
      </c>
      <c r="F11510" s="70">
        <v>27.512</v>
      </c>
      <c r="G11510" s="70">
        <f>IF(ISNUMBER(F11510),E11510*F11510,"")</f>
        <v>27.512</v>
      </c>
      <c r="H11510" s="46">
        <f t="shared" ref="H11510" si="32">SUM(G11510:G11510)</f>
        <v>27.512</v>
      </c>
      <c r="I11510" s="47"/>
      <c r="J11510" s="37">
        <v>0</v>
      </c>
    </row>
    <row r="11511" spans="1:10" ht="15.75" hidden="1" thickBot="1" x14ac:dyDescent="0.3">
      <c r="A11511" s="180"/>
      <c r="B11511" s="178"/>
      <c r="C11511" s="49"/>
      <c r="D11511" s="49"/>
      <c r="E11511" s="50"/>
      <c r="F11511" s="83" t="s">
        <v>13</v>
      </c>
      <c r="G11511" s="83" t="str">
        <f>IF(ISNUMBER(F11511),E11511*F11511,"")</f>
        <v/>
      </c>
      <c r="H11511" s="84"/>
      <c r="I11511" s="72"/>
      <c r="J11511" s="37">
        <v>0</v>
      </c>
    </row>
    <row r="11512" spans="1:10" ht="15.75" hidden="1" thickBot="1" x14ac:dyDescent="0.3">
      <c r="A11512" s="173" t="s">
        <v>2824</v>
      </c>
      <c r="B11512" s="176" t="s">
        <v>10420</v>
      </c>
      <c r="C11512" s="31"/>
      <c r="D11512" s="32" t="s">
        <v>68</v>
      </c>
      <c r="E11512" s="33"/>
      <c r="F11512" s="60" t="s">
        <v>13</v>
      </c>
      <c r="G11512" s="34" t="str">
        <f>IF(ISNUMBER(F11512),E11512*F11512,"")</f>
        <v/>
      </c>
      <c r="H11512" s="35"/>
      <c r="I11512" s="36"/>
      <c r="J11512" s="37">
        <v>0</v>
      </c>
    </row>
    <row r="11513" spans="1:10" hidden="1" x14ac:dyDescent="0.25">
      <c r="A11513" s="179"/>
      <c r="B11513" s="177"/>
      <c r="C11513" s="39"/>
      <c r="D11513" s="39"/>
      <c r="E11513" s="40"/>
      <c r="F11513" s="70" t="s">
        <v>13</v>
      </c>
      <c r="G11513" s="70" t="str">
        <f>IF(ISNUMBER(F11513),E11513*F11513,"")</f>
        <v/>
      </c>
      <c r="H11513" s="71"/>
      <c r="I11513" s="72"/>
      <c r="J11513" s="37">
        <v>0</v>
      </c>
    </row>
    <row r="11514" spans="1:10" hidden="1" x14ac:dyDescent="0.25">
      <c r="A11514" s="179"/>
      <c r="B11514" s="177"/>
      <c r="C11514" s="43" t="s">
        <v>10614</v>
      </c>
      <c r="D11514" s="43" t="s">
        <v>2800</v>
      </c>
      <c r="E11514" s="44">
        <v>0.13300000000000001</v>
      </c>
      <c r="F11514" s="70">
        <v>23.693000000000001</v>
      </c>
      <c r="G11514" s="70">
        <f>IF(ISNUMBER(F11514),E11514*F11514,"")</f>
        <v>3.1511690000000003</v>
      </c>
      <c r="H11514" s="46">
        <f t="shared" ref="H11514" si="33">SUM(G11514:G11514)</f>
        <v>3.1511690000000003</v>
      </c>
      <c r="I11514" s="47"/>
      <c r="J11514" s="37">
        <v>0</v>
      </c>
    </row>
    <row r="11515" spans="1:10" ht="15.75" hidden="1" thickBot="1" x14ac:dyDescent="0.3">
      <c r="A11515" s="180"/>
      <c r="B11515" s="178"/>
      <c r="C11515" s="49"/>
      <c r="D11515" s="49"/>
      <c r="E11515" s="50"/>
      <c r="F11515" s="83" t="s">
        <v>13</v>
      </c>
      <c r="G11515" s="83" t="str">
        <f>IF(ISNUMBER(F11515),E11515*F11515,"")</f>
        <v/>
      </c>
      <c r="H11515" s="84"/>
      <c r="I11515" s="72"/>
      <c r="J11515" s="37">
        <v>0</v>
      </c>
    </row>
    <row r="11516" spans="1:10" ht="15.75" hidden="1" thickBot="1" x14ac:dyDescent="0.3">
      <c r="A11516" s="173" t="s">
        <v>2825</v>
      </c>
      <c r="B11516" s="176" t="s">
        <v>10421</v>
      </c>
      <c r="C11516" s="31"/>
      <c r="D11516" s="32" t="s">
        <v>18</v>
      </c>
      <c r="E11516" s="33"/>
      <c r="F11516" s="54" t="s">
        <v>13</v>
      </c>
      <c r="G11516" s="34" t="str">
        <f>IF(ISNUMBER(F11516),E11516*F11516,"")</f>
        <v/>
      </c>
      <c r="H11516" s="35"/>
      <c r="I11516" s="36"/>
      <c r="J11516" s="37">
        <v>0</v>
      </c>
    </row>
    <row r="11517" spans="1:10" hidden="1" x14ac:dyDescent="0.25">
      <c r="A11517" s="174"/>
      <c r="B11517" s="177"/>
      <c r="C11517" s="39"/>
      <c r="D11517" s="39"/>
      <c r="E11517" s="40"/>
      <c r="F11517" s="55" t="s">
        <v>13</v>
      </c>
      <c r="G11517" s="38" t="str">
        <f>IF(ISNUMBER(F11517),E11517*F11517,"")</f>
        <v/>
      </c>
      <c r="H11517" s="42"/>
      <c r="I11517" s="38"/>
      <c r="J11517" s="37">
        <v>0</v>
      </c>
    </row>
    <row r="11518" spans="1:10" hidden="1" x14ac:dyDescent="0.25">
      <c r="A11518" s="174"/>
      <c r="B11518" s="177"/>
      <c r="C11518" s="43" t="s">
        <v>10757</v>
      </c>
      <c r="D11518" s="43" t="s">
        <v>2800</v>
      </c>
      <c r="E11518" s="44">
        <f>0.09*1.5</f>
        <v>0.13500000000000001</v>
      </c>
      <c r="F11518" s="41">
        <v>31.055499999999995</v>
      </c>
      <c r="G11518" s="41">
        <f>IF(ISNUMBER(F11518),E11518*F11518,"")</f>
        <v>4.1924924999999993</v>
      </c>
      <c r="H11518" s="46">
        <f>SUM(G11518:G11520)</f>
        <v>36.178042500000004</v>
      </c>
      <c r="I11518" s="47"/>
      <c r="J11518" s="37">
        <v>0</v>
      </c>
    </row>
    <row r="11519" spans="1:10" hidden="1" x14ac:dyDescent="0.25">
      <c r="A11519" s="174"/>
      <c r="B11519" s="177"/>
      <c r="C11519" s="43" t="s">
        <v>10614</v>
      </c>
      <c r="D11519" s="43" t="s">
        <v>2800</v>
      </c>
      <c r="E11519" s="44">
        <f>0.9*1.5</f>
        <v>1.35</v>
      </c>
      <c r="F11519" s="41">
        <v>23.693000000000001</v>
      </c>
      <c r="G11519" s="41">
        <f>IF(ISNUMBER(F11519),E11519*F11519,"")</f>
        <v>31.985550000000003</v>
      </c>
      <c r="H11519" s="42"/>
      <c r="I11519" s="38"/>
      <c r="J11519" s="37">
        <v>0</v>
      </c>
    </row>
    <row r="11520" spans="1:10" ht="25.5" hidden="1" x14ac:dyDescent="0.25">
      <c r="A11520" s="174"/>
      <c r="B11520" s="177"/>
      <c r="C11520" s="43" t="s">
        <v>2826</v>
      </c>
      <c r="D11520" s="43" t="s">
        <v>83</v>
      </c>
      <c r="E11520" s="44">
        <v>1</v>
      </c>
      <c r="F11520" s="38" t="s">
        <v>13</v>
      </c>
      <c r="G11520" s="41" t="str">
        <f>IF(ISNUMBER(F11520),E11520*F11520,"")</f>
        <v/>
      </c>
      <c r="H11520" s="42"/>
      <c r="I11520" s="38"/>
      <c r="J11520" s="37">
        <v>0</v>
      </c>
    </row>
    <row r="11521" spans="1:10" ht="15.75" hidden="1" thickBot="1" x14ac:dyDescent="0.3">
      <c r="A11521" s="175"/>
      <c r="B11521" s="178"/>
      <c r="C11521" s="49"/>
      <c r="D11521" s="49"/>
      <c r="E11521" s="50"/>
      <c r="F11521" s="51" t="s">
        <v>13</v>
      </c>
      <c r="G11521" s="51" t="str">
        <f>IF(ISNUMBER(F11521),E11521*F11521,"")</f>
        <v/>
      </c>
      <c r="H11521" s="53"/>
      <c r="I11521" s="38"/>
      <c r="J11521" s="37">
        <v>0</v>
      </c>
    </row>
    <row r="11522" spans="1:10" ht="15.75" hidden="1" thickBot="1" x14ac:dyDescent="0.3">
      <c r="A11522" s="173" t="s">
        <v>2827</v>
      </c>
      <c r="B11522" s="176" t="s">
        <v>10422</v>
      </c>
      <c r="C11522" s="31"/>
      <c r="D11522" s="32" t="s">
        <v>18</v>
      </c>
      <c r="E11522" s="33"/>
      <c r="F11522" s="54" t="s">
        <v>13</v>
      </c>
      <c r="G11522" s="34" t="str">
        <f>IF(ISNUMBER(F11522),E11522*F11522,"")</f>
        <v/>
      </c>
      <c r="H11522" s="35"/>
      <c r="I11522" s="36"/>
      <c r="J11522" s="37">
        <v>0</v>
      </c>
    </row>
    <row r="11523" spans="1:10" hidden="1" x14ac:dyDescent="0.25">
      <c r="A11523" s="174"/>
      <c r="B11523" s="177"/>
      <c r="C11523" s="39"/>
      <c r="D11523" s="39"/>
      <c r="E11523" s="40"/>
      <c r="F11523" s="55" t="s">
        <v>13</v>
      </c>
      <c r="G11523" s="38" t="str">
        <f>IF(ISNUMBER(F11523),E11523*F11523,"")</f>
        <v/>
      </c>
      <c r="H11523" s="42"/>
      <c r="I11523" s="38"/>
      <c r="J11523" s="37">
        <v>0</v>
      </c>
    </row>
    <row r="11524" spans="1:10" ht="25.5" hidden="1" x14ac:dyDescent="0.25">
      <c r="A11524" s="174"/>
      <c r="B11524" s="177"/>
      <c r="C11524" s="43" t="s">
        <v>2828</v>
      </c>
      <c r="D11524" s="43" t="s">
        <v>83</v>
      </c>
      <c r="E11524" s="44">
        <v>1</v>
      </c>
      <c r="F11524" s="38" t="s">
        <v>13</v>
      </c>
      <c r="G11524" s="41" t="str">
        <f>IF(ISNUMBER(F11524),E11524*F11524,"")</f>
        <v/>
      </c>
      <c r="H11524" s="46">
        <f>SUM(G11524:G11527)</f>
        <v>52.874197500000001</v>
      </c>
      <c r="I11524" s="47"/>
      <c r="J11524" s="37">
        <v>0</v>
      </c>
    </row>
    <row r="11525" spans="1:10" hidden="1" x14ac:dyDescent="0.25">
      <c r="A11525" s="174"/>
      <c r="B11525" s="177"/>
      <c r="C11525" s="43" t="s">
        <v>10891</v>
      </c>
      <c r="D11525" s="43" t="s">
        <v>1044</v>
      </c>
      <c r="E11525" s="44">
        <v>1</v>
      </c>
      <c r="F11525" s="41">
        <v>50.957999999999998</v>
      </c>
      <c r="G11525" s="41">
        <f>IF(ISNUMBER(F11525),E11525*F11525,"")</f>
        <v>50.957999999999998</v>
      </c>
      <c r="H11525" s="42"/>
      <c r="I11525" s="38"/>
      <c r="J11525" s="37">
        <v>0</v>
      </c>
    </row>
    <row r="11526" spans="1:10" hidden="1" x14ac:dyDescent="0.25">
      <c r="A11526" s="174"/>
      <c r="B11526" s="177"/>
      <c r="C11526" s="43" t="s">
        <v>10757</v>
      </c>
      <c r="D11526" s="43" t="s">
        <v>2800</v>
      </c>
      <c r="E11526" s="44">
        <v>3.5000000000000003E-2</v>
      </c>
      <c r="F11526" s="41">
        <v>31.055499999999995</v>
      </c>
      <c r="G11526" s="41">
        <f>IF(ISNUMBER(F11526),E11526*F11526,"")</f>
        <v>1.0869424999999999</v>
      </c>
      <c r="H11526" s="42"/>
      <c r="I11526" s="38"/>
      <c r="J11526" s="37">
        <v>0</v>
      </c>
    </row>
    <row r="11527" spans="1:10" hidden="1" x14ac:dyDescent="0.25">
      <c r="A11527" s="174"/>
      <c r="B11527" s="177"/>
      <c r="C11527" s="43" t="s">
        <v>10614</v>
      </c>
      <c r="D11527" s="43" t="s">
        <v>2800</v>
      </c>
      <c r="E11527" s="44">
        <v>3.5000000000000003E-2</v>
      </c>
      <c r="F11527" s="41">
        <v>23.693000000000001</v>
      </c>
      <c r="G11527" s="41">
        <f>IF(ISNUMBER(F11527),E11527*F11527,"")</f>
        <v>0.82925500000000008</v>
      </c>
      <c r="H11527" s="42"/>
      <c r="I11527" s="38"/>
      <c r="J11527" s="37">
        <v>0</v>
      </c>
    </row>
    <row r="11528" spans="1:10" ht="15.75" hidden="1" thickBot="1" x14ac:dyDescent="0.3">
      <c r="A11528" s="175"/>
      <c r="B11528" s="178"/>
      <c r="C11528" s="49"/>
      <c r="D11528" s="49"/>
      <c r="E11528" s="50"/>
      <c r="F11528" s="51" t="s">
        <v>13</v>
      </c>
      <c r="G11528" s="51" t="str">
        <f>IF(ISNUMBER(F11528),E11528*F11528,"")</f>
        <v/>
      </c>
      <c r="H11528" s="53"/>
      <c r="I11528" s="38"/>
      <c r="J11528" s="37">
        <v>0</v>
      </c>
    </row>
    <row r="11529" spans="1:10" ht="15.75" hidden="1" thickBot="1" x14ac:dyDescent="0.3">
      <c r="A11529" s="173" t="s">
        <v>2829</v>
      </c>
      <c r="B11529" s="176" t="s">
        <v>10423</v>
      </c>
      <c r="C11529" s="31"/>
      <c r="D11529" s="32" t="s">
        <v>18</v>
      </c>
      <c r="E11529" s="33"/>
      <c r="F11529" s="54" t="s">
        <v>13</v>
      </c>
      <c r="G11529" s="34" t="str">
        <f>IF(ISNUMBER(F11529),E11529*F11529,"")</f>
        <v/>
      </c>
      <c r="H11529" s="35"/>
      <c r="I11529" s="36"/>
      <c r="J11529" s="37">
        <v>0</v>
      </c>
    </row>
    <row r="11530" spans="1:10" hidden="1" x14ac:dyDescent="0.25">
      <c r="A11530" s="174"/>
      <c r="B11530" s="177"/>
      <c r="C11530" s="39"/>
      <c r="D11530" s="39"/>
      <c r="E11530" s="40"/>
      <c r="F11530" s="55" t="s">
        <v>13</v>
      </c>
      <c r="G11530" s="38" t="str">
        <f>IF(ISNUMBER(F11530),E11530*F11530,"")</f>
        <v/>
      </c>
      <c r="H11530" s="42"/>
      <c r="I11530" s="38"/>
      <c r="J11530" s="37">
        <v>0</v>
      </c>
    </row>
    <row r="11531" spans="1:10" ht="25.5" hidden="1" x14ac:dyDescent="0.25">
      <c r="A11531" s="174"/>
      <c r="B11531" s="177"/>
      <c r="C11531" s="43" t="s">
        <v>10823</v>
      </c>
      <c r="D11531" s="43" t="s">
        <v>2800</v>
      </c>
      <c r="E11531" s="44">
        <v>60</v>
      </c>
      <c r="F11531" s="38">
        <v>120.95399999999999</v>
      </c>
      <c r="G11531" s="41">
        <f>IF(ISNUMBER(F11531),E11531*F11531,"")</f>
        <v>7257.24</v>
      </c>
      <c r="H11531" s="46">
        <f>SUM(G11531:G11533)</f>
        <v>8629.3799999999992</v>
      </c>
      <c r="I11531" s="47"/>
      <c r="J11531" s="37">
        <v>0</v>
      </c>
    </row>
    <row r="11532" spans="1:10" hidden="1" x14ac:dyDescent="0.25">
      <c r="A11532" s="174"/>
      <c r="B11532" s="177"/>
      <c r="C11532" s="43" t="s">
        <v>11202</v>
      </c>
      <c r="D11532" s="43" t="s">
        <v>2800</v>
      </c>
      <c r="E11532" s="44">
        <v>60</v>
      </c>
      <c r="F11532" s="38">
        <v>18.344499999999996</v>
      </c>
      <c r="G11532" s="41">
        <f>IF(ISNUMBER(F11532),E11532*F11532,"")</f>
        <v>1100.6699999999998</v>
      </c>
      <c r="H11532" s="42"/>
      <c r="I11532" s="38"/>
      <c r="J11532" s="37">
        <v>0</v>
      </c>
    </row>
    <row r="11533" spans="1:10" hidden="1" x14ac:dyDescent="0.25">
      <c r="A11533" s="174"/>
      <c r="B11533" s="177"/>
      <c r="C11533" s="43" t="s">
        <v>17</v>
      </c>
      <c r="D11533" s="43" t="s">
        <v>83</v>
      </c>
      <c r="E11533" s="44">
        <v>1</v>
      </c>
      <c r="F11533" s="38">
        <v>271.47000000000003</v>
      </c>
      <c r="G11533" s="41">
        <f>IF(ISNUMBER(F11533),E11533*F11533,"")</f>
        <v>271.47000000000003</v>
      </c>
      <c r="H11533" s="42"/>
      <c r="I11533" s="38"/>
      <c r="J11533" s="37">
        <v>0</v>
      </c>
    </row>
    <row r="11534" spans="1:10" ht="15.75" hidden="1" thickBot="1" x14ac:dyDescent="0.3">
      <c r="A11534" s="175"/>
      <c r="B11534" s="178"/>
      <c r="C11534" s="49"/>
      <c r="D11534" s="49"/>
      <c r="E11534" s="50"/>
      <c r="F11534" s="51" t="s">
        <v>13</v>
      </c>
      <c r="G11534" s="51" t="str">
        <f>IF(ISNUMBER(F11534),E11534*F11534,"")</f>
        <v/>
      </c>
      <c r="H11534" s="53"/>
      <c r="I11534" s="38"/>
      <c r="J11534" s="37">
        <v>0</v>
      </c>
    </row>
    <row r="11535" spans="1:10" ht="15.75" hidden="1" thickBot="1" x14ac:dyDescent="0.3">
      <c r="A11535" s="173" t="s">
        <v>2830</v>
      </c>
      <c r="B11535" s="176" t="s">
        <v>10426</v>
      </c>
      <c r="C11535" s="31"/>
      <c r="D11535" s="32" t="s">
        <v>68</v>
      </c>
      <c r="E11535" s="33"/>
      <c r="F11535" s="54" t="s">
        <v>13</v>
      </c>
      <c r="G11535" s="34" t="str">
        <f>IF(ISNUMBER(F11535),E11535*F11535,"")</f>
        <v/>
      </c>
      <c r="H11535" s="35"/>
      <c r="I11535" s="36"/>
      <c r="J11535" s="37">
        <v>0</v>
      </c>
    </row>
    <row r="11536" spans="1:10" hidden="1" x14ac:dyDescent="0.25">
      <c r="A11536" s="174"/>
      <c r="B11536" s="177"/>
      <c r="C11536" s="39"/>
      <c r="D11536" s="39"/>
      <c r="E11536" s="40"/>
      <c r="F11536" s="55" t="s">
        <v>13</v>
      </c>
      <c r="G11536" s="38" t="str">
        <f>IF(ISNUMBER(F11536),E11536*F11536,"")</f>
        <v/>
      </c>
      <c r="H11536" s="42"/>
      <c r="I11536" s="38"/>
      <c r="J11536" s="37">
        <v>0</v>
      </c>
    </row>
    <row r="11537" spans="1:10" ht="25.5" hidden="1" x14ac:dyDescent="0.25">
      <c r="A11537" s="174"/>
      <c r="B11537" s="177"/>
      <c r="C11537" s="43" t="s">
        <v>10827</v>
      </c>
      <c r="D11537" s="43" t="s">
        <v>10677</v>
      </c>
      <c r="E11537" s="44">
        <v>6.3700000000000007E-2</v>
      </c>
      <c r="F11537" s="38">
        <v>26.542999999999999</v>
      </c>
      <c r="G11537" s="41">
        <f>IF(ISNUMBER(F11537),E11537*F11537,"")</f>
        <v>1.6907891000000002</v>
      </c>
      <c r="H11537" s="46">
        <f>SUM(G11537:G11540)</f>
        <v>6.5870016999999992</v>
      </c>
      <c r="I11537" s="47"/>
      <c r="J11537" s="37">
        <v>0</v>
      </c>
    </row>
    <row r="11538" spans="1:10" ht="25.5" hidden="1" x14ac:dyDescent="0.25">
      <c r="A11538" s="174"/>
      <c r="B11538" s="177"/>
      <c r="C11538" s="43" t="s">
        <v>10828</v>
      </c>
      <c r="D11538" s="43" t="s">
        <v>1050</v>
      </c>
      <c r="E11538" s="44">
        <v>8.3299999999999999E-2</v>
      </c>
      <c r="F11538" s="38">
        <v>28.518999999999998</v>
      </c>
      <c r="G11538" s="41">
        <f>IF(ISNUMBER(F11538),E11538*F11538,"")</f>
        <v>2.3756326999999997</v>
      </c>
      <c r="H11538" s="42"/>
      <c r="I11538" s="38"/>
      <c r="J11538" s="37">
        <v>0</v>
      </c>
    </row>
    <row r="11539" spans="1:10" hidden="1" x14ac:dyDescent="0.25">
      <c r="A11539" s="174"/>
      <c r="B11539" s="177"/>
      <c r="C11539" s="43" t="s">
        <v>10757</v>
      </c>
      <c r="D11539" s="43" t="s">
        <v>2800</v>
      </c>
      <c r="E11539" s="44">
        <v>2.2800000000000001E-2</v>
      </c>
      <c r="F11539" s="38">
        <v>31.055499999999995</v>
      </c>
      <c r="G11539" s="41">
        <f>IF(ISNUMBER(F11539),E11539*F11539,"")</f>
        <v>0.70806539999999996</v>
      </c>
      <c r="H11539" s="42"/>
      <c r="I11539" s="38"/>
      <c r="J11539" s="37">
        <v>0</v>
      </c>
    </row>
    <row r="11540" spans="1:10" hidden="1" x14ac:dyDescent="0.25">
      <c r="A11540" s="174"/>
      <c r="B11540" s="177"/>
      <c r="C11540" s="43" t="s">
        <v>10614</v>
      </c>
      <c r="D11540" s="43" t="s">
        <v>2800</v>
      </c>
      <c r="E11540" s="44">
        <v>7.6499999999999999E-2</v>
      </c>
      <c r="F11540" s="38">
        <v>23.693000000000001</v>
      </c>
      <c r="G11540" s="41">
        <f>IF(ISNUMBER(F11540),E11540*F11540,"")</f>
        <v>1.8125145</v>
      </c>
      <c r="H11540" s="42"/>
      <c r="I11540" s="38"/>
      <c r="J11540" s="37">
        <v>0</v>
      </c>
    </row>
    <row r="11541" spans="1:10" ht="15.75" hidden="1" thickBot="1" x14ac:dyDescent="0.3">
      <c r="A11541" s="175"/>
      <c r="B11541" s="178"/>
      <c r="C11541" s="49"/>
      <c r="D11541" s="49"/>
      <c r="E11541" s="50"/>
      <c r="F11541" s="51" t="s">
        <v>13</v>
      </c>
      <c r="G11541" s="51" t="str">
        <f>IF(ISNUMBER(F11541),E11541*F11541,"")</f>
        <v/>
      </c>
      <c r="H11541" s="53"/>
      <c r="I11541" s="38"/>
      <c r="J11541" s="37">
        <v>0</v>
      </c>
    </row>
    <row r="11542" spans="1:10" ht="15.75" hidden="1" thickBot="1" x14ac:dyDescent="0.3">
      <c r="A11542" s="173" t="s">
        <v>2831</v>
      </c>
      <c r="B11542" s="176" t="s">
        <v>10431</v>
      </c>
      <c r="C11542" s="31"/>
      <c r="D11542" s="32" t="s">
        <v>68</v>
      </c>
      <c r="E11542" s="33"/>
      <c r="F11542" s="54" t="s">
        <v>13</v>
      </c>
      <c r="G11542" s="34" t="str">
        <f>IF(ISNUMBER(F11542),E11542*F11542,"")</f>
        <v/>
      </c>
      <c r="H11542" s="35"/>
      <c r="I11542" s="36"/>
      <c r="J11542" s="37">
        <v>0</v>
      </c>
    </row>
    <row r="11543" spans="1:10" hidden="1" x14ac:dyDescent="0.25">
      <c r="A11543" s="174"/>
      <c r="B11543" s="177"/>
      <c r="C11543" s="39"/>
      <c r="D11543" s="39"/>
      <c r="E11543" s="40"/>
      <c r="F11543" s="55" t="s">
        <v>13</v>
      </c>
      <c r="G11543" s="38" t="str">
        <f>IF(ISNUMBER(F11543),E11543*F11543,"")</f>
        <v/>
      </c>
      <c r="H11543" s="42"/>
      <c r="I11543" s="38"/>
      <c r="J11543" s="37">
        <v>0</v>
      </c>
    </row>
    <row r="11544" spans="1:10" ht="51" hidden="1" x14ac:dyDescent="0.25">
      <c r="A11544" s="174"/>
      <c r="B11544" s="177"/>
      <c r="C11544" s="43" t="s">
        <v>2832</v>
      </c>
      <c r="D11544" s="43" t="s">
        <v>72</v>
      </c>
      <c r="E11544" s="44">
        <v>0.34</v>
      </c>
      <c r="F11544" s="38" t="s">
        <v>13</v>
      </c>
      <c r="G11544" s="41" t="str">
        <f>IF(ISNUMBER(F11544),E11544*F11544,"")</f>
        <v/>
      </c>
      <c r="H11544" s="46">
        <f>SUM(G11544:G11550)</f>
        <v>174.67649999999998</v>
      </c>
      <c r="I11544" s="47"/>
      <c r="J11544" s="37">
        <v>0</v>
      </c>
    </row>
    <row r="11545" spans="1:10" hidden="1" x14ac:dyDescent="0.25">
      <c r="A11545" s="174"/>
      <c r="B11545" s="177"/>
      <c r="C11545" s="43" t="s">
        <v>11486</v>
      </c>
      <c r="D11545" s="43" t="s">
        <v>83</v>
      </c>
      <c r="E11545" s="44">
        <v>2</v>
      </c>
      <c r="F11545" s="41">
        <v>5.2154999999999996</v>
      </c>
      <c r="G11545" s="41">
        <f>IF(ISNUMBER(F11545),E11545*F11545,"")</f>
        <v>10.430999999999999</v>
      </c>
      <c r="H11545" s="42"/>
      <c r="I11545" s="38"/>
      <c r="J11545" s="37">
        <v>0</v>
      </c>
    </row>
    <row r="11546" spans="1:10" hidden="1" x14ac:dyDescent="0.25">
      <c r="A11546" s="174"/>
      <c r="B11546" s="177"/>
      <c r="C11546" s="43" t="s">
        <v>2833</v>
      </c>
      <c r="D11546" s="43" t="s">
        <v>2800</v>
      </c>
      <c r="E11546" s="44">
        <v>1</v>
      </c>
      <c r="F11546" s="41" t="s">
        <v>13</v>
      </c>
      <c r="G11546" s="41" t="str">
        <f>IF(ISNUMBER(F11546),E11546*F11546,"")</f>
        <v/>
      </c>
      <c r="H11546" s="42"/>
      <c r="I11546" s="38"/>
      <c r="J11546" s="37">
        <v>0</v>
      </c>
    </row>
    <row r="11547" spans="1:10" hidden="1" x14ac:dyDescent="0.25">
      <c r="A11547" s="174"/>
      <c r="B11547" s="177"/>
      <c r="C11547" s="43" t="s">
        <v>10757</v>
      </c>
      <c r="D11547" s="43" t="s">
        <v>2800</v>
      </c>
      <c r="E11547" s="44">
        <v>3</v>
      </c>
      <c r="F11547" s="41">
        <v>31.055499999999995</v>
      </c>
      <c r="G11547" s="41">
        <f>IF(ISNUMBER(F11547),E11547*F11547,"")</f>
        <v>93.166499999999985</v>
      </c>
      <c r="H11547" s="42"/>
      <c r="I11547" s="38"/>
      <c r="J11547" s="37">
        <v>0</v>
      </c>
    </row>
    <row r="11548" spans="1:10" hidden="1" x14ac:dyDescent="0.25">
      <c r="A11548" s="174"/>
      <c r="B11548" s="177"/>
      <c r="C11548" s="43" t="s">
        <v>10614</v>
      </c>
      <c r="D11548" s="43" t="s">
        <v>2800</v>
      </c>
      <c r="E11548" s="44">
        <v>3</v>
      </c>
      <c r="F11548" s="41">
        <v>23.693000000000001</v>
      </c>
      <c r="G11548" s="41">
        <f>IF(ISNUMBER(F11548),E11548*F11548,"")</f>
        <v>71.079000000000008</v>
      </c>
      <c r="H11548" s="42"/>
      <c r="I11548" s="38"/>
      <c r="J11548" s="37">
        <v>0</v>
      </c>
    </row>
    <row r="11549" spans="1:10" hidden="1" x14ac:dyDescent="0.25">
      <c r="A11549" s="174"/>
      <c r="B11549" s="177"/>
      <c r="C11549" s="43" t="s">
        <v>2834</v>
      </c>
      <c r="D11549" s="43" t="s">
        <v>68</v>
      </c>
      <c r="E11549" s="44">
        <v>1.1000000000000001</v>
      </c>
      <c r="F11549" s="41" t="s">
        <v>13</v>
      </c>
      <c r="G11549" s="41" t="str">
        <f>IF(ISNUMBER(F11549),E11549*F11549,"")</f>
        <v/>
      </c>
      <c r="H11549" s="42"/>
      <c r="I11549" s="38"/>
      <c r="J11549" s="37">
        <v>0</v>
      </c>
    </row>
    <row r="11550" spans="1:10" hidden="1" x14ac:dyDescent="0.25">
      <c r="A11550" s="174"/>
      <c r="B11550" s="177"/>
      <c r="C11550" s="43" t="s">
        <v>2835</v>
      </c>
      <c r="D11550" s="43" t="s">
        <v>461</v>
      </c>
      <c r="E11550" s="44">
        <v>0.26</v>
      </c>
      <c r="F11550" s="41" t="s">
        <v>13</v>
      </c>
      <c r="G11550" s="41" t="str">
        <f>IF(ISNUMBER(F11550),E11550*F11550,"")</f>
        <v/>
      </c>
      <c r="H11550" s="42"/>
      <c r="I11550" s="38"/>
      <c r="J11550" s="37">
        <v>0</v>
      </c>
    </row>
    <row r="11551" spans="1:10" ht="15.75" hidden="1" thickBot="1" x14ac:dyDescent="0.3">
      <c r="A11551" s="175"/>
      <c r="B11551" s="178"/>
      <c r="C11551" s="49"/>
      <c r="D11551" s="49"/>
      <c r="E11551" s="50"/>
      <c r="F11551" s="51" t="s">
        <v>13</v>
      </c>
      <c r="G11551" s="51" t="str">
        <f>IF(ISNUMBER(F11551),E11551*F11551,"")</f>
        <v/>
      </c>
      <c r="H11551" s="53"/>
      <c r="I11551" s="38"/>
      <c r="J11551" s="37">
        <v>0</v>
      </c>
    </row>
    <row r="11552" spans="1:10" ht="15.75" hidden="1" thickBot="1" x14ac:dyDescent="0.3">
      <c r="A11552" s="173" t="s">
        <v>2836</v>
      </c>
      <c r="B11552" s="176" t="s">
        <v>10434</v>
      </c>
      <c r="C11552" s="31"/>
      <c r="D11552" s="32" t="s">
        <v>18</v>
      </c>
      <c r="E11552" s="33"/>
      <c r="F11552" s="54" t="s">
        <v>13</v>
      </c>
      <c r="G11552" s="34" t="str">
        <f>IF(ISNUMBER(F11552),E11552*F11552,"")</f>
        <v/>
      </c>
      <c r="H11552" s="35"/>
      <c r="I11552" s="36"/>
      <c r="J11552" s="37">
        <v>0</v>
      </c>
    </row>
    <row r="11553" spans="1:10" hidden="1" x14ac:dyDescent="0.25">
      <c r="A11553" s="174"/>
      <c r="B11553" s="177"/>
      <c r="C11553" s="39"/>
      <c r="D11553" s="39"/>
      <c r="E11553" s="40"/>
      <c r="F11553" s="55" t="s">
        <v>13</v>
      </c>
      <c r="G11553" s="38" t="str">
        <f>IF(ISNUMBER(F11553),E11553*F11553,"")</f>
        <v/>
      </c>
      <c r="H11553" s="42"/>
      <c r="I11553" s="38"/>
      <c r="J11553" s="37">
        <v>0</v>
      </c>
    </row>
    <row r="11554" spans="1:10" hidden="1" x14ac:dyDescent="0.25">
      <c r="A11554" s="174"/>
      <c r="B11554" s="177"/>
      <c r="C11554" s="43" t="s">
        <v>10762</v>
      </c>
      <c r="D11554" s="43" t="s">
        <v>2800</v>
      </c>
      <c r="E11554" s="44">
        <v>1.5233000000000001</v>
      </c>
      <c r="F11554" s="38">
        <v>24.946999999999999</v>
      </c>
      <c r="G11554" s="41">
        <f>IF(ISNUMBER(F11554),E11554*F11554,"")</f>
        <v>38.0017651</v>
      </c>
      <c r="H11554" s="46">
        <f>SUM(G11554:G11556)</f>
        <v>85.887462249999999</v>
      </c>
      <c r="I11554" s="47"/>
      <c r="J11554" s="37">
        <v>0</v>
      </c>
    </row>
    <row r="11555" spans="1:10" hidden="1" x14ac:dyDescent="0.25">
      <c r="A11555" s="174"/>
      <c r="B11555" s="177"/>
      <c r="C11555" s="43" t="s">
        <v>10763</v>
      </c>
      <c r="D11555" s="43" t="s">
        <v>2800</v>
      </c>
      <c r="E11555" s="44">
        <v>1.5233000000000001</v>
      </c>
      <c r="F11555" s="38">
        <v>31.435500000000001</v>
      </c>
      <c r="G11555" s="41">
        <f>IF(ISNUMBER(F11555),E11555*F11555,"")</f>
        <v>47.885697150000006</v>
      </c>
      <c r="H11555" s="42"/>
      <c r="I11555" s="38"/>
      <c r="J11555" s="37">
        <v>0</v>
      </c>
    </row>
    <row r="11556" spans="1:10" ht="51" hidden="1" x14ac:dyDescent="0.25">
      <c r="A11556" s="174"/>
      <c r="B11556" s="177"/>
      <c r="C11556" s="43" t="s">
        <v>2837</v>
      </c>
      <c r="D11556" s="43" t="s">
        <v>83</v>
      </c>
      <c r="E11556" s="44">
        <v>1</v>
      </c>
      <c r="F11556" s="38" t="s">
        <v>13</v>
      </c>
      <c r="G11556" s="41" t="str">
        <f>IF(ISNUMBER(F11556),E11556*F11556,"")</f>
        <v/>
      </c>
      <c r="H11556" s="42"/>
      <c r="I11556" s="38"/>
      <c r="J11556" s="37">
        <v>0</v>
      </c>
    </row>
    <row r="11557" spans="1:10" ht="15.75" hidden="1" thickBot="1" x14ac:dyDescent="0.3">
      <c r="A11557" s="175"/>
      <c r="B11557" s="178"/>
      <c r="C11557" s="49"/>
      <c r="D11557" s="49"/>
      <c r="E11557" s="50"/>
      <c r="F11557" s="51" t="s">
        <v>13</v>
      </c>
      <c r="G11557" s="51" t="str">
        <f>IF(ISNUMBER(F11557),E11557*F11557,"")</f>
        <v/>
      </c>
      <c r="H11557" s="53"/>
      <c r="I11557" s="38"/>
      <c r="J11557" s="37">
        <v>0</v>
      </c>
    </row>
    <row r="11558" spans="1:10" ht="15.75" hidden="1" thickBot="1" x14ac:dyDescent="0.3">
      <c r="A11558" s="173" t="s">
        <v>2838</v>
      </c>
      <c r="B11558" s="176" t="s">
        <v>10435</v>
      </c>
      <c r="C11558" s="31"/>
      <c r="D11558" s="32" t="s">
        <v>18</v>
      </c>
      <c r="E11558" s="33"/>
      <c r="F11558" s="54" t="s">
        <v>13</v>
      </c>
      <c r="G11558" s="34" t="str">
        <f>IF(ISNUMBER(F11558),E11558*F11558,"")</f>
        <v/>
      </c>
      <c r="H11558" s="35"/>
      <c r="I11558" s="36"/>
      <c r="J11558" s="37">
        <v>0</v>
      </c>
    </row>
    <row r="11559" spans="1:10" hidden="1" x14ac:dyDescent="0.25">
      <c r="A11559" s="174"/>
      <c r="B11559" s="177"/>
      <c r="C11559" s="39"/>
      <c r="D11559" s="39"/>
      <c r="E11559" s="40"/>
      <c r="F11559" s="55" t="s">
        <v>13</v>
      </c>
      <c r="G11559" s="38" t="str">
        <f>IF(ISNUMBER(F11559),E11559*F11559,"")</f>
        <v/>
      </c>
      <c r="H11559" s="42"/>
      <c r="I11559" s="38"/>
      <c r="J11559" s="37">
        <v>0</v>
      </c>
    </row>
    <row r="11560" spans="1:10" hidden="1" x14ac:dyDescent="0.25">
      <c r="A11560" s="174"/>
      <c r="B11560" s="177"/>
      <c r="C11560" s="43" t="s">
        <v>10762</v>
      </c>
      <c r="D11560" s="43" t="s">
        <v>2800</v>
      </c>
      <c r="E11560" s="44">
        <v>1.5233000000000001</v>
      </c>
      <c r="F11560" s="38">
        <v>24.946999999999999</v>
      </c>
      <c r="G11560" s="41">
        <f>IF(ISNUMBER(F11560),E11560*F11560,"")</f>
        <v>38.0017651</v>
      </c>
      <c r="H11560" s="46">
        <f>SUM(G11560:G11562)</f>
        <v>85.887462249999999</v>
      </c>
      <c r="I11560" s="47"/>
      <c r="J11560" s="37">
        <v>0</v>
      </c>
    </row>
    <row r="11561" spans="1:10" hidden="1" x14ac:dyDescent="0.25">
      <c r="A11561" s="174"/>
      <c r="B11561" s="177"/>
      <c r="C11561" s="43" t="s">
        <v>10763</v>
      </c>
      <c r="D11561" s="43" t="s">
        <v>2800</v>
      </c>
      <c r="E11561" s="44">
        <v>1.5233000000000001</v>
      </c>
      <c r="F11561" s="38">
        <v>31.435500000000001</v>
      </c>
      <c r="G11561" s="41">
        <f>IF(ISNUMBER(F11561),E11561*F11561,"")</f>
        <v>47.885697150000006</v>
      </c>
      <c r="H11561" s="42"/>
      <c r="I11561" s="38"/>
      <c r="J11561" s="37">
        <v>0</v>
      </c>
    </row>
    <row r="11562" spans="1:10" ht="51" hidden="1" x14ac:dyDescent="0.25">
      <c r="A11562" s="174"/>
      <c r="B11562" s="177"/>
      <c r="C11562" s="43" t="s">
        <v>2839</v>
      </c>
      <c r="D11562" s="43" t="s">
        <v>83</v>
      </c>
      <c r="E11562" s="44">
        <v>1</v>
      </c>
      <c r="F11562" s="38" t="s">
        <v>13</v>
      </c>
      <c r="G11562" s="41" t="str">
        <f>IF(ISNUMBER(F11562),E11562*F11562,"")</f>
        <v/>
      </c>
      <c r="H11562" s="42"/>
      <c r="I11562" s="38"/>
      <c r="J11562" s="37">
        <v>0</v>
      </c>
    </row>
    <row r="11563" spans="1:10" ht="15.75" hidden="1" thickBot="1" x14ac:dyDescent="0.3">
      <c r="A11563" s="175"/>
      <c r="B11563" s="178"/>
      <c r="C11563" s="49"/>
      <c r="D11563" s="49"/>
      <c r="E11563" s="50"/>
      <c r="F11563" s="51" t="s">
        <v>13</v>
      </c>
      <c r="G11563" s="51" t="str">
        <f>IF(ISNUMBER(F11563),E11563*F11563,"")</f>
        <v/>
      </c>
      <c r="H11563" s="53"/>
      <c r="I11563" s="38"/>
      <c r="J11563" s="37">
        <v>0</v>
      </c>
    </row>
    <row r="11564" spans="1:10" ht="15.75" hidden="1" thickBot="1" x14ac:dyDescent="0.3">
      <c r="A11564" s="173" t="s">
        <v>2840</v>
      </c>
      <c r="B11564" s="176" t="s">
        <v>10436</v>
      </c>
      <c r="C11564" s="31"/>
      <c r="D11564" s="32" t="s">
        <v>18</v>
      </c>
      <c r="E11564" s="33"/>
      <c r="F11564" s="54" t="s">
        <v>13</v>
      </c>
      <c r="G11564" s="34" t="str">
        <f>IF(ISNUMBER(F11564),E11564*F11564,"")</f>
        <v/>
      </c>
      <c r="H11564" s="35"/>
      <c r="I11564" s="36"/>
      <c r="J11564" s="37">
        <v>0</v>
      </c>
    </row>
    <row r="11565" spans="1:10" hidden="1" x14ac:dyDescent="0.25">
      <c r="A11565" s="174"/>
      <c r="B11565" s="177"/>
      <c r="C11565" s="39"/>
      <c r="D11565" s="39"/>
      <c r="E11565" s="40"/>
      <c r="F11565" s="55" t="s">
        <v>13</v>
      </c>
      <c r="G11565" s="41" t="str">
        <f>IF(ISNUMBER(F11565),E11565*F11565,"")</f>
        <v/>
      </c>
      <c r="H11565" s="42"/>
      <c r="I11565" s="38"/>
      <c r="J11565" s="37">
        <v>0</v>
      </c>
    </row>
    <row r="11566" spans="1:10" hidden="1" x14ac:dyDescent="0.25">
      <c r="A11566" s="174"/>
      <c r="B11566" s="177"/>
      <c r="C11566" s="43" t="s">
        <v>11202</v>
      </c>
      <c r="D11566" s="43" t="s">
        <v>2800</v>
      </c>
      <c r="E11566" s="44">
        <v>40</v>
      </c>
      <c r="F11566" s="41">
        <v>18.344499999999996</v>
      </c>
      <c r="G11566" s="41">
        <f>IF(ISNUMBER(F11566),E11566*F11566,"")</f>
        <v>733.77999999999986</v>
      </c>
      <c r="H11566" s="46">
        <f>SUM(G11566:G11567)</f>
        <v>5571.94</v>
      </c>
      <c r="I11566" s="47"/>
      <c r="J11566" s="37">
        <v>0</v>
      </c>
    </row>
    <row r="11567" spans="1:10" ht="25.5" hidden="1" x14ac:dyDescent="0.25">
      <c r="A11567" s="174"/>
      <c r="B11567" s="177"/>
      <c r="C11567" s="43" t="s">
        <v>10823</v>
      </c>
      <c r="D11567" s="43" t="s">
        <v>2800</v>
      </c>
      <c r="E11567" s="44">
        <v>40</v>
      </c>
      <c r="F11567" s="41">
        <v>120.95399999999999</v>
      </c>
      <c r="G11567" s="41">
        <f>IF(ISNUMBER(F11567),E11567*F11567,"")</f>
        <v>4838.16</v>
      </c>
      <c r="H11567" s="42"/>
      <c r="I11567" s="38"/>
      <c r="J11567" s="37">
        <v>0</v>
      </c>
    </row>
    <row r="11568" spans="1:10" ht="15.75" hidden="1" thickBot="1" x14ac:dyDescent="0.3">
      <c r="A11568" s="175"/>
      <c r="B11568" s="178"/>
      <c r="C11568" s="49"/>
      <c r="D11568" s="49"/>
      <c r="E11568" s="50"/>
      <c r="F11568" s="51" t="s">
        <v>13</v>
      </c>
      <c r="G11568" s="52" t="str">
        <f>IF(ISNUMBER(F11568),E11568*F11568,"")</f>
        <v/>
      </c>
      <c r="H11568" s="53"/>
      <c r="I11568" s="38"/>
      <c r="J11568" s="37">
        <v>0</v>
      </c>
    </row>
    <row r="11569" spans="1:10" ht="15.75" hidden="1" thickBot="1" x14ac:dyDescent="0.3">
      <c r="A11569" s="173" t="s">
        <v>2841</v>
      </c>
      <c r="B11569" s="176" t="s">
        <v>10437</v>
      </c>
      <c r="C11569" s="31"/>
      <c r="D11569" s="32" t="s">
        <v>3025</v>
      </c>
      <c r="E11569" s="33"/>
      <c r="F11569" s="60" t="s">
        <v>13</v>
      </c>
      <c r="G11569" s="34" t="str">
        <f>IF(ISNUMBER(F11569),E11569*F11569,"")</f>
        <v/>
      </c>
      <c r="H11569" s="35"/>
      <c r="I11569" s="36"/>
      <c r="J11569" s="37">
        <v>0</v>
      </c>
    </row>
    <row r="11570" spans="1:10" hidden="1" x14ac:dyDescent="0.25">
      <c r="A11570" s="179"/>
      <c r="B11570" s="177"/>
      <c r="C11570" s="39"/>
      <c r="D11570" s="39"/>
      <c r="E11570" s="40"/>
      <c r="F11570" s="70" t="s">
        <v>13</v>
      </c>
      <c r="G11570" s="70" t="str">
        <f>IF(ISNUMBER(F11570),E11570*F11570,"")</f>
        <v/>
      </c>
      <c r="H11570" s="71"/>
      <c r="I11570" s="72"/>
      <c r="J11570" s="37">
        <v>0</v>
      </c>
    </row>
    <row r="11571" spans="1:10" ht="25.5" hidden="1" x14ac:dyDescent="0.25">
      <c r="A11571" s="179"/>
      <c r="B11571" s="177"/>
      <c r="C11571" s="43" t="s">
        <v>2842</v>
      </c>
      <c r="D11571" s="43" t="s">
        <v>162</v>
      </c>
      <c r="E11571" s="44">
        <v>1</v>
      </c>
      <c r="F11571" s="70" t="s">
        <v>13</v>
      </c>
      <c r="G11571" s="70" t="str">
        <f>IF(ISNUMBER(F11571),E11571*F11571,"")</f>
        <v/>
      </c>
      <c r="H11571" s="46">
        <f t="shared" ref="H11571" si="34">SUM(G11571:G11571)</f>
        <v>0</v>
      </c>
      <c r="I11571" s="47"/>
      <c r="J11571" s="37">
        <v>0</v>
      </c>
    </row>
    <row r="11572" spans="1:10" ht="15.75" hidden="1" thickBot="1" x14ac:dyDescent="0.3">
      <c r="A11572" s="180"/>
      <c r="B11572" s="178"/>
      <c r="C11572" s="49"/>
      <c r="D11572" s="49"/>
      <c r="E11572" s="50"/>
      <c r="F11572" s="83" t="s">
        <v>13</v>
      </c>
      <c r="G11572" s="83" t="str">
        <f>IF(ISNUMBER(F11572),E11572*F11572,"")</f>
        <v/>
      </c>
      <c r="H11572" s="84"/>
      <c r="I11572" s="72"/>
      <c r="J11572" s="37">
        <v>0</v>
      </c>
    </row>
    <row r="11573" spans="1:10" ht="15.75" hidden="1" thickBot="1" x14ac:dyDescent="0.3">
      <c r="A11573" s="173" t="s">
        <v>2843</v>
      </c>
      <c r="B11573" s="176" t="s">
        <v>10438</v>
      </c>
      <c r="C11573" s="31"/>
      <c r="D11573" s="32" t="s">
        <v>18</v>
      </c>
      <c r="E11573" s="33"/>
      <c r="F11573" s="60" t="s">
        <v>13</v>
      </c>
      <c r="G11573" s="34" t="str">
        <f>IF(ISNUMBER(F11573),E11573*F11573,"")</f>
        <v/>
      </c>
      <c r="H11573" s="35"/>
      <c r="I11573" s="36"/>
      <c r="J11573" s="37">
        <v>0</v>
      </c>
    </row>
    <row r="11574" spans="1:10" hidden="1" x14ac:dyDescent="0.25">
      <c r="A11574" s="179"/>
      <c r="B11574" s="177"/>
      <c r="C11574" s="39"/>
      <c r="D11574" s="39"/>
      <c r="E11574" s="40"/>
      <c r="F11574" s="70" t="s">
        <v>13</v>
      </c>
      <c r="G11574" s="70" t="str">
        <f>IF(ISNUMBER(F11574),E11574*F11574,"")</f>
        <v/>
      </c>
      <c r="H11574" s="71"/>
      <c r="I11574" s="72"/>
      <c r="J11574" s="37">
        <v>0</v>
      </c>
    </row>
    <row r="11575" spans="1:10" ht="25.5" hidden="1" x14ac:dyDescent="0.25">
      <c r="A11575" s="179"/>
      <c r="B11575" s="177"/>
      <c r="C11575" s="43" t="s">
        <v>11892</v>
      </c>
      <c r="D11575" s="43" t="s">
        <v>83</v>
      </c>
      <c r="E11575" s="44">
        <v>1</v>
      </c>
      <c r="F11575" s="70">
        <v>5.2819999999999991</v>
      </c>
      <c r="G11575" s="70">
        <f>IF(ISNUMBER(F11575),E11575*F11575,"")</f>
        <v>5.2819999999999991</v>
      </c>
      <c r="H11575" s="46">
        <f t="shared" ref="H11575" si="35">SUM(G11575:G11575)</f>
        <v>5.2819999999999991</v>
      </c>
      <c r="I11575" s="47"/>
      <c r="J11575" s="37">
        <v>0</v>
      </c>
    </row>
    <row r="11576" spans="1:10" ht="15.75" hidden="1" thickBot="1" x14ac:dyDescent="0.3">
      <c r="A11576" s="180"/>
      <c r="B11576" s="178"/>
      <c r="C11576" s="49"/>
      <c r="D11576" s="49"/>
      <c r="E11576" s="50"/>
      <c r="F11576" s="83" t="s">
        <v>13</v>
      </c>
      <c r="G11576" s="83" t="str">
        <f>IF(ISNUMBER(F11576),E11576*F11576,"")</f>
        <v/>
      </c>
      <c r="H11576" s="84"/>
      <c r="I11576" s="72"/>
      <c r="J11576" s="37">
        <v>0</v>
      </c>
    </row>
    <row r="11577" spans="1:10" ht="15.75" hidden="1" thickBot="1" x14ac:dyDescent="0.3">
      <c r="A11577" s="173" t="s">
        <v>2844</v>
      </c>
      <c r="B11577" s="176" t="s">
        <v>10439</v>
      </c>
      <c r="C11577" s="31"/>
      <c r="D11577" s="32" t="s">
        <v>18</v>
      </c>
      <c r="E11577" s="33"/>
      <c r="F11577" s="60" t="s">
        <v>13</v>
      </c>
      <c r="G11577" s="34" t="str">
        <f>IF(ISNUMBER(F11577),E11577*F11577,"")</f>
        <v/>
      </c>
      <c r="H11577" s="35"/>
      <c r="I11577" s="36"/>
      <c r="J11577" s="37">
        <v>0</v>
      </c>
    </row>
    <row r="11578" spans="1:10" hidden="1" x14ac:dyDescent="0.25">
      <c r="A11578" s="179"/>
      <c r="B11578" s="177"/>
      <c r="C11578" s="39"/>
      <c r="D11578" s="39"/>
      <c r="E11578" s="40"/>
      <c r="F11578" s="70" t="s">
        <v>13</v>
      </c>
      <c r="G11578" s="70" t="str">
        <f>IF(ISNUMBER(F11578),E11578*F11578,"")</f>
        <v/>
      </c>
      <c r="H11578" s="71"/>
      <c r="I11578" s="72"/>
      <c r="J11578" s="37">
        <v>0</v>
      </c>
    </row>
    <row r="11579" spans="1:10" hidden="1" x14ac:dyDescent="0.25">
      <c r="A11579" s="179"/>
      <c r="B11579" s="177"/>
      <c r="C11579" s="43" t="s">
        <v>2845</v>
      </c>
      <c r="D11579" s="43" t="s">
        <v>83</v>
      </c>
      <c r="E11579" s="44">
        <v>1</v>
      </c>
      <c r="F11579" s="70" t="s">
        <v>13</v>
      </c>
      <c r="G11579" s="70" t="str">
        <f>IF(ISNUMBER(F11579),E11579*F11579,"")</f>
        <v/>
      </c>
      <c r="H11579" s="46">
        <f t="shared" ref="H11579" si="36">SUM(G11579:G11579)</f>
        <v>0</v>
      </c>
      <c r="I11579" s="47"/>
      <c r="J11579" s="37">
        <v>0</v>
      </c>
    </row>
    <row r="11580" spans="1:10" ht="15.75" hidden="1" thickBot="1" x14ac:dyDescent="0.3">
      <c r="A11580" s="180"/>
      <c r="B11580" s="178"/>
      <c r="C11580" s="49"/>
      <c r="D11580" s="49"/>
      <c r="E11580" s="50"/>
      <c r="F11580" s="83" t="s">
        <v>13</v>
      </c>
      <c r="G11580" s="83" t="str">
        <f>IF(ISNUMBER(F11580),E11580*F11580,"")</f>
        <v/>
      </c>
      <c r="H11580" s="84"/>
      <c r="I11580" s="72"/>
      <c r="J11580" s="37">
        <v>0</v>
      </c>
    </row>
    <row r="11581" spans="1:10" ht="15.75" hidden="1" thickBot="1" x14ac:dyDescent="0.3">
      <c r="A11581" s="173" t="s">
        <v>2846</v>
      </c>
      <c r="B11581" s="176" t="s">
        <v>10440</v>
      </c>
      <c r="C11581" s="31"/>
      <c r="D11581" s="32" t="s">
        <v>18</v>
      </c>
      <c r="E11581" s="33"/>
      <c r="F11581" s="60" t="s">
        <v>13</v>
      </c>
      <c r="G11581" s="34" t="str">
        <f>IF(ISNUMBER(F11581),E11581*F11581,"")</f>
        <v/>
      </c>
      <c r="H11581" s="35"/>
      <c r="I11581" s="36"/>
      <c r="J11581" s="37">
        <v>0</v>
      </c>
    </row>
    <row r="11582" spans="1:10" hidden="1" x14ac:dyDescent="0.25">
      <c r="A11582" s="179"/>
      <c r="B11582" s="177"/>
      <c r="C11582" s="39"/>
      <c r="D11582" s="39"/>
      <c r="E11582" s="40"/>
      <c r="F11582" s="70" t="s">
        <v>13</v>
      </c>
      <c r="G11582" s="70" t="str">
        <f>IF(ISNUMBER(F11582),E11582*F11582,"")</f>
        <v/>
      </c>
      <c r="H11582" s="71"/>
      <c r="I11582" s="72"/>
      <c r="J11582" s="37">
        <v>0</v>
      </c>
    </row>
    <row r="11583" spans="1:10" hidden="1" x14ac:dyDescent="0.25">
      <c r="A11583" s="179"/>
      <c r="B11583" s="177"/>
      <c r="C11583" s="43" t="s">
        <v>2847</v>
      </c>
      <c r="D11583" s="43" t="s">
        <v>83</v>
      </c>
      <c r="E11583" s="44">
        <v>1</v>
      </c>
      <c r="F11583" s="70" t="s">
        <v>13</v>
      </c>
      <c r="G11583" s="70" t="str">
        <f>IF(ISNUMBER(F11583),E11583*F11583,"")</f>
        <v/>
      </c>
      <c r="H11583" s="46">
        <f t="shared" ref="H11583" si="37">SUM(G11583:G11583)</f>
        <v>0</v>
      </c>
      <c r="I11583" s="47"/>
      <c r="J11583" s="37">
        <v>0</v>
      </c>
    </row>
    <row r="11584" spans="1:10" ht="15.75" hidden="1" thickBot="1" x14ac:dyDescent="0.3">
      <c r="A11584" s="180"/>
      <c r="B11584" s="178"/>
      <c r="C11584" s="49"/>
      <c r="D11584" s="49"/>
      <c r="E11584" s="50"/>
      <c r="F11584" s="83" t="s">
        <v>13</v>
      </c>
      <c r="G11584" s="83" t="str">
        <f>IF(ISNUMBER(F11584),E11584*F11584,"")</f>
        <v/>
      </c>
      <c r="H11584" s="84"/>
      <c r="I11584" s="72"/>
      <c r="J11584" s="37">
        <v>0</v>
      </c>
    </row>
    <row r="11585" spans="1:10" ht="15.75" hidden="1" thickBot="1" x14ac:dyDescent="0.3">
      <c r="A11585" s="173" t="s">
        <v>2848</v>
      </c>
      <c r="B11585" s="176" t="s">
        <v>10441</v>
      </c>
      <c r="C11585" s="31"/>
      <c r="D11585" s="32" t="s">
        <v>18</v>
      </c>
      <c r="E11585" s="33"/>
      <c r="F11585" s="60" t="s">
        <v>13</v>
      </c>
      <c r="G11585" s="34" t="str">
        <f>IF(ISNUMBER(F11585),E11585*F11585,"")</f>
        <v/>
      </c>
      <c r="H11585" s="35"/>
      <c r="I11585" s="36"/>
      <c r="J11585" s="37">
        <v>0</v>
      </c>
    </row>
    <row r="11586" spans="1:10" hidden="1" x14ac:dyDescent="0.25">
      <c r="A11586" s="179"/>
      <c r="B11586" s="177"/>
      <c r="C11586" s="39"/>
      <c r="D11586" s="39"/>
      <c r="E11586" s="40"/>
      <c r="F11586" s="70" t="s">
        <v>13</v>
      </c>
      <c r="G11586" s="70" t="str">
        <f>IF(ISNUMBER(F11586),E11586*F11586,"")</f>
        <v/>
      </c>
      <c r="H11586" s="71"/>
      <c r="I11586" s="72"/>
      <c r="J11586" s="37">
        <v>0</v>
      </c>
    </row>
    <row r="11587" spans="1:10" hidden="1" x14ac:dyDescent="0.25">
      <c r="A11587" s="179"/>
      <c r="B11587" s="177"/>
      <c r="C11587" s="43" t="s">
        <v>2849</v>
      </c>
      <c r="D11587" s="43" t="s">
        <v>83</v>
      </c>
      <c r="E11587" s="44">
        <v>1</v>
      </c>
      <c r="F11587" s="70" t="s">
        <v>13</v>
      </c>
      <c r="G11587" s="70" t="str">
        <f>IF(ISNUMBER(F11587),E11587*F11587,"")</f>
        <v/>
      </c>
      <c r="H11587" s="46">
        <f t="shared" ref="H11587" si="38">SUM(G11587:G11587)</f>
        <v>0</v>
      </c>
      <c r="I11587" s="47"/>
      <c r="J11587" s="37">
        <v>0</v>
      </c>
    </row>
    <row r="11588" spans="1:10" ht="15.75" hidden="1" thickBot="1" x14ac:dyDescent="0.3">
      <c r="A11588" s="180"/>
      <c r="B11588" s="178"/>
      <c r="C11588" s="49"/>
      <c r="D11588" s="49"/>
      <c r="E11588" s="50"/>
      <c r="F11588" s="83" t="s">
        <v>13</v>
      </c>
      <c r="G11588" s="83" t="str">
        <f>IF(ISNUMBER(F11588),E11588*F11588,"")</f>
        <v/>
      </c>
      <c r="H11588" s="84"/>
      <c r="I11588" s="72"/>
      <c r="J11588" s="37">
        <v>0</v>
      </c>
    </row>
    <row r="11589" spans="1:10" ht="15.75" hidden="1" thickBot="1" x14ac:dyDescent="0.3">
      <c r="A11589" s="173" t="s">
        <v>2850</v>
      </c>
      <c r="B11589" s="176" t="s">
        <v>10442</v>
      </c>
      <c r="C11589" s="31"/>
      <c r="D11589" s="32" t="s">
        <v>18</v>
      </c>
      <c r="E11589" s="33"/>
      <c r="F11589" s="60" t="s">
        <v>13</v>
      </c>
      <c r="G11589" s="34" t="str">
        <f>IF(ISNUMBER(F11589),E11589*F11589,"")</f>
        <v/>
      </c>
      <c r="H11589" s="35"/>
      <c r="I11589" s="36"/>
      <c r="J11589" s="37">
        <v>0</v>
      </c>
    </row>
    <row r="11590" spans="1:10" hidden="1" x14ac:dyDescent="0.25">
      <c r="A11590" s="179"/>
      <c r="B11590" s="177"/>
      <c r="C11590" s="39"/>
      <c r="D11590" s="39"/>
      <c r="E11590" s="40"/>
      <c r="F11590" s="70" t="s">
        <v>13</v>
      </c>
      <c r="G11590" s="70" t="str">
        <f>IF(ISNUMBER(F11590),E11590*F11590,"")</f>
        <v/>
      </c>
      <c r="H11590" s="71"/>
      <c r="I11590" s="72"/>
      <c r="J11590" s="37">
        <v>0</v>
      </c>
    </row>
    <row r="11591" spans="1:10" hidden="1" x14ac:dyDescent="0.25">
      <c r="A11591" s="179"/>
      <c r="B11591" s="177"/>
      <c r="C11591" s="43" t="s">
        <v>2851</v>
      </c>
      <c r="D11591" s="43" t="s">
        <v>83</v>
      </c>
      <c r="E11591" s="44">
        <v>1</v>
      </c>
      <c r="F11591" s="70" t="s">
        <v>13</v>
      </c>
      <c r="G11591" s="70" t="str">
        <f>IF(ISNUMBER(F11591),E11591*F11591,"")</f>
        <v/>
      </c>
      <c r="H11591" s="46">
        <f t="shared" ref="H11591" si="39">SUM(G11591:G11591)</f>
        <v>0</v>
      </c>
      <c r="I11591" s="47"/>
      <c r="J11591" s="37">
        <v>0</v>
      </c>
    </row>
    <row r="11592" spans="1:10" ht="15.75" hidden="1" thickBot="1" x14ac:dyDescent="0.3">
      <c r="A11592" s="180"/>
      <c r="B11592" s="178"/>
      <c r="C11592" s="49"/>
      <c r="D11592" s="49"/>
      <c r="E11592" s="50"/>
      <c r="F11592" s="83" t="s">
        <v>13</v>
      </c>
      <c r="G11592" s="83" t="str">
        <f>IF(ISNUMBER(F11592),E11592*F11592,"")</f>
        <v/>
      </c>
      <c r="H11592" s="84"/>
      <c r="I11592" s="72"/>
      <c r="J11592" s="37">
        <v>0</v>
      </c>
    </row>
    <row r="11593" spans="1:10" ht="15.75" hidden="1" thickBot="1" x14ac:dyDescent="0.3">
      <c r="A11593" s="173" t="s">
        <v>2852</v>
      </c>
      <c r="B11593" s="176" t="s">
        <v>10443</v>
      </c>
      <c r="C11593" s="31"/>
      <c r="D11593" s="32" t="s">
        <v>68</v>
      </c>
      <c r="E11593" s="33"/>
      <c r="F11593" s="60" t="s">
        <v>13</v>
      </c>
      <c r="G11593" s="34" t="str">
        <f>IF(ISNUMBER(F11593),E11593*F11593,"")</f>
        <v/>
      </c>
      <c r="H11593" s="35"/>
      <c r="I11593" s="36"/>
      <c r="J11593" s="37">
        <v>0</v>
      </c>
    </row>
    <row r="11594" spans="1:10" hidden="1" x14ac:dyDescent="0.25">
      <c r="A11594" s="179"/>
      <c r="B11594" s="177"/>
      <c r="C11594" s="39"/>
      <c r="D11594" s="39"/>
      <c r="E11594" s="40"/>
      <c r="F11594" s="70" t="s">
        <v>13</v>
      </c>
      <c r="G11594" s="70" t="str">
        <f>IF(ISNUMBER(F11594),E11594*F11594,"")</f>
        <v/>
      </c>
      <c r="H11594" s="71"/>
      <c r="I11594" s="72"/>
      <c r="J11594" s="37">
        <v>0</v>
      </c>
    </row>
    <row r="11595" spans="1:10" hidden="1" x14ac:dyDescent="0.25">
      <c r="A11595" s="179"/>
      <c r="B11595" s="177"/>
      <c r="C11595" s="43" t="s">
        <v>10614</v>
      </c>
      <c r="D11595" s="43" t="s">
        <v>2800</v>
      </c>
      <c r="E11595" s="44">
        <v>0.55000000000000004</v>
      </c>
      <c r="F11595" s="70">
        <v>23.693000000000001</v>
      </c>
      <c r="G11595" s="70">
        <f>IF(ISNUMBER(F11595),E11595*F11595,"")</f>
        <v>13.031150000000002</v>
      </c>
      <c r="H11595" s="46">
        <f t="shared" ref="H11595" si="40">SUM(G11595:G11595)</f>
        <v>13.031150000000002</v>
      </c>
      <c r="I11595" s="47"/>
      <c r="J11595" s="37">
        <v>0</v>
      </c>
    </row>
    <row r="11596" spans="1:10" ht="15.75" hidden="1" thickBot="1" x14ac:dyDescent="0.3">
      <c r="A11596" s="180"/>
      <c r="B11596" s="178"/>
      <c r="C11596" s="49"/>
      <c r="D11596" s="49"/>
      <c r="E11596" s="50"/>
      <c r="F11596" s="83" t="s">
        <v>13</v>
      </c>
      <c r="G11596" s="83" t="str">
        <f>IF(ISNUMBER(F11596),E11596*F11596,"")</f>
        <v/>
      </c>
      <c r="H11596" s="84"/>
      <c r="I11596" s="72"/>
      <c r="J11596" s="37">
        <v>0</v>
      </c>
    </row>
    <row r="11597" spans="1:10" ht="15.75" hidden="1" thickBot="1" x14ac:dyDescent="0.3">
      <c r="A11597" s="173" t="s">
        <v>2853</v>
      </c>
      <c r="B11597" s="176" t="s">
        <v>10444</v>
      </c>
      <c r="C11597" s="31"/>
      <c r="D11597" s="32" t="s">
        <v>68</v>
      </c>
      <c r="E11597" s="33"/>
      <c r="F11597" s="60" t="s">
        <v>13</v>
      </c>
      <c r="G11597" s="34" t="str">
        <f>IF(ISNUMBER(F11597),E11597*F11597,"")</f>
        <v/>
      </c>
      <c r="H11597" s="35"/>
      <c r="I11597" s="36"/>
      <c r="J11597" s="37">
        <v>0</v>
      </c>
    </row>
    <row r="11598" spans="1:10" hidden="1" x14ac:dyDescent="0.25">
      <c r="A11598" s="179"/>
      <c r="B11598" s="177"/>
      <c r="C11598" s="39"/>
      <c r="D11598" s="39"/>
      <c r="E11598" s="40"/>
      <c r="F11598" s="70" t="s">
        <v>13</v>
      </c>
      <c r="G11598" s="70" t="str">
        <f>IF(ISNUMBER(F11598),E11598*F11598,"")</f>
        <v/>
      </c>
      <c r="H11598" s="71"/>
      <c r="I11598" s="72"/>
      <c r="J11598" s="37">
        <v>0</v>
      </c>
    </row>
    <row r="11599" spans="1:10" hidden="1" x14ac:dyDescent="0.25">
      <c r="A11599" s="179"/>
      <c r="B11599" s="177"/>
      <c r="C11599" s="43" t="s">
        <v>10757</v>
      </c>
      <c r="D11599" s="43" t="s">
        <v>2800</v>
      </c>
      <c r="E11599" s="44">
        <v>0.1</v>
      </c>
      <c r="F11599" s="70">
        <v>31.055499999999995</v>
      </c>
      <c r="G11599" s="70">
        <f>IF(ISNUMBER(F11599),E11599*F11599,"")</f>
        <v>3.1055499999999996</v>
      </c>
      <c r="H11599" s="46">
        <f>SUM(G11599:G11606)</f>
        <v>17.393550000000001</v>
      </c>
      <c r="I11599" s="47"/>
      <c r="J11599" s="37">
        <v>0</v>
      </c>
    </row>
    <row r="11600" spans="1:10" hidden="1" x14ac:dyDescent="0.25">
      <c r="A11600" s="179"/>
      <c r="B11600" s="177"/>
      <c r="C11600" s="43" t="s">
        <v>10614</v>
      </c>
      <c r="D11600" s="43" t="s">
        <v>2800</v>
      </c>
      <c r="E11600" s="44">
        <v>0.1</v>
      </c>
      <c r="F11600" s="70">
        <v>23.693000000000001</v>
      </c>
      <c r="G11600" s="70">
        <f>IF(ISNUMBER(F11600),E11600*F11600,"")</f>
        <v>2.3693000000000004</v>
      </c>
      <c r="H11600" s="71"/>
      <c r="I11600" s="72"/>
      <c r="J11600" s="37">
        <v>0</v>
      </c>
    </row>
    <row r="11601" spans="1:10" hidden="1" x14ac:dyDescent="0.25">
      <c r="A11601" s="179"/>
      <c r="B11601" s="177"/>
      <c r="C11601" s="43" t="s">
        <v>1153</v>
      </c>
      <c r="D11601" s="43" t="s">
        <v>1044</v>
      </c>
      <c r="E11601" s="44">
        <v>0.1</v>
      </c>
      <c r="F11601" s="70" t="s">
        <v>13</v>
      </c>
      <c r="G11601" s="70" t="str">
        <f>IF(ISNUMBER(F11601),E11601*F11601,"")</f>
        <v/>
      </c>
      <c r="H11601" s="71"/>
      <c r="I11601" s="72"/>
      <c r="J11601" s="37">
        <v>0</v>
      </c>
    </row>
    <row r="11602" spans="1:10" ht="25.5" hidden="1" x14ac:dyDescent="0.25">
      <c r="A11602" s="179"/>
      <c r="B11602" s="177"/>
      <c r="C11602" s="43" t="s">
        <v>2854</v>
      </c>
      <c r="D11602" s="43" t="s">
        <v>68</v>
      </c>
      <c r="E11602" s="44">
        <v>1.1000000000000001</v>
      </c>
      <c r="F11602" s="70" t="s">
        <v>13</v>
      </c>
      <c r="G11602" s="70" t="str">
        <f>IF(ISNUMBER(F11602),E11602*F11602,"")</f>
        <v/>
      </c>
      <c r="H11602" s="71"/>
      <c r="I11602" s="72"/>
      <c r="J11602" s="37">
        <v>0</v>
      </c>
    </row>
    <row r="11603" spans="1:10" hidden="1" x14ac:dyDescent="0.25">
      <c r="A11603" s="179"/>
      <c r="B11603" s="177"/>
      <c r="C11603" s="43" t="s">
        <v>10757</v>
      </c>
      <c r="D11603" s="43" t="s">
        <v>2800</v>
      </c>
      <c r="E11603" s="44">
        <v>0.2</v>
      </c>
      <c r="F11603" s="70">
        <v>31.055499999999995</v>
      </c>
      <c r="G11603" s="70">
        <f>IF(ISNUMBER(F11603),E11603*F11603,"")</f>
        <v>6.2110999999999992</v>
      </c>
      <c r="H11603" s="71"/>
      <c r="I11603" s="47"/>
      <c r="J11603" s="37">
        <v>0</v>
      </c>
    </row>
    <row r="11604" spans="1:10" hidden="1" x14ac:dyDescent="0.25">
      <c r="A11604" s="179"/>
      <c r="B11604" s="177"/>
      <c r="C11604" s="43" t="s">
        <v>10614</v>
      </c>
      <c r="D11604" s="43" t="s">
        <v>2800</v>
      </c>
      <c r="E11604" s="44">
        <v>0.2</v>
      </c>
      <c r="F11604" s="70">
        <v>23.693000000000001</v>
      </c>
      <c r="G11604" s="70">
        <f>IF(ISNUMBER(F11604),E11604*F11604,"")</f>
        <v>4.7386000000000008</v>
      </c>
      <c r="H11604" s="71"/>
      <c r="I11604" s="72"/>
      <c r="J11604" s="37">
        <v>0</v>
      </c>
    </row>
    <row r="11605" spans="1:10" hidden="1" x14ac:dyDescent="0.25">
      <c r="A11605" s="179"/>
      <c r="B11605" s="177"/>
      <c r="C11605" s="43" t="s">
        <v>10648</v>
      </c>
      <c r="D11605" s="43" t="s">
        <v>1044</v>
      </c>
      <c r="E11605" s="44">
        <v>1.5</v>
      </c>
      <c r="F11605" s="70">
        <v>0.64600000000000002</v>
      </c>
      <c r="G11605" s="70">
        <f>IF(ISNUMBER(F11605),E11605*F11605,"")</f>
        <v>0.96900000000000008</v>
      </c>
      <c r="H11605" s="71"/>
      <c r="I11605" s="72"/>
      <c r="J11605" s="37">
        <v>0</v>
      </c>
    </row>
    <row r="11606" spans="1:10" hidden="1" x14ac:dyDescent="0.25">
      <c r="A11606" s="179"/>
      <c r="B11606" s="177"/>
      <c r="C11606" s="43" t="s">
        <v>1155</v>
      </c>
      <c r="D11606" s="43" t="s">
        <v>1044</v>
      </c>
      <c r="E11606" s="44">
        <f>ROUND(E11605*0.1,2)</f>
        <v>0.15</v>
      </c>
      <c r="F11606" s="70" t="s">
        <v>13</v>
      </c>
      <c r="G11606" s="70" t="str">
        <f>IF(ISNUMBER(F11606),E11606*F11606,"")</f>
        <v/>
      </c>
      <c r="H11606" s="71"/>
      <c r="I11606" s="72"/>
      <c r="J11606" s="37">
        <v>0</v>
      </c>
    </row>
    <row r="11607" spans="1:10" ht="15.75" hidden="1" thickBot="1" x14ac:dyDescent="0.3">
      <c r="A11607" s="180"/>
      <c r="B11607" s="178"/>
      <c r="C11607" s="49"/>
      <c r="D11607" s="49"/>
      <c r="E11607" s="50"/>
      <c r="F11607" s="83" t="s">
        <v>13</v>
      </c>
      <c r="G11607" s="83" t="str">
        <f>IF(ISNUMBER(F11607),E11607*F11607,"")</f>
        <v/>
      </c>
      <c r="H11607" s="84"/>
      <c r="I11607" s="72"/>
      <c r="J11607" s="37">
        <v>0</v>
      </c>
    </row>
    <row r="11608" spans="1:10" ht="15.75" hidden="1" thickBot="1" x14ac:dyDescent="0.3">
      <c r="A11608" s="173" t="s">
        <v>2855</v>
      </c>
      <c r="B11608" s="176" t="s">
        <v>10445</v>
      </c>
      <c r="C11608" s="31"/>
      <c r="D11608" s="32" t="s">
        <v>68</v>
      </c>
      <c r="E11608" s="33"/>
      <c r="F11608" s="54" t="s">
        <v>13</v>
      </c>
      <c r="G11608" s="34" t="str">
        <f>IF(ISNUMBER(F11608),E11608*F11608,"")</f>
        <v/>
      </c>
      <c r="H11608" s="35"/>
      <c r="I11608" s="36"/>
      <c r="J11608" s="37">
        <v>0</v>
      </c>
    </row>
    <row r="11609" spans="1:10" hidden="1" x14ac:dyDescent="0.25">
      <c r="A11609" s="174"/>
      <c r="B11609" s="177"/>
      <c r="C11609" s="39"/>
      <c r="D11609" s="39"/>
      <c r="E11609" s="40"/>
      <c r="F11609" s="55" t="s">
        <v>13</v>
      </c>
      <c r="G11609" s="41" t="str">
        <f>IF(ISNUMBER(F11609),E11609*F11609,"")</f>
        <v/>
      </c>
      <c r="H11609" s="42"/>
      <c r="I11609" s="38"/>
      <c r="J11609" s="37">
        <v>0</v>
      </c>
    </row>
    <row r="11610" spans="1:10" hidden="1" x14ac:dyDescent="0.25">
      <c r="A11610" s="174"/>
      <c r="B11610" s="177"/>
      <c r="C11610" s="43" t="s">
        <v>11014</v>
      </c>
      <c r="D11610" s="43" t="s">
        <v>2800</v>
      </c>
      <c r="E11610" s="44">
        <v>0.19450000000000001</v>
      </c>
      <c r="F11610" s="41">
        <v>30.837</v>
      </c>
      <c r="G11610" s="41">
        <f>IF(ISNUMBER(F11610),E11610*F11610,"")</f>
        <v>5.9977964999999998</v>
      </c>
      <c r="H11610" s="46">
        <f>SUM(G11610:G11611)</f>
        <v>10.606085</v>
      </c>
      <c r="I11610" s="47"/>
      <c r="J11610" s="37">
        <v>0</v>
      </c>
    </row>
    <row r="11611" spans="1:10" hidden="1" x14ac:dyDescent="0.25">
      <c r="A11611" s="174"/>
      <c r="B11611" s="177"/>
      <c r="C11611" s="43" t="s">
        <v>10614</v>
      </c>
      <c r="D11611" s="43" t="s">
        <v>2800</v>
      </c>
      <c r="E11611" s="44">
        <v>0.19450000000000001</v>
      </c>
      <c r="F11611" s="41">
        <v>23.693000000000001</v>
      </c>
      <c r="G11611" s="41">
        <f>IF(ISNUMBER(F11611),E11611*F11611,"")</f>
        <v>4.6082885000000005</v>
      </c>
      <c r="H11611" s="42"/>
      <c r="I11611" s="38"/>
      <c r="J11611" s="37">
        <v>0</v>
      </c>
    </row>
    <row r="11612" spans="1:10" ht="15.75" hidden="1" thickBot="1" x14ac:dyDescent="0.3">
      <c r="A11612" s="175"/>
      <c r="B11612" s="178"/>
      <c r="C11612" s="49"/>
      <c r="D11612" s="49"/>
      <c r="E11612" s="50"/>
      <c r="F11612" s="51" t="s">
        <v>13</v>
      </c>
      <c r="G11612" s="52" t="str">
        <f>IF(ISNUMBER(F11612),E11612*F11612,"")</f>
        <v/>
      </c>
      <c r="H11612" s="53"/>
      <c r="I11612" s="38"/>
      <c r="J11612" s="37">
        <v>0</v>
      </c>
    </row>
    <row r="11613" spans="1:10" ht="15.75" hidden="1" thickBot="1" x14ac:dyDescent="0.3">
      <c r="A11613" s="173" t="s">
        <v>2856</v>
      </c>
      <c r="B11613" s="176" t="s">
        <v>10452</v>
      </c>
      <c r="C11613" s="31"/>
      <c r="D11613" s="32" t="s">
        <v>18</v>
      </c>
      <c r="E11613" s="33"/>
      <c r="F11613" s="54" t="s">
        <v>13</v>
      </c>
      <c r="G11613" s="34" t="str">
        <f>IF(ISNUMBER(F11613),E11613*F11613,"")</f>
        <v/>
      </c>
      <c r="H11613" s="35"/>
      <c r="I11613" s="36"/>
      <c r="J11613" s="37">
        <v>0</v>
      </c>
    </row>
    <row r="11614" spans="1:10" hidden="1" x14ac:dyDescent="0.25">
      <c r="A11614" s="174"/>
      <c r="B11614" s="177"/>
      <c r="C11614" s="39"/>
      <c r="D11614" s="39"/>
      <c r="E11614" s="40"/>
      <c r="F11614" s="55" t="s">
        <v>13</v>
      </c>
      <c r="G11614" s="41" t="str">
        <f>IF(ISNUMBER(F11614),E11614*F11614,"")</f>
        <v/>
      </c>
      <c r="H11614" s="42"/>
      <c r="I11614" s="38"/>
      <c r="J11614" s="37">
        <v>0</v>
      </c>
    </row>
    <row r="11615" spans="1:10" hidden="1" x14ac:dyDescent="0.25">
      <c r="A11615" s="174"/>
      <c r="B11615" s="177"/>
      <c r="C11615" s="43" t="s">
        <v>10757</v>
      </c>
      <c r="D11615" s="43" t="s">
        <v>2800</v>
      </c>
      <c r="E11615" s="44">
        <v>0.09</v>
      </c>
      <c r="F11615" s="41">
        <v>31.055499999999995</v>
      </c>
      <c r="G11615" s="41">
        <f>IF(ISNUMBER(F11615),E11615*F11615,"")</f>
        <v>2.7949949999999992</v>
      </c>
      <c r="H11615" s="46">
        <f>SUM(G11615:G11616)</f>
        <v>24.118695000000002</v>
      </c>
      <c r="I11615" s="47"/>
      <c r="J11615" s="37">
        <v>0</v>
      </c>
    </row>
    <row r="11616" spans="1:10" hidden="1" x14ac:dyDescent="0.25">
      <c r="A11616" s="174"/>
      <c r="B11616" s="177"/>
      <c r="C11616" s="43" t="s">
        <v>10614</v>
      </c>
      <c r="D11616" s="43" t="s">
        <v>2800</v>
      </c>
      <c r="E11616" s="44">
        <v>0.9</v>
      </c>
      <c r="F11616" s="41">
        <v>23.693000000000001</v>
      </c>
      <c r="G11616" s="41">
        <f>IF(ISNUMBER(F11616),E11616*F11616,"")</f>
        <v>21.323700000000002</v>
      </c>
      <c r="H11616" s="42"/>
      <c r="I11616" s="38"/>
      <c r="J11616" s="37">
        <v>0</v>
      </c>
    </row>
    <row r="11617" spans="1:10" ht="15.75" hidden="1" thickBot="1" x14ac:dyDescent="0.3">
      <c r="A11617" s="175"/>
      <c r="B11617" s="178"/>
      <c r="C11617" s="49"/>
      <c r="D11617" s="49"/>
      <c r="E11617" s="50"/>
      <c r="F11617" s="51" t="s">
        <v>13</v>
      </c>
      <c r="G11617" s="52" t="str">
        <f>IF(ISNUMBER(F11617),E11617*F11617,"")</f>
        <v/>
      </c>
      <c r="H11617" s="53"/>
      <c r="I11617" s="38"/>
      <c r="J11617" s="37">
        <v>0</v>
      </c>
    </row>
    <row r="11618" spans="1:10" ht="15.75" hidden="1" thickBot="1" x14ac:dyDescent="0.3">
      <c r="A11618" s="173" t="s">
        <v>2857</v>
      </c>
      <c r="B11618" s="176" t="s">
        <v>10455</v>
      </c>
      <c r="C11618" s="31"/>
      <c r="D11618" s="32" t="s">
        <v>72</v>
      </c>
      <c r="E11618" s="33"/>
      <c r="F11618" s="54" t="s">
        <v>13</v>
      </c>
      <c r="G11618" s="34" t="str">
        <f>IF(ISNUMBER(F11618),E11618*F11618,"")</f>
        <v/>
      </c>
      <c r="H11618" s="35"/>
      <c r="I11618" s="36"/>
      <c r="J11618" s="37">
        <v>0</v>
      </c>
    </row>
    <row r="11619" spans="1:10" hidden="1" x14ac:dyDescent="0.25">
      <c r="A11619" s="174"/>
      <c r="B11619" s="177"/>
      <c r="C11619" s="39"/>
      <c r="D11619" s="39"/>
      <c r="E11619" s="40"/>
      <c r="F11619" s="55" t="s">
        <v>13</v>
      </c>
      <c r="G11619" s="38" t="str">
        <f>IF(ISNUMBER(F11619),E11619*F11619,"")</f>
        <v/>
      </c>
      <c r="H11619" s="42"/>
      <c r="I11619" s="38"/>
      <c r="J11619" s="37">
        <v>0</v>
      </c>
    </row>
    <row r="11620" spans="1:10" ht="25.5" hidden="1" x14ac:dyDescent="0.25">
      <c r="A11620" s="174"/>
      <c r="B11620" s="177"/>
      <c r="C11620" s="43" t="s">
        <v>10839</v>
      </c>
      <c r="D11620" s="43" t="s">
        <v>1050</v>
      </c>
      <c r="E11620" s="44">
        <v>0.5</v>
      </c>
      <c r="F11620" s="41">
        <v>5.6999999999999995E-2</v>
      </c>
      <c r="G11620" s="41">
        <f>IF(ISNUMBER(F11620),E11620*F11620,"")</f>
        <v>2.8499999999999998E-2</v>
      </c>
      <c r="H11620" s="46">
        <f>SUM(G11620:G11632)</f>
        <v>24.713608956309013</v>
      </c>
      <c r="I11620" s="47"/>
      <c r="J11620" s="37">
        <v>0</v>
      </c>
    </row>
    <row r="11621" spans="1:10" hidden="1" x14ac:dyDescent="0.25">
      <c r="A11621" s="174"/>
      <c r="B11621" s="177"/>
      <c r="C11621" s="43" t="s">
        <v>10840</v>
      </c>
      <c r="D11621" s="43" t="s">
        <v>1044</v>
      </c>
      <c r="E11621" s="44">
        <v>0.4</v>
      </c>
      <c r="F11621" s="41">
        <v>9.5</v>
      </c>
      <c r="G11621" s="41">
        <f>IF(ISNUMBER(F11621),E11621*F11621,"")</f>
        <v>3.8000000000000003</v>
      </c>
      <c r="H11621" s="42"/>
      <c r="I11621" s="47"/>
      <c r="J11621" s="37">
        <v>0</v>
      </c>
    </row>
    <row r="11622" spans="1:10" ht="25.5" hidden="1" x14ac:dyDescent="0.25">
      <c r="A11622" s="174"/>
      <c r="B11622" s="177"/>
      <c r="C11622" s="43" t="s">
        <v>10841</v>
      </c>
      <c r="D11622" s="43" t="s">
        <v>2880</v>
      </c>
      <c r="E11622" s="44">
        <v>0.05</v>
      </c>
      <c r="F11622" s="41">
        <v>21.754999999999999</v>
      </c>
      <c r="G11622" s="41">
        <f>IF(ISNUMBER(F11622),E11622*F11622,"")</f>
        <v>1.08775</v>
      </c>
      <c r="H11622" s="42"/>
      <c r="I11622" s="47"/>
      <c r="J11622" s="37">
        <v>0</v>
      </c>
    </row>
    <row r="11623" spans="1:10" ht="25.5" hidden="1" x14ac:dyDescent="0.25">
      <c r="A11623" s="174"/>
      <c r="B11623" s="177"/>
      <c r="C11623" s="43" t="s">
        <v>10842</v>
      </c>
      <c r="D11623" s="43" t="s">
        <v>1044</v>
      </c>
      <c r="E11623" s="44">
        <v>0.01</v>
      </c>
      <c r="F11623" s="41">
        <v>99.274999999999991</v>
      </c>
      <c r="G11623" s="41">
        <f>IF(ISNUMBER(F11623),E11623*F11623,"")</f>
        <v>0.99274999999999991</v>
      </c>
      <c r="H11623" s="42"/>
      <c r="I11623" s="47"/>
      <c r="J11623" s="37">
        <v>0</v>
      </c>
    </row>
    <row r="11624" spans="1:10" hidden="1" x14ac:dyDescent="0.25">
      <c r="A11624" s="174"/>
      <c r="B11624" s="177"/>
      <c r="C11624" s="43" t="s">
        <v>10808</v>
      </c>
      <c r="D11624" s="43" t="s">
        <v>2800</v>
      </c>
      <c r="E11624" s="44">
        <v>0.02</v>
      </c>
      <c r="F11624" s="41">
        <v>31.729999999999997</v>
      </c>
      <c r="G11624" s="41">
        <f>IF(ISNUMBER(F11624),E11624*F11624,"")</f>
        <v>0.63459999999999994</v>
      </c>
      <c r="H11624" s="42"/>
      <c r="I11624" s="47"/>
      <c r="J11624" s="37">
        <v>0</v>
      </c>
    </row>
    <row r="11625" spans="1:10" ht="25.5" hidden="1" x14ac:dyDescent="0.25">
      <c r="A11625" s="174"/>
      <c r="B11625" s="177"/>
      <c r="C11625" s="43" t="s">
        <v>10843</v>
      </c>
      <c r="D11625" s="43" t="s">
        <v>2800</v>
      </c>
      <c r="E11625" s="44">
        <v>0.1</v>
      </c>
      <c r="F11625" s="41">
        <v>23.388999999999999</v>
      </c>
      <c r="G11625" s="41">
        <f>IF(ISNUMBER(F11625),E11625*F11625,"")</f>
        <v>2.3389000000000002</v>
      </c>
      <c r="H11625" s="42"/>
      <c r="I11625" s="47"/>
      <c r="J11625" s="37">
        <v>0</v>
      </c>
    </row>
    <row r="11626" spans="1:10" ht="25.5" hidden="1" x14ac:dyDescent="0.25">
      <c r="A11626" s="174"/>
      <c r="B11626" s="177"/>
      <c r="C11626" s="43" t="s">
        <v>10825</v>
      </c>
      <c r="D11626" s="43" t="s">
        <v>2800</v>
      </c>
      <c r="E11626" s="44">
        <v>0.3</v>
      </c>
      <c r="F11626" s="41">
        <v>25.383999999999997</v>
      </c>
      <c r="G11626" s="41">
        <f>IF(ISNUMBER(F11626),E11626*F11626,"")</f>
        <v>7.6151999999999989</v>
      </c>
      <c r="H11626" s="42"/>
      <c r="I11626" s="47"/>
      <c r="J11626" s="37">
        <v>0</v>
      </c>
    </row>
    <row r="11627" spans="1:10" hidden="1" x14ac:dyDescent="0.25">
      <c r="A11627" s="174"/>
      <c r="B11627" s="177"/>
      <c r="C11627" s="43" t="s">
        <v>10673</v>
      </c>
      <c r="D11627" s="43" t="s">
        <v>70</v>
      </c>
      <c r="E11627" s="44">
        <f>0.0062*3.6</f>
        <v>2.232E-2</v>
      </c>
      <c r="F11627" s="41">
        <v>48.221999999999994</v>
      </c>
      <c r="G11627" s="41">
        <f>IF(ISNUMBER(F11627),E11627*F11627,"")</f>
        <v>1.0763150399999999</v>
      </c>
      <c r="H11627" s="42"/>
      <c r="I11627" s="47"/>
      <c r="J11627" s="37">
        <v>0</v>
      </c>
    </row>
    <row r="11628" spans="1:10" hidden="1" x14ac:dyDescent="0.25">
      <c r="A11628" s="174"/>
      <c r="B11628" s="177"/>
      <c r="C11628" s="43" t="s">
        <v>10844</v>
      </c>
      <c r="D11628" s="43" t="s">
        <v>2800</v>
      </c>
      <c r="E11628" s="44">
        <v>2.5000000000000001E-2</v>
      </c>
      <c r="F11628" s="41">
        <v>25.1845</v>
      </c>
      <c r="G11628" s="41">
        <f>IF(ISNUMBER(F11628),E11628*F11628,"")</f>
        <v>0.62961250000000002</v>
      </c>
      <c r="H11628" s="42"/>
      <c r="I11628" s="47"/>
      <c r="J11628" s="37">
        <v>0</v>
      </c>
    </row>
    <row r="11629" spans="1:10" hidden="1" x14ac:dyDescent="0.25">
      <c r="A11629" s="174"/>
      <c r="B11629" s="177"/>
      <c r="C11629" s="43" t="s">
        <v>10845</v>
      </c>
      <c r="D11629" s="43" t="s">
        <v>1044</v>
      </c>
      <c r="E11629" s="44">
        <v>0.33</v>
      </c>
      <c r="F11629" s="41">
        <v>8.302999999999999</v>
      </c>
      <c r="G11629" s="41">
        <f>IF(ISNUMBER(F11629),E11629*F11629,"")</f>
        <v>2.7399899999999997</v>
      </c>
      <c r="H11629" s="42"/>
      <c r="I11629" s="38"/>
      <c r="J11629" s="37">
        <v>0</v>
      </c>
    </row>
    <row r="11630" spans="1:10" hidden="1" x14ac:dyDescent="0.25">
      <c r="A11630" s="174"/>
      <c r="B11630" s="177"/>
      <c r="C11630" s="43" t="s">
        <v>10846</v>
      </c>
      <c r="D11630" s="43" t="s">
        <v>1044</v>
      </c>
      <c r="E11630" s="44">
        <v>2.5000000000000001E-2</v>
      </c>
      <c r="F11630" s="41">
        <v>41.8</v>
      </c>
      <c r="G11630" s="41">
        <f>IF(ISNUMBER(F11630),E11630*F11630,"")</f>
        <v>1.0449999999999999</v>
      </c>
      <c r="H11630" s="42"/>
      <c r="I11630" s="38"/>
      <c r="J11630" s="37">
        <v>0</v>
      </c>
    </row>
    <row r="11631" spans="1:10" ht="25.5" hidden="1" x14ac:dyDescent="0.25">
      <c r="A11631" s="174"/>
      <c r="B11631" s="177"/>
      <c r="C11631" s="43" t="s">
        <v>82</v>
      </c>
      <c r="D11631" s="43" t="s">
        <v>83</v>
      </c>
      <c r="E11631" s="44">
        <v>1E-4</v>
      </c>
      <c r="F11631" s="41" t="s">
        <v>13</v>
      </c>
      <c r="G11631" s="41" t="str">
        <f>IF(ISNUMBER(F11631),E11631*F11631,"")</f>
        <v/>
      </c>
      <c r="H11631" s="42"/>
      <c r="I11631" s="38"/>
      <c r="J11631" s="37">
        <v>0</v>
      </c>
    </row>
    <row r="11632" spans="1:10" ht="25.5" hidden="1" x14ac:dyDescent="0.25">
      <c r="A11632" s="174"/>
      <c r="B11632" s="177"/>
      <c r="C11632" s="43" t="s">
        <v>10847</v>
      </c>
      <c r="D11632" s="43" t="s">
        <v>1302</v>
      </c>
      <c r="E11632" s="44">
        <f>0.27/6.99</f>
        <v>3.8626609442060089E-2</v>
      </c>
      <c r="F11632" s="41">
        <v>70.546999999999997</v>
      </c>
      <c r="G11632" s="41">
        <f>IF(ISNUMBER(F11632),E11632*F11632,"")</f>
        <v>2.7249914163090132</v>
      </c>
      <c r="H11632" s="42"/>
      <c r="I11632" s="38"/>
      <c r="J11632" s="37">
        <v>0</v>
      </c>
    </row>
    <row r="11633" spans="1:10" ht="15.75" hidden="1" thickBot="1" x14ac:dyDescent="0.3">
      <c r="A11633" s="175"/>
      <c r="B11633" s="178"/>
      <c r="C11633" s="49"/>
      <c r="D11633" s="49"/>
      <c r="E11633" s="50"/>
      <c r="F11633" s="51" t="s">
        <v>13</v>
      </c>
      <c r="G11633" s="51" t="str">
        <f>IF(ISNUMBER(F11633),E11633*F11633,"")</f>
        <v/>
      </c>
      <c r="H11633" s="53"/>
      <c r="I11633" s="38"/>
      <c r="J11633" s="37">
        <v>0</v>
      </c>
    </row>
    <row r="11634" spans="1:10" ht="15.75" hidden="1" thickBot="1" x14ac:dyDescent="0.3">
      <c r="A11634" s="173" t="s">
        <v>2858</v>
      </c>
      <c r="B11634" s="176" t="s">
        <v>10456</v>
      </c>
      <c r="C11634" s="31"/>
      <c r="D11634" s="32" t="s">
        <v>68</v>
      </c>
      <c r="E11634" s="33"/>
      <c r="F11634" s="54" t="s">
        <v>13</v>
      </c>
      <c r="G11634" s="34" t="str">
        <f>IF(ISNUMBER(F11634),E11634*F11634,"")</f>
        <v/>
      </c>
      <c r="H11634" s="35"/>
      <c r="I11634" s="36"/>
      <c r="J11634" s="37">
        <v>0</v>
      </c>
    </row>
    <row r="11635" spans="1:10" hidden="1" x14ac:dyDescent="0.25">
      <c r="A11635" s="174"/>
      <c r="B11635" s="177"/>
      <c r="C11635" s="39"/>
      <c r="D11635" s="39"/>
      <c r="E11635" s="40"/>
      <c r="F11635" s="55" t="s">
        <v>13</v>
      </c>
      <c r="G11635" s="38" t="str">
        <f>IF(ISNUMBER(F11635),E11635*F11635,"")</f>
        <v/>
      </c>
      <c r="H11635" s="42"/>
      <c r="I11635" s="38"/>
      <c r="J11635" s="37">
        <v>0</v>
      </c>
    </row>
    <row r="11636" spans="1:10" ht="25.5" hidden="1" x14ac:dyDescent="0.25">
      <c r="A11636" s="174"/>
      <c r="B11636" s="177"/>
      <c r="C11636" s="43" t="s">
        <v>11893</v>
      </c>
      <c r="D11636" s="43" t="s">
        <v>162</v>
      </c>
      <c r="E11636" s="44">
        <v>1.0838000000000001</v>
      </c>
      <c r="F11636" s="41">
        <v>19.209</v>
      </c>
      <c r="G11636" s="41">
        <f>IF(ISNUMBER(F11636),E11636*F11636,"")</f>
        <v>20.818714200000002</v>
      </c>
      <c r="H11636" s="46">
        <f>SUM(G11636:G11646)</f>
        <v>99.195724399999989</v>
      </c>
      <c r="I11636" s="47"/>
      <c r="J11636" s="37">
        <v>0</v>
      </c>
    </row>
    <row r="11637" spans="1:10" ht="38.25" hidden="1" x14ac:dyDescent="0.25">
      <c r="A11637" s="174"/>
      <c r="B11637" s="177"/>
      <c r="C11637" s="43" t="s">
        <v>10883</v>
      </c>
      <c r="D11637" s="43" t="s">
        <v>1302</v>
      </c>
      <c r="E11637" s="44">
        <f>3.547*2</f>
        <v>7.0940000000000003</v>
      </c>
      <c r="F11637" s="41">
        <v>4.1229999999999993</v>
      </c>
      <c r="G11637" s="41">
        <f>IF(ISNUMBER(F11637),E11637*F11637,"")</f>
        <v>29.248561999999996</v>
      </c>
      <c r="H11637" s="58"/>
      <c r="I11637" s="59"/>
      <c r="J11637" s="37">
        <v>0</v>
      </c>
    </row>
    <row r="11638" spans="1:10" ht="38.25" hidden="1" x14ac:dyDescent="0.25">
      <c r="A11638" s="174"/>
      <c r="B11638" s="177"/>
      <c r="C11638" s="43" t="s">
        <v>10884</v>
      </c>
      <c r="D11638" s="43" t="s">
        <v>83</v>
      </c>
      <c r="E11638" s="44">
        <f>1.2267*2</f>
        <v>2.4533999999999998</v>
      </c>
      <c r="F11638" s="41">
        <v>1.5484999999999998</v>
      </c>
      <c r="G11638" s="41">
        <f>IF(ISNUMBER(F11638),E11638*F11638,"")</f>
        <v>3.7990898999999989</v>
      </c>
      <c r="H11638" s="58"/>
      <c r="I11638" s="59"/>
      <c r="J11638" s="37">
        <v>0</v>
      </c>
    </row>
    <row r="11639" spans="1:10" ht="25.5" hidden="1" x14ac:dyDescent="0.25">
      <c r="A11639" s="174"/>
      <c r="B11639" s="177"/>
      <c r="C11639" s="43" t="s">
        <v>10857</v>
      </c>
      <c r="D11639" s="43" t="s">
        <v>1302</v>
      </c>
      <c r="E11639" s="44">
        <v>1.4276</v>
      </c>
      <c r="F11639" s="41">
        <v>2.4889999999999999</v>
      </c>
      <c r="G11639" s="41">
        <f>IF(ISNUMBER(F11639),E11639*F11639,"")</f>
        <v>3.5532963999999998</v>
      </c>
      <c r="H11639" s="58"/>
      <c r="I11639" s="59"/>
      <c r="J11639" s="37">
        <v>0</v>
      </c>
    </row>
    <row r="11640" spans="1:10" ht="38.25" hidden="1" x14ac:dyDescent="0.25">
      <c r="A11640" s="174"/>
      <c r="B11640" s="177"/>
      <c r="C11640" s="43" t="s">
        <v>10858</v>
      </c>
      <c r="D11640" s="43" t="s">
        <v>1044</v>
      </c>
      <c r="E11640" s="44">
        <v>0.69259999999999999</v>
      </c>
      <c r="F11640" s="41">
        <v>3.1159999999999997</v>
      </c>
      <c r="G11640" s="41">
        <f>IF(ISNUMBER(F11640),E11640*F11640,"")</f>
        <v>2.1581415999999995</v>
      </c>
      <c r="H11640" s="58"/>
      <c r="I11640" s="59"/>
      <c r="J11640" s="37">
        <v>0</v>
      </c>
    </row>
    <row r="11641" spans="1:10" ht="25.5" hidden="1" x14ac:dyDescent="0.25">
      <c r="A11641" s="174"/>
      <c r="B11641" s="177"/>
      <c r="C11641" s="43" t="s">
        <v>10859</v>
      </c>
      <c r="D11641" s="43" t="s">
        <v>83</v>
      </c>
      <c r="E11641" s="44">
        <f>9.6469*2</f>
        <v>19.293800000000001</v>
      </c>
      <c r="F11641" s="41">
        <v>8.5499999999999993E-2</v>
      </c>
      <c r="G11641" s="41">
        <f>IF(ISNUMBER(F11641),E11641*F11641,"")</f>
        <v>1.6496199</v>
      </c>
      <c r="H11641" s="58"/>
      <c r="I11641" s="59"/>
      <c r="J11641" s="37">
        <v>0</v>
      </c>
    </row>
    <row r="11642" spans="1:10" ht="25.5" hidden="1" x14ac:dyDescent="0.25">
      <c r="A11642" s="174"/>
      <c r="B11642" s="177"/>
      <c r="C11642" s="43" t="s">
        <v>10860</v>
      </c>
      <c r="D11642" s="43" t="s">
        <v>83</v>
      </c>
      <c r="E11642" s="44">
        <f>1.2267*2</f>
        <v>2.4533999999999998</v>
      </c>
      <c r="F11642" s="41">
        <v>0.20899999999999999</v>
      </c>
      <c r="G11642" s="41">
        <f>IF(ISNUMBER(F11642),E11642*F11642,"")</f>
        <v>0.5127605999999999</v>
      </c>
      <c r="H11642" s="58"/>
      <c r="I11642" s="59"/>
      <c r="J11642" s="37">
        <v>0</v>
      </c>
    </row>
    <row r="11643" spans="1:10" ht="25.5" hidden="1" x14ac:dyDescent="0.25">
      <c r="A11643" s="174"/>
      <c r="B11643" s="177"/>
      <c r="C11643" s="43" t="s">
        <v>10885</v>
      </c>
      <c r="D11643" s="43" t="s">
        <v>10818</v>
      </c>
      <c r="E11643" s="44">
        <f>0.0123*2</f>
        <v>2.46E-2</v>
      </c>
      <c r="F11643" s="41">
        <v>23.987499999999997</v>
      </c>
      <c r="G11643" s="41">
        <f>IF(ISNUMBER(F11643),E11643*F11643,"")</f>
        <v>0.59009249999999991</v>
      </c>
      <c r="H11643" s="58"/>
      <c r="I11643" s="59"/>
      <c r="J11643" s="37">
        <v>0</v>
      </c>
    </row>
    <row r="11644" spans="1:10" ht="25.5" hidden="1" x14ac:dyDescent="0.25">
      <c r="A11644" s="174"/>
      <c r="B11644" s="177"/>
      <c r="C11644" s="43" t="s">
        <v>10887</v>
      </c>
      <c r="D11644" s="43" t="s">
        <v>1044</v>
      </c>
      <c r="E11644" s="44">
        <f>0.037*2</f>
        <v>7.3999999999999996E-2</v>
      </c>
      <c r="F11644" s="41">
        <v>22.0685</v>
      </c>
      <c r="G11644" s="41">
        <f>IF(ISNUMBER(F11644),E11644*F11644,"")</f>
        <v>1.6330689999999999</v>
      </c>
      <c r="H11644" s="58"/>
      <c r="I11644" s="59"/>
      <c r="J11644" s="37">
        <v>0</v>
      </c>
    </row>
    <row r="11645" spans="1:10" ht="25.5" hidden="1" x14ac:dyDescent="0.25">
      <c r="A11645" s="174"/>
      <c r="B11645" s="177"/>
      <c r="C11645" s="43" t="s">
        <v>10825</v>
      </c>
      <c r="D11645" s="43" t="s">
        <v>2800</v>
      </c>
      <c r="E11645" s="44">
        <f>0.4786*1.5</f>
        <v>0.71789999999999998</v>
      </c>
      <c r="F11645" s="38">
        <v>25.383999999999997</v>
      </c>
      <c r="G11645" s="41">
        <f>IF(ISNUMBER(F11645),E11645*F11645,"")</f>
        <v>18.223173599999996</v>
      </c>
      <c r="H11645" s="58"/>
      <c r="I11645" s="59"/>
      <c r="J11645" s="37">
        <v>0</v>
      </c>
    </row>
    <row r="11646" spans="1:10" hidden="1" x14ac:dyDescent="0.25">
      <c r="A11646" s="174"/>
      <c r="B11646" s="177"/>
      <c r="C11646" s="43" t="s">
        <v>10614</v>
      </c>
      <c r="D11646" s="43" t="s">
        <v>2800</v>
      </c>
      <c r="E11646" s="44">
        <f>0.4786*1.5</f>
        <v>0.71789999999999998</v>
      </c>
      <c r="F11646" s="38">
        <v>23.693000000000001</v>
      </c>
      <c r="G11646" s="41">
        <f>IF(ISNUMBER(F11646),E11646*F11646,"")</f>
        <v>17.009204700000002</v>
      </c>
      <c r="H11646" s="58"/>
      <c r="I11646" s="59"/>
      <c r="J11646" s="37">
        <v>0</v>
      </c>
    </row>
    <row r="11647" spans="1:10" ht="15.75" hidden="1" thickBot="1" x14ac:dyDescent="0.3">
      <c r="A11647" s="175"/>
      <c r="B11647" s="178"/>
      <c r="C11647" s="49"/>
      <c r="D11647" s="49"/>
      <c r="E11647" s="50"/>
      <c r="F11647" s="51" t="s">
        <v>13</v>
      </c>
      <c r="G11647" s="51" t="str">
        <f>IF(ISNUMBER(F11647),E11647*F11647,"")</f>
        <v/>
      </c>
      <c r="H11647" s="53"/>
      <c r="I11647" s="38"/>
      <c r="J11647" s="37">
        <v>0</v>
      </c>
    </row>
    <row r="11648" spans="1:10" ht="15.75" hidden="1" thickBot="1" x14ac:dyDescent="0.3">
      <c r="A11648" s="173" t="s">
        <v>2859</v>
      </c>
      <c r="B11648" s="176" t="s">
        <v>7674</v>
      </c>
      <c r="C11648" s="31"/>
      <c r="D11648" s="32" t="s">
        <v>106</v>
      </c>
      <c r="E11648" s="33"/>
      <c r="F11648" s="54" t="s">
        <v>13</v>
      </c>
      <c r="G11648" s="34" t="str">
        <f>IF(ISNUMBER(F11648),E11648*F11648,"")</f>
        <v/>
      </c>
      <c r="H11648" s="35"/>
      <c r="I11648" s="36"/>
      <c r="J11648" s="37">
        <v>0</v>
      </c>
    </row>
    <row r="11649" spans="1:10" hidden="1" x14ac:dyDescent="0.25">
      <c r="A11649" s="174"/>
      <c r="B11649" s="177"/>
      <c r="C11649" s="39"/>
      <c r="D11649" s="39"/>
      <c r="E11649" s="40"/>
      <c r="F11649" s="55" t="s">
        <v>13</v>
      </c>
      <c r="G11649" s="38" t="str">
        <f>IF(ISNUMBER(F11649),E11649*F11649,"")</f>
        <v/>
      </c>
      <c r="H11649" s="42"/>
      <c r="I11649" s="38"/>
      <c r="J11649" s="37">
        <v>0</v>
      </c>
    </row>
    <row r="11650" spans="1:10" ht="25.5" hidden="1" x14ac:dyDescent="0.25">
      <c r="A11650" s="174"/>
      <c r="B11650" s="177"/>
      <c r="C11650" s="43" t="s">
        <v>10753</v>
      </c>
      <c r="D11650" s="43" t="s">
        <v>2800</v>
      </c>
      <c r="E11650" s="44">
        <v>0.13669999999999999</v>
      </c>
      <c r="F11650" s="38">
        <v>23.997</v>
      </c>
      <c r="G11650" s="41">
        <f>IF(ISNUMBER(F11650),E11650*F11650,"")</f>
        <v>3.2803898999999999</v>
      </c>
      <c r="H11650" s="46">
        <f>SUM(G11650:G11653)</f>
        <v>11.807510099999998</v>
      </c>
      <c r="I11650" s="47"/>
      <c r="J11650" s="37">
        <v>0</v>
      </c>
    </row>
    <row r="11651" spans="1:10" ht="25.5" hidden="1" x14ac:dyDescent="0.25">
      <c r="A11651" s="174"/>
      <c r="B11651" s="177"/>
      <c r="C11651" s="43" t="s">
        <v>10754</v>
      </c>
      <c r="D11651" s="43" t="s">
        <v>2800</v>
      </c>
      <c r="E11651" s="44">
        <v>0.13669999999999999</v>
      </c>
      <c r="F11651" s="38">
        <v>30.361999999999998</v>
      </c>
      <c r="G11651" s="41">
        <f>IF(ISNUMBER(F11651),E11651*F11651,"")</f>
        <v>4.1504853999999991</v>
      </c>
      <c r="H11651" s="42"/>
      <c r="I11651" s="38"/>
      <c r="J11651" s="37">
        <v>0</v>
      </c>
    </row>
    <row r="11652" spans="1:10" hidden="1" x14ac:dyDescent="0.25">
      <c r="A11652" s="174"/>
      <c r="B11652" s="177"/>
      <c r="C11652" s="43" t="s">
        <v>10899</v>
      </c>
      <c r="D11652" s="43" t="s">
        <v>83</v>
      </c>
      <c r="E11652" s="44">
        <v>3.1899999999999998E-2</v>
      </c>
      <c r="F11652" s="38">
        <v>2.2039999999999997</v>
      </c>
      <c r="G11652" s="41">
        <f>IF(ISNUMBER(F11652),E11652*F11652,"")</f>
        <v>7.0307599999999984E-2</v>
      </c>
      <c r="H11652" s="42"/>
      <c r="I11652" s="38"/>
      <c r="J11652" s="37">
        <v>0</v>
      </c>
    </row>
    <row r="11653" spans="1:10" hidden="1" x14ac:dyDescent="0.25">
      <c r="A11653" s="174"/>
      <c r="B11653" s="177"/>
      <c r="C11653" s="43" t="s">
        <v>11400</v>
      </c>
      <c r="D11653" s="43" t="s">
        <v>1302</v>
      </c>
      <c r="E11653" s="44">
        <v>1.0492999999999999</v>
      </c>
      <c r="F11653" s="38">
        <v>4.1040000000000001</v>
      </c>
      <c r="G11653" s="41">
        <f>IF(ISNUMBER(F11653),E11653*F11653,"")</f>
        <v>4.3063271999999992</v>
      </c>
      <c r="H11653" s="42"/>
      <c r="I11653" s="38"/>
      <c r="J11653" s="37">
        <v>0</v>
      </c>
    </row>
    <row r="11654" spans="1:10" ht="15.75" hidden="1" thickBot="1" x14ac:dyDescent="0.3">
      <c r="A11654" s="175"/>
      <c r="B11654" s="178"/>
      <c r="C11654" s="49"/>
      <c r="D11654" s="49"/>
      <c r="E11654" s="50"/>
      <c r="F11654" s="51" t="s">
        <v>13</v>
      </c>
      <c r="G11654" s="51" t="str">
        <f>IF(ISNUMBER(F11654),E11654*F11654,"")</f>
        <v/>
      </c>
      <c r="H11654" s="53"/>
      <c r="I11654" s="38"/>
      <c r="J11654" s="37">
        <v>0</v>
      </c>
    </row>
    <row r="11655" spans="1:10" ht="15.75" hidden="1" customHeight="1" thickBot="1" x14ac:dyDescent="0.3">
      <c r="A11655" s="173" t="s">
        <v>2860</v>
      </c>
      <c r="B11655" s="176" t="s">
        <v>10483</v>
      </c>
      <c r="C11655" s="31"/>
      <c r="D11655" s="32" t="s">
        <v>18</v>
      </c>
      <c r="E11655" s="33"/>
      <c r="F11655" s="60" t="s">
        <v>13</v>
      </c>
      <c r="G11655" s="34" t="str">
        <f>IF(ISNUMBER(F11655),E11655*F11655,"")</f>
        <v/>
      </c>
      <c r="H11655" s="35"/>
      <c r="I11655" s="36"/>
      <c r="J11655" s="37">
        <v>0</v>
      </c>
    </row>
    <row r="11656" spans="1:10" hidden="1" x14ac:dyDescent="0.25">
      <c r="A11656" s="179"/>
      <c r="B11656" s="177"/>
      <c r="C11656" s="39"/>
      <c r="D11656" s="39"/>
      <c r="E11656" s="40"/>
      <c r="F11656" s="70" t="s">
        <v>13</v>
      </c>
      <c r="G11656" s="70" t="str">
        <f>IF(ISNUMBER(F11656),E11656*F11656,"")</f>
        <v/>
      </c>
      <c r="H11656" s="71"/>
      <c r="I11656" s="72"/>
      <c r="J11656" s="37">
        <v>0</v>
      </c>
    </row>
    <row r="11657" spans="1:10" hidden="1" x14ac:dyDescent="0.25">
      <c r="A11657" s="179"/>
      <c r="B11657" s="177"/>
      <c r="C11657" s="43" t="s">
        <v>10757</v>
      </c>
      <c r="D11657" s="43" t="s">
        <v>2800</v>
      </c>
      <c r="E11657" s="44">
        <v>6</v>
      </c>
      <c r="F11657" s="41">
        <v>31.055499999999995</v>
      </c>
      <c r="G11657" s="41">
        <f>IF(ISNUMBER(F11657),E11657*F11657,"")</f>
        <v>186.33299999999997</v>
      </c>
      <c r="H11657" s="46">
        <f>SUM(G11657:G11664)</f>
        <v>349.61234999999999</v>
      </c>
      <c r="I11657" s="47"/>
      <c r="J11657" s="37">
        <v>0</v>
      </c>
    </row>
    <row r="11658" spans="1:10" hidden="1" x14ac:dyDescent="0.25">
      <c r="A11658" s="179"/>
      <c r="B11658" s="177"/>
      <c r="C11658" s="43" t="s">
        <v>10614</v>
      </c>
      <c r="D11658" s="43" t="s">
        <v>2800</v>
      </c>
      <c r="E11658" s="44">
        <v>6</v>
      </c>
      <c r="F11658" s="38">
        <v>23.693000000000001</v>
      </c>
      <c r="G11658" s="41">
        <f>IF(ISNUMBER(F11658),E11658*F11658,"")</f>
        <v>142.15800000000002</v>
      </c>
      <c r="H11658" s="42"/>
      <c r="I11658" s="38"/>
      <c r="J11658" s="37">
        <v>0</v>
      </c>
    </row>
    <row r="11659" spans="1:10" ht="25.5" hidden="1" x14ac:dyDescent="0.25">
      <c r="A11659" s="179"/>
      <c r="B11659" s="177"/>
      <c r="C11659" s="43" t="s">
        <v>10647</v>
      </c>
      <c r="D11659" s="43" t="s">
        <v>2880</v>
      </c>
      <c r="E11659" s="44">
        <v>2.8899999999999999E-2</v>
      </c>
      <c r="F11659" s="38">
        <v>199.71849999999998</v>
      </c>
      <c r="G11659" s="41">
        <f>IF(ISNUMBER(F11659),E11659*F11659,"")</f>
        <v>5.7718646499999995</v>
      </c>
      <c r="H11659" s="42"/>
      <c r="I11659" s="38"/>
      <c r="J11659" s="37">
        <v>0</v>
      </c>
    </row>
    <row r="11660" spans="1:10" ht="25.5" hidden="1" x14ac:dyDescent="0.25">
      <c r="A11660" s="179"/>
      <c r="B11660" s="177"/>
      <c r="C11660" s="43" t="s">
        <v>10662</v>
      </c>
      <c r="D11660" s="43" t="s">
        <v>2880</v>
      </c>
      <c r="E11660" s="44">
        <v>3.1699999999999999E-2</v>
      </c>
      <c r="F11660" s="41">
        <v>194.8355</v>
      </c>
      <c r="G11660" s="41">
        <f>IF(ISNUMBER(F11660),E11660*F11660,"")</f>
        <v>6.1762853499999997</v>
      </c>
      <c r="H11660" s="42"/>
      <c r="I11660" s="38"/>
      <c r="J11660" s="37">
        <v>0</v>
      </c>
    </row>
    <row r="11661" spans="1:10" hidden="1" x14ac:dyDescent="0.25">
      <c r="A11661" s="179"/>
      <c r="B11661" s="177"/>
      <c r="C11661" s="43" t="s">
        <v>10648</v>
      </c>
      <c r="D11661" s="43" t="s">
        <v>1044</v>
      </c>
      <c r="E11661" s="44">
        <v>14.2</v>
      </c>
      <c r="F11661" s="41">
        <v>0.64600000000000002</v>
      </c>
      <c r="G11661" s="41">
        <f>IF(ISNUMBER(F11661),E11661*F11661,"")</f>
        <v>9.1731999999999996</v>
      </c>
      <c r="H11661" s="42"/>
      <c r="I11661" s="38"/>
      <c r="J11661" s="37">
        <v>0</v>
      </c>
    </row>
    <row r="11662" spans="1:10" ht="25.5" hidden="1" x14ac:dyDescent="0.25">
      <c r="A11662" s="179"/>
      <c r="B11662" s="177"/>
      <c r="C11662" s="43" t="s">
        <v>2330</v>
      </c>
      <c r="D11662" s="43" t="s">
        <v>83</v>
      </c>
      <c r="E11662" s="44">
        <v>1</v>
      </c>
      <c r="F11662" s="41" t="s">
        <v>13</v>
      </c>
      <c r="G11662" s="70" t="str">
        <f>IF(ISNUMBER(F11662),E11662*F11662,"")</f>
        <v/>
      </c>
      <c r="H11662" s="42"/>
      <c r="I11662" s="38"/>
      <c r="J11662" s="37">
        <v>0</v>
      </c>
    </row>
    <row r="11663" spans="1:10" ht="15.75" hidden="1" thickBot="1" x14ac:dyDescent="0.3">
      <c r="A11663" s="180"/>
      <c r="B11663" s="178"/>
      <c r="C11663" s="108"/>
      <c r="D11663" s="108"/>
      <c r="E11663" s="109"/>
      <c r="F11663" s="83" t="s">
        <v>13</v>
      </c>
      <c r="G11663" s="83" t="str">
        <f>IF(ISNUMBER(F11663),E11663*F11663,"")</f>
        <v/>
      </c>
      <c r="H11663" s="84"/>
      <c r="I11663" s="72"/>
      <c r="J11663" s="37">
        <v>0</v>
      </c>
    </row>
    <row r="11664" spans="1:10" ht="15.75" hidden="1" thickBot="1" x14ac:dyDescent="0.3">
      <c r="A11664" s="179" t="s">
        <v>2861</v>
      </c>
      <c r="B11664" s="177" t="s">
        <v>10484</v>
      </c>
      <c r="C11664" s="56"/>
      <c r="D11664" s="48" t="s">
        <v>3982</v>
      </c>
      <c r="E11664" s="95"/>
      <c r="F11664" s="96" t="s">
        <v>13</v>
      </c>
      <c r="G11664" s="97" t="str">
        <f>IF(ISNUMBER(F11664),E11664*F11664,"")</f>
        <v/>
      </c>
      <c r="H11664" s="98"/>
      <c r="I11664" s="36"/>
      <c r="J11664" s="37">
        <v>0</v>
      </c>
    </row>
    <row r="11665" spans="1:10" hidden="1" x14ac:dyDescent="0.25">
      <c r="A11665" s="179"/>
      <c r="B11665" s="177"/>
      <c r="C11665" s="39"/>
      <c r="D11665" s="39"/>
      <c r="E11665" s="40"/>
      <c r="F11665" s="70" t="s">
        <v>13</v>
      </c>
      <c r="G11665" s="70" t="str">
        <f>IF(ISNUMBER(F11665),E11665*F11665,"")</f>
        <v/>
      </c>
      <c r="H11665" s="71"/>
      <c r="I11665" s="72"/>
      <c r="J11665" s="37">
        <v>0</v>
      </c>
    </row>
    <row r="11666" spans="1:10" hidden="1" x14ac:dyDescent="0.25">
      <c r="A11666" s="179"/>
      <c r="B11666" s="177"/>
      <c r="C11666" s="43" t="s">
        <v>11081</v>
      </c>
      <c r="D11666" s="43" t="s">
        <v>2800</v>
      </c>
      <c r="E11666" s="44" t="e">
        <f>IF(#REF!="Desonerado",ROUND(220/(1+'[1]Serviços SINAPI'!$E$6),4),ROUND(220/(1+'[1]Serviços SINAPI'!$F$6),4))</f>
        <v>#REF!</v>
      </c>
      <c r="F11666" s="38">
        <v>19.845500000000001</v>
      </c>
      <c r="G11666" s="70" t="e">
        <f>IF(ISNUMBER(F11666),E11666*F11666,"")</f>
        <v>#REF!</v>
      </c>
      <c r="H11666" s="46" t="e">
        <f>SUM(G11666:G11666)</f>
        <v>#REF!</v>
      </c>
      <c r="I11666" s="47"/>
      <c r="J11666" s="37">
        <v>0</v>
      </c>
    </row>
    <row r="11667" spans="1:10" hidden="1" x14ac:dyDescent="0.25">
      <c r="A11667" s="179"/>
      <c r="B11667" s="177"/>
      <c r="C11667" s="39"/>
      <c r="D11667" s="39"/>
      <c r="E11667" s="40"/>
      <c r="F11667" s="70" t="s">
        <v>13</v>
      </c>
      <c r="G11667" s="70" t="str">
        <f>IF(ISNUMBER(F11667),E11667*F11667,"")</f>
        <v/>
      </c>
      <c r="H11667" s="71"/>
      <c r="I11667" s="72"/>
      <c r="J11667" s="37">
        <v>0</v>
      </c>
    </row>
    <row r="11668" spans="1:10" ht="25.5" hidden="1" x14ac:dyDescent="0.25">
      <c r="A11668" s="179"/>
      <c r="B11668" s="177"/>
      <c r="C11668" s="4" t="s">
        <v>668</v>
      </c>
      <c r="D11668" s="39"/>
      <c r="E11668" s="40"/>
      <c r="F11668" s="70" t="s">
        <v>13</v>
      </c>
      <c r="G11668" s="70" t="str">
        <f>IF(ISNUMBER(F11668),E11668*F11668,"")</f>
        <v/>
      </c>
      <c r="H11668" s="71"/>
      <c r="I11668" s="72"/>
      <c r="J11668" s="37">
        <v>0</v>
      </c>
    </row>
    <row r="11669" spans="1:10" ht="15.75" hidden="1" thickBot="1" x14ac:dyDescent="0.3">
      <c r="A11669" s="180"/>
      <c r="B11669" s="178"/>
      <c r="C11669" s="49"/>
      <c r="D11669" s="63"/>
      <c r="E11669" s="50"/>
      <c r="F11669" s="83" t="s">
        <v>13</v>
      </c>
      <c r="G11669" s="83" t="str">
        <f>IF(ISNUMBER(F11669),E11669*F11669,"")</f>
        <v/>
      </c>
      <c r="H11669" s="84"/>
      <c r="I11669" s="72"/>
      <c r="J11669" s="37">
        <v>0</v>
      </c>
    </row>
    <row r="11670" spans="1:10" ht="15.75" hidden="1" thickBot="1" x14ac:dyDescent="0.3">
      <c r="A11670" s="173" t="s">
        <v>2862</v>
      </c>
      <c r="B11670" s="176" t="s">
        <v>10485</v>
      </c>
      <c r="C11670" s="31"/>
      <c r="D11670" s="32" t="s">
        <v>68</v>
      </c>
      <c r="E11670" s="33"/>
      <c r="F11670" s="60" t="s">
        <v>13</v>
      </c>
      <c r="G11670" s="34" t="str">
        <f>IF(ISNUMBER(F11670),E11670*F11670,"")</f>
        <v/>
      </c>
      <c r="H11670" s="35"/>
      <c r="I11670" s="36"/>
      <c r="J11670" s="37">
        <v>0</v>
      </c>
    </row>
    <row r="11671" spans="1:10" hidden="1" x14ac:dyDescent="0.25">
      <c r="A11671" s="179"/>
      <c r="B11671" s="177"/>
      <c r="C11671" s="39"/>
      <c r="D11671" s="39"/>
      <c r="E11671" s="40"/>
      <c r="F11671" s="70" t="s">
        <v>13</v>
      </c>
      <c r="G11671" s="70" t="str">
        <f>IF(ISNUMBER(F11671),E11671*F11671,"")</f>
        <v/>
      </c>
      <c r="H11671" s="71"/>
      <c r="I11671" s="72"/>
      <c r="J11671" s="37">
        <v>0</v>
      </c>
    </row>
    <row r="11672" spans="1:10" ht="25.5" hidden="1" x14ac:dyDescent="0.25">
      <c r="A11672" s="179"/>
      <c r="B11672" s="177"/>
      <c r="C11672" s="43" t="s">
        <v>2863</v>
      </c>
      <c r="D11672" s="62" t="s">
        <v>162</v>
      </c>
      <c r="E11672" s="44">
        <v>1.1659999999999999</v>
      </c>
      <c r="F11672" s="70" t="s">
        <v>13</v>
      </c>
      <c r="G11672" s="70" t="str">
        <f>IF(ISNUMBER(F11672),E11672*F11672,"")</f>
        <v/>
      </c>
      <c r="H11672" s="46">
        <f>SUM(G11672:G11677)</f>
        <v>13.357593749999999</v>
      </c>
      <c r="I11672" s="47"/>
      <c r="J11672" s="37">
        <v>0</v>
      </c>
    </row>
    <row r="11673" spans="1:10" ht="38.25" hidden="1" x14ac:dyDescent="0.25">
      <c r="A11673" s="179"/>
      <c r="B11673" s="177"/>
      <c r="C11673" s="43" t="s">
        <v>11154</v>
      </c>
      <c r="D11673" s="43" t="s">
        <v>10819</v>
      </c>
      <c r="E11673" s="44">
        <v>4.1500000000000004</v>
      </c>
      <c r="F11673" s="70">
        <v>1.9854999999999998</v>
      </c>
      <c r="G11673" s="70">
        <f>IF(ISNUMBER(F11673),E11673*F11673,"")</f>
        <v>8.2398249999999997</v>
      </c>
      <c r="H11673" s="71"/>
      <c r="I11673" s="72"/>
      <c r="J11673" s="37">
        <v>0</v>
      </c>
    </row>
    <row r="11674" spans="1:10" hidden="1" x14ac:dyDescent="0.25">
      <c r="A11674" s="179"/>
      <c r="B11674" s="177"/>
      <c r="C11674" s="43" t="s">
        <v>10614</v>
      </c>
      <c r="D11674" s="43" t="s">
        <v>2800</v>
      </c>
      <c r="E11674" s="44">
        <v>9.7000000000000003E-2</v>
      </c>
      <c r="F11674" s="70">
        <v>23.693000000000001</v>
      </c>
      <c r="G11674" s="70">
        <f>IF(ISNUMBER(F11674),E11674*F11674,"")</f>
        <v>2.2982210000000003</v>
      </c>
      <c r="H11674" s="71"/>
      <c r="I11674" s="72"/>
      <c r="J11674" s="37">
        <v>0</v>
      </c>
    </row>
    <row r="11675" spans="1:10" hidden="1" x14ac:dyDescent="0.25">
      <c r="A11675" s="179"/>
      <c r="B11675" s="177"/>
      <c r="C11675" s="43" t="s">
        <v>10800</v>
      </c>
      <c r="D11675" s="43" t="s">
        <v>2800</v>
      </c>
      <c r="E11675" s="44">
        <v>9.0999999999999998E-2</v>
      </c>
      <c r="F11675" s="70">
        <v>30.343</v>
      </c>
      <c r="G11675" s="70">
        <f>IF(ISNUMBER(F11675),E11675*F11675,"")</f>
        <v>2.7612130000000001</v>
      </c>
      <c r="H11675" s="71"/>
      <c r="I11675" s="72"/>
      <c r="J11675" s="37">
        <v>0</v>
      </c>
    </row>
    <row r="11676" spans="1:10" ht="25.5" hidden="1" x14ac:dyDescent="0.25">
      <c r="A11676" s="179"/>
      <c r="B11676" s="177"/>
      <c r="C11676" s="43" t="s">
        <v>10801</v>
      </c>
      <c r="D11676" s="43" t="s">
        <v>1050</v>
      </c>
      <c r="E11676" s="44">
        <v>8.9999999999999998E-4</v>
      </c>
      <c r="F11676" s="70">
        <v>26.970499999999998</v>
      </c>
      <c r="G11676" s="70">
        <f>IF(ISNUMBER(F11676),E11676*F11676,"")</f>
        <v>2.4273449999999998E-2</v>
      </c>
      <c r="H11676" s="71"/>
      <c r="I11676" s="72"/>
      <c r="J11676" s="37">
        <v>0</v>
      </c>
    </row>
    <row r="11677" spans="1:10" ht="25.5" hidden="1" x14ac:dyDescent="0.25">
      <c r="A11677" s="179"/>
      <c r="B11677" s="177"/>
      <c r="C11677" s="43" t="s">
        <v>10802</v>
      </c>
      <c r="D11677" s="43" t="s">
        <v>10677</v>
      </c>
      <c r="E11677" s="44">
        <v>1.2999999999999999E-3</v>
      </c>
      <c r="F11677" s="70">
        <v>26.200999999999997</v>
      </c>
      <c r="G11677" s="70">
        <f>IF(ISNUMBER(F11677),E11677*F11677,"")</f>
        <v>3.4061299999999996E-2</v>
      </c>
      <c r="H11677" s="71"/>
      <c r="I11677" s="72"/>
      <c r="J11677" s="37">
        <v>0</v>
      </c>
    </row>
    <row r="11678" spans="1:10" ht="15.75" hidden="1" thickBot="1" x14ac:dyDescent="0.3">
      <c r="A11678" s="180"/>
      <c r="B11678" s="178"/>
      <c r="C11678" s="49"/>
      <c r="D11678" s="49"/>
      <c r="E11678" s="50"/>
      <c r="F11678" s="83" t="s">
        <v>13</v>
      </c>
      <c r="G11678" s="83" t="str">
        <f>IF(ISNUMBER(F11678),E11678*F11678,"")</f>
        <v/>
      </c>
      <c r="H11678" s="84"/>
      <c r="I11678" s="72"/>
      <c r="J11678" s="37">
        <v>0</v>
      </c>
    </row>
    <row r="11679" spans="1:10" ht="15.75" hidden="1" thickBot="1" x14ac:dyDescent="0.3">
      <c r="A11679" s="173" t="s">
        <v>2864</v>
      </c>
      <c r="B11679" s="176" t="s">
        <v>10486</v>
      </c>
      <c r="C11679" s="31"/>
      <c r="D11679" s="32" t="s">
        <v>106</v>
      </c>
      <c r="E11679" s="33"/>
      <c r="F11679" s="60" t="s">
        <v>13</v>
      </c>
      <c r="G11679" s="34" t="str">
        <f>IF(ISNUMBER(F11679),E11679*F11679,"")</f>
        <v/>
      </c>
      <c r="H11679" s="35"/>
      <c r="I11679" s="36"/>
      <c r="J11679" s="37">
        <v>0</v>
      </c>
    </row>
    <row r="11680" spans="1:10" hidden="1" x14ac:dyDescent="0.25">
      <c r="A11680" s="179"/>
      <c r="B11680" s="177"/>
      <c r="C11680" s="39"/>
      <c r="D11680" s="39"/>
      <c r="E11680" s="40"/>
      <c r="F11680" s="70" t="s">
        <v>13</v>
      </c>
      <c r="G11680" s="70" t="str">
        <f>IF(ISNUMBER(F11680),E11680*F11680,"")</f>
        <v/>
      </c>
      <c r="H11680" s="71"/>
      <c r="I11680" s="72"/>
      <c r="J11680" s="37">
        <v>0</v>
      </c>
    </row>
    <row r="11681" spans="1:10" ht="38.25" hidden="1" x14ac:dyDescent="0.25">
      <c r="A11681" s="179"/>
      <c r="B11681" s="177"/>
      <c r="C11681" s="43" t="s">
        <v>11154</v>
      </c>
      <c r="D11681" s="43" t="s">
        <v>10819</v>
      </c>
      <c r="E11681" s="44">
        <v>4.1500000000000004</v>
      </c>
      <c r="F11681" s="70">
        <v>1.9854999999999998</v>
      </c>
      <c r="G11681" s="70">
        <f>IF(ISNUMBER(F11681),E11681*F11681,"")</f>
        <v>8.2398249999999997</v>
      </c>
      <c r="H11681" s="46">
        <f>SUM(G11681:G11686)</f>
        <v>11.906663500000001</v>
      </c>
      <c r="I11681" s="47"/>
      <c r="J11681" s="37">
        <v>0</v>
      </c>
    </row>
    <row r="11682" spans="1:10" hidden="1" x14ac:dyDescent="0.25">
      <c r="A11682" s="179"/>
      <c r="B11682" s="177"/>
      <c r="C11682" s="43" t="s">
        <v>2865</v>
      </c>
      <c r="D11682" s="43" t="s">
        <v>106</v>
      </c>
      <c r="E11682" s="44">
        <v>1.0289999999999999</v>
      </c>
      <c r="F11682" s="70" t="s">
        <v>13</v>
      </c>
      <c r="G11682" s="70" t="str">
        <f>IF(ISNUMBER(F11682),E11682*F11682,"")</f>
        <v/>
      </c>
      <c r="H11682" s="71"/>
      <c r="I11682" s="72"/>
      <c r="J11682" s="37">
        <v>0</v>
      </c>
    </row>
    <row r="11683" spans="1:10" hidden="1" x14ac:dyDescent="0.25">
      <c r="A11683" s="179"/>
      <c r="B11683" s="177"/>
      <c r="C11683" s="43" t="s">
        <v>10614</v>
      </c>
      <c r="D11683" s="43" t="s">
        <v>2800</v>
      </c>
      <c r="E11683" s="44">
        <v>7.2999999999999995E-2</v>
      </c>
      <c r="F11683" s="70">
        <v>23.693000000000001</v>
      </c>
      <c r="G11683" s="70">
        <f>IF(ISNUMBER(F11683),E11683*F11683,"")</f>
        <v>1.729589</v>
      </c>
      <c r="H11683" s="71"/>
      <c r="I11683" s="72"/>
      <c r="J11683" s="37">
        <v>0</v>
      </c>
    </row>
    <row r="11684" spans="1:10" hidden="1" x14ac:dyDescent="0.25">
      <c r="A11684" s="179"/>
      <c r="B11684" s="177"/>
      <c r="C11684" s="43" t="s">
        <v>10800</v>
      </c>
      <c r="D11684" s="43" t="s">
        <v>2800</v>
      </c>
      <c r="E11684" s="44">
        <v>0.06</v>
      </c>
      <c r="F11684" s="70">
        <v>30.343</v>
      </c>
      <c r="G11684" s="70">
        <f>IF(ISNUMBER(F11684),E11684*F11684,"")</f>
        <v>1.8205799999999999</v>
      </c>
      <c r="H11684" s="71"/>
      <c r="I11684" s="72"/>
      <c r="J11684" s="37">
        <v>0</v>
      </c>
    </row>
    <row r="11685" spans="1:10" ht="25.5" hidden="1" x14ac:dyDescent="0.25">
      <c r="A11685" s="179"/>
      <c r="B11685" s="177"/>
      <c r="C11685" s="43" t="s">
        <v>10801</v>
      </c>
      <c r="D11685" s="43" t="s">
        <v>1050</v>
      </c>
      <c r="E11685" s="44">
        <v>1.8E-3</v>
      </c>
      <c r="F11685" s="70">
        <v>26.970499999999998</v>
      </c>
      <c r="G11685" s="70">
        <f>IF(ISNUMBER(F11685),E11685*F11685,"")</f>
        <v>4.8546899999999997E-2</v>
      </c>
      <c r="H11685" s="71"/>
      <c r="I11685" s="72"/>
      <c r="J11685" s="37">
        <v>0</v>
      </c>
    </row>
    <row r="11686" spans="1:10" ht="25.5" hidden="1" x14ac:dyDescent="0.25">
      <c r="A11686" s="179"/>
      <c r="B11686" s="177"/>
      <c r="C11686" s="43" t="s">
        <v>10802</v>
      </c>
      <c r="D11686" s="43" t="s">
        <v>10677</v>
      </c>
      <c r="E11686" s="44">
        <v>2.5999999999999999E-3</v>
      </c>
      <c r="F11686" s="70">
        <v>26.200999999999997</v>
      </c>
      <c r="G11686" s="70">
        <f>IF(ISNUMBER(F11686),E11686*F11686,"")</f>
        <v>6.8122599999999991E-2</v>
      </c>
      <c r="H11686" s="71"/>
      <c r="I11686" s="72"/>
      <c r="J11686" s="37">
        <v>0</v>
      </c>
    </row>
    <row r="11687" spans="1:10" ht="15.75" hidden="1" thickBot="1" x14ac:dyDescent="0.3">
      <c r="A11687" s="180"/>
      <c r="B11687" s="178"/>
      <c r="C11687" s="49"/>
      <c r="D11687" s="49"/>
      <c r="E11687" s="50"/>
      <c r="F11687" s="83" t="s">
        <v>13</v>
      </c>
      <c r="G11687" s="83" t="str">
        <f>IF(ISNUMBER(F11687),E11687*F11687,"")</f>
        <v/>
      </c>
      <c r="H11687" s="84"/>
      <c r="I11687" s="72"/>
      <c r="J11687" s="37">
        <v>0</v>
      </c>
    </row>
    <row r="11688" spans="1:10" ht="15.75" hidden="1" thickBot="1" x14ac:dyDescent="0.3">
      <c r="A11688" s="173" t="s">
        <v>2866</v>
      </c>
      <c r="B11688" s="176" t="s">
        <v>10487</v>
      </c>
      <c r="C11688" s="31"/>
      <c r="D11688" s="32" t="s">
        <v>68</v>
      </c>
      <c r="E11688" s="33"/>
      <c r="F11688" s="60" t="s">
        <v>13</v>
      </c>
      <c r="G11688" s="34" t="str">
        <f>IF(ISNUMBER(F11688),E11688*F11688,"")</f>
        <v/>
      </c>
      <c r="H11688" s="35"/>
      <c r="I11688" s="36"/>
      <c r="J11688" s="37">
        <v>0</v>
      </c>
    </row>
    <row r="11689" spans="1:10" hidden="1" x14ac:dyDescent="0.25">
      <c r="A11689" s="179"/>
      <c r="B11689" s="177"/>
      <c r="C11689" s="39"/>
      <c r="D11689" s="39"/>
      <c r="E11689" s="40"/>
      <c r="F11689" s="70" t="s">
        <v>13</v>
      </c>
      <c r="G11689" s="70" t="str">
        <f>IF(ISNUMBER(F11689),E11689*F11689,"")</f>
        <v/>
      </c>
      <c r="H11689" s="71"/>
      <c r="I11689" s="72"/>
      <c r="J11689" s="37">
        <v>0</v>
      </c>
    </row>
    <row r="11690" spans="1:10" ht="25.5" hidden="1" x14ac:dyDescent="0.25">
      <c r="A11690" s="179"/>
      <c r="B11690" s="177"/>
      <c r="C11690" s="43" t="s">
        <v>2867</v>
      </c>
      <c r="D11690" s="62" t="s">
        <v>162</v>
      </c>
      <c r="E11690" s="44">
        <v>1.1659999999999999</v>
      </c>
      <c r="F11690" s="70" t="s">
        <v>13</v>
      </c>
      <c r="G11690" s="70" t="str">
        <f>IF(ISNUMBER(F11690),E11690*F11690,"")</f>
        <v/>
      </c>
      <c r="H11690" s="46">
        <f>SUM(G11690:G11695)</f>
        <v>13.357593749999999</v>
      </c>
      <c r="I11690" s="47"/>
      <c r="J11690" s="37">
        <v>0</v>
      </c>
    </row>
    <row r="11691" spans="1:10" ht="38.25" hidden="1" x14ac:dyDescent="0.25">
      <c r="A11691" s="179"/>
      <c r="B11691" s="177"/>
      <c r="C11691" s="43" t="s">
        <v>11154</v>
      </c>
      <c r="D11691" s="43" t="s">
        <v>10819</v>
      </c>
      <c r="E11691" s="44">
        <v>4.1500000000000004</v>
      </c>
      <c r="F11691" s="70">
        <v>1.9854999999999998</v>
      </c>
      <c r="G11691" s="70">
        <f>IF(ISNUMBER(F11691),E11691*F11691,"")</f>
        <v>8.2398249999999997</v>
      </c>
      <c r="H11691" s="71"/>
      <c r="I11691" s="72"/>
      <c r="J11691" s="37">
        <v>0</v>
      </c>
    </row>
    <row r="11692" spans="1:10" hidden="1" x14ac:dyDescent="0.25">
      <c r="A11692" s="179"/>
      <c r="B11692" s="177"/>
      <c r="C11692" s="43" t="s">
        <v>10614</v>
      </c>
      <c r="D11692" s="43" t="s">
        <v>2800</v>
      </c>
      <c r="E11692" s="44">
        <v>9.7000000000000003E-2</v>
      </c>
      <c r="F11692" s="70">
        <v>23.693000000000001</v>
      </c>
      <c r="G11692" s="70">
        <f>IF(ISNUMBER(F11692),E11692*F11692,"")</f>
        <v>2.2982210000000003</v>
      </c>
      <c r="H11692" s="71"/>
      <c r="I11692" s="72"/>
      <c r="J11692" s="37">
        <v>0</v>
      </c>
    </row>
    <row r="11693" spans="1:10" hidden="1" x14ac:dyDescent="0.25">
      <c r="A11693" s="179"/>
      <c r="B11693" s="177"/>
      <c r="C11693" s="43" t="s">
        <v>10800</v>
      </c>
      <c r="D11693" s="43" t="s">
        <v>2800</v>
      </c>
      <c r="E11693" s="44">
        <v>9.0999999999999998E-2</v>
      </c>
      <c r="F11693" s="70">
        <v>30.343</v>
      </c>
      <c r="G11693" s="70">
        <f>IF(ISNUMBER(F11693),E11693*F11693,"")</f>
        <v>2.7612130000000001</v>
      </c>
      <c r="H11693" s="71"/>
      <c r="I11693" s="72"/>
      <c r="J11693" s="37">
        <v>0</v>
      </c>
    </row>
    <row r="11694" spans="1:10" ht="25.5" hidden="1" x14ac:dyDescent="0.25">
      <c r="A11694" s="179"/>
      <c r="B11694" s="177"/>
      <c r="C11694" s="43" t="s">
        <v>10801</v>
      </c>
      <c r="D11694" s="43" t="s">
        <v>1050</v>
      </c>
      <c r="E11694" s="44">
        <v>8.9999999999999998E-4</v>
      </c>
      <c r="F11694" s="70">
        <v>26.970499999999998</v>
      </c>
      <c r="G11694" s="70">
        <f>IF(ISNUMBER(F11694),E11694*F11694,"")</f>
        <v>2.4273449999999998E-2</v>
      </c>
      <c r="H11694" s="71"/>
      <c r="I11694" s="72"/>
      <c r="J11694" s="37">
        <v>0</v>
      </c>
    </row>
    <row r="11695" spans="1:10" ht="25.5" hidden="1" x14ac:dyDescent="0.25">
      <c r="A11695" s="179"/>
      <c r="B11695" s="177"/>
      <c r="C11695" s="43" t="s">
        <v>10802</v>
      </c>
      <c r="D11695" s="43" t="s">
        <v>10677</v>
      </c>
      <c r="E11695" s="44">
        <v>1.2999999999999999E-3</v>
      </c>
      <c r="F11695" s="70">
        <v>26.200999999999997</v>
      </c>
      <c r="G11695" s="70">
        <f>IF(ISNUMBER(F11695),E11695*F11695,"")</f>
        <v>3.4061299999999996E-2</v>
      </c>
      <c r="H11695" s="71"/>
      <c r="I11695" s="72"/>
      <c r="J11695" s="37">
        <v>0</v>
      </c>
    </row>
    <row r="11696" spans="1:10" ht="15.75" hidden="1" thickBot="1" x14ac:dyDescent="0.3">
      <c r="A11696" s="180"/>
      <c r="B11696" s="178"/>
      <c r="C11696" s="49"/>
      <c r="D11696" s="49"/>
      <c r="E11696" s="50"/>
      <c r="F11696" s="83" t="s">
        <v>13</v>
      </c>
      <c r="G11696" s="83" t="str">
        <f>IF(ISNUMBER(F11696),E11696*F11696,"")</f>
        <v/>
      </c>
      <c r="H11696" s="84"/>
      <c r="I11696" s="72"/>
      <c r="J11696" s="37">
        <v>0</v>
      </c>
    </row>
    <row r="11697" spans="1:10" ht="15.75" hidden="1" thickBot="1" x14ac:dyDescent="0.3">
      <c r="A11697" s="173" t="s">
        <v>2868</v>
      </c>
      <c r="B11697" s="176" t="s">
        <v>10488</v>
      </c>
      <c r="C11697" s="31"/>
      <c r="D11697" s="32" t="s">
        <v>106</v>
      </c>
      <c r="E11697" s="33"/>
      <c r="F11697" s="60" t="s">
        <v>13</v>
      </c>
      <c r="G11697" s="34" t="str">
        <f>IF(ISNUMBER(F11697),E11697*F11697,"")</f>
        <v/>
      </c>
      <c r="H11697" s="35"/>
      <c r="I11697" s="36"/>
      <c r="J11697" s="37">
        <v>0</v>
      </c>
    </row>
    <row r="11698" spans="1:10" hidden="1" x14ac:dyDescent="0.25">
      <c r="A11698" s="179"/>
      <c r="B11698" s="177"/>
      <c r="C11698" s="39"/>
      <c r="D11698" s="39"/>
      <c r="E11698" s="40"/>
      <c r="F11698" s="70" t="s">
        <v>13</v>
      </c>
      <c r="G11698" s="70" t="str">
        <f>IF(ISNUMBER(F11698),E11698*F11698,"")</f>
        <v/>
      </c>
      <c r="H11698" s="71"/>
      <c r="I11698" s="72"/>
      <c r="J11698" s="37">
        <v>0</v>
      </c>
    </row>
    <row r="11699" spans="1:10" ht="38.25" hidden="1" x14ac:dyDescent="0.25">
      <c r="A11699" s="179"/>
      <c r="B11699" s="177"/>
      <c r="C11699" s="43" t="s">
        <v>11154</v>
      </c>
      <c r="D11699" s="43" t="s">
        <v>10819</v>
      </c>
      <c r="E11699" s="44">
        <v>4.1500000000000004</v>
      </c>
      <c r="F11699" s="70">
        <v>1.9854999999999998</v>
      </c>
      <c r="G11699" s="70">
        <f>IF(ISNUMBER(F11699),E11699*F11699,"")</f>
        <v>8.2398249999999997</v>
      </c>
      <c r="H11699" s="46">
        <f>SUM(G11699:G11704)</f>
        <v>11.906663500000001</v>
      </c>
      <c r="I11699" s="47"/>
      <c r="J11699" s="37">
        <v>0</v>
      </c>
    </row>
    <row r="11700" spans="1:10" hidden="1" x14ac:dyDescent="0.25">
      <c r="A11700" s="179"/>
      <c r="B11700" s="177"/>
      <c r="C11700" s="43" t="s">
        <v>2869</v>
      </c>
      <c r="D11700" s="43" t="s">
        <v>106</v>
      </c>
      <c r="E11700" s="44">
        <v>1.0289999999999999</v>
      </c>
      <c r="F11700" s="70" t="s">
        <v>13</v>
      </c>
      <c r="G11700" s="70" t="str">
        <f>IF(ISNUMBER(F11700),E11700*F11700,"")</f>
        <v/>
      </c>
      <c r="H11700" s="71"/>
      <c r="I11700" s="72"/>
      <c r="J11700" s="37">
        <v>0</v>
      </c>
    </row>
    <row r="11701" spans="1:10" hidden="1" x14ac:dyDescent="0.25">
      <c r="A11701" s="179"/>
      <c r="B11701" s="177"/>
      <c r="C11701" s="43" t="s">
        <v>10614</v>
      </c>
      <c r="D11701" s="43" t="s">
        <v>2800</v>
      </c>
      <c r="E11701" s="44">
        <v>7.2999999999999995E-2</v>
      </c>
      <c r="F11701" s="70">
        <v>23.693000000000001</v>
      </c>
      <c r="G11701" s="70">
        <f>IF(ISNUMBER(F11701),E11701*F11701,"")</f>
        <v>1.729589</v>
      </c>
      <c r="H11701" s="71"/>
      <c r="I11701" s="72"/>
      <c r="J11701" s="37">
        <v>0</v>
      </c>
    </row>
    <row r="11702" spans="1:10" hidden="1" x14ac:dyDescent="0.25">
      <c r="A11702" s="179"/>
      <c r="B11702" s="177"/>
      <c r="C11702" s="43" t="s">
        <v>10800</v>
      </c>
      <c r="D11702" s="43" t="s">
        <v>2800</v>
      </c>
      <c r="E11702" s="44">
        <v>0.06</v>
      </c>
      <c r="F11702" s="70">
        <v>30.343</v>
      </c>
      <c r="G11702" s="70">
        <f>IF(ISNUMBER(F11702),E11702*F11702,"")</f>
        <v>1.8205799999999999</v>
      </c>
      <c r="H11702" s="71"/>
      <c r="I11702" s="72"/>
      <c r="J11702" s="37">
        <v>0</v>
      </c>
    </row>
    <row r="11703" spans="1:10" ht="25.5" hidden="1" x14ac:dyDescent="0.25">
      <c r="A11703" s="179"/>
      <c r="B11703" s="177"/>
      <c r="C11703" s="43" t="s">
        <v>10801</v>
      </c>
      <c r="D11703" s="43" t="s">
        <v>1050</v>
      </c>
      <c r="E11703" s="44">
        <v>1.8E-3</v>
      </c>
      <c r="F11703" s="70">
        <v>26.970499999999998</v>
      </c>
      <c r="G11703" s="70">
        <f>IF(ISNUMBER(F11703),E11703*F11703,"")</f>
        <v>4.8546899999999997E-2</v>
      </c>
      <c r="H11703" s="71"/>
      <c r="I11703" s="72"/>
      <c r="J11703" s="37">
        <v>0</v>
      </c>
    </row>
    <row r="11704" spans="1:10" ht="25.5" hidden="1" x14ac:dyDescent="0.25">
      <c r="A11704" s="179"/>
      <c r="B11704" s="177"/>
      <c r="C11704" s="43" t="s">
        <v>10802</v>
      </c>
      <c r="D11704" s="43" t="s">
        <v>10677</v>
      </c>
      <c r="E11704" s="44">
        <v>2.5999999999999999E-3</v>
      </c>
      <c r="F11704" s="70">
        <v>26.200999999999997</v>
      </c>
      <c r="G11704" s="70">
        <f>IF(ISNUMBER(F11704),E11704*F11704,"")</f>
        <v>6.8122599999999991E-2</v>
      </c>
      <c r="H11704" s="71"/>
      <c r="I11704" s="72"/>
      <c r="J11704" s="37">
        <v>0</v>
      </c>
    </row>
    <row r="11705" spans="1:10" ht="15.75" hidden="1" thickBot="1" x14ac:dyDescent="0.3">
      <c r="A11705" s="180"/>
      <c r="B11705" s="178"/>
      <c r="C11705" s="49"/>
      <c r="D11705" s="49"/>
      <c r="E11705" s="50"/>
      <c r="F11705" s="83" t="s">
        <v>13</v>
      </c>
      <c r="G11705" s="83" t="str">
        <f>IF(ISNUMBER(F11705),E11705*F11705,"")</f>
        <v/>
      </c>
      <c r="H11705" s="84"/>
      <c r="I11705" s="72"/>
      <c r="J11705" s="37">
        <v>0</v>
      </c>
    </row>
    <row r="11706" spans="1:10" ht="15.75" hidden="1" customHeight="1" thickBot="1" x14ac:dyDescent="0.3">
      <c r="A11706" s="173" t="s">
        <v>2870</v>
      </c>
      <c r="B11706" s="176" t="s">
        <v>10507</v>
      </c>
      <c r="C11706" s="31"/>
      <c r="D11706" s="32" t="s">
        <v>68</v>
      </c>
      <c r="E11706" s="33"/>
      <c r="F11706" s="60" t="s">
        <v>13</v>
      </c>
      <c r="G11706" s="34" t="str">
        <f>IF(ISNUMBER(F11706),E11706*F11706,"")</f>
        <v/>
      </c>
      <c r="H11706" s="35"/>
      <c r="I11706" s="36"/>
      <c r="J11706" s="37">
        <v>0</v>
      </c>
    </row>
    <row r="11707" spans="1:10" hidden="1" x14ac:dyDescent="0.25">
      <c r="A11707" s="179"/>
      <c r="B11707" s="177"/>
      <c r="C11707" s="39"/>
      <c r="D11707" s="39"/>
      <c r="E11707" s="40"/>
      <c r="F11707" s="70" t="s">
        <v>13</v>
      </c>
      <c r="G11707" s="70" t="str">
        <f>IF(ISNUMBER(F11707),E11707*F11707,"")</f>
        <v/>
      </c>
      <c r="H11707" s="71"/>
      <c r="I11707" s="72"/>
      <c r="J11707" s="37">
        <v>0</v>
      </c>
    </row>
    <row r="11708" spans="1:10" ht="25.5" hidden="1" x14ac:dyDescent="0.25">
      <c r="A11708" s="179"/>
      <c r="B11708" s="177"/>
      <c r="C11708" s="43" t="s">
        <v>11140</v>
      </c>
      <c r="D11708" s="43" t="s">
        <v>1050</v>
      </c>
      <c r="E11708" s="44">
        <f>1/2430.24</f>
        <v>4.1148199354796238E-4</v>
      </c>
      <c r="F11708" s="41">
        <v>121.44799999999999</v>
      </c>
      <c r="G11708" s="41">
        <f>IF(ISNUMBER(F11708),E11708*F11708,"")</f>
        <v>4.997366515241293E-2</v>
      </c>
      <c r="H11708" s="46">
        <f>SUM(G11708:G11709)</f>
        <v>5.3620835802225292E-2</v>
      </c>
      <c r="I11708" s="47"/>
      <c r="J11708" s="37">
        <v>0</v>
      </c>
    </row>
    <row r="11709" spans="1:10" ht="38.25" hidden="1" x14ac:dyDescent="0.25">
      <c r="A11709" s="179"/>
      <c r="B11709" s="177"/>
      <c r="C11709" s="43" t="s">
        <v>11142</v>
      </c>
      <c r="D11709" s="43" t="s">
        <v>1050</v>
      </c>
      <c r="E11709" s="44">
        <f>1/2430.24</f>
        <v>4.1148199354796238E-4</v>
      </c>
      <c r="F11709" s="38">
        <v>8.8635000000000002</v>
      </c>
      <c r="G11709" s="41">
        <f>IF(ISNUMBER(F11709),E11709*F11709,"")</f>
        <v>3.6471706498123644E-3</v>
      </c>
      <c r="H11709" s="42"/>
      <c r="I11709" s="38"/>
      <c r="J11709" s="37">
        <v>0</v>
      </c>
    </row>
    <row r="11710" spans="1:10" ht="15.75" hidden="1" thickBot="1" x14ac:dyDescent="0.3">
      <c r="A11710" s="180"/>
      <c r="B11710" s="178"/>
      <c r="C11710" s="108"/>
      <c r="D11710" s="108"/>
      <c r="E11710" s="109"/>
      <c r="F11710" s="83" t="s">
        <v>13</v>
      </c>
      <c r="G11710" s="83" t="str">
        <f>IF(ISNUMBER(F11710),E11710*F11710,"")</f>
        <v/>
      </c>
      <c r="H11710" s="84"/>
      <c r="I11710" s="72"/>
      <c r="J11710" s="37">
        <v>0</v>
      </c>
    </row>
    <row r="11711" spans="1:10" ht="15.75" hidden="1" customHeight="1" thickBot="1" x14ac:dyDescent="0.3">
      <c r="A11711" s="173" t="s">
        <v>2871</v>
      </c>
      <c r="B11711" s="176" t="s">
        <v>10508</v>
      </c>
      <c r="C11711" s="31"/>
      <c r="D11711" s="32" t="s">
        <v>68</v>
      </c>
      <c r="E11711" s="33"/>
      <c r="F11711" s="60" t="s">
        <v>13</v>
      </c>
      <c r="G11711" s="34" t="str">
        <f>IF(ISNUMBER(F11711),E11711*F11711,"")</f>
        <v/>
      </c>
      <c r="H11711" s="35"/>
      <c r="I11711" s="36"/>
      <c r="J11711" s="37">
        <v>0</v>
      </c>
    </row>
    <row r="11712" spans="1:10" hidden="1" x14ac:dyDescent="0.25">
      <c r="A11712" s="179"/>
      <c r="B11712" s="177"/>
      <c r="C11712" s="39"/>
      <c r="D11712" s="39"/>
      <c r="E11712" s="40"/>
      <c r="F11712" s="70" t="s">
        <v>13</v>
      </c>
      <c r="G11712" s="70" t="str">
        <f>IF(ISNUMBER(F11712),E11712*F11712,"")</f>
        <v/>
      </c>
      <c r="H11712" s="71"/>
      <c r="I11712" s="72"/>
      <c r="J11712" s="37">
        <v>0</v>
      </c>
    </row>
    <row r="11713" spans="1:10" ht="51" hidden="1" x14ac:dyDescent="0.25">
      <c r="A11713" s="179"/>
      <c r="B11713" s="177"/>
      <c r="C11713" s="43" t="s">
        <v>11894</v>
      </c>
      <c r="D11713" s="43" t="s">
        <v>10677</v>
      </c>
      <c r="E11713" s="44">
        <v>4.6842000000000003E-3</v>
      </c>
      <c r="F11713" s="41">
        <v>69.758499999999998</v>
      </c>
      <c r="G11713" s="41">
        <f>IF(ISNUMBER(F11713),E11713*F11713,"")</f>
        <v>0.32676276570000001</v>
      </c>
      <c r="H11713" s="46">
        <f>SUM(G11713:G11720)</f>
        <v>1.1279879510999999</v>
      </c>
      <c r="I11713" s="47"/>
      <c r="J11713" s="37">
        <v>0</v>
      </c>
    </row>
    <row r="11714" spans="1:10" ht="25.5" hidden="1" x14ac:dyDescent="0.25">
      <c r="A11714" s="179"/>
      <c r="B11714" s="177"/>
      <c r="C11714" s="43" t="s">
        <v>11139</v>
      </c>
      <c r="D11714" s="43" t="s">
        <v>10677</v>
      </c>
      <c r="E11714" s="44">
        <v>4.6842000000000003E-3</v>
      </c>
      <c r="F11714" s="38">
        <v>42.531500000000001</v>
      </c>
      <c r="G11714" s="41">
        <f>IF(ISNUMBER(F11714),E11714*F11714,"")</f>
        <v>0.19922605230000001</v>
      </c>
      <c r="H11714" s="42"/>
      <c r="I11714" s="38"/>
      <c r="J11714" s="37">
        <v>0</v>
      </c>
    </row>
    <row r="11715" spans="1:10" ht="25.5" hidden="1" x14ac:dyDescent="0.25">
      <c r="A11715" s="179"/>
      <c r="B11715" s="177"/>
      <c r="C11715" s="43" t="s">
        <v>11140</v>
      </c>
      <c r="D11715" s="43" t="s">
        <v>1050</v>
      </c>
      <c r="E11715" s="44">
        <v>1.637E-3</v>
      </c>
      <c r="F11715" s="38">
        <v>121.44799999999999</v>
      </c>
      <c r="G11715" s="41">
        <f>IF(ISNUMBER(F11715),E11715*F11715,"")</f>
        <v>0.19881037599999998</v>
      </c>
      <c r="H11715" s="42"/>
      <c r="I11715" s="38"/>
      <c r="J11715" s="37">
        <v>0</v>
      </c>
    </row>
    <row r="11716" spans="1:10" hidden="1" x14ac:dyDescent="0.25">
      <c r="A11716" s="179"/>
      <c r="B11716" s="177"/>
      <c r="C11716" s="43" t="s">
        <v>10614</v>
      </c>
      <c r="D11716" s="43" t="s">
        <v>2800</v>
      </c>
      <c r="E11716" s="44">
        <v>5.5976000000000003E-3</v>
      </c>
      <c r="F11716" s="41">
        <v>23.693000000000001</v>
      </c>
      <c r="G11716" s="41">
        <f>IF(ISNUMBER(F11716),E11716*F11716,"")</f>
        <v>0.13262393680000001</v>
      </c>
      <c r="H11716" s="42"/>
      <c r="I11716" s="38"/>
      <c r="J11716" s="37">
        <v>0</v>
      </c>
    </row>
    <row r="11717" spans="1:10" ht="51" hidden="1" x14ac:dyDescent="0.25">
      <c r="A11717" s="179"/>
      <c r="B11717" s="177"/>
      <c r="C11717" s="43" t="s">
        <v>11895</v>
      </c>
      <c r="D11717" s="43" t="s">
        <v>1050</v>
      </c>
      <c r="E11717" s="44">
        <v>9.1339999999999998E-4</v>
      </c>
      <c r="F11717" s="41">
        <v>261.01249999999999</v>
      </c>
      <c r="G11717" s="41">
        <f>IF(ISNUMBER(F11717),E11717*F11717,"")</f>
        <v>0.23840881749999998</v>
      </c>
      <c r="H11717" s="42"/>
      <c r="I11717" s="38"/>
      <c r="J11717" s="37">
        <v>0</v>
      </c>
    </row>
    <row r="11718" spans="1:10" hidden="1" x14ac:dyDescent="0.25">
      <c r="A11718" s="179"/>
      <c r="B11718" s="177"/>
      <c r="C11718" s="43" t="s">
        <v>2872</v>
      </c>
      <c r="D11718" s="43" t="s">
        <v>1044</v>
      </c>
      <c r="E11718" s="44">
        <v>1.2</v>
      </c>
      <c r="F11718" s="41" t="s">
        <v>13</v>
      </c>
      <c r="G11718" s="41" t="str">
        <f>IF(ISNUMBER(F11718),E11718*F11718,"")</f>
        <v/>
      </c>
      <c r="H11718" s="42"/>
      <c r="I11718" s="38"/>
      <c r="J11718" s="37">
        <v>0</v>
      </c>
    </row>
    <row r="11719" spans="1:10" ht="25.5" hidden="1" x14ac:dyDescent="0.25">
      <c r="A11719" s="179"/>
      <c r="B11719" s="177"/>
      <c r="C11719" s="43" t="s">
        <v>11141</v>
      </c>
      <c r="D11719" s="43" t="s">
        <v>10677</v>
      </c>
      <c r="E11719" s="44">
        <v>3.9605999999999999E-3</v>
      </c>
      <c r="F11719" s="41">
        <v>4.4554999999999998</v>
      </c>
      <c r="G11719" s="41">
        <f>IF(ISNUMBER(F11719),E11719*F11719,"")</f>
        <v>1.76464533E-2</v>
      </c>
      <c r="H11719" s="42"/>
      <c r="I11719" s="47"/>
      <c r="J11719" s="37">
        <v>0</v>
      </c>
    </row>
    <row r="11720" spans="1:10" ht="38.25" hidden="1" x14ac:dyDescent="0.25">
      <c r="A11720" s="179"/>
      <c r="B11720" s="177"/>
      <c r="C11720" s="43" t="s">
        <v>11142</v>
      </c>
      <c r="D11720" s="43" t="s">
        <v>1050</v>
      </c>
      <c r="E11720" s="44">
        <v>1.637E-3</v>
      </c>
      <c r="F11720" s="41">
        <v>8.8635000000000002</v>
      </c>
      <c r="G11720" s="41">
        <f>IF(ISNUMBER(F11720),E11720*F11720,"")</f>
        <v>1.45095495E-2</v>
      </c>
      <c r="H11720" s="42"/>
      <c r="I11720" s="38"/>
      <c r="J11720" s="37">
        <v>0</v>
      </c>
    </row>
    <row r="11721" spans="1:10" ht="15.75" hidden="1" thickBot="1" x14ac:dyDescent="0.3">
      <c r="A11721" s="180"/>
      <c r="B11721" s="178"/>
      <c r="C11721" s="108"/>
      <c r="D11721" s="108"/>
      <c r="E11721" s="109"/>
      <c r="F11721" s="83" t="s">
        <v>13</v>
      </c>
      <c r="G11721" s="83" t="str">
        <f>IF(ISNUMBER(F11721),E11721*F11721,"")</f>
        <v/>
      </c>
      <c r="H11721" s="84"/>
      <c r="I11721" s="72"/>
      <c r="J11721" s="37">
        <v>0</v>
      </c>
    </row>
    <row r="11722" spans="1:10" ht="15.75" hidden="1" customHeight="1" thickBot="1" x14ac:dyDescent="0.3">
      <c r="A11722" s="173" t="s">
        <v>2873</v>
      </c>
      <c r="B11722" s="176" t="s">
        <v>10509</v>
      </c>
      <c r="C11722" s="31"/>
      <c r="D11722" s="32" t="s">
        <v>10510</v>
      </c>
      <c r="E11722" s="33"/>
      <c r="F11722" s="60" t="s">
        <v>13</v>
      </c>
      <c r="G11722" s="34" t="str">
        <f>IF(ISNUMBER(F11722),E11722*F11722,"")</f>
        <v/>
      </c>
      <c r="H11722" s="35"/>
      <c r="I11722" s="36"/>
      <c r="J11722" s="37">
        <v>0</v>
      </c>
    </row>
    <row r="11723" spans="1:10" hidden="1" x14ac:dyDescent="0.25">
      <c r="A11723" s="179"/>
      <c r="B11723" s="177"/>
      <c r="C11723" s="39"/>
      <c r="D11723" s="39"/>
      <c r="E11723" s="40"/>
      <c r="F11723" s="70" t="s">
        <v>13</v>
      </c>
      <c r="G11723" s="70" t="str">
        <f>IF(ISNUMBER(F11723),E11723*F11723,"")</f>
        <v/>
      </c>
      <c r="H11723" s="71"/>
      <c r="I11723" s="72"/>
      <c r="J11723" s="37">
        <v>0</v>
      </c>
    </row>
    <row r="11724" spans="1:10" ht="38.25" hidden="1" x14ac:dyDescent="0.25">
      <c r="A11724" s="179"/>
      <c r="B11724" s="177"/>
      <c r="C11724" s="43" t="s">
        <v>11135</v>
      </c>
      <c r="D11724" s="43" t="s">
        <v>10677</v>
      </c>
      <c r="E11724" s="44">
        <f>0.29/99.6</f>
        <v>2.9116465863453815E-3</v>
      </c>
      <c r="F11724" s="41">
        <v>89.813000000000002</v>
      </c>
      <c r="G11724" s="41">
        <f>IF(ISNUMBER(F11724),E11724*F11724,"")</f>
        <v>0.26150371485943774</v>
      </c>
      <c r="H11724" s="46">
        <f>SUM(G11724:G11745)</f>
        <v>9.9682975401606413</v>
      </c>
      <c r="I11724" s="47"/>
      <c r="J11724" s="37">
        <v>0</v>
      </c>
    </row>
    <row r="11725" spans="1:10" ht="38.25" hidden="1" x14ac:dyDescent="0.25">
      <c r="A11725" s="179"/>
      <c r="B11725" s="177"/>
      <c r="C11725" s="43" t="s">
        <v>11136</v>
      </c>
      <c r="D11725" s="43" t="s">
        <v>1050</v>
      </c>
      <c r="E11725" s="44">
        <f>0.71/99.6</f>
        <v>7.1285140562248996E-3</v>
      </c>
      <c r="F11725" s="38">
        <v>214.1585</v>
      </c>
      <c r="G11725" s="41">
        <f>IF(ISNUMBER(F11725),E11725*F11725,"")</f>
        <v>1.5266318775100403</v>
      </c>
      <c r="H11725" s="42"/>
      <c r="I11725" s="38"/>
      <c r="J11725" s="37">
        <v>0</v>
      </c>
    </row>
    <row r="11726" spans="1:10" ht="38.25" hidden="1" x14ac:dyDescent="0.25">
      <c r="A11726" s="179"/>
      <c r="B11726" s="177"/>
      <c r="C11726" s="43" t="s">
        <v>11138</v>
      </c>
      <c r="D11726" s="43" t="s">
        <v>10677</v>
      </c>
      <c r="E11726" s="44">
        <f>0.18/99.6</f>
        <v>1.8072289156626507E-3</v>
      </c>
      <c r="F11726" s="38">
        <v>83.514499999999998</v>
      </c>
      <c r="G11726" s="41">
        <f>IF(ISNUMBER(F11726),E11726*F11726,"")</f>
        <v>0.15092981927710844</v>
      </c>
      <c r="H11726" s="42"/>
      <c r="I11726" s="38"/>
      <c r="J11726" s="37">
        <v>0</v>
      </c>
    </row>
    <row r="11727" spans="1:10" ht="38.25" hidden="1" x14ac:dyDescent="0.25">
      <c r="A11727" s="179"/>
      <c r="B11727" s="177"/>
      <c r="C11727" s="43" t="s">
        <v>11137</v>
      </c>
      <c r="D11727" s="43" t="s">
        <v>1050</v>
      </c>
      <c r="E11727" s="44">
        <f>0.82/99.6</f>
        <v>8.2329317269076302E-3</v>
      </c>
      <c r="F11727" s="41">
        <v>225.98599999999999</v>
      </c>
      <c r="G11727" s="41">
        <f>IF(ISNUMBER(F11727),E11727*F11727,"")</f>
        <v>1.8605273092369476</v>
      </c>
      <c r="H11727" s="42"/>
      <c r="I11727" s="38"/>
      <c r="J11727" s="37">
        <v>0</v>
      </c>
    </row>
    <row r="11728" spans="1:10" ht="38.25" hidden="1" x14ac:dyDescent="0.25">
      <c r="A11728" s="179"/>
      <c r="B11728" s="177"/>
      <c r="C11728" s="43" t="s">
        <v>11143</v>
      </c>
      <c r="D11728" s="43" t="s">
        <v>1050</v>
      </c>
      <c r="E11728" s="44">
        <f>1/99.6</f>
        <v>1.0040160642570281E-2</v>
      </c>
      <c r="F11728" s="41">
        <v>330.08699999999999</v>
      </c>
      <c r="G11728" s="41">
        <f>IF(ISNUMBER(F11728),E11728*F11728,"")</f>
        <v>3.3141265060240963</v>
      </c>
      <c r="H11728" s="42"/>
      <c r="I11728" s="38"/>
      <c r="J11728" s="37">
        <v>0</v>
      </c>
    </row>
    <row r="11729" spans="1:10" hidden="1" x14ac:dyDescent="0.25">
      <c r="A11729" s="179"/>
      <c r="B11729" s="177"/>
      <c r="C11729" s="43" t="s">
        <v>10614</v>
      </c>
      <c r="D11729" s="43" t="s">
        <v>2800</v>
      </c>
      <c r="E11729" s="44">
        <f>8/99.6</f>
        <v>8.0321285140562249E-2</v>
      </c>
      <c r="F11729" s="41">
        <v>23.693000000000001</v>
      </c>
      <c r="G11729" s="70">
        <f>IF(ISNUMBER(F11729),E11729*F11729,"")</f>
        <v>1.9030522088353414</v>
      </c>
      <c r="H11729" s="42"/>
      <c r="I11729" s="38"/>
      <c r="J11729" s="37">
        <v>0</v>
      </c>
    </row>
    <row r="11730" spans="1:10" hidden="1" x14ac:dyDescent="0.25">
      <c r="A11730" s="179"/>
      <c r="B11730" s="177"/>
      <c r="C11730" s="43" t="s">
        <v>2874</v>
      </c>
      <c r="D11730" s="43" t="s">
        <v>2800</v>
      </c>
      <c r="E11730" s="44">
        <f>1/99.6</f>
        <v>1.0040160642570281E-2</v>
      </c>
      <c r="F11730" s="41" t="s">
        <v>13</v>
      </c>
      <c r="G11730" s="70" t="str">
        <f>IF(ISNUMBER(F11730),E11730*F11730,"")</f>
        <v/>
      </c>
      <c r="H11730" s="42"/>
      <c r="I11730" s="38"/>
      <c r="J11730" s="37">
        <v>0</v>
      </c>
    </row>
    <row r="11731" spans="1:10" hidden="1" x14ac:dyDescent="0.25">
      <c r="A11731" s="179"/>
      <c r="B11731" s="177"/>
      <c r="C11731" s="43" t="s">
        <v>2875</v>
      </c>
      <c r="D11731" s="43" t="s">
        <v>2800</v>
      </c>
      <c r="E11731" s="44">
        <f t="shared" ref="E11731:E11734" si="41">1/99.6</f>
        <v>1.0040160642570281E-2</v>
      </c>
      <c r="F11731" s="41" t="s">
        <v>13</v>
      </c>
      <c r="G11731" s="70" t="str">
        <f>IF(ISNUMBER(F11731),E11731*F11731,"")</f>
        <v/>
      </c>
      <c r="H11731" s="42"/>
      <c r="I11731" s="38"/>
      <c r="J11731" s="37">
        <v>0</v>
      </c>
    </row>
    <row r="11732" spans="1:10" hidden="1" x14ac:dyDescent="0.25">
      <c r="A11732" s="179"/>
      <c r="B11732" s="177"/>
      <c r="C11732" s="43" t="s">
        <v>2876</v>
      </c>
      <c r="D11732" s="43" t="s">
        <v>2800</v>
      </c>
      <c r="E11732" s="44">
        <f t="shared" si="41"/>
        <v>1.0040160642570281E-2</v>
      </c>
      <c r="F11732" s="41" t="s">
        <v>13</v>
      </c>
      <c r="G11732" s="70" t="str">
        <f>IF(ISNUMBER(F11732),E11732*F11732,"")</f>
        <v/>
      </c>
      <c r="H11732" s="42"/>
      <c r="I11732" s="38"/>
      <c r="J11732" s="37">
        <v>0</v>
      </c>
    </row>
    <row r="11733" spans="1:10" hidden="1" x14ac:dyDescent="0.25">
      <c r="A11733" s="179"/>
      <c r="B11733" s="177"/>
      <c r="C11733" s="43" t="s">
        <v>2877</v>
      </c>
      <c r="D11733" s="43" t="s">
        <v>2800</v>
      </c>
      <c r="E11733" s="44">
        <f t="shared" si="41"/>
        <v>1.0040160642570281E-2</v>
      </c>
      <c r="F11733" s="41" t="s">
        <v>13</v>
      </c>
      <c r="G11733" s="70" t="str">
        <f>IF(ISNUMBER(F11733),E11733*F11733,"")</f>
        <v/>
      </c>
      <c r="H11733" s="42"/>
      <c r="I11733" s="38"/>
      <c r="J11733" s="37">
        <v>0</v>
      </c>
    </row>
    <row r="11734" spans="1:10" ht="25.5" hidden="1" x14ac:dyDescent="0.25">
      <c r="A11734" s="179"/>
      <c r="B11734" s="177"/>
      <c r="C11734" s="43" t="s">
        <v>2878</v>
      </c>
      <c r="D11734" s="43" t="s">
        <v>2800</v>
      </c>
      <c r="E11734" s="44">
        <f t="shared" si="41"/>
        <v>1.0040160642570281E-2</v>
      </c>
      <c r="F11734" s="41" t="s">
        <v>13</v>
      </c>
      <c r="G11734" s="70" t="str">
        <f>IF(ISNUMBER(F11734),E11734*F11734,"")</f>
        <v/>
      </c>
      <c r="H11734" s="42"/>
      <c r="I11734" s="38"/>
      <c r="J11734" s="37">
        <v>0</v>
      </c>
    </row>
    <row r="11735" spans="1:10" hidden="1" x14ac:dyDescent="0.25">
      <c r="A11735" s="179"/>
      <c r="B11735" s="177"/>
      <c r="C11735" s="43" t="s">
        <v>10614</v>
      </c>
      <c r="D11735" s="43" t="s">
        <v>2800</v>
      </c>
      <c r="E11735" s="44">
        <f>4/99.6</f>
        <v>4.0160642570281124E-2</v>
      </c>
      <c r="F11735" s="41">
        <v>23.693000000000001</v>
      </c>
      <c r="G11735" s="70">
        <f>IF(ISNUMBER(F11735),E11735*F11735,"")</f>
        <v>0.95152610441767072</v>
      </c>
      <c r="H11735" s="42"/>
      <c r="I11735" s="38"/>
      <c r="J11735" s="37">
        <v>0</v>
      </c>
    </row>
    <row r="11736" spans="1:10" hidden="1" x14ac:dyDescent="0.25">
      <c r="A11736" s="179"/>
      <c r="B11736" s="177"/>
      <c r="C11736" s="43" t="s">
        <v>2879</v>
      </c>
      <c r="D11736" s="43" t="s">
        <v>2880</v>
      </c>
      <c r="E11736" s="44">
        <v>0.33123999999999998</v>
      </c>
      <c r="F11736" s="41" t="s">
        <v>13</v>
      </c>
      <c r="G11736" s="70" t="str">
        <f>IF(ISNUMBER(F11736),E11736*F11736,"")</f>
        <v/>
      </c>
      <c r="H11736" s="42"/>
      <c r="I11736" s="38"/>
      <c r="J11736" s="37">
        <v>0</v>
      </c>
    </row>
    <row r="11737" spans="1:10" hidden="1" x14ac:dyDescent="0.25">
      <c r="A11737" s="179"/>
      <c r="B11737" s="177"/>
      <c r="C11737" s="43" t="s">
        <v>2881</v>
      </c>
      <c r="D11737" s="43" t="s">
        <v>2880</v>
      </c>
      <c r="E11737" s="44">
        <v>6.3700000000000007E-2</v>
      </c>
      <c r="F11737" s="41" t="s">
        <v>13</v>
      </c>
      <c r="G11737" s="70" t="str">
        <f>IF(ISNUMBER(F11737),E11737*F11737,"")</f>
        <v/>
      </c>
      <c r="H11737" s="42"/>
      <c r="I11737" s="38"/>
      <c r="J11737" s="37">
        <v>0</v>
      </c>
    </row>
    <row r="11738" spans="1:10" hidden="1" x14ac:dyDescent="0.25">
      <c r="A11738" s="179"/>
      <c r="B11738" s="177"/>
      <c r="C11738" s="43" t="s">
        <v>2882</v>
      </c>
      <c r="D11738" s="43" t="s">
        <v>2880</v>
      </c>
      <c r="E11738" s="44">
        <v>6.3700000000000007E-2</v>
      </c>
      <c r="F11738" s="41" t="s">
        <v>13</v>
      </c>
      <c r="G11738" s="70" t="str">
        <f>IF(ISNUMBER(F11738),E11738*F11738,"")</f>
        <v/>
      </c>
      <c r="H11738" s="42"/>
      <c r="I11738" s="38"/>
      <c r="J11738" s="37">
        <v>0</v>
      </c>
    </row>
    <row r="11739" spans="1:10" hidden="1" x14ac:dyDescent="0.25">
      <c r="A11739" s="179"/>
      <c r="B11739" s="177"/>
      <c r="C11739" s="43" t="s">
        <v>2883</v>
      </c>
      <c r="D11739" s="43" t="s">
        <v>1044</v>
      </c>
      <c r="E11739" s="44">
        <v>57.323999999999998</v>
      </c>
      <c r="F11739" s="41" t="s">
        <v>13</v>
      </c>
      <c r="G11739" s="70" t="str">
        <f>IF(ISNUMBER(F11739),E11739*F11739,"")</f>
        <v/>
      </c>
      <c r="H11739" s="42"/>
      <c r="I11739" s="38"/>
      <c r="J11739" s="37">
        <v>0</v>
      </c>
    </row>
    <row r="11740" spans="1:10" hidden="1" x14ac:dyDescent="0.25">
      <c r="A11740" s="179"/>
      <c r="B11740" s="177"/>
      <c r="C11740" s="43" t="s">
        <v>2884</v>
      </c>
      <c r="D11740" s="43" t="s">
        <v>2885</v>
      </c>
      <c r="E11740" s="44">
        <v>6.4490000000000006E-2</v>
      </c>
      <c r="F11740" s="41" t="s">
        <v>13</v>
      </c>
      <c r="G11740" s="70" t="str">
        <f>IF(ISNUMBER(F11740),E11740*F11740,"")</f>
        <v/>
      </c>
      <c r="H11740" s="42"/>
      <c r="I11740" s="38"/>
      <c r="J11740" s="37">
        <v>0</v>
      </c>
    </row>
    <row r="11741" spans="1:10" hidden="1" x14ac:dyDescent="0.25">
      <c r="A11741" s="179"/>
      <c r="B11741" s="177"/>
      <c r="C11741" s="43" t="s">
        <v>2886</v>
      </c>
      <c r="D11741" s="43" t="s">
        <v>70</v>
      </c>
      <c r="E11741" s="44">
        <v>8</v>
      </c>
      <c r="F11741" s="41" t="s">
        <v>13</v>
      </c>
      <c r="G11741" s="70" t="str">
        <f>IF(ISNUMBER(F11741),E11741*F11741,"")</f>
        <v/>
      </c>
      <c r="H11741" s="42"/>
      <c r="I11741" s="38"/>
      <c r="J11741" s="37">
        <v>0</v>
      </c>
    </row>
    <row r="11742" spans="1:10" hidden="1" x14ac:dyDescent="0.25">
      <c r="A11742" s="179"/>
      <c r="B11742" s="177"/>
      <c r="C11742" s="43" t="s">
        <v>2887</v>
      </c>
      <c r="D11742" s="43" t="s">
        <v>2880</v>
      </c>
      <c r="E11742" s="44">
        <v>0.14013999999999999</v>
      </c>
      <c r="F11742" s="41" t="s">
        <v>13</v>
      </c>
      <c r="G11742" s="70" t="str">
        <f>IF(ISNUMBER(F11742),E11742*F11742,"")</f>
        <v/>
      </c>
      <c r="H11742" s="42"/>
      <c r="I11742" s="38"/>
      <c r="J11742" s="37">
        <v>0</v>
      </c>
    </row>
    <row r="11743" spans="1:10" hidden="1" x14ac:dyDescent="0.25">
      <c r="A11743" s="179"/>
      <c r="B11743" s="177"/>
      <c r="C11743" s="43" t="s">
        <v>2888</v>
      </c>
      <c r="D11743" s="43" t="s">
        <v>2800</v>
      </c>
      <c r="E11743" s="44">
        <f>3*0.9/457.16*(0.49686+0.09555+0.09555+0.21021)</f>
        <v>5.304617639338525E-3</v>
      </c>
      <c r="F11743" s="41" t="s">
        <v>13</v>
      </c>
      <c r="G11743" s="70" t="str">
        <f>IF(ISNUMBER(F11743),E11743*F11743,"")</f>
        <v/>
      </c>
      <c r="H11743" s="42"/>
      <c r="I11743" s="38"/>
      <c r="J11743" s="37">
        <v>0</v>
      </c>
    </row>
    <row r="11744" spans="1:10" hidden="1" x14ac:dyDescent="0.25">
      <c r="A11744" s="179"/>
      <c r="B11744" s="177"/>
      <c r="C11744" s="43" t="s">
        <v>2889</v>
      </c>
      <c r="D11744" s="43" t="s">
        <v>2800</v>
      </c>
      <c r="E11744" s="44">
        <f>1/26.15*0.05732</f>
        <v>2.1919694072657747E-3</v>
      </c>
      <c r="F11744" s="41" t="s">
        <v>13</v>
      </c>
      <c r="G11744" s="70" t="str">
        <f>IF(ISNUMBER(F11744),E11744*F11744,"")</f>
        <v/>
      </c>
      <c r="H11744" s="42"/>
      <c r="I11744" s="38"/>
      <c r="J11744" s="37">
        <v>0</v>
      </c>
    </row>
    <row r="11745" spans="1:10" hidden="1" x14ac:dyDescent="0.25">
      <c r="A11745" s="179"/>
      <c r="B11745" s="177"/>
      <c r="C11745" s="43" t="s">
        <v>2888</v>
      </c>
      <c r="D11745" s="43" t="s">
        <v>2800</v>
      </c>
      <c r="E11745" s="44">
        <f>3*0.9/99.6</f>
        <v>2.7108433734939763E-2</v>
      </c>
      <c r="F11745" s="41" t="s">
        <v>13</v>
      </c>
      <c r="G11745" s="70" t="str">
        <f>IF(ISNUMBER(F11745),E11745*F11745,"")</f>
        <v/>
      </c>
      <c r="H11745" s="42"/>
      <c r="I11745" s="38"/>
      <c r="J11745" s="37">
        <v>0</v>
      </c>
    </row>
    <row r="11746" spans="1:10" ht="15.75" hidden="1" thickBot="1" x14ac:dyDescent="0.3">
      <c r="A11746" s="180"/>
      <c r="B11746" s="178"/>
      <c r="C11746" s="108"/>
      <c r="D11746" s="108"/>
      <c r="E11746" s="109"/>
      <c r="F11746" s="83" t="s">
        <v>13</v>
      </c>
      <c r="G11746" s="83" t="str">
        <f>IF(ISNUMBER(F11746),E11746*F11746,"")</f>
        <v/>
      </c>
      <c r="H11746" s="84"/>
      <c r="I11746" s="72"/>
      <c r="J11746" s="37">
        <v>0</v>
      </c>
    </row>
    <row r="11747" spans="1:10" ht="15.75" hidden="1" customHeight="1" thickBot="1" x14ac:dyDescent="0.3">
      <c r="A11747" s="173" t="s">
        <v>2890</v>
      </c>
      <c r="B11747" s="176" t="s">
        <v>10511</v>
      </c>
      <c r="C11747" s="31"/>
      <c r="D11747" s="32" t="s">
        <v>106</v>
      </c>
      <c r="E11747" s="33"/>
      <c r="F11747" s="60" t="s">
        <v>13</v>
      </c>
      <c r="G11747" s="34" t="str">
        <f>IF(ISNUMBER(F11747),E11747*F11747,"")</f>
        <v/>
      </c>
      <c r="H11747" s="35"/>
      <c r="I11747" s="36"/>
      <c r="J11747" s="37">
        <v>0</v>
      </c>
    </row>
    <row r="11748" spans="1:10" hidden="1" x14ac:dyDescent="0.25">
      <c r="A11748" s="179"/>
      <c r="B11748" s="177"/>
      <c r="C11748" s="39"/>
      <c r="D11748" s="39"/>
      <c r="E11748" s="40"/>
      <c r="F11748" s="70" t="s">
        <v>13</v>
      </c>
      <c r="G11748" s="70" t="str">
        <f>IF(ISNUMBER(F11748),E11748*F11748,"")</f>
        <v/>
      </c>
      <c r="H11748" s="71"/>
      <c r="I11748" s="72"/>
      <c r="J11748" s="37">
        <v>0</v>
      </c>
    </row>
    <row r="11749" spans="1:10" hidden="1" x14ac:dyDescent="0.25">
      <c r="A11749" s="179"/>
      <c r="B11749" s="177"/>
      <c r="C11749" s="43" t="s">
        <v>11014</v>
      </c>
      <c r="D11749" s="43" t="s">
        <v>2800</v>
      </c>
      <c r="E11749" s="44">
        <f>1.91*1.2</f>
        <v>2.2919999999999998</v>
      </c>
      <c r="F11749" s="41">
        <v>30.837</v>
      </c>
      <c r="G11749" s="41">
        <f>IF(ISNUMBER(F11749),E11749*F11749,"")</f>
        <v>70.678404</v>
      </c>
      <c r="H11749" s="46">
        <f>SUM(G11749:G11755)</f>
        <v>122.20913809999999</v>
      </c>
      <c r="I11749" s="47"/>
      <c r="J11749" s="37">
        <v>0</v>
      </c>
    </row>
    <row r="11750" spans="1:10" hidden="1" x14ac:dyDescent="0.25">
      <c r="A11750" s="179"/>
      <c r="B11750" s="177"/>
      <c r="C11750" s="43" t="s">
        <v>11013</v>
      </c>
      <c r="D11750" s="43" t="s">
        <v>2800</v>
      </c>
      <c r="E11750" s="44">
        <f>1.569*1.2</f>
        <v>1.8827999999999998</v>
      </c>
      <c r="F11750" s="38">
        <v>24.519499999999997</v>
      </c>
      <c r="G11750" s="41">
        <f>IF(ISNUMBER(F11750),E11750*F11750,"")</f>
        <v>46.165314599999988</v>
      </c>
      <c r="H11750" s="42"/>
      <c r="I11750" s="38"/>
      <c r="J11750" s="37">
        <v>0</v>
      </c>
    </row>
    <row r="11751" spans="1:10" hidden="1" x14ac:dyDescent="0.25">
      <c r="A11751" s="179"/>
      <c r="B11751" s="177"/>
      <c r="C11751" s="43" t="s">
        <v>2891</v>
      </c>
      <c r="D11751" s="43" t="s">
        <v>1302</v>
      </c>
      <c r="E11751" s="44">
        <f>2.058+0.92*3/2</f>
        <v>3.4379999999999997</v>
      </c>
      <c r="F11751" s="38" t="s">
        <v>13</v>
      </c>
      <c r="G11751" s="41" t="str">
        <f>IF(ISNUMBER(F11751),E11751*F11751,"")</f>
        <v/>
      </c>
      <c r="H11751" s="42"/>
      <c r="I11751" s="38"/>
      <c r="J11751" s="37">
        <v>0</v>
      </c>
    </row>
    <row r="11752" spans="1:10" ht="38.25" hidden="1" x14ac:dyDescent="0.25">
      <c r="A11752" s="179"/>
      <c r="B11752" s="177"/>
      <c r="C11752" s="43" t="s">
        <v>2892</v>
      </c>
      <c r="D11752" s="43" t="s">
        <v>83</v>
      </c>
      <c r="E11752" s="44">
        <v>2.1819999999999999</v>
      </c>
      <c r="F11752" s="41" t="s">
        <v>13</v>
      </c>
      <c r="G11752" s="41" t="str">
        <f>IF(ISNUMBER(F11752),E11752*F11752,"")</f>
        <v/>
      </c>
      <c r="H11752" s="42"/>
      <c r="I11752" s="38"/>
      <c r="J11752" s="37">
        <v>0</v>
      </c>
    </row>
    <row r="11753" spans="1:10" hidden="1" x14ac:dyDescent="0.25">
      <c r="A11753" s="179"/>
      <c r="B11753" s="177"/>
      <c r="C11753" s="43" t="s">
        <v>11100</v>
      </c>
      <c r="D11753" s="43" t="s">
        <v>1044</v>
      </c>
      <c r="E11753" s="44">
        <v>1E-3</v>
      </c>
      <c r="F11753" s="41">
        <v>40.137499999999996</v>
      </c>
      <c r="G11753" s="41">
        <f>IF(ISNUMBER(F11753),E11753*F11753,"")</f>
        <v>4.01375E-2</v>
      </c>
      <c r="H11753" s="42"/>
      <c r="I11753" s="38"/>
      <c r="J11753" s="37">
        <v>0</v>
      </c>
    </row>
    <row r="11754" spans="1:10" ht="38.25" hidden="1" x14ac:dyDescent="0.25">
      <c r="A11754" s="179"/>
      <c r="B11754" s="177"/>
      <c r="C11754" s="43" t="s">
        <v>10876</v>
      </c>
      <c r="D11754" s="43" t="s">
        <v>83</v>
      </c>
      <c r="E11754" s="44">
        <v>4.3639999999999999</v>
      </c>
      <c r="F11754" s="41">
        <v>1.159</v>
      </c>
      <c r="G11754" s="41">
        <f>IF(ISNUMBER(F11754),E11754*F11754,"")</f>
        <v>5.0578760000000003</v>
      </c>
      <c r="H11754" s="42"/>
      <c r="I11754" s="38"/>
      <c r="J11754" s="37">
        <v>0</v>
      </c>
    </row>
    <row r="11755" spans="1:10" ht="25.5" hidden="1" x14ac:dyDescent="0.25">
      <c r="A11755" s="179"/>
      <c r="B11755" s="177"/>
      <c r="C11755" s="43" t="s">
        <v>10804</v>
      </c>
      <c r="D11755" s="43" t="s">
        <v>1044</v>
      </c>
      <c r="E11755" s="44">
        <v>4.0000000000000001E-3</v>
      </c>
      <c r="F11755" s="41">
        <v>66.851500000000001</v>
      </c>
      <c r="G11755" s="41">
        <f>IF(ISNUMBER(F11755),E11755*F11755,"")</f>
        <v>0.26740600000000003</v>
      </c>
      <c r="H11755" s="42"/>
      <c r="I11755" s="47"/>
      <c r="J11755" s="37">
        <v>0</v>
      </c>
    </row>
    <row r="11756" spans="1:10" ht="15.75" hidden="1" thickBot="1" x14ac:dyDescent="0.3">
      <c r="A11756" s="180"/>
      <c r="B11756" s="178"/>
      <c r="C11756" s="108"/>
      <c r="D11756" s="108"/>
      <c r="E11756" s="109"/>
      <c r="F11756" s="83" t="s">
        <v>13</v>
      </c>
      <c r="G11756" s="83" t="str">
        <f>IF(ISNUMBER(F11756),E11756*F11756,"")</f>
        <v/>
      </c>
      <c r="H11756" s="84"/>
      <c r="I11756" s="72"/>
      <c r="J11756" s="37">
        <v>0</v>
      </c>
    </row>
    <row r="11757" spans="1:10" ht="15.75" hidden="1" customHeight="1" thickBot="1" x14ac:dyDescent="0.3">
      <c r="A11757" s="173" t="s">
        <v>2893</v>
      </c>
      <c r="B11757" s="176" t="s">
        <v>10512</v>
      </c>
      <c r="C11757" s="31"/>
      <c r="D11757" s="32" t="s">
        <v>18</v>
      </c>
      <c r="E11757" s="33"/>
      <c r="F11757" s="60" t="s">
        <v>13</v>
      </c>
      <c r="G11757" s="34" t="str">
        <f>IF(ISNUMBER(F11757),E11757*F11757,"")</f>
        <v/>
      </c>
      <c r="H11757" s="35"/>
      <c r="I11757" s="36"/>
      <c r="J11757" s="37">
        <v>0</v>
      </c>
    </row>
    <row r="11758" spans="1:10" hidden="1" x14ac:dyDescent="0.25">
      <c r="A11758" s="179"/>
      <c r="B11758" s="177"/>
      <c r="C11758" s="39"/>
      <c r="D11758" s="39"/>
      <c r="E11758" s="40"/>
      <c r="F11758" s="70" t="s">
        <v>13</v>
      </c>
      <c r="G11758" s="70" t="str">
        <f>IF(ISNUMBER(F11758),E11758*F11758,"")</f>
        <v/>
      </c>
      <c r="H11758" s="71"/>
      <c r="I11758" s="72"/>
      <c r="J11758" s="37">
        <v>0</v>
      </c>
    </row>
    <row r="11759" spans="1:10" hidden="1" x14ac:dyDescent="0.25">
      <c r="A11759" s="179"/>
      <c r="B11759" s="177"/>
      <c r="C11759" s="43" t="s">
        <v>2894</v>
      </c>
      <c r="D11759" s="43" t="s">
        <v>83</v>
      </c>
      <c r="E11759" s="44">
        <v>1</v>
      </c>
      <c r="F11759" s="41" t="s">
        <v>13</v>
      </c>
      <c r="G11759" s="41" t="str">
        <f>IF(ISNUMBER(F11759),E11759*F11759,"")</f>
        <v/>
      </c>
      <c r="H11759" s="46">
        <f>SUM(G11759:G11760)</f>
        <v>6.5682809999999998</v>
      </c>
      <c r="I11759" s="47"/>
      <c r="J11759" s="37">
        <v>0</v>
      </c>
    </row>
    <row r="11760" spans="1:10" hidden="1" x14ac:dyDescent="0.25">
      <c r="A11760" s="179"/>
      <c r="B11760" s="177"/>
      <c r="C11760" s="43" t="s">
        <v>11014</v>
      </c>
      <c r="D11760" s="43" t="s">
        <v>2800</v>
      </c>
      <c r="E11760" s="44">
        <v>0.21299999999999999</v>
      </c>
      <c r="F11760" s="38">
        <v>30.837</v>
      </c>
      <c r="G11760" s="41">
        <f>IF(ISNUMBER(F11760),E11760*F11760,"")</f>
        <v>6.5682809999999998</v>
      </c>
      <c r="H11760" s="42"/>
      <c r="I11760" s="38"/>
      <c r="J11760" s="37">
        <v>0</v>
      </c>
    </row>
    <row r="11761" spans="1:10" ht="15.75" hidden="1" thickBot="1" x14ac:dyDescent="0.3">
      <c r="A11761" s="180"/>
      <c r="B11761" s="178"/>
      <c r="C11761" s="108"/>
      <c r="D11761" s="108"/>
      <c r="E11761" s="109"/>
      <c r="F11761" s="83" t="s">
        <v>13</v>
      </c>
      <c r="G11761" s="83" t="str">
        <f>IF(ISNUMBER(F11761),E11761*F11761,"")</f>
        <v/>
      </c>
      <c r="H11761" s="84"/>
      <c r="I11761" s="72"/>
      <c r="J11761" s="37">
        <v>0</v>
      </c>
    </row>
    <row r="11762" spans="1:10" ht="15.75" hidden="1" thickBot="1" x14ac:dyDescent="0.3">
      <c r="A11762" s="173" t="s">
        <v>2895</v>
      </c>
      <c r="B11762" s="176" t="s">
        <v>10513</v>
      </c>
      <c r="C11762" s="31"/>
      <c r="D11762" s="32" t="s">
        <v>18</v>
      </c>
      <c r="E11762" s="33"/>
      <c r="F11762" s="54" t="s">
        <v>13</v>
      </c>
      <c r="G11762" s="34" t="str">
        <f>IF(ISNUMBER(F11762),E11762*F11762,"")</f>
        <v/>
      </c>
      <c r="H11762" s="35"/>
      <c r="I11762" s="36"/>
      <c r="J11762" s="37">
        <v>0</v>
      </c>
    </row>
    <row r="11763" spans="1:10" hidden="1" x14ac:dyDescent="0.25">
      <c r="A11763" s="174"/>
      <c r="B11763" s="177"/>
      <c r="C11763" s="39"/>
      <c r="D11763" s="39"/>
      <c r="E11763" s="40"/>
      <c r="F11763" s="55" t="s">
        <v>13</v>
      </c>
      <c r="G11763" s="38" t="str">
        <f>IF(ISNUMBER(F11763),E11763*F11763,"")</f>
        <v/>
      </c>
      <c r="H11763" s="42"/>
      <c r="I11763" s="38"/>
      <c r="J11763" s="37">
        <v>0</v>
      </c>
    </row>
    <row r="11764" spans="1:10" hidden="1" x14ac:dyDescent="0.25">
      <c r="A11764" s="174"/>
      <c r="B11764" s="177"/>
      <c r="C11764" s="43" t="s">
        <v>2896</v>
      </c>
      <c r="D11764" s="43" t="s">
        <v>2800</v>
      </c>
      <c r="E11764" s="44">
        <f>81.4446/142.7852/2</f>
        <v>0.2851997265823068</v>
      </c>
      <c r="F11764" s="38" t="s">
        <v>13</v>
      </c>
      <c r="G11764" s="41" t="str">
        <f>IF(ISNUMBER(F11764),E11764*F11764,"")</f>
        <v/>
      </c>
      <c r="H11764" s="46">
        <f>SUM(G11764:G11767)</f>
        <v>39.220749999999995</v>
      </c>
      <c r="I11764" s="47"/>
      <c r="J11764" s="37">
        <v>0</v>
      </c>
    </row>
    <row r="11765" spans="1:10" hidden="1" x14ac:dyDescent="0.25">
      <c r="A11765" s="174"/>
      <c r="B11765" s="177"/>
      <c r="C11765" s="43" t="s">
        <v>10757</v>
      </c>
      <c r="D11765" s="43" t="s">
        <v>2800</v>
      </c>
      <c r="E11765" s="44">
        <f>1/2</f>
        <v>0.5</v>
      </c>
      <c r="F11765" s="38">
        <v>31.055499999999995</v>
      </c>
      <c r="G11765" s="41">
        <f>IF(ISNUMBER(F11765),E11765*F11765,"")</f>
        <v>15.527749999999997</v>
      </c>
      <c r="H11765" s="42"/>
      <c r="I11765" s="38"/>
      <c r="J11765" s="37">
        <v>0</v>
      </c>
    </row>
    <row r="11766" spans="1:10" hidden="1" x14ac:dyDescent="0.25">
      <c r="A11766" s="174"/>
      <c r="B11766" s="177"/>
      <c r="C11766" s="43" t="s">
        <v>10614</v>
      </c>
      <c r="D11766" s="43" t="s">
        <v>2800</v>
      </c>
      <c r="E11766" s="44">
        <f>2/2</f>
        <v>1</v>
      </c>
      <c r="F11766" s="38">
        <v>23.693000000000001</v>
      </c>
      <c r="G11766" s="41">
        <f>IF(ISNUMBER(F11766),E11766*F11766,"")</f>
        <v>23.693000000000001</v>
      </c>
      <c r="H11766" s="42"/>
      <c r="I11766" s="38"/>
      <c r="J11766" s="37">
        <v>0</v>
      </c>
    </row>
    <row r="11767" spans="1:10" ht="25.5" hidden="1" x14ac:dyDescent="0.25">
      <c r="A11767" s="174"/>
      <c r="B11767" s="177"/>
      <c r="C11767" s="43" t="s">
        <v>2897</v>
      </c>
      <c r="D11767" s="43" t="s">
        <v>162</v>
      </c>
      <c r="E11767" s="44">
        <f>0.5*0.8</f>
        <v>0.4</v>
      </c>
      <c r="F11767" s="38" t="s">
        <v>13</v>
      </c>
      <c r="G11767" s="41" t="str">
        <f>IF(ISNUMBER(F11767),E11767*F11767,"")</f>
        <v/>
      </c>
      <c r="H11767" s="42"/>
      <c r="I11767" s="38"/>
      <c r="J11767" s="37">
        <v>0</v>
      </c>
    </row>
    <row r="11768" spans="1:10" ht="15.75" hidden="1" thickBot="1" x14ac:dyDescent="0.3">
      <c r="A11768" s="175"/>
      <c r="B11768" s="178"/>
      <c r="C11768" s="49"/>
      <c r="D11768" s="49"/>
      <c r="E11768" s="50"/>
      <c r="F11768" s="51" t="s">
        <v>13</v>
      </c>
      <c r="G11768" s="51" t="str">
        <f>IF(ISNUMBER(F11768),E11768*F11768,"")</f>
        <v/>
      </c>
      <c r="H11768" s="53"/>
      <c r="I11768" s="38"/>
      <c r="J11768" s="37">
        <v>0</v>
      </c>
    </row>
    <row r="11769" spans="1:10" ht="15.75" hidden="1" thickBot="1" x14ac:dyDescent="0.3">
      <c r="A11769" s="173" t="s">
        <v>2898</v>
      </c>
      <c r="B11769" s="176" t="s">
        <v>10514</v>
      </c>
      <c r="C11769" s="31"/>
      <c r="D11769" s="32" t="s">
        <v>18</v>
      </c>
      <c r="E11769" s="33"/>
      <c r="F11769" s="54" t="s">
        <v>13</v>
      </c>
      <c r="G11769" s="34" t="str">
        <f>IF(ISNUMBER(F11769),E11769*F11769,"")</f>
        <v/>
      </c>
      <c r="H11769" s="35"/>
      <c r="I11769" s="36"/>
      <c r="J11769" s="37">
        <v>0</v>
      </c>
    </row>
    <row r="11770" spans="1:10" hidden="1" x14ac:dyDescent="0.25">
      <c r="A11770" s="174"/>
      <c r="B11770" s="177"/>
      <c r="C11770" s="39"/>
      <c r="D11770" s="39"/>
      <c r="E11770" s="40"/>
      <c r="F11770" s="55" t="s">
        <v>13</v>
      </c>
      <c r="G11770" s="38" t="str">
        <f>IF(ISNUMBER(F11770),E11770*F11770,"")</f>
        <v/>
      </c>
      <c r="H11770" s="42"/>
      <c r="I11770" s="38"/>
      <c r="J11770" s="37">
        <v>0</v>
      </c>
    </row>
    <row r="11771" spans="1:10" ht="25.5" hidden="1" x14ac:dyDescent="0.25">
      <c r="A11771" s="174"/>
      <c r="B11771" s="177"/>
      <c r="C11771" s="43" t="s">
        <v>11057</v>
      </c>
      <c r="D11771" s="43" t="s">
        <v>83</v>
      </c>
      <c r="E11771" s="44">
        <v>12</v>
      </c>
      <c r="F11771" s="38">
        <v>2.09</v>
      </c>
      <c r="G11771" s="41">
        <f>IF(ISNUMBER(F11771),E11771*F11771,"")</f>
        <v>25.08</v>
      </c>
      <c r="H11771" s="46">
        <f>SUM(G11771:G11774)</f>
        <v>52.454249999999995</v>
      </c>
      <c r="I11771" s="47"/>
      <c r="J11771" s="37">
        <v>0</v>
      </c>
    </row>
    <row r="11772" spans="1:10" hidden="1" x14ac:dyDescent="0.25">
      <c r="A11772" s="174"/>
      <c r="B11772" s="177"/>
      <c r="C11772" s="43" t="s">
        <v>10757</v>
      </c>
      <c r="D11772" s="43" t="s">
        <v>2800</v>
      </c>
      <c r="E11772" s="44">
        <f>1/2</f>
        <v>0.5</v>
      </c>
      <c r="F11772" s="38">
        <v>31.055499999999995</v>
      </c>
      <c r="G11772" s="41">
        <f>IF(ISNUMBER(F11772),E11772*F11772,"")</f>
        <v>15.527749999999997</v>
      </c>
      <c r="H11772" s="42"/>
      <c r="I11772" s="38"/>
      <c r="J11772" s="37">
        <v>0</v>
      </c>
    </row>
    <row r="11773" spans="1:10" hidden="1" x14ac:dyDescent="0.25">
      <c r="A11773" s="174"/>
      <c r="B11773" s="177"/>
      <c r="C11773" s="43" t="s">
        <v>10614</v>
      </c>
      <c r="D11773" s="43" t="s">
        <v>2800</v>
      </c>
      <c r="E11773" s="44">
        <v>0.5</v>
      </c>
      <c r="F11773" s="38">
        <v>23.693000000000001</v>
      </c>
      <c r="G11773" s="41">
        <f>IF(ISNUMBER(F11773),E11773*F11773,"")</f>
        <v>11.846500000000001</v>
      </c>
      <c r="H11773" s="42"/>
      <c r="I11773" s="38"/>
      <c r="J11773" s="37">
        <v>0</v>
      </c>
    </row>
    <row r="11774" spans="1:10" ht="25.5" hidden="1" x14ac:dyDescent="0.25">
      <c r="A11774" s="174"/>
      <c r="B11774" s="177"/>
      <c r="C11774" s="43" t="s">
        <v>2899</v>
      </c>
      <c r="D11774" s="43" t="s">
        <v>83</v>
      </c>
      <c r="E11774" s="44">
        <v>1</v>
      </c>
      <c r="F11774" s="38" t="s">
        <v>13</v>
      </c>
      <c r="G11774" s="41" t="str">
        <f>IF(ISNUMBER(F11774),E11774*F11774,"")</f>
        <v/>
      </c>
      <c r="H11774" s="42"/>
      <c r="I11774" s="38"/>
      <c r="J11774" s="37">
        <v>0</v>
      </c>
    </row>
    <row r="11775" spans="1:10" ht="15.75" hidden="1" thickBot="1" x14ac:dyDescent="0.3">
      <c r="A11775" s="175"/>
      <c r="B11775" s="178"/>
      <c r="C11775" s="49"/>
      <c r="D11775" s="49"/>
      <c r="E11775" s="50"/>
      <c r="F11775" s="51" t="s">
        <v>13</v>
      </c>
      <c r="G11775" s="51" t="str">
        <f>IF(ISNUMBER(F11775),E11775*F11775,"")</f>
        <v/>
      </c>
      <c r="H11775" s="53"/>
      <c r="I11775" s="38"/>
      <c r="J11775" s="37">
        <v>0</v>
      </c>
    </row>
    <row r="11776" spans="1:10" ht="15.75" hidden="1" thickBot="1" x14ac:dyDescent="0.3">
      <c r="A11776" s="173" t="s">
        <v>2900</v>
      </c>
      <c r="B11776" s="176" t="s">
        <v>10515</v>
      </c>
      <c r="C11776" s="31"/>
      <c r="D11776" s="32" t="s">
        <v>18</v>
      </c>
      <c r="E11776" s="33"/>
      <c r="F11776" s="54" t="s">
        <v>13</v>
      </c>
      <c r="G11776" s="34" t="str">
        <f>IF(ISNUMBER(F11776),E11776*F11776,"")</f>
        <v/>
      </c>
      <c r="H11776" s="35"/>
      <c r="I11776" s="36"/>
      <c r="J11776" s="37">
        <v>0</v>
      </c>
    </row>
    <row r="11777" spans="1:10" hidden="1" x14ac:dyDescent="0.25">
      <c r="A11777" s="174"/>
      <c r="B11777" s="177"/>
      <c r="C11777" s="39"/>
      <c r="D11777" s="39"/>
      <c r="E11777" s="40"/>
      <c r="F11777" s="55" t="s">
        <v>13</v>
      </c>
      <c r="G11777" s="38" t="str">
        <f>IF(ISNUMBER(F11777),E11777*F11777,"")</f>
        <v/>
      </c>
      <c r="H11777" s="42"/>
      <c r="I11777" s="38"/>
      <c r="J11777" s="37">
        <v>0</v>
      </c>
    </row>
    <row r="11778" spans="1:10" hidden="1" x14ac:dyDescent="0.25">
      <c r="A11778" s="174"/>
      <c r="B11778" s="177"/>
      <c r="C11778" s="43" t="s">
        <v>11014</v>
      </c>
      <c r="D11778" s="43" t="s">
        <v>2800</v>
      </c>
      <c r="E11778" s="44">
        <v>0.2</v>
      </c>
      <c r="F11778" s="38">
        <v>30.837</v>
      </c>
      <c r="G11778" s="41">
        <f>IF(ISNUMBER(F11778),E11778*F11778,"")</f>
        <v>6.1674000000000007</v>
      </c>
      <c r="H11778" s="46">
        <f>SUM(G11778:G11780)</f>
        <v>14.5274</v>
      </c>
      <c r="I11778" s="47"/>
      <c r="J11778" s="37">
        <v>0</v>
      </c>
    </row>
    <row r="11779" spans="1:10" ht="25.5" hidden="1" x14ac:dyDescent="0.25">
      <c r="A11779" s="174"/>
      <c r="B11779" s="177"/>
      <c r="C11779" s="43" t="s">
        <v>11057</v>
      </c>
      <c r="D11779" s="43" t="s">
        <v>83</v>
      </c>
      <c r="E11779" s="44">
        <v>4</v>
      </c>
      <c r="F11779" s="38">
        <v>2.09</v>
      </c>
      <c r="G11779" s="41">
        <f>IF(ISNUMBER(F11779),E11779*F11779,"")</f>
        <v>8.36</v>
      </c>
      <c r="H11779" s="42"/>
      <c r="I11779" s="38"/>
      <c r="J11779" s="37">
        <v>0</v>
      </c>
    </row>
    <row r="11780" spans="1:10" ht="25.5" hidden="1" x14ac:dyDescent="0.25">
      <c r="A11780" s="174"/>
      <c r="B11780" s="177"/>
      <c r="C11780" s="43" t="s">
        <v>2901</v>
      </c>
      <c r="D11780" s="43" t="s">
        <v>83</v>
      </c>
      <c r="E11780" s="44">
        <v>1</v>
      </c>
      <c r="F11780" s="38" t="s">
        <v>13</v>
      </c>
      <c r="G11780" s="41" t="str">
        <f>IF(ISNUMBER(F11780),E11780*F11780,"")</f>
        <v/>
      </c>
      <c r="H11780" s="42"/>
      <c r="I11780" s="38"/>
      <c r="J11780" s="37">
        <v>0</v>
      </c>
    </row>
    <row r="11781" spans="1:10" ht="15.75" hidden="1" thickBot="1" x14ac:dyDescent="0.3">
      <c r="A11781" s="175"/>
      <c r="B11781" s="178"/>
      <c r="C11781" s="49"/>
      <c r="D11781" s="49"/>
      <c r="E11781" s="50"/>
      <c r="F11781" s="51" t="s">
        <v>13</v>
      </c>
      <c r="G11781" s="51" t="str">
        <f>IF(ISNUMBER(F11781),E11781*F11781,"")</f>
        <v/>
      </c>
      <c r="H11781" s="53"/>
      <c r="I11781" s="38"/>
      <c r="J11781" s="37">
        <v>0</v>
      </c>
    </row>
    <row r="11782" spans="1:10" ht="15.75" hidden="1" customHeight="1" thickBot="1" x14ac:dyDescent="0.3">
      <c r="A11782" s="173" t="s">
        <v>2902</v>
      </c>
      <c r="B11782" s="176" t="s">
        <v>10516</v>
      </c>
      <c r="C11782" s="31"/>
      <c r="D11782" s="32" t="s">
        <v>18</v>
      </c>
      <c r="E11782" s="33"/>
      <c r="F11782" s="60" t="s">
        <v>13</v>
      </c>
      <c r="G11782" s="34" t="str">
        <f>IF(ISNUMBER(F11782),E11782*F11782,"")</f>
        <v/>
      </c>
      <c r="H11782" s="35"/>
      <c r="I11782" s="36"/>
      <c r="J11782" s="37">
        <v>0</v>
      </c>
    </row>
    <row r="11783" spans="1:10" hidden="1" x14ac:dyDescent="0.25">
      <c r="A11783" s="179"/>
      <c r="B11783" s="177"/>
      <c r="C11783" s="39"/>
      <c r="D11783" s="39"/>
      <c r="E11783" s="40"/>
      <c r="F11783" s="70" t="s">
        <v>13</v>
      </c>
      <c r="G11783" s="70" t="str">
        <f>IF(ISNUMBER(F11783),E11783*F11783,"")</f>
        <v/>
      </c>
      <c r="H11783" s="71"/>
      <c r="I11783" s="72"/>
      <c r="J11783" s="37">
        <v>0</v>
      </c>
    </row>
    <row r="11784" spans="1:10" ht="25.5" hidden="1" x14ac:dyDescent="0.25">
      <c r="A11784" s="179"/>
      <c r="B11784" s="177"/>
      <c r="C11784" s="43" t="s">
        <v>2903</v>
      </c>
      <c r="D11784" s="43" t="s">
        <v>83</v>
      </c>
      <c r="E11784" s="44">
        <v>1</v>
      </c>
      <c r="F11784" s="41" t="s">
        <v>13</v>
      </c>
      <c r="G11784" s="41" t="str">
        <f>IF(ISNUMBER(F11784),E11784*F11784,"")</f>
        <v/>
      </c>
      <c r="H11784" s="46">
        <f>SUM(G11784:G11785)</f>
        <v>7.5817600000000009</v>
      </c>
      <c r="I11784" s="47"/>
      <c r="J11784" s="37">
        <v>0</v>
      </c>
    </row>
    <row r="11785" spans="1:10" hidden="1" x14ac:dyDescent="0.25">
      <c r="A11785" s="179"/>
      <c r="B11785" s="177"/>
      <c r="C11785" s="43" t="s">
        <v>10614</v>
      </c>
      <c r="D11785" s="43" t="s">
        <v>2800</v>
      </c>
      <c r="E11785" s="44">
        <v>0.32</v>
      </c>
      <c r="F11785" s="38">
        <v>23.693000000000001</v>
      </c>
      <c r="G11785" s="41">
        <f>IF(ISNUMBER(F11785),E11785*F11785,"")</f>
        <v>7.5817600000000009</v>
      </c>
      <c r="H11785" s="42"/>
      <c r="I11785" s="38"/>
      <c r="J11785" s="37">
        <v>0</v>
      </c>
    </row>
    <row r="11786" spans="1:10" ht="15.75" hidden="1" thickBot="1" x14ac:dyDescent="0.3">
      <c r="A11786" s="180"/>
      <c r="B11786" s="178"/>
      <c r="C11786" s="108"/>
      <c r="D11786" s="108"/>
      <c r="E11786" s="109"/>
      <c r="F11786" s="83" t="s">
        <v>13</v>
      </c>
      <c r="G11786" s="83" t="str">
        <f>IF(ISNUMBER(F11786),E11786*F11786,"")</f>
        <v/>
      </c>
      <c r="H11786" s="84"/>
      <c r="I11786" s="72"/>
      <c r="J11786" s="37">
        <v>0</v>
      </c>
    </row>
    <row r="11787" spans="1:10" ht="15.75" hidden="1" thickBot="1" x14ac:dyDescent="0.3">
      <c r="A11787" s="173" t="s">
        <v>2904</v>
      </c>
      <c r="B11787" s="176" t="s">
        <v>10517</v>
      </c>
      <c r="C11787" s="31"/>
      <c r="D11787" s="32" t="s">
        <v>106</v>
      </c>
      <c r="E11787" s="33"/>
      <c r="F11787" s="54" t="s">
        <v>13</v>
      </c>
      <c r="G11787" s="34" t="str">
        <f>IF(ISNUMBER(F11787),E11787*F11787,"")</f>
        <v/>
      </c>
      <c r="H11787" s="35"/>
      <c r="I11787" s="36"/>
      <c r="J11787" s="37">
        <v>0</v>
      </c>
    </row>
    <row r="11788" spans="1:10" hidden="1" x14ac:dyDescent="0.25">
      <c r="A11788" s="174"/>
      <c r="B11788" s="177"/>
      <c r="C11788" s="39"/>
      <c r="D11788" s="39"/>
      <c r="E11788" s="40"/>
      <c r="F11788" s="55" t="s">
        <v>13</v>
      </c>
      <c r="G11788" s="38" t="str">
        <f>IF(ISNUMBER(F11788),E11788*F11788,"")</f>
        <v/>
      </c>
      <c r="H11788" s="42"/>
      <c r="I11788" s="38"/>
      <c r="J11788" s="37">
        <v>0</v>
      </c>
    </row>
    <row r="11789" spans="1:10" hidden="1" x14ac:dyDescent="0.25">
      <c r="A11789" s="174"/>
      <c r="B11789" s="177"/>
      <c r="C11789" s="43" t="s">
        <v>10757</v>
      </c>
      <c r="D11789" s="43" t="s">
        <v>2800</v>
      </c>
      <c r="E11789" s="44">
        <v>0.2</v>
      </c>
      <c r="F11789" s="38">
        <v>1.5665499999999999</v>
      </c>
      <c r="G11789" s="41">
        <f>IF(ISNUMBER(F11789),E11789*F11789,"")</f>
        <v>0.31330999999999998</v>
      </c>
      <c r="H11789" s="46">
        <f>SUM(G11789:G11791)</f>
        <v>39.263309999999997</v>
      </c>
      <c r="I11789" s="47"/>
      <c r="J11789" s="37">
        <v>0</v>
      </c>
    </row>
    <row r="11790" spans="1:10" ht="38.25" hidden="1" x14ac:dyDescent="0.25">
      <c r="A11790" s="174"/>
      <c r="B11790" s="177"/>
      <c r="C11790" s="43" t="s">
        <v>10931</v>
      </c>
      <c r="D11790" s="43" t="s">
        <v>83</v>
      </c>
      <c r="E11790" s="44">
        <v>100</v>
      </c>
      <c r="F11790" s="38">
        <v>0.38949999999999996</v>
      </c>
      <c r="G11790" s="41">
        <f>IF(ISNUMBER(F11790),E11790*F11790,"")</f>
        <v>38.949999999999996</v>
      </c>
      <c r="H11790" s="42"/>
      <c r="I11790" s="38"/>
      <c r="J11790" s="37">
        <v>0</v>
      </c>
    </row>
    <row r="11791" spans="1:10" hidden="1" x14ac:dyDescent="0.25">
      <c r="A11791" s="174"/>
      <c r="B11791" s="177"/>
      <c r="C11791" s="43" t="s">
        <v>2905</v>
      </c>
      <c r="D11791" s="43" t="s">
        <v>1302</v>
      </c>
      <c r="E11791" s="44">
        <v>1</v>
      </c>
      <c r="F11791" s="38" t="s">
        <v>13</v>
      </c>
      <c r="G11791" s="41" t="str">
        <f>IF(ISNUMBER(F11791),E11791*F11791,"")</f>
        <v/>
      </c>
      <c r="H11791" s="42"/>
      <c r="I11791" s="38"/>
      <c r="J11791" s="37">
        <v>0</v>
      </c>
    </row>
    <row r="11792" spans="1:10" ht="15.75" hidden="1" thickBot="1" x14ac:dyDescent="0.3">
      <c r="A11792" s="175"/>
      <c r="B11792" s="178"/>
      <c r="C11792" s="49"/>
      <c r="D11792" s="49"/>
      <c r="E11792" s="50"/>
      <c r="F11792" s="51" t="s">
        <v>13</v>
      </c>
      <c r="G11792" s="51" t="str">
        <f>IF(ISNUMBER(F11792),E11792*F11792,"")</f>
        <v/>
      </c>
      <c r="H11792" s="53"/>
      <c r="I11792" s="38"/>
      <c r="J11792" s="37">
        <v>0</v>
      </c>
    </row>
    <row r="11793" spans="1:10" ht="15.75" hidden="1" customHeight="1" thickBot="1" x14ac:dyDescent="0.3">
      <c r="A11793" s="173" t="s">
        <v>2906</v>
      </c>
      <c r="B11793" s="176" t="s">
        <v>10518</v>
      </c>
      <c r="C11793" s="31"/>
      <c r="D11793" s="32" t="s">
        <v>18</v>
      </c>
      <c r="E11793" s="33"/>
      <c r="F11793" s="60" t="s">
        <v>13</v>
      </c>
      <c r="G11793" s="34" t="str">
        <f>IF(ISNUMBER(F11793),E11793*F11793,"")</f>
        <v/>
      </c>
      <c r="H11793" s="35"/>
      <c r="I11793" s="36"/>
      <c r="J11793" s="37">
        <v>0</v>
      </c>
    </row>
    <row r="11794" spans="1:10" hidden="1" x14ac:dyDescent="0.25">
      <c r="A11794" s="179"/>
      <c r="B11794" s="177"/>
      <c r="C11794" s="39"/>
      <c r="D11794" s="39"/>
      <c r="E11794" s="40"/>
      <c r="F11794" s="70" t="s">
        <v>13</v>
      </c>
      <c r="G11794" s="70" t="str">
        <f>IF(ISNUMBER(F11794),E11794*F11794,"")</f>
        <v/>
      </c>
      <c r="H11794" s="71"/>
      <c r="I11794" s="72"/>
      <c r="J11794" s="37">
        <v>0</v>
      </c>
    </row>
    <row r="11795" spans="1:10" hidden="1" x14ac:dyDescent="0.25">
      <c r="A11795" s="179"/>
      <c r="B11795" s="177"/>
      <c r="C11795" s="43" t="s">
        <v>10757</v>
      </c>
      <c r="D11795" s="43" t="s">
        <v>2800</v>
      </c>
      <c r="E11795" s="44">
        <v>6</v>
      </c>
      <c r="F11795" s="41">
        <v>31.055499999999995</v>
      </c>
      <c r="G11795" s="41">
        <f>IF(ISNUMBER(F11795),E11795*F11795,"")</f>
        <v>186.33299999999997</v>
      </c>
      <c r="H11795" s="46">
        <f>SUM(G11795:G11802)</f>
        <v>427.8455055</v>
      </c>
      <c r="I11795" s="47"/>
      <c r="J11795" s="37">
        <v>0</v>
      </c>
    </row>
    <row r="11796" spans="1:10" hidden="1" x14ac:dyDescent="0.25">
      <c r="A11796" s="179"/>
      <c r="B11796" s="177"/>
      <c r="C11796" s="43" t="s">
        <v>10614</v>
      </c>
      <c r="D11796" s="43" t="s">
        <v>2800</v>
      </c>
      <c r="E11796" s="44">
        <v>6</v>
      </c>
      <c r="F11796" s="38">
        <v>23.693000000000001</v>
      </c>
      <c r="G11796" s="41">
        <f>IF(ISNUMBER(F11796),E11796*F11796,"")</f>
        <v>142.15800000000002</v>
      </c>
      <c r="H11796" s="42"/>
      <c r="I11796" s="38"/>
      <c r="J11796" s="37">
        <v>0</v>
      </c>
    </row>
    <row r="11797" spans="1:10" ht="25.5" hidden="1" x14ac:dyDescent="0.25">
      <c r="A11797" s="179"/>
      <c r="B11797" s="177"/>
      <c r="C11797" s="43" t="s">
        <v>10647</v>
      </c>
      <c r="D11797" s="43" t="s">
        <v>2880</v>
      </c>
      <c r="E11797" s="44">
        <v>2.8899999999999999E-2</v>
      </c>
      <c r="F11797" s="38">
        <v>199.71849999999998</v>
      </c>
      <c r="G11797" s="41">
        <f>IF(ISNUMBER(F11797),E11797*F11797,"")</f>
        <v>5.7718646499999995</v>
      </c>
      <c r="H11797" s="42"/>
      <c r="I11797" s="38"/>
      <c r="J11797" s="37">
        <v>0</v>
      </c>
    </row>
    <row r="11798" spans="1:10" ht="25.5" hidden="1" x14ac:dyDescent="0.25">
      <c r="A11798" s="179"/>
      <c r="B11798" s="177"/>
      <c r="C11798" s="43" t="s">
        <v>10662</v>
      </c>
      <c r="D11798" s="43" t="s">
        <v>2880</v>
      </c>
      <c r="E11798" s="44">
        <v>3.1699999999999999E-2</v>
      </c>
      <c r="F11798" s="41">
        <v>194.8355</v>
      </c>
      <c r="G11798" s="41">
        <f>IF(ISNUMBER(F11798),E11798*F11798,"")</f>
        <v>6.1762853499999997</v>
      </c>
      <c r="H11798" s="42"/>
      <c r="I11798" s="38"/>
      <c r="J11798" s="37">
        <v>0</v>
      </c>
    </row>
    <row r="11799" spans="1:10" hidden="1" x14ac:dyDescent="0.25">
      <c r="A11799" s="179"/>
      <c r="B11799" s="177"/>
      <c r="C11799" s="43" t="s">
        <v>10648</v>
      </c>
      <c r="D11799" s="43" t="s">
        <v>1044</v>
      </c>
      <c r="E11799" s="44">
        <v>14.2</v>
      </c>
      <c r="F11799" s="41">
        <v>0.64600000000000002</v>
      </c>
      <c r="G11799" s="41">
        <f>IF(ISNUMBER(F11799),E11799*F11799,"")</f>
        <v>9.1731999999999996</v>
      </c>
      <c r="H11799" s="42"/>
      <c r="I11799" s="38"/>
      <c r="J11799" s="37">
        <v>0</v>
      </c>
    </row>
    <row r="11800" spans="1:10" hidden="1" x14ac:dyDescent="0.25">
      <c r="A11800" s="179"/>
      <c r="B11800" s="177"/>
      <c r="C11800" s="43" t="s">
        <v>2907</v>
      </c>
      <c r="D11800" s="43" t="s">
        <v>83</v>
      </c>
      <c r="E11800" s="44">
        <v>1</v>
      </c>
      <c r="F11800" s="41" t="s">
        <v>13</v>
      </c>
      <c r="G11800" s="70" t="str">
        <f>IF(ISNUMBER(F11800),E11800*F11800,"")</f>
        <v/>
      </c>
      <c r="H11800" s="42"/>
      <c r="I11800" s="38"/>
      <c r="J11800" s="37">
        <v>0</v>
      </c>
    </row>
    <row r="11801" spans="1:10" hidden="1" x14ac:dyDescent="0.25">
      <c r="A11801" s="179"/>
      <c r="B11801" s="177"/>
      <c r="C11801" s="43" t="s">
        <v>10674</v>
      </c>
      <c r="D11801" s="43" t="s">
        <v>2800</v>
      </c>
      <c r="E11801" s="44">
        <f>ROUND(0.5708*(2*1*2.1),4)</f>
        <v>2.3974000000000002</v>
      </c>
      <c r="F11801" s="41">
        <v>32.6325</v>
      </c>
      <c r="G11801" s="41">
        <f>IF(ISNUMBER(F11801),E11801*F11801,"")</f>
        <v>78.233155500000009</v>
      </c>
      <c r="H11801" s="42"/>
      <c r="I11801" s="47"/>
      <c r="J11801" s="37">
        <v>0</v>
      </c>
    </row>
    <row r="11802" spans="1:10" hidden="1" x14ac:dyDescent="0.25">
      <c r="A11802" s="179"/>
      <c r="B11802" s="177"/>
      <c r="C11802" s="43" t="s">
        <v>126</v>
      </c>
      <c r="D11802" s="6" t="s">
        <v>70</v>
      </c>
      <c r="E11802" s="44">
        <f>ROUND(3*3.6/75,4)*(2*1*2.1)</f>
        <v>0.6048</v>
      </c>
      <c r="F11802" s="41" t="s">
        <v>13</v>
      </c>
      <c r="G11802" s="41" t="str">
        <f>IF(ISNUMBER(F11802),E11802*F11802,"")</f>
        <v/>
      </c>
      <c r="H11802" s="42"/>
      <c r="I11802" s="38"/>
      <c r="J11802" s="37">
        <v>0</v>
      </c>
    </row>
    <row r="11803" spans="1:10" ht="15.75" hidden="1" thickBot="1" x14ac:dyDescent="0.3">
      <c r="A11803" s="180"/>
      <c r="B11803" s="178"/>
      <c r="C11803" s="108"/>
      <c r="D11803" s="108"/>
      <c r="E11803" s="109"/>
      <c r="F11803" s="83" t="s">
        <v>13</v>
      </c>
      <c r="G11803" s="83" t="str">
        <f>IF(ISNUMBER(F11803),E11803*F11803,"")</f>
        <v/>
      </c>
      <c r="H11803" s="84"/>
      <c r="I11803" s="72"/>
      <c r="J11803" s="37">
        <v>0</v>
      </c>
    </row>
    <row r="11804" spans="1:10" ht="15.75" hidden="1" thickBot="1" x14ac:dyDescent="0.3">
      <c r="A11804" s="179" t="s">
        <v>2908</v>
      </c>
      <c r="B11804" s="177" t="s">
        <v>10519</v>
      </c>
      <c r="C11804" s="56"/>
      <c r="D11804" s="48" t="s">
        <v>18</v>
      </c>
      <c r="E11804" s="95"/>
      <c r="F11804" s="96" t="s">
        <v>13</v>
      </c>
      <c r="G11804" s="97" t="str">
        <f>IF(ISNUMBER(F11804),E11804*F11804,"")</f>
        <v/>
      </c>
      <c r="H11804" s="98"/>
      <c r="I11804" s="36"/>
      <c r="J11804" s="37">
        <v>0</v>
      </c>
    </row>
    <row r="11805" spans="1:10" hidden="1" x14ac:dyDescent="0.25">
      <c r="A11805" s="179"/>
      <c r="B11805" s="177"/>
      <c r="C11805" s="39"/>
      <c r="D11805" s="39"/>
      <c r="E11805" s="40"/>
      <c r="F11805" s="70" t="s">
        <v>13</v>
      </c>
      <c r="G11805" s="70" t="str">
        <f>IF(ISNUMBER(F11805),E11805*F11805,"")</f>
        <v/>
      </c>
      <c r="H11805" s="71"/>
      <c r="I11805" s="72"/>
      <c r="J11805" s="37">
        <v>0</v>
      </c>
    </row>
    <row r="11806" spans="1:10" hidden="1" x14ac:dyDescent="0.25">
      <c r="A11806" s="179"/>
      <c r="B11806" s="177"/>
      <c r="C11806" s="43" t="s">
        <v>11896</v>
      </c>
      <c r="D11806" s="43" t="s">
        <v>83</v>
      </c>
      <c r="E11806" s="44">
        <v>1</v>
      </c>
      <c r="F11806" s="38">
        <v>582.32150000000001</v>
      </c>
      <c r="G11806" s="70">
        <f>IF(ISNUMBER(F11806),E11806*F11806,"")</f>
        <v>582.32150000000001</v>
      </c>
      <c r="H11806" s="46">
        <f>SUM(G11806:G11806)</f>
        <v>582.32150000000001</v>
      </c>
      <c r="I11806" s="47"/>
      <c r="J11806" s="37">
        <v>0</v>
      </c>
    </row>
    <row r="11807" spans="1:10" ht="15.75" hidden="1" thickBot="1" x14ac:dyDescent="0.3">
      <c r="A11807" s="180"/>
      <c r="B11807" s="178"/>
      <c r="C11807" s="49"/>
      <c r="D11807" s="63"/>
      <c r="E11807" s="50"/>
      <c r="F11807" s="83" t="s">
        <v>13</v>
      </c>
      <c r="G11807" s="83" t="str">
        <f>IF(ISNUMBER(F11807),E11807*F11807,"")</f>
        <v/>
      </c>
      <c r="H11807" s="84"/>
      <c r="I11807" s="72"/>
      <c r="J11807" s="37">
        <v>0</v>
      </c>
    </row>
    <row r="11808" spans="1:10" ht="15.75" hidden="1" customHeight="1" thickBot="1" x14ac:dyDescent="0.3">
      <c r="A11808" s="173" t="s">
        <v>2909</v>
      </c>
      <c r="B11808" s="176" t="s">
        <v>10522</v>
      </c>
      <c r="C11808" s="31"/>
      <c r="D11808" s="32" t="s">
        <v>106</v>
      </c>
      <c r="E11808" s="33"/>
      <c r="F11808" s="60" t="s">
        <v>13</v>
      </c>
      <c r="G11808" s="34" t="str">
        <f>IF(ISNUMBER(F11808),E11808*F11808,"")</f>
        <v/>
      </c>
      <c r="H11808" s="35"/>
      <c r="I11808" s="36"/>
      <c r="J11808" s="37">
        <v>0</v>
      </c>
    </row>
    <row r="11809" spans="1:10" hidden="1" x14ac:dyDescent="0.25">
      <c r="A11809" s="179"/>
      <c r="B11809" s="177"/>
      <c r="C11809" s="39"/>
      <c r="D11809" s="39"/>
      <c r="E11809" s="40"/>
      <c r="F11809" s="70" t="s">
        <v>13</v>
      </c>
      <c r="G11809" s="70" t="str">
        <f>IF(ISNUMBER(F11809),E11809*F11809,"")</f>
        <v/>
      </c>
      <c r="H11809" s="71"/>
      <c r="I11809" s="72"/>
      <c r="J11809" s="37">
        <v>0</v>
      </c>
    </row>
    <row r="11810" spans="1:10" hidden="1" x14ac:dyDescent="0.25">
      <c r="A11810" s="179"/>
      <c r="B11810" s="177"/>
      <c r="C11810" s="43" t="s">
        <v>11014</v>
      </c>
      <c r="D11810" s="43" t="s">
        <v>2800</v>
      </c>
      <c r="E11810" s="44">
        <v>1.91</v>
      </c>
      <c r="F11810" s="41">
        <v>30.837</v>
      </c>
      <c r="G11810" s="41">
        <f>IF(ISNUMBER(F11810),E11810*F11810,"")</f>
        <v>58.898669999999996</v>
      </c>
      <c r="H11810" s="46">
        <f>SUM(G11810:G11816)</f>
        <v>102.735185</v>
      </c>
      <c r="I11810" s="47"/>
      <c r="J11810" s="37">
        <v>0</v>
      </c>
    </row>
    <row r="11811" spans="1:10" hidden="1" x14ac:dyDescent="0.25">
      <c r="A11811" s="179"/>
      <c r="B11811" s="177"/>
      <c r="C11811" s="43" t="s">
        <v>11013</v>
      </c>
      <c r="D11811" s="43" t="s">
        <v>2800</v>
      </c>
      <c r="E11811" s="44">
        <v>1.569</v>
      </c>
      <c r="F11811" s="38">
        <v>24.519499999999997</v>
      </c>
      <c r="G11811" s="41">
        <f>IF(ISNUMBER(F11811),E11811*F11811,"")</f>
        <v>38.471095499999997</v>
      </c>
      <c r="H11811" s="42"/>
      <c r="I11811" s="38"/>
      <c r="J11811" s="37">
        <v>0</v>
      </c>
    </row>
    <row r="11812" spans="1:10" hidden="1" x14ac:dyDescent="0.25">
      <c r="A11812" s="179"/>
      <c r="B11812" s="177"/>
      <c r="C11812" s="43" t="s">
        <v>2891</v>
      </c>
      <c r="D11812" s="43" t="s">
        <v>1302</v>
      </c>
      <c r="E11812" s="44">
        <v>2.0579999999999998</v>
      </c>
      <c r="F11812" s="38" t="s">
        <v>13</v>
      </c>
      <c r="G11812" s="41" t="str">
        <f>IF(ISNUMBER(F11812),E11812*F11812,"")</f>
        <v/>
      </c>
      <c r="H11812" s="42"/>
      <c r="I11812" s="38"/>
      <c r="J11812" s="37">
        <v>0</v>
      </c>
    </row>
    <row r="11813" spans="1:10" ht="38.25" hidden="1" x14ac:dyDescent="0.25">
      <c r="A11813" s="179"/>
      <c r="B11813" s="177"/>
      <c r="C11813" s="43" t="s">
        <v>2892</v>
      </c>
      <c r="D11813" s="43" t="s">
        <v>83</v>
      </c>
      <c r="E11813" s="44">
        <v>2.1819999999999999</v>
      </c>
      <c r="F11813" s="41" t="s">
        <v>13</v>
      </c>
      <c r="G11813" s="41" t="str">
        <f>IF(ISNUMBER(F11813),E11813*F11813,"")</f>
        <v/>
      </c>
      <c r="H11813" s="42"/>
      <c r="I11813" s="38"/>
      <c r="J11813" s="37">
        <v>0</v>
      </c>
    </row>
    <row r="11814" spans="1:10" hidden="1" x14ac:dyDescent="0.25">
      <c r="A11814" s="179"/>
      <c r="B11814" s="177"/>
      <c r="C11814" s="43" t="s">
        <v>11100</v>
      </c>
      <c r="D11814" s="43" t="s">
        <v>1044</v>
      </c>
      <c r="E11814" s="44">
        <v>1E-3</v>
      </c>
      <c r="F11814" s="41">
        <v>40.137499999999996</v>
      </c>
      <c r="G11814" s="41">
        <f>IF(ISNUMBER(F11814),E11814*F11814,"")</f>
        <v>4.01375E-2</v>
      </c>
      <c r="H11814" s="42"/>
      <c r="I11814" s="38"/>
      <c r="J11814" s="37">
        <v>0</v>
      </c>
    </row>
    <row r="11815" spans="1:10" ht="38.25" hidden="1" x14ac:dyDescent="0.25">
      <c r="A11815" s="179"/>
      <c r="B11815" s="177"/>
      <c r="C11815" s="43" t="s">
        <v>10876</v>
      </c>
      <c r="D11815" s="43" t="s">
        <v>83</v>
      </c>
      <c r="E11815" s="44">
        <v>4.3639999999999999</v>
      </c>
      <c r="F11815" s="41">
        <v>1.159</v>
      </c>
      <c r="G11815" s="41">
        <f>IF(ISNUMBER(F11815),E11815*F11815,"")</f>
        <v>5.0578760000000003</v>
      </c>
      <c r="H11815" s="42"/>
      <c r="I11815" s="38"/>
      <c r="J11815" s="37">
        <v>0</v>
      </c>
    </row>
    <row r="11816" spans="1:10" ht="25.5" hidden="1" x14ac:dyDescent="0.25">
      <c r="A11816" s="179"/>
      <c r="B11816" s="177"/>
      <c r="C11816" s="43" t="s">
        <v>10804</v>
      </c>
      <c r="D11816" s="43" t="s">
        <v>1044</v>
      </c>
      <c r="E11816" s="44">
        <v>4.0000000000000001E-3</v>
      </c>
      <c r="F11816" s="41">
        <v>66.851500000000001</v>
      </c>
      <c r="G11816" s="41">
        <f>IF(ISNUMBER(F11816),E11816*F11816,"")</f>
        <v>0.26740600000000003</v>
      </c>
      <c r="H11816" s="42"/>
      <c r="I11816" s="47"/>
      <c r="J11816" s="37">
        <v>0</v>
      </c>
    </row>
    <row r="11817" spans="1:10" ht="15.75" hidden="1" thickBot="1" x14ac:dyDescent="0.3">
      <c r="A11817" s="180"/>
      <c r="B11817" s="178"/>
      <c r="C11817" s="108"/>
      <c r="D11817" s="108"/>
      <c r="E11817" s="109"/>
      <c r="F11817" s="83" t="s">
        <v>13</v>
      </c>
      <c r="G11817" s="83" t="str">
        <f>IF(ISNUMBER(F11817),E11817*F11817,"")</f>
        <v/>
      </c>
      <c r="H11817" s="84"/>
      <c r="I11817" s="72"/>
      <c r="J11817" s="37">
        <v>0</v>
      </c>
    </row>
    <row r="11818" spans="1:10" ht="15.75" hidden="1" thickBot="1" x14ac:dyDescent="0.3">
      <c r="A11818" s="173" t="s">
        <v>2910</v>
      </c>
      <c r="B11818" s="176" t="s">
        <v>10523</v>
      </c>
      <c r="C11818" s="31"/>
      <c r="D11818" s="32" t="s">
        <v>68</v>
      </c>
      <c r="E11818" s="33"/>
      <c r="F11818" s="54" t="s">
        <v>13</v>
      </c>
      <c r="G11818" s="34" t="str">
        <f>IF(ISNUMBER(F11818),E11818*F11818,"")</f>
        <v/>
      </c>
      <c r="H11818" s="35"/>
      <c r="I11818" s="36"/>
      <c r="J11818" s="37">
        <v>0</v>
      </c>
    </row>
    <row r="11819" spans="1:10" hidden="1" x14ac:dyDescent="0.25">
      <c r="A11819" s="174"/>
      <c r="B11819" s="177"/>
      <c r="C11819" s="39"/>
      <c r="D11819" s="39"/>
      <c r="E11819" s="40"/>
      <c r="F11819" s="55" t="s">
        <v>13</v>
      </c>
      <c r="G11819" s="38" t="str">
        <f>IF(ISNUMBER(F11819),E11819*F11819,"")</f>
        <v/>
      </c>
      <c r="H11819" s="42"/>
      <c r="I11819" s="38"/>
      <c r="J11819" s="37">
        <v>0</v>
      </c>
    </row>
    <row r="11820" spans="1:10" hidden="1" x14ac:dyDescent="0.25">
      <c r="A11820" s="174"/>
      <c r="B11820" s="177"/>
      <c r="C11820" s="43" t="s">
        <v>10614</v>
      </c>
      <c r="D11820" s="43" t="s">
        <v>2800</v>
      </c>
      <c r="E11820" s="44">
        <v>0.2399</v>
      </c>
      <c r="F11820" s="38">
        <v>23.693000000000001</v>
      </c>
      <c r="G11820" s="41">
        <f>IF(ISNUMBER(F11820),E11820*F11820,"")</f>
        <v>5.6839507000000005</v>
      </c>
      <c r="H11820" s="46">
        <f>SUM(G11820:G11823)</f>
        <v>331.17961589999999</v>
      </c>
      <c r="I11820" s="47"/>
      <c r="J11820" s="37">
        <v>0</v>
      </c>
    </row>
    <row r="11821" spans="1:10" hidden="1" x14ac:dyDescent="0.25">
      <c r="A11821" s="174"/>
      <c r="B11821" s="177"/>
      <c r="C11821" s="43" t="s">
        <v>10613</v>
      </c>
      <c r="D11821" s="43" t="s">
        <v>2800</v>
      </c>
      <c r="E11821" s="44">
        <v>0.57589999999999997</v>
      </c>
      <c r="F11821" s="38">
        <v>30.628</v>
      </c>
      <c r="G11821" s="41">
        <f>IF(ISNUMBER(F11821),E11821*F11821,"")</f>
        <v>17.638665199999998</v>
      </c>
      <c r="H11821" s="42"/>
      <c r="I11821" s="38"/>
      <c r="J11821" s="37">
        <v>0</v>
      </c>
    </row>
    <row r="11822" spans="1:10" hidden="1" x14ac:dyDescent="0.25">
      <c r="A11822" s="174"/>
      <c r="B11822" s="177"/>
      <c r="C11822" s="43" t="s">
        <v>10873</v>
      </c>
      <c r="D11822" s="43" t="s">
        <v>1044</v>
      </c>
      <c r="E11822" s="44">
        <v>0.57499999999999996</v>
      </c>
      <c r="F11822" s="38">
        <v>46.055999999999997</v>
      </c>
      <c r="G11822" s="41">
        <f>IF(ISNUMBER(F11822),E11822*F11822,"")</f>
        <v>26.482199999999995</v>
      </c>
      <c r="H11822" s="42"/>
      <c r="I11822" s="38"/>
      <c r="J11822" s="37">
        <v>0</v>
      </c>
    </row>
    <row r="11823" spans="1:10" ht="25.5" hidden="1" x14ac:dyDescent="0.25">
      <c r="A11823" s="174"/>
      <c r="B11823" s="177"/>
      <c r="C11823" s="43" t="s">
        <v>11118</v>
      </c>
      <c r="D11823" s="43" t="s">
        <v>162</v>
      </c>
      <c r="E11823" s="44">
        <v>1.05</v>
      </c>
      <c r="F11823" s="38">
        <v>267.976</v>
      </c>
      <c r="G11823" s="41">
        <f>IF(ISNUMBER(F11823),E11823*F11823,"")</f>
        <v>281.37479999999999</v>
      </c>
      <c r="H11823" s="42"/>
      <c r="I11823" s="38"/>
      <c r="J11823" s="37">
        <v>0</v>
      </c>
    </row>
    <row r="11824" spans="1:10" ht="15.75" hidden="1" thickBot="1" x14ac:dyDescent="0.3">
      <c r="A11824" s="175"/>
      <c r="B11824" s="178"/>
      <c r="C11824" s="49"/>
      <c r="D11824" s="49"/>
      <c r="E11824" s="50"/>
      <c r="F11824" s="51" t="s">
        <v>13</v>
      </c>
      <c r="G11824" s="51" t="str">
        <f>IF(ISNUMBER(F11824),E11824*F11824,"")</f>
        <v/>
      </c>
      <c r="H11824" s="53"/>
      <c r="I11824" s="38"/>
      <c r="J11824" s="37">
        <v>0</v>
      </c>
    </row>
    <row r="11825" spans="1:10" ht="15.75" hidden="1" thickBot="1" x14ac:dyDescent="0.3">
      <c r="A11825" s="173" t="s">
        <v>2911</v>
      </c>
      <c r="B11825" s="176" t="s">
        <v>10524</v>
      </c>
      <c r="C11825" s="31"/>
      <c r="D11825" s="32" t="s">
        <v>106</v>
      </c>
      <c r="E11825" s="33"/>
      <c r="F11825" s="54" t="s">
        <v>13</v>
      </c>
      <c r="G11825" s="34" t="str">
        <f>IF(ISNUMBER(F11825),E11825*F11825,"")</f>
        <v/>
      </c>
      <c r="H11825" s="35"/>
      <c r="I11825" s="36"/>
      <c r="J11825" s="37">
        <v>0</v>
      </c>
    </row>
    <row r="11826" spans="1:10" hidden="1" x14ac:dyDescent="0.25">
      <c r="A11826" s="174"/>
      <c r="B11826" s="177"/>
      <c r="C11826" s="39"/>
      <c r="D11826" s="39"/>
      <c r="E11826" s="40"/>
      <c r="F11826" s="55" t="s">
        <v>13</v>
      </c>
      <c r="G11826" s="38" t="str">
        <f>IF(ISNUMBER(F11826),E11826*F11826,"")</f>
        <v/>
      </c>
      <c r="H11826" s="42"/>
      <c r="I11826" s="38"/>
      <c r="J11826" s="37">
        <v>0</v>
      </c>
    </row>
    <row r="11827" spans="1:10" hidden="1" x14ac:dyDescent="0.25">
      <c r="A11827" s="174"/>
      <c r="B11827" s="177"/>
      <c r="C11827" s="43" t="s">
        <v>10763</v>
      </c>
      <c r="D11827" s="43" t="s">
        <v>2800</v>
      </c>
      <c r="E11827" s="44">
        <v>3.9E-2</v>
      </c>
      <c r="F11827" s="38">
        <v>31.435500000000001</v>
      </c>
      <c r="G11827" s="41">
        <f>IF(ISNUMBER(F11827),E11827*F11827,"")</f>
        <v>1.2259845</v>
      </c>
      <c r="H11827" s="46">
        <f>SUM(G11827:G11830)</f>
        <v>2.2399062000000001</v>
      </c>
      <c r="I11827" s="47"/>
      <c r="J11827" s="37">
        <v>0</v>
      </c>
    </row>
    <row r="11828" spans="1:10" hidden="1" x14ac:dyDescent="0.25">
      <c r="A11828" s="174"/>
      <c r="B11828" s="177"/>
      <c r="C11828" s="43" t="s">
        <v>10762</v>
      </c>
      <c r="D11828" s="43" t="s">
        <v>2800</v>
      </c>
      <c r="E11828" s="44">
        <v>3.9E-2</v>
      </c>
      <c r="F11828" s="38">
        <v>24.946999999999999</v>
      </c>
      <c r="G11828" s="41">
        <f>IF(ISNUMBER(F11828),E11828*F11828,"")</f>
        <v>0.97293299999999994</v>
      </c>
      <c r="H11828" s="42"/>
      <c r="I11828" s="38"/>
      <c r="J11828" s="37">
        <v>0</v>
      </c>
    </row>
    <row r="11829" spans="1:10" ht="25.5" hidden="1" x14ac:dyDescent="0.25">
      <c r="A11829" s="174"/>
      <c r="B11829" s="177"/>
      <c r="C11829" s="43" t="s">
        <v>10946</v>
      </c>
      <c r="D11829" s="43" t="s">
        <v>83</v>
      </c>
      <c r="E11829" s="44">
        <v>9.4000000000000004E-3</v>
      </c>
      <c r="F11829" s="38">
        <v>4.3605</v>
      </c>
      <c r="G11829" s="41">
        <f>IF(ISNUMBER(F11829),E11829*F11829,"")</f>
        <v>4.0988700000000003E-2</v>
      </c>
      <c r="H11829" s="42"/>
      <c r="I11829" s="38"/>
      <c r="J11829" s="37">
        <v>0</v>
      </c>
    </row>
    <row r="11830" spans="1:10" hidden="1" x14ac:dyDescent="0.25">
      <c r="A11830" s="174"/>
      <c r="B11830" s="177"/>
      <c r="C11830" s="43" t="s">
        <v>2912</v>
      </c>
      <c r="D11830" s="43" t="s">
        <v>1302</v>
      </c>
      <c r="E11830" s="44">
        <v>1.2434000000000001</v>
      </c>
      <c r="F11830" s="38" t="s">
        <v>13</v>
      </c>
      <c r="G11830" s="41" t="str">
        <f>IF(ISNUMBER(F11830),E11830*F11830,"")</f>
        <v/>
      </c>
      <c r="H11830" s="42"/>
      <c r="I11830" s="38"/>
      <c r="J11830" s="37">
        <v>0</v>
      </c>
    </row>
    <row r="11831" spans="1:10" ht="15.75" hidden="1" thickBot="1" x14ac:dyDescent="0.3">
      <c r="A11831" s="175"/>
      <c r="B11831" s="178"/>
      <c r="C11831" s="49"/>
      <c r="D11831" s="49"/>
      <c r="E11831" s="50"/>
      <c r="F11831" s="51" t="s">
        <v>13</v>
      </c>
      <c r="G11831" s="51" t="str">
        <f>IF(ISNUMBER(F11831),E11831*F11831,"")</f>
        <v/>
      </c>
      <c r="H11831" s="53"/>
      <c r="I11831" s="38"/>
      <c r="J11831" s="37">
        <v>0</v>
      </c>
    </row>
    <row r="11832" spans="1:10" ht="15.75" hidden="1" thickBot="1" x14ac:dyDescent="0.3">
      <c r="A11832" s="173" t="s">
        <v>2913</v>
      </c>
      <c r="B11832" s="176" t="s">
        <v>10525</v>
      </c>
      <c r="C11832" s="31"/>
      <c r="D11832" s="32" t="s">
        <v>68</v>
      </c>
      <c r="E11832" s="33"/>
      <c r="F11832" s="60" t="s">
        <v>13</v>
      </c>
      <c r="G11832" s="34" t="str">
        <f>IF(ISNUMBER(F11832),E11832*F11832,"")</f>
        <v/>
      </c>
      <c r="H11832" s="35"/>
      <c r="I11832" s="36"/>
      <c r="J11832" s="37">
        <v>0</v>
      </c>
    </row>
    <row r="11833" spans="1:10" hidden="1" x14ac:dyDescent="0.25">
      <c r="A11833" s="179"/>
      <c r="B11833" s="177"/>
      <c r="C11833" s="39"/>
      <c r="D11833" s="39"/>
      <c r="E11833" s="40"/>
      <c r="F11833" s="70" t="s">
        <v>13</v>
      </c>
      <c r="G11833" s="70" t="str">
        <f>IF(ISNUMBER(F11833),E11833*F11833,"")</f>
        <v/>
      </c>
      <c r="H11833" s="71"/>
      <c r="I11833" s="72"/>
      <c r="J11833" s="37">
        <v>0</v>
      </c>
    </row>
    <row r="11834" spans="1:10" hidden="1" x14ac:dyDescent="0.25">
      <c r="A11834" s="179"/>
      <c r="B11834" s="177"/>
      <c r="C11834" s="43" t="s">
        <v>10614</v>
      </c>
      <c r="D11834" s="43" t="s">
        <v>2800</v>
      </c>
      <c r="E11834" s="44">
        <v>1.2789999999999999</v>
      </c>
      <c r="F11834" s="38">
        <v>23.693000000000001</v>
      </c>
      <c r="G11834" s="70">
        <f>IF(ISNUMBER(F11834),E11834*F11834,"")</f>
        <v>30.303346999999999</v>
      </c>
      <c r="H11834" s="46">
        <f>SUM(G11834:G11838)</f>
        <v>168.03609024999997</v>
      </c>
      <c r="I11834" s="47"/>
      <c r="J11834" s="37">
        <v>0</v>
      </c>
    </row>
    <row r="11835" spans="1:10" hidden="1" x14ac:dyDescent="0.25">
      <c r="A11835" s="179"/>
      <c r="B11835" s="177"/>
      <c r="C11835" s="43" t="s">
        <v>10757</v>
      </c>
      <c r="D11835" s="43" t="s">
        <v>2800</v>
      </c>
      <c r="E11835" s="44">
        <v>0.63900000000000001</v>
      </c>
      <c r="F11835" s="38">
        <v>31.055499999999995</v>
      </c>
      <c r="G11835" s="70">
        <f>IF(ISNUMBER(F11835),E11835*F11835,"")</f>
        <v>19.844464499999997</v>
      </c>
      <c r="H11835" s="71"/>
      <c r="I11835" s="72"/>
      <c r="J11835" s="37">
        <v>0</v>
      </c>
    </row>
    <row r="11836" spans="1:10" ht="38.25" hidden="1" x14ac:dyDescent="0.25">
      <c r="A11836" s="179"/>
      <c r="B11836" s="177"/>
      <c r="C11836" s="43" t="s">
        <v>11897</v>
      </c>
      <c r="D11836" s="43" t="s">
        <v>83</v>
      </c>
      <c r="E11836" s="44">
        <v>6.4375</v>
      </c>
      <c r="F11836" s="38">
        <v>16.7485</v>
      </c>
      <c r="G11836" s="70">
        <f>IF(ISNUMBER(F11836),E11836*F11836,"")</f>
        <v>107.81846874999999</v>
      </c>
      <c r="H11836" s="71"/>
      <c r="I11836" s="72"/>
      <c r="J11836" s="37">
        <v>0</v>
      </c>
    </row>
    <row r="11837" spans="1:10" hidden="1" x14ac:dyDescent="0.25">
      <c r="A11837" s="179"/>
      <c r="B11837" s="177"/>
      <c r="C11837" s="43" t="s">
        <v>10871</v>
      </c>
      <c r="D11837" s="43" t="s">
        <v>1044</v>
      </c>
      <c r="E11837" s="44">
        <v>0.24</v>
      </c>
      <c r="F11837" s="38">
        <v>3.4009999999999998</v>
      </c>
      <c r="G11837" s="70">
        <f>IF(ISNUMBER(F11837),E11837*F11837,"")</f>
        <v>0.81623999999999997</v>
      </c>
      <c r="H11837" s="71"/>
      <c r="I11837" s="72"/>
      <c r="J11837" s="37">
        <v>0</v>
      </c>
    </row>
    <row r="11838" spans="1:10" hidden="1" x14ac:dyDescent="0.25">
      <c r="A11838" s="179"/>
      <c r="B11838" s="177"/>
      <c r="C11838" s="43" t="s">
        <v>10870</v>
      </c>
      <c r="D11838" s="43" t="s">
        <v>1044</v>
      </c>
      <c r="E11838" s="44">
        <v>8.6199999999999992</v>
      </c>
      <c r="F11838" s="38">
        <v>1.0734999999999999</v>
      </c>
      <c r="G11838" s="70">
        <f>IF(ISNUMBER(F11838),E11838*F11838,"")</f>
        <v>9.2535699999999981</v>
      </c>
      <c r="H11838" s="71"/>
      <c r="I11838" s="72"/>
      <c r="J11838" s="37">
        <v>0</v>
      </c>
    </row>
    <row r="11839" spans="1:10" ht="15.75" hidden="1" thickBot="1" x14ac:dyDescent="0.3">
      <c r="A11839" s="180"/>
      <c r="B11839" s="178"/>
      <c r="C11839" s="49"/>
      <c r="D11839" s="63"/>
      <c r="E11839" s="50"/>
      <c r="F11839" s="83" t="s">
        <v>13</v>
      </c>
      <c r="G11839" s="83" t="str">
        <f>IF(ISNUMBER(F11839),E11839*F11839,"")</f>
        <v/>
      </c>
      <c r="H11839" s="84"/>
      <c r="I11839" s="72"/>
      <c r="J11839" s="37">
        <v>0</v>
      </c>
    </row>
    <row r="11840" spans="1:10" ht="15.75" hidden="1" customHeight="1" thickBot="1" x14ac:dyDescent="0.3">
      <c r="A11840" s="173" t="s">
        <v>2914</v>
      </c>
      <c r="B11840" s="176" t="s">
        <v>10526</v>
      </c>
      <c r="C11840" s="31"/>
      <c r="D11840" s="32" t="s">
        <v>1788</v>
      </c>
      <c r="E11840" s="33"/>
      <c r="F11840" s="60" t="s">
        <v>13</v>
      </c>
      <c r="G11840" s="34" t="str">
        <f>IF(ISNUMBER(F11840),E11840*F11840,"")</f>
        <v/>
      </c>
      <c r="H11840" s="35"/>
      <c r="I11840" s="36"/>
      <c r="J11840" s="37">
        <v>0</v>
      </c>
    </row>
    <row r="11841" spans="1:10" hidden="1" x14ac:dyDescent="0.25">
      <c r="A11841" s="179"/>
      <c r="B11841" s="177"/>
      <c r="C11841" s="39"/>
      <c r="D11841" s="39"/>
      <c r="E11841" s="40"/>
      <c r="F11841" s="70" t="s">
        <v>13</v>
      </c>
      <c r="G11841" s="70" t="str">
        <f>IF(ISNUMBER(F11841),E11841*F11841,"")</f>
        <v/>
      </c>
      <c r="H11841" s="71"/>
      <c r="I11841" s="72"/>
      <c r="J11841" s="37">
        <v>0</v>
      </c>
    </row>
    <row r="11842" spans="1:10" hidden="1" x14ac:dyDescent="0.25">
      <c r="A11842" s="179"/>
      <c r="B11842" s="177"/>
      <c r="C11842" s="43" t="s">
        <v>2915</v>
      </c>
      <c r="D11842" s="43" t="s">
        <v>1050</v>
      </c>
      <c r="E11842" s="44">
        <f>121.9294/318.6602/49.03</f>
        <v>7.8040262056544322E-3</v>
      </c>
      <c r="F11842" s="41" t="s">
        <v>13</v>
      </c>
      <c r="G11842" s="41" t="str">
        <f>IF(ISNUMBER(F11842),E11842*F11842,"")</f>
        <v/>
      </c>
      <c r="H11842" s="46">
        <f>SUM(G11842:G11849)</f>
        <v>1.4497042626963084</v>
      </c>
      <c r="I11842" s="47"/>
      <c r="J11842" s="37">
        <v>0</v>
      </c>
    </row>
    <row r="11843" spans="1:10" hidden="1" x14ac:dyDescent="0.25">
      <c r="A11843" s="179"/>
      <c r="B11843" s="177"/>
      <c r="C11843" s="43" t="s">
        <v>2916</v>
      </c>
      <c r="D11843" s="43" t="s">
        <v>1050</v>
      </c>
      <c r="E11843" s="44">
        <f>1/49.03</f>
        <v>2.0395676116663267E-2</v>
      </c>
      <c r="F11843" s="38" t="s">
        <v>13</v>
      </c>
      <c r="G11843" s="41" t="str">
        <f>IF(ISNUMBER(F11843),E11843*F11843,"")</f>
        <v/>
      </c>
      <c r="H11843" s="42"/>
      <c r="I11843" s="38"/>
      <c r="J11843" s="37">
        <v>0</v>
      </c>
    </row>
    <row r="11844" spans="1:10" hidden="1" x14ac:dyDescent="0.25">
      <c r="A11844" s="179"/>
      <c r="B11844" s="177"/>
      <c r="C11844" s="43" t="s">
        <v>2917</v>
      </c>
      <c r="D11844" s="43" t="s">
        <v>1050</v>
      </c>
      <c r="E11844" s="44">
        <f>157.2206/159.9533/49.03</f>
        <v>2.0047229012889814E-2</v>
      </c>
      <c r="F11844" s="38" t="s">
        <v>13</v>
      </c>
      <c r="G11844" s="41" t="str">
        <f>IF(ISNUMBER(F11844),E11844*F11844,"")</f>
        <v/>
      </c>
      <c r="H11844" s="42"/>
      <c r="I11844" s="38"/>
      <c r="J11844" s="37">
        <v>0</v>
      </c>
    </row>
    <row r="11845" spans="1:10" hidden="1" x14ac:dyDescent="0.25">
      <c r="A11845" s="179"/>
      <c r="B11845" s="177"/>
      <c r="C11845" s="43" t="s">
        <v>2918</v>
      </c>
      <c r="D11845" s="43" t="s">
        <v>1050</v>
      </c>
      <c r="E11845" s="44">
        <f>1/49.03</f>
        <v>2.0395676116663267E-2</v>
      </c>
      <c r="F11845" s="41" t="s">
        <v>13</v>
      </c>
      <c r="G11845" s="41" t="str">
        <f>IF(ISNUMBER(F11845),E11845*F11845,"")</f>
        <v/>
      </c>
      <c r="H11845" s="42"/>
      <c r="I11845" s="38"/>
      <c r="J11845" s="37">
        <v>0</v>
      </c>
    </row>
    <row r="11846" spans="1:10" hidden="1" x14ac:dyDescent="0.25">
      <c r="A11846" s="179"/>
      <c r="B11846" s="177"/>
      <c r="C11846" s="43" t="s">
        <v>10614</v>
      </c>
      <c r="D11846" s="43" t="s">
        <v>2800</v>
      </c>
      <c r="E11846" s="44">
        <f>3/49.03</f>
        <v>6.1187028349989799E-2</v>
      </c>
      <c r="F11846" s="41">
        <v>23.693000000000001</v>
      </c>
      <c r="G11846" s="41">
        <f>IF(ISNUMBER(F11846),E11846*F11846,"")</f>
        <v>1.4497042626963084</v>
      </c>
      <c r="H11846" s="42"/>
      <c r="I11846" s="38"/>
      <c r="J11846" s="37">
        <v>0</v>
      </c>
    </row>
    <row r="11847" spans="1:10" hidden="1" x14ac:dyDescent="0.25">
      <c r="A11847" s="179"/>
      <c r="B11847" s="177"/>
      <c r="C11847" s="43" t="s">
        <v>2919</v>
      </c>
      <c r="D11847" s="43" t="s">
        <v>83</v>
      </c>
      <c r="E11847" s="44">
        <v>0.64800000000000002</v>
      </c>
      <c r="F11847" s="41" t="s">
        <v>13</v>
      </c>
      <c r="G11847" s="70" t="str">
        <f>IF(ISNUMBER(F11847),E11847*F11847,"")</f>
        <v/>
      </c>
      <c r="H11847" s="42"/>
      <c r="I11847" s="38"/>
      <c r="J11847" s="37">
        <v>0</v>
      </c>
    </row>
    <row r="11848" spans="1:10" hidden="1" x14ac:dyDescent="0.25">
      <c r="A11848" s="179"/>
      <c r="B11848" s="177"/>
      <c r="C11848" s="43" t="s">
        <v>2920</v>
      </c>
      <c r="D11848" s="43" t="s">
        <v>83</v>
      </c>
      <c r="E11848" s="44">
        <v>1.1299999999999999E-3</v>
      </c>
      <c r="F11848" s="41" t="s">
        <v>13</v>
      </c>
      <c r="G11848" s="41" t="str">
        <f>IF(ISNUMBER(F11848),E11848*F11848,"")</f>
        <v/>
      </c>
      <c r="H11848" s="42"/>
      <c r="I11848" s="47"/>
      <c r="J11848" s="37">
        <v>0</v>
      </c>
    </row>
    <row r="11849" spans="1:10" hidden="1" x14ac:dyDescent="0.25">
      <c r="A11849" s="179"/>
      <c r="B11849" s="177"/>
      <c r="C11849" s="43" t="s">
        <v>2888</v>
      </c>
      <c r="D11849" s="6" t="s">
        <v>1050</v>
      </c>
      <c r="E11849" s="44">
        <f>2.4*522.0888/301.8567/117.67</f>
        <v>3.5276788806291676E-2</v>
      </c>
      <c r="F11849" s="41" t="s">
        <v>13</v>
      </c>
      <c r="G11849" s="41" t="str">
        <f>IF(ISNUMBER(F11849),E11849*F11849,"")</f>
        <v/>
      </c>
      <c r="H11849" s="42"/>
      <c r="I11849" s="38"/>
      <c r="J11849" s="37">
        <v>0</v>
      </c>
    </row>
    <row r="11850" spans="1:10" ht="15.75" hidden="1" thickBot="1" x14ac:dyDescent="0.3">
      <c r="A11850" s="180"/>
      <c r="B11850" s="178"/>
      <c r="C11850" s="108"/>
      <c r="D11850" s="108"/>
      <c r="E11850" s="109"/>
      <c r="F11850" s="83" t="s">
        <v>13</v>
      </c>
      <c r="G11850" s="83" t="str">
        <f>IF(ISNUMBER(F11850),E11850*F11850,"")</f>
        <v/>
      </c>
      <c r="H11850" s="84"/>
      <c r="I11850" s="72"/>
      <c r="J11850" s="37">
        <v>0</v>
      </c>
    </row>
    <row r="11851" spans="1:10" ht="15.75" hidden="1" thickBot="1" x14ac:dyDescent="0.3">
      <c r="A11851" s="173" t="s">
        <v>2921</v>
      </c>
      <c r="B11851" s="176" t="s">
        <v>10527</v>
      </c>
      <c r="C11851" s="31"/>
      <c r="D11851" s="32" t="s">
        <v>18</v>
      </c>
      <c r="E11851" s="33"/>
      <c r="F11851" s="54" t="s">
        <v>13</v>
      </c>
      <c r="G11851" s="34" t="str">
        <f>IF(ISNUMBER(F11851),E11851*F11851,"")</f>
        <v/>
      </c>
      <c r="H11851" s="35"/>
      <c r="I11851" s="36"/>
      <c r="J11851" s="37">
        <v>0</v>
      </c>
    </row>
    <row r="11852" spans="1:10" hidden="1" x14ac:dyDescent="0.25">
      <c r="A11852" s="174"/>
      <c r="B11852" s="177"/>
      <c r="C11852" s="39"/>
      <c r="D11852" s="39"/>
      <c r="E11852" s="40"/>
      <c r="F11852" s="55" t="s">
        <v>13</v>
      </c>
      <c r="G11852" s="41" t="str">
        <f>IF(ISNUMBER(F11852),E11852*F11852,"")</f>
        <v/>
      </c>
      <c r="H11852" s="42"/>
      <c r="I11852" s="38"/>
      <c r="J11852" s="37">
        <v>0</v>
      </c>
    </row>
    <row r="11853" spans="1:10" ht="38.25" hidden="1" x14ac:dyDescent="0.25">
      <c r="A11853" s="174"/>
      <c r="B11853" s="177"/>
      <c r="C11853" s="43" t="s">
        <v>581</v>
      </c>
      <c r="D11853" s="62" t="s">
        <v>87</v>
      </c>
      <c r="E11853" s="44">
        <v>1</v>
      </c>
      <c r="F11853" s="41" t="s">
        <v>13</v>
      </c>
      <c r="G11853" s="41" t="str">
        <f>IF(ISNUMBER(F11853),E11853*F11853,"")</f>
        <v/>
      </c>
      <c r="H11853" s="46">
        <f>SUM(G11853:G11855)</f>
        <v>41.312460000000002</v>
      </c>
      <c r="I11853" s="47"/>
      <c r="J11853" s="37">
        <v>0</v>
      </c>
    </row>
    <row r="11854" spans="1:10" ht="25.5" hidden="1" x14ac:dyDescent="0.25">
      <c r="A11854" s="174"/>
      <c r="B11854" s="177"/>
      <c r="C11854" s="43" t="s">
        <v>10774</v>
      </c>
      <c r="D11854" s="43" t="s">
        <v>2800</v>
      </c>
      <c r="E11854" s="44">
        <v>1.002</v>
      </c>
      <c r="F11854" s="38">
        <v>29.383499999999998</v>
      </c>
      <c r="G11854" s="41">
        <f>IF(ISNUMBER(F11854),E11854*F11854,"")</f>
        <v>29.442266999999998</v>
      </c>
      <c r="H11854" s="42"/>
      <c r="I11854" s="38"/>
      <c r="J11854" s="37">
        <v>0</v>
      </c>
    </row>
    <row r="11855" spans="1:10" hidden="1" x14ac:dyDescent="0.25">
      <c r="A11855" s="174"/>
      <c r="B11855" s="177"/>
      <c r="C11855" s="43" t="s">
        <v>10614</v>
      </c>
      <c r="D11855" s="43" t="s">
        <v>2800</v>
      </c>
      <c r="E11855" s="44">
        <v>0.501</v>
      </c>
      <c r="F11855" s="38">
        <v>23.693000000000001</v>
      </c>
      <c r="G11855" s="41">
        <f>IF(ISNUMBER(F11855),E11855*F11855,"")</f>
        <v>11.870193</v>
      </c>
      <c r="H11855" s="42"/>
      <c r="I11855" s="38"/>
      <c r="J11855" s="37">
        <v>0</v>
      </c>
    </row>
    <row r="11856" spans="1:10" ht="15.75" hidden="1" thickBot="1" x14ac:dyDescent="0.3">
      <c r="A11856" s="175"/>
      <c r="B11856" s="178"/>
      <c r="C11856" s="49"/>
      <c r="D11856" s="49"/>
      <c r="E11856" s="50"/>
      <c r="F11856" s="51" t="s">
        <v>13</v>
      </c>
      <c r="G11856" s="52" t="str">
        <f>IF(ISNUMBER(F11856),E11856*F11856,"")</f>
        <v/>
      </c>
      <c r="H11856" s="53"/>
      <c r="I11856" s="38"/>
      <c r="J11856" s="37">
        <v>0</v>
      </c>
    </row>
    <row r="11857" spans="1:10" ht="15.75" hidden="1" thickBot="1" x14ac:dyDescent="0.3">
      <c r="A11857" s="173" t="s">
        <v>2922</v>
      </c>
      <c r="B11857" s="176" t="s">
        <v>10528</v>
      </c>
      <c r="C11857" s="31"/>
      <c r="D11857" s="32" t="s">
        <v>18</v>
      </c>
      <c r="E11857" s="33"/>
      <c r="F11857" s="54" t="s">
        <v>13</v>
      </c>
      <c r="G11857" s="34" t="str">
        <f>IF(ISNUMBER(F11857),E11857*F11857,"")</f>
        <v/>
      </c>
      <c r="H11857" s="35"/>
      <c r="I11857" s="36"/>
      <c r="J11857" s="37">
        <v>0</v>
      </c>
    </row>
    <row r="11858" spans="1:10" hidden="1" x14ac:dyDescent="0.25">
      <c r="A11858" s="174"/>
      <c r="B11858" s="177"/>
      <c r="C11858" s="39"/>
      <c r="D11858" s="39"/>
      <c r="E11858" s="40"/>
      <c r="F11858" s="55" t="s">
        <v>13</v>
      </c>
      <c r="G11858" s="41" t="str">
        <f>IF(ISNUMBER(F11858),E11858*F11858,"")</f>
        <v/>
      </c>
      <c r="H11858" s="42"/>
      <c r="I11858" s="38"/>
      <c r="J11858" s="37">
        <v>0</v>
      </c>
    </row>
    <row r="11859" spans="1:10" ht="25.5" hidden="1" x14ac:dyDescent="0.25">
      <c r="A11859" s="174"/>
      <c r="B11859" s="177"/>
      <c r="C11859" s="43" t="s">
        <v>10774</v>
      </c>
      <c r="D11859" s="43" t="s">
        <v>2800</v>
      </c>
      <c r="E11859" s="44">
        <v>1.002</v>
      </c>
      <c r="F11859" s="38">
        <v>29.383499999999998</v>
      </c>
      <c r="G11859" s="41">
        <f>IF(ISNUMBER(F11859),E11859*F11859,"")</f>
        <v>29.442266999999998</v>
      </c>
      <c r="H11859" s="46">
        <f>SUM(G11859:G11860)</f>
        <v>41.312460000000002</v>
      </c>
      <c r="I11859" s="47"/>
      <c r="J11859" s="37">
        <v>0</v>
      </c>
    </row>
    <row r="11860" spans="1:10" hidden="1" x14ac:dyDescent="0.25">
      <c r="A11860" s="174"/>
      <c r="B11860" s="177"/>
      <c r="C11860" s="43" t="s">
        <v>10614</v>
      </c>
      <c r="D11860" s="43" t="s">
        <v>2800</v>
      </c>
      <c r="E11860" s="44">
        <v>0.501</v>
      </c>
      <c r="F11860" s="38">
        <v>23.693000000000001</v>
      </c>
      <c r="G11860" s="41">
        <f>IF(ISNUMBER(F11860),E11860*F11860,"")</f>
        <v>11.870193</v>
      </c>
      <c r="H11860" s="42"/>
      <c r="I11860" s="38"/>
      <c r="J11860" s="37">
        <v>0</v>
      </c>
    </row>
    <row r="11861" spans="1:10" ht="15.75" hidden="1" thickBot="1" x14ac:dyDescent="0.3">
      <c r="A11861" s="175"/>
      <c r="B11861" s="178"/>
      <c r="C11861" s="49"/>
      <c r="D11861" s="49"/>
      <c r="E11861" s="50"/>
      <c r="F11861" s="51" t="s">
        <v>13</v>
      </c>
      <c r="G11861" s="52" t="str">
        <f>IF(ISNUMBER(F11861),E11861*F11861,"")</f>
        <v/>
      </c>
      <c r="H11861" s="53"/>
      <c r="I11861" s="38"/>
      <c r="J11861" s="37">
        <v>0</v>
      </c>
    </row>
    <row r="11862" spans="1:10" ht="15.75" hidden="1" thickBot="1" x14ac:dyDescent="0.3">
      <c r="A11862" s="173" t="s">
        <v>2923</v>
      </c>
      <c r="B11862" s="176" t="s">
        <v>10529</v>
      </c>
      <c r="C11862" s="31"/>
      <c r="D11862" s="32" t="s">
        <v>18</v>
      </c>
      <c r="E11862" s="33"/>
      <c r="F11862" s="54" t="s">
        <v>13</v>
      </c>
      <c r="G11862" s="34" t="str">
        <f>IF(ISNUMBER(F11862),E11862*F11862,"")</f>
        <v/>
      </c>
      <c r="H11862" s="35"/>
      <c r="I11862" s="36"/>
      <c r="J11862" s="37">
        <v>0</v>
      </c>
    </row>
    <row r="11863" spans="1:10" hidden="1" x14ac:dyDescent="0.25">
      <c r="A11863" s="174"/>
      <c r="B11863" s="177"/>
      <c r="C11863" s="39"/>
      <c r="D11863" s="39"/>
      <c r="E11863" s="40"/>
      <c r="F11863" s="55" t="s">
        <v>13</v>
      </c>
      <c r="G11863" s="41" t="str">
        <f>IF(ISNUMBER(F11863),E11863*F11863,"")</f>
        <v/>
      </c>
      <c r="H11863" s="42"/>
      <c r="I11863" s="38"/>
      <c r="J11863" s="37">
        <v>0</v>
      </c>
    </row>
    <row r="11864" spans="1:10" ht="25.5" hidden="1" x14ac:dyDescent="0.25">
      <c r="A11864" s="174"/>
      <c r="B11864" s="177"/>
      <c r="C11864" s="43" t="s">
        <v>10981</v>
      </c>
      <c r="D11864" s="43" t="s">
        <v>83</v>
      </c>
      <c r="E11864" s="44">
        <v>1</v>
      </c>
      <c r="F11864" s="41">
        <v>27.378999999999998</v>
      </c>
      <c r="G11864" s="41">
        <f>IF(ISNUMBER(F11864),E11864*F11864,"")</f>
        <v>27.378999999999998</v>
      </c>
      <c r="H11864" s="46">
        <f>SUM(G11864:G11866)</f>
        <v>65.145679999999999</v>
      </c>
      <c r="I11864" s="47"/>
      <c r="J11864" s="37">
        <v>0</v>
      </c>
    </row>
    <row r="11865" spans="1:10" hidden="1" x14ac:dyDescent="0.25">
      <c r="A11865" s="174"/>
      <c r="B11865" s="177"/>
      <c r="C11865" s="43" t="s">
        <v>10614</v>
      </c>
      <c r="D11865" s="43" t="s">
        <v>2800</v>
      </c>
      <c r="E11865" s="44">
        <v>0.45800000000000002</v>
      </c>
      <c r="F11865" s="38">
        <v>23.693000000000001</v>
      </c>
      <c r="G11865" s="41">
        <f>IF(ISNUMBER(F11865),E11865*F11865,"")</f>
        <v>10.851394000000001</v>
      </c>
      <c r="H11865" s="42"/>
      <c r="I11865" s="38"/>
      <c r="J11865" s="37">
        <v>0</v>
      </c>
    </row>
    <row r="11866" spans="1:10" ht="25.5" hidden="1" x14ac:dyDescent="0.25">
      <c r="A11866" s="174"/>
      <c r="B11866" s="177"/>
      <c r="C11866" s="43" t="s">
        <v>10774</v>
      </c>
      <c r="D11866" s="43" t="s">
        <v>2800</v>
      </c>
      <c r="E11866" s="44">
        <v>0.91600000000000004</v>
      </c>
      <c r="F11866" s="38">
        <v>29.383499999999998</v>
      </c>
      <c r="G11866" s="41">
        <f>IF(ISNUMBER(F11866),E11866*F11866,"")</f>
        <v>26.915285999999998</v>
      </c>
      <c r="H11866" s="42"/>
      <c r="I11866" s="38"/>
      <c r="J11866" s="37">
        <v>0</v>
      </c>
    </row>
    <row r="11867" spans="1:10" ht="15.75" hidden="1" thickBot="1" x14ac:dyDescent="0.3">
      <c r="A11867" s="175"/>
      <c r="B11867" s="178"/>
      <c r="C11867" s="49"/>
      <c r="D11867" s="49"/>
      <c r="E11867" s="50"/>
      <c r="F11867" s="51" t="s">
        <v>13</v>
      </c>
      <c r="G11867" s="52" t="str">
        <f>IF(ISNUMBER(F11867),E11867*F11867,"")</f>
        <v/>
      </c>
      <c r="H11867" s="53"/>
      <c r="I11867" s="38"/>
      <c r="J11867" s="37">
        <v>0</v>
      </c>
    </row>
    <row r="11868" spans="1:10" ht="15.75" hidden="1" thickBot="1" x14ac:dyDescent="0.3">
      <c r="A11868" s="173" t="s">
        <v>2924</v>
      </c>
      <c r="B11868" s="176" t="s">
        <v>10530</v>
      </c>
      <c r="C11868" s="31"/>
      <c r="D11868" s="32" t="s">
        <v>18</v>
      </c>
      <c r="E11868" s="33"/>
      <c r="F11868" s="60" t="s">
        <v>13</v>
      </c>
      <c r="G11868" s="34" t="str">
        <f>IF(ISNUMBER(F11868),E11868*F11868,"")</f>
        <v/>
      </c>
      <c r="H11868" s="35"/>
      <c r="I11868" s="36"/>
      <c r="J11868" s="37">
        <v>0</v>
      </c>
    </row>
    <row r="11869" spans="1:10" hidden="1" x14ac:dyDescent="0.25">
      <c r="A11869" s="179"/>
      <c r="B11869" s="177"/>
      <c r="C11869" s="39"/>
      <c r="D11869" s="39"/>
      <c r="E11869" s="40"/>
      <c r="F11869" s="70" t="s">
        <v>13</v>
      </c>
      <c r="G11869" s="70" t="str">
        <f>IF(ISNUMBER(F11869),E11869*F11869,"")</f>
        <v/>
      </c>
      <c r="H11869" s="71"/>
      <c r="I11869" s="72"/>
      <c r="J11869" s="37">
        <v>0</v>
      </c>
    </row>
    <row r="11870" spans="1:10" hidden="1" x14ac:dyDescent="0.25">
      <c r="A11870" s="179"/>
      <c r="B11870" s="177"/>
      <c r="C11870" s="43" t="s">
        <v>2925</v>
      </c>
      <c r="D11870" s="43" t="s">
        <v>83</v>
      </c>
      <c r="E11870" s="44">
        <v>1</v>
      </c>
      <c r="F11870" s="38" t="s">
        <v>13</v>
      </c>
      <c r="G11870" s="70" t="str">
        <f>IF(ISNUMBER(F11870),E11870*F11870,"")</f>
        <v/>
      </c>
      <c r="H11870" s="46">
        <f>SUM(G11870:G11872)</f>
        <v>22.620846862500002</v>
      </c>
      <c r="I11870" s="47"/>
      <c r="J11870" s="37">
        <v>0</v>
      </c>
    </row>
    <row r="11871" spans="1:10" hidden="1" x14ac:dyDescent="0.25">
      <c r="A11871" s="179"/>
      <c r="B11871" s="177"/>
      <c r="C11871" s="43" t="s">
        <v>10762</v>
      </c>
      <c r="D11871" s="43" t="s">
        <v>2800</v>
      </c>
      <c r="E11871" s="44">
        <v>0.1801875</v>
      </c>
      <c r="F11871" s="38">
        <v>24.946999999999999</v>
      </c>
      <c r="G11871" s="70">
        <f>IF(ISNUMBER(F11871),E11871*F11871,"")</f>
        <v>4.4951375625000001</v>
      </c>
      <c r="H11871" s="71"/>
      <c r="I11871" s="72"/>
      <c r="J11871" s="37">
        <v>0</v>
      </c>
    </row>
    <row r="11872" spans="1:10" hidden="1" x14ac:dyDescent="0.25">
      <c r="A11872" s="179"/>
      <c r="B11872" s="177"/>
      <c r="C11872" s="43" t="s">
        <v>10763</v>
      </c>
      <c r="D11872" s="43" t="s">
        <v>2800</v>
      </c>
      <c r="E11872" s="44">
        <v>0.5766</v>
      </c>
      <c r="F11872" s="38">
        <v>31.435500000000001</v>
      </c>
      <c r="G11872" s="70">
        <f>IF(ISNUMBER(F11872),E11872*F11872,"")</f>
        <v>18.1257093</v>
      </c>
      <c r="H11872" s="71"/>
      <c r="I11872" s="72"/>
      <c r="J11872" s="37">
        <v>0</v>
      </c>
    </row>
    <row r="11873" spans="1:10" ht="15.75" hidden="1" thickBot="1" x14ac:dyDescent="0.3">
      <c r="A11873" s="180"/>
      <c r="B11873" s="178"/>
      <c r="C11873" s="49"/>
      <c r="D11873" s="63"/>
      <c r="E11873" s="50"/>
      <c r="F11873" s="83" t="s">
        <v>13</v>
      </c>
      <c r="G11873" s="83" t="str">
        <f>IF(ISNUMBER(F11873),E11873*F11873,"")</f>
        <v/>
      </c>
      <c r="H11873" s="84"/>
      <c r="I11873" s="72"/>
      <c r="J11873" s="37">
        <v>0</v>
      </c>
    </row>
    <row r="11874" spans="1:10" ht="15.75" hidden="1" thickBot="1" x14ac:dyDescent="0.3">
      <c r="A11874" s="173" t="s">
        <v>2926</v>
      </c>
      <c r="B11874" s="176" t="s">
        <v>10531</v>
      </c>
      <c r="C11874" s="31"/>
      <c r="D11874" s="32" t="s">
        <v>18</v>
      </c>
      <c r="E11874" s="33"/>
      <c r="F11874" s="60" t="s">
        <v>13</v>
      </c>
      <c r="G11874" s="34" t="str">
        <f>IF(ISNUMBER(F11874),E11874*F11874,"")</f>
        <v/>
      </c>
      <c r="H11874" s="35"/>
      <c r="I11874" s="36"/>
      <c r="J11874" s="37">
        <v>0</v>
      </c>
    </row>
    <row r="11875" spans="1:10" hidden="1" x14ac:dyDescent="0.25">
      <c r="A11875" s="179"/>
      <c r="B11875" s="177"/>
      <c r="C11875" s="39"/>
      <c r="D11875" s="39"/>
      <c r="E11875" s="40"/>
      <c r="F11875" s="70" t="s">
        <v>13</v>
      </c>
      <c r="G11875" s="70" t="str">
        <f>IF(ISNUMBER(F11875),E11875*F11875,"")</f>
        <v/>
      </c>
      <c r="H11875" s="71"/>
      <c r="I11875" s="72"/>
      <c r="J11875" s="37">
        <v>0</v>
      </c>
    </row>
    <row r="11876" spans="1:10" ht="25.5" hidden="1" x14ac:dyDescent="0.25">
      <c r="A11876" s="179"/>
      <c r="B11876" s="177"/>
      <c r="C11876" s="43" t="s">
        <v>10611</v>
      </c>
      <c r="D11876" s="43" t="s">
        <v>2800</v>
      </c>
      <c r="E11876" s="44">
        <v>40</v>
      </c>
      <c r="F11876" s="38">
        <v>142.75650000000002</v>
      </c>
      <c r="G11876" s="70">
        <f>IF(ISNUMBER(F11876),E11876*F11876,"")</f>
        <v>5710.26</v>
      </c>
      <c r="H11876" s="46">
        <f>SUM(G11876:G11878)</f>
        <v>6715.51</v>
      </c>
      <c r="I11876" s="47"/>
      <c r="J11876" s="37">
        <v>0</v>
      </c>
    </row>
    <row r="11877" spans="1:10" hidden="1" x14ac:dyDescent="0.25">
      <c r="A11877" s="179"/>
      <c r="B11877" s="177"/>
      <c r="C11877" s="43" t="s">
        <v>11202</v>
      </c>
      <c r="D11877" s="43" t="s">
        <v>2800</v>
      </c>
      <c r="E11877" s="44">
        <v>40</v>
      </c>
      <c r="F11877" s="38">
        <v>18.344499999999996</v>
      </c>
      <c r="G11877" s="70">
        <f>IF(ISNUMBER(F11877),E11877*F11877,"")</f>
        <v>733.77999999999986</v>
      </c>
      <c r="H11877" s="71"/>
      <c r="I11877" s="72"/>
      <c r="J11877" s="37">
        <v>0</v>
      </c>
    </row>
    <row r="11878" spans="1:10" hidden="1" x14ac:dyDescent="0.25">
      <c r="A11878" s="179"/>
      <c r="B11878" s="177"/>
      <c r="C11878" s="43" t="s">
        <v>17</v>
      </c>
      <c r="D11878" s="43" t="s">
        <v>83</v>
      </c>
      <c r="E11878" s="44">
        <v>1</v>
      </c>
      <c r="F11878" s="38">
        <v>271.47000000000003</v>
      </c>
      <c r="G11878" s="70">
        <f>IF(ISNUMBER(F11878),E11878*F11878,"")</f>
        <v>271.47000000000003</v>
      </c>
      <c r="H11878" s="71"/>
      <c r="I11878" s="72"/>
      <c r="J11878" s="37">
        <v>0</v>
      </c>
    </row>
    <row r="11879" spans="1:10" ht="15.75" hidden="1" thickBot="1" x14ac:dyDescent="0.3">
      <c r="A11879" s="180"/>
      <c r="B11879" s="178"/>
      <c r="C11879" s="49"/>
      <c r="D11879" s="63"/>
      <c r="E11879" s="50"/>
      <c r="F11879" s="83" t="s">
        <v>13</v>
      </c>
      <c r="G11879" s="83" t="str">
        <f>IF(ISNUMBER(F11879),E11879*F11879,"")</f>
        <v/>
      </c>
      <c r="H11879" s="84"/>
      <c r="I11879" s="72"/>
      <c r="J11879" s="37">
        <v>0</v>
      </c>
    </row>
    <row r="11880" spans="1:10" ht="15.75" hidden="1" thickBot="1" x14ac:dyDescent="0.3">
      <c r="A11880" s="173" t="s">
        <v>2927</v>
      </c>
      <c r="B11880" s="176" t="s">
        <v>10532</v>
      </c>
      <c r="C11880" s="31"/>
      <c r="D11880" s="32" t="s">
        <v>18</v>
      </c>
      <c r="E11880" s="33"/>
      <c r="F11880" s="60" t="s">
        <v>13</v>
      </c>
      <c r="G11880" s="34" t="str">
        <f>IF(ISNUMBER(F11880),E11880*F11880,"")</f>
        <v/>
      </c>
      <c r="H11880" s="35"/>
      <c r="I11880" s="36"/>
      <c r="J11880" s="37">
        <v>0</v>
      </c>
    </row>
    <row r="11881" spans="1:10" hidden="1" x14ac:dyDescent="0.25">
      <c r="A11881" s="179"/>
      <c r="B11881" s="177"/>
      <c r="C11881" s="39"/>
      <c r="D11881" s="39"/>
      <c r="E11881" s="40"/>
      <c r="F11881" s="70" t="s">
        <v>13</v>
      </c>
      <c r="G11881" s="70" t="str">
        <f>IF(ISNUMBER(F11881),E11881*F11881,"")</f>
        <v/>
      </c>
      <c r="H11881" s="71"/>
      <c r="I11881" s="72"/>
      <c r="J11881" s="37">
        <v>0</v>
      </c>
    </row>
    <row r="11882" spans="1:10" hidden="1" x14ac:dyDescent="0.25">
      <c r="A11882" s="179"/>
      <c r="B11882" s="177"/>
      <c r="C11882" s="43" t="s">
        <v>2928</v>
      </c>
      <c r="D11882" s="43" t="s">
        <v>83</v>
      </c>
      <c r="E11882" s="44">
        <v>1</v>
      </c>
      <c r="F11882" s="38" t="s">
        <v>13</v>
      </c>
      <c r="G11882" s="70" t="str">
        <f>IF(ISNUMBER(F11882),E11882*F11882,"")</f>
        <v/>
      </c>
      <c r="H11882" s="46">
        <f>SUM(G11882:G11884)</f>
        <v>57.842806750000001</v>
      </c>
      <c r="I11882" s="47"/>
      <c r="J11882" s="37">
        <v>0</v>
      </c>
    </row>
    <row r="11883" spans="1:10" hidden="1" x14ac:dyDescent="0.25">
      <c r="A11883" s="179"/>
      <c r="B11883" s="177"/>
      <c r="C11883" s="43" t="s">
        <v>10762</v>
      </c>
      <c r="D11883" s="43" t="s">
        <v>2800</v>
      </c>
      <c r="E11883" s="44">
        <v>1.0259</v>
      </c>
      <c r="F11883" s="38">
        <v>24.946999999999999</v>
      </c>
      <c r="G11883" s="70">
        <f>IF(ISNUMBER(F11883),E11883*F11883,"")</f>
        <v>25.593127299999999</v>
      </c>
      <c r="H11883" s="71"/>
      <c r="I11883" s="72"/>
      <c r="J11883" s="37">
        <v>0</v>
      </c>
    </row>
    <row r="11884" spans="1:10" hidden="1" x14ac:dyDescent="0.25">
      <c r="A11884" s="179"/>
      <c r="B11884" s="177"/>
      <c r="C11884" s="43" t="s">
        <v>10763</v>
      </c>
      <c r="D11884" s="43" t="s">
        <v>2800</v>
      </c>
      <c r="E11884" s="44">
        <v>1.0259</v>
      </c>
      <c r="F11884" s="38">
        <v>31.435500000000001</v>
      </c>
      <c r="G11884" s="70">
        <f>IF(ISNUMBER(F11884),E11884*F11884,"")</f>
        <v>32.249679450000002</v>
      </c>
      <c r="H11884" s="71"/>
      <c r="I11884" s="72"/>
      <c r="J11884" s="37">
        <v>0</v>
      </c>
    </row>
    <row r="11885" spans="1:10" ht="15.75" hidden="1" thickBot="1" x14ac:dyDescent="0.3">
      <c r="A11885" s="180"/>
      <c r="B11885" s="178"/>
      <c r="C11885" s="49"/>
      <c r="D11885" s="63"/>
      <c r="E11885" s="50"/>
      <c r="F11885" s="83" t="s">
        <v>13</v>
      </c>
      <c r="G11885" s="83" t="str">
        <f>IF(ISNUMBER(F11885),E11885*F11885,"")</f>
        <v/>
      </c>
      <c r="H11885" s="84"/>
      <c r="I11885" s="72"/>
      <c r="J11885" s="37">
        <v>0</v>
      </c>
    </row>
    <row r="11886" spans="1:10" ht="15.75" hidden="1" thickBot="1" x14ac:dyDescent="0.3">
      <c r="A11886" s="173" t="s">
        <v>2929</v>
      </c>
      <c r="B11886" s="176" t="s">
        <v>10533</v>
      </c>
      <c r="C11886" s="31"/>
      <c r="D11886" s="32" t="s">
        <v>18</v>
      </c>
      <c r="E11886" s="33"/>
      <c r="F11886" s="60" t="s">
        <v>13</v>
      </c>
      <c r="G11886" s="34" t="str">
        <f>IF(ISNUMBER(F11886),E11886*F11886,"")</f>
        <v/>
      </c>
      <c r="H11886" s="35"/>
      <c r="I11886" s="36"/>
      <c r="J11886" s="37">
        <v>0</v>
      </c>
    </row>
    <row r="11887" spans="1:10" hidden="1" x14ac:dyDescent="0.25">
      <c r="A11887" s="179"/>
      <c r="B11887" s="177"/>
      <c r="C11887" s="39"/>
      <c r="D11887" s="39"/>
      <c r="E11887" s="40"/>
      <c r="F11887" s="70" t="s">
        <v>13</v>
      </c>
      <c r="G11887" s="70" t="str">
        <f>IF(ISNUMBER(F11887),E11887*F11887,"")</f>
        <v/>
      </c>
      <c r="H11887" s="71"/>
      <c r="I11887" s="72"/>
      <c r="J11887" s="37">
        <v>0</v>
      </c>
    </row>
    <row r="11888" spans="1:10" hidden="1" x14ac:dyDescent="0.25">
      <c r="A11888" s="179"/>
      <c r="B11888" s="177"/>
      <c r="C11888" s="43" t="s">
        <v>2930</v>
      </c>
      <c r="D11888" s="43" t="s">
        <v>83</v>
      </c>
      <c r="E11888" s="44">
        <v>1</v>
      </c>
      <c r="F11888" s="38" t="s">
        <v>13</v>
      </c>
      <c r="G11888" s="70" t="str">
        <f>IF(ISNUMBER(F11888),E11888*F11888,"")</f>
        <v/>
      </c>
      <c r="H11888" s="46">
        <f>SUM(G11888:G11890)</f>
        <v>57.842806750000001</v>
      </c>
      <c r="I11888" s="47"/>
      <c r="J11888" s="37">
        <v>0</v>
      </c>
    </row>
    <row r="11889" spans="1:10" hidden="1" x14ac:dyDescent="0.25">
      <c r="A11889" s="179"/>
      <c r="B11889" s="177"/>
      <c r="C11889" s="43" t="s">
        <v>10762</v>
      </c>
      <c r="D11889" s="43" t="s">
        <v>2800</v>
      </c>
      <c r="E11889" s="44">
        <v>1.0259</v>
      </c>
      <c r="F11889" s="38">
        <v>24.946999999999999</v>
      </c>
      <c r="G11889" s="70">
        <f>IF(ISNUMBER(F11889),E11889*F11889,"")</f>
        <v>25.593127299999999</v>
      </c>
      <c r="H11889" s="71"/>
      <c r="I11889" s="72"/>
      <c r="J11889" s="37">
        <v>0</v>
      </c>
    </row>
    <row r="11890" spans="1:10" hidden="1" x14ac:dyDescent="0.25">
      <c r="A11890" s="179"/>
      <c r="B11890" s="177"/>
      <c r="C11890" s="43" t="s">
        <v>10763</v>
      </c>
      <c r="D11890" s="43" t="s">
        <v>2800</v>
      </c>
      <c r="E11890" s="44">
        <v>1.0259</v>
      </c>
      <c r="F11890" s="38">
        <v>31.435500000000001</v>
      </c>
      <c r="G11890" s="70">
        <f>IF(ISNUMBER(F11890),E11890*F11890,"")</f>
        <v>32.249679450000002</v>
      </c>
      <c r="H11890" s="71"/>
      <c r="I11890" s="72"/>
      <c r="J11890" s="37">
        <v>0</v>
      </c>
    </row>
    <row r="11891" spans="1:10" ht="15.75" hidden="1" thickBot="1" x14ac:dyDescent="0.3">
      <c r="A11891" s="180"/>
      <c r="B11891" s="178"/>
      <c r="C11891" s="49"/>
      <c r="D11891" s="63"/>
      <c r="E11891" s="50"/>
      <c r="F11891" s="83" t="s">
        <v>13</v>
      </c>
      <c r="G11891" s="83" t="str">
        <f>IF(ISNUMBER(F11891),E11891*F11891,"")</f>
        <v/>
      </c>
      <c r="H11891" s="84"/>
      <c r="I11891" s="72"/>
      <c r="J11891" s="37">
        <v>0</v>
      </c>
    </row>
    <row r="11892" spans="1:10" ht="15.75" hidden="1" thickBot="1" x14ac:dyDescent="0.3">
      <c r="A11892" s="173" t="s">
        <v>2931</v>
      </c>
      <c r="B11892" s="176" t="s">
        <v>10534</v>
      </c>
      <c r="C11892" s="31"/>
      <c r="D11892" s="32" t="s">
        <v>18</v>
      </c>
      <c r="E11892" s="33"/>
      <c r="F11892" s="60" t="s">
        <v>13</v>
      </c>
      <c r="G11892" s="34" t="str">
        <f>IF(ISNUMBER(F11892),E11892*F11892,"")</f>
        <v/>
      </c>
      <c r="H11892" s="35"/>
      <c r="I11892" s="36"/>
      <c r="J11892" s="37">
        <v>0</v>
      </c>
    </row>
    <row r="11893" spans="1:10" hidden="1" x14ac:dyDescent="0.25">
      <c r="A11893" s="179"/>
      <c r="B11893" s="177"/>
      <c r="C11893" s="39"/>
      <c r="D11893" s="39"/>
      <c r="E11893" s="40"/>
      <c r="F11893" s="70" t="s">
        <v>13</v>
      </c>
      <c r="G11893" s="70" t="str">
        <f>IF(ISNUMBER(F11893),E11893*F11893,"")</f>
        <v/>
      </c>
      <c r="H11893" s="71"/>
      <c r="I11893" s="72"/>
      <c r="J11893" s="37">
        <v>0</v>
      </c>
    </row>
    <row r="11894" spans="1:10" hidden="1" x14ac:dyDescent="0.25">
      <c r="A11894" s="179"/>
      <c r="B11894" s="177"/>
      <c r="C11894" s="43" t="s">
        <v>2932</v>
      </c>
      <c r="D11894" s="43" t="s">
        <v>83</v>
      </c>
      <c r="E11894" s="44">
        <v>1</v>
      </c>
      <c r="F11894" s="38" t="s">
        <v>13</v>
      </c>
      <c r="G11894" s="70" t="str">
        <f>IF(ISNUMBER(F11894),E11894*F11894,"")</f>
        <v/>
      </c>
      <c r="H11894" s="46">
        <f>SUM(G11894:G11896)</f>
        <v>25.176414086400001</v>
      </c>
      <c r="I11894" s="47"/>
      <c r="J11894" s="37">
        <v>0</v>
      </c>
    </row>
    <row r="11895" spans="1:10" hidden="1" x14ac:dyDescent="0.25">
      <c r="A11895" s="179"/>
      <c r="B11895" s="177"/>
      <c r="C11895" s="43" t="s">
        <v>10762</v>
      </c>
      <c r="D11895" s="43" t="s">
        <v>2800</v>
      </c>
      <c r="E11895" s="44">
        <v>0.200544</v>
      </c>
      <c r="F11895" s="38">
        <v>24.946999999999999</v>
      </c>
      <c r="G11895" s="70">
        <f>IF(ISNUMBER(F11895),E11895*F11895,"")</f>
        <v>5.0029711680000002</v>
      </c>
      <c r="H11895" s="71"/>
      <c r="I11895" s="72"/>
      <c r="J11895" s="37">
        <v>0</v>
      </c>
    </row>
    <row r="11896" spans="1:10" hidden="1" x14ac:dyDescent="0.25">
      <c r="A11896" s="179"/>
      <c r="B11896" s="177"/>
      <c r="C11896" s="43" t="s">
        <v>10763</v>
      </c>
      <c r="D11896" s="43" t="s">
        <v>2800</v>
      </c>
      <c r="E11896" s="44">
        <v>0.6417408</v>
      </c>
      <c r="F11896" s="38">
        <v>31.435500000000001</v>
      </c>
      <c r="G11896" s="70">
        <f>IF(ISNUMBER(F11896),E11896*F11896,"")</f>
        <v>20.173442918399999</v>
      </c>
      <c r="H11896" s="71"/>
      <c r="I11896" s="72"/>
      <c r="J11896" s="37">
        <v>0</v>
      </c>
    </row>
    <row r="11897" spans="1:10" ht="15.75" hidden="1" thickBot="1" x14ac:dyDescent="0.3">
      <c r="A11897" s="180"/>
      <c r="B11897" s="178"/>
      <c r="C11897" s="49"/>
      <c r="D11897" s="63"/>
      <c r="E11897" s="50"/>
      <c r="F11897" s="83" t="s">
        <v>13</v>
      </c>
      <c r="G11897" s="83" t="str">
        <f>IF(ISNUMBER(F11897),E11897*F11897,"")</f>
        <v/>
      </c>
      <c r="H11897" s="84"/>
      <c r="I11897" s="72"/>
      <c r="J11897" s="37">
        <v>0</v>
      </c>
    </row>
    <row r="11898" spans="1:10" ht="15.75" hidden="1" thickBot="1" x14ac:dyDescent="0.3">
      <c r="A11898" s="173" t="s">
        <v>2933</v>
      </c>
      <c r="B11898" s="176" t="s">
        <v>10535</v>
      </c>
      <c r="C11898" s="31"/>
      <c r="D11898" s="32" t="s">
        <v>18</v>
      </c>
      <c r="E11898" s="33"/>
      <c r="F11898" s="60" t="s">
        <v>13</v>
      </c>
      <c r="G11898" s="34" t="str">
        <f>IF(ISNUMBER(F11898),E11898*F11898,"")</f>
        <v/>
      </c>
      <c r="H11898" s="35"/>
      <c r="I11898" s="36"/>
      <c r="J11898" s="37">
        <v>0</v>
      </c>
    </row>
    <row r="11899" spans="1:10" hidden="1" x14ac:dyDescent="0.25">
      <c r="A11899" s="179"/>
      <c r="B11899" s="177"/>
      <c r="C11899" s="39"/>
      <c r="D11899" s="39"/>
      <c r="E11899" s="40"/>
      <c r="F11899" s="70" t="s">
        <v>13</v>
      </c>
      <c r="G11899" s="70" t="str">
        <f>IF(ISNUMBER(F11899),E11899*F11899,"")</f>
        <v/>
      </c>
      <c r="H11899" s="71"/>
      <c r="I11899" s="72"/>
      <c r="J11899" s="37">
        <v>0</v>
      </c>
    </row>
    <row r="11900" spans="1:10" hidden="1" x14ac:dyDescent="0.25">
      <c r="A11900" s="179"/>
      <c r="B11900" s="177"/>
      <c r="C11900" s="43" t="s">
        <v>2934</v>
      </c>
      <c r="D11900" s="43" t="s">
        <v>83</v>
      </c>
      <c r="E11900" s="44">
        <v>1</v>
      </c>
      <c r="F11900" s="38" t="s">
        <v>13</v>
      </c>
      <c r="G11900" s="70" t="str">
        <f>IF(ISNUMBER(F11900),E11900*F11900,"")</f>
        <v/>
      </c>
      <c r="H11900" s="46">
        <f>SUM(G11900:G11902)</f>
        <v>18.211233287500001</v>
      </c>
      <c r="I11900" s="47"/>
      <c r="J11900" s="37">
        <v>0</v>
      </c>
    </row>
    <row r="11901" spans="1:10" hidden="1" x14ac:dyDescent="0.25">
      <c r="A11901" s="179"/>
      <c r="B11901" s="177"/>
      <c r="C11901" s="43" t="s">
        <v>10762</v>
      </c>
      <c r="D11901" s="43" t="s">
        <v>2800</v>
      </c>
      <c r="E11901" s="44">
        <v>0.14506250000000001</v>
      </c>
      <c r="F11901" s="38">
        <v>24.946999999999999</v>
      </c>
      <c r="G11901" s="70">
        <f>IF(ISNUMBER(F11901),E11901*F11901,"")</f>
        <v>3.6188741875000003</v>
      </c>
      <c r="H11901" s="71"/>
      <c r="I11901" s="72"/>
      <c r="J11901" s="37">
        <v>0</v>
      </c>
    </row>
    <row r="11902" spans="1:10" hidden="1" x14ac:dyDescent="0.25">
      <c r="A11902" s="179"/>
      <c r="B11902" s="177"/>
      <c r="C11902" s="43" t="s">
        <v>10763</v>
      </c>
      <c r="D11902" s="43" t="s">
        <v>2800</v>
      </c>
      <c r="E11902" s="44">
        <v>0.4642</v>
      </c>
      <c r="F11902" s="38">
        <v>31.435500000000001</v>
      </c>
      <c r="G11902" s="70">
        <f>IF(ISNUMBER(F11902),E11902*F11902,"")</f>
        <v>14.592359100000001</v>
      </c>
      <c r="H11902" s="71"/>
      <c r="I11902" s="72"/>
      <c r="J11902" s="37">
        <v>0</v>
      </c>
    </row>
    <row r="11903" spans="1:10" ht="15.75" hidden="1" thickBot="1" x14ac:dyDescent="0.3">
      <c r="A11903" s="180"/>
      <c r="B11903" s="178"/>
      <c r="C11903" s="49"/>
      <c r="D11903" s="63"/>
      <c r="E11903" s="50"/>
      <c r="F11903" s="83" t="s">
        <v>13</v>
      </c>
      <c r="G11903" s="83" t="str">
        <f>IF(ISNUMBER(F11903),E11903*F11903,"")</f>
        <v/>
      </c>
      <c r="H11903" s="84"/>
      <c r="I11903" s="72"/>
      <c r="J11903" s="37">
        <v>0</v>
      </c>
    </row>
    <row r="11904" spans="1:10" ht="15.75" hidden="1" thickBot="1" x14ac:dyDescent="0.3">
      <c r="A11904" s="173" t="s">
        <v>2935</v>
      </c>
      <c r="B11904" s="176" t="s">
        <v>10536</v>
      </c>
      <c r="C11904" s="31"/>
      <c r="D11904" s="32" t="s">
        <v>18</v>
      </c>
      <c r="E11904" s="33"/>
      <c r="F11904" s="60" t="s">
        <v>13</v>
      </c>
      <c r="G11904" s="34" t="str">
        <f>IF(ISNUMBER(F11904),E11904*F11904,"")</f>
        <v/>
      </c>
      <c r="H11904" s="35"/>
      <c r="I11904" s="36"/>
      <c r="J11904" s="37">
        <v>0</v>
      </c>
    </row>
    <row r="11905" spans="1:10" hidden="1" x14ac:dyDescent="0.25">
      <c r="A11905" s="179"/>
      <c r="B11905" s="177"/>
      <c r="C11905" s="39"/>
      <c r="D11905" s="39"/>
      <c r="E11905" s="40"/>
      <c r="F11905" s="70" t="s">
        <v>13</v>
      </c>
      <c r="G11905" s="70" t="str">
        <f>IF(ISNUMBER(F11905),E11905*F11905,"")</f>
        <v/>
      </c>
      <c r="H11905" s="71"/>
      <c r="I11905" s="72"/>
      <c r="J11905" s="37">
        <v>0</v>
      </c>
    </row>
    <row r="11906" spans="1:10" hidden="1" x14ac:dyDescent="0.25">
      <c r="A11906" s="179"/>
      <c r="B11906" s="177"/>
      <c r="C11906" s="43" t="s">
        <v>2936</v>
      </c>
      <c r="D11906" s="43" t="s">
        <v>83</v>
      </c>
      <c r="E11906" s="44">
        <v>1</v>
      </c>
      <c r="F11906" s="38" t="s">
        <v>13</v>
      </c>
      <c r="G11906" s="70" t="str">
        <f>IF(ISNUMBER(F11906),E11906*F11906,"")</f>
        <v/>
      </c>
      <c r="H11906" s="46">
        <f>SUM(G11906:G11908)</f>
        <v>18.211233287500001</v>
      </c>
      <c r="I11906" s="47"/>
      <c r="J11906" s="37">
        <v>0</v>
      </c>
    </row>
    <row r="11907" spans="1:10" hidden="1" x14ac:dyDescent="0.25">
      <c r="A11907" s="179"/>
      <c r="B11907" s="177"/>
      <c r="C11907" s="43" t="s">
        <v>10762</v>
      </c>
      <c r="D11907" s="43" t="s">
        <v>2800</v>
      </c>
      <c r="E11907" s="44">
        <v>0.14506250000000001</v>
      </c>
      <c r="F11907" s="38">
        <v>24.946999999999999</v>
      </c>
      <c r="G11907" s="70">
        <f>IF(ISNUMBER(F11907),E11907*F11907,"")</f>
        <v>3.6188741875000003</v>
      </c>
      <c r="H11907" s="71"/>
      <c r="I11907" s="72"/>
      <c r="J11907" s="37">
        <v>0</v>
      </c>
    </row>
    <row r="11908" spans="1:10" hidden="1" x14ac:dyDescent="0.25">
      <c r="A11908" s="179"/>
      <c r="B11908" s="177"/>
      <c r="C11908" s="43" t="s">
        <v>10763</v>
      </c>
      <c r="D11908" s="43" t="s">
        <v>2800</v>
      </c>
      <c r="E11908" s="44">
        <v>0.4642</v>
      </c>
      <c r="F11908" s="38">
        <v>31.435500000000001</v>
      </c>
      <c r="G11908" s="70">
        <f>IF(ISNUMBER(F11908),E11908*F11908,"")</f>
        <v>14.592359100000001</v>
      </c>
      <c r="H11908" s="71"/>
      <c r="I11908" s="72"/>
      <c r="J11908" s="37">
        <v>0</v>
      </c>
    </row>
    <row r="11909" spans="1:10" ht="15.75" hidden="1" thickBot="1" x14ac:dyDescent="0.3">
      <c r="A11909" s="180"/>
      <c r="B11909" s="178"/>
      <c r="C11909" s="49"/>
      <c r="D11909" s="63"/>
      <c r="E11909" s="50"/>
      <c r="F11909" s="83" t="s">
        <v>13</v>
      </c>
      <c r="G11909" s="83" t="str">
        <f>IF(ISNUMBER(F11909),E11909*F11909,"")</f>
        <v/>
      </c>
      <c r="H11909" s="84"/>
      <c r="I11909" s="72"/>
      <c r="J11909" s="37">
        <v>0</v>
      </c>
    </row>
    <row r="11910" spans="1:10" ht="15.75" hidden="1" thickBot="1" x14ac:dyDescent="0.3">
      <c r="A11910" s="173" t="s">
        <v>2937</v>
      </c>
      <c r="B11910" s="176" t="s">
        <v>10537</v>
      </c>
      <c r="C11910" s="31"/>
      <c r="D11910" s="32" t="s">
        <v>106</v>
      </c>
      <c r="E11910" s="33"/>
      <c r="F11910" s="60" t="s">
        <v>13</v>
      </c>
      <c r="G11910" s="34" t="str">
        <f>IF(ISNUMBER(F11910),E11910*F11910,"")</f>
        <v/>
      </c>
      <c r="H11910" s="35"/>
      <c r="I11910" s="36"/>
      <c r="J11910" s="37">
        <v>0</v>
      </c>
    </row>
    <row r="11911" spans="1:10" hidden="1" x14ac:dyDescent="0.25">
      <c r="A11911" s="179"/>
      <c r="B11911" s="177"/>
      <c r="C11911" s="39"/>
      <c r="D11911" s="39"/>
      <c r="E11911" s="40"/>
      <c r="F11911" s="70" t="s">
        <v>13</v>
      </c>
      <c r="G11911" s="70" t="str">
        <f>IF(ISNUMBER(F11911),E11911*F11911,"")</f>
        <v/>
      </c>
      <c r="H11911" s="71"/>
      <c r="I11911" s="72"/>
      <c r="J11911" s="37">
        <v>0</v>
      </c>
    </row>
    <row r="11912" spans="1:10" hidden="1" x14ac:dyDescent="0.25">
      <c r="A11912" s="179"/>
      <c r="B11912" s="177"/>
      <c r="C11912" s="43" t="s">
        <v>2938</v>
      </c>
      <c r="D11912" s="43" t="s">
        <v>83</v>
      </c>
      <c r="E11912" s="44">
        <v>1.2434000000000001</v>
      </c>
      <c r="F11912" s="38" t="s">
        <v>13</v>
      </c>
      <c r="G11912" s="70" t="str">
        <f>IF(ISNUMBER(F11912),E11912*F11912,"")</f>
        <v/>
      </c>
      <c r="H11912" s="46">
        <f>SUM(G11912:G11914)</f>
        <v>2.8755074999999994</v>
      </c>
      <c r="I11912" s="47"/>
      <c r="J11912" s="37">
        <v>0</v>
      </c>
    </row>
    <row r="11913" spans="1:10" hidden="1" x14ac:dyDescent="0.25">
      <c r="A11913" s="179"/>
      <c r="B11913" s="177"/>
      <c r="C11913" s="43" t="s">
        <v>10762</v>
      </c>
      <c r="D11913" s="43" t="s">
        <v>2800</v>
      </c>
      <c r="E11913" s="44">
        <v>5.0999999999999997E-2</v>
      </c>
      <c r="F11913" s="38">
        <v>24.946999999999999</v>
      </c>
      <c r="G11913" s="70">
        <f>IF(ISNUMBER(F11913),E11913*F11913,"")</f>
        <v>1.2722969999999998</v>
      </c>
      <c r="H11913" s="71"/>
      <c r="I11913" s="72"/>
      <c r="J11913" s="37">
        <v>0</v>
      </c>
    </row>
    <row r="11914" spans="1:10" hidden="1" x14ac:dyDescent="0.25">
      <c r="A11914" s="179"/>
      <c r="B11914" s="177"/>
      <c r="C11914" s="43" t="s">
        <v>10763</v>
      </c>
      <c r="D11914" s="43" t="s">
        <v>2800</v>
      </c>
      <c r="E11914" s="44">
        <v>5.0999999999999997E-2</v>
      </c>
      <c r="F11914" s="38">
        <v>31.435500000000001</v>
      </c>
      <c r="G11914" s="70">
        <f>IF(ISNUMBER(F11914),E11914*F11914,"")</f>
        <v>1.6032104999999999</v>
      </c>
      <c r="H11914" s="71"/>
      <c r="I11914" s="72"/>
      <c r="J11914" s="37">
        <v>0</v>
      </c>
    </row>
    <row r="11915" spans="1:10" ht="15.75" hidden="1" thickBot="1" x14ac:dyDescent="0.3">
      <c r="A11915" s="180"/>
      <c r="B11915" s="178"/>
      <c r="C11915" s="49"/>
      <c r="D11915" s="63"/>
      <c r="E11915" s="50"/>
      <c r="F11915" s="83" t="s">
        <v>13</v>
      </c>
      <c r="G11915" s="83" t="str">
        <f>IF(ISNUMBER(F11915),E11915*F11915,"")</f>
        <v/>
      </c>
      <c r="H11915" s="84"/>
      <c r="I11915" s="72"/>
      <c r="J11915" s="37">
        <v>0</v>
      </c>
    </row>
    <row r="11916" spans="1:10" ht="15.75" hidden="1" thickBot="1" x14ac:dyDescent="0.3">
      <c r="A11916" s="173" t="s">
        <v>2939</v>
      </c>
      <c r="B11916" s="176" t="s">
        <v>10538</v>
      </c>
      <c r="C11916" s="31"/>
      <c r="D11916" s="32" t="s">
        <v>68</v>
      </c>
      <c r="E11916" s="33"/>
      <c r="F11916" s="60" t="s">
        <v>13</v>
      </c>
      <c r="G11916" s="34" t="str">
        <f>IF(ISNUMBER(F11916),E11916*F11916,"")</f>
        <v/>
      </c>
      <c r="H11916" s="35"/>
      <c r="I11916" s="36"/>
      <c r="J11916" s="37">
        <v>0</v>
      </c>
    </row>
    <row r="11917" spans="1:10" hidden="1" x14ac:dyDescent="0.25">
      <c r="A11917" s="179"/>
      <c r="B11917" s="177"/>
      <c r="C11917" s="39"/>
      <c r="D11917" s="39"/>
      <c r="E11917" s="40"/>
      <c r="F11917" s="70" t="s">
        <v>13</v>
      </c>
      <c r="G11917" s="70" t="str">
        <f>IF(ISNUMBER(F11917),E11917*F11917,"")</f>
        <v/>
      </c>
      <c r="H11917" s="71"/>
      <c r="I11917" s="72"/>
      <c r="J11917" s="37">
        <v>0</v>
      </c>
    </row>
    <row r="11918" spans="1:10" hidden="1" x14ac:dyDescent="0.25">
      <c r="A11918" s="179"/>
      <c r="B11918" s="177"/>
      <c r="C11918" s="43" t="s">
        <v>10667</v>
      </c>
      <c r="D11918" s="43" t="s">
        <v>1044</v>
      </c>
      <c r="E11918" s="44">
        <v>7.2</v>
      </c>
      <c r="F11918" s="38">
        <v>6.3839999999999995</v>
      </c>
      <c r="G11918" s="70">
        <f>IF(ISNUMBER(F11918),E11918*F11918,"")</f>
        <v>45.964799999999997</v>
      </c>
      <c r="H11918" s="46">
        <f>SUM(G11918:G11924)</f>
        <v>503.40088209295004</v>
      </c>
      <c r="I11918" s="47"/>
      <c r="J11918" s="37">
        <v>0</v>
      </c>
    </row>
    <row r="11919" spans="1:10" ht="38.25" hidden="1" x14ac:dyDescent="0.25">
      <c r="A11919" s="179"/>
      <c r="B11919" s="177"/>
      <c r="C11919" s="43" t="s">
        <v>10736</v>
      </c>
      <c r="D11919" s="43" t="s">
        <v>2880</v>
      </c>
      <c r="E11919" s="44">
        <v>0.12</v>
      </c>
      <c r="F11919" s="41">
        <v>666.91287694125003</v>
      </c>
      <c r="G11919" s="41">
        <f>IF(ISNUMBER(F11919),E11919*F11919,"")</f>
        <v>80.029545232949999</v>
      </c>
      <c r="H11919" s="42"/>
      <c r="I11919" s="38"/>
      <c r="J11919" s="37">
        <v>0</v>
      </c>
    </row>
    <row r="11920" spans="1:10" hidden="1" x14ac:dyDescent="0.25">
      <c r="A11920" s="179"/>
      <c r="B11920" s="177"/>
      <c r="C11920" s="43" t="s">
        <v>10748</v>
      </c>
      <c r="D11920" s="43" t="s">
        <v>1044</v>
      </c>
      <c r="E11920" s="44">
        <v>7.2</v>
      </c>
      <c r="F11920" s="38">
        <v>9.0243635000000015</v>
      </c>
      <c r="G11920" s="70">
        <f>IF(ISNUMBER(F11920),E11920*F11920,"")</f>
        <v>64.97541720000001</v>
      </c>
      <c r="H11920" s="57"/>
      <c r="I11920" s="47"/>
      <c r="J11920" s="37">
        <v>0</v>
      </c>
    </row>
    <row r="11921" spans="1:10" ht="51" hidden="1" x14ac:dyDescent="0.25">
      <c r="A11921" s="179"/>
      <c r="B11921" s="177"/>
      <c r="C11921" s="43" t="s">
        <v>10749</v>
      </c>
      <c r="D11921" s="43" t="s">
        <v>162</v>
      </c>
      <c r="E11921" s="44">
        <v>1.48</v>
      </c>
      <c r="F11921" s="38">
        <v>160.91248200000001</v>
      </c>
      <c r="G11921" s="70">
        <f>IF(ISNUMBER(F11921),E11921*F11921,"")</f>
        <v>238.15047336000001</v>
      </c>
      <c r="H11921" s="57"/>
      <c r="I11921" s="47"/>
      <c r="J11921" s="37">
        <v>0</v>
      </c>
    </row>
    <row r="11922" spans="1:10" ht="38.25" hidden="1" x14ac:dyDescent="0.25">
      <c r="A11922" s="179"/>
      <c r="B11922" s="177"/>
      <c r="C11922" s="43" t="s">
        <v>11898</v>
      </c>
      <c r="D11922" s="43" t="s">
        <v>1050</v>
      </c>
      <c r="E11922" s="44">
        <v>0.14000000000000001</v>
      </c>
      <c r="F11922" s="38">
        <v>206.37799999999999</v>
      </c>
      <c r="G11922" s="70">
        <f>IF(ISNUMBER(F11922),E11922*F11922,"")</f>
        <v>28.89292</v>
      </c>
      <c r="H11922" s="57"/>
      <c r="I11922" s="47"/>
      <c r="J11922" s="37">
        <v>0</v>
      </c>
    </row>
    <row r="11923" spans="1:10" ht="38.25" hidden="1" x14ac:dyDescent="0.25">
      <c r="A11923" s="179"/>
      <c r="B11923" s="177"/>
      <c r="C11923" s="43" t="s">
        <v>11899</v>
      </c>
      <c r="D11923" s="43" t="s">
        <v>10677</v>
      </c>
      <c r="E11923" s="44">
        <v>0.06</v>
      </c>
      <c r="F11923" s="38">
        <v>99.474499999999992</v>
      </c>
      <c r="G11923" s="70">
        <f>IF(ISNUMBER(F11923),E11923*F11923,"")</f>
        <v>5.9684699999999991</v>
      </c>
      <c r="H11923" s="57"/>
      <c r="I11923" s="47"/>
      <c r="J11923" s="37">
        <v>0</v>
      </c>
    </row>
    <row r="11924" spans="1:10" ht="25.5" hidden="1" x14ac:dyDescent="0.25">
      <c r="A11924" s="179"/>
      <c r="B11924" s="177"/>
      <c r="C11924" s="43" t="s">
        <v>10695</v>
      </c>
      <c r="D11924" s="43" t="s">
        <v>2880</v>
      </c>
      <c r="E11924" s="44">
        <v>0.12</v>
      </c>
      <c r="F11924" s="38">
        <v>328.49380250000002</v>
      </c>
      <c r="G11924" s="70">
        <f>IF(ISNUMBER(F11924),E11924*F11924,"")</f>
        <v>39.419256300000001</v>
      </c>
      <c r="H11924" s="57"/>
      <c r="I11924" s="47"/>
      <c r="J11924" s="37">
        <v>0</v>
      </c>
    </row>
    <row r="11925" spans="1:10" ht="15.75" hidden="1" thickBot="1" x14ac:dyDescent="0.3">
      <c r="A11925" s="180"/>
      <c r="B11925" s="178"/>
      <c r="C11925" s="49"/>
      <c r="D11925" s="63"/>
      <c r="E11925" s="50"/>
      <c r="F11925" s="83" t="s">
        <v>13</v>
      </c>
      <c r="G11925" s="83" t="str">
        <f>IF(ISNUMBER(F11925),E11925*F11925,"")</f>
        <v/>
      </c>
      <c r="H11925" s="84"/>
      <c r="I11925" s="72"/>
      <c r="J11925" s="37">
        <v>0</v>
      </c>
    </row>
    <row r="11926" spans="1:10" ht="15.75" hidden="1" thickBot="1" x14ac:dyDescent="0.3">
      <c r="A11926" s="173" t="s">
        <v>2940</v>
      </c>
      <c r="B11926" s="176" t="s">
        <v>5503</v>
      </c>
      <c r="C11926" s="31"/>
      <c r="D11926" s="32" t="s">
        <v>18</v>
      </c>
      <c r="E11926" s="33"/>
      <c r="F11926" s="54" t="s">
        <v>13</v>
      </c>
      <c r="G11926" s="34" t="str">
        <f>IF(ISNUMBER(F11926),E11926*F11926,"")</f>
        <v/>
      </c>
      <c r="H11926" s="35"/>
      <c r="I11926" s="36"/>
      <c r="J11926" s="37">
        <v>0</v>
      </c>
    </row>
    <row r="11927" spans="1:10" hidden="1" x14ac:dyDescent="0.25">
      <c r="A11927" s="174"/>
      <c r="B11927" s="177"/>
      <c r="C11927" s="39"/>
      <c r="D11927" s="39"/>
      <c r="E11927" s="40"/>
      <c r="F11927" s="55" t="s">
        <v>13</v>
      </c>
      <c r="G11927" s="38" t="str">
        <f>IF(ISNUMBER(F11927),E11927*F11927,"")</f>
        <v/>
      </c>
      <c r="H11927" s="42"/>
      <c r="I11927" s="38"/>
      <c r="J11927" s="37">
        <v>0</v>
      </c>
    </row>
    <row r="11928" spans="1:10" hidden="1" x14ac:dyDescent="0.25">
      <c r="A11928" s="174"/>
      <c r="B11928" s="177"/>
      <c r="C11928" s="43" t="s">
        <v>10763</v>
      </c>
      <c r="D11928" s="43" t="s">
        <v>2800</v>
      </c>
      <c r="E11928" s="44">
        <v>0.18920000000000001</v>
      </c>
      <c r="F11928" s="38">
        <v>31.435500000000001</v>
      </c>
      <c r="G11928" s="41">
        <f>IF(ISNUMBER(F11928),E11928*F11928,"")</f>
        <v>5.9475966000000007</v>
      </c>
      <c r="H11928" s="46">
        <f>SUM(G11928:G11931)</f>
        <v>12.814569000000001</v>
      </c>
      <c r="I11928" s="47"/>
      <c r="J11928" s="37">
        <v>0</v>
      </c>
    </row>
    <row r="11929" spans="1:10" hidden="1" x14ac:dyDescent="0.25">
      <c r="A11929" s="174"/>
      <c r="B11929" s="177"/>
      <c r="C11929" s="43" t="s">
        <v>10762</v>
      </c>
      <c r="D11929" s="43" t="s">
        <v>2800</v>
      </c>
      <c r="E11929" s="44">
        <v>0.18920000000000001</v>
      </c>
      <c r="F11929" s="38">
        <v>24.946999999999999</v>
      </c>
      <c r="G11929" s="41">
        <f>IF(ISNUMBER(F11929),E11929*F11929,"")</f>
        <v>4.7199723999999996</v>
      </c>
      <c r="H11929" s="42"/>
      <c r="I11929" s="38"/>
      <c r="J11929" s="37">
        <v>0</v>
      </c>
    </row>
    <row r="11930" spans="1:10" ht="25.5" hidden="1" x14ac:dyDescent="0.25">
      <c r="A11930" s="174"/>
      <c r="B11930" s="177"/>
      <c r="C11930" s="43" t="s">
        <v>2941</v>
      </c>
      <c r="D11930" s="43" t="s">
        <v>83</v>
      </c>
      <c r="E11930" s="44">
        <v>1</v>
      </c>
      <c r="F11930" s="38" t="s">
        <v>13</v>
      </c>
      <c r="G11930" s="41" t="str">
        <f>IF(ISNUMBER(F11930),E11930*F11930,"")</f>
        <v/>
      </c>
      <c r="H11930" s="42"/>
      <c r="I11930" s="38"/>
      <c r="J11930" s="37">
        <v>0</v>
      </c>
    </row>
    <row r="11931" spans="1:10" ht="25.5" hidden="1" x14ac:dyDescent="0.25">
      <c r="A11931" s="174"/>
      <c r="B11931" s="177"/>
      <c r="C11931" s="43" t="s">
        <v>11900</v>
      </c>
      <c r="D11931" s="43" t="s">
        <v>83</v>
      </c>
      <c r="E11931" s="44">
        <v>1</v>
      </c>
      <c r="F11931" s="38">
        <v>2.1469999999999998</v>
      </c>
      <c r="G11931" s="41">
        <f>IF(ISNUMBER(F11931),E11931*F11931,"")</f>
        <v>2.1469999999999998</v>
      </c>
      <c r="H11931" s="42"/>
      <c r="I11931" s="38"/>
      <c r="J11931" s="37">
        <v>0</v>
      </c>
    </row>
    <row r="11932" spans="1:10" ht="15.75" hidden="1" thickBot="1" x14ac:dyDescent="0.3">
      <c r="A11932" s="175"/>
      <c r="B11932" s="178"/>
      <c r="C11932" s="49"/>
      <c r="D11932" s="49"/>
      <c r="E11932" s="50"/>
      <c r="F11932" s="51" t="s">
        <v>13</v>
      </c>
      <c r="G11932" s="51" t="str">
        <f>IF(ISNUMBER(F11932),E11932*F11932,"")</f>
        <v/>
      </c>
      <c r="H11932" s="53"/>
      <c r="I11932" s="38"/>
      <c r="J11932" s="37">
        <v>0</v>
      </c>
    </row>
    <row r="11933" spans="1:10" ht="15.75" hidden="1" thickBot="1" x14ac:dyDescent="0.3">
      <c r="A11933" s="173" t="s">
        <v>2942</v>
      </c>
      <c r="B11933" s="176" t="s">
        <v>5838</v>
      </c>
      <c r="C11933" s="31"/>
      <c r="D11933" s="32" t="s">
        <v>106</v>
      </c>
      <c r="E11933" s="33"/>
      <c r="F11933" s="60" t="s">
        <v>13</v>
      </c>
      <c r="G11933" s="34" t="str">
        <f>IF(ISNUMBER(F11933),E11933*F11933,"")</f>
        <v/>
      </c>
      <c r="H11933" s="35"/>
      <c r="I11933" s="36"/>
      <c r="J11933" s="37">
        <v>0</v>
      </c>
    </row>
    <row r="11934" spans="1:10" hidden="1" x14ac:dyDescent="0.25">
      <c r="A11934" s="179"/>
      <c r="B11934" s="177"/>
      <c r="C11934" s="39"/>
      <c r="D11934" s="39"/>
      <c r="E11934" s="40"/>
      <c r="F11934" s="70" t="s">
        <v>13</v>
      </c>
      <c r="G11934" s="70" t="str">
        <f>IF(ISNUMBER(F11934),E11934*F11934,"")</f>
        <v/>
      </c>
      <c r="H11934" s="71"/>
      <c r="I11934" s="72"/>
      <c r="J11934" s="37">
        <v>0</v>
      </c>
    </row>
    <row r="11935" spans="1:10" hidden="1" x14ac:dyDescent="0.25">
      <c r="A11935" s="179"/>
      <c r="B11935" s="177"/>
      <c r="C11935" s="43" t="s">
        <v>10763</v>
      </c>
      <c r="D11935" s="43" t="s">
        <v>2800</v>
      </c>
      <c r="E11935" s="44">
        <v>0.16200000000000001</v>
      </c>
      <c r="F11935" s="38">
        <v>31.435500000000001</v>
      </c>
      <c r="G11935" s="70">
        <f>IF(ISNUMBER(F11935),E11935*F11935,"")</f>
        <v>5.0925510000000003</v>
      </c>
      <c r="H11935" s="46">
        <f>SUM(G11935:G11937)</f>
        <v>22.524803999999996</v>
      </c>
      <c r="I11935" s="47"/>
      <c r="J11935" s="37">
        <v>0</v>
      </c>
    </row>
    <row r="11936" spans="1:10" hidden="1" x14ac:dyDescent="0.25">
      <c r="A11936" s="179"/>
      <c r="B11936" s="177"/>
      <c r="C11936" s="43" t="s">
        <v>10762</v>
      </c>
      <c r="D11936" s="43" t="s">
        <v>2800</v>
      </c>
      <c r="E11936" s="44">
        <v>0.16200000000000001</v>
      </c>
      <c r="F11936" s="38">
        <v>24.946999999999999</v>
      </c>
      <c r="G11936" s="70">
        <f>IF(ISNUMBER(F11936),E11936*F11936,"")</f>
        <v>4.0414139999999996</v>
      </c>
      <c r="H11936" s="71"/>
      <c r="I11936" s="72"/>
      <c r="J11936" s="37">
        <v>0</v>
      </c>
    </row>
    <row r="11937" spans="1:10" hidden="1" x14ac:dyDescent="0.25">
      <c r="A11937" s="179"/>
      <c r="B11937" s="177"/>
      <c r="C11937" s="43" t="s">
        <v>11280</v>
      </c>
      <c r="D11937" s="43" t="s">
        <v>1302</v>
      </c>
      <c r="E11937" s="44">
        <v>1.0169999999999999</v>
      </c>
      <c r="F11937" s="38">
        <v>13.166999999999998</v>
      </c>
      <c r="G11937" s="70">
        <f>IF(ISNUMBER(F11937),E11937*F11937,"")</f>
        <v>13.390838999999996</v>
      </c>
      <c r="H11937" s="71"/>
      <c r="I11937" s="72"/>
      <c r="J11937" s="37">
        <v>0</v>
      </c>
    </row>
    <row r="11938" spans="1:10" ht="15.75" hidden="1" thickBot="1" x14ac:dyDescent="0.3">
      <c r="A11938" s="180"/>
      <c r="B11938" s="178"/>
      <c r="C11938" s="49"/>
      <c r="D11938" s="63"/>
      <c r="E11938" s="50"/>
      <c r="F11938" s="83" t="s">
        <v>13</v>
      </c>
      <c r="G11938" s="83" t="str">
        <f>IF(ISNUMBER(F11938),E11938*F11938,"")</f>
        <v/>
      </c>
      <c r="H11938" s="84"/>
      <c r="I11938" s="72"/>
      <c r="J11938" s="37">
        <v>0</v>
      </c>
    </row>
    <row r="11939" spans="1:10" ht="15.75" hidden="1" thickBot="1" x14ac:dyDescent="0.3">
      <c r="A11939" s="173" t="s">
        <v>2943</v>
      </c>
      <c r="B11939" s="176" t="s">
        <v>10543</v>
      </c>
      <c r="C11939" s="31"/>
      <c r="D11939" s="32" t="s">
        <v>106</v>
      </c>
      <c r="E11939" s="33"/>
      <c r="F11939" s="60" t="s">
        <v>13</v>
      </c>
      <c r="G11939" s="34" t="str">
        <f>IF(ISNUMBER(F11939),E11939*F11939,"")</f>
        <v/>
      </c>
      <c r="H11939" s="35"/>
      <c r="I11939" s="36"/>
      <c r="J11939" s="37">
        <v>0</v>
      </c>
    </row>
    <row r="11940" spans="1:10" hidden="1" x14ac:dyDescent="0.25">
      <c r="A11940" s="179"/>
      <c r="B11940" s="177"/>
      <c r="C11940" s="39"/>
      <c r="D11940" s="39"/>
      <c r="E11940" s="40"/>
      <c r="F11940" s="70" t="s">
        <v>13</v>
      </c>
      <c r="G11940" s="70" t="str">
        <f>IF(ISNUMBER(F11940),E11940*F11940,"")</f>
        <v/>
      </c>
      <c r="H11940" s="71"/>
      <c r="I11940" s="72"/>
      <c r="J11940" s="37">
        <v>0</v>
      </c>
    </row>
    <row r="11941" spans="1:10" hidden="1" x14ac:dyDescent="0.25">
      <c r="A11941" s="179"/>
      <c r="B11941" s="177"/>
      <c r="C11941" s="43" t="s">
        <v>10763</v>
      </c>
      <c r="D11941" s="43" t="s">
        <v>2800</v>
      </c>
      <c r="E11941" s="44">
        <v>0.5</v>
      </c>
      <c r="F11941" s="38">
        <v>31.435500000000001</v>
      </c>
      <c r="G11941" s="70">
        <f>IF(ISNUMBER(F11941),E11941*F11941,"")</f>
        <v>15.717750000000001</v>
      </c>
      <c r="H11941" s="46">
        <f>SUM(G11941:G11943)</f>
        <v>28.19125</v>
      </c>
      <c r="I11941" s="47"/>
      <c r="J11941" s="37">
        <v>0</v>
      </c>
    </row>
    <row r="11942" spans="1:10" hidden="1" x14ac:dyDescent="0.25">
      <c r="A11942" s="179"/>
      <c r="B11942" s="177"/>
      <c r="C11942" s="43" t="s">
        <v>10762</v>
      </c>
      <c r="D11942" s="43" t="s">
        <v>2800</v>
      </c>
      <c r="E11942" s="44">
        <v>0.5</v>
      </c>
      <c r="F11942" s="38">
        <v>24.946999999999999</v>
      </c>
      <c r="G11942" s="70">
        <f>IF(ISNUMBER(F11942),E11942*F11942,"")</f>
        <v>12.4735</v>
      </c>
      <c r="H11942" s="71"/>
      <c r="I11942" s="72"/>
      <c r="J11942" s="37">
        <v>0</v>
      </c>
    </row>
    <row r="11943" spans="1:10" hidden="1" x14ac:dyDescent="0.25">
      <c r="A11943" s="179"/>
      <c r="B11943" s="177"/>
      <c r="C11943" s="43" t="s">
        <v>2944</v>
      </c>
      <c r="D11943" s="43" t="s">
        <v>1302</v>
      </c>
      <c r="E11943" s="44">
        <v>1.0375000000000001</v>
      </c>
      <c r="F11943" s="38" t="s">
        <v>13</v>
      </c>
      <c r="G11943" s="70" t="str">
        <f>IF(ISNUMBER(F11943),E11943*F11943,"")</f>
        <v/>
      </c>
      <c r="H11943" s="71"/>
      <c r="I11943" s="72"/>
      <c r="J11943" s="37">
        <v>0</v>
      </c>
    </row>
    <row r="11944" spans="1:10" ht="15.75" hidden="1" thickBot="1" x14ac:dyDescent="0.3">
      <c r="A11944" s="180"/>
      <c r="B11944" s="178"/>
      <c r="C11944" s="49"/>
      <c r="D11944" s="63"/>
      <c r="E11944" s="50"/>
      <c r="F11944" s="83" t="s">
        <v>13</v>
      </c>
      <c r="G11944" s="83" t="str">
        <f>IF(ISNUMBER(F11944),E11944*F11944,"")</f>
        <v/>
      </c>
      <c r="H11944" s="84"/>
      <c r="I11944" s="72"/>
      <c r="J11944" s="37">
        <v>0</v>
      </c>
    </row>
    <row r="11945" spans="1:10" ht="15.75" hidden="1" thickBot="1" x14ac:dyDescent="0.3">
      <c r="A11945" s="173" t="s">
        <v>2945</v>
      </c>
      <c r="B11945" s="176" t="s">
        <v>6596</v>
      </c>
      <c r="C11945" s="31"/>
      <c r="D11945" s="32" t="s">
        <v>18</v>
      </c>
      <c r="E11945" s="33"/>
      <c r="F11945" s="60" t="s">
        <v>13</v>
      </c>
      <c r="G11945" s="34" t="str">
        <f>IF(ISNUMBER(F11945),E11945*F11945,"")</f>
        <v/>
      </c>
      <c r="H11945" s="35"/>
      <c r="I11945" s="36"/>
      <c r="J11945" s="37">
        <v>0</v>
      </c>
    </row>
    <row r="11946" spans="1:10" hidden="1" x14ac:dyDescent="0.25">
      <c r="A11946" s="179"/>
      <c r="B11946" s="177"/>
      <c r="C11946" s="39"/>
      <c r="D11946" s="39"/>
      <c r="E11946" s="40"/>
      <c r="F11946" s="70" t="s">
        <v>13</v>
      </c>
      <c r="G11946" s="70" t="str">
        <f>IF(ISNUMBER(F11946),E11946*F11946,"")</f>
        <v/>
      </c>
      <c r="H11946" s="71"/>
      <c r="I11946" s="72"/>
      <c r="J11946" s="37">
        <v>0</v>
      </c>
    </row>
    <row r="11947" spans="1:10" hidden="1" x14ac:dyDescent="0.25">
      <c r="A11947" s="179"/>
      <c r="B11947" s="177"/>
      <c r="C11947" s="43" t="s">
        <v>10763</v>
      </c>
      <c r="D11947" s="43" t="s">
        <v>2800</v>
      </c>
      <c r="E11947" s="44">
        <v>0.1346</v>
      </c>
      <c r="F11947" s="38">
        <v>31.435500000000001</v>
      </c>
      <c r="G11947" s="70">
        <f>IF(ISNUMBER(F11947),E11947*F11947,"")</f>
        <v>4.2312183000000001</v>
      </c>
      <c r="H11947" s="46">
        <f>SUM(G11947:G11949)</f>
        <v>107.99458449999999</v>
      </c>
      <c r="I11947" s="47"/>
      <c r="J11947" s="37">
        <v>0</v>
      </c>
    </row>
    <row r="11948" spans="1:10" hidden="1" x14ac:dyDescent="0.25">
      <c r="A11948" s="179"/>
      <c r="B11948" s="177"/>
      <c r="C11948" s="43" t="s">
        <v>10762</v>
      </c>
      <c r="D11948" s="43" t="s">
        <v>2800</v>
      </c>
      <c r="E11948" s="44">
        <v>0.1346</v>
      </c>
      <c r="F11948" s="38">
        <v>24.946999999999999</v>
      </c>
      <c r="G11948" s="70">
        <f>IF(ISNUMBER(F11948),E11948*F11948,"")</f>
        <v>3.3578661999999997</v>
      </c>
      <c r="H11948" s="71"/>
      <c r="I11948" s="72"/>
      <c r="J11948" s="37">
        <v>0</v>
      </c>
    </row>
    <row r="11949" spans="1:10" ht="38.25" hidden="1" x14ac:dyDescent="0.25">
      <c r="A11949" s="179"/>
      <c r="B11949" s="177"/>
      <c r="C11949" s="43" t="s">
        <v>11304</v>
      </c>
      <c r="D11949" s="43" t="s">
        <v>83</v>
      </c>
      <c r="E11949" s="44">
        <v>1</v>
      </c>
      <c r="F11949" s="38">
        <v>100.40549999999999</v>
      </c>
      <c r="G11949" s="70">
        <f>IF(ISNUMBER(F11949),E11949*F11949,"")</f>
        <v>100.40549999999999</v>
      </c>
      <c r="H11949" s="71"/>
      <c r="I11949" s="72"/>
      <c r="J11949" s="37">
        <v>0</v>
      </c>
    </row>
    <row r="11950" spans="1:10" ht="15.75" hidden="1" thickBot="1" x14ac:dyDescent="0.3">
      <c r="A11950" s="180"/>
      <c r="B11950" s="178"/>
      <c r="C11950" s="49"/>
      <c r="D11950" s="63"/>
      <c r="E11950" s="50"/>
      <c r="F11950" s="83" t="s">
        <v>13</v>
      </c>
      <c r="G11950" s="83" t="str">
        <f>IF(ISNUMBER(F11950),E11950*F11950,"")</f>
        <v/>
      </c>
      <c r="H11950" s="84"/>
      <c r="I11950" s="72"/>
      <c r="J11950" s="37">
        <v>0</v>
      </c>
    </row>
    <row r="11951" spans="1:10" ht="15.75" hidden="1" thickBot="1" x14ac:dyDescent="0.3">
      <c r="A11951" s="173" t="s">
        <v>2946</v>
      </c>
      <c r="B11951" s="176" t="s">
        <v>6601</v>
      </c>
      <c r="C11951" s="31"/>
      <c r="D11951" s="32" t="s">
        <v>18</v>
      </c>
      <c r="E11951" s="33"/>
      <c r="F11951" s="60" t="s">
        <v>13</v>
      </c>
      <c r="G11951" s="34" t="str">
        <f>IF(ISNUMBER(F11951),E11951*F11951,"")</f>
        <v/>
      </c>
      <c r="H11951" s="35"/>
      <c r="I11951" s="36"/>
      <c r="J11951" s="37">
        <v>0</v>
      </c>
    </row>
    <row r="11952" spans="1:10" hidden="1" x14ac:dyDescent="0.25">
      <c r="A11952" s="179"/>
      <c r="B11952" s="177"/>
      <c r="C11952" s="39"/>
      <c r="D11952" s="39"/>
      <c r="E11952" s="40"/>
      <c r="F11952" s="70" t="s">
        <v>13</v>
      </c>
      <c r="G11952" s="70" t="str">
        <f>IF(ISNUMBER(F11952),E11952*F11952,"")</f>
        <v/>
      </c>
      <c r="H11952" s="71"/>
      <c r="I11952" s="72"/>
      <c r="J11952" s="37">
        <v>0</v>
      </c>
    </row>
    <row r="11953" spans="1:10" hidden="1" x14ac:dyDescent="0.25">
      <c r="A11953" s="179"/>
      <c r="B11953" s="177"/>
      <c r="C11953" s="43" t="s">
        <v>10763</v>
      </c>
      <c r="D11953" s="43" t="s">
        <v>2800</v>
      </c>
      <c r="E11953" s="44">
        <v>0.16669999999999999</v>
      </c>
      <c r="F11953" s="38">
        <v>31.435500000000001</v>
      </c>
      <c r="G11953" s="70">
        <f>IF(ISNUMBER(F11953),E11953*F11953,"")</f>
        <v>5.2402978500000001</v>
      </c>
      <c r="H11953" s="46">
        <f>SUM(G11953:G11955)</f>
        <v>153.01046275000002</v>
      </c>
      <c r="I11953" s="47"/>
      <c r="J11953" s="37">
        <v>0</v>
      </c>
    </row>
    <row r="11954" spans="1:10" hidden="1" x14ac:dyDescent="0.25">
      <c r="A11954" s="179"/>
      <c r="B11954" s="177"/>
      <c r="C11954" s="43" t="s">
        <v>10762</v>
      </c>
      <c r="D11954" s="43" t="s">
        <v>2800</v>
      </c>
      <c r="E11954" s="44">
        <v>0.16669999999999999</v>
      </c>
      <c r="F11954" s="38">
        <v>24.946999999999999</v>
      </c>
      <c r="G11954" s="70">
        <f>IF(ISNUMBER(F11954),E11954*F11954,"")</f>
        <v>4.1586648999999998</v>
      </c>
      <c r="H11954" s="71"/>
      <c r="I11954" s="72"/>
      <c r="J11954" s="37">
        <v>0</v>
      </c>
    </row>
    <row r="11955" spans="1:10" hidden="1" x14ac:dyDescent="0.25">
      <c r="A11955" s="179"/>
      <c r="B11955" s="177"/>
      <c r="C11955" s="43" t="s">
        <v>11307</v>
      </c>
      <c r="D11955" s="43" t="s">
        <v>1302</v>
      </c>
      <c r="E11955" s="44">
        <v>3</v>
      </c>
      <c r="F11955" s="38">
        <v>47.8705</v>
      </c>
      <c r="G11955" s="70">
        <f>IF(ISNUMBER(F11955),E11955*F11955,"")</f>
        <v>143.61150000000001</v>
      </c>
      <c r="H11955" s="71"/>
      <c r="I11955" s="72"/>
      <c r="J11955" s="37">
        <v>0</v>
      </c>
    </row>
    <row r="11956" spans="1:10" ht="15.75" hidden="1" thickBot="1" x14ac:dyDescent="0.3">
      <c r="A11956" s="180"/>
      <c r="B11956" s="178"/>
      <c r="C11956" s="49"/>
      <c r="D11956" s="63"/>
      <c r="E11956" s="50"/>
      <c r="F11956" s="83" t="s">
        <v>13</v>
      </c>
      <c r="G11956" s="83" t="str">
        <f>IF(ISNUMBER(F11956),E11956*F11956,"")</f>
        <v/>
      </c>
      <c r="H11956" s="84"/>
      <c r="I11956" s="72"/>
      <c r="J11956" s="37">
        <v>0</v>
      </c>
    </row>
    <row r="11957" spans="1:10" ht="15.75" hidden="1" thickBot="1" x14ac:dyDescent="0.3">
      <c r="A11957" s="173" t="s">
        <v>2947</v>
      </c>
      <c r="B11957" s="176" t="s">
        <v>6605</v>
      </c>
      <c r="C11957" s="31"/>
      <c r="D11957" s="32" t="s">
        <v>18</v>
      </c>
      <c r="E11957" s="33"/>
      <c r="F11957" s="60" t="s">
        <v>13</v>
      </c>
      <c r="G11957" s="34" t="str">
        <f>IF(ISNUMBER(F11957),E11957*F11957,"")</f>
        <v/>
      </c>
      <c r="H11957" s="35"/>
      <c r="I11957" s="36"/>
      <c r="J11957" s="37">
        <v>0</v>
      </c>
    </row>
    <row r="11958" spans="1:10" hidden="1" x14ac:dyDescent="0.25">
      <c r="A11958" s="179"/>
      <c r="B11958" s="177"/>
      <c r="C11958" s="39"/>
      <c r="D11958" s="39"/>
      <c r="E11958" s="40"/>
      <c r="F11958" s="70" t="s">
        <v>13</v>
      </c>
      <c r="G11958" s="70" t="str">
        <f>IF(ISNUMBER(F11958),E11958*F11958,"")</f>
        <v/>
      </c>
      <c r="H11958" s="71"/>
      <c r="I11958" s="72"/>
      <c r="J11958" s="37">
        <v>0</v>
      </c>
    </row>
    <row r="11959" spans="1:10" hidden="1" x14ac:dyDescent="0.25">
      <c r="A11959" s="179"/>
      <c r="B11959" s="177"/>
      <c r="C11959" s="43" t="s">
        <v>10763</v>
      </c>
      <c r="D11959" s="43" t="s">
        <v>2800</v>
      </c>
      <c r="E11959" s="44">
        <v>0.16669999999999999</v>
      </c>
      <c r="F11959" s="38">
        <v>31.435500000000001</v>
      </c>
      <c r="G11959" s="70">
        <f>IF(ISNUMBER(F11959),E11959*F11959,"")</f>
        <v>5.2402978500000001</v>
      </c>
      <c r="H11959" s="46">
        <f>SUM(G11959:G11961)</f>
        <v>296.62196275000002</v>
      </c>
      <c r="I11959" s="47"/>
      <c r="J11959" s="37">
        <v>0</v>
      </c>
    </row>
    <row r="11960" spans="1:10" hidden="1" x14ac:dyDescent="0.25">
      <c r="A11960" s="179"/>
      <c r="B11960" s="177"/>
      <c r="C11960" s="43" t="s">
        <v>10762</v>
      </c>
      <c r="D11960" s="43" t="s">
        <v>2800</v>
      </c>
      <c r="E11960" s="44">
        <v>0.16669999999999999</v>
      </c>
      <c r="F11960" s="38">
        <v>24.946999999999999</v>
      </c>
      <c r="G11960" s="70">
        <f>IF(ISNUMBER(F11960),E11960*F11960,"")</f>
        <v>4.1586648999999998</v>
      </c>
      <c r="H11960" s="71"/>
      <c r="I11960" s="72"/>
      <c r="J11960" s="37">
        <v>0</v>
      </c>
    </row>
    <row r="11961" spans="1:10" hidden="1" x14ac:dyDescent="0.25">
      <c r="A11961" s="179"/>
      <c r="B11961" s="177"/>
      <c r="C11961" s="43" t="s">
        <v>11307</v>
      </c>
      <c r="D11961" s="43" t="s">
        <v>1302</v>
      </c>
      <c r="E11961" s="44">
        <v>6</v>
      </c>
      <c r="F11961" s="38">
        <v>47.8705</v>
      </c>
      <c r="G11961" s="70">
        <f>IF(ISNUMBER(F11961),E11961*F11961,"")</f>
        <v>287.22300000000001</v>
      </c>
      <c r="H11961" s="71"/>
      <c r="I11961" s="72"/>
      <c r="J11961" s="37">
        <v>0</v>
      </c>
    </row>
    <row r="11962" spans="1:10" ht="15.75" hidden="1" thickBot="1" x14ac:dyDescent="0.3">
      <c r="A11962" s="180"/>
      <c r="B11962" s="178"/>
      <c r="C11962" s="49"/>
      <c r="D11962" s="63"/>
      <c r="E11962" s="50"/>
      <c r="F11962" s="83" t="s">
        <v>13</v>
      </c>
      <c r="G11962" s="83" t="str">
        <f>IF(ISNUMBER(F11962),E11962*F11962,"")</f>
        <v/>
      </c>
      <c r="H11962" s="84"/>
      <c r="I11962" s="72"/>
      <c r="J11962" s="37">
        <v>0</v>
      </c>
    </row>
    <row r="11963" spans="1:10" ht="15.75" hidden="1" thickBot="1" x14ac:dyDescent="0.3">
      <c r="A11963" s="173" t="s">
        <v>2948</v>
      </c>
      <c r="B11963" s="176" t="s">
        <v>10544</v>
      </c>
      <c r="C11963" s="31"/>
      <c r="D11963" s="32" t="s">
        <v>18</v>
      </c>
      <c r="E11963" s="33"/>
      <c r="F11963" s="54" t="s">
        <v>13</v>
      </c>
      <c r="G11963" s="34" t="str">
        <f>IF(ISNUMBER(F11963),E11963*F11963,"")</f>
        <v/>
      </c>
      <c r="H11963" s="35"/>
      <c r="I11963" s="36"/>
      <c r="J11963" s="37">
        <v>0</v>
      </c>
    </row>
    <row r="11964" spans="1:10" hidden="1" x14ac:dyDescent="0.25">
      <c r="A11964" s="174"/>
      <c r="B11964" s="177"/>
      <c r="C11964" s="39"/>
      <c r="D11964" s="39"/>
      <c r="E11964" s="40"/>
      <c r="F11964" s="55" t="s">
        <v>13</v>
      </c>
      <c r="G11964" s="38" t="str">
        <f>IF(ISNUMBER(F11964),E11964*F11964,"")</f>
        <v/>
      </c>
      <c r="H11964" s="42"/>
      <c r="I11964" s="38"/>
      <c r="J11964" s="37">
        <v>0</v>
      </c>
    </row>
    <row r="11965" spans="1:10" hidden="1" x14ac:dyDescent="0.25">
      <c r="A11965" s="174"/>
      <c r="B11965" s="177"/>
      <c r="C11965" s="43" t="s">
        <v>10763</v>
      </c>
      <c r="D11965" s="43" t="s">
        <v>2800</v>
      </c>
      <c r="E11965" s="44">
        <v>0.36180000000000001</v>
      </c>
      <c r="F11965" s="38">
        <v>31.435500000000001</v>
      </c>
      <c r="G11965" s="41">
        <f>IF(ISNUMBER(F11965),E11965*F11965,"")</f>
        <v>11.373363900000001</v>
      </c>
      <c r="H11965" s="46">
        <f>SUM(G11965:G11968)</f>
        <v>21.178188500000001</v>
      </c>
      <c r="I11965" s="47"/>
      <c r="J11965" s="37">
        <v>0</v>
      </c>
    </row>
    <row r="11966" spans="1:10" hidden="1" x14ac:dyDescent="0.25">
      <c r="A11966" s="174"/>
      <c r="B11966" s="177"/>
      <c r="C11966" s="43" t="s">
        <v>10762</v>
      </c>
      <c r="D11966" s="43" t="s">
        <v>2800</v>
      </c>
      <c r="E11966" s="44">
        <v>0.36180000000000001</v>
      </c>
      <c r="F11966" s="38">
        <v>24.946999999999999</v>
      </c>
      <c r="G11966" s="41">
        <f>IF(ISNUMBER(F11966),E11966*F11966,"")</f>
        <v>9.0258246</v>
      </c>
      <c r="H11966" s="42"/>
      <c r="I11966" s="38"/>
      <c r="J11966" s="37">
        <v>0</v>
      </c>
    </row>
    <row r="11967" spans="1:10" hidden="1" x14ac:dyDescent="0.25">
      <c r="A11967" s="174"/>
      <c r="B11967" s="177"/>
      <c r="C11967" s="43" t="s">
        <v>2949</v>
      </c>
      <c r="D11967" s="43" t="s">
        <v>83</v>
      </c>
      <c r="E11967" s="44">
        <v>1</v>
      </c>
      <c r="F11967" s="38" t="s">
        <v>13</v>
      </c>
      <c r="G11967" s="41" t="str">
        <f>IF(ISNUMBER(F11967),E11967*F11967,"")</f>
        <v/>
      </c>
      <c r="H11967" s="42"/>
      <c r="I11967" s="38"/>
      <c r="J11967" s="37">
        <v>0</v>
      </c>
    </row>
    <row r="11968" spans="1:10" ht="38.25" hidden="1" x14ac:dyDescent="0.25">
      <c r="A11968" s="174"/>
      <c r="B11968" s="177"/>
      <c r="C11968" s="43" t="s">
        <v>10931</v>
      </c>
      <c r="D11968" s="43" t="s">
        <v>83</v>
      </c>
      <c r="E11968" s="44">
        <v>2</v>
      </c>
      <c r="F11968" s="38">
        <v>0.38949999999999996</v>
      </c>
      <c r="G11968" s="41">
        <f>IF(ISNUMBER(F11968),E11968*F11968,"")</f>
        <v>0.77899999999999991</v>
      </c>
      <c r="H11968" s="42"/>
      <c r="I11968" s="38"/>
      <c r="J11968" s="37">
        <v>0</v>
      </c>
    </row>
    <row r="11969" spans="1:10" ht="15.75" hidden="1" thickBot="1" x14ac:dyDescent="0.3">
      <c r="A11969" s="175"/>
      <c r="B11969" s="178"/>
      <c r="C11969" s="49"/>
      <c r="D11969" s="49"/>
      <c r="E11969" s="50"/>
      <c r="F11969" s="51" t="s">
        <v>13</v>
      </c>
      <c r="G11969" s="51" t="str">
        <f>IF(ISNUMBER(F11969),E11969*F11969,"")</f>
        <v/>
      </c>
      <c r="H11969" s="53"/>
      <c r="I11969" s="38"/>
      <c r="J11969" s="37">
        <v>0</v>
      </c>
    </row>
    <row r="11970" spans="1:10" ht="15.75" hidden="1" thickBot="1" x14ac:dyDescent="0.3">
      <c r="A11970" s="173" t="s">
        <v>2950</v>
      </c>
      <c r="B11970" s="176" t="s">
        <v>10545</v>
      </c>
      <c r="C11970" s="31"/>
      <c r="D11970" s="32" t="s">
        <v>18</v>
      </c>
      <c r="E11970" s="33"/>
      <c r="F11970" s="60" t="s">
        <v>13</v>
      </c>
      <c r="G11970" s="34" t="str">
        <f>IF(ISNUMBER(F11970),E11970*F11970,"")</f>
        <v/>
      </c>
      <c r="H11970" s="35"/>
      <c r="I11970" s="36"/>
      <c r="J11970" s="37">
        <v>0</v>
      </c>
    </row>
    <row r="11971" spans="1:10" hidden="1" x14ac:dyDescent="0.25">
      <c r="A11971" s="179"/>
      <c r="B11971" s="177"/>
      <c r="C11971" s="39"/>
      <c r="D11971" s="39"/>
      <c r="E11971" s="40"/>
      <c r="F11971" s="70" t="s">
        <v>13</v>
      </c>
      <c r="G11971" s="70" t="str">
        <f>IF(ISNUMBER(F11971),E11971*F11971,"")</f>
        <v/>
      </c>
      <c r="H11971" s="71"/>
      <c r="I11971" s="72"/>
      <c r="J11971" s="37">
        <v>0</v>
      </c>
    </row>
    <row r="11972" spans="1:10" hidden="1" x14ac:dyDescent="0.25">
      <c r="A11972" s="179"/>
      <c r="B11972" s="177"/>
      <c r="C11972" s="43" t="s">
        <v>10763</v>
      </c>
      <c r="D11972" s="43" t="s">
        <v>2800</v>
      </c>
      <c r="E11972" s="44">
        <v>0.31059999999999999</v>
      </c>
      <c r="F11972" s="38">
        <v>31.435500000000001</v>
      </c>
      <c r="G11972" s="70">
        <f>IF(ISNUMBER(F11972),E11972*F11972,"")</f>
        <v>9.7638663000000001</v>
      </c>
      <c r="H11972" s="46">
        <f>SUM(G11972:G11974)</f>
        <v>23.288404499999999</v>
      </c>
      <c r="I11972" s="47"/>
      <c r="J11972" s="37">
        <v>0</v>
      </c>
    </row>
    <row r="11973" spans="1:10" hidden="1" x14ac:dyDescent="0.25">
      <c r="A11973" s="179"/>
      <c r="B11973" s="177"/>
      <c r="C11973" s="43" t="s">
        <v>10762</v>
      </c>
      <c r="D11973" s="43" t="s">
        <v>2800</v>
      </c>
      <c r="E11973" s="44">
        <v>0.31059999999999999</v>
      </c>
      <c r="F11973" s="38">
        <v>24.946999999999999</v>
      </c>
      <c r="G11973" s="70">
        <f>IF(ISNUMBER(F11973),E11973*F11973,"")</f>
        <v>7.7485381999999996</v>
      </c>
      <c r="H11973" s="71"/>
      <c r="I11973" s="72"/>
      <c r="J11973" s="37">
        <v>0</v>
      </c>
    </row>
    <row r="11974" spans="1:10" ht="25.5" hidden="1" x14ac:dyDescent="0.25">
      <c r="A11974" s="179"/>
      <c r="B11974" s="177"/>
      <c r="C11974" s="43" t="s">
        <v>11901</v>
      </c>
      <c r="D11974" s="43" t="s">
        <v>83</v>
      </c>
      <c r="E11974" s="44">
        <v>1</v>
      </c>
      <c r="F11974" s="38">
        <v>5.7759999999999998</v>
      </c>
      <c r="G11974" s="70">
        <f>IF(ISNUMBER(F11974),E11974*F11974,"")</f>
        <v>5.7759999999999998</v>
      </c>
      <c r="H11974" s="71"/>
      <c r="I11974" s="72"/>
      <c r="J11974" s="37">
        <v>0</v>
      </c>
    </row>
    <row r="11975" spans="1:10" ht="15.75" hidden="1" thickBot="1" x14ac:dyDescent="0.3">
      <c r="A11975" s="180"/>
      <c r="B11975" s="178"/>
      <c r="C11975" s="49"/>
      <c r="D11975" s="63"/>
      <c r="E11975" s="50"/>
      <c r="F11975" s="83" t="s">
        <v>13</v>
      </c>
      <c r="G11975" s="83" t="str">
        <f>IF(ISNUMBER(F11975),E11975*F11975,"")</f>
        <v/>
      </c>
      <c r="H11975" s="84"/>
      <c r="I11975" s="72"/>
      <c r="J11975" s="37">
        <v>0</v>
      </c>
    </row>
    <row r="11976" spans="1:10" ht="15.75" hidden="1" thickBot="1" x14ac:dyDescent="0.3">
      <c r="A11976" s="173" t="s">
        <v>2951</v>
      </c>
      <c r="B11976" s="176" t="s">
        <v>10552</v>
      </c>
      <c r="C11976" s="31"/>
      <c r="D11976" s="32" t="s">
        <v>68</v>
      </c>
      <c r="E11976" s="33"/>
      <c r="F11976" s="60" t="s">
        <v>13</v>
      </c>
      <c r="G11976" s="34" t="str">
        <f>IF(ISNUMBER(F11976),E11976*F11976,"")</f>
        <v/>
      </c>
      <c r="H11976" s="35"/>
      <c r="I11976" s="36"/>
      <c r="J11976" s="37">
        <v>0</v>
      </c>
    </row>
    <row r="11977" spans="1:10" hidden="1" x14ac:dyDescent="0.25">
      <c r="A11977" s="179"/>
      <c r="B11977" s="177"/>
      <c r="C11977" s="39"/>
      <c r="D11977" s="39"/>
      <c r="E11977" s="40"/>
      <c r="F11977" s="70" t="s">
        <v>13</v>
      </c>
      <c r="G11977" s="70" t="str">
        <f>IF(ISNUMBER(F11977),E11977*F11977,"")</f>
        <v/>
      </c>
      <c r="H11977" s="71"/>
      <c r="I11977" s="72"/>
      <c r="J11977" s="37">
        <v>0</v>
      </c>
    </row>
    <row r="11978" spans="1:10" hidden="1" x14ac:dyDescent="0.25">
      <c r="A11978" s="179"/>
      <c r="B11978" s="177"/>
      <c r="C11978" s="43" t="s">
        <v>10757</v>
      </c>
      <c r="D11978" s="43" t="s">
        <v>2800</v>
      </c>
      <c r="E11978" s="44">
        <v>0.1</v>
      </c>
      <c r="F11978" s="70">
        <v>31.055499999999995</v>
      </c>
      <c r="G11978" s="70">
        <f>IF(ISNUMBER(F11978),E11978*F11978,"")</f>
        <v>3.1055499999999996</v>
      </c>
      <c r="H11978" s="46">
        <f>SUM(G11978:G11985)</f>
        <v>17.393550000000001</v>
      </c>
      <c r="I11978" s="47"/>
      <c r="J11978" s="37">
        <v>0</v>
      </c>
    </row>
    <row r="11979" spans="1:10" hidden="1" x14ac:dyDescent="0.25">
      <c r="A11979" s="179"/>
      <c r="B11979" s="177"/>
      <c r="C11979" s="43" t="s">
        <v>10614</v>
      </c>
      <c r="D11979" s="43" t="s">
        <v>2800</v>
      </c>
      <c r="E11979" s="44">
        <v>0.1</v>
      </c>
      <c r="F11979" s="70">
        <v>23.693000000000001</v>
      </c>
      <c r="G11979" s="70">
        <f>IF(ISNUMBER(F11979),E11979*F11979,"")</f>
        <v>2.3693000000000004</v>
      </c>
      <c r="H11979" s="71"/>
      <c r="I11979" s="72"/>
      <c r="J11979" s="37">
        <v>0</v>
      </c>
    </row>
    <row r="11980" spans="1:10" hidden="1" x14ac:dyDescent="0.25">
      <c r="A11980" s="179"/>
      <c r="B11980" s="177"/>
      <c r="C11980" s="43" t="s">
        <v>1153</v>
      </c>
      <c r="D11980" s="43" t="s">
        <v>1044</v>
      </c>
      <c r="E11980" s="44">
        <v>0.1</v>
      </c>
      <c r="F11980" s="70" t="s">
        <v>13</v>
      </c>
      <c r="G11980" s="70" t="str">
        <f>IF(ISNUMBER(F11980),E11980*F11980,"")</f>
        <v/>
      </c>
      <c r="H11980" s="71"/>
      <c r="I11980" s="72"/>
      <c r="J11980" s="37">
        <v>0</v>
      </c>
    </row>
    <row r="11981" spans="1:10" ht="25.5" hidden="1" x14ac:dyDescent="0.25">
      <c r="A11981" s="179"/>
      <c r="B11981" s="177"/>
      <c r="C11981" s="43" t="s">
        <v>2952</v>
      </c>
      <c r="D11981" s="43" t="s">
        <v>68</v>
      </c>
      <c r="E11981" s="44">
        <v>1.1000000000000001</v>
      </c>
      <c r="F11981" s="70" t="s">
        <v>13</v>
      </c>
      <c r="G11981" s="70" t="str">
        <f>IF(ISNUMBER(F11981),E11981*F11981,"")</f>
        <v/>
      </c>
      <c r="H11981" s="71"/>
      <c r="I11981" s="72"/>
      <c r="J11981" s="37">
        <v>0</v>
      </c>
    </row>
    <row r="11982" spans="1:10" hidden="1" x14ac:dyDescent="0.25">
      <c r="A11982" s="179"/>
      <c r="B11982" s="177"/>
      <c r="C11982" s="43" t="s">
        <v>10757</v>
      </c>
      <c r="D11982" s="43" t="s">
        <v>2800</v>
      </c>
      <c r="E11982" s="44">
        <v>0.2</v>
      </c>
      <c r="F11982" s="70">
        <v>31.055499999999995</v>
      </c>
      <c r="G11982" s="70">
        <f>IF(ISNUMBER(F11982),E11982*F11982,"")</f>
        <v>6.2110999999999992</v>
      </c>
      <c r="H11982" s="71"/>
      <c r="I11982" s="47"/>
      <c r="J11982" s="37">
        <v>0</v>
      </c>
    </row>
    <row r="11983" spans="1:10" hidden="1" x14ac:dyDescent="0.25">
      <c r="A11983" s="179"/>
      <c r="B11983" s="177"/>
      <c r="C11983" s="43" t="s">
        <v>10614</v>
      </c>
      <c r="D11983" s="43" t="s">
        <v>2800</v>
      </c>
      <c r="E11983" s="44">
        <v>0.2</v>
      </c>
      <c r="F11983" s="70">
        <v>23.693000000000001</v>
      </c>
      <c r="G11983" s="70">
        <f>IF(ISNUMBER(F11983),E11983*F11983,"")</f>
        <v>4.7386000000000008</v>
      </c>
      <c r="H11983" s="71"/>
      <c r="I11983" s="72"/>
      <c r="J11983" s="37">
        <v>0</v>
      </c>
    </row>
    <row r="11984" spans="1:10" hidden="1" x14ac:dyDescent="0.25">
      <c r="A11984" s="179"/>
      <c r="B11984" s="177"/>
      <c r="C11984" s="43" t="s">
        <v>10648</v>
      </c>
      <c r="D11984" s="43" t="s">
        <v>1044</v>
      </c>
      <c r="E11984" s="44">
        <v>1.5</v>
      </c>
      <c r="F11984" s="70">
        <v>0.64600000000000002</v>
      </c>
      <c r="G11984" s="70">
        <f>IF(ISNUMBER(F11984),E11984*F11984,"")</f>
        <v>0.96900000000000008</v>
      </c>
      <c r="H11984" s="71"/>
      <c r="I11984" s="72"/>
      <c r="J11984" s="37">
        <v>0</v>
      </c>
    </row>
    <row r="11985" spans="1:10" hidden="1" x14ac:dyDescent="0.25">
      <c r="A11985" s="179"/>
      <c r="B11985" s="177"/>
      <c r="C11985" s="43" t="s">
        <v>1155</v>
      </c>
      <c r="D11985" s="43" t="s">
        <v>1044</v>
      </c>
      <c r="E11985" s="44">
        <f>ROUND(E11984*0.1,2)</f>
        <v>0.15</v>
      </c>
      <c r="F11985" s="70" t="s">
        <v>13</v>
      </c>
      <c r="G11985" s="70" t="str">
        <f>IF(ISNUMBER(F11985),E11985*F11985,"")</f>
        <v/>
      </c>
      <c r="H11985" s="71"/>
      <c r="I11985" s="72"/>
      <c r="J11985" s="37">
        <v>0</v>
      </c>
    </row>
    <row r="11986" spans="1:10" ht="15.75" hidden="1" thickBot="1" x14ac:dyDescent="0.3">
      <c r="A11986" s="180"/>
      <c r="B11986" s="178"/>
      <c r="C11986" s="49"/>
      <c r="D11986" s="49"/>
      <c r="E11986" s="50"/>
      <c r="F11986" s="83" t="s">
        <v>13</v>
      </c>
      <c r="G11986" s="83" t="str">
        <f>IF(ISNUMBER(F11986),E11986*F11986,"")</f>
        <v/>
      </c>
      <c r="H11986" s="84"/>
      <c r="I11986" s="72"/>
      <c r="J11986" s="37">
        <v>0</v>
      </c>
    </row>
  </sheetData>
  <sheetProtection algorithmName="SHA-512" hashValue="Mk5klAOvcGZ5pMxKjo7TfmYrZyqxTDsufW0gNZ8mLz+/E5wuvKZ15zkmO3TxfHsLDtGSciP2NI1WS/7VrKCsrQ==" saltValue="0rbTwZJvcykU6g3MluCWzg==" spinCount="100000" sheet="1" objects="1" scenarios="1"/>
  <protectedRanges>
    <protectedRange sqref="C3341 C3336" name="COTACOES_92_6"/>
    <protectedRange sqref="C400 C421" name="COTACOES_92_13_1"/>
    <protectedRange sqref="C1225" name="COTACOES_91_1_2_1"/>
    <protectedRange sqref="C1219" name="COTACOES_91_1_3_1"/>
    <protectedRange sqref="C1386:C1387" name="COTACOES_68_1_1"/>
    <protectedRange sqref="F1520 F1532 F1514 F1508 F1526" name="COTACOES_27_1_2_1_8_1"/>
    <protectedRange sqref="C1520 C1532 C1514 C1508 C1526" name="COTACOES_5_1_8_1"/>
    <protectedRange sqref="C1405:C1407 C1420:C1422 C1435:C1437 C1450:C1452 C1465:C1467 C1480:C1482 C1495:C1497 C1409 C1424 C1439 C1454 C1469 C1484 C1499" name="COTACOES_32_1_1"/>
    <protectedRange sqref="F1570 F1573 F1576" name="COTACOES_27_1_2_1_17_1"/>
    <protectedRange sqref="C1569:C1571 C1576:C1577 C1573:C1574" name="COTACOES_5_1_17_1"/>
    <protectedRange sqref="C5192" name="COTACOES_15_1_1"/>
    <protectedRange sqref="C1724:C1725 C8674 C8615:C8616 C8625:C8626 C1734:C1735 C8852 C10771 C10735:C10736 C10780 C11327:C11328 C11309:C11310 C11337:C11338 C11347:C11348" name="COTACOES_8_1_1"/>
    <protectedRange sqref="C5050:C5051 C5065 C5072 C1704:C1705 C1714:C1715 C8764 C8773" name="COTACOES_9_1_1_3"/>
    <protectedRange sqref="C1690" name="COTACOES_10_1_1"/>
    <protectedRange sqref="C1760 C8697 C8691 C8704" name="COTACOES_42_1_3"/>
    <protectedRange sqref="C1774" name="COTACOES_42_1_1_1"/>
    <protectedRange sqref="C1788" name="COTACOES_42_1_2_1"/>
    <protectedRange sqref="F1746" name="COTACOES_27_1_1_3_1"/>
    <protectedRange sqref="F1753" name="COTACOES_27_1_1_4_1"/>
    <protectedRange sqref="C1895" name="COTACOES_37_1_1"/>
    <protectedRange sqref="C1901" name="COTACOES_82_1_1"/>
    <protectedRange sqref="C1914" name="COTACOES_58_1_1"/>
    <protectedRange sqref="C1920" name="COTACOES_61_1_1"/>
    <protectedRange sqref="C1926" name="COTACOES_40_1_1"/>
    <protectedRange sqref="C1932" name="COTACOES_36_1_2"/>
    <protectedRange sqref="C1968 C9487" name="COTACOES_41_1_2"/>
    <protectedRange sqref="C1944 C1962" name="COTACOES_41_1_1_1"/>
    <protectedRange sqref="C1938" name="COTACOES_36_1_1_1"/>
    <protectedRange sqref="C1950 C1956" name="COTACOES_44_1_1"/>
    <protectedRange sqref="C1974" name="COTACOES_51_1_1"/>
    <protectedRange sqref="F1974" name="COTACOES_54_1_1"/>
    <protectedRange sqref="C1980 C2470" name="COTACOES_55_1_3"/>
    <protectedRange sqref="F1980" name="COTACOES_57_1_1"/>
    <protectedRange sqref="C2024" name="COTACOES_75_1_2"/>
    <protectedRange sqref="C2030" name="COTACOES_75_1_1_1"/>
    <protectedRange sqref="C2060 C2052 C9545 C9553 C9561" name="COTACOES_78_1_1"/>
    <protectedRange sqref="C2043" name="COTACOES_80_1_2"/>
    <protectedRange sqref="C2036 C9567 C9574 C9581" name="COTACOES_80_1_1_1"/>
    <protectedRange sqref="C2401" name="COTACOES_62_1_1"/>
    <protectedRange sqref="C3437" name="COTACOES_92_2_3_2"/>
    <protectedRange sqref="C3445" name="COTACOES_92_2_5_1"/>
    <protectedRange sqref="C3755:C3756" name="COTACOES_55_1_1_1_1"/>
    <protectedRange sqref="C3775:C3776 C3789" name="COTACOES_55_1_1_2_1"/>
    <protectedRange sqref="C3908 C3848 C3788 C3790 C3854 C3860 C3866 C3872 C3878 C3884 C3890 C3896 C3902" name="COTACOES_55_1_1_4_1"/>
    <protectedRange sqref="C4032" name="COTACOES_9_1_1_1_1"/>
    <protectedRange sqref="C4248 C4297" name="COTACOES_55_1_7_1_2"/>
    <protectedRange sqref="C2653 C2661 C2669 C7522 C2686 C7526 C7534 C7538 C7437 C8061 C8101 C8113 C8149 C8197 C7530:C7531 C8449 C8445 C8595" name="COTACOES_92_5_2"/>
    <protectedRange sqref="C4204:C4205 C4210" name="COTACOES_55_1_7_1_1_1_1"/>
    <protectedRange sqref="C4462" name="COTACOES_92_17_1_1_1"/>
    <protectedRange sqref="C2739:C2740 C2745:C2746 C2751:C2752 C2757:C2758 C2763:C2764 C2769:C2770 C2781:C2782 C2787:C2788 C2793:C2794 C2775:C2776 C7307:C7308 C7313:C7314 C7319:C7320 C7325:C7326 C7331:C7332 C8534 C8637 C8653" name="COTACOES_92_3_2_1"/>
    <protectedRange sqref="C5538 C5540 C5600 C5594 C5623" name="COTACOES_8_1_1_1"/>
    <protectedRange sqref="C5539" name="COTACOES_9_1_1_3_4"/>
    <protectedRange sqref="C6546 C6554" name="COTACOES_8_1_1_2"/>
    <protectedRange sqref="C6627" name="COTACOES_9_1_1_3_5_2"/>
    <protectedRange sqref="C7397" name="COTACOES_51_1_1_1"/>
    <protectedRange sqref="F7397" name="COTACOES_54_1_1_1"/>
    <protectedRange sqref="F7631 F7637 F7643 F7649" name="COTACOES_27_1_2_1_8_1_1"/>
    <protectedRange sqref="C7637 C7643 C7649 C7631" name="COTACOES_5_1_8_1_1"/>
    <protectedRange sqref="C8453" name="COTACOES_55_1_7_1_2_1"/>
    <protectedRange sqref="C11690 C11672" name="COTACOES_92_17_1_1_1_1"/>
  </protectedRanges>
  <autoFilter ref="A5:M11986" xr:uid="{EFC7C4B5-9EDB-4010-936D-0ED96C8A1E85}">
    <filterColumn colId="9">
      <customFilters>
        <customFilter operator="notEqual" val="0"/>
      </customFilters>
    </filterColumn>
  </autoFilter>
  <mergeCells count="4128">
    <mergeCell ref="A6:A9"/>
    <mergeCell ref="B6:B9"/>
    <mergeCell ref="A10:A13"/>
    <mergeCell ref="B10:B13"/>
    <mergeCell ref="A14:A17"/>
    <mergeCell ref="B14:B17"/>
    <mergeCell ref="A47:A51"/>
    <mergeCell ref="B47:B51"/>
    <mergeCell ref="A52:A58"/>
    <mergeCell ref="B52:B58"/>
    <mergeCell ref="A59:A65"/>
    <mergeCell ref="B59:B65"/>
    <mergeCell ref="A33:A36"/>
    <mergeCell ref="B33:B36"/>
    <mergeCell ref="A37:A41"/>
    <mergeCell ref="B37:B41"/>
    <mergeCell ref="A42:A46"/>
    <mergeCell ref="B42:B46"/>
    <mergeCell ref="A18:A22"/>
    <mergeCell ref="B18:B22"/>
    <mergeCell ref="A23:A27"/>
    <mergeCell ref="B23:B27"/>
    <mergeCell ref="A28:A32"/>
    <mergeCell ref="B28:B32"/>
    <mergeCell ref="A98:A102"/>
    <mergeCell ref="B98:B102"/>
    <mergeCell ref="A103:A106"/>
    <mergeCell ref="B103:B106"/>
    <mergeCell ref="A107:A111"/>
    <mergeCell ref="B107:B111"/>
    <mergeCell ref="A83:A87"/>
    <mergeCell ref="B83:B87"/>
    <mergeCell ref="A88:A92"/>
    <mergeCell ref="B88:B92"/>
    <mergeCell ref="A93:A97"/>
    <mergeCell ref="B93:B97"/>
    <mergeCell ref="A66:A70"/>
    <mergeCell ref="B66:B70"/>
    <mergeCell ref="A71:A77"/>
    <mergeCell ref="B71:B77"/>
    <mergeCell ref="A78:A82"/>
    <mergeCell ref="B78:B82"/>
    <mergeCell ref="A140:A144"/>
    <mergeCell ref="B140:B144"/>
    <mergeCell ref="A145:A149"/>
    <mergeCell ref="B145:B149"/>
    <mergeCell ref="A150:A154"/>
    <mergeCell ref="B150:B154"/>
    <mergeCell ref="A127:A131"/>
    <mergeCell ref="B127:B131"/>
    <mergeCell ref="A132:A135"/>
    <mergeCell ref="B132:B135"/>
    <mergeCell ref="A136:A139"/>
    <mergeCell ref="B136:B139"/>
    <mergeCell ref="A112:A116"/>
    <mergeCell ref="B112:B116"/>
    <mergeCell ref="A117:A121"/>
    <mergeCell ref="B117:B121"/>
    <mergeCell ref="A122:A126"/>
    <mergeCell ref="B122:B126"/>
    <mergeCell ref="A184:A190"/>
    <mergeCell ref="B184:B190"/>
    <mergeCell ref="A191:A197"/>
    <mergeCell ref="B191:B197"/>
    <mergeCell ref="A198:A201"/>
    <mergeCell ref="B198:B201"/>
    <mergeCell ref="A172:A175"/>
    <mergeCell ref="B172:B175"/>
    <mergeCell ref="A176:A179"/>
    <mergeCell ref="B176:B179"/>
    <mergeCell ref="A180:A183"/>
    <mergeCell ref="B180:B183"/>
    <mergeCell ref="A155:A161"/>
    <mergeCell ref="B155:B161"/>
    <mergeCell ref="A162:A166"/>
    <mergeCell ref="B162:B166"/>
    <mergeCell ref="A167:A171"/>
    <mergeCell ref="B167:B171"/>
    <mergeCell ref="A229:A232"/>
    <mergeCell ref="B229:B232"/>
    <mergeCell ref="A233:A236"/>
    <mergeCell ref="B233:B236"/>
    <mergeCell ref="A237:A240"/>
    <mergeCell ref="B237:B240"/>
    <mergeCell ref="A215:A219"/>
    <mergeCell ref="B215:B219"/>
    <mergeCell ref="A220:A224"/>
    <mergeCell ref="B220:B224"/>
    <mergeCell ref="A225:A228"/>
    <mergeCell ref="B225:B228"/>
    <mergeCell ref="A202:A205"/>
    <mergeCell ref="B202:B205"/>
    <mergeCell ref="A206:A210"/>
    <mergeCell ref="B206:B210"/>
    <mergeCell ref="A211:A214"/>
    <mergeCell ref="B211:B214"/>
    <mergeCell ref="A289:A303"/>
    <mergeCell ref="B289:B303"/>
    <mergeCell ref="A304:A318"/>
    <mergeCell ref="B304:B318"/>
    <mergeCell ref="A319:A324"/>
    <mergeCell ref="B319:B324"/>
    <mergeCell ref="A269:A276"/>
    <mergeCell ref="B269:B276"/>
    <mergeCell ref="A277:A282"/>
    <mergeCell ref="B277:B282"/>
    <mergeCell ref="A283:A288"/>
    <mergeCell ref="B283:B288"/>
    <mergeCell ref="A241:A248"/>
    <mergeCell ref="B241:B248"/>
    <mergeCell ref="A249:A263"/>
    <mergeCell ref="B249:B263"/>
    <mergeCell ref="A264:A268"/>
    <mergeCell ref="B264:B268"/>
    <mergeCell ref="A394:A400"/>
    <mergeCell ref="B394:B400"/>
    <mergeCell ref="A401:A414"/>
    <mergeCell ref="B401:B414"/>
    <mergeCell ref="A415:A421"/>
    <mergeCell ref="B415:B421"/>
    <mergeCell ref="A365:A370"/>
    <mergeCell ref="B365:B370"/>
    <mergeCell ref="A371:A379"/>
    <mergeCell ref="B371:B379"/>
    <mergeCell ref="A380:A393"/>
    <mergeCell ref="B380:B393"/>
    <mergeCell ref="A325:A340"/>
    <mergeCell ref="B325:B340"/>
    <mergeCell ref="A341:A350"/>
    <mergeCell ref="B341:B350"/>
    <mergeCell ref="A351:A364"/>
    <mergeCell ref="B351:B364"/>
    <mergeCell ref="A471:A482"/>
    <mergeCell ref="B471:B482"/>
    <mergeCell ref="A483:A488"/>
    <mergeCell ref="B483:B488"/>
    <mergeCell ref="A489:A496"/>
    <mergeCell ref="B489:B496"/>
    <mergeCell ref="A446:A453"/>
    <mergeCell ref="B446:B453"/>
    <mergeCell ref="A454:A463"/>
    <mergeCell ref="B454:B463"/>
    <mergeCell ref="A464:A470"/>
    <mergeCell ref="B464:B470"/>
    <mergeCell ref="A422:A433"/>
    <mergeCell ref="B422:B433"/>
    <mergeCell ref="A434:A439"/>
    <mergeCell ref="B434:B439"/>
    <mergeCell ref="A440:A445"/>
    <mergeCell ref="B440:B445"/>
    <mergeCell ref="A537:A544"/>
    <mergeCell ref="B537:B544"/>
    <mergeCell ref="A545:A552"/>
    <mergeCell ref="B545:B552"/>
    <mergeCell ref="A553:A560"/>
    <mergeCell ref="B553:B560"/>
    <mergeCell ref="A517:A523"/>
    <mergeCell ref="B517:B523"/>
    <mergeCell ref="A524:A530"/>
    <mergeCell ref="B524:B530"/>
    <mergeCell ref="A531:A536"/>
    <mergeCell ref="B531:B536"/>
    <mergeCell ref="A497:A503"/>
    <mergeCell ref="B497:B503"/>
    <mergeCell ref="A504:A510"/>
    <mergeCell ref="B504:B510"/>
    <mergeCell ref="A511:A516"/>
    <mergeCell ref="B511:B516"/>
    <mergeCell ref="A615:A620"/>
    <mergeCell ref="B615:B620"/>
    <mergeCell ref="A621:A628"/>
    <mergeCell ref="B621:B628"/>
    <mergeCell ref="A629:A636"/>
    <mergeCell ref="B629:B636"/>
    <mergeCell ref="A588:A595"/>
    <mergeCell ref="B588:B595"/>
    <mergeCell ref="A596:A605"/>
    <mergeCell ref="B596:B605"/>
    <mergeCell ref="A606:A614"/>
    <mergeCell ref="B606:B614"/>
    <mergeCell ref="A561:A568"/>
    <mergeCell ref="B561:B568"/>
    <mergeCell ref="A569:A578"/>
    <mergeCell ref="B569:B578"/>
    <mergeCell ref="A579:A587"/>
    <mergeCell ref="B579:B587"/>
    <mergeCell ref="A664:A667"/>
    <mergeCell ref="B664:B667"/>
    <mergeCell ref="A668:A675"/>
    <mergeCell ref="B668:B675"/>
    <mergeCell ref="A676:A685"/>
    <mergeCell ref="B676:B685"/>
    <mergeCell ref="A652:A655"/>
    <mergeCell ref="B652:B655"/>
    <mergeCell ref="A656:A659"/>
    <mergeCell ref="B656:B659"/>
    <mergeCell ref="A660:A663"/>
    <mergeCell ref="B660:B663"/>
    <mergeCell ref="A637:A643"/>
    <mergeCell ref="B637:B643"/>
    <mergeCell ref="A644:A647"/>
    <mergeCell ref="B644:B647"/>
    <mergeCell ref="A648:A651"/>
    <mergeCell ref="B648:B651"/>
    <mergeCell ref="A736:A743"/>
    <mergeCell ref="B736:B743"/>
    <mergeCell ref="A744:A747"/>
    <mergeCell ref="B744:B747"/>
    <mergeCell ref="A748:A754"/>
    <mergeCell ref="B748:B754"/>
    <mergeCell ref="A714:A722"/>
    <mergeCell ref="B714:B722"/>
    <mergeCell ref="A723:A729"/>
    <mergeCell ref="B723:B729"/>
    <mergeCell ref="A730:A735"/>
    <mergeCell ref="B730:B735"/>
    <mergeCell ref="A686:A695"/>
    <mergeCell ref="B686:B695"/>
    <mergeCell ref="A696:A703"/>
    <mergeCell ref="B696:B703"/>
    <mergeCell ref="A704:A713"/>
    <mergeCell ref="B704:B713"/>
    <mergeCell ref="A814:A817"/>
    <mergeCell ref="B814:B817"/>
    <mergeCell ref="A818:A822"/>
    <mergeCell ref="B818:B822"/>
    <mergeCell ref="A823:A826"/>
    <mergeCell ref="B823:B826"/>
    <mergeCell ref="A783:A789"/>
    <mergeCell ref="B783:B789"/>
    <mergeCell ref="A790:A803"/>
    <mergeCell ref="B790:B803"/>
    <mergeCell ref="A804:A813"/>
    <mergeCell ref="B804:B813"/>
    <mergeCell ref="A755:A765"/>
    <mergeCell ref="B755:B765"/>
    <mergeCell ref="A766:A771"/>
    <mergeCell ref="B766:B771"/>
    <mergeCell ref="A772:A782"/>
    <mergeCell ref="B772:B782"/>
    <mergeCell ref="A862:A866"/>
    <mergeCell ref="B862:B866"/>
    <mergeCell ref="A867:A874"/>
    <mergeCell ref="B867:B874"/>
    <mergeCell ref="A875:A882"/>
    <mergeCell ref="B875:B882"/>
    <mergeCell ref="A845:A849"/>
    <mergeCell ref="B845:B849"/>
    <mergeCell ref="A850:A855"/>
    <mergeCell ref="B850:B855"/>
    <mergeCell ref="A856:A861"/>
    <mergeCell ref="B856:B861"/>
    <mergeCell ref="A827:A831"/>
    <mergeCell ref="B827:B831"/>
    <mergeCell ref="A832:A838"/>
    <mergeCell ref="B832:B838"/>
    <mergeCell ref="A839:A844"/>
    <mergeCell ref="B839:B844"/>
    <mergeCell ref="A918:A924"/>
    <mergeCell ref="B918:B924"/>
    <mergeCell ref="A925:A931"/>
    <mergeCell ref="B925:B931"/>
    <mergeCell ref="A932:A938"/>
    <mergeCell ref="B932:B938"/>
    <mergeCell ref="A903:A906"/>
    <mergeCell ref="B903:B906"/>
    <mergeCell ref="A907:A911"/>
    <mergeCell ref="B907:B911"/>
    <mergeCell ref="A912:A917"/>
    <mergeCell ref="B912:B917"/>
    <mergeCell ref="A883:A890"/>
    <mergeCell ref="B883:B890"/>
    <mergeCell ref="A891:A895"/>
    <mergeCell ref="B891:B895"/>
    <mergeCell ref="A896:A902"/>
    <mergeCell ref="B896:B902"/>
    <mergeCell ref="A980:A988"/>
    <mergeCell ref="B980:B988"/>
    <mergeCell ref="A989:A997"/>
    <mergeCell ref="B989:B997"/>
    <mergeCell ref="A998:A1002"/>
    <mergeCell ref="B998:B1002"/>
    <mergeCell ref="A959:A965"/>
    <mergeCell ref="B959:B965"/>
    <mergeCell ref="A966:A972"/>
    <mergeCell ref="B966:B972"/>
    <mergeCell ref="A973:A979"/>
    <mergeCell ref="B973:B979"/>
    <mergeCell ref="A939:A945"/>
    <mergeCell ref="B939:B945"/>
    <mergeCell ref="A946:A952"/>
    <mergeCell ref="B946:B952"/>
    <mergeCell ref="A953:A958"/>
    <mergeCell ref="B953:B958"/>
    <mergeCell ref="A1048:A1054"/>
    <mergeCell ref="B1048:B1054"/>
    <mergeCell ref="A1055:A1061"/>
    <mergeCell ref="B1055:B1061"/>
    <mergeCell ref="A1062:A1068"/>
    <mergeCell ref="B1062:B1068"/>
    <mergeCell ref="A1022:A1031"/>
    <mergeCell ref="B1022:B1031"/>
    <mergeCell ref="A1032:A1040"/>
    <mergeCell ref="B1032:B1040"/>
    <mergeCell ref="A1041:A1047"/>
    <mergeCell ref="B1041:B1047"/>
    <mergeCell ref="A1003:A1007"/>
    <mergeCell ref="B1003:B1007"/>
    <mergeCell ref="A1008:A1016"/>
    <mergeCell ref="B1008:B1016"/>
    <mergeCell ref="A1017:A1021"/>
    <mergeCell ref="B1017:B1021"/>
    <mergeCell ref="A1117:A1121"/>
    <mergeCell ref="B1117:B1121"/>
    <mergeCell ref="A1122:A1127"/>
    <mergeCell ref="B1122:B1127"/>
    <mergeCell ref="A1128:A1132"/>
    <mergeCell ref="B1128:B1132"/>
    <mergeCell ref="A1094:A1103"/>
    <mergeCell ref="B1094:B1103"/>
    <mergeCell ref="A1104:A1111"/>
    <mergeCell ref="B1104:B1111"/>
    <mergeCell ref="A1112:A1116"/>
    <mergeCell ref="B1112:B1116"/>
    <mergeCell ref="A1069:A1077"/>
    <mergeCell ref="B1069:B1077"/>
    <mergeCell ref="A1078:A1085"/>
    <mergeCell ref="B1078:B1085"/>
    <mergeCell ref="A1086:A1093"/>
    <mergeCell ref="B1086:B1093"/>
    <mergeCell ref="A1175:A1181"/>
    <mergeCell ref="B1175:B1181"/>
    <mergeCell ref="A1182:A1188"/>
    <mergeCell ref="B1182:B1188"/>
    <mergeCell ref="A1189:A1195"/>
    <mergeCell ref="B1189:B1195"/>
    <mergeCell ref="A1154:A1160"/>
    <mergeCell ref="B1154:B1160"/>
    <mergeCell ref="A1161:A1167"/>
    <mergeCell ref="B1161:B1167"/>
    <mergeCell ref="A1168:A1174"/>
    <mergeCell ref="B1168:B1174"/>
    <mergeCell ref="A1133:A1139"/>
    <mergeCell ref="B1133:B1139"/>
    <mergeCell ref="A1140:A1146"/>
    <mergeCell ref="B1140:B1146"/>
    <mergeCell ref="A1147:A1153"/>
    <mergeCell ref="B1147:B1153"/>
    <mergeCell ref="A1235:A1240"/>
    <mergeCell ref="B1235:B1240"/>
    <mergeCell ref="A1241:A1247"/>
    <mergeCell ref="B1241:B1247"/>
    <mergeCell ref="A1248:A1254"/>
    <mergeCell ref="B1248:B1254"/>
    <mergeCell ref="A1217:A1222"/>
    <mergeCell ref="B1217:B1222"/>
    <mergeCell ref="A1223:A1228"/>
    <mergeCell ref="B1223:B1228"/>
    <mergeCell ref="A1229:A1234"/>
    <mergeCell ref="B1229:B1234"/>
    <mergeCell ref="A1196:A1202"/>
    <mergeCell ref="B1196:B1202"/>
    <mergeCell ref="A1203:A1209"/>
    <mergeCell ref="B1203:B1209"/>
    <mergeCell ref="A1210:A1216"/>
    <mergeCell ref="B1210:B1216"/>
    <mergeCell ref="A1296:A1303"/>
    <mergeCell ref="B1296:B1303"/>
    <mergeCell ref="A1304:A1312"/>
    <mergeCell ref="B1304:B1312"/>
    <mergeCell ref="A1313:A1318"/>
    <mergeCell ref="B1313:B1318"/>
    <mergeCell ref="A1275:A1281"/>
    <mergeCell ref="B1275:B1281"/>
    <mergeCell ref="A1282:A1288"/>
    <mergeCell ref="B1282:B1288"/>
    <mergeCell ref="A1289:A1295"/>
    <mergeCell ref="B1289:B1295"/>
    <mergeCell ref="A1255:A1261"/>
    <mergeCell ref="B1255:B1261"/>
    <mergeCell ref="A1262:A1267"/>
    <mergeCell ref="B1262:B1267"/>
    <mergeCell ref="A1268:A1274"/>
    <mergeCell ref="B1268:B1274"/>
    <mergeCell ref="A1357:A1362"/>
    <mergeCell ref="B1357:B1362"/>
    <mergeCell ref="A1363:A1368"/>
    <mergeCell ref="B1363:B1368"/>
    <mergeCell ref="A1369:A1375"/>
    <mergeCell ref="B1369:B1375"/>
    <mergeCell ref="A1337:A1343"/>
    <mergeCell ref="B1337:B1343"/>
    <mergeCell ref="A1344:A1349"/>
    <mergeCell ref="B1344:B1349"/>
    <mergeCell ref="A1350:A1356"/>
    <mergeCell ref="B1350:B1356"/>
    <mergeCell ref="A1319:A1324"/>
    <mergeCell ref="B1319:B1324"/>
    <mergeCell ref="A1325:A1330"/>
    <mergeCell ref="B1325:B1330"/>
    <mergeCell ref="A1331:A1336"/>
    <mergeCell ref="B1331:B1336"/>
    <mergeCell ref="A1431:A1445"/>
    <mergeCell ref="B1431:B1445"/>
    <mergeCell ref="A1446:A1460"/>
    <mergeCell ref="B1446:B1460"/>
    <mergeCell ref="A1461:A1475"/>
    <mergeCell ref="B1461:B1475"/>
    <mergeCell ref="A1394:A1400"/>
    <mergeCell ref="B1394:B1400"/>
    <mergeCell ref="A1401:A1415"/>
    <mergeCell ref="B1401:B1415"/>
    <mergeCell ref="A1416:A1430"/>
    <mergeCell ref="B1416:B1430"/>
    <mergeCell ref="A1376:A1381"/>
    <mergeCell ref="B1376:B1381"/>
    <mergeCell ref="A1382:A1387"/>
    <mergeCell ref="B1382:B1387"/>
    <mergeCell ref="A1388:A1393"/>
    <mergeCell ref="B1388:B1393"/>
    <mergeCell ref="A1530:A1535"/>
    <mergeCell ref="B1530:B1535"/>
    <mergeCell ref="A1536:A1542"/>
    <mergeCell ref="B1536:B1542"/>
    <mergeCell ref="A1543:A1549"/>
    <mergeCell ref="B1543:B1549"/>
    <mergeCell ref="A1512:A1517"/>
    <mergeCell ref="B1512:B1517"/>
    <mergeCell ref="A1518:A1523"/>
    <mergeCell ref="B1518:B1523"/>
    <mergeCell ref="A1524:A1529"/>
    <mergeCell ref="B1524:B1529"/>
    <mergeCell ref="A1476:A1490"/>
    <mergeCell ref="B1476:B1490"/>
    <mergeCell ref="A1491:A1505"/>
    <mergeCell ref="B1491:B1505"/>
    <mergeCell ref="A1506:A1511"/>
    <mergeCell ref="B1506:B1511"/>
    <mergeCell ref="A1600:A1606"/>
    <mergeCell ref="B1600:B1606"/>
    <mergeCell ref="A1607:A1611"/>
    <mergeCell ref="B1607:B1611"/>
    <mergeCell ref="A1612:A1617"/>
    <mergeCell ref="B1612:B1617"/>
    <mergeCell ref="A1579:A1585"/>
    <mergeCell ref="B1579:B1585"/>
    <mergeCell ref="A1586:A1592"/>
    <mergeCell ref="B1586:B1592"/>
    <mergeCell ref="A1593:A1599"/>
    <mergeCell ref="B1593:B1599"/>
    <mergeCell ref="A1550:A1556"/>
    <mergeCell ref="B1550:B1556"/>
    <mergeCell ref="A1557:A1563"/>
    <mergeCell ref="B1557:B1563"/>
    <mergeCell ref="A1564:A1578"/>
    <mergeCell ref="B1564:B1578"/>
    <mergeCell ref="A1653:A1657"/>
    <mergeCell ref="B1653:B1657"/>
    <mergeCell ref="A1658:A1662"/>
    <mergeCell ref="B1658:B1662"/>
    <mergeCell ref="A1663:A1667"/>
    <mergeCell ref="B1663:B1667"/>
    <mergeCell ref="A1635:A1640"/>
    <mergeCell ref="B1635:B1640"/>
    <mergeCell ref="A1641:A1646"/>
    <mergeCell ref="B1641:B1646"/>
    <mergeCell ref="A1647:A1652"/>
    <mergeCell ref="B1647:B1652"/>
    <mergeCell ref="A1618:A1623"/>
    <mergeCell ref="B1618:B1623"/>
    <mergeCell ref="A1624:A1628"/>
    <mergeCell ref="B1624:B1628"/>
    <mergeCell ref="A1629:A1634"/>
    <mergeCell ref="B1629:B1634"/>
    <mergeCell ref="A1712:A1721"/>
    <mergeCell ref="B1712:B1721"/>
    <mergeCell ref="A1722:A1731"/>
    <mergeCell ref="B1722:B1731"/>
    <mergeCell ref="A1732:A1741"/>
    <mergeCell ref="B1732:B1741"/>
    <mergeCell ref="A1688:A1693"/>
    <mergeCell ref="B1688:B1693"/>
    <mergeCell ref="A1694:A1701"/>
    <mergeCell ref="B1694:B1701"/>
    <mergeCell ref="A1702:A1711"/>
    <mergeCell ref="B1702:B1711"/>
    <mergeCell ref="A1668:A1673"/>
    <mergeCell ref="B1668:B1673"/>
    <mergeCell ref="A1674:A1680"/>
    <mergeCell ref="B1674:B1680"/>
    <mergeCell ref="A1681:A1687"/>
    <mergeCell ref="B1681:B1687"/>
    <mergeCell ref="A1784:A1790"/>
    <mergeCell ref="B1784:B1790"/>
    <mergeCell ref="A1791:A1797"/>
    <mergeCell ref="B1791:B1797"/>
    <mergeCell ref="A1798:A1810"/>
    <mergeCell ref="B1798:B1810"/>
    <mergeCell ref="A1763:A1769"/>
    <mergeCell ref="B1763:B1769"/>
    <mergeCell ref="A1770:A1776"/>
    <mergeCell ref="B1770:B1776"/>
    <mergeCell ref="A1777:A1783"/>
    <mergeCell ref="B1777:B1783"/>
    <mergeCell ref="A1742:A1748"/>
    <mergeCell ref="B1742:B1748"/>
    <mergeCell ref="A1749:A1755"/>
    <mergeCell ref="B1749:B1755"/>
    <mergeCell ref="A1756:A1762"/>
    <mergeCell ref="B1756:B1762"/>
    <mergeCell ref="A1881:A1885"/>
    <mergeCell ref="B1881:B1885"/>
    <mergeCell ref="A1886:A1890"/>
    <mergeCell ref="B1886:B1890"/>
    <mergeCell ref="A1891:A1896"/>
    <mergeCell ref="B1891:B1896"/>
    <mergeCell ref="A1848:A1858"/>
    <mergeCell ref="B1848:B1858"/>
    <mergeCell ref="A1859:A1869"/>
    <mergeCell ref="B1859:B1869"/>
    <mergeCell ref="A1870:A1880"/>
    <mergeCell ref="B1870:B1880"/>
    <mergeCell ref="A1811:A1821"/>
    <mergeCell ref="B1811:B1821"/>
    <mergeCell ref="A1822:A1834"/>
    <mergeCell ref="B1822:B1834"/>
    <mergeCell ref="A1835:A1847"/>
    <mergeCell ref="B1835:B1847"/>
    <mergeCell ref="A1934:A1939"/>
    <mergeCell ref="B1934:B1939"/>
    <mergeCell ref="A1940:A1945"/>
    <mergeCell ref="B1940:B1945"/>
    <mergeCell ref="A1946:A1951"/>
    <mergeCell ref="B1946:B1951"/>
    <mergeCell ref="A1916:A1921"/>
    <mergeCell ref="B1916:B1921"/>
    <mergeCell ref="A1922:A1927"/>
    <mergeCell ref="B1922:B1927"/>
    <mergeCell ref="A1928:A1933"/>
    <mergeCell ref="B1928:B1933"/>
    <mergeCell ref="A1897:A1902"/>
    <mergeCell ref="B1897:B1902"/>
    <mergeCell ref="A1903:A1909"/>
    <mergeCell ref="B1903:B1909"/>
    <mergeCell ref="A1910:A1915"/>
    <mergeCell ref="B1910:B1915"/>
    <mergeCell ref="A1987:A1991"/>
    <mergeCell ref="B1987:B1991"/>
    <mergeCell ref="A1992:A1996"/>
    <mergeCell ref="B1992:B1996"/>
    <mergeCell ref="A1997:A2002"/>
    <mergeCell ref="B1997:B2002"/>
    <mergeCell ref="A1970:A1975"/>
    <mergeCell ref="B1970:B1975"/>
    <mergeCell ref="A1976:A1981"/>
    <mergeCell ref="B1976:B1981"/>
    <mergeCell ref="A1982:A1986"/>
    <mergeCell ref="B1982:B1986"/>
    <mergeCell ref="A1952:A1957"/>
    <mergeCell ref="B1952:B1957"/>
    <mergeCell ref="A1958:A1963"/>
    <mergeCell ref="B1958:B1963"/>
    <mergeCell ref="A1964:A1969"/>
    <mergeCell ref="B1964:B1969"/>
    <mergeCell ref="A2039:A2045"/>
    <mergeCell ref="B2039:B2045"/>
    <mergeCell ref="A2046:A2053"/>
    <mergeCell ref="B2046:B2053"/>
    <mergeCell ref="A2054:A2061"/>
    <mergeCell ref="B2054:B2061"/>
    <mergeCell ref="A2020:A2025"/>
    <mergeCell ref="B2020:B2025"/>
    <mergeCell ref="A2026:A2031"/>
    <mergeCell ref="B2026:B2031"/>
    <mergeCell ref="A2032:A2038"/>
    <mergeCell ref="B2032:B2038"/>
    <mergeCell ref="A2003:A2007"/>
    <mergeCell ref="B2003:B2007"/>
    <mergeCell ref="A2008:A2012"/>
    <mergeCell ref="B2008:B2012"/>
    <mergeCell ref="A2013:A2019"/>
    <mergeCell ref="B2013:B2019"/>
    <mergeCell ref="A2104:A2111"/>
    <mergeCell ref="B2104:B2111"/>
    <mergeCell ref="A2112:A2119"/>
    <mergeCell ref="B2112:B2119"/>
    <mergeCell ref="A2120:A2127"/>
    <mergeCell ref="B2120:B2127"/>
    <mergeCell ref="A2083:A2089"/>
    <mergeCell ref="B2083:B2089"/>
    <mergeCell ref="A2090:A2095"/>
    <mergeCell ref="B2090:B2095"/>
    <mergeCell ref="A2096:A2103"/>
    <mergeCell ref="B2096:B2103"/>
    <mergeCell ref="A2062:A2068"/>
    <mergeCell ref="B2062:B2068"/>
    <mergeCell ref="A2069:A2075"/>
    <mergeCell ref="B2069:B2075"/>
    <mergeCell ref="A2076:A2082"/>
    <mergeCell ref="B2076:B2082"/>
    <mergeCell ref="A2176:A2183"/>
    <mergeCell ref="B2176:B2183"/>
    <mergeCell ref="A2184:A2189"/>
    <mergeCell ref="B2184:B2189"/>
    <mergeCell ref="A2190:A2195"/>
    <mergeCell ref="B2190:B2195"/>
    <mergeCell ref="A2152:A2159"/>
    <mergeCell ref="B2152:B2159"/>
    <mergeCell ref="A2160:A2167"/>
    <mergeCell ref="B2160:B2167"/>
    <mergeCell ref="A2168:A2175"/>
    <mergeCell ref="B2168:B2175"/>
    <mergeCell ref="A2128:A2135"/>
    <mergeCell ref="B2128:B2135"/>
    <mergeCell ref="A2136:A2143"/>
    <mergeCell ref="B2136:B2143"/>
    <mergeCell ref="A2144:A2151"/>
    <mergeCell ref="B2144:B2151"/>
    <mergeCell ref="A2238:A2245"/>
    <mergeCell ref="B2238:B2245"/>
    <mergeCell ref="A2246:A2253"/>
    <mergeCell ref="B2246:B2253"/>
    <mergeCell ref="A2254:A2261"/>
    <mergeCell ref="B2254:B2261"/>
    <mergeCell ref="A2214:A2221"/>
    <mergeCell ref="B2214:B2221"/>
    <mergeCell ref="A2222:A2229"/>
    <mergeCell ref="B2222:B2229"/>
    <mergeCell ref="A2230:A2237"/>
    <mergeCell ref="B2230:B2237"/>
    <mergeCell ref="A2196:A2201"/>
    <mergeCell ref="B2196:B2201"/>
    <mergeCell ref="A2202:A2207"/>
    <mergeCell ref="B2202:B2207"/>
    <mergeCell ref="A2208:A2213"/>
    <mergeCell ref="B2208:B2213"/>
    <mergeCell ref="A2303:A2308"/>
    <mergeCell ref="B2303:B2308"/>
    <mergeCell ref="A2309:A2322"/>
    <mergeCell ref="B2309:B2322"/>
    <mergeCell ref="A2323:A2328"/>
    <mergeCell ref="B2323:B2328"/>
    <mergeCell ref="A2283:A2289"/>
    <mergeCell ref="B2283:B2289"/>
    <mergeCell ref="A2290:A2296"/>
    <mergeCell ref="B2290:B2296"/>
    <mergeCell ref="A2297:A2302"/>
    <mergeCell ref="B2297:B2302"/>
    <mergeCell ref="A2262:A2269"/>
    <mergeCell ref="B2262:B2269"/>
    <mergeCell ref="A2270:A2277"/>
    <mergeCell ref="B2270:B2277"/>
    <mergeCell ref="A2278:A2282"/>
    <mergeCell ref="B2278:B2282"/>
    <mergeCell ref="A2386:A2392"/>
    <mergeCell ref="B2386:B2392"/>
    <mergeCell ref="A2393:A2398"/>
    <mergeCell ref="B2393:B2398"/>
    <mergeCell ref="A2399:A2404"/>
    <mergeCell ref="B2399:B2404"/>
    <mergeCell ref="A2359:A2368"/>
    <mergeCell ref="B2359:B2368"/>
    <mergeCell ref="A2369:A2378"/>
    <mergeCell ref="B2369:B2378"/>
    <mergeCell ref="A2379:A2385"/>
    <mergeCell ref="B2379:B2385"/>
    <mergeCell ref="A2329:A2338"/>
    <mergeCell ref="B2329:B2338"/>
    <mergeCell ref="A2339:A2348"/>
    <mergeCell ref="B2339:B2348"/>
    <mergeCell ref="A2349:A2358"/>
    <mergeCell ref="B2349:B2358"/>
    <mergeCell ref="A2438:A2445"/>
    <mergeCell ref="B2438:B2445"/>
    <mergeCell ref="A2446:A2452"/>
    <mergeCell ref="B2446:B2452"/>
    <mergeCell ref="A2453:A2458"/>
    <mergeCell ref="B2453:B2458"/>
    <mergeCell ref="A2422:A2426"/>
    <mergeCell ref="B2422:B2426"/>
    <mergeCell ref="A2427:A2431"/>
    <mergeCell ref="B2427:B2431"/>
    <mergeCell ref="A2432:A2437"/>
    <mergeCell ref="B2432:B2437"/>
    <mergeCell ref="A2405:A2410"/>
    <mergeCell ref="B2405:B2410"/>
    <mergeCell ref="A2411:A2416"/>
    <mergeCell ref="B2411:B2416"/>
    <mergeCell ref="A2417:A2421"/>
    <mergeCell ref="B2417:B2421"/>
    <mergeCell ref="A2488:A2491"/>
    <mergeCell ref="B2488:B2491"/>
    <mergeCell ref="A2492:A2495"/>
    <mergeCell ref="B2492:B2495"/>
    <mergeCell ref="A2496:A2499"/>
    <mergeCell ref="B2496:B2499"/>
    <mergeCell ref="A2476:A2479"/>
    <mergeCell ref="B2476:B2479"/>
    <mergeCell ref="A2480:A2483"/>
    <mergeCell ref="B2480:B2483"/>
    <mergeCell ref="A2484:A2487"/>
    <mergeCell ref="B2484:B2487"/>
    <mergeCell ref="A2459:A2465"/>
    <mergeCell ref="B2459:B2465"/>
    <mergeCell ref="A2466:A2471"/>
    <mergeCell ref="B2466:B2471"/>
    <mergeCell ref="A2472:A2475"/>
    <mergeCell ref="B2472:B2475"/>
    <mergeCell ref="A2524:A2527"/>
    <mergeCell ref="B2524:B2527"/>
    <mergeCell ref="A2528:A2531"/>
    <mergeCell ref="B2528:B2531"/>
    <mergeCell ref="A2532:A2535"/>
    <mergeCell ref="B2532:B2535"/>
    <mergeCell ref="A2512:A2515"/>
    <mergeCell ref="B2512:B2515"/>
    <mergeCell ref="A2516:A2519"/>
    <mergeCell ref="B2516:B2519"/>
    <mergeCell ref="A2520:A2523"/>
    <mergeCell ref="B2520:B2523"/>
    <mergeCell ref="A2500:A2503"/>
    <mergeCell ref="B2500:B2503"/>
    <mergeCell ref="A2504:A2507"/>
    <mergeCell ref="B2504:B2507"/>
    <mergeCell ref="A2508:A2511"/>
    <mergeCell ref="B2508:B2511"/>
    <mergeCell ref="A2560:A2563"/>
    <mergeCell ref="B2560:B2563"/>
    <mergeCell ref="A2564:A2567"/>
    <mergeCell ref="B2564:B2567"/>
    <mergeCell ref="A2568:A2571"/>
    <mergeCell ref="B2568:B2571"/>
    <mergeCell ref="A2548:A2551"/>
    <mergeCell ref="B2548:B2551"/>
    <mergeCell ref="A2552:A2555"/>
    <mergeCell ref="B2552:B2555"/>
    <mergeCell ref="A2556:A2559"/>
    <mergeCell ref="B2556:B2559"/>
    <mergeCell ref="A2536:A2539"/>
    <mergeCell ref="B2536:B2539"/>
    <mergeCell ref="A2540:A2543"/>
    <mergeCell ref="B2540:B2543"/>
    <mergeCell ref="A2544:A2547"/>
    <mergeCell ref="B2544:B2547"/>
    <mergeCell ref="A2596:A2599"/>
    <mergeCell ref="B2596:B2599"/>
    <mergeCell ref="A2600:A2603"/>
    <mergeCell ref="B2600:B2603"/>
    <mergeCell ref="A2604:A2607"/>
    <mergeCell ref="B2604:B2607"/>
    <mergeCell ref="A2584:A2587"/>
    <mergeCell ref="B2584:B2587"/>
    <mergeCell ref="A2588:A2591"/>
    <mergeCell ref="B2588:B2591"/>
    <mergeCell ref="A2592:A2595"/>
    <mergeCell ref="B2592:B2595"/>
    <mergeCell ref="A2572:A2575"/>
    <mergeCell ref="B2572:B2575"/>
    <mergeCell ref="A2576:A2579"/>
    <mergeCell ref="B2576:B2579"/>
    <mergeCell ref="A2580:A2583"/>
    <mergeCell ref="B2580:B2583"/>
    <mergeCell ref="A2632:A2635"/>
    <mergeCell ref="B2632:B2635"/>
    <mergeCell ref="A2636:A2639"/>
    <mergeCell ref="B2636:B2639"/>
    <mergeCell ref="A2640:A2643"/>
    <mergeCell ref="B2640:B2643"/>
    <mergeCell ref="A2620:A2623"/>
    <mergeCell ref="B2620:B2623"/>
    <mergeCell ref="A2624:A2627"/>
    <mergeCell ref="B2624:B2627"/>
    <mergeCell ref="A2628:A2631"/>
    <mergeCell ref="B2628:B2631"/>
    <mergeCell ref="A2608:A2611"/>
    <mergeCell ref="B2608:B2611"/>
    <mergeCell ref="A2612:A2615"/>
    <mergeCell ref="B2612:B2615"/>
    <mergeCell ref="A2616:A2619"/>
    <mergeCell ref="B2616:B2619"/>
    <mergeCell ref="A2680:A2683"/>
    <mergeCell ref="B2680:B2683"/>
    <mergeCell ref="A2684:A2687"/>
    <mergeCell ref="B2684:B2687"/>
    <mergeCell ref="A2688:A2691"/>
    <mergeCell ref="B2688:B2691"/>
    <mergeCell ref="A2664:A2671"/>
    <mergeCell ref="B2664:B2671"/>
    <mergeCell ref="A2672:A2675"/>
    <mergeCell ref="B2672:B2675"/>
    <mergeCell ref="A2676:A2679"/>
    <mergeCell ref="B2676:B2679"/>
    <mergeCell ref="A2644:A2647"/>
    <mergeCell ref="B2644:B2647"/>
    <mergeCell ref="A2648:A2655"/>
    <mergeCell ref="B2648:B2655"/>
    <mergeCell ref="A2656:A2663"/>
    <mergeCell ref="B2656:B2663"/>
    <mergeCell ref="A2716:A2719"/>
    <mergeCell ref="B2716:B2719"/>
    <mergeCell ref="A2720:A2723"/>
    <mergeCell ref="B2720:B2723"/>
    <mergeCell ref="A2724:A2727"/>
    <mergeCell ref="B2724:B2727"/>
    <mergeCell ref="A2704:A2707"/>
    <mergeCell ref="B2704:B2707"/>
    <mergeCell ref="A2708:A2711"/>
    <mergeCell ref="B2708:B2711"/>
    <mergeCell ref="A2712:A2715"/>
    <mergeCell ref="B2712:B2715"/>
    <mergeCell ref="A2692:A2695"/>
    <mergeCell ref="B2692:B2695"/>
    <mergeCell ref="A2696:A2699"/>
    <mergeCell ref="B2696:B2699"/>
    <mergeCell ref="A2700:A2703"/>
    <mergeCell ref="B2700:B2703"/>
    <mergeCell ref="A2760:A2765"/>
    <mergeCell ref="B2760:B2765"/>
    <mergeCell ref="A2766:A2771"/>
    <mergeCell ref="B2766:B2771"/>
    <mergeCell ref="A2772:A2777"/>
    <mergeCell ref="B2772:B2777"/>
    <mergeCell ref="A2742:A2747"/>
    <mergeCell ref="B2742:B2747"/>
    <mergeCell ref="A2748:A2753"/>
    <mergeCell ref="B2748:B2753"/>
    <mergeCell ref="A2754:A2759"/>
    <mergeCell ref="B2754:B2759"/>
    <mergeCell ref="A2728:A2731"/>
    <mergeCell ref="B2728:B2731"/>
    <mergeCell ref="A2732:A2735"/>
    <mergeCell ref="B2732:B2735"/>
    <mergeCell ref="A2736:A2741"/>
    <mergeCell ref="B2736:B2741"/>
    <mergeCell ref="A2808:A2811"/>
    <mergeCell ref="B2808:B2811"/>
    <mergeCell ref="A2812:A2815"/>
    <mergeCell ref="B2812:B2815"/>
    <mergeCell ref="A2816:A2819"/>
    <mergeCell ref="B2816:B2819"/>
    <mergeCell ref="A2796:A2799"/>
    <mergeCell ref="B2796:B2799"/>
    <mergeCell ref="A2800:A2803"/>
    <mergeCell ref="B2800:B2803"/>
    <mergeCell ref="A2804:A2807"/>
    <mergeCell ref="B2804:B2807"/>
    <mergeCell ref="A2778:A2783"/>
    <mergeCell ref="B2778:B2783"/>
    <mergeCell ref="A2784:A2789"/>
    <mergeCell ref="B2784:B2789"/>
    <mergeCell ref="A2790:A2795"/>
    <mergeCell ref="B2790:B2795"/>
    <mergeCell ref="A2844:A2847"/>
    <mergeCell ref="B2844:B2847"/>
    <mergeCell ref="A2848:A2851"/>
    <mergeCell ref="B2848:B2851"/>
    <mergeCell ref="A2852:A2856"/>
    <mergeCell ref="B2852:B2856"/>
    <mergeCell ref="A2832:A2835"/>
    <mergeCell ref="B2832:B2835"/>
    <mergeCell ref="A2836:A2839"/>
    <mergeCell ref="B2836:B2839"/>
    <mergeCell ref="A2840:A2843"/>
    <mergeCell ref="B2840:B2843"/>
    <mergeCell ref="A2820:A2823"/>
    <mergeCell ref="B2820:B2823"/>
    <mergeCell ref="A2824:A2827"/>
    <mergeCell ref="B2824:B2827"/>
    <mergeCell ref="A2828:A2831"/>
    <mergeCell ref="B2828:B2831"/>
    <mergeCell ref="A2898:A2902"/>
    <mergeCell ref="B2898:B2902"/>
    <mergeCell ref="A2903:A2907"/>
    <mergeCell ref="B2903:B2907"/>
    <mergeCell ref="A2908:A2914"/>
    <mergeCell ref="B2908:B2914"/>
    <mergeCell ref="A2878:A2882"/>
    <mergeCell ref="B2878:B2882"/>
    <mergeCell ref="A2883:A2892"/>
    <mergeCell ref="B2883:B2892"/>
    <mergeCell ref="A2893:A2897"/>
    <mergeCell ref="B2893:B2897"/>
    <mergeCell ref="A2857:A2866"/>
    <mergeCell ref="B2857:B2866"/>
    <mergeCell ref="A2867:A2872"/>
    <mergeCell ref="B2867:B2872"/>
    <mergeCell ref="A2873:A2877"/>
    <mergeCell ref="B2873:B2877"/>
    <mergeCell ref="A2945:A2949"/>
    <mergeCell ref="B2945:B2949"/>
    <mergeCell ref="A2950:A2954"/>
    <mergeCell ref="B2950:B2954"/>
    <mergeCell ref="A2955:A2961"/>
    <mergeCell ref="B2955:B2961"/>
    <mergeCell ref="A2930:A2934"/>
    <mergeCell ref="B2930:B2934"/>
    <mergeCell ref="A2935:A2939"/>
    <mergeCell ref="B2935:B2939"/>
    <mergeCell ref="A2940:A2944"/>
    <mergeCell ref="B2940:B2944"/>
    <mergeCell ref="A2915:A2919"/>
    <mergeCell ref="B2915:B2919"/>
    <mergeCell ref="A2920:A2924"/>
    <mergeCell ref="B2920:B2924"/>
    <mergeCell ref="A2925:A2929"/>
    <mergeCell ref="B2925:B2929"/>
    <mergeCell ref="A3001:A3008"/>
    <mergeCell ref="B3001:B3008"/>
    <mergeCell ref="A3009:A3016"/>
    <mergeCell ref="B3009:B3016"/>
    <mergeCell ref="A3017:A3021"/>
    <mergeCell ref="B3017:B3021"/>
    <mergeCell ref="A2977:A2984"/>
    <mergeCell ref="B2977:B2984"/>
    <mergeCell ref="A2985:A2992"/>
    <mergeCell ref="B2985:B2992"/>
    <mergeCell ref="A2993:A3000"/>
    <mergeCell ref="B2993:B3000"/>
    <mergeCell ref="A2962:A2966"/>
    <mergeCell ref="B2962:B2966"/>
    <mergeCell ref="A2967:A2971"/>
    <mergeCell ref="B2967:B2971"/>
    <mergeCell ref="A2972:A2976"/>
    <mergeCell ref="B2972:B2976"/>
    <mergeCell ref="A3052:A3056"/>
    <mergeCell ref="B3052:B3056"/>
    <mergeCell ref="A3057:A3061"/>
    <mergeCell ref="B3057:B3061"/>
    <mergeCell ref="A3062:A3066"/>
    <mergeCell ref="B3062:B3066"/>
    <mergeCell ref="A3037:A3041"/>
    <mergeCell ref="B3037:B3041"/>
    <mergeCell ref="A3042:A3046"/>
    <mergeCell ref="B3042:B3046"/>
    <mergeCell ref="A3047:A3051"/>
    <mergeCell ref="B3047:B3051"/>
    <mergeCell ref="A3022:A3026"/>
    <mergeCell ref="B3022:B3026"/>
    <mergeCell ref="A3027:A3031"/>
    <mergeCell ref="B3027:B3031"/>
    <mergeCell ref="A3032:A3036"/>
    <mergeCell ref="B3032:B3036"/>
    <mergeCell ref="A3102:A3106"/>
    <mergeCell ref="B3102:B3106"/>
    <mergeCell ref="A3107:A3111"/>
    <mergeCell ref="B3107:B3111"/>
    <mergeCell ref="A3112:A3116"/>
    <mergeCell ref="B3112:B3116"/>
    <mergeCell ref="A3087:A3091"/>
    <mergeCell ref="B3087:B3091"/>
    <mergeCell ref="A3092:A3096"/>
    <mergeCell ref="B3092:B3096"/>
    <mergeCell ref="A3097:A3101"/>
    <mergeCell ref="B3097:B3101"/>
    <mergeCell ref="A3067:A3076"/>
    <mergeCell ref="B3067:B3076"/>
    <mergeCell ref="A3077:A3081"/>
    <mergeCell ref="B3077:B3081"/>
    <mergeCell ref="A3082:A3086"/>
    <mergeCell ref="B3082:B3086"/>
    <mergeCell ref="A3155:A3159"/>
    <mergeCell ref="B3155:B3159"/>
    <mergeCell ref="A3160:A3167"/>
    <mergeCell ref="B3160:B3167"/>
    <mergeCell ref="A3168:A3172"/>
    <mergeCell ref="B3168:B3172"/>
    <mergeCell ref="A3135:A3142"/>
    <mergeCell ref="B3135:B3142"/>
    <mergeCell ref="A3143:A3146"/>
    <mergeCell ref="B3143:B3146"/>
    <mergeCell ref="A3147:A3154"/>
    <mergeCell ref="B3147:B3154"/>
    <mergeCell ref="A3117:A3121"/>
    <mergeCell ref="B3117:B3121"/>
    <mergeCell ref="A3122:A3129"/>
    <mergeCell ref="B3122:B3129"/>
    <mergeCell ref="A3130:A3134"/>
    <mergeCell ref="B3130:B3134"/>
    <mergeCell ref="A3203:A3207"/>
    <mergeCell ref="B3203:B3207"/>
    <mergeCell ref="A3208:A3212"/>
    <mergeCell ref="B3208:B3212"/>
    <mergeCell ref="A3213:A3218"/>
    <mergeCell ref="B3213:B3218"/>
    <mergeCell ref="A3188:A3192"/>
    <mergeCell ref="B3188:B3192"/>
    <mergeCell ref="A3193:A3197"/>
    <mergeCell ref="B3193:B3197"/>
    <mergeCell ref="A3198:A3202"/>
    <mergeCell ref="B3198:B3202"/>
    <mergeCell ref="A3173:A3177"/>
    <mergeCell ref="B3173:B3177"/>
    <mergeCell ref="A3178:A3182"/>
    <mergeCell ref="B3178:B3182"/>
    <mergeCell ref="A3183:A3187"/>
    <mergeCell ref="B3183:B3187"/>
    <mergeCell ref="A3253:A3261"/>
    <mergeCell ref="B3253:B3261"/>
    <mergeCell ref="A3262:A3269"/>
    <mergeCell ref="B3262:B3269"/>
    <mergeCell ref="A3270:A3277"/>
    <mergeCell ref="B3270:B3277"/>
    <mergeCell ref="A3237:A3241"/>
    <mergeCell ref="B3237:B3241"/>
    <mergeCell ref="A3242:A3247"/>
    <mergeCell ref="B3242:B3247"/>
    <mergeCell ref="A3248:A3252"/>
    <mergeCell ref="B3248:B3252"/>
    <mergeCell ref="A3219:A3224"/>
    <mergeCell ref="B3219:B3224"/>
    <mergeCell ref="A3225:A3230"/>
    <mergeCell ref="B3225:B3230"/>
    <mergeCell ref="A3231:A3236"/>
    <mergeCell ref="B3231:B3236"/>
    <mergeCell ref="A3318:A3323"/>
    <mergeCell ref="B3318:B3323"/>
    <mergeCell ref="A3324:A3333"/>
    <mergeCell ref="B3324:B3333"/>
    <mergeCell ref="A3334:A3338"/>
    <mergeCell ref="B3334:B3338"/>
    <mergeCell ref="A3294:A3305"/>
    <mergeCell ref="B3294:B3305"/>
    <mergeCell ref="A3306:A3311"/>
    <mergeCell ref="B3306:B3311"/>
    <mergeCell ref="A3312:A3317"/>
    <mergeCell ref="B3312:B3317"/>
    <mergeCell ref="A3278:A3282"/>
    <mergeCell ref="B3278:B3282"/>
    <mergeCell ref="A3283:A3286"/>
    <mergeCell ref="B3283:B3286"/>
    <mergeCell ref="A3287:A3293"/>
    <mergeCell ref="B3287:B3293"/>
    <mergeCell ref="A3381:A3387"/>
    <mergeCell ref="B3381:B3387"/>
    <mergeCell ref="A3388:A3394"/>
    <mergeCell ref="B3388:B3394"/>
    <mergeCell ref="A3395:A3401"/>
    <mergeCell ref="B3395:B3401"/>
    <mergeCell ref="A3360:A3366"/>
    <mergeCell ref="B3360:B3366"/>
    <mergeCell ref="A3367:A3373"/>
    <mergeCell ref="B3367:B3373"/>
    <mergeCell ref="A3374:A3380"/>
    <mergeCell ref="B3374:B3380"/>
    <mergeCell ref="A3339:A3345"/>
    <mergeCell ref="B3339:B3345"/>
    <mergeCell ref="A3346:A3352"/>
    <mergeCell ref="B3346:B3352"/>
    <mergeCell ref="A3353:A3359"/>
    <mergeCell ref="B3353:B3359"/>
    <mergeCell ref="A3442:A3448"/>
    <mergeCell ref="B3442:B3448"/>
    <mergeCell ref="A3449:A3455"/>
    <mergeCell ref="B3449:B3455"/>
    <mergeCell ref="A3456:A3459"/>
    <mergeCell ref="B3456:B3459"/>
    <mergeCell ref="A3421:A3429"/>
    <mergeCell ref="B3421:B3429"/>
    <mergeCell ref="A3430:A3434"/>
    <mergeCell ref="B3430:B3434"/>
    <mergeCell ref="A3435:A3441"/>
    <mergeCell ref="B3435:B3441"/>
    <mergeCell ref="A3402:A3408"/>
    <mergeCell ref="B3402:B3408"/>
    <mergeCell ref="A3409:A3414"/>
    <mergeCell ref="B3409:B3414"/>
    <mergeCell ref="A3415:A3420"/>
    <mergeCell ref="B3415:B3420"/>
    <mergeCell ref="A3491:A3497"/>
    <mergeCell ref="B3491:B3497"/>
    <mergeCell ref="A3498:A3502"/>
    <mergeCell ref="B3498:B3502"/>
    <mergeCell ref="A3503:A3507"/>
    <mergeCell ref="B3503:B3507"/>
    <mergeCell ref="A3473:A3476"/>
    <mergeCell ref="B3473:B3476"/>
    <mergeCell ref="A3477:A3483"/>
    <mergeCell ref="B3477:B3483"/>
    <mergeCell ref="A3484:A3490"/>
    <mergeCell ref="B3484:B3490"/>
    <mergeCell ref="A3460:A3463"/>
    <mergeCell ref="B3460:B3463"/>
    <mergeCell ref="A3464:A3468"/>
    <mergeCell ref="B3464:B3468"/>
    <mergeCell ref="A3469:A3472"/>
    <mergeCell ref="B3469:B3472"/>
    <mergeCell ref="A3553:A3560"/>
    <mergeCell ref="B3553:B3560"/>
    <mergeCell ref="A3561:A3577"/>
    <mergeCell ref="B3561:B3577"/>
    <mergeCell ref="A3578:A3585"/>
    <mergeCell ref="B3578:B3585"/>
    <mergeCell ref="A3521:A3530"/>
    <mergeCell ref="B3521:B3530"/>
    <mergeCell ref="A3531:A3541"/>
    <mergeCell ref="B3531:B3541"/>
    <mergeCell ref="A3542:A3552"/>
    <mergeCell ref="B3542:B3552"/>
    <mergeCell ref="A3508:A3512"/>
    <mergeCell ref="B3508:B3512"/>
    <mergeCell ref="A3513:A3516"/>
    <mergeCell ref="B3513:B3516"/>
    <mergeCell ref="A3517:A3520"/>
    <mergeCell ref="B3517:B3520"/>
    <mergeCell ref="A3651:A3656"/>
    <mergeCell ref="B3651:B3656"/>
    <mergeCell ref="A3657:A3664"/>
    <mergeCell ref="B3657:B3664"/>
    <mergeCell ref="A3665:A3671"/>
    <mergeCell ref="B3665:B3671"/>
    <mergeCell ref="A3622:A3628"/>
    <mergeCell ref="B3622:B3628"/>
    <mergeCell ref="A3629:A3644"/>
    <mergeCell ref="B3629:B3644"/>
    <mergeCell ref="A3645:A3650"/>
    <mergeCell ref="B3645:B3650"/>
    <mergeCell ref="A3586:A3602"/>
    <mergeCell ref="B3586:B3602"/>
    <mergeCell ref="A3603:A3612"/>
    <mergeCell ref="B3603:B3612"/>
    <mergeCell ref="A3613:A3621"/>
    <mergeCell ref="B3613:B3621"/>
    <mergeCell ref="A3715:A3719"/>
    <mergeCell ref="B3715:B3719"/>
    <mergeCell ref="A3720:A3724"/>
    <mergeCell ref="B3720:B3724"/>
    <mergeCell ref="A3725:A3732"/>
    <mergeCell ref="B3725:B3732"/>
    <mergeCell ref="A3692:A3698"/>
    <mergeCell ref="B3692:B3698"/>
    <mergeCell ref="A3699:A3704"/>
    <mergeCell ref="B3699:B3704"/>
    <mergeCell ref="A3705:A3714"/>
    <mergeCell ref="B3705:B3714"/>
    <mergeCell ref="A3672:A3676"/>
    <mergeCell ref="B3672:B3676"/>
    <mergeCell ref="A3677:A3686"/>
    <mergeCell ref="B3677:B3686"/>
    <mergeCell ref="A3687:A3691"/>
    <mergeCell ref="B3687:B3691"/>
    <mergeCell ref="A3791:A3801"/>
    <mergeCell ref="B3791:B3801"/>
    <mergeCell ref="A3802:A3805"/>
    <mergeCell ref="B3802:B3805"/>
    <mergeCell ref="A3806:A3815"/>
    <mergeCell ref="B3806:B3815"/>
    <mergeCell ref="A3758:A3765"/>
    <mergeCell ref="B3758:B3765"/>
    <mergeCell ref="A3766:A3777"/>
    <mergeCell ref="B3766:B3777"/>
    <mergeCell ref="A3778:A3790"/>
    <mergeCell ref="B3778:B3790"/>
    <mergeCell ref="A3733:A3736"/>
    <mergeCell ref="B3733:B3736"/>
    <mergeCell ref="A3737:A3742"/>
    <mergeCell ref="B3737:B3742"/>
    <mergeCell ref="A3743:A3757"/>
    <mergeCell ref="B3743:B3757"/>
    <mergeCell ref="A3849:A3854"/>
    <mergeCell ref="B3849:B3854"/>
    <mergeCell ref="A3855:A3860"/>
    <mergeCell ref="B3855:B3860"/>
    <mergeCell ref="A3861:A3866"/>
    <mergeCell ref="B3861:B3866"/>
    <mergeCell ref="A3837:A3840"/>
    <mergeCell ref="B3837:B3840"/>
    <mergeCell ref="A3841:A3844"/>
    <mergeCell ref="B3841:B3844"/>
    <mergeCell ref="A3845:A3848"/>
    <mergeCell ref="B3845:B3848"/>
    <mergeCell ref="A3816:A3820"/>
    <mergeCell ref="B3816:B3820"/>
    <mergeCell ref="A3821:A3829"/>
    <mergeCell ref="B3821:B3829"/>
    <mergeCell ref="A3830:A3836"/>
    <mergeCell ref="B3830:B3836"/>
    <mergeCell ref="A3903:A3908"/>
    <mergeCell ref="B3903:B3908"/>
    <mergeCell ref="A3909:A3913"/>
    <mergeCell ref="B3909:B3913"/>
    <mergeCell ref="A3914:A3925"/>
    <mergeCell ref="B3914:B3925"/>
    <mergeCell ref="A3885:A3890"/>
    <mergeCell ref="B3885:B3890"/>
    <mergeCell ref="A3891:A3896"/>
    <mergeCell ref="B3891:B3896"/>
    <mergeCell ref="A3897:A3902"/>
    <mergeCell ref="B3897:B3902"/>
    <mergeCell ref="A3867:A3872"/>
    <mergeCell ref="B3867:B3872"/>
    <mergeCell ref="A3873:A3878"/>
    <mergeCell ref="B3873:B3878"/>
    <mergeCell ref="A3879:A3884"/>
    <mergeCell ref="B3879:B3884"/>
    <mergeCell ref="A3987:A4004"/>
    <mergeCell ref="B3987:B4004"/>
    <mergeCell ref="A4005:A4010"/>
    <mergeCell ref="B4005:B4010"/>
    <mergeCell ref="A4011:A4016"/>
    <mergeCell ref="B4011:B4016"/>
    <mergeCell ref="A3953:A3964"/>
    <mergeCell ref="B3953:B3964"/>
    <mergeCell ref="A3965:A3979"/>
    <mergeCell ref="B3965:B3979"/>
    <mergeCell ref="A3980:A3986"/>
    <mergeCell ref="B3980:B3986"/>
    <mergeCell ref="A3926:A3935"/>
    <mergeCell ref="B3926:B3935"/>
    <mergeCell ref="A3936:A3944"/>
    <mergeCell ref="B3936:B3944"/>
    <mergeCell ref="A3945:A3952"/>
    <mergeCell ref="B3945:B3952"/>
    <mergeCell ref="A4064:A4071"/>
    <mergeCell ref="B4064:B4071"/>
    <mergeCell ref="A4072:A4083"/>
    <mergeCell ref="B4072:B4083"/>
    <mergeCell ref="A4084:A4096"/>
    <mergeCell ref="B4084:B4096"/>
    <mergeCell ref="A4039:A4046"/>
    <mergeCell ref="B4039:B4046"/>
    <mergeCell ref="A4047:A4056"/>
    <mergeCell ref="B4047:B4056"/>
    <mergeCell ref="A4057:A4063"/>
    <mergeCell ref="B4057:B4063"/>
    <mergeCell ref="A4017:A4022"/>
    <mergeCell ref="B4017:B4022"/>
    <mergeCell ref="A4023:A4029"/>
    <mergeCell ref="B4023:B4029"/>
    <mergeCell ref="A4030:A4038"/>
    <mergeCell ref="B4030:B4038"/>
    <mergeCell ref="A4137:A4145"/>
    <mergeCell ref="B4137:B4145"/>
    <mergeCell ref="A4146:A4154"/>
    <mergeCell ref="B4146:B4154"/>
    <mergeCell ref="A4155:A4163"/>
    <mergeCell ref="B4155:B4163"/>
    <mergeCell ref="A4110:A4118"/>
    <mergeCell ref="B4110:B4118"/>
    <mergeCell ref="A4119:A4127"/>
    <mergeCell ref="B4119:B4127"/>
    <mergeCell ref="A4128:A4136"/>
    <mergeCell ref="B4128:B4136"/>
    <mergeCell ref="A4097:A4101"/>
    <mergeCell ref="B4097:B4101"/>
    <mergeCell ref="A4102:A4105"/>
    <mergeCell ref="B4102:B4105"/>
    <mergeCell ref="A4106:A4109"/>
    <mergeCell ref="B4106:B4109"/>
    <mergeCell ref="A4207:A4210"/>
    <mergeCell ref="B4207:B4210"/>
    <mergeCell ref="A4211:A4217"/>
    <mergeCell ref="B4211:B4217"/>
    <mergeCell ref="A4218:A4225"/>
    <mergeCell ref="B4218:B4225"/>
    <mergeCell ref="A4188:A4193"/>
    <mergeCell ref="B4188:B4193"/>
    <mergeCell ref="A4194:A4200"/>
    <mergeCell ref="B4194:B4200"/>
    <mergeCell ref="A4201:A4206"/>
    <mergeCell ref="B4201:B4206"/>
    <mergeCell ref="A4164:A4172"/>
    <mergeCell ref="B4164:B4172"/>
    <mergeCell ref="A4173:A4181"/>
    <mergeCell ref="B4173:B4181"/>
    <mergeCell ref="A4182:A4187"/>
    <mergeCell ref="B4182:B4187"/>
    <mergeCell ref="A4276:A4279"/>
    <mergeCell ref="B4276:B4279"/>
    <mergeCell ref="A4280:A4287"/>
    <mergeCell ref="B4280:B4287"/>
    <mergeCell ref="A4288:A4294"/>
    <mergeCell ref="B4288:B4294"/>
    <mergeCell ref="A4246:A4253"/>
    <mergeCell ref="B4246:B4253"/>
    <mergeCell ref="A4254:A4264"/>
    <mergeCell ref="B4254:B4264"/>
    <mergeCell ref="A4265:A4275"/>
    <mergeCell ref="B4265:B4275"/>
    <mergeCell ref="A4226:A4233"/>
    <mergeCell ref="B4226:B4233"/>
    <mergeCell ref="A4234:A4241"/>
    <mergeCell ref="B4234:B4241"/>
    <mergeCell ref="A4242:A4245"/>
    <mergeCell ref="B4242:B4245"/>
    <mergeCell ref="A4337:A4344"/>
    <mergeCell ref="B4337:B4344"/>
    <mergeCell ref="A4345:A4353"/>
    <mergeCell ref="B4345:B4353"/>
    <mergeCell ref="A4354:A4360"/>
    <mergeCell ref="B4354:B4360"/>
    <mergeCell ref="A4313:A4322"/>
    <mergeCell ref="B4313:B4322"/>
    <mergeCell ref="A4323:A4328"/>
    <mergeCell ref="B4323:B4328"/>
    <mergeCell ref="A4329:A4336"/>
    <mergeCell ref="B4329:B4336"/>
    <mergeCell ref="A4295:A4300"/>
    <mergeCell ref="B4295:B4300"/>
    <mergeCell ref="A4301:A4306"/>
    <mergeCell ref="B4301:B4306"/>
    <mergeCell ref="A4307:A4312"/>
    <mergeCell ref="B4307:B4312"/>
    <mergeCell ref="A4432:A4441"/>
    <mergeCell ref="B4432:B4441"/>
    <mergeCell ref="A4442:A4450"/>
    <mergeCell ref="B4442:B4450"/>
    <mergeCell ref="A4451:A4459"/>
    <mergeCell ref="B4451:B4459"/>
    <mergeCell ref="A4383:A4398"/>
    <mergeCell ref="B4383:B4398"/>
    <mergeCell ref="A4399:A4425"/>
    <mergeCell ref="B4399:B4425"/>
    <mergeCell ref="A4426:A4431"/>
    <mergeCell ref="B4426:B4431"/>
    <mergeCell ref="A4361:A4365"/>
    <mergeCell ref="B4361:B4365"/>
    <mergeCell ref="A4366:A4373"/>
    <mergeCell ref="B4366:B4373"/>
    <mergeCell ref="A4374:A4382"/>
    <mergeCell ref="B4374:B4382"/>
    <mergeCell ref="A4514:A4523"/>
    <mergeCell ref="B4514:B4523"/>
    <mergeCell ref="A4524:A4533"/>
    <mergeCell ref="B4524:B4533"/>
    <mergeCell ref="A4534:A4541"/>
    <mergeCell ref="B4534:B4541"/>
    <mergeCell ref="A4488:A4495"/>
    <mergeCell ref="B4488:B4495"/>
    <mergeCell ref="A4496:A4503"/>
    <mergeCell ref="B4496:B4503"/>
    <mergeCell ref="A4504:A4513"/>
    <mergeCell ref="B4504:B4513"/>
    <mergeCell ref="A4460:A4468"/>
    <mergeCell ref="B4460:B4468"/>
    <mergeCell ref="A4469:A4477"/>
    <mergeCell ref="B4469:B4477"/>
    <mergeCell ref="A4478:A4487"/>
    <mergeCell ref="B4478:B4487"/>
    <mergeCell ref="A4608:A4613"/>
    <mergeCell ref="B4608:B4613"/>
    <mergeCell ref="A4614:A4618"/>
    <mergeCell ref="B4614:B4618"/>
    <mergeCell ref="A4619:A4623"/>
    <mergeCell ref="B4619:B4623"/>
    <mergeCell ref="A4572:A4591"/>
    <mergeCell ref="B4572:B4591"/>
    <mergeCell ref="A4592:A4599"/>
    <mergeCell ref="B4592:B4599"/>
    <mergeCell ref="A4600:A4607"/>
    <mergeCell ref="B4600:B4607"/>
    <mergeCell ref="A4542:A4556"/>
    <mergeCell ref="B4542:B4556"/>
    <mergeCell ref="A4557:A4565"/>
    <mergeCell ref="B4557:B4565"/>
    <mergeCell ref="A4566:A4571"/>
    <mergeCell ref="B4566:B4571"/>
    <mergeCell ref="A4676:A4694"/>
    <mergeCell ref="B4676:B4694"/>
    <mergeCell ref="A4695:A4702"/>
    <mergeCell ref="B4695:B4702"/>
    <mergeCell ref="A4703:A4711"/>
    <mergeCell ref="B4703:B4711"/>
    <mergeCell ref="A4646:A4651"/>
    <mergeCell ref="B4646:B4651"/>
    <mergeCell ref="A4652:A4663"/>
    <mergeCell ref="B4652:B4663"/>
    <mergeCell ref="A4664:A4675"/>
    <mergeCell ref="B4664:B4675"/>
    <mergeCell ref="A4624:A4632"/>
    <mergeCell ref="B4624:B4632"/>
    <mergeCell ref="A4633:A4640"/>
    <mergeCell ref="B4633:B4640"/>
    <mergeCell ref="A4641:A4645"/>
    <mergeCell ref="B4641:B4645"/>
    <mergeCell ref="A4761:A4768"/>
    <mergeCell ref="B4761:B4768"/>
    <mergeCell ref="A4769:A4779"/>
    <mergeCell ref="B4769:B4779"/>
    <mergeCell ref="A4780:A4785"/>
    <mergeCell ref="B4780:B4785"/>
    <mergeCell ref="A4738:A4745"/>
    <mergeCell ref="B4738:B4745"/>
    <mergeCell ref="A4746:A4752"/>
    <mergeCell ref="B4746:B4752"/>
    <mergeCell ref="A4753:A4760"/>
    <mergeCell ref="B4753:B4760"/>
    <mergeCell ref="A4712:A4719"/>
    <mergeCell ref="B4712:B4719"/>
    <mergeCell ref="A4720:A4725"/>
    <mergeCell ref="B4720:B4725"/>
    <mergeCell ref="A4726:A4737"/>
    <mergeCell ref="B4726:B4737"/>
    <mergeCell ref="A4833:A4836"/>
    <mergeCell ref="B4833:B4836"/>
    <mergeCell ref="A4837:A4840"/>
    <mergeCell ref="B4837:B4840"/>
    <mergeCell ref="A4841:A4844"/>
    <mergeCell ref="B4841:B4844"/>
    <mergeCell ref="A4815:A4818"/>
    <mergeCell ref="B4815:B4818"/>
    <mergeCell ref="A4819:A4824"/>
    <mergeCell ref="B4819:B4824"/>
    <mergeCell ref="A4825:A4832"/>
    <mergeCell ref="B4825:B4832"/>
    <mergeCell ref="A4786:A4793"/>
    <mergeCell ref="B4786:B4793"/>
    <mergeCell ref="A4794:A4802"/>
    <mergeCell ref="B4794:B4802"/>
    <mergeCell ref="A4803:A4814"/>
    <mergeCell ref="B4803:B4814"/>
    <mergeCell ref="A4869:A4879"/>
    <mergeCell ref="B4869:B4879"/>
    <mergeCell ref="A4880:A4884"/>
    <mergeCell ref="B4880:B4884"/>
    <mergeCell ref="A4885:A4889"/>
    <mergeCell ref="B4885:B4889"/>
    <mergeCell ref="A4857:A4860"/>
    <mergeCell ref="B4857:B4860"/>
    <mergeCell ref="A4861:A4864"/>
    <mergeCell ref="B4861:B4864"/>
    <mergeCell ref="A4865:A4868"/>
    <mergeCell ref="B4865:B4868"/>
    <mergeCell ref="A4845:A4848"/>
    <mergeCell ref="B4845:B4848"/>
    <mergeCell ref="A4849:A4852"/>
    <mergeCell ref="B4849:B4852"/>
    <mergeCell ref="A4853:A4856"/>
    <mergeCell ref="B4853:B4856"/>
    <mergeCell ref="A4933:A4940"/>
    <mergeCell ref="B4933:B4940"/>
    <mergeCell ref="A4941:A4948"/>
    <mergeCell ref="B4941:B4948"/>
    <mergeCell ref="A4949:A4956"/>
    <mergeCell ref="B4949:B4956"/>
    <mergeCell ref="A4915:A4919"/>
    <mergeCell ref="B4915:B4919"/>
    <mergeCell ref="A4920:A4924"/>
    <mergeCell ref="B4920:B4924"/>
    <mergeCell ref="A4925:A4932"/>
    <mergeCell ref="B4925:B4932"/>
    <mergeCell ref="A4890:A4899"/>
    <mergeCell ref="B4890:B4899"/>
    <mergeCell ref="A4900:A4909"/>
    <mergeCell ref="B4900:B4909"/>
    <mergeCell ref="A4910:A4914"/>
    <mergeCell ref="B4910:B4914"/>
    <mergeCell ref="A5008:A5014"/>
    <mergeCell ref="B5008:B5014"/>
    <mergeCell ref="A5015:A5021"/>
    <mergeCell ref="B5015:B5021"/>
    <mergeCell ref="A5022:A5028"/>
    <mergeCell ref="B5022:B5028"/>
    <mergeCell ref="A4981:A4988"/>
    <mergeCell ref="B4981:B4988"/>
    <mergeCell ref="A4989:A4998"/>
    <mergeCell ref="B4989:B4998"/>
    <mergeCell ref="A4999:A5007"/>
    <mergeCell ref="B4999:B5007"/>
    <mergeCell ref="A4957:A4964"/>
    <mergeCell ref="B4957:B4964"/>
    <mergeCell ref="A4965:A4972"/>
    <mergeCell ref="B4965:B4972"/>
    <mergeCell ref="A4973:A4980"/>
    <mergeCell ref="B4973:B4980"/>
    <mergeCell ref="A5069:A5075"/>
    <mergeCell ref="B5069:B5075"/>
    <mergeCell ref="A5076:A5080"/>
    <mergeCell ref="B5076:B5080"/>
    <mergeCell ref="A5081:A5086"/>
    <mergeCell ref="B5081:B5086"/>
    <mergeCell ref="A5048:A5054"/>
    <mergeCell ref="B5048:B5054"/>
    <mergeCell ref="A5055:A5061"/>
    <mergeCell ref="B5055:B5061"/>
    <mergeCell ref="A5062:A5068"/>
    <mergeCell ref="B5062:B5068"/>
    <mergeCell ref="A5029:A5035"/>
    <mergeCell ref="B5029:B5035"/>
    <mergeCell ref="A5036:A5042"/>
    <mergeCell ref="B5036:B5042"/>
    <mergeCell ref="A5043:A5047"/>
    <mergeCell ref="B5043:B5047"/>
    <mergeCell ref="A5125:A5131"/>
    <mergeCell ref="B5125:B5131"/>
    <mergeCell ref="A5132:A5135"/>
    <mergeCell ref="B5132:B5135"/>
    <mergeCell ref="A5136:A5141"/>
    <mergeCell ref="B5136:B5141"/>
    <mergeCell ref="A5105:A5111"/>
    <mergeCell ref="B5105:B5111"/>
    <mergeCell ref="A5112:A5116"/>
    <mergeCell ref="B5112:B5116"/>
    <mergeCell ref="A5117:A5124"/>
    <mergeCell ref="B5117:B5124"/>
    <mergeCell ref="A5087:A5092"/>
    <mergeCell ref="B5087:B5092"/>
    <mergeCell ref="A5093:A5098"/>
    <mergeCell ref="B5093:B5098"/>
    <mergeCell ref="A5099:A5104"/>
    <mergeCell ref="B5099:B5104"/>
    <mergeCell ref="A5184:A5189"/>
    <mergeCell ref="B5184:B5189"/>
    <mergeCell ref="A5190:A5195"/>
    <mergeCell ref="B5190:B5195"/>
    <mergeCell ref="A5196:A5201"/>
    <mergeCell ref="B5196:B5201"/>
    <mergeCell ref="A5163:A5169"/>
    <mergeCell ref="B5163:B5169"/>
    <mergeCell ref="A5170:A5177"/>
    <mergeCell ref="B5170:B5177"/>
    <mergeCell ref="A5178:A5183"/>
    <mergeCell ref="B5178:B5183"/>
    <mergeCell ref="A5142:A5147"/>
    <mergeCell ref="B5142:B5147"/>
    <mergeCell ref="A5148:A5155"/>
    <mergeCell ref="B5148:B5155"/>
    <mergeCell ref="A5156:A5162"/>
    <mergeCell ref="B5156:B5162"/>
    <mergeCell ref="A5252:A5259"/>
    <mergeCell ref="B5252:B5259"/>
    <mergeCell ref="A5260:A5267"/>
    <mergeCell ref="B5260:B5267"/>
    <mergeCell ref="A5268:A5273"/>
    <mergeCell ref="B5268:B5273"/>
    <mergeCell ref="A5230:A5235"/>
    <mergeCell ref="B5230:B5235"/>
    <mergeCell ref="A5236:A5243"/>
    <mergeCell ref="B5236:B5243"/>
    <mergeCell ref="A5244:A5251"/>
    <mergeCell ref="B5244:B5251"/>
    <mergeCell ref="A5202:A5211"/>
    <mergeCell ref="B5202:B5211"/>
    <mergeCell ref="A5212:A5218"/>
    <mergeCell ref="B5212:B5218"/>
    <mergeCell ref="A5219:A5229"/>
    <mergeCell ref="B5219:B5229"/>
    <mergeCell ref="A5329:A5343"/>
    <mergeCell ref="B5329:B5343"/>
    <mergeCell ref="A5344:A5350"/>
    <mergeCell ref="B5344:B5350"/>
    <mergeCell ref="A5351:A5357"/>
    <mergeCell ref="B5351:B5357"/>
    <mergeCell ref="A5298:A5305"/>
    <mergeCell ref="B5298:B5305"/>
    <mergeCell ref="A5306:A5313"/>
    <mergeCell ref="B5306:B5313"/>
    <mergeCell ref="A5314:A5328"/>
    <mergeCell ref="B5314:B5328"/>
    <mergeCell ref="A5274:A5281"/>
    <mergeCell ref="B5274:B5281"/>
    <mergeCell ref="A5282:A5289"/>
    <mergeCell ref="B5282:B5289"/>
    <mergeCell ref="A5290:A5297"/>
    <mergeCell ref="B5290:B5297"/>
    <mergeCell ref="A5408:A5413"/>
    <mergeCell ref="B5408:B5413"/>
    <mergeCell ref="A5414:A5420"/>
    <mergeCell ref="B5414:B5420"/>
    <mergeCell ref="A5421:A5427"/>
    <mergeCell ref="B5421:B5427"/>
    <mergeCell ref="A5381:A5387"/>
    <mergeCell ref="B5381:B5387"/>
    <mergeCell ref="A5388:A5399"/>
    <mergeCell ref="B5388:B5399"/>
    <mergeCell ref="A5400:A5407"/>
    <mergeCell ref="B5400:B5407"/>
    <mergeCell ref="A5358:A5368"/>
    <mergeCell ref="B5358:B5368"/>
    <mergeCell ref="A5369:A5374"/>
    <mergeCell ref="B5369:B5374"/>
    <mergeCell ref="A5375:A5380"/>
    <mergeCell ref="B5375:B5380"/>
    <mergeCell ref="A5466:A5471"/>
    <mergeCell ref="B5466:B5471"/>
    <mergeCell ref="A5472:A5477"/>
    <mergeCell ref="B5472:B5477"/>
    <mergeCell ref="A5478:A5483"/>
    <mergeCell ref="B5478:B5483"/>
    <mergeCell ref="A5447:A5453"/>
    <mergeCell ref="B5447:B5453"/>
    <mergeCell ref="A5454:A5459"/>
    <mergeCell ref="B5454:B5459"/>
    <mergeCell ref="A5460:A5465"/>
    <mergeCell ref="B5460:B5465"/>
    <mergeCell ref="A5428:A5434"/>
    <mergeCell ref="B5428:B5434"/>
    <mergeCell ref="A5435:A5440"/>
    <mergeCell ref="B5435:B5440"/>
    <mergeCell ref="A5441:A5446"/>
    <mergeCell ref="B5441:B5446"/>
    <mergeCell ref="A5524:A5529"/>
    <mergeCell ref="B5524:B5529"/>
    <mergeCell ref="A5530:A5535"/>
    <mergeCell ref="B5530:B5535"/>
    <mergeCell ref="A5536:A5543"/>
    <mergeCell ref="B5536:B5543"/>
    <mergeCell ref="A5505:A5510"/>
    <mergeCell ref="B5505:B5510"/>
    <mergeCell ref="A5511:A5516"/>
    <mergeCell ref="B5511:B5516"/>
    <mergeCell ref="A5517:A5523"/>
    <mergeCell ref="B5517:B5523"/>
    <mergeCell ref="A5484:A5490"/>
    <mergeCell ref="B5484:B5490"/>
    <mergeCell ref="A5491:A5497"/>
    <mergeCell ref="B5491:B5497"/>
    <mergeCell ref="A5498:A5504"/>
    <mergeCell ref="B5498:B5504"/>
    <mergeCell ref="A5598:A5603"/>
    <mergeCell ref="B5598:B5603"/>
    <mergeCell ref="A5604:A5610"/>
    <mergeCell ref="B5604:B5610"/>
    <mergeCell ref="A5611:A5614"/>
    <mergeCell ref="B5611:B5614"/>
    <mergeCell ref="A5570:A5579"/>
    <mergeCell ref="B5570:B5579"/>
    <mergeCell ref="A5580:A5591"/>
    <mergeCell ref="B5580:B5591"/>
    <mergeCell ref="A5592:A5597"/>
    <mergeCell ref="B5592:B5597"/>
    <mergeCell ref="A5544:A5552"/>
    <mergeCell ref="B5544:B5552"/>
    <mergeCell ref="A5553:A5561"/>
    <mergeCell ref="B5553:B5561"/>
    <mergeCell ref="A5562:A5569"/>
    <mergeCell ref="B5562:B5569"/>
    <mergeCell ref="A5648:A5653"/>
    <mergeCell ref="B5648:B5653"/>
    <mergeCell ref="A5654:A5659"/>
    <mergeCell ref="B5654:B5659"/>
    <mergeCell ref="A5660:A5665"/>
    <mergeCell ref="B5660:B5665"/>
    <mergeCell ref="A5633:A5636"/>
    <mergeCell ref="B5633:B5636"/>
    <mergeCell ref="A5637:A5643"/>
    <mergeCell ref="B5637:B5643"/>
    <mergeCell ref="A5644:A5647"/>
    <mergeCell ref="B5644:B5647"/>
    <mergeCell ref="A5615:A5620"/>
    <mergeCell ref="B5615:B5620"/>
    <mergeCell ref="A5621:A5626"/>
    <mergeCell ref="B5621:B5626"/>
    <mergeCell ref="A5627:A5632"/>
    <mergeCell ref="B5627:B5632"/>
    <mergeCell ref="A5702:A5707"/>
    <mergeCell ref="B5702:B5707"/>
    <mergeCell ref="A5708:A5713"/>
    <mergeCell ref="B5708:B5713"/>
    <mergeCell ref="A5714:A5719"/>
    <mergeCell ref="B5714:B5719"/>
    <mergeCell ref="A5684:A5689"/>
    <mergeCell ref="B5684:B5689"/>
    <mergeCell ref="A5690:A5695"/>
    <mergeCell ref="B5690:B5695"/>
    <mergeCell ref="A5696:A5701"/>
    <mergeCell ref="B5696:B5701"/>
    <mergeCell ref="A5666:A5671"/>
    <mergeCell ref="B5666:B5671"/>
    <mergeCell ref="A5672:A5677"/>
    <mergeCell ref="B5672:B5677"/>
    <mergeCell ref="A5678:A5683"/>
    <mergeCell ref="B5678:B5683"/>
    <mergeCell ref="A5756:A5761"/>
    <mergeCell ref="B5756:B5761"/>
    <mergeCell ref="A5762:A5767"/>
    <mergeCell ref="B5762:B5767"/>
    <mergeCell ref="A5768:A5771"/>
    <mergeCell ref="B5768:B5771"/>
    <mergeCell ref="A5738:A5743"/>
    <mergeCell ref="B5738:B5743"/>
    <mergeCell ref="A5744:A5749"/>
    <mergeCell ref="B5744:B5749"/>
    <mergeCell ref="A5750:A5755"/>
    <mergeCell ref="B5750:B5755"/>
    <mergeCell ref="A5720:A5725"/>
    <mergeCell ref="B5720:B5725"/>
    <mergeCell ref="A5726:A5731"/>
    <mergeCell ref="B5726:B5731"/>
    <mergeCell ref="A5732:A5737"/>
    <mergeCell ref="B5732:B5737"/>
    <mergeCell ref="A5796:A5799"/>
    <mergeCell ref="B5796:B5799"/>
    <mergeCell ref="A5800:A5803"/>
    <mergeCell ref="B5800:B5803"/>
    <mergeCell ref="A5804:A5807"/>
    <mergeCell ref="B5804:B5807"/>
    <mergeCell ref="A5784:A5787"/>
    <mergeCell ref="B5784:B5787"/>
    <mergeCell ref="A5788:A5791"/>
    <mergeCell ref="B5788:B5791"/>
    <mergeCell ref="A5792:A5795"/>
    <mergeCell ref="B5792:B5795"/>
    <mergeCell ref="A5772:A5775"/>
    <mergeCell ref="B5772:B5775"/>
    <mergeCell ref="A5776:A5779"/>
    <mergeCell ref="B5776:B5779"/>
    <mergeCell ref="A5780:A5783"/>
    <mergeCell ref="B5780:B5783"/>
    <mergeCell ref="A5832:A5835"/>
    <mergeCell ref="B5832:B5835"/>
    <mergeCell ref="A5836:A5839"/>
    <mergeCell ref="B5836:B5839"/>
    <mergeCell ref="A5840:A5843"/>
    <mergeCell ref="B5840:B5843"/>
    <mergeCell ref="A5820:A5823"/>
    <mergeCell ref="B5820:B5823"/>
    <mergeCell ref="A5824:A5827"/>
    <mergeCell ref="B5824:B5827"/>
    <mergeCell ref="A5828:A5831"/>
    <mergeCell ref="B5828:B5831"/>
    <mergeCell ref="A5808:A5811"/>
    <mergeCell ref="B5808:B5811"/>
    <mergeCell ref="A5812:A5815"/>
    <mergeCell ref="B5812:B5815"/>
    <mergeCell ref="A5816:A5819"/>
    <mergeCell ref="B5816:B5819"/>
    <mergeCell ref="A5868:A5871"/>
    <mergeCell ref="B5868:B5871"/>
    <mergeCell ref="A5872:A5875"/>
    <mergeCell ref="B5872:B5875"/>
    <mergeCell ref="A5876:A5879"/>
    <mergeCell ref="B5876:B5879"/>
    <mergeCell ref="A5856:A5859"/>
    <mergeCell ref="B5856:B5859"/>
    <mergeCell ref="A5860:A5863"/>
    <mergeCell ref="B5860:B5863"/>
    <mergeCell ref="A5864:A5867"/>
    <mergeCell ref="B5864:B5867"/>
    <mergeCell ref="A5844:A5847"/>
    <mergeCell ref="B5844:B5847"/>
    <mergeCell ref="A5848:A5851"/>
    <mergeCell ref="B5848:B5851"/>
    <mergeCell ref="A5852:A5855"/>
    <mergeCell ref="B5852:B5855"/>
    <mergeCell ref="A5904:A5907"/>
    <mergeCell ref="B5904:B5907"/>
    <mergeCell ref="A5908:A5911"/>
    <mergeCell ref="B5908:B5911"/>
    <mergeCell ref="A5912:A5915"/>
    <mergeCell ref="B5912:B5915"/>
    <mergeCell ref="A5892:A5895"/>
    <mergeCell ref="B5892:B5895"/>
    <mergeCell ref="A5896:A5899"/>
    <mergeCell ref="B5896:B5899"/>
    <mergeCell ref="A5900:A5903"/>
    <mergeCell ref="B5900:B5903"/>
    <mergeCell ref="A5880:A5883"/>
    <mergeCell ref="B5880:B5883"/>
    <mergeCell ref="A5884:A5887"/>
    <mergeCell ref="B5884:B5887"/>
    <mergeCell ref="A5888:A5891"/>
    <mergeCell ref="B5888:B5891"/>
    <mergeCell ref="A5940:A5943"/>
    <mergeCell ref="B5940:B5943"/>
    <mergeCell ref="A5944:A5947"/>
    <mergeCell ref="B5944:B5947"/>
    <mergeCell ref="A5948:A5951"/>
    <mergeCell ref="B5948:B5951"/>
    <mergeCell ref="A5928:A5931"/>
    <mergeCell ref="B5928:B5931"/>
    <mergeCell ref="A5932:A5935"/>
    <mergeCell ref="B5932:B5935"/>
    <mergeCell ref="A5936:A5939"/>
    <mergeCell ref="B5936:B5939"/>
    <mergeCell ref="A5916:A5919"/>
    <mergeCell ref="B5916:B5919"/>
    <mergeCell ref="A5920:A5923"/>
    <mergeCell ref="B5920:B5923"/>
    <mergeCell ref="A5924:A5927"/>
    <mergeCell ref="B5924:B5927"/>
    <mergeCell ref="A5976:A5979"/>
    <mergeCell ref="B5976:B5979"/>
    <mergeCell ref="A5980:A5983"/>
    <mergeCell ref="B5980:B5983"/>
    <mergeCell ref="A5984:A5987"/>
    <mergeCell ref="B5984:B5987"/>
    <mergeCell ref="A5964:A5967"/>
    <mergeCell ref="B5964:B5967"/>
    <mergeCell ref="A5968:A5971"/>
    <mergeCell ref="B5968:B5971"/>
    <mergeCell ref="A5972:A5975"/>
    <mergeCell ref="B5972:B5975"/>
    <mergeCell ref="A5952:A5955"/>
    <mergeCell ref="B5952:B5955"/>
    <mergeCell ref="A5956:A5959"/>
    <mergeCell ref="B5956:B5959"/>
    <mergeCell ref="A5960:A5963"/>
    <mergeCell ref="B5960:B5963"/>
    <mergeCell ref="A6012:A6015"/>
    <mergeCell ref="B6012:B6015"/>
    <mergeCell ref="A6016:A6019"/>
    <mergeCell ref="B6016:B6019"/>
    <mergeCell ref="A6020:A6023"/>
    <mergeCell ref="B6020:B6023"/>
    <mergeCell ref="A6000:A6003"/>
    <mergeCell ref="B6000:B6003"/>
    <mergeCell ref="A6004:A6007"/>
    <mergeCell ref="B6004:B6007"/>
    <mergeCell ref="A6008:A6011"/>
    <mergeCell ref="B6008:B6011"/>
    <mergeCell ref="A5988:A5991"/>
    <mergeCell ref="B5988:B5991"/>
    <mergeCell ref="A5992:A5995"/>
    <mergeCell ref="B5992:B5995"/>
    <mergeCell ref="A5996:A5999"/>
    <mergeCell ref="B5996:B5999"/>
    <mergeCell ref="A6048:A6051"/>
    <mergeCell ref="B6048:B6051"/>
    <mergeCell ref="A6052:A6055"/>
    <mergeCell ref="B6052:B6055"/>
    <mergeCell ref="A6056:A6059"/>
    <mergeCell ref="B6056:B6059"/>
    <mergeCell ref="A6036:A6039"/>
    <mergeCell ref="B6036:B6039"/>
    <mergeCell ref="A6040:A6043"/>
    <mergeCell ref="B6040:B6043"/>
    <mergeCell ref="A6044:A6047"/>
    <mergeCell ref="B6044:B6047"/>
    <mergeCell ref="A6024:A6027"/>
    <mergeCell ref="B6024:B6027"/>
    <mergeCell ref="A6028:A6031"/>
    <mergeCell ref="B6028:B6031"/>
    <mergeCell ref="A6032:A6035"/>
    <mergeCell ref="B6032:B6035"/>
    <mergeCell ref="A6084:A6087"/>
    <mergeCell ref="B6084:B6087"/>
    <mergeCell ref="A6088:A6091"/>
    <mergeCell ref="B6088:B6091"/>
    <mergeCell ref="A6092:A6095"/>
    <mergeCell ref="B6092:B6095"/>
    <mergeCell ref="A6072:A6075"/>
    <mergeCell ref="B6072:B6075"/>
    <mergeCell ref="A6076:A6079"/>
    <mergeCell ref="B6076:B6079"/>
    <mergeCell ref="A6080:A6083"/>
    <mergeCell ref="B6080:B6083"/>
    <mergeCell ref="A6060:A6063"/>
    <mergeCell ref="B6060:B6063"/>
    <mergeCell ref="A6064:A6067"/>
    <mergeCell ref="B6064:B6067"/>
    <mergeCell ref="A6068:A6071"/>
    <mergeCell ref="B6068:B6071"/>
    <mergeCell ref="A6120:A6123"/>
    <mergeCell ref="B6120:B6123"/>
    <mergeCell ref="A6124:A6127"/>
    <mergeCell ref="B6124:B6127"/>
    <mergeCell ref="A6128:A6131"/>
    <mergeCell ref="B6128:B6131"/>
    <mergeCell ref="A6108:A6111"/>
    <mergeCell ref="B6108:B6111"/>
    <mergeCell ref="A6112:A6115"/>
    <mergeCell ref="B6112:B6115"/>
    <mergeCell ref="A6116:A6119"/>
    <mergeCell ref="B6116:B6119"/>
    <mergeCell ref="A6096:A6099"/>
    <mergeCell ref="B6096:B6099"/>
    <mergeCell ref="A6100:A6103"/>
    <mergeCell ref="B6100:B6103"/>
    <mergeCell ref="A6104:A6107"/>
    <mergeCell ref="B6104:B6107"/>
    <mergeCell ref="A6156:A6159"/>
    <mergeCell ref="B6156:B6159"/>
    <mergeCell ref="A6160:A6163"/>
    <mergeCell ref="B6160:B6163"/>
    <mergeCell ref="A6164:A6167"/>
    <mergeCell ref="B6164:B6167"/>
    <mergeCell ref="A6144:A6147"/>
    <mergeCell ref="B6144:B6147"/>
    <mergeCell ref="A6148:A6151"/>
    <mergeCell ref="B6148:B6151"/>
    <mergeCell ref="A6152:A6155"/>
    <mergeCell ref="B6152:B6155"/>
    <mergeCell ref="A6132:A6135"/>
    <mergeCell ref="B6132:B6135"/>
    <mergeCell ref="A6136:A6139"/>
    <mergeCell ref="B6136:B6139"/>
    <mergeCell ref="A6140:A6143"/>
    <mergeCell ref="B6140:B6143"/>
    <mergeCell ref="A6192:A6195"/>
    <mergeCell ref="B6192:B6195"/>
    <mergeCell ref="A6196:A6199"/>
    <mergeCell ref="B6196:B6199"/>
    <mergeCell ref="A6200:A6203"/>
    <mergeCell ref="B6200:B6203"/>
    <mergeCell ref="A6180:A6183"/>
    <mergeCell ref="B6180:B6183"/>
    <mergeCell ref="A6184:A6187"/>
    <mergeCell ref="B6184:B6187"/>
    <mergeCell ref="A6188:A6191"/>
    <mergeCell ref="B6188:B6191"/>
    <mergeCell ref="A6168:A6171"/>
    <mergeCell ref="B6168:B6171"/>
    <mergeCell ref="A6172:A6175"/>
    <mergeCell ref="B6172:B6175"/>
    <mergeCell ref="A6176:A6179"/>
    <mergeCell ref="B6176:B6179"/>
    <mergeCell ref="A6228:A6231"/>
    <mergeCell ref="B6228:B6231"/>
    <mergeCell ref="A6232:A6235"/>
    <mergeCell ref="B6232:B6235"/>
    <mergeCell ref="A6236:A6239"/>
    <mergeCell ref="B6236:B6239"/>
    <mergeCell ref="A6216:A6219"/>
    <mergeCell ref="B6216:B6219"/>
    <mergeCell ref="A6220:A6223"/>
    <mergeCell ref="B6220:B6223"/>
    <mergeCell ref="A6224:A6227"/>
    <mergeCell ref="B6224:B6227"/>
    <mergeCell ref="A6204:A6207"/>
    <mergeCell ref="B6204:B6207"/>
    <mergeCell ref="A6208:A6211"/>
    <mergeCell ref="B6208:B6211"/>
    <mergeCell ref="A6212:A6215"/>
    <mergeCell ref="B6212:B6215"/>
    <mergeCell ref="A6264:A6267"/>
    <mergeCell ref="B6264:B6267"/>
    <mergeCell ref="A6268:A6271"/>
    <mergeCell ref="B6268:B6271"/>
    <mergeCell ref="A6272:A6275"/>
    <mergeCell ref="B6272:B6275"/>
    <mergeCell ref="A6252:A6255"/>
    <mergeCell ref="B6252:B6255"/>
    <mergeCell ref="A6256:A6259"/>
    <mergeCell ref="B6256:B6259"/>
    <mergeCell ref="A6260:A6263"/>
    <mergeCell ref="B6260:B6263"/>
    <mergeCell ref="A6240:A6243"/>
    <mergeCell ref="B6240:B6243"/>
    <mergeCell ref="A6244:A6247"/>
    <mergeCell ref="B6244:B6247"/>
    <mergeCell ref="A6248:A6251"/>
    <mergeCell ref="B6248:B6251"/>
    <mergeCell ref="A6300:A6307"/>
    <mergeCell ref="B6300:B6307"/>
    <mergeCell ref="A6308:A6311"/>
    <mergeCell ref="B6308:B6311"/>
    <mergeCell ref="A6312:A6315"/>
    <mergeCell ref="B6312:B6315"/>
    <mergeCell ref="A6288:A6291"/>
    <mergeCell ref="B6288:B6291"/>
    <mergeCell ref="A6292:A6295"/>
    <mergeCell ref="B6292:B6295"/>
    <mergeCell ref="A6296:A6299"/>
    <mergeCell ref="B6296:B6299"/>
    <mergeCell ref="A6276:A6279"/>
    <mergeCell ref="B6276:B6279"/>
    <mergeCell ref="A6280:A6283"/>
    <mergeCell ref="B6280:B6283"/>
    <mergeCell ref="A6284:A6287"/>
    <mergeCell ref="B6284:B6287"/>
    <mergeCell ref="A6359:A6366"/>
    <mergeCell ref="B6359:B6366"/>
    <mergeCell ref="A6367:A6374"/>
    <mergeCell ref="B6367:B6374"/>
    <mergeCell ref="A6375:A6383"/>
    <mergeCell ref="B6375:B6383"/>
    <mergeCell ref="A6342:A6348"/>
    <mergeCell ref="B6342:B6348"/>
    <mergeCell ref="A6349:A6353"/>
    <mergeCell ref="B6349:B6353"/>
    <mergeCell ref="A6354:A6358"/>
    <mergeCell ref="B6354:B6358"/>
    <mergeCell ref="A6316:A6319"/>
    <mergeCell ref="B6316:B6319"/>
    <mergeCell ref="A6320:A6330"/>
    <mergeCell ref="B6320:B6330"/>
    <mergeCell ref="A6331:A6341"/>
    <mergeCell ref="B6331:B6341"/>
    <mergeCell ref="A6424:A6434"/>
    <mergeCell ref="B6424:B6434"/>
    <mergeCell ref="A6435:A6442"/>
    <mergeCell ref="B6435:B6442"/>
    <mergeCell ref="A6443:A6450"/>
    <mergeCell ref="B6443:B6450"/>
    <mergeCell ref="A6403:A6408"/>
    <mergeCell ref="B6403:B6408"/>
    <mergeCell ref="A6409:A6414"/>
    <mergeCell ref="B6409:B6414"/>
    <mergeCell ref="A6415:A6423"/>
    <mergeCell ref="B6415:B6423"/>
    <mergeCell ref="A6384:A6389"/>
    <mergeCell ref="B6384:B6389"/>
    <mergeCell ref="A6390:A6395"/>
    <mergeCell ref="B6390:B6395"/>
    <mergeCell ref="A6396:A6402"/>
    <mergeCell ref="B6396:B6402"/>
    <mergeCell ref="A6516:A6528"/>
    <mergeCell ref="B6516:B6528"/>
    <mergeCell ref="A6529:A6543"/>
    <mergeCell ref="B6529:B6543"/>
    <mergeCell ref="A6544:A6551"/>
    <mergeCell ref="B6544:B6551"/>
    <mergeCell ref="A6492:A6501"/>
    <mergeCell ref="B6492:B6501"/>
    <mergeCell ref="A6502:A6510"/>
    <mergeCell ref="B6502:B6510"/>
    <mergeCell ref="A6511:A6515"/>
    <mergeCell ref="B6511:B6515"/>
    <mergeCell ref="A6451:A6457"/>
    <mergeCell ref="B6451:B6457"/>
    <mergeCell ref="A6458:A6467"/>
    <mergeCell ref="B6458:B6467"/>
    <mergeCell ref="A6468:A6491"/>
    <mergeCell ref="B6468:B6491"/>
    <mergeCell ref="A6582:A6586"/>
    <mergeCell ref="B6582:B6586"/>
    <mergeCell ref="A6587:A6591"/>
    <mergeCell ref="B6587:B6591"/>
    <mergeCell ref="A6592:A6595"/>
    <mergeCell ref="B6592:B6595"/>
    <mergeCell ref="A6569:A6573"/>
    <mergeCell ref="B6569:B6573"/>
    <mergeCell ref="A6574:A6577"/>
    <mergeCell ref="B6574:B6577"/>
    <mergeCell ref="A6578:A6581"/>
    <mergeCell ref="B6578:B6581"/>
    <mergeCell ref="A6552:A6557"/>
    <mergeCell ref="B6552:B6557"/>
    <mergeCell ref="A6558:A6564"/>
    <mergeCell ref="B6558:B6564"/>
    <mergeCell ref="A6565:A6568"/>
    <mergeCell ref="B6565:B6568"/>
    <mergeCell ref="A6638:A6644"/>
    <mergeCell ref="B6638:B6644"/>
    <mergeCell ref="A6645:A6651"/>
    <mergeCell ref="B6645:B6651"/>
    <mergeCell ref="A6652:A6655"/>
    <mergeCell ref="B6652:B6655"/>
    <mergeCell ref="A6617:A6623"/>
    <mergeCell ref="B6617:B6623"/>
    <mergeCell ref="A6624:A6630"/>
    <mergeCell ref="B6624:B6630"/>
    <mergeCell ref="A6631:A6637"/>
    <mergeCell ref="B6631:B6637"/>
    <mergeCell ref="A6596:A6602"/>
    <mergeCell ref="B6596:B6602"/>
    <mergeCell ref="A6603:A6607"/>
    <mergeCell ref="B6603:B6607"/>
    <mergeCell ref="A6608:A6616"/>
    <mergeCell ref="B6608:B6616"/>
    <mergeCell ref="A6680:A6683"/>
    <mergeCell ref="B6680:B6683"/>
    <mergeCell ref="A6684:A6687"/>
    <mergeCell ref="B6684:B6687"/>
    <mergeCell ref="A6688:A6691"/>
    <mergeCell ref="B6688:B6691"/>
    <mergeCell ref="A6668:A6671"/>
    <mergeCell ref="B6668:B6671"/>
    <mergeCell ref="A6672:A6675"/>
    <mergeCell ref="B6672:B6675"/>
    <mergeCell ref="A6676:A6679"/>
    <mergeCell ref="B6676:B6679"/>
    <mergeCell ref="A6656:A6659"/>
    <mergeCell ref="B6656:B6659"/>
    <mergeCell ref="A6660:A6663"/>
    <mergeCell ref="B6660:B6663"/>
    <mergeCell ref="A6664:A6667"/>
    <mergeCell ref="B6664:B6667"/>
    <mergeCell ref="A6716:A6719"/>
    <mergeCell ref="B6716:B6719"/>
    <mergeCell ref="A6720:A6723"/>
    <mergeCell ref="B6720:B6723"/>
    <mergeCell ref="A6724:A6727"/>
    <mergeCell ref="B6724:B6727"/>
    <mergeCell ref="A6704:A6707"/>
    <mergeCell ref="B6704:B6707"/>
    <mergeCell ref="A6708:A6711"/>
    <mergeCell ref="B6708:B6711"/>
    <mergeCell ref="A6712:A6715"/>
    <mergeCell ref="B6712:B6715"/>
    <mergeCell ref="A6692:A6695"/>
    <mergeCell ref="B6692:B6695"/>
    <mergeCell ref="A6696:A6699"/>
    <mergeCell ref="B6696:B6699"/>
    <mergeCell ref="A6700:A6703"/>
    <mergeCell ref="B6700:B6703"/>
    <mergeCell ref="A6752:A6755"/>
    <mergeCell ref="B6752:B6755"/>
    <mergeCell ref="A6756:A6759"/>
    <mergeCell ref="B6756:B6759"/>
    <mergeCell ref="A6760:A6763"/>
    <mergeCell ref="B6760:B6763"/>
    <mergeCell ref="A6740:A6743"/>
    <mergeCell ref="B6740:B6743"/>
    <mergeCell ref="A6744:A6747"/>
    <mergeCell ref="B6744:B6747"/>
    <mergeCell ref="A6748:A6751"/>
    <mergeCell ref="B6748:B6751"/>
    <mergeCell ref="A6728:A6731"/>
    <mergeCell ref="B6728:B6731"/>
    <mergeCell ref="A6732:A6735"/>
    <mergeCell ref="B6732:B6735"/>
    <mergeCell ref="A6736:A6739"/>
    <mergeCell ref="B6736:B6739"/>
    <mergeCell ref="A6788:A6791"/>
    <mergeCell ref="B6788:B6791"/>
    <mergeCell ref="A6792:A6795"/>
    <mergeCell ref="B6792:B6795"/>
    <mergeCell ref="A6796:A6799"/>
    <mergeCell ref="B6796:B6799"/>
    <mergeCell ref="A6776:A6779"/>
    <mergeCell ref="B6776:B6779"/>
    <mergeCell ref="A6780:A6783"/>
    <mergeCell ref="B6780:B6783"/>
    <mergeCell ref="A6784:A6787"/>
    <mergeCell ref="B6784:B6787"/>
    <mergeCell ref="A6764:A6767"/>
    <mergeCell ref="B6764:B6767"/>
    <mergeCell ref="A6768:A6771"/>
    <mergeCell ref="B6768:B6771"/>
    <mergeCell ref="A6772:A6775"/>
    <mergeCell ref="B6772:B6775"/>
    <mergeCell ref="A6824:A6827"/>
    <mergeCell ref="B6824:B6827"/>
    <mergeCell ref="A6828:A6831"/>
    <mergeCell ref="B6828:B6831"/>
    <mergeCell ref="A6832:A6835"/>
    <mergeCell ref="B6832:B6835"/>
    <mergeCell ref="A6812:A6815"/>
    <mergeCell ref="B6812:B6815"/>
    <mergeCell ref="A6816:A6819"/>
    <mergeCell ref="B6816:B6819"/>
    <mergeCell ref="A6820:A6823"/>
    <mergeCell ref="B6820:B6823"/>
    <mergeCell ref="A6800:A6803"/>
    <mergeCell ref="B6800:B6803"/>
    <mergeCell ref="A6804:A6807"/>
    <mergeCell ref="B6804:B6807"/>
    <mergeCell ref="A6808:A6811"/>
    <mergeCell ref="B6808:B6811"/>
    <mergeCell ref="A6860:A6863"/>
    <mergeCell ref="B6860:B6863"/>
    <mergeCell ref="A6864:A6867"/>
    <mergeCell ref="B6864:B6867"/>
    <mergeCell ref="A6868:A6871"/>
    <mergeCell ref="B6868:B6871"/>
    <mergeCell ref="A6848:A6851"/>
    <mergeCell ref="B6848:B6851"/>
    <mergeCell ref="A6852:A6855"/>
    <mergeCell ref="B6852:B6855"/>
    <mergeCell ref="A6856:A6859"/>
    <mergeCell ref="B6856:B6859"/>
    <mergeCell ref="A6836:A6839"/>
    <mergeCell ref="B6836:B6839"/>
    <mergeCell ref="A6840:A6843"/>
    <mergeCell ref="B6840:B6843"/>
    <mergeCell ref="A6844:A6847"/>
    <mergeCell ref="B6844:B6847"/>
    <mergeCell ref="A6896:A6899"/>
    <mergeCell ref="B6896:B6899"/>
    <mergeCell ref="A6900:A6903"/>
    <mergeCell ref="B6900:B6903"/>
    <mergeCell ref="A6904:A6907"/>
    <mergeCell ref="B6904:B6907"/>
    <mergeCell ref="A6884:A6887"/>
    <mergeCell ref="B6884:B6887"/>
    <mergeCell ref="A6888:A6891"/>
    <mergeCell ref="B6888:B6891"/>
    <mergeCell ref="A6892:A6895"/>
    <mergeCell ref="B6892:B6895"/>
    <mergeCell ref="A6872:A6875"/>
    <mergeCell ref="B6872:B6875"/>
    <mergeCell ref="A6876:A6879"/>
    <mergeCell ref="B6876:B6879"/>
    <mergeCell ref="A6880:A6883"/>
    <mergeCell ref="B6880:B6883"/>
    <mergeCell ref="A6932:A6935"/>
    <mergeCell ref="B6932:B6935"/>
    <mergeCell ref="A6936:A6939"/>
    <mergeCell ref="B6936:B6939"/>
    <mergeCell ref="A6940:A6943"/>
    <mergeCell ref="B6940:B6943"/>
    <mergeCell ref="A6920:A6923"/>
    <mergeCell ref="B6920:B6923"/>
    <mergeCell ref="A6924:A6927"/>
    <mergeCell ref="B6924:B6927"/>
    <mergeCell ref="A6928:A6931"/>
    <mergeCell ref="B6928:B6931"/>
    <mergeCell ref="A6908:A6911"/>
    <mergeCell ref="B6908:B6911"/>
    <mergeCell ref="A6912:A6915"/>
    <mergeCell ref="B6912:B6915"/>
    <mergeCell ref="A6916:A6919"/>
    <mergeCell ref="B6916:B6919"/>
    <mergeCell ref="A6968:A6971"/>
    <mergeCell ref="B6968:B6971"/>
    <mergeCell ref="A6972:A6975"/>
    <mergeCell ref="B6972:B6975"/>
    <mergeCell ref="A6976:A6979"/>
    <mergeCell ref="B6976:B6979"/>
    <mergeCell ref="A6956:A6959"/>
    <mergeCell ref="B6956:B6959"/>
    <mergeCell ref="A6960:A6963"/>
    <mergeCell ref="B6960:B6963"/>
    <mergeCell ref="A6964:A6967"/>
    <mergeCell ref="B6964:B6967"/>
    <mergeCell ref="A6944:A6947"/>
    <mergeCell ref="B6944:B6947"/>
    <mergeCell ref="A6948:A6951"/>
    <mergeCell ref="B6948:B6951"/>
    <mergeCell ref="A6952:A6955"/>
    <mergeCell ref="B6952:B6955"/>
    <mergeCell ref="A7004:A7007"/>
    <mergeCell ref="B7004:B7007"/>
    <mergeCell ref="A7008:A7011"/>
    <mergeCell ref="B7008:B7011"/>
    <mergeCell ref="A7012:A7015"/>
    <mergeCell ref="B7012:B7015"/>
    <mergeCell ref="A6992:A6995"/>
    <mergeCell ref="B6992:B6995"/>
    <mergeCell ref="A6996:A6999"/>
    <mergeCell ref="B6996:B6999"/>
    <mergeCell ref="A7000:A7003"/>
    <mergeCell ref="B7000:B7003"/>
    <mergeCell ref="A6980:A6983"/>
    <mergeCell ref="B6980:B6983"/>
    <mergeCell ref="A6984:A6987"/>
    <mergeCell ref="B6984:B6987"/>
    <mergeCell ref="A6988:A6991"/>
    <mergeCell ref="B6988:B6991"/>
    <mergeCell ref="A7040:A7043"/>
    <mergeCell ref="B7040:B7043"/>
    <mergeCell ref="A7044:A7047"/>
    <mergeCell ref="B7044:B7047"/>
    <mergeCell ref="A7048:A7051"/>
    <mergeCell ref="B7048:B7051"/>
    <mergeCell ref="A7028:A7031"/>
    <mergeCell ref="B7028:B7031"/>
    <mergeCell ref="A7032:A7035"/>
    <mergeCell ref="B7032:B7035"/>
    <mergeCell ref="A7036:A7039"/>
    <mergeCell ref="B7036:B7039"/>
    <mergeCell ref="A7016:A7019"/>
    <mergeCell ref="B7016:B7019"/>
    <mergeCell ref="A7020:A7023"/>
    <mergeCell ref="B7020:B7023"/>
    <mergeCell ref="A7024:A7027"/>
    <mergeCell ref="B7024:B7027"/>
    <mergeCell ref="A7076:A7079"/>
    <mergeCell ref="B7076:B7079"/>
    <mergeCell ref="A7080:A7083"/>
    <mergeCell ref="B7080:B7083"/>
    <mergeCell ref="A7084:A7087"/>
    <mergeCell ref="B7084:B7087"/>
    <mergeCell ref="A7064:A7067"/>
    <mergeCell ref="B7064:B7067"/>
    <mergeCell ref="A7068:A7071"/>
    <mergeCell ref="B7068:B7071"/>
    <mergeCell ref="A7072:A7075"/>
    <mergeCell ref="B7072:B7075"/>
    <mergeCell ref="A7052:A7055"/>
    <mergeCell ref="B7052:B7055"/>
    <mergeCell ref="A7056:A7059"/>
    <mergeCell ref="B7056:B7059"/>
    <mergeCell ref="A7060:A7063"/>
    <mergeCell ref="B7060:B7063"/>
    <mergeCell ref="A7112:A7115"/>
    <mergeCell ref="B7112:B7115"/>
    <mergeCell ref="A7116:A7119"/>
    <mergeCell ref="B7116:B7119"/>
    <mergeCell ref="A7120:A7123"/>
    <mergeCell ref="B7120:B7123"/>
    <mergeCell ref="A7100:A7103"/>
    <mergeCell ref="B7100:B7103"/>
    <mergeCell ref="A7104:A7107"/>
    <mergeCell ref="B7104:B7107"/>
    <mergeCell ref="A7108:A7111"/>
    <mergeCell ref="B7108:B7111"/>
    <mergeCell ref="A7088:A7091"/>
    <mergeCell ref="B7088:B7091"/>
    <mergeCell ref="A7092:A7095"/>
    <mergeCell ref="B7092:B7095"/>
    <mergeCell ref="A7096:A7099"/>
    <mergeCell ref="B7096:B7099"/>
    <mergeCell ref="A7148:A7151"/>
    <mergeCell ref="B7148:B7151"/>
    <mergeCell ref="A7152:A7155"/>
    <mergeCell ref="B7152:B7155"/>
    <mergeCell ref="A7156:A7159"/>
    <mergeCell ref="B7156:B7159"/>
    <mergeCell ref="A7136:A7139"/>
    <mergeCell ref="B7136:B7139"/>
    <mergeCell ref="A7140:A7143"/>
    <mergeCell ref="B7140:B7143"/>
    <mergeCell ref="A7144:A7147"/>
    <mergeCell ref="B7144:B7147"/>
    <mergeCell ref="A7124:A7127"/>
    <mergeCell ref="B7124:B7127"/>
    <mergeCell ref="A7128:A7131"/>
    <mergeCell ref="B7128:B7131"/>
    <mergeCell ref="A7132:A7135"/>
    <mergeCell ref="B7132:B7135"/>
    <mergeCell ref="A7184:A7187"/>
    <mergeCell ref="B7184:B7187"/>
    <mergeCell ref="A7188:A7191"/>
    <mergeCell ref="B7188:B7191"/>
    <mergeCell ref="A7192:A7195"/>
    <mergeCell ref="B7192:B7195"/>
    <mergeCell ref="A7172:A7175"/>
    <mergeCell ref="B7172:B7175"/>
    <mergeCell ref="A7176:A7179"/>
    <mergeCell ref="B7176:B7179"/>
    <mergeCell ref="A7180:A7183"/>
    <mergeCell ref="B7180:B7183"/>
    <mergeCell ref="A7160:A7163"/>
    <mergeCell ref="B7160:B7163"/>
    <mergeCell ref="A7164:A7167"/>
    <mergeCell ref="B7164:B7167"/>
    <mergeCell ref="A7168:A7171"/>
    <mergeCell ref="B7168:B7171"/>
    <mergeCell ref="A7220:A7223"/>
    <mergeCell ref="B7220:B7223"/>
    <mergeCell ref="A7224:A7227"/>
    <mergeCell ref="B7224:B7227"/>
    <mergeCell ref="A7228:A7231"/>
    <mergeCell ref="B7228:B7231"/>
    <mergeCell ref="A7208:A7211"/>
    <mergeCell ref="B7208:B7211"/>
    <mergeCell ref="A7212:A7215"/>
    <mergeCell ref="B7212:B7215"/>
    <mergeCell ref="A7216:A7219"/>
    <mergeCell ref="B7216:B7219"/>
    <mergeCell ref="A7196:A7199"/>
    <mergeCell ref="B7196:B7199"/>
    <mergeCell ref="A7200:A7203"/>
    <mergeCell ref="B7200:B7203"/>
    <mergeCell ref="A7204:A7207"/>
    <mergeCell ref="B7204:B7207"/>
    <mergeCell ref="A7256:A7259"/>
    <mergeCell ref="B7256:B7259"/>
    <mergeCell ref="A7260:A7263"/>
    <mergeCell ref="B7260:B7263"/>
    <mergeCell ref="A7264:A7267"/>
    <mergeCell ref="B7264:B7267"/>
    <mergeCell ref="A7244:A7247"/>
    <mergeCell ref="B7244:B7247"/>
    <mergeCell ref="A7248:A7251"/>
    <mergeCell ref="B7248:B7251"/>
    <mergeCell ref="A7252:A7255"/>
    <mergeCell ref="B7252:B7255"/>
    <mergeCell ref="A7232:A7235"/>
    <mergeCell ref="B7232:B7235"/>
    <mergeCell ref="A7236:A7239"/>
    <mergeCell ref="B7236:B7239"/>
    <mergeCell ref="A7240:A7243"/>
    <mergeCell ref="B7240:B7243"/>
    <mergeCell ref="A7292:A7295"/>
    <mergeCell ref="B7292:B7295"/>
    <mergeCell ref="A7296:A7299"/>
    <mergeCell ref="B7296:B7299"/>
    <mergeCell ref="A7300:A7303"/>
    <mergeCell ref="B7300:B7303"/>
    <mergeCell ref="A7280:A7283"/>
    <mergeCell ref="B7280:B7283"/>
    <mergeCell ref="A7284:A7287"/>
    <mergeCell ref="B7284:B7287"/>
    <mergeCell ref="A7288:A7291"/>
    <mergeCell ref="B7288:B7291"/>
    <mergeCell ref="A7268:A7271"/>
    <mergeCell ref="B7268:B7271"/>
    <mergeCell ref="A7272:A7275"/>
    <mergeCell ref="B7272:B7275"/>
    <mergeCell ref="A7276:A7279"/>
    <mergeCell ref="B7276:B7279"/>
    <mergeCell ref="A7340:A7345"/>
    <mergeCell ref="B7340:B7345"/>
    <mergeCell ref="A7346:A7351"/>
    <mergeCell ref="B7346:B7351"/>
    <mergeCell ref="A7352:A7357"/>
    <mergeCell ref="B7352:B7357"/>
    <mergeCell ref="A7322:A7327"/>
    <mergeCell ref="B7322:B7327"/>
    <mergeCell ref="A7328:A7333"/>
    <mergeCell ref="B7328:B7333"/>
    <mergeCell ref="A7334:A7339"/>
    <mergeCell ref="B7334:B7339"/>
    <mergeCell ref="A7304:A7309"/>
    <mergeCell ref="B7304:B7309"/>
    <mergeCell ref="A7310:A7315"/>
    <mergeCell ref="B7310:B7315"/>
    <mergeCell ref="A7316:A7321"/>
    <mergeCell ref="B7316:B7321"/>
    <mergeCell ref="A7393:A7398"/>
    <mergeCell ref="B7393:B7398"/>
    <mergeCell ref="A7399:A7411"/>
    <mergeCell ref="B7399:B7411"/>
    <mergeCell ref="A7412:A7417"/>
    <mergeCell ref="B7412:B7417"/>
    <mergeCell ref="A7372:A7375"/>
    <mergeCell ref="B7372:B7375"/>
    <mergeCell ref="A7376:A7379"/>
    <mergeCell ref="B7376:B7379"/>
    <mergeCell ref="A7380:A7392"/>
    <mergeCell ref="B7380:B7392"/>
    <mergeCell ref="A7358:A7363"/>
    <mergeCell ref="B7358:B7363"/>
    <mergeCell ref="A7364:A7367"/>
    <mergeCell ref="B7364:B7367"/>
    <mergeCell ref="A7368:A7371"/>
    <mergeCell ref="B7368:B7371"/>
    <mergeCell ref="A7448:A7451"/>
    <mergeCell ref="B7448:B7451"/>
    <mergeCell ref="A7452:A7455"/>
    <mergeCell ref="B7452:B7455"/>
    <mergeCell ref="A7456:A7462"/>
    <mergeCell ref="B7456:B7462"/>
    <mergeCell ref="A7435:A7439"/>
    <mergeCell ref="B7435:B7439"/>
    <mergeCell ref="A7440:A7443"/>
    <mergeCell ref="B7440:B7443"/>
    <mergeCell ref="A7444:A7447"/>
    <mergeCell ref="B7444:B7447"/>
    <mergeCell ref="A7418:A7424"/>
    <mergeCell ref="B7418:B7424"/>
    <mergeCell ref="A7425:A7429"/>
    <mergeCell ref="B7425:B7429"/>
    <mergeCell ref="A7430:A7434"/>
    <mergeCell ref="B7430:B7434"/>
    <mergeCell ref="A7500:A7503"/>
    <mergeCell ref="B7500:B7503"/>
    <mergeCell ref="A7504:A7507"/>
    <mergeCell ref="B7504:B7507"/>
    <mergeCell ref="A7508:A7511"/>
    <mergeCell ref="B7508:B7511"/>
    <mergeCell ref="A7483:A7489"/>
    <mergeCell ref="B7483:B7489"/>
    <mergeCell ref="A7490:A7495"/>
    <mergeCell ref="B7490:B7495"/>
    <mergeCell ref="A7496:A7499"/>
    <mergeCell ref="B7496:B7499"/>
    <mergeCell ref="A7463:A7468"/>
    <mergeCell ref="B7463:B7468"/>
    <mergeCell ref="A7469:A7475"/>
    <mergeCell ref="B7469:B7475"/>
    <mergeCell ref="A7476:A7482"/>
    <mergeCell ref="B7476:B7482"/>
    <mergeCell ref="A7536:A7539"/>
    <mergeCell ref="B7536:B7539"/>
    <mergeCell ref="A7540:A7543"/>
    <mergeCell ref="B7540:B7543"/>
    <mergeCell ref="A7544:A7547"/>
    <mergeCell ref="B7544:B7547"/>
    <mergeCell ref="A7524:A7527"/>
    <mergeCell ref="B7524:B7527"/>
    <mergeCell ref="A7528:A7531"/>
    <mergeCell ref="B7528:B7531"/>
    <mergeCell ref="A7532:A7535"/>
    <mergeCell ref="B7532:B7535"/>
    <mergeCell ref="A7512:A7515"/>
    <mergeCell ref="B7512:B7515"/>
    <mergeCell ref="A7516:A7519"/>
    <mergeCell ref="B7516:B7519"/>
    <mergeCell ref="A7520:A7523"/>
    <mergeCell ref="B7520:B7523"/>
    <mergeCell ref="A7588:A7592"/>
    <mergeCell ref="B7588:B7592"/>
    <mergeCell ref="A7593:A7599"/>
    <mergeCell ref="B7593:B7599"/>
    <mergeCell ref="A7600:A7606"/>
    <mergeCell ref="B7600:B7606"/>
    <mergeCell ref="A7569:A7576"/>
    <mergeCell ref="B7569:B7576"/>
    <mergeCell ref="A7577:A7582"/>
    <mergeCell ref="B7577:B7582"/>
    <mergeCell ref="A7583:A7587"/>
    <mergeCell ref="B7583:B7587"/>
    <mergeCell ref="A7548:A7554"/>
    <mergeCell ref="B7548:B7554"/>
    <mergeCell ref="A7555:A7560"/>
    <mergeCell ref="B7555:B7560"/>
    <mergeCell ref="A7561:A7568"/>
    <mergeCell ref="B7561:B7568"/>
    <mergeCell ref="A7647:A7652"/>
    <mergeCell ref="B7647:B7652"/>
    <mergeCell ref="A7653:A7658"/>
    <mergeCell ref="B7653:B7658"/>
    <mergeCell ref="A7659:A7667"/>
    <mergeCell ref="B7659:B7667"/>
    <mergeCell ref="A7629:A7634"/>
    <mergeCell ref="B7629:B7634"/>
    <mergeCell ref="A7635:A7640"/>
    <mergeCell ref="B7635:B7640"/>
    <mergeCell ref="A7641:A7646"/>
    <mergeCell ref="B7641:B7646"/>
    <mergeCell ref="A7607:A7615"/>
    <mergeCell ref="B7607:B7615"/>
    <mergeCell ref="A7616:A7621"/>
    <mergeCell ref="B7616:B7621"/>
    <mergeCell ref="A7622:A7628"/>
    <mergeCell ref="B7622:B7628"/>
    <mergeCell ref="A7711:A7718"/>
    <mergeCell ref="B7711:B7718"/>
    <mergeCell ref="A7719:A7726"/>
    <mergeCell ref="B7719:B7726"/>
    <mergeCell ref="A7727:A7734"/>
    <mergeCell ref="B7727:B7734"/>
    <mergeCell ref="A7689:A7695"/>
    <mergeCell ref="B7689:B7695"/>
    <mergeCell ref="A7696:A7699"/>
    <mergeCell ref="B7696:B7699"/>
    <mergeCell ref="A7700:A7710"/>
    <mergeCell ref="B7700:B7710"/>
    <mergeCell ref="A7668:A7673"/>
    <mergeCell ref="B7668:B7673"/>
    <mergeCell ref="A7674:A7681"/>
    <mergeCell ref="B7674:B7681"/>
    <mergeCell ref="A7682:A7688"/>
    <mergeCell ref="B7682:B7688"/>
    <mergeCell ref="A7782:A7795"/>
    <mergeCell ref="B7782:B7795"/>
    <mergeCell ref="A7796:A7802"/>
    <mergeCell ref="B7796:B7802"/>
    <mergeCell ref="A7803:A7806"/>
    <mergeCell ref="B7803:B7806"/>
    <mergeCell ref="A7756:A7761"/>
    <mergeCell ref="B7756:B7761"/>
    <mergeCell ref="A7762:A7767"/>
    <mergeCell ref="B7762:B7767"/>
    <mergeCell ref="A7768:A7781"/>
    <mergeCell ref="B7768:B7781"/>
    <mergeCell ref="A7735:A7740"/>
    <mergeCell ref="B7735:B7740"/>
    <mergeCell ref="A7741:A7746"/>
    <mergeCell ref="B7741:B7746"/>
    <mergeCell ref="A7747:A7755"/>
    <mergeCell ref="B7747:B7755"/>
    <mergeCell ref="A7831:A7834"/>
    <mergeCell ref="B7831:B7834"/>
    <mergeCell ref="A7835:A7838"/>
    <mergeCell ref="B7835:B7838"/>
    <mergeCell ref="A7839:A7842"/>
    <mergeCell ref="B7839:B7842"/>
    <mergeCell ref="A7819:A7822"/>
    <mergeCell ref="B7819:B7822"/>
    <mergeCell ref="A7823:A7826"/>
    <mergeCell ref="B7823:B7826"/>
    <mergeCell ref="A7827:A7830"/>
    <mergeCell ref="B7827:B7830"/>
    <mergeCell ref="A7807:A7810"/>
    <mergeCell ref="B7807:B7810"/>
    <mergeCell ref="A7811:A7814"/>
    <mergeCell ref="B7811:B7814"/>
    <mergeCell ref="A7815:A7818"/>
    <mergeCell ref="B7815:B7818"/>
    <mergeCell ref="A7867:A7870"/>
    <mergeCell ref="B7867:B7870"/>
    <mergeCell ref="A7871:A7874"/>
    <mergeCell ref="B7871:B7874"/>
    <mergeCell ref="A7875:A7878"/>
    <mergeCell ref="B7875:B7878"/>
    <mergeCell ref="A7855:A7858"/>
    <mergeCell ref="B7855:B7858"/>
    <mergeCell ref="A7859:A7862"/>
    <mergeCell ref="B7859:B7862"/>
    <mergeCell ref="A7863:A7866"/>
    <mergeCell ref="B7863:B7866"/>
    <mergeCell ref="A7843:A7846"/>
    <mergeCell ref="B7843:B7846"/>
    <mergeCell ref="A7847:A7850"/>
    <mergeCell ref="B7847:B7850"/>
    <mergeCell ref="A7851:A7854"/>
    <mergeCell ref="B7851:B7854"/>
    <mergeCell ref="A7903:A7906"/>
    <mergeCell ref="B7903:B7906"/>
    <mergeCell ref="A7907:A7910"/>
    <mergeCell ref="B7907:B7910"/>
    <mergeCell ref="A7911:A7914"/>
    <mergeCell ref="B7911:B7914"/>
    <mergeCell ref="A7891:A7894"/>
    <mergeCell ref="B7891:B7894"/>
    <mergeCell ref="A7895:A7898"/>
    <mergeCell ref="B7895:B7898"/>
    <mergeCell ref="A7899:A7902"/>
    <mergeCell ref="B7899:B7902"/>
    <mergeCell ref="A7879:A7882"/>
    <mergeCell ref="B7879:B7882"/>
    <mergeCell ref="A7883:A7886"/>
    <mergeCell ref="B7883:B7886"/>
    <mergeCell ref="A7887:A7890"/>
    <mergeCell ref="B7887:B7890"/>
    <mergeCell ref="A7939:A7942"/>
    <mergeCell ref="B7939:B7942"/>
    <mergeCell ref="A7943:A7946"/>
    <mergeCell ref="B7943:B7946"/>
    <mergeCell ref="A7947:A7950"/>
    <mergeCell ref="B7947:B7950"/>
    <mergeCell ref="A7927:A7930"/>
    <mergeCell ref="B7927:B7930"/>
    <mergeCell ref="A7931:A7934"/>
    <mergeCell ref="B7931:B7934"/>
    <mergeCell ref="A7935:A7938"/>
    <mergeCell ref="B7935:B7938"/>
    <mergeCell ref="A7915:A7918"/>
    <mergeCell ref="B7915:B7918"/>
    <mergeCell ref="A7919:A7922"/>
    <mergeCell ref="B7919:B7922"/>
    <mergeCell ref="A7923:A7926"/>
    <mergeCell ref="B7923:B7926"/>
    <mergeCell ref="A7975:A7978"/>
    <mergeCell ref="B7975:B7978"/>
    <mergeCell ref="A7979:A7982"/>
    <mergeCell ref="B7979:B7982"/>
    <mergeCell ref="A7983:A7986"/>
    <mergeCell ref="B7983:B7986"/>
    <mergeCell ref="A7963:A7966"/>
    <mergeCell ref="B7963:B7966"/>
    <mergeCell ref="A7967:A7970"/>
    <mergeCell ref="B7967:B7970"/>
    <mergeCell ref="A7971:A7974"/>
    <mergeCell ref="B7971:B7974"/>
    <mergeCell ref="A7951:A7954"/>
    <mergeCell ref="B7951:B7954"/>
    <mergeCell ref="A7955:A7958"/>
    <mergeCell ref="B7955:B7958"/>
    <mergeCell ref="A7959:A7962"/>
    <mergeCell ref="B7959:B7962"/>
    <mergeCell ref="A8011:A8014"/>
    <mergeCell ref="B8011:B8014"/>
    <mergeCell ref="A8015:A8018"/>
    <mergeCell ref="B8015:B8018"/>
    <mergeCell ref="A8019:A8022"/>
    <mergeCell ref="B8019:B8022"/>
    <mergeCell ref="A7999:A8002"/>
    <mergeCell ref="B7999:B8002"/>
    <mergeCell ref="A8003:A8006"/>
    <mergeCell ref="B8003:B8006"/>
    <mergeCell ref="A8007:A8010"/>
    <mergeCell ref="B8007:B8010"/>
    <mergeCell ref="A7987:A7990"/>
    <mergeCell ref="B7987:B7990"/>
    <mergeCell ref="A7991:A7994"/>
    <mergeCell ref="B7991:B7994"/>
    <mergeCell ref="A7995:A7998"/>
    <mergeCell ref="B7995:B7998"/>
    <mergeCell ref="A8047:A8050"/>
    <mergeCell ref="B8047:B8050"/>
    <mergeCell ref="A8051:A8054"/>
    <mergeCell ref="B8051:B8054"/>
    <mergeCell ref="A8055:A8058"/>
    <mergeCell ref="B8055:B8058"/>
    <mergeCell ref="A8035:A8038"/>
    <mergeCell ref="B8035:B8038"/>
    <mergeCell ref="A8039:A8042"/>
    <mergeCell ref="B8039:B8042"/>
    <mergeCell ref="A8043:A8046"/>
    <mergeCell ref="B8043:B8046"/>
    <mergeCell ref="A8023:A8026"/>
    <mergeCell ref="B8023:B8026"/>
    <mergeCell ref="A8027:A8030"/>
    <mergeCell ref="B8027:B8030"/>
    <mergeCell ref="A8031:A8034"/>
    <mergeCell ref="B8031:B8034"/>
    <mergeCell ref="A8083:A8086"/>
    <mergeCell ref="B8083:B8086"/>
    <mergeCell ref="A8087:A8090"/>
    <mergeCell ref="B8087:B8090"/>
    <mergeCell ref="A8091:A8094"/>
    <mergeCell ref="B8091:B8094"/>
    <mergeCell ref="A8071:A8074"/>
    <mergeCell ref="B8071:B8074"/>
    <mergeCell ref="A8075:A8078"/>
    <mergeCell ref="B8075:B8078"/>
    <mergeCell ref="A8079:A8082"/>
    <mergeCell ref="B8079:B8082"/>
    <mergeCell ref="A8059:A8062"/>
    <mergeCell ref="B8059:B8062"/>
    <mergeCell ref="A8063:A8066"/>
    <mergeCell ref="B8063:B8066"/>
    <mergeCell ref="A8067:A8070"/>
    <mergeCell ref="B8067:B8070"/>
    <mergeCell ref="A8119:A8122"/>
    <mergeCell ref="B8119:B8122"/>
    <mergeCell ref="A8123:A8126"/>
    <mergeCell ref="B8123:B8126"/>
    <mergeCell ref="A8127:A8130"/>
    <mergeCell ref="B8127:B8130"/>
    <mergeCell ref="A8107:A8110"/>
    <mergeCell ref="B8107:B8110"/>
    <mergeCell ref="A8111:A8114"/>
    <mergeCell ref="B8111:B8114"/>
    <mergeCell ref="A8115:A8118"/>
    <mergeCell ref="B8115:B8118"/>
    <mergeCell ref="A8095:A8098"/>
    <mergeCell ref="B8095:B8098"/>
    <mergeCell ref="A8099:A8102"/>
    <mergeCell ref="B8099:B8102"/>
    <mergeCell ref="A8103:A8106"/>
    <mergeCell ref="B8103:B8106"/>
    <mergeCell ref="A8155:A8158"/>
    <mergeCell ref="B8155:B8158"/>
    <mergeCell ref="A8159:A8162"/>
    <mergeCell ref="B8159:B8162"/>
    <mergeCell ref="A8163:A8166"/>
    <mergeCell ref="B8163:B8166"/>
    <mergeCell ref="A8143:A8146"/>
    <mergeCell ref="B8143:B8146"/>
    <mergeCell ref="A8147:A8150"/>
    <mergeCell ref="B8147:B8150"/>
    <mergeCell ref="A8151:A8154"/>
    <mergeCell ref="B8151:B8154"/>
    <mergeCell ref="A8131:A8134"/>
    <mergeCell ref="B8131:B8134"/>
    <mergeCell ref="A8135:A8138"/>
    <mergeCell ref="B8135:B8138"/>
    <mergeCell ref="A8139:A8142"/>
    <mergeCell ref="B8139:B8142"/>
    <mergeCell ref="A8191:A8194"/>
    <mergeCell ref="B8191:B8194"/>
    <mergeCell ref="A8195:A8198"/>
    <mergeCell ref="B8195:B8198"/>
    <mergeCell ref="A8199:A8202"/>
    <mergeCell ref="B8199:B8202"/>
    <mergeCell ref="A8179:A8182"/>
    <mergeCell ref="B8179:B8182"/>
    <mergeCell ref="A8183:A8186"/>
    <mergeCell ref="B8183:B8186"/>
    <mergeCell ref="A8187:A8190"/>
    <mergeCell ref="B8187:B8190"/>
    <mergeCell ref="A8167:A8170"/>
    <mergeCell ref="B8167:B8170"/>
    <mergeCell ref="A8171:A8174"/>
    <mergeCell ref="B8171:B8174"/>
    <mergeCell ref="A8175:A8178"/>
    <mergeCell ref="B8175:B8178"/>
    <mergeCell ref="A8227:A8230"/>
    <mergeCell ref="B8227:B8230"/>
    <mergeCell ref="A8231:A8234"/>
    <mergeCell ref="B8231:B8234"/>
    <mergeCell ref="A8235:A8238"/>
    <mergeCell ref="B8235:B8238"/>
    <mergeCell ref="A8215:A8218"/>
    <mergeCell ref="B8215:B8218"/>
    <mergeCell ref="A8219:A8222"/>
    <mergeCell ref="B8219:B8222"/>
    <mergeCell ref="A8223:A8226"/>
    <mergeCell ref="B8223:B8226"/>
    <mergeCell ref="A8203:A8206"/>
    <mergeCell ref="B8203:B8206"/>
    <mergeCell ref="A8207:A8210"/>
    <mergeCell ref="B8207:B8210"/>
    <mergeCell ref="A8211:A8214"/>
    <mergeCell ref="B8211:B8214"/>
    <mergeCell ref="A8263:A8266"/>
    <mergeCell ref="B8263:B8266"/>
    <mergeCell ref="A8267:A8270"/>
    <mergeCell ref="B8267:B8270"/>
    <mergeCell ref="A8271:A8274"/>
    <mergeCell ref="B8271:B8274"/>
    <mergeCell ref="A8251:A8254"/>
    <mergeCell ref="B8251:B8254"/>
    <mergeCell ref="A8255:A8258"/>
    <mergeCell ref="B8255:B8258"/>
    <mergeCell ref="A8259:A8262"/>
    <mergeCell ref="B8259:B8262"/>
    <mergeCell ref="A8239:A8242"/>
    <mergeCell ref="B8239:B8242"/>
    <mergeCell ref="A8243:A8246"/>
    <mergeCell ref="B8243:B8246"/>
    <mergeCell ref="A8247:A8250"/>
    <mergeCell ref="B8247:B8250"/>
    <mergeCell ref="A8299:A8302"/>
    <mergeCell ref="B8299:B8302"/>
    <mergeCell ref="A8303:A8306"/>
    <mergeCell ref="B8303:B8306"/>
    <mergeCell ref="A8307:A8310"/>
    <mergeCell ref="B8307:B8310"/>
    <mergeCell ref="A8287:A8290"/>
    <mergeCell ref="B8287:B8290"/>
    <mergeCell ref="A8291:A8294"/>
    <mergeCell ref="B8291:B8294"/>
    <mergeCell ref="A8295:A8298"/>
    <mergeCell ref="B8295:B8298"/>
    <mergeCell ref="A8275:A8278"/>
    <mergeCell ref="B8275:B8278"/>
    <mergeCell ref="A8279:A8282"/>
    <mergeCell ref="B8279:B8282"/>
    <mergeCell ref="A8283:A8286"/>
    <mergeCell ref="B8283:B8286"/>
    <mergeCell ref="A8335:A8338"/>
    <mergeCell ref="B8335:B8338"/>
    <mergeCell ref="A8339:A8342"/>
    <mergeCell ref="B8339:B8342"/>
    <mergeCell ref="A8343:A8346"/>
    <mergeCell ref="B8343:B8346"/>
    <mergeCell ref="A8323:A8326"/>
    <mergeCell ref="B8323:B8326"/>
    <mergeCell ref="A8327:A8330"/>
    <mergeCell ref="B8327:B8330"/>
    <mergeCell ref="A8331:A8334"/>
    <mergeCell ref="B8331:B8334"/>
    <mergeCell ref="A8311:A8314"/>
    <mergeCell ref="B8311:B8314"/>
    <mergeCell ref="A8315:A8318"/>
    <mergeCell ref="B8315:B8318"/>
    <mergeCell ref="A8319:A8322"/>
    <mergeCell ref="B8319:B8322"/>
    <mergeCell ref="A8371:A8374"/>
    <mergeCell ref="B8371:B8374"/>
    <mergeCell ref="A8375:A8378"/>
    <mergeCell ref="B8375:B8378"/>
    <mergeCell ref="A8379:A8382"/>
    <mergeCell ref="B8379:B8382"/>
    <mergeCell ref="A8359:A8362"/>
    <mergeCell ref="B8359:B8362"/>
    <mergeCell ref="A8363:A8366"/>
    <mergeCell ref="B8363:B8366"/>
    <mergeCell ref="A8367:A8370"/>
    <mergeCell ref="B8367:B8370"/>
    <mergeCell ref="A8347:A8350"/>
    <mergeCell ref="B8347:B8350"/>
    <mergeCell ref="A8351:A8354"/>
    <mergeCell ref="B8351:B8354"/>
    <mergeCell ref="A8355:A8358"/>
    <mergeCell ref="B8355:B8358"/>
    <mergeCell ref="A8407:A8410"/>
    <mergeCell ref="B8407:B8410"/>
    <mergeCell ref="A8411:A8414"/>
    <mergeCell ref="B8411:B8414"/>
    <mergeCell ref="A8415:A8418"/>
    <mergeCell ref="B8415:B8418"/>
    <mergeCell ref="A8395:A8398"/>
    <mergeCell ref="B8395:B8398"/>
    <mergeCell ref="A8399:A8402"/>
    <mergeCell ref="B8399:B8402"/>
    <mergeCell ref="A8403:A8406"/>
    <mergeCell ref="B8403:B8406"/>
    <mergeCell ref="A8383:A8386"/>
    <mergeCell ref="B8383:B8386"/>
    <mergeCell ref="A8387:A8390"/>
    <mergeCell ref="B8387:B8390"/>
    <mergeCell ref="A8391:A8394"/>
    <mergeCell ref="B8391:B8394"/>
    <mergeCell ref="A8443:A8446"/>
    <mergeCell ref="B8443:B8446"/>
    <mergeCell ref="A8447:A8450"/>
    <mergeCell ref="B8447:B8450"/>
    <mergeCell ref="A8451:A8455"/>
    <mergeCell ref="B8451:B8455"/>
    <mergeCell ref="A8431:A8434"/>
    <mergeCell ref="B8431:B8434"/>
    <mergeCell ref="A8435:A8438"/>
    <mergeCell ref="B8435:B8438"/>
    <mergeCell ref="A8439:A8442"/>
    <mergeCell ref="B8439:B8442"/>
    <mergeCell ref="A8419:A8422"/>
    <mergeCell ref="B8419:B8422"/>
    <mergeCell ref="A8423:A8426"/>
    <mergeCell ref="B8423:B8426"/>
    <mergeCell ref="A8427:A8430"/>
    <mergeCell ref="B8427:B8430"/>
    <mergeCell ref="A8501:A8505"/>
    <mergeCell ref="B8501:B8505"/>
    <mergeCell ref="A8506:A8510"/>
    <mergeCell ref="B8506:B8510"/>
    <mergeCell ref="A8511:A8516"/>
    <mergeCell ref="B8511:B8516"/>
    <mergeCell ref="A8480:A8484"/>
    <mergeCell ref="B8480:B8484"/>
    <mergeCell ref="A8485:A8496"/>
    <mergeCell ref="B8485:B8496"/>
    <mergeCell ref="A8497:A8500"/>
    <mergeCell ref="B8497:B8500"/>
    <mergeCell ref="A8456:A8459"/>
    <mergeCell ref="B8456:B8459"/>
    <mergeCell ref="A8460:A8469"/>
    <mergeCell ref="B8460:B8469"/>
    <mergeCell ref="A8470:A8479"/>
    <mergeCell ref="B8470:B8479"/>
    <mergeCell ref="A8554:A8557"/>
    <mergeCell ref="B8554:B8557"/>
    <mergeCell ref="A8558:A8563"/>
    <mergeCell ref="B8558:B8563"/>
    <mergeCell ref="A8564:A8572"/>
    <mergeCell ref="B8564:B8572"/>
    <mergeCell ref="A8536:A8540"/>
    <mergeCell ref="B8536:B8540"/>
    <mergeCell ref="A8541:A8549"/>
    <mergeCell ref="B8541:B8549"/>
    <mergeCell ref="A8550:A8553"/>
    <mergeCell ref="B8550:B8553"/>
    <mergeCell ref="A8517:A8522"/>
    <mergeCell ref="B8517:B8522"/>
    <mergeCell ref="A8523:A8529"/>
    <mergeCell ref="B8523:B8529"/>
    <mergeCell ref="A8530:A8535"/>
    <mergeCell ref="B8530:B8535"/>
    <mergeCell ref="A8613:A8622"/>
    <mergeCell ref="B8613:B8622"/>
    <mergeCell ref="A8623:A8632"/>
    <mergeCell ref="B8623:B8632"/>
    <mergeCell ref="A8633:A8638"/>
    <mergeCell ref="B8633:B8638"/>
    <mergeCell ref="A8593:A8596"/>
    <mergeCell ref="B8593:B8596"/>
    <mergeCell ref="A8597:A8603"/>
    <mergeCell ref="B8597:B8603"/>
    <mergeCell ref="A8604:A8612"/>
    <mergeCell ref="B8604:B8612"/>
    <mergeCell ref="A8573:A8580"/>
    <mergeCell ref="B8573:B8580"/>
    <mergeCell ref="A8581:A8586"/>
    <mergeCell ref="B8581:B8586"/>
    <mergeCell ref="A8587:A8592"/>
    <mergeCell ref="B8587:B8592"/>
    <mergeCell ref="A8672:A8680"/>
    <mergeCell ref="B8672:B8680"/>
    <mergeCell ref="A8681:A8686"/>
    <mergeCell ref="B8681:B8686"/>
    <mergeCell ref="A8687:A8692"/>
    <mergeCell ref="B8687:B8692"/>
    <mergeCell ref="A8655:A8661"/>
    <mergeCell ref="B8655:B8661"/>
    <mergeCell ref="A8662:A8665"/>
    <mergeCell ref="B8662:B8665"/>
    <mergeCell ref="A8666:A8671"/>
    <mergeCell ref="B8666:B8671"/>
    <mergeCell ref="A8639:A8644"/>
    <mergeCell ref="B8639:B8644"/>
    <mergeCell ref="A8645:A8648"/>
    <mergeCell ref="B8645:B8648"/>
    <mergeCell ref="A8649:A8654"/>
    <mergeCell ref="B8649:B8654"/>
    <mergeCell ref="A8731:A8747"/>
    <mergeCell ref="B8731:B8747"/>
    <mergeCell ref="A8748:A8753"/>
    <mergeCell ref="B8748:B8753"/>
    <mergeCell ref="A8754:A8757"/>
    <mergeCell ref="B8754:B8757"/>
    <mergeCell ref="A8712:A8718"/>
    <mergeCell ref="B8712:B8718"/>
    <mergeCell ref="A8719:A8724"/>
    <mergeCell ref="B8719:B8724"/>
    <mergeCell ref="A8725:A8730"/>
    <mergeCell ref="B8725:B8730"/>
    <mergeCell ref="A8693:A8699"/>
    <mergeCell ref="B8693:B8699"/>
    <mergeCell ref="A8700:A8705"/>
    <mergeCell ref="B8700:B8705"/>
    <mergeCell ref="A8706:A8711"/>
    <mergeCell ref="B8706:B8711"/>
    <mergeCell ref="A8795:A8800"/>
    <mergeCell ref="B8795:B8800"/>
    <mergeCell ref="A8801:A8806"/>
    <mergeCell ref="B8801:B8806"/>
    <mergeCell ref="A8807:A8812"/>
    <mergeCell ref="B8807:B8812"/>
    <mergeCell ref="A8780:A8784"/>
    <mergeCell ref="B8780:B8784"/>
    <mergeCell ref="A8785:A8789"/>
    <mergeCell ref="B8785:B8789"/>
    <mergeCell ref="A8790:A8794"/>
    <mergeCell ref="B8790:B8794"/>
    <mergeCell ref="A8758:A8761"/>
    <mergeCell ref="B8758:B8761"/>
    <mergeCell ref="A8762:A8770"/>
    <mergeCell ref="B8762:B8770"/>
    <mergeCell ref="A8771:A8779"/>
    <mergeCell ref="B8771:B8779"/>
    <mergeCell ref="A8849:A8859"/>
    <mergeCell ref="B8849:B8859"/>
    <mergeCell ref="A8860:A8868"/>
    <mergeCell ref="B8860:B8868"/>
    <mergeCell ref="A8869:A8878"/>
    <mergeCell ref="B8869:B8878"/>
    <mergeCell ref="A8831:A8836"/>
    <mergeCell ref="B8831:B8836"/>
    <mergeCell ref="A8837:A8842"/>
    <mergeCell ref="B8837:B8842"/>
    <mergeCell ref="A8843:A8848"/>
    <mergeCell ref="B8843:B8848"/>
    <mergeCell ref="A8813:A8818"/>
    <mergeCell ref="B8813:B8818"/>
    <mergeCell ref="A8819:A8824"/>
    <mergeCell ref="B8819:B8824"/>
    <mergeCell ref="A8825:A8830"/>
    <mergeCell ref="B8825:B8830"/>
    <mergeCell ref="A8918:A8921"/>
    <mergeCell ref="B8918:B8921"/>
    <mergeCell ref="A8922:A8925"/>
    <mergeCell ref="B8922:B8925"/>
    <mergeCell ref="A8926:A8929"/>
    <mergeCell ref="B8926:B8929"/>
    <mergeCell ref="A8897:A8903"/>
    <mergeCell ref="B8897:B8903"/>
    <mergeCell ref="A8904:A8911"/>
    <mergeCell ref="B8904:B8911"/>
    <mergeCell ref="A8912:A8917"/>
    <mergeCell ref="B8912:B8917"/>
    <mergeCell ref="A8879:A8884"/>
    <mergeCell ref="B8879:B8884"/>
    <mergeCell ref="A8885:A8890"/>
    <mergeCell ref="B8885:B8890"/>
    <mergeCell ref="A8891:A8896"/>
    <mergeCell ref="B8891:B8896"/>
    <mergeCell ref="A8954:A8957"/>
    <mergeCell ref="B8954:B8957"/>
    <mergeCell ref="A8958:A8961"/>
    <mergeCell ref="B8958:B8961"/>
    <mergeCell ref="A8962:A8965"/>
    <mergeCell ref="B8962:B8965"/>
    <mergeCell ref="A8942:A8945"/>
    <mergeCell ref="B8942:B8945"/>
    <mergeCell ref="A8946:A8949"/>
    <mergeCell ref="B8946:B8949"/>
    <mergeCell ref="A8950:A8953"/>
    <mergeCell ref="B8950:B8953"/>
    <mergeCell ref="A8930:A8933"/>
    <mergeCell ref="B8930:B8933"/>
    <mergeCell ref="A8934:A8937"/>
    <mergeCell ref="B8934:B8937"/>
    <mergeCell ref="A8938:A8941"/>
    <mergeCell ref="B8938:B8941"/>
    <mergeCell ref="A8993:A8996"/>
    <mergeCell ref="B8993:B8996"/>
    <mergeCell ref="A8997:A9000"/>
    <mergeCell ref="B8997:B9000"/>
    <mergeCell ref="A9001:A9004"/>
    <mergeCell ref="B9001:B9004"/>
    <mergeCell ref="A8979:A8984"/>
    <mergeCell ref="B8979:B8984"/>
    <mergeCell ref="A8985:A8988"/>
    <mergeCell ref="B8985:B8988"/>
    <mergeCell ref="A8989:A8992"/>
    <mergeCell ref="B8989:B8992"/>
    <mergeCell ref="A8966:A8969"/>
    <mergeCell ref="B8966:B8969"/>
    <mergeCell ref="A8970:A8973"/>
    <mergeCell ref="B8970:B8973"/>
    <mergeCell ref="A8974:A8978"/>
    <mergeCell ref="B8974:B8978"/>
    <mergeCell ref="A9032:A9035"/>
    <mergeCell ref="B9032:B9035"/>
    <mergeCell ref="A9036:A9039"/>
    <mergeCell ref="B9036:B9039"/>
    <mergeCell ref="A9040:A9043"/>
    <mergeCell ref="B9040:B9043"/>
    <mergeCell ref="A9020:A9023"/>
    <mergeCell ref="B9020:B9023"/>
    <mergeCell ref="A9024:A9027"/>
    <mergeCell ref="B9024:B9027"/>
    <mergeCell ref="A9028:A9031"/>
    <mergeCell ref="B9028:B9031"/>
    <mergeCell ref="A9005:A9011"/>
    <mergeCell ref="B9005:B9011"/>
    <mergeCell ref="A9012:A9015"/>
    <mergeCell ref="B9012:B9015"/>
    <mergeCell ref="A9016:A9019"/>
    <mergeCell ref="B9016:B9019"/>
    <mergeCell ref="A9068:A9071"/>
    <mergeCell ref="B9068:B9071"/>
    <mergeCell ref="A9072:A9075"/>
    <mergeCell ref="B9072:B9075"/>
    <mergeCell ref="A9076:A9079"/>
    <mergeCell ref="B9076:B9079"/>
    <mergeCell ref="A9056:A9059"/>
    <mergeCell ref="B9056:B9059"/>
    <mergeCell ref="A9060:A9063"/>
    <mergeCell ref="B9060:B9063"/>
    <mergeCell ref="A9064:A9067"/>
    <mergeCell ref="B9064:B9067"/>
    <mergeCell ref="A9044:A9047"/>
    <mergeCell ref="B9044:B9047"/>
    <mergeCell ref="A9048:A9051"/>
    <mergeCell ref="B9048:B9051"/>
    <mergeCell ref="A9052:A9055"/>
    <mergeCell ref="B9052:B9055"/>
    <mergeCell ref="A9104:A9107"/>
    <mergeCell ref="B9104:B9107"/>
    <mergeCell ref="A9108:A9111"/>
    <mergeCell ref="B9108:B9111"/>
    <mergeCell ref="A9112:A9115"/>
    <mergeCell ref="B9112:B9115"/>
    <mergeCell ref="A9092:A9095"/>
    <mergeCell ref="B9092:B9095"/>
    <mergeCell ref="A9096:A9099"/>
    <mergeCell ref="B9096:B9099"/>
    <mergeCell ref="A9100:A9103"/>
    <mergeCell ref="B9100:B9103"/>
    <mergeCell ref="A9080:A9083"/>
    <mergeCell ref="B9080:B9083"/>
    <mergeCell ref="A9084:A9087"/>
    <mergeCell ref="B9084:B9087"/>
    <mergeCell ref="A9088:A9091"/>
    <mergeCell ref="B9088:B9091"/>
    <mergeCell ref="A9140:A9143"/>
    <mergeCell ref="B9140:B9143"/>
    <mergeCell ref="A9144:A9147"/>
    <mergeCell ref="B9144:B9147"/>
    <mergeCell ref="A9148:A9151"/>
    <mergeCell ref="B9148:B9151"/>
    <mergeCell ref="A9128:A9131"/>
    <mergeCell ref="B9128:B9131"/>
    <mergeCell ref="A9132:A9135"/>
    <mergeCell ref="B9132:B9135"/>
    <mergeCell ref="A9136:A9139"/>
    <mergeCell ref="B9136:B9139"/>
    <mergeCell ref="A9116:A9119"/>
    <mergeCell ref="B9116:B9119"/>
    <mergeCell ref="A9120:A9123"/>
    <mergeCell ref="B9120:B9123"/>
    <mergeCell ref="A9124:A9127"/>
    <mergeCell ref="B9124:B9127"/>
    <mergeCell ref="A9176:A9179"/>
    <mergeCell ref="B9176:B9179"/>
    <mergeCell ref="A9180:A9183"/>
    <mergeCell ref="B9180:B9183"/>
    <mergeCell ref="A9184:A9187"/>
    <mergeCell ref="B9184:B9187"/>
    <mergeCell ref="A9164:A9167"/>
    <mergeCell ref="B9164:B9167"/>
    <mergeCell ref="A9168:A9171"/>
    <mergeCell ref="B9168:B9171"/>
    <mergeCell ref="A9172:A9175"/>
    <mergeCell ref="B9172:B9175"/>
    <mergeCell ref="A9152:A9155"/>
    <mergeCell ref="B9152:B9155"/>
    <mergeCell ref="A9156:A9159"/>
    <mergeCell ref="B9156:B9159"/>
    <mergeCell ref="A9160:A9163"/>
    <mergeCell ref="B9160:B9163"/>
    <mergeCell ref="A9212:A9215"/>
    <mergeCell ref="B9212:B9215"/>
    <mergeCell ref="A9216:A9219"/>
    <mergeCell ref="B9216:B9219"/>
    <mergeCell ref="A9220:A9223"/>
    <mergeCell ref="B9220:B9223"/>
    <mergeCell ref="A9200:A9203"/>
    <mergeCell ref="B9200:B9203"/>
    <mergeCell ref="A9204:A9207"/>
    <mergeCell ref="B9204:B9207"/>
    <mergeCell ref="A9208:A9211"/>
    <mergeCell ref="B9208:B9211"/>
    <mergeCell ref="A9188:A9191"/>
    <mergeCell ref="B9188:B9191"/>
    <mergeCell ref="A9192:A9195"/>
    <mergeCell ref="B9192:B9195"/>
    <mergeCell ref="A9196:A9199"/>
    <mergeCell ref="B9196:B9199"/>
    <mergeCell ref="A9248:A9251"/>
    <mergeCell ref="B9248:B9251"/>
    <mergeCell ref="A9252:A9255"/>
    <mergeCell ref="B9252:B9255"/>
    <mergeCell ref="A9256:A9259"/>
    <mergeCell ref="B9256:B9259"/>
    <mergeCell ref="A9236:A9239"/>
    <mergeCell ref="B9236:B9239"/>
    <mergeCell ref="A9240:A9243"/>
    <mergeCell ref="B9240:B9243"/>
    <mergeCell ref="A9244:A9247"/>
    <mergeCell ref="B9244:B9247"/>
    <mergeCell ref="A9224:A9227"/>
    <mergeCell ref="B9224:B9227"/>
    <mergeCell ref="A9228:A9231"/>
    <mergeCell ref="B9228:B9231"/>
    <mergeCell ref="A9232:A9235"/>
    <mergeCell ref="B9232:B9235"/>
    <mergeCell ref="A9284:A9287"/>
    <mergeCell ref="B9284:B9287"/>
    <mergeCell ref="A9288:A9291"/>
    <mergeCell ref="B9288:B9291"/>
    <mergeCell ref="A9292:A9295"/>
    <mergeCell ref="B9292:B9295"/>
    <mergeCell ref="A9272:A9275"/>
    <mergeCell ref="B9272:B9275"/>
    <mergeCell ref="A9276:A9279"/>
    <mergeCell ref="B9276:B9279"/>
    <mergeCell ref="A9280:A9283"/>
    <mergeCell ref="B9280:B9283"/>
    <mergeCell ref="A9260:A9263"/>
    <mergeCell ref="B9260:B9263"/>
    <mergeCell ref="A9264:A9267"/>
    <mergeCell ref="B9264:B9267"/>
    <mergeCell ref="A9268:A9271"/>
    <mergeCell ref="B9268:B9271"/>
    <mergeCell ref="A9320:A9323"/>
    <mergeCell ref="B9320:B9323"/>
    <mergeCell ref="A9324:A9327"/>
    <mergeCell ref="B9324:B9327"/>
    <mergeCell ref="A9328:A9331"/>
    <mergeCell ref="B9328:B9331"/>
    <mergeCell ref="A9308:A9311"/>
    <mergeCell ref="B9308:B9311"/>
    <mergeCell ref="A9312:A9315"/>
    <mergeCell ref="B9312:B9315"/>
    <mergeCell ref="A9316:A9319"/>
    <mergeCell ref="B9316:B9319"/>
    <mergeCell ref="A9296:A9299"/>
    <mergeCell ref="B9296:B9299"/>
    <mergeCell ref="A9300:A9303"/>
    <mergeCell ref="B9300:B9303"/>
    <mergeCell ref="A9304:A9307"/>
    <mergeCell ref="B9304:B9307"/>
    <mergeCell ref="A9356:A9359"/>
    <mergeCell ref="B9356:B9359"/>
    <mergeCell ref="A9360:A9363"/>
    <mergeCell ref="B9360:B9363"/>
    <mergeCell ref="A9364:A9367"/>
    <mergeCell ref="B9364:B9367"/>
    <mergeCell ref="A9344:A9347"/>
    <mergeCell ref="B9344:B9347"/>
    <mergeCell ref="A9348:A9351"/>
    <mergeCell ref="B9348:B9351"/>
    <mergeCell ref="A9352:A9355"/>
    <mergeCell ref="B9352:B9355"/>
    <mergeCell ref="A9332:A9335"/>
    <mergeCell ref="B9332:B9335"/>
    <mergeCell ref="A9336:A9339"/>
    <mergeCell ref="B9336:B9339"/>
    <mergeCell ref="A9340:A9343"/>
    <mergeCell ref="B9340:B9343"/>
    <mergeCell ref="A9392:A9395"/>
    <mergeCell ref="B9392:B9395"/>
    <mergeCell ref="A9396:A9399"/>
    <mergeCell ref="B9396:B9399"/>
    <mergeCell ref="A9400:A9403"/>
    <mergeCell ref="B9400:B9403"/>
    <mergeCell ref="A9380:A9383"/>
    <mergeCell ref="B9380:B9383"/>
    <mergeCell ref="A9384:A9387"/>
    <mergeCell ref="B9384:B9387"/>
    <mergeCell ref="A9388:A9391"/>
    <mergeCell ref="B9388:B9391"/>
    <mergeCell ref="A9368:A9371"/>
    <mergeCell ref="B9368:B9371"/>
    <mergeCell ref="A9372:A9375"/>
    <mergeCell ref="B9372:B9375"/>
    <mergeCell ref="A9376:A9379"/>
    <mergeCell ref="B9376:B9379"/>
    <mergeCell ref="A9442:A9452"/>
    <mergeCell ref="B9442:B9452"/>
    <mergeCell ref="A9453:A9465"/>
    <mergeCell ref="B9453:B9465"/>
    <mergeCell ref="A9466:A9478"/>
    <mergeCell ref="B9466:B9478"/>
    <mergeCell ref="A9416:A9419"/>
    <mergeCell ref="B9416:B9419"/>
    <mergeCell ref="A9420:A9430"/>
    <mergeCell ref="B9420:B9430"/>
    <mergeCell ref="A9431:A9441"/>
    <mergeCell ref="B9431:B9441"/>
    <mergeCell ref="A9404:A9407"/>
    <mergeCell ref="B9404:B9407"/>
    <mergeCell ref="A9408:A9411"/>
    <mergeCell ref="B9408:B9411"/>
    <mergeCell ref="A9412:A9415"/>
    <mergeCell ref="B9412:B9415"/>
    <mergeCell ref="A9517:A9522"/>
    <mergeCell ref="B9517:B9522"/>
    <mergeCell ref="A9523:A9530"/>
    <mergeCell ref="B9523:B9530"/>
    <mergeCell ref="A9531:A9538"/>
    <mergeCell ref="B9531:B9538"/>
    <mergeCell ref="A9496:A9502"/>
    <mergeCell ref="B9496:B9502"/>
    <mergeCell ref="A9503:A9509"/>
    <mergeCell ref="B9503:B9509"/>
    <mergeCell ref="A9510:A9516"/>
    <mergeCell ref="B9510:B9516"/>
    <mergeCell ref="A9479:A9482"/>
    <mergeCell ref="B9479:B9482"/>
    <mergeCell ref="A9483:A9488"/>
    <mergeCell ref="B9483:B9488"/>
    <mergeCell ref="A9489:A9495"/>
    <mergeCell ref="B9489:B9495"/>
    <mergeCell ref="A9584:A9590"/>
    <mergeCell ref="B9584:B9590"/>
    <mergeCell ref="A9591:A9596"/>
    <mergeCell ref="B9591:B9596"/>
    <mergeCell ref="A9597:A9603"/>
    <mergeCell ref="B9597:B9603"/>
    <mergeCell ref="A9563:A9569"/>
    <mergeCell ref="B9563:B9569"/>
    <mergeCell ref="A9570:A9576"/>
    <mergeCell ref="B9570:B9576"/>
    <mergeCell ref="A9577:A9583"/>
    <mergeCell ref="B9577:B9583"/>
    <mergeCell ref="A9539:A9546"/>
    <mergeCell ref="B9539:B9546"/>
    <mergeCell ref="A9547:A9554"/>
    <mergeCell ref="B9547:B9554"/>
    <mergeCell ref="A9555:A9562"/>
    <mergeCell ref="B9555:B9562"/>
    <mergeCell ref="A9657:A9664"/>
    <mergeCell ref="B9657:B9664"/>
    <mergeCell ref="A9665:A9680"/>
    <mergeCell ref="B9665:B9680"/>
    <mergeCell ref="A9681:A9692"/>
    <mergeCell ref="B9681:B9692"/>
    <mergeCell ref="A9622:A9625"/>
    <mergeCell ref="B9622:B9625"/>
    <mergeCell ref="A9626:A9641"/>
    <mergeCell ref="B9626:B9641"/>
    <mergeCell ref="A9642:A9656"/>
    <mergeCell ref="B9642:B9656"/>
    <mergeCell ref="A9604:A9610"/>
    <mergeCell ref="B9604:B9610"/>
    <mergeCell ref="A9611:A9617"/>
    <mergeCell ref="B9611:B9617"/>
    <mergeCell ref="A9618:A9621"/>
    <mergeCell ref="B9618:B9621"/>
    <mergeCell ref="A9763:A9772"/>
    <mergeCell ref="B9763:B9772"/>
    <mergeCell ref="A9773:A9783"/>
    <mergeCell ref="B9773:B9783"/>
    <mergeCell ref="A9784:A9790"/>
    <mergeCell ref="B9784:B9790"/>
    <mergeCell ref="A9731:A9742"/>
    <mergeCell ref="B9731:B9742"/>
    <mergeCell ref="A9743:A9752"/>
    <mergeCell ref="B9743:B9752"/>
    <mergeCell ref="A9753:A9762"/>
    <mergeCell ref="B9753:B9762"/>
    <mergeCell ref="A9693:A9709"/>
    <mergeCell ref="B9693:B9709"/>
    <mergeCell ref="A9710:A9720"/>
    <mergeCell ref="B9710:B9720"/>
    <mergeCell ref="A9721:A9730"/>
    <mergeCell ref="B9721:B9730"/>
    <mergeCell ref="A9832:A9835"/>
    <mergeCell ref="B9832:B9835"/>
    <mergeCell ref="A9836:A9839"/>
    <mergeCell ref="B9836:B9839"/>
    <mergeCell ref="A9840:A9843"/>
    <mergeCell ref="B9840:B9843"/>
    <mergeCell ref="A9812:A9823"/>
    <mergeCell ref="B9812:B9823"/>
    <mergeCell ref="A9824:A9827"/>
    <mergeCell ref="B9824:B9827"/>
    <mergeCell ref="A9828:A9831"/>
    <mergeCell ref="B9828:B9831"/>
    <mergeCell ref="A9791:A9797"/>
    <mergeCell ref="B9791:B9797"/>
    <mergeCell ref="A9798:A9804"/>
    <mergeCell ref="B9798:B9804"/>
    <mergeCell ref="A9805:A9811"/>
    <mergeCell ref="B9805:B9811"/>
    <mergeCell ref="A9868:A9871"/>
    <mergeCell ref="B9868:B9871"/>
    <mergeCell ref="A9872:A9875"/>
    <mergeCell ref="B9872:B9875"/>
    <mergeCell ref="A9876:A9879"/>
    <mergeCell ref="B9876:B9879"/>
    <mergeCell ref="A9856:A9859"/>
    <mergeCell ref="B9856:B9859"/>
    <mergeCell ref="A9860:A9863"/>
    <mergeCell ref="B9860:B9863"/>
    <mergeCell ref="A9864:A9867"/>
    <mergeCell ref="B9864:B9867"/>
    <mergeCell ref="A9844:A9847"/>
    <mergeCell ref="B9844:B9847"/>
    <mergeCell ref="A9848:A9851"/>
    <mergeCell ref="B9848:B9851"/>
    <mergeCell ref="A9852:A9855"/>
    <mergeCell ref="B9852:B9855"/>
    <mergeCell ref="A9904:A9907"/>
    <mergeCell ref="B9904:B9907"/>
    <mergeCell ref="A9908:A9911"/>
    <mergeCell ref="B9908:B9911"/>
    <mergeCell ref="A9912:A9915"/>
    <mergeCell ref="B9912:B9915"/>
    <mergeCell ref="A9892:A9895"/>
    <mergeCell ref="B9892:B9895"/>
    <mergeCell ref="A9896:A9899"/>
    <mergeCell ref="B9896:B9899"/>
    <mergeCell ref="A9900:A9903"/>
    <mergeCell ref="B9900:B9903"/>
    <mergeCell ref="A9880:A9883"/>
    <mergeCell ref="B9880:B9883"/>
    <mergeCell ref="A9884:A9887"/>
    <mergeCell ref="B9884:B9887"/>
    <mergeCell ref="A9888:A9891"/>
    <mergeCell ref="B9888:B9891"/>
    <mergeCell ref="A9940:A9943"/>
    <mergeCell ref="B9940:B9943"/>
    <mergeCell ref="A9944:A9947"/>
    <mergeCell ref="B9944:B9947"/>
    <mergeCell ref="A9948:A9951"/>
    <mergeCell ref="B9948:B9951"/>
    <mergeCell ref="A9928:A9931"/>
    <mergeCell ref="B9928:B9931"/>
    <mergeCell ref="A9932:A9935"/>
    <mergeCell ref="B9932:B9935"/>
    <mergeCell ref="A9936:A9939"/>
    <mergeCell ref="B9936:B9939"/>
    <mergeCell ref="A9916:A9919"/>
    <mergeCell ref="B9916:B9919"/>
    <mergeCell ref="A9920:A9923"/>
    <mergeCell ref="B9920:B9923"/>
    <mergeCell ref="A9924:A9927"/>
    <mergeCell ref="B9924:B9927"/>
    <mergeCell ref="A9976:A9979"/>
    <mergeCell ref="B9976:B9979"/>
    <mergeCell ref="A9980:A9983"/>
    <mergeCell ref="B9980:B9983"/>
    <mergeCell ref="A9984:A9987"/>
    <mergeCell ref="B9984:B9987"/>
    <mergeCell ref="A9964:A9967"/>
    <mergeCell ref="B9964:B9967"/>
    <mergeCell ref="A9968:A9971"/>
    <mergeCell ref="B9968:B9971"/>
    <mergeCell ref="A9972:A9975"/>
    <mergeCell ref="B9972:B9975"/>
    <mergeCell ref="A9952:A9955"/>
    <mergeCell ref="B9952:B9955"/>
    <mergeCell ref="A9956:A9959"/>
    <mergeCell ref="B9956:B9959"/>
    <mergeCell ref="A9960:A9963"/>
    <mergeCell ref="B9960:B9963"/>
    <mergeCell ref="A10012:A10015"/>
    <mergeCell ref="B10012:B10015"/>
    <mergeCell ref="A10016:A10019"/>
    <mergeCell ref="B10016:B10019"/>
    <mergeCell ref="A10020:A10023"/>
    <mergeCell ref="B10020:B10023"/>
    <mergeCell ref="A10000:A10003"/>
    <mergeCell ref="B10000:B10003"/>
    <mergeCell ref="A10004:A10007"/>
    <mergeCell ref="B10004:B10007"/>
    <mergeCell ref="A10008:A10011"/>
    <mergeCell ref="B10008:B10011"/>
    <mergeCell ref="A9988:A9991"/>
    <mergeCell ref="B9988:B9991"/>
    <mergeCell ref="A9992:A9995"/>
    <mergeCell ref="B9992:B9995"/>
    <mergeCell ref="A9996:A9999"/>
    <mergeCell ref="B9996:B9999"/>
    <mergeCell ref="A10048:A10051"/>
    <mergeCell ref="B10048:B10051"/>
    <mergeCell ref="A10052:A10055"/>
    <mergeCell ref="B10052:B10055"/>
    <mergeCell ref="A10056:A10059"/>
    <mergeCell ref="B10056:B10059"/>
    <mergeCell ref="A10036:A10039"/>
    <mergeCell ref="B10036:B10039"/>
    <mergeCell ref="A10040:A10043"/>
    <mergeCell ref="B10040:B10043"/>
    <mergeCell ref="A10044:A10047"/>
    <mergeCell ref="B10044:B10047"/>
    <mergeCell ref="A10024:A10027"/>
    <mergeCell ref="B10024:B10027"/>
    <mergeCell ref="A10028:A10031"/>
    <mergeCell ref="B10028:B10031"/>
    <mergeCell ref="A10032:A10035"/>
    <mergeCell ref="B10032:B10035"/>
    <mergeCell ref="A10084:A10087"/>
    <mergeCell ref="B10084:B10087"/>
    <mergeCell ref="A10088:A10091"/>
    <mergeCell ref="B10088:B10091"/>
    <mergeCell ref="A10092:A10095"/>
    <mergeCell ref="B10092:B10095"/>
    <mergeCell ref="A10072:A10075"/>
    <mergeCell ref="B10072:B10075"/>
    <mergeCell ref="A10076:A10079"/>
    <mergeCell ref="B10076:B10079"/>
    <mergeCell ref="A10080:A10083"/>
    <mergeCell ref="B10080:B10083"/>
    <mergeCell ref="A10060:A10063"/>
    <mergeCell ref="B10060:B10063"/>
    <mergeCell ref="A10064:A10067"/>
    <mergeCell ref="B10064:B10067"/>
    <mergeCell ref="A10068:A10071"/>
    <mergeCell ref="B10068:B10071"/>
    <mergeCell ref="A10120:A10123"/>
    <mergeCell ref="B10120:B10123"/>
    <mergeCell ref="A10124:A10127"/>
    <mergeCell ref="B10124:B10127"/>
    <mergeCell ref="A10128:A10131"/>
    <mergeCell ref="B10128:B10131"/>
    <mergeCell ref="A10108:A10111"/>
    <mergeCell ref="B10108:B10111"/>
    <mergeCell ref="A10112:A10115"/>
    <mergeCell ref="B10112:B10115"/>
    <mergeCell ref="A10116:A10119"/>
    <mergeCell ref="B10116:B10119"/>
    <mergeCell ref="A10096:A10099"/>
    <mergeCell ref="B10096:B10099"/>
    <mergeCell ref="A10100:A10103"/>
    <mergeCell ref="B10100:B10103"/>
    <mergeCell ref="A10104:A10107"/>
    <mergeCell ref="B10104:B10107"/>
    <mergeCell ref="A10156:A10159"/>
    <mergeCell ref="B10156:B10159"/>
    <mergeCell ref="A10160:A10163"/>
    <mergeCell ref="B10160:B10163"/>
    <mergeCell ref="A10164:A10167"/>
    <mergeCell ref="B10164:B10167"/>
    <mergeCell ref="A10144:A10147"/>
    <mergeCell ref="B10144:B10147"/>
    <mergeCell ref="A10148:A10151"/>
    <mergeCell ref="B10148:B10151"/>
    <mergeCell ref="A10152:A10155"/>
    <mergeCell ref="B10152:B10155"/>
    <mergeCell ref="A10132:A10135"/>
    <mergeCell ref="B10132:B10135"/>
    <mergeCell ref="A10136:A10139"/>
    <mergeCell ref="B10136:B10139"/>
    <mergeCell ref="A10140:A10143"/>
    <mergeCell ref="B10140:B10143"/>
    <mergeCell ref="A10192:A10195"/>
    <mergeCell ref="B10192:B10195"/>
    <mergeCell ref="A10196:A10199"/>
    <mergeCell ref="B10196:B10199"/>
    <mergeCell ref="A10200:A10203"/>
    <mergeCell ref="B10200:B10203"/>
    <mergeCell ref="A10180:A10183"/>
    <mergeCell ref="B10180:B10183"/>
    <mergeCell ref="A10184:A10187"/>
    <mergeCell ref="B10184:B10187"/>
    <mergeCell ref="A10188:A10191"/>
    <mergeCell ref="B10188:B10191"/>
    <mergeCell ref="A10168:A10171"/>
    <mergeCell ref="B10168:B10171"/>
    <mergeCell ref="A10172:A10175"/>
    <mergeCell ref="B10172:B10175"/>
    <mergeCell ref="A10176:A10179"/>
    <mergeCell ref="B10176:B10179"/>
    <mergeCell ref="A10228:A10231"/>
    <mergeCell ref="B10228:B10231"/>
    <mergeCell ref="A10232:A10235"/>
    <mergeCell ref="B10232:B10235"/>
    <mergeCell ref="A10236:A10239"/>
    <mergeCell ref="B10236:B10239"/>
    <mergeCell ref="A10216:A10219"/>
    <mergeCell ref="B10216:B10219"/>
    <mergeCell ref="A10220:A10223"/>
    <mergeCell ref="B10220:B10223"/>
    <mergeCell ref="A10224:A10227"/>
    <mergeCell ref="B10224:B10227"/>
    <mergeCell ref="A10204:A10207"/>
    <mergeCell ref="B10204:B10207"/>
    <mergeCell ref="A10208:A10211"/>
    <mergeCell ref="B10208:B10211"/>
    <mergeCell ref="A10212:A10215"/>
    <mergeCell ref="B10212:B10215"/>
    <mergeCell ref="A10267:A10270"/>
    <mergeCell ref="B10267:B10270"/>
    <mergeCell ref="A10271:A10274"/>
    <mergeCell ref="B10271:B10274"/>
    <mergeCell ref="A10275:A10278"/>
    <mergeCell ref="B10275:B10278"/>
    <mergeCell ref="A10255:A10258"/>
    <mergeCell ref="B10255:B10258"/>
    <mergeCell ref="A10259:A10262"/>
    <mergeCell ref="B10259:B10262"/>
    <mergeCell ref="A10263:A10266"/>
    <mergeCell ref="B10263:B10266"/>
    <mergeCell ref="A10240:A10243"/>
    <mergeCell ref="B10240:B10243"/>
    <mergeCell ref="A10244:A10247"/>
    <mergeCell ref="B10244:B10247"/>
    <mergeCell ref="A10248:A10254"/>
    <mergeCell ref="B10248:B10254"/>
    <mergeCell ref="A10303:A10306"/>
    <mergeCell ref="B10303:B10306"/>
    <mergeCell ref="A10307:A10310"/>
    <mergeCell ref="B10307:B10310"/>
    <mergeCell ref="A10311:A10314"/>
    <mergeCell ref="B10311:B10314"/>
    <mergeCell ref="A10291:A10294"/>
    <mergeCell ref="B10291:B10294"/>
    <mergeCell ref="A10295:A10298"/>
    <mergeCell ref="B10295:B10298"/>
    <mergeCell ref="A10299:A10302"/>
    <mergeCell ref="B10299:B10302"/>
    <mergeCell ref="A10279:A10282"/>
    <mergeCell ref="B10279:B10282"/>
    <mergeCell ref="A10283:A10286"/>
    <mergeCell ref="B10283:B10286"/>
    <mergeCell ref="A10287:A10290"/>
    <mergeCell ref="B10287:B10290"/>
    <mergeCell ref="A10339:A10342"/>
    <mergeCell ref="B10339:B10342"/>
    <mergeCell ref="A10343:A10346"/>
    <mergeCell ref="B10343:B10346"/>
    <mergeCell ref="A10347:A10350"/>
    <mergeCell ref="B10347:B10350"/>
    <mergeCell ref="A10327:A10330"/>
    <mergeCell ref="B10327:B10330"/>
    <mergeCell ref="A10331:A10334"/>
    <mergeCell ref="B10331:B10334"/>
    <mergeCell ref="A10335:A10338"/>
    <mergeCell ref="B10335:B10338"/>
    <mergeCell ref="A10315:A10318"/>
    <mergeCell ref="B10315:B10318"/>
    <mergeCell ref="A10319:A10322"/>
    <mergeCell ref="B10319:B10322"/>
    <mergeCell ref="A10323:A10326"/>
    <mergeCell ref="B10323:B10326"/>
    <mergeCell ref="A10375:A10378"/>
    <mergeCell ref="B10375:B10378"/>
    <mergeCell ref="A10379:A10382"/>
    <mergeCell ref="B10379:B10382"/>
    <mergeCell ref="A10383:A10386"/>
    <mergeCell ref="B10383:B10386"/>
    <mergeCell ref="A10363:A10366"/>
    <mergeCell ref="B10363:B10366"/>
    <mergeCell ref="A10367:A10370"/>
    <mergeCell ref="B10367:B10370"/>
    <mergeCell ref="A10371:A10374"/>
    <mergeCell ref="B10371:B10374"/>
    <mergeCell ref="A10351:A10354"/>
    <mergeCell ref="B10351:B10354"/>
    <mergeCell ref="A10355:A10358"/>
    <mergeCell ref="B10355:B10358"/>
    <mergeCell ref="A10359:A10362"/>
    <mergeCell ref="B10359:B10362"/>
    <mergeCell ref="A10411:A10414"/>
    <mergeCell ref="B10411:B10414"/>
    <mergeCell ref="A10415:A10418"/>
    <mergeCell ref="B10415:B10418"/>
    <mergeCell ref="A10419:A10422"/>
    <mergeCell ref="B10419:B10422"/>
    <mergeCell ref="A10399:A10402"/>
    <mergeCell ref="B10399:B10402"/>
    <mergeCell ref="A10403:A10406"/>
    <mergeCell ref="B10403:B10406"/>
    <mergeCell ref="A10407:A10410"/>
    <mergeCell ref="B10407:B10410"/>
    <mergeCell ref="A10387:A10390"/>
    <mergeCell ref="B10387:B10390"/>
    <mergeCell ref="A10391:A10394"/>
    <mergeCell ref="B10391:B10394"/>
    <mergeCell ref="A10395:A10398"/>
    <mergeCell ref="B10395:B10398"/>
    <mergeCell ref="A10454:A10457"/>
    <mergeCell ref="B10454:B10457"/>
    <mergeCell ref="A10458:A10461"/>
    <mergeCell ref="B10458:B10461"/>
    <mergeCell ref="A10462:A10465"/>
    <mergeCell ref="B10462:B10465"/>
    <mergeCell ref="A10435:A10438"/>
    <mergeCell ref="B10435:B10438"/>
    <mergeCell ref="A10439:A10449"/>
    <mergeCell ref="B10439:B10449"/>
    <mergeCell ref="A10450:A10453"/>
    <mergeCell ref="B10450:B10453"/>
    <mergeCell ref="A10423:A10426"/>
    <mergeCell ref="B10423:B10426"/>
    <mergeCell ref="A10427:A10430"/>
    <mergeCell ref="B10427:B10430"/>
    <mergeCell ref="A10431:A10434"/>
    <mergeCell ref="B10431:B10434"/>
    <mergeCell ref="A10490:A10493"/>
    <mergeCell ref="B10490:B10493"/>
    <mergeCell ref="A10494:A10497"/>
    <mergeCell ref="B10494:B10497"/>
    <mergeCell ref="A10498:A10501"/>
    <mergeCell ref="B10498:B10501"/>
    <mergeCell ref="A10478:A10481"/>
    <mergeCell ref="B10478:B10481"/>
    <mergeCell ref="A10482:A10485"/>
    <mergeCell ref="B10482:B10485"/>
    <mergeCell ref="A10486:A10489"/>
    <mergeCell ref="B10486:B10489"/>
    <mergeCell ref="A10466:A10469"/>
    <mergeCell ref="B10466:B10469"/>
    <mergeCell ref="A10470:A10473"/>
    <mergeCell ref="B10470:B10473"/>
    <mergeCell ref="A10474:A10477"/>
    <mergeCell ref="B10474:B10477"/>
    <mergeCell ref="A10526:A10529"/>
    <mergeCell ref="B10526:B10529"/>
    <mergeCell ref="A10530:A10533"/>
    <mergeCell ref="B10530:B10533"/>
    <mergeCell ref="A10534:A10537"/>
    <mergeCell ref="B10534:B10537"/>
    <mergeCell ref="A10514:A10517"/>
    <mergeCell ref="B10514:B10517"/>
    <mergeCell ref="A10518:A10521"/>
    <mergeCell ref="B10518:B10521"/>
    <mergeCell ref="A10522:A10525"/>
    <mergeCell ref="B10522:B10525"/>
    <mergeCell ref="A10502:A10505"/>
    <mergeCell ref="B10502:B10505"/>
    <mergeCell ref="A10506:A10509"/>
    <mergeCell ref="B10506:B10509"/>
    <mergeCell ref="A10510:A10513"/>
    <mergeCell ref="B10510:B10513"/>
    <mergeCell ref="A10562:A10565"/>
    <mergeCell ref="B10562:B10565"/>
    <mergeCell ref="A10566:A10569"/>
    <mergeCell ref="B10566:B10569"/>
    <mergeCell ref="A10570:A10573"/>
    <mergeCell ref="B10570:B10573"/>
    <mergeCell ref="A10550:A10553"/>
    <mergeCell ref="B10550:B10553"/>
    <mergeCell ref="A10554:A10557"/>
    <mergeCell ref="B10554:B10557"/>
    <mergeCell ref="A10558:A10561"/>
    <mergeCell ref="B10558:B10561"/>
    <mergeCell ref="A10538:A10541"/>
    <mergeCell ref="B10538:B10541"/>
    <mergeCell ref="A10542:A10545"/>
    <mergeCell ref="B10542:B10545"/>
    <mergeCell ref="A10546:A10549"/>
    <mergeCell ref="B10546:B10549"/>
    <mergeCell ref="A10598:A10601"/>
    <mergeCell ref="B10598:B10601"/>
    <mergeCell ref="A10602:A10605"/>
    <mergeCell ref="B10602:B10605"/>
    <mergeCell ref="A10606:A10609"/>
    <mergeCell ref="B10606:B10609"/>
    <mergeCell ref="A10586:A10589"/>
    <mergeCell ref="B10586:B10589"/>
    <mergeCell ref="A10590:A10593"/>
    <mergeCell ref="B10590:B10593"/>
    <mergeCell ref="A10594:A10597"/>
    <mergeCell ref="B10594:B10597"/>
    <mergeCell ref="A10574:A10577"/>
    <mergeCell ref="B10574:B10577"/>
    <mergeCell ref="A10578:A10581"/>
    <mergeCell ref="B10578:B10581"/>
    <mergeCell ref="A10582:A10585"/>
    <mergeCell ref="B10582:B10585"/>
    <mergeCell ref="A10634:A10637"/>
    <mergeCell ref="B10634:B10637"/>
    <mergeCell ref="A10638:A10641"/>
    <mergeCell ref="B10638:B10641"/>
    <mergeCell ref="A10642:A10645"/>
    <mergeCell ref="B10642:B10645"/>
    <mergeCell ref="A10622:A10625"/>
    <mergeCell ref="B10622:B10625"/>
    <mergeCell ref="A10626:A10629"/>
    <mergeCell ref="B10626:B10629"/>
    <mergeCell ref="A10630:A10633"/>
    <mergeCell ref="B10630:B10633"/>
    <mergeCell ref="A10610:A10613"/>
    <mergeCell ref="B10610:B10613"/>
    <mergeCell ref="A10614:A10617"/>
    <mergeCell ref="B10614:B10617"/>
    <mergeCell ref="A10618:A10621"/>
    <mergeCell ref="B10618:B10621"/>
    <mergeCell ref="A10670:A10673"/>
    <mergeCell ref="B10670:B10673"/>
    <mergeCell ref="A10674:A10677"/>
    <mergeCell ref="B10674:B10677"/>
    <mergeCell ref="A10678:A10681"/>
    <mergeCell ref="B10678:B10681"/>
    <mergeCell ref="A10658:A10661"/>
    <mergeCell ref="B10658:B10661"/>
    <mergeCell ref="A10662:A10665"/>
    <mergeCell ref="B10662:B10665"/>
    <mergeCell ref="A10666:A10669"/>
    <mergeCell ref="B10666:B10669"/>
    <mergeCell ref="A10646:A10649"/>
    <mergeCell ref="B10646:B10649"/>
    <mergeCell ref="A10650:A10653"/>
    <mergeCell ref="B10650:B10653"/>
    <mergeCell ref="A10654:A10657"/>
    <mergeCell ref="B10654:B10657"/>
    <mergeCell ref="A10713:A10719"/>
    <mergeCell ref="B10713:B10719"/>
    <mergeCell ref="A10720:A10725"/>
    <mergeCell ref="B10720:B10725"/>
    <mergeCell ref="A10726:A10732"/>
    <mergeCell ref="B10726:B10732"/>
    <mergeCell ref="A10695:A10700"/>
    <mergeCell ref="B10695:B10700"/>
    <mergeCell ref="A10701:A10706"/>
    <mergeCell ref="B10701:B10706"/>
    <mergeCell ref="A10707:A10712"/>
    <mergeCell ref="B10707:B10712"/>
    <mergeCell ref="A10682:A10685"/>
    <mergeCell ref="B10682:B10685"/>
    <mergeCell ref="A10686:A10689"/>
    <mergeCell ref="B10686:B10689"/>
    <mergeCell ref="A10690:A10694"/>
    <mergeCell ref="B10690:B10694"/>
    <mergeCell ref="A10778:A10786"/>
    <mergeCell ref="B10778:B10786"/>
    <mergeCell ref="A10787:A10790"/>
    <mergeCell ref="B10787:B10790"/>
    <mergeCell ref="A10791:A10794"/>
    <mergeCell ref="B10791:B10794"/>
    <mergeCell ref="A10753:A10764"/>
    <mergeCell ref="B10753:B10764"/>
    <mergeCell ref="A10765:A10768"/>
    <mergeCell ref="B10765:B10768"/>
    <mergeCell ref="A10769:A10777"/>
    <mergeCell ref="B10769:B10777"/>
    <mergeCell ref="A10733:A10741"/>
    <mergeCell ref="B10733:B10741"/>
    <mergeCell ref="A10742:A10747"/>
    <mergeCell ref="B10742:B10747"/>
    <mergeCell ref="A10748:A10752"/>
    <mergeCell ref="B10748:B10752"/>
    <mergeCell ref="A10848:A10854"/>
    <mergeCell ref="B10848:B10854"/>
    <mergeCell ref="A10855:A10860"/>
    <mergeCell ref="B10855:B10860"/>
    <mergeCell ref="A10861:A10866"/>
    <mergeCell ref="B10861:B10866"/>
    <mergeCell ref="A10814:A10825"/>
    <mergeCell ref="B10814:B10825"/>
    <mergeCell ref="A10826:A10832"/>
    <mergeCell ref="B10826:B10832"/>
    <mergeCell ref="A10833:A10847"/>
    <mergeCell ref="B10833:B10847"/>
    <mergeCell ref="A10795:A10798"/>
    <mergeCell ref="B10795:B10798"/>
    <mergeCell ref="A10799:A10802"/>
    <mergeCell ref="B10799:B10802"/>
    <mergeCell ref="A10803:A10813"/>
    <mergeCell ref="B10803:B10813"/>
    <mergeCell ref="A10910:A10913"/>
    <mergeCell ref="B10910:B10913"/>
    <mergeCell ref="A10914:A10917"/>
    <mergeCell ref="B10914:B10917"/>
    <mergeCell ref="A10918:A10921"/>
    <mergeCell ref="B10918:B10921"/>
    <mergeCell ref="A10891:A10897"/>
    <mergeCell ref="B10891:B10897"/>
    <mergeCell ref="A10898:A10903"/>
    <mergeCell ref="B10898:B10903"/>
    <mergeCell ref="A10904:A10909"/>
    <mergeCell ref="B10904:B10909"/>
    <mergeCell ref="A10867:A10873"/>
    <mergeCell ref="B10867:B10873"/>
    <mergeCell ref="A10874:A10879"/>
    <mergeCell ref="B10874:B10879"/>
    <mergeCell ref="A10880:A10890"/>
    <mergeCell ref="B10880:B10890"/>
    <mergeCell ref="A10946:A10949"/>
    <mergeCell ref="B10946:B10949"/>
    <mergeCell ref="A10950:A10955"/>
    <mergeCell ref="B10950:B10955"/>
    <mergeCell ref="A10956:A10961"/>
    <mergeCell ref="B10956:B10961"/>
    <mergeCell ref="A10934:A10937"/>
    <mergeCell ref="B10934:B10937"/>
    <mergeCell ref="A10938:A10941"/>
    <mergeCell ref="B10938:B10941"/>
    <mergeCell ref="A10942:A10945"/>
    <mergeCell ref="B10942:B10945"/>
    <mergeCell ref="A10922:A10925"/>
    <mergeCell ref="B10922:B10925"/>
    <mergeCell ref="A10926:A10929"/>
    <mergeCell ref="B10926:B10929"/>
    <mergeCell ref="A10930:A10933"/>
    <mergeCell ref="B10930:B10933"/>
    <mergeCell ref="A11013:A11020"/>
    <mergeCell ref="B11013:B11020"/>
    <mergeCell ref="A11021:A11028"/>
    <mergeCell ref="B11021:B11028"/>
    <mergeCell ref="A11029:A11036"/>
    <mergeCell ref="B11029:B11036"/>
    <mergeCell ref="A10986:A10996"/>
    <mergeCell ref="B10986:B10996"/>
    <mergeCell ref="A10997:A11004"/>
    <mergeCell ref="B10997:B11004"/>
    <mergeCell ref="A11005:A11012"/>
    <mergeCell ref="B11005:B11012"/>
    <mergeCell ref="A10962:A10969"/>
    <mergeCell ref="B10962:B10969"/>
    <mergeCell ref="A10970:A10977"/>
    <mergeCell ref="B10970:B10977"/>
    <mergeCell ref="A10978:A10985"/>
    <mergeCell ref="B10978:B10985"/>
    <mergeCell ref="A11083:A11088"/>
    <mergeCell ref="B11083:B11088"/>
    <mergeCell ref="A11089:A11099"/>
    <mergeCell ref="B11089:B11099"/>
    <mergeCell ref="A11100:A11105"/>
    <mergeCell ref="B11100:B11105"/>
    <mergeCell ref="A11061:A11068"/>
    <mergeCell ref="B11061:B11068"/>
    <mergeCell ref="A11069:A11076"/>
    <mergeCell ref="B11069:B11076"/>
    <mergeCell ref="A11077:A11082"/>
    <mergeCell ref="B11077:B11082"/>
    <mergeCell ref="A11037:A11044"/>
    <mergeCell ref="B11037:B11044"/>
    <mergeCell ref="A11045:A11052"/>
    <mergeCell ref="B11045:B11052"/>
    <mergeCell ref="A11053:A11060"/>
    <mergeCell ref="B11053:B11060"/>
    <mergeCell ref="A11150:A11156"/>
    <mergeCell ref="B11150:B11156"/>
    <mergeCell ref="A11157:A11163"/>
    <mergeCell ref="B11157:B11163"/>
    <mergeCell ref="A11164:A11170"/>
    <mergeCell ref="B11164:B11170"/>
    <mergeCell ref="A11128:A11135"/>
    <mergeCell ref="B11128:B11135"/>
    <mergeCell ref="A11136:A11142"/>
    <mergeCell ref="B11136:B11142"/>
    <mergeCell ref="A11143:A11149"/>
    <mergeCell ref="B11143:B11149"/>
    <mergeCell ref="A11106:A11112"/>
    <mergeCell ref="B11106:B11112"/>
    <mergeCell ref="A11113:A11119"/>
    <mergeCell ref="B11113:B11119"/>
    <mergeCell ref="A11120:A11127"/>
    <mergeCell ref="B11120:B11127"/>
    <mergeCell ref="A11207:A11211"/>
    <mergeCell ref="B11207:B11211"/>
    <mergeCell ref="A11212:A11243"/>
    <mergeCell ref="B11212:B11243"/>
    <mergeCell ref="A11244:A11252"/>
    <mergeCell ref="B11244:B11252"/>
    <mergeCell ref="A11192:A11196"/>
    <mergeCell ref="B11192:B11196"/>
    <mergeCell ref="A11197:A11201"/>
    <mergeCell ref="B11197:B11201"/>
    <mergeCell ref="A11202:A11206"/>
    <mergeCell ref="B11202:B11206"/>
    <mergeCell ref="A11171:A11177"/>
    <mergeCell ref="B11171:B11177"/>
    <mergeCell ref="A11178:A11184"/>
    <mergeCell ref="B11178:B11184"/>
    <mergeCell ref="A11185:A11191"/>
    <mergeCell ref="B11185:B11191"/>
    <mergeCell ref="A11289:A11294"/>
    <mergeCell ref="B11289:B11294"/>
    <mergeCell ref="A11295:A11300"/>
    <mergeCell ref="B11295:B11300"/>
    <mergeCell ref="A11301:A11306"/>
    <mergeCell ref="B11301:B11306"/>
    <mergeCell ref="A11269:A11276"/>
    <mergeCell ref="B11269:B11276"/>
    <mergeCell ref="A11277:A11282"/>
    <mergeCell ref="B11277:B11282"/>
    <mergeCell ref="A11283:A11288"/>
    <mergeCell ref="B11283:B11288"/>
    <mergeCell ref="A11253:A11257"/>
    <mergeCell ref="B11253:B11257"/>
    <mergeCell ref="A11258:A11262"/>
    <mergeCell ref="B11258:B11262"/>
    <mergeCell ref="A11263:A11268"/>
    <mergeCell ref="B11263:B11268"/>
    <mergeCell ref="A11355:A11358"/>
    <mergeCell ref="B11355:B11358"/>
    <mergeCell ref="A11359:A11362"/>
    <mergeCell ref="B11359:B11362"/>
    <mergeCell ref="A11363:A11369"/>
    <mergeCell ref="B11363:B11369"/>
    <mergeCell ref="A11325:A11334"/>
    <mergeCell ref="B11325:B11334"/>
    <mergeCell ref="A11335:A11344"/>
    <mergeCell ref="B11335:B11344"/>
    <mergeCell ref="A11345:A11354"/>
    <mergeCell ref="B11345:B11354"/>
    <mergeCell ref="A11307:A11316"/>
    <mergeCell ref="B11307:B11316"/>
    <mergeCell ref="A11317:A11320"/>
    <mergeCell ref="B11317:B11320"/>
    <mergeCell ref="A11321:A11324"/>
    <mergeCell ref="B11321:B11324"/>
    <mergeCell ref="A11409:A11416"/>
    <mergeCell ref="B11409:B11416"/>
    <mergeCell ref="A11417:A11422"/>
    <mergeCell ref="B11417:B11422"/>
    <mergeCell ref="A11423:A11431"/>
    <mergeCell ref="B11423:B11431"/>
    <mergeCell ref="A11385:A11391"/>
    <mergeCell ref="B11385:B11391"/>
    <mergeCell ref="A11392:A11402"/>
    <mergeCell ref="B11392:B11402"/>
    <mergeCell ref="A11403:A11408"/>
    <mergeCell ref="B11403:B11408"/>
    <mergeCell ref="A11370:A11374"/>
    <mergeCell ref="B11370:B11374"/>
    <mergeCell ref="A11375:A11379"/>
    <mergeCell ref="B11375:B11379"/>
    <mergeCell ref="A11380:A11384"/>
    <mergeCell ref="B11380:B11384"/>
    <mergeCell ref="A11472:A11477"/>
    <mergeCell ref="B11472:B11477"/>
    <mergeCell ref="A11478:A11483"/>
    <mergeCell ref="B11478:B11483"/>
    <mergeCell ref="A11484:A11487"/>
    <mergeCell ref="B11484:B11487"/>
    <mergeCell ref="A11449:A11452"/>
    <mergeCell ref="B11449:B11452"/>
    <mergeCell ref="A11453:A11456"/>
    <mergeCell ref="B11453:B11456"/>
    <mergeCell ref="A11457:A11471"/>
    <mergeCell ref="B11457:B11471"/>
    <mergeCell ref="A11432:A11440"/>
    <mergeCell ref="B11432:B11440"/>
    <mergeCell ref="A11441:A11444"/>
    <mergeCell ref="B11441:B11444"/>
    <mergeCell ref="A11445:A11448"/>
    <mergeCell ref="B11445:B11448"/>
    <mergeCell ref="A11512:A11515"/>
    <mergeCell ref="B11512:B11515"/>
    <mergeCell ref="A11516:A11521"/>
    <mergeCell ref="B11516:B11521"/>
    <mergeCell ref="A11522:A11528"/>
    <mergeCell ref="B11522:B11528"/>
    <mergeCell ref="A11500:A11503"/>
    <mergeCell ref="B11500:B11503"/>
    <mergeCell ref="A11504:A11507"/>
    <mergeCell ref="B11504:B11507"/>
    <mergeCell ref="A11508:A11511"/>
    <mergeCell ref="B11508:B11511"/>
    <mergeCell ref="A11488:A11491"/>
    <mergeCell ref="B11488:B11491"/>
    <mergeCell ref="A11492:A11495"/>
    <mergeCell ref="B11492:B11495"/>
    <mergeCell ref="A11496:A11499"/>
    <mergeCell ref="B11496:B11499"/>
    <mergeCell ref="A11569:A11572"/>
    <mergeCell ref="B11569:B11572"/>
    <mergeCell ref="A11573:A11576"/>
    <mergeCell ref="B11573:B11576"/>
    <mergeCell ref="A11577:A11580"/>
    <mergeCell ref="B11577:B11580"/>
    <mergeCell ref="A11552:A11557"/>
    <mergeCell ref="B11552:B11557"/>
    <mergeCell ref="A11558:A11563"/>
    <mergeCell ref="B11558:B11563"/>
    <mergeCell ref="A11564:A11568"/>
    <mergeCell ref="B11564:B11568"/>
    <mergeCell ref="A11529:A11534"/>
    <mergeCell ref="B11529:B11534"/>
    <mergeCell ref="A11535:A11541"/>
    <mergeCell ref="B11535:B11541"/>
    <mergeCell ref="A11542:A11551"/>
    <mergeCell ref="B11542:B11551"/>
    <mergeCell ref="A11613:A11617"/>
    <mergeCell ref="B11613:B11617"/>
    <mergeCell ref="A11618:A11633"/>
    <mergeCell ref="B11618:B11633"/>
    <mergeCell ref="A11634:A11647"/>
    <mergeCell ref="B11634:B11647"/>
    <mergeCell ref="A11593:A11596"/>
    <mergeCell ref="B11593:B11596"/>
    <mergeCell ref="A11597:A11607"/>
    <mergeCell ref="B11597:B11607"/>
    <mergeCell ref="A11608:A11612"/>
    <mergeCell ref="B11608:B11612"/>
    <mergeCell ref="A11581:A11584"/>
    <mergeCell ref="B11581:B11584"/>
    <mergeCell ref="A11585:A11588"/>
    <mergeCell ref="B11585:B11588"/>
    <mergeCell ref="A11589:A11592"/>
    <mergeCell ref="B11589:B11592"/>
    <mergeCell ref="A11697:A11705"/>
    <mergeCell ref="B11697:B11705"/>
    <mergeCell ref="A11706:A11710"/>
    <mergeCell ref="B11706:B11710"/>
    <mergeCell ref="A11711:A11721"/>
    <mergeCell ref="B11711:B11721"/>
    <mergeCell ref="A11670:A11678"/>
    <mergeCell ref="B11670:B11678"/>
    <mergeCell ref="A11679:A11687"/>
    <mergeCell ref="B11679:B11687"/>
    <mergeCell ref="A11688:A11696"/>
    <mergeCell ref="B11688:B11696"/>
    <mergeCell ref="A11648:A11654"/>
    <mergeCell ref="B11648:B11654"/>
    <mergeCell ref="A11655:A11663"/>
    <mergeCell ref="B11655:B11663"/>
    <mergeCell ref="A11664:A11669"/>
    <mergeCell ref="B11664:B11669"/>
    <mergeCell ref="A11782:A11786"/>
    <mergeCell ref="B11782:B11786"/>
    <mergeCell ref="A11787:A11792"/>
    <mergeCell ref="B11787:B11792"/>
    <mergeCell ref="A11793:A11803"/>
    <mergeCell ref="B11793:B11803"/>
    <mergeCell ref="A11762:A11768"/>
    <mergeCell ref="B11762:B11768"/>
    <mergeCell ref="A11769:A11775"/>
    <mergeCell ref="B11769:B11775"/>
    <mergeCell ref="A11776:A11781"/>
    <mergeCell ref="B11776:B11781"/>
    <mergeCell ref="A11722:A11746"/>
    <mergeCell ref="B11722:B11746"/>
    <mergeCell ref="A11747:A11756"/>
    <mergeCell ref="B11747:B11756"/>
    <mergeCell ref="A11757:A11761"/>
    <mergeCell ref="B11757:B11761"/>
    <mergeCell ref="A11851:A11856"/>
    <mergeCell ref="B11851:B11856"/>
    <mergeCell ref="A11857:A11861"/>
    <mergeCell ref="B11857:B11861"/>
    <mergeCell ref="A11862:A11867"/>
    <mergeCell ref="B11862:B11867"/>
    <mergeCell ref="A11825:A11831"/>
    <mergeCell ref="B11825:B11831"/>
    <mergeCell ref="A11832:A11839"/>
    <mergeCell ref="B11832:B11839"/>
    <mergeCell ref="A11840:A11850"/>
    <mergeCell ref="B11840:B11850"/>
    <mergeCell ref="A11804:A11807"/>
    <mergeCell ref="B11804:B11807"/>
    <mergeCell ref="A11808:A11817"/>
    <mergeCell ref="B11808:B11817"/>
    <mergeCell ref="A11818:A11824"/>
    <mergeCell ref="B11818:B11824"/>
    <mergeCell ref="A11904:A11909"/>
    <mergeCell ref="B11904:B11909"/>
    <mergeCell ref="A11910:A11915"/>
    <mergeCell ref="B11910:B11915"/>
    <mergeCell ref="A11916:A11925"/>
    <mergeCell ref="B11916:B11925"/>
    <mergeCell ref="A11886:A11891"/>
    <mergeCell ref="B11886:B11891"/>
    <mergeCell ref="A11892:A11897"/>
    <mergeCell ref="B11892:B11897"/>
    <mergeCell ref="A11898:A11903"/>
    <mergeCell ref="B11898:B11903"/>
    <mergeCell ref="A11868:A11873"/>
    <mergeCell ref="B11868:B11873"/>
    <mergeCell ref="A11874:A11879"/>
    <mergeCell ref="B11874:B11879"/>
    <mergeCell ref="A11880:A11885"/>
    <mergeCell ref="B11880:B11885"/>
    <mergeCell ref="A11963:A11969"/>
    <mergeCell ref="B11963:B11969"/>
    <mergeCell ref="A11970:A11975"/>
    <mergeCell ref="B11970:B11975"/>
    <mergeCell ref="A11976:A11986"/>
    <mergeCell ref="B11976:B11986"/>
    <mergeCell ref="A11945:A11950"/>
    <mergeCell ref="B11945:B11950"/>
    <mergeCell ref="A11951:A11956"/>
    <mergeCell ref="B11951:B11956"/>
    <mergeCell ref="A11957:A11962"/>
    <mergeCell ref="B11957:B11962"/>
    <mergeCell ref="A11926:A11932"/>
    <mergeCell ref="B11926:B11932"/>
    <mergeCell ref="A11933:A11938"/>
    <mergeCell ref="B11933:B11938"/>
    <mergeCell ref="A11939:A11944"/>
    <mergeCell ref="B11939:B11944"/>
  </mergeCells>
  <conditionalFormatting sqref="D233 D237 D241 D394 D648 D652 D656 D660 D664 D704 D772 D783 D912 D1524 D1641 D2008 D2013 D2160 D2214 D2270 D2329 D2339 D2379 D2628 D2632 D2636 D2640 D2644 D2648 D2656 D2664 D2672 D2676 D2680 D2684 D2688 D2692 D2696 D2700 D2704 D2708 D2712 D2724 D2736 D2742 D2748 D2754 D2760 D2766 D2772 D2778 D2784 D2790 D2852 D2857 D2867 D2883 D2893 D2898 D2903 D2908 D2915 D2920 D2925 D2930 D2935 D2940 D2945 D2950 D2955 D2962 D2967 D2972 D2977 D2985 D2993 D3001 D3009 D3017 D3022 D3027 D3032 D3037 D3042 D3047 D3052 D3057 D3062 D3067 D3077 D3082 D3087 D3092 D3097 D3102 D3107 D3112 D3117 D3122 D3130 D3135 D3143 D3147 D3155 D3160 D3168 D3173 D3178 D3183 D3188 D3193 D3198 D3203 D3208 D3213 D3219 D3225 D3231 D3237 D3242 D3248 D3253 D3262 D3270 D3278 D3283 D3287 D3294 D3306 D3312 D3318 D3324 D3334 D3339 D3346 D3353 D3360 D3367 D3374 D3381 D3388 D3395 D3402 D3409 D3415 D3421 D3430 D3435 D3442 D3449 D3456 D3460 D3469 D3473 D3477 D3484 D3491 D3498 D3503 D3508 D3513 D3517 D3521 D3531 D3553 D3561 D3578 D3586 D3603 D3622 D3629 D3645 D3651 D3657 D3665 D3672 D3677 D3687 D3692 D3699 D3705 D3715 D3720 D3725 D3733 D3737 D3743 D3758 D3766 D3778 D3791 D3802 D3806 D3816 D3821 D3830 D3837 D3841 D3845 D3903 D3909 D3914 D3926 D3936 D3945 D3953 D3965 D3980 D3987 D4005 D4011 D4017 D4023 D4030 D4039 D4047 D4057 D4064 D4072 D4084 D4097 D4102 D4106 D4110 D4119 D4128 D4137 D4146 D4155 D4182 D4188 D4194 D4201 D4207 D4211 D4218 D4226 D4234 D4242 D4246 D4254 D4265 D4276 D4280 D4288 D4295 D4301 D4307 D4313 D4323 D4329 D4337 D4345 D4354 D4361 D4366 D4374 D4383 D4399 D4426 D4432 D4442 D4451 D4460 D4469 D4478 D4488 D4496 D4504 D4514 D4524 D4534 D4542 D4557 D4566 D4572 D4592 D4600 D4608 D4614 D4619 D4624 D4633 D4641 D4646 D4652 D4664 D4676 D4695 D4703 D4712 D4720 D4726 D4738 D4746 D4753 D4761 D4769 D4780 D4786 D4794 D4803 D4819 D4825 D4869 D4880">
    <cfRule type="containsText" dxfId="1576" priority="8627" operator="containsText" text="Pesquisa de Preços">
      <formula>NOT(ISERROR(SEARCH("Pesquisa de Preços",D233)))</formula>
    </cfRule>
  </conditionalFormatting>
  <conditionalFormatting sqref="D775:D781">
    <cfRule type="containsText" dxfId="1575" priority="2281" operator="containsText" text="Pesquisa de Preços">
      <formula>NOT(ISERROR(SEARCH("Pesquisa de Preços",D775)))</formula>
    </cfRule>
  </conditionalFormatting>
  <conditionalFormatting sqref="D907">
    <cfRule type="containsText" dxfId="1574" priority="1341" operator="containsText" text="Pesquisa de Preços">
      <formula>NOT(ISERROR(SEARCH("Pesquisa de Preços",D907)))</formula>
    </cfRule>
  </conditionalFormatting>
  <conditionalFormatting sqref="D909">
    <cfRule type="containsText" dxfId="1573" priority="1340" operator="containsText" text="Pesquisa de Preços">
      <formula>NOT(ISERROR(SEARCH("Pesquisa de Preços",D909)))</formula>
    </cfRule>
  </conditionalFormatting>
  <conditionalFormatting sqref="D1103:D1104">
    <cfRule type="containsText" dxfId="1572" priority="8505" operator="containsText" text="Pesquisa de Preços">
      <formula>NOT(ISERROR(SEARCH("Pesquisa de Preços",D1103)))</formula>
    </cfRule>
  </conditionalFormatting>
  <conditionalFormatting sqref="D1445:D1446">
    <cfRule type="containsText" dxfId="1571" priority="8446" operator="containsText" text="Pesquisa de Preços">
      <formula>NOT(ISERROR(SEARCH("Pesquisa de Preços",D1445)))</formula>
    </cfRule>
  </conditionalFormatting>
  <conditionalFormatting sqref="D1455">
    <cfRule type="containsText" dxfId="1570" priority="8258" operator="containsText" text="Pesquisa de Preços">
      <formula>NOT(ISERROR(SEARCH("Pesquisa de Preços",D1455)))</formula>
    </cfRule>
  </conditionalFormatting>
  <conditionalFormatting sqref="D1475:D1476">
    <cfRule type="containsText" dxfId="1569" priority="8444" operator="containsText" text="Pesquisa de Preços">
      <formula>NOT(ISERROR(SEARCH("Pesquisa de Preços",D1475)))</formula>
    </cfRule>
  </conditionalFormatting>
  <conditionalFormatting sqref="D1505:D1507">
    <cfRule type="containsText" dxfId="1568" priority="8259" operator="containsText" text="Pesquisa de Preços">
      <formula>NOT(ISERROR(SEARCH("Pesquisa de Preços",D1505)))</formula>
    </cfRule>
  </conditionalFormatting>
  <conditionalFormatting sqref="D1798">
    <cfRule type="containsText" dxfId="1567" priority="1511" operator="containsText" text="Pesquisa de Preços">
      <formula>NOT(ISERROR(SEARCH("Pesquisa de Preços",D1798)))</formula>
    </cfRule>
  </conditionalFormatting>
  <conditionalFormatting sqref="D1800:D1809">
    <cfRule type="containsText" dxfId="1566" priority="1500" operator="containsText" text="Pesquisa de Preços">
      <formula>NOT(ISERROR(SEARCH("Pesquisa de Preços",D1800)))</formula>
    </cfRule>
  </conditionalFormatting>
  <conditionalFormatting sqref="D1811">
    <cfRule type="containsText" dxfId="1565" priority="1499" operator="containsText" text="Pesquisa de Preços">
      <formula>NOT(ISERROR(SEARCH("Pesquisa de Preços",D1811)))</formula>
    </cfRule>
  </conditionalFormatting>
  <conditionalFormatting sqref="D1813:D1820">
    <cfRule type="containsText" dxfId="1564" priority="1493" operator="containsText" text="Pesquisa de Preços">
      <formula>NOT(ISERROR(SEARCH("Pesquisa de Preços",D1813)))</formula>
    </cfRule>
  </conditionalFormatting>
  <conditionalFormatting sqref="D1822">
    <cfRule type="containsText" dxfId="1563" priority="1492" operator="containsText" text="Pesquisa de Preços">
      <formula>NOT(ISERROR(SEARCH("Pesquisa de Preços",D1822)))</formula>
    </cfRule>
  </conditionalFormatting>
  <conditionalFormatting sqref="D1824:D1833">
    <cfRule type="containsText" dxfId="1562" priority="1481" operator="containsText" text="Pesquisa de Preços">
      <formula>NOT(ISERROR(SEARCH("Pesquisa de Preços",D1824)))</formula>
    </cfRule>
  </conditionalFormatting>
  <conditionalFormatting sqref="D1835">
    <cfRule type="containsText" dxfId="1561" priority="1480" operator="containsText" text="Pesquisa de Preços">
      <formula>NOT(ISERROR(SEARCH("Pesquisa de Preços",D1835)))</formula>
    </cfRule>
  </conditionalFormatting>
  <conditionalFormatting sqref="D1837:D1846">
    <cfRule type="containsText" dxfId="1560" priority="1457" operator="containsText" text="Pesquisa de Preços">
      <formula>NOT(ISERROR(SEARCH("Pesquisa de Preços",D1837)))</formula>
    </cfRule>
  </conditionalFormatting>
  <conditionalFormatting sqref="D1848">
    <cfRule type="containsText" dxfId="1559" priority="1468" operator="containsText" text="Pesquisa de Preços">
      <formula>NOT(ISERROR(SEARCH("Pesquisa de Preços",D1848)))</formula>
    </cfRule>
  </conditionalFormatting>
  <conditionalFormatting sqref="D1850:D1857">
    <cfRule type="containsText" dxfId="1558" priority="1448" operator="containsText" text="Pesquisa de Preços">
      <formula>NOT(ISERROR(SEARCH("Pesquisa de Preços",D1850)))</formula>
    </cfRule>
  </conditionalFormatting>
  <conditionalFormatting sqref="D1859">
    <cfRule type="containsText" dxfId="1557" priority="1465" operator="containsText" text="Pesquisa de Preços">
      <formula>NOT(ISERROR(SEARCH("Pesquisa de Preços",D1859)))</formula>
    </cfRule>
  </conditionalFormatting>
  <conditionalFormatting sqref="D1861:D1868">
    <cfRule type="containsText" dxfId="1556" priority="1438" operator="containsText" text="Pesquisa de Preços">
      <formula>NOT(ISERROR(SEARCH("Pesquisa de Preços",D1861)))</formula>
    </cfRule>
  </conditionalFormatting>
  <conditionalFormatting sqref="D1870">
    <cfRule type="containsText" dxfId="1555" priority="1462" operator="containsText" text="Pesquisa de Preços">
      <formula>NOT(ISERROR(SEARCH("Pesquisa de Preços",D1870)))</formula>
    </cfRule>
  </conditionalFormatting>
  <conditionalFormatting sqref="D1872:D1879">
    <cfRule type="containsText" dxfId="1554" priority="1428" operator="containsText" text="Pesquisa de Preços">
      <formula>NOT(ISERROR(SEARCH("Pesquisa de Preços",D1872)))</formula>
    </cfRule>
  </conditionalFormatting>
  <conditionalFormatting sqref="D2472">
    <cfRule type="containsText" dxfId="1553" priority="6799" operator="containsText" text="Pesquisa de Preços">
      <formula>NOT(ISERROR(SEARCH("Pesquisa de Preços",D2472)))</formula>
    </cfRule>
  </conditionalFormatting>
  <conditionalFormatting sqref="D2512">
    <cfRule type="containsText" dxfId="1552" priority="6760" operator="containsText" text="Pesquisa de Preços">
      <formula>NOT(ISERROR(SEARCH("Pesquisa de Preços",D2512)))</formula>
    </cfRule>
  </conditionalFormatting>
  <conditionalFormatting sqref="D2516">
    <cfRule type="containsText" dxfId="1551" priority="6757" operator="containsText" text="Pesquisa de Preços">
      <formula>NOT(ISERROR(SEARCH("Pesquisa de Preços",D2516)))</formula>
    </cfRule>
  </conditionalFormatting>
  <conditionalFormatting sqref="D2520">
    <cfRule type="containsText" dxfId="1550" priority="6679" operator="containsText" text="Pesquisa de Preços">
      <formula>NOT(ISERROR(SEARCH("Pesquisa de Preços",D2520)))</formula>
    </cfRule>
  </conditionalFormatting>
  <conditionalFormatting sqref="D2524">
    <cfRule type="containsText" dxfId="1549" priority="6676" operator="containsText" text="Pesquisa de Preços">
      <formula>NOT(ISERROR(SEARCH("Pesquisa de Preços",D2524)))</formula>
    </cfRule>
  </conditionalFormatting>
  <conditionalFormatting sqref="D2528">
    <cfRule type="containsText" dxfId="1548" priority="6754" operator="containsText" text="Pesquisa de Preços">
      <formula>NOT(ISERROR(SEARCH("Pesquisa de Preços",D2528)))</formula>
    </cfRule>
  </conditionalFormatting>
  <conditionalFormatting sqref="D2532">
    <cfRule type="containsText" dxfId="1547" priority="6751" operator="containsText" text="Pesquisa de Preços">
      <formula>NOT(ISERROR(SEARCH("Pesquisa de Preços",D2532)))</formula>
    </cfRule>
  </conditionalFormatting>
  <conditionalFormatting sqref="D2536">
    <cfRule type="containsText" dxfId="1546" priority="6748" operator="containsText" text="Pesquisa de Preços">
      <formula>NOT(ISERROR(SEARCH("Pesquisa de Preços",D2536)))</formula>
    </cfRule>
  </conditionalFormatting>
  <conditionalFormatting sqref="D2540">
    <cfRule type="containsText" dxfId="1545" priority="6745" operator="containsText" text="Pesquisa de Preços">
      <formula>NOT(ISERROR(SEARCH("Pesquisa de Preços",D2540)))</formula>
    </cfRule>
  </conditionalFormatting>
  <conditionalFormatting sqref="D2544">
    <cfRule type="containsText" dxfId="1544" priority="6742" operator="containsText" text="Pesquisa de Preços">
      <formula>NOT(ISERROR(SEARCH("Pesquisa de Preços",D2544)))</formula>
    </cfRule>
  </conditionalFormatting>
  <conditionalFormatting sqref="D2548">
    <cfRule type="containsText" dxfId="1543" priority="6739" operator="containsText" text="Pesquisa de Preços">
      <formula>NOT(ISERROR(SEARCH("Pesquisa de Preços",D2548)))</formula>
    </cfRule>
  </conditionalFormatting>
  <conditionalFormatting sqref="D2552">
    <cfRule type="containsText" dxfId="1542" priority="6736" operator="containsText" text="Pesquisa de Preços">
      <formula>NOT(ISERROR(SEARCH("Pesquisa de Preços",D2552)))</formula>
    </cfRule>
  </conditionalFormatting>
  <conditionalFormatting sqref="D2556">
    <cfRule type="containsText" dxfId="1541" priority="6733" operator="containsText" text="Pesquisa de Preços">
      <formula>NOT(ISERROR(SEARCH("Pesquisa de Preços",D2556)))</formula>
    </cfRule>
  </conditionalFormatting>
  <conditionalFormatting sqref="D2560">
    <cfRule type="containsText" dxfId="1540" priority="6732" operator="containsText" text="Pesquisa de Preços">
      <formula>NOT(ISERROR(SEARCH("Pesquisa de Preços",D2560)))</formula>
    </cfRule>
  </conditionalFormatting>
  <conditionalFormatting sqref="D2564">
    <cfRule type="containsText" dxfId="1539" priority="6731" operator="containsText" text="Pesquisa de Preços">
      <formula>NOT(ISERROR(SEARCH("Pesquisa de Preços",D2564)))</formula>
    </cfRule>
  </conditionalFormatting>
  <conditionalFormatting sqref="D2568">
    <cfRule type="containsText" dxfId="1538" priority="6730" operator="containsText" text="Pesquisa de Preços">
      <formula>NOT(ISERROR(SEARCH("Pesquisa de Preços",D2568)))</formula>
    </cfRule>
  </conditionalFormatting>
  <conditionalFormatting sqref="D2572">
    <cfRule type="containsText" dxfId="1537" priority="6727" operator="containsText" text="Pesquisa de Preços">
      <formula>NOT(ISERROR(SEARCH("Pesquisa de Preços",D2572)))</formula>
    </cfRule>
  </conditionalFormatting>
  <conditionalFormatting sqref="D2576">
    <cfRule type="containsText" dxfId="1536" priority="6724" operator="containsText" text="Pesquisa de Preços">
      <formula>NOT(ISERROR(SEARCH("Pesquisa de Preços",D2576)))</formula>
    </cfRule>
  </conditionalFormatting>
  <conditionalFormatting sqref="D2580">
    <cfRule type="containsText" dxfId="1535" priority="6721" operator="containsText" text="Pesquisa de Preços">
      <formula>NOT(ISERROR(SEARCH("Pesquisa de Preços",D2580)))</formula>
    </cfRule>
  </conditionalFormatting>
  <conditionalFormatting sqref="D2584">
    <cfRule type="containsText" dxfId="1534" priority="6718" operator="containsText" text="Pesquisa de Preços">
      <formula>NOT(ISERROR(SEARCH("Pesquisa de Preços",D2584)))</formula>
    </cfRule>
  </conditionalFormatting>
  <conditionalFormatting sqref="D2588">
    <cfRule type="containsText" dxfId="1533" priority="6715" operator="containsText" text="Pesquisa de Preços">
      <formula>NOT(ISERROR(SEARCH("Pesquisa de Preços",D2588)))</formula>
    </cfRule>
  </conditionalFormatting>
  <conditionalFormatting sqref="D2592">
    <cfRule type="containsText" dxfId="1532" priority="6712" operator="containsText" text="Pesquisa de Preços">
      <formula>NOT(ISERROR(SEARCH("Pesquisa de Preços",D2592)))</formula>
    </cfRule>
  </conditionalFormatting>
  <conditionalFormatting sqref="D2596">
    <cfRule type="containsText" dxfId="1531" priority="6709" operator="containsText" text="Pesquisa de Preços">
      <formula>NOT(ISERROR(SEARCH("Pesquisa de Preços",D2596)))</formula>
    </cfRule>
  </conditionalFormatting>
  <conditionalFormatting sqref="D2600">
    <cfRule type="containsText" dxfId="1530" priority="6706" operator="containsText" text="Pesquisa de Preços">
      <formula>NOT(ISERROR(SEARCH("Pesquisa de Preços",D2600)))</formula>
    </cfRule>
  </conditionalFormatting>
  <conditionalFormatting sqref="D2604">
    <cfRule type="containsText" dxfId="1529" priority="6703" operator="containsText" text="Pesquisa de Preços">
      <formula>NOT(ISERROR(SEARCH("Pesquisa de Preços",D2604)))</formula>
    </cfRule>
  </conditionalFormatting>
  <conditionalFormatting sqref="D2608">
    <cfRule type="containsText" dxfId="1528" priority="6700" operator="containsText" text="Pesquisa de Preços">
      <formula>NOT(ISERROR(SEARCH("Pesquisa de Preços",D2608)))</formula>
    </cfRule>
  </conditionalFormatting>
  <conditionalFormatting sqref="D2612">
    <cfRule type="containsText" dxfId="1527" priority="6697" operator="containsText" text="Pesquisa de Preços">
      <formula>NOT(ISERROR(SEARCH("Pesquisa de Preços",D2612)))</formula>
    </cfRule>
  </conditionalFormatting>
  <conditionalFormatting sqref="D2616">
    <cfRule type="containsText" dxfId="1526" priority="6694" operator="containsText" text="Pesquisa de Preços">
      <formula>NOT(ISERROR(SEARCH("Pesquisa de Preços",D2616)))</formula>
    </cfRule>
  </conditionalFormatting>
  <conditionalFormatting sqref="D2620">
    <cfRule type="containsText" dxfId="1525" priority="6686" operator="containsText" text="Pesquisa de Preços">
      <formula>NOT(ISERROR(SEARCH("Pesquisa de Preços",D2620)))</formula>
    </cfRule>
  </conditionalFormatting>
  <conditionalFormatting sqref="D2624">
    <cfRule type="containsText" dxfId="1524" priority="6689" operator="containsText" text="Pesquisa de Preços">
      <formula>NOT(ISERROR(SEARCH("Pesquisa de Preços",D2624)))</formula>
    </cfRule>
  </conditionalFormatting>
  <conditionalFormatting sqref="D2716">
    <cfRule type="containsText" dxfId="1523" priority="4718" operator="containsText" text="Pesquisa de Preços">
      <formula>NOT(ISERROR(SEARCH("Pesquisa de Preços",D2716)))</formula>
    </cfRule>
  </conditionalFormatting>
  <conditionalFormatting sqref="D2720">
    <cfRule type="containsText" dxfId="1522" priority="6685" operator="containsText" text="Pesquisa de Preços">
      <formula>NOT(ISERROR(SEARCH("Pesquisa de Preços",D2720)))</formula>
    </cfRule>
  </conditionalFormatting>
  <conditionalFormatting sqref="D2728">
    <cfRule type="containsText" dxfId="1521" priority="6682" operator="containsText" text="Pesquisa de Preços">
      <formula>NOT(ISERROR(SEARCH("Pesquisa de Preços",D2728)))</formula>
    </cfRule>
  </conditionalFormatting>
  <conditionalFormatting sqref="D2732">
    <cfRule type="containsText" dxfId="1520" priority="3608" operator="containsText" text="Pesquisa de Preços">
      <formula>NOT(ISERROR(SEARCH("Pesquisa de Preços",D2732)))</formula>
    </cfRule>
  </conditionalFormatting>
  <conditionalFormatting sqref="D2796">
    <cfRule type="containsText" dxfId="1519" priority="4820" operator="containsText" text="Pesquisa de Preços">
      <formula>NOT(ISERROR(SEARCH("Pesquisa de Preços",D2796)))</formula>
    </cfRule>
  </conditionalFormatting>
  <conditionalFormatting sqref="D2800">
    <cfRule type="containsText" dxfId="1518" priority="4815" operator="containsText" text="Pesquisa de Preços">
      <formula>NOT(ISERROR(SEARCH("Pesquisa de Preços",D2800)))</formula>
    </cfRule>
  </conditionalFormatting>
  <conditionalFormatting sqref="D2804">
    <cfRule type="containsText" dxfId="1517" priority="4810" operator="containsText" text="Pesquisa de Preços">
      <formula>NOT(ISERROR(SEARCH("Pesquisa de Preços",D2804)))</formula>
    </cfRule>
  </conditionalFormatting>
  <conditionalFormatting sqref="D2808">
    <cfRule type="containsText" dxfId="1516" priority="5135" operator="containsText" text="Pesquisa de Preços">
      <formula>NOT(ISERROR(SEARCH("Pesquisa de Preços",D2808)))</formula>
    </cfRule>
  </conditionalFormatting>
  <conditionalFormatting sqref="D2812">
    <cfRule type="containsText" dxfId="1515" priority="5138" operator="containsText" text="Pesquisa de Preços">
      <formula>NOT(ISERROR(SEARCH("Pesquisa de Preços",D2812)))</formula>
    </cfRule>
  </conditionalFormatting>
  <conditionalFormatting sqref="D2816">
    <cfRule type="containsText" dxfId="1514" priority="5125" operator="containsText" text="Pesquisa de Preços">
      <formula>NOT(ISERROR(SEARCH("Pesquisa de Preços",D2816)))</formula>
    </cfRule>
  </conditionalFormatting>
  <conditionalFormatting sqref="D2820">
    <cfRule type="containsText" dxfId="1513" priority="5128" operator="containsText" text="Pesquisa de Preços">
      <formula>NOT(ISERROR(SEARCH("Pesquisa de Preços",D2820)))</formula>
    </cfRule>
  </conditionalFormatting>
  <conditionalFormatting sqref="D2824">
    <cfRule type="containsText" dxfId="1512" priority="4807" operator="containsText" text="Pesquisa de Preços">
      <formula>NOT(ISERROR(SEARCH("Pesquisa de Preços",D2824)))</formula>
    </cfRule>
  </conditionalFormatting>
  <conditionalFormatting sqref="D2828">
    <cfRule type="containsText" dxfId="1511" priority="5115" operator="containsText" text="Pesquisa de Preços">
      <formula>NOT(ISERROR(SEARCH("Pesquisa de Preços",D2828)))</formula>
    </cfRule>
  </conditionalFormatting>
  <conditionalFormatting sqref="D2832">
    <cfRule type="containsText" dxfId="1510" priority="5118" operator="containsText" text="Pesquisa de Preços">
      <formula>NOT(ISERROR(SEARCH("Pesquisa de Preços",D2832)))</formula>
    </cfRule>
  </conditionalFormatting>
  <conditionalFormatting sqref="D2836">
    <cfRule type="containsText" dxfId="1509" priority="4798" operator="containsText" text="Pesquisa de Preços">
      <formula>NOT(ISERROR(SEARCH("Pesquisa de Preços",D2836)))</formula>
    </cfRule>
  </conditionalFormatting>
  <conditionalFormatting sqref="D2840">
    <cfRule type="containsText" dxfId="1508" priority="6426" operator="containsText" text="Pesquisa de Preços">
      <formula>NOT(ISERROR(SEARCH("Pesquisa de Preços",D2840)))</formula>
    </cfRule>
  </conditionalFormatting>
  <conditionalFormatting sqref="D2844">
    <cfRule type="containsText" dxfId="1507" priority="6669" operator="containsText" text="Pesquisa de Preços">
      <formula>NOT(ISERROR(SEARCH("Pesquisa de Preços",D2844)))</formula>
    </cfRule>
  </conditionalFormatting>
  <conditionalFormatting sqref="D2848">
    <cfRule type="containsText" dxfId="1506" priority="6431" operator="containsText" text="Pesquisa de Preços">
      <formula>NOT(ISERROR(SEARCH("Pesquisa de Preços",D2848)))</formula>
    </cfRule>
  </conditionalFormatting>
  <conditionalFormatting sqref="D2873">
    <cfRule type="containsText" dxfId="1505" priority="7412" operator="containsText" text="Pesquisa de Preços">
      <formula>NOT(ISERROR(SEARCH("Pesquisa de Preços",D2873)))</formula>
    </cfRule>
  </conditionalFormatting>
  <conditionalFormatting sqref="D2878">
    <cfRule type="containsText" dxfId="1504" priority="7411" operator="containsText" text="Pesquisa de Preços">
      <formula>NOT(ISERROR(SEARCH("Pesquisa de Preços",D2878)))</formula>
    </cfRule>
  </conditionalFormatting>
  <conditionalFormatting sqref="D3542">
    <cfRule type="containsText" dxfId="1503" priority="4797" operator="containsText" text="Pesquisa de Preços">
      <formula>NOT(ISERROR(SEARCH("Pesquisa de Preços",D3542)))</formula>
    </cfRule>
  </conditionalFormatting>
  <conditionalFormatting sqref="D3613">
    <cfRule type="containsText" dxfId="1502" priority="4794" operator="containsText" text="Pesquisa de Preços">
      <formula>NOT(ISERROR(SEARCH("Pesquisa de Preços",D3613)))</formula>
    </cfRule>
  </conditionalFormatting>
  <conditionalFormatting sqref="D3679:D3683">
    <cfRule type="containsText" dxfId="1501" priority="3514" operator="containsText" text="Pesquisa de Preços">
      <formula>NOT(ISERROR(SEARCH("Pesquisa de Preços",D3679)))</formula>
    </cfRule>
  </conditionalFormatting>
  <conditionalFormatting sqref="D3849">
    <cfRule type="containsText" dxfId="1500" priority="4837" operator="containsText" text="Pesquisa de Preços">
      <formula>NOT(ISERROR(SEARCH("Pesquisa de Preços",D3849)))</formula>
    </cfRule>
  </conditionalFormatting>
  <conditionalFormatting sqref="D3855">
    <cfRule type="containsText" dxfId="1499" priority="4834" operator="containsText" text="Pesquisa de Preços">
      <formula>NOT(ISERROR(SEARCH("Pesquisa de Preços",D3855)))</formula>
    </cfRule>
  </conditionalFormatting>
  <conditionalFormatting sqref="D3861">
    <cfRule type="containsText" dxfId="1498" priority="4833" operator="containsText" text="Pesquisa de Preços">
      <formula>NOT(ISERROR(SEARCH("Pesquisa de Preços",D3861)))</formula>
    </cfRule>
  </conditionalFormatting>
  <conditionalFormatting sqref="D3867">
    <cfRule type="containsText" dxfId="1497" priority="4832" operator="containsText" text="Pesquisa de Preços">
      <formula>NOT(ISERROR(SEARCH("Pesquisa de Preços",D3867)))</formula>
    </cfRule>
  </conditionalFormatting>
  <conditionalFormatting sqref="D3873">
    <cfRule type="containsText" dxfId="1496" priority="4831" operator="containsText" text="Pesquisa de Preços">
      <formula>NOT(ISERROR(SEARCH("Pesquisa de Preços",D3873)))</formula>
    </cfRule>
  </conditionalFormatting>
  <conditionalFormatting sqref="D3879">
    <cfRule type="containsText" dxfId="1495" priority="4830" operator="containsText" text="Pesquisa de Preços">
      <formula>NOT(ISERROR(SEARCH("Pesquisa de Preços",D3879)))</formula>
    </cfRule>
  </conditionalFormatting>
  <conditionalFormatting sqref="D3885">
    <cfRule type="containsText" dxfId="1494" priority="4829" operator="containsText" text="Pesquisa de Preços">
      <formula>NOT(ISERROR(SEARCH("Pesquisa de Preços",D3885)))</formula>
    </cfRule>
  </conditionalFormatting>
  <conditionalFormatting sqref="D3891">
    <cfRule type="containsText" dxfId="1493" priority="4828" operator="containsText" text="Pesquisa de Preços">
      <formula>NOT(ISERROR(SEARCH("Pesquisa de Preços",D3891)))</formula>
    </cfRule>
  </conditionalFormatting>
  <conditionalFormatting sqref="D3897">
    <cfRule type="containsText" dxfId="1492" priority="4827" operator="containsText" text="Pesquisa de Preços">
      <formula>NOT(ISERROR(SEARCH("Pesquisa de Preços",D3897)))</formula>
    </cfRule>
  </conditionalFormatting>
  <conditionalFormatting sqref="D3920:D3922">
    <cfRule type="containsText" dxfId="1491" priority="3511" operator="containsText" text="Pesquisa de Preços">
      <formula>NOT(ISERROR(SEARCH("Pesquisa de Preços",D3920)))</formula>
    </cfRule>
  </conditionalFormatting>
  <conditionalFormatting sqref="D4164">
    <cfRule type="containsText" dxfId="1490" priority="1427" operator="containsText" text="Pesquisa de Preços">
      <formula>NOT(ISERROR(SEARCH("Pesquisa de Preços",D4164)))</formula>
    </cfRule>
  </conditionalFormatting>
  <conditionalFormatting sqref="D4166:D4171">
    <cfRule type="containsText" dxfId="1489" priority="1424" operator="containsText" text="Pesquisa de Preços">
      <formula>NOT(ISERROR(SEARCH("Pesquisa de Preços",D4166)))</formula>
    </cfRule>
  </conditionalFormatting>
  <conditionalFormatting sqref="D4173">
    <cfRule type="containsText" dxfId="1488" priority="1423" operator="containsText" text="Pesquisa de Preços">
      <formula>NOT(ISERROR(SEARCH("Pesquisa de Preços",D4173)))</formula>
    </cfRule>
  </conditionalFormatting>
  <conditionalFormatting sqref="D4175:D4180">
    <cfRule type="containsText" dxfId="1487" priority="1420" operator="containsText" text="Pesquisa de Preços">
      <formula>NOT(ISERROR(SEARCH("Pesquisa de Preços",D4175)))</formula>
    </cfRule>
  </conditionalFormatting>
  <conditionalFormatting sqref="D4544:D4555">
    <cfRule type="containsText" dxfId="1486" priority="3503" operator="containsText" text="Pesquisa de Preços">
      <formula>NOT(ISERROR(SEARCH("Pesquisa de Preços",D4544)))</formula>
    </cfRule>
  </conditionalFormatting>
  <conditionalFormatting sqref="D4559:D4564">
    <cfRule type="containsText" dxfId="1485" priority="3510" operator="containsText" text="Pesquisa de Preços">
      <formula>NOT(ISERROR(SEARCH("Pesquisa de Preços",D4559)))</formula>
    </cfRule>
  </conditionalFormatting>
  <conditionalFormatting sqref="D4626:D4631">
    <cfRule type="containsText" dxfId="1484" priority="3563" operator="containsText" text="Pesquisa de Preços">
      <formula>NOT(ISERROR(SEARCH("Pesquisa de Preços",D4626)))</formula>
    </cfRule>
  </conditionalFormatting>
  <conditionalFormatting sqref="D4748:D4751">
    <cfRule type="containsText" dxfId="1483" priority="1964" operator="containsText" text="Pesquisa de Preços">
      <formula>NOT(ISERROR(SEARCH("Pesquisa de Preços",D4748)))</formula>
    </cfRule>
  </conditionalFormatting>
  <conditionalFormatting sqref="D4771:D4773">
    <cfRule type="containsText" dxfId="1482" priority="3544" operator="containsText" text="Pesquisa de Preços">
      <formula>NOT(ISERROR(SEARCH("Pesquisa de Preços",D4771)))</formula>
    </cfRule>
  </conditionalFormatting>
  <conditionalFormatting sqref="D4815">
    <cfRule type="containsText" dxfId="1481" priority="4697" operator="containsText" text="Pesquisa de Preços">
      <formula>NOT(ISERROR(SEARCH("Pesquisa de Preços",D4815)))</formula>
    </cfRule>
  </conditionalFormatting>
  <conditionalFormatting sqref="D4833">
    <cfRule type="containsText" dxfId="1480" priority="4667" operator="containsText" text="Pesquisa de Preços">
      <formula>NOT(ISERROR(SEARCH("Pesquisa de Preços",D4833)))</formula>
    </cfRule>
  </conditionalFormatting>
  <conditionalFormatting sqref="D4837">
    <cfRule type="containsText" dxfId="1479" priority="4670" operator="containsText" text="Pesquisa de Preços">
      <formula>NOT(ISERROR(SEARCH("Pesquisa de Preços",D4837)))</formula>
    </cfRule>
  </conditionalFormatting>
  <conditionalFormatting sqref="D4841">
    <cfRule type="containsText" dxfId="1478" priority="4791" operator="containsText" text="Pesquisa de Preços">
      <formula>NOT(ISERROR(SEARCH("Pesquisa de Preços",D4841)))</formula>
    </cfRule>
  </conditionalFormatting>
  <conditionalFormatting sqref="D4845">
    <cfRule type="containsText" dxfId="1477" priority="5110" operator="containsText" text="Pesquisa de Preços">
      <formula>NOT(ISERROR(SEARCH("Pesquisa de Preços",D4845)))</formula>
    </cfRule>
  </conditionalFormatting>
  <conditionalFormatting sqref="D4849">
    <cfRule type="containsText" dxfId="1476" priority="5109" operator="containsText" text="Pesquisa de Preços">
      <formula>NOT(ISERROR(SEARCH("Pesquisa de Preços",D4849)))</formula>
    </cfRule>
  </conditionalFormatting>
  <conditionalFormatting sqref="D4853">
    <cfRule type="containsText" dxfId="1475" priority="4788" operator="containsText" text="Pesquisa de Preços">
      <formula>NOT(ISERROR(SEARCH("Pesquisa de Preços",D4853)))</formula>
    </cfRule>
  </conditionalFormatting>
  <conditionalFormatting sqref="D4857">
    <cfRule type="containsText" dxfId="1474" priority="5104" operator="containsText" text="Pesquisa de Preços">
      <formula>NOT(ISERROR(SEARCH("Pesquisa de Preços",D4857)))</formula>
    </cfRule>
  </conditionalFormatting>
  <conditionalFormatting sqref="D4861">
    <cfRule type="containsText" dxfId="1473" priority="4711" operator="containsText" text="Pesquisa de Preços">
      <formula>NOT(ISERROR(SEARCH("Pesquisa de Preços",D4861)))</formula>
    </cfRule>
  </conditionalFormatting>
  <conditionalFormatting sqref="D4865">
    <cfRule type="containsText" dxfId="1472" priority="4706" operator="containsText" text="Pesquisa de Preços">
      <formula>NOT(ISERROR(SEARCH("Pesquisa de Preços",D4865)))</formula>
    </cfRule>
  </conditionalFormatting>
  <conditionalFormatting sqref="D4885">
    <cfRule type="containsText" dxfId="1471" priority="1258" operator="containsText" text="Pesquisa de Preços">
      <formula>NOT(ISERROR(SEARCH("Pesquisa de Preços",D4885)))</formula>
    </cfRule>
  </conditionalFormatting>
  <conditionalFormatting sqref="D4887:D4888">
    <cfRule type="containsText" dxfId="1470" priority="1255" operator="containsText" text="Pesquisa de Preços">
      <formula>NOT(ISERROR(SEARCH("Pesquisa de Preços",D4887)))</formula>
    </cfRule>
  </conditionalFormatting>
  <conditionalFormatting sqref="D4890">
    <cfRule type="containsText" dxfId="1469" priority="7398" operator="containsText" text="Pesquisa de Preços">
      <formula>NOT(ISERROR(SEARCH("Pesquisa de Preços",D4890)))</formula>
    </cfRule>
  </conditionalFormatting>
  <conditionalFormatting sqref="D4900">
    <cfRule type="containsText" dxfId="1468" priority="7391" operator="containsText" text="Pesquisa de Preços">
      <formula>NOT(ISERROR(SEARCH("Pesquisa de Preços",D4900)))</formula>
    </cfRule>
  </conditionalFormatting>
  <conditionalFormatting sqref="D4910">
    <cfRule type="containsText" dxfId="1467" priority="7382" operator="containsText" text="Pesquisa de Preços">
      <formula>NOT(ISERROR(SEARCH("Pesquisa de Preços",D4910)))</formula>
    </cfRule>
  </conditionalFormatting>
  <conditionalFormatting sqref="D4915">
    <cfRule type="containsText" dxfId="1466" priority="7353" operator="containsText" text="Pesquisa de Preços">
      <formula>NOT(ISERROR(SEARCH("Pesquisa de Preços",D4915)))</formula>
    </cfRule>
  </conditionalFormatting>
  <conditionalFormatting sqref="D4920">
    <cfRule type="containsText" dxfId="1465" priority="7350" operator="containsText" text="Pesquisa de Preços">
      <formula>NOT(ISERROR(SEARCH("Pesquisa de Preços",D4920)))</formula>
    </cfRule>
  </conditionalFormatting>
  <conditionalFormatting sqref="D4925">
    <cfRule type="containsText" dxfId="1464" priority="7347" operator="containsText" text="Pesquisa de Preços">
      <formula>NOT(ISERROR(SEARCH("Pesquisa de Preços",D4925)))</formula>
    </cfRule>
  </conditionalFormatting>
  <conditionalFormatting sqref="D4933">
    <cfRule type="containsText" dxfId="1463" priority="7344" operator="containsText" text="Pesquisa de Preços">
      <formula>NOT(ISERROR(SEARCH("Pesquisa de Preços",D4933)))</formula>
    </cfRule>
  </conditionalFormatting>
  <conditionalFormatting sqref="D4941">
    <cfRule type="containsText" dxfId="1462" priority="7341" operator="containsText" text="Pesquisa de Preços">
      <formula>NOT(ISERROR(SEARCH("Pesquisa de Preços",D4941)))</formula>
    </cfRule>
  </conditionalFormatting>
  <conditionalFormatting sqref="D4949">
    <cfRule type="containsText" dxfId="1461" priority="7338" operator="containsText" text="Pesquisa de Preços">
      <formula>NOT(ISERROR(SEARCH("Pesquisa de Preços",D4949)))</formula>
    </cfRule>
  </conditionalFormatting>
  <conditionalFormatting sqref="D4957">
    <cfRule type="containsText" dxfId="1460" priority="7335" operator="containsText" text="Pesquisa de Preços">
      <formula>NOT(ISERROR(SEARCH("Pesquisa de Preços",D4957)))</formula>
    </cfRule>
  </conditionalFormatting>
  <conditionalFormatting sqref="D4965">
    <cfRule type="containsText" dxfId="1459" priority="7332" operator="containsText" text="Pesquisa de Preços">
      <formula>NOT(ISERROR(SEARCH("Pesquisa de Preços",D4965)))</formula>
    </cfRule>
  </conditionalFormatting>
  <conditionalFormatting sqref="D4973">
    <cfRule type="containsText" dxfId="1458" priority="7329" operator="containsText" text="Pesquisa de Preços">
      <formula>NOT(ISERROR(SEARCH("Pesquisa de Preços",D4973)))</formula>
    </cfRule>
  </conditionalFormatting>
  <conditionalFormatting sqref="D4981">
    <cfRule type="containsText" dxfId="1457" priority="7326" operator="containsText" text="Pesquisa de Preços">
      <formula>NOT(ISERROR(SEARCH("Pesquisa de Preços",D4981)))</formula>
    </cfRule>
  </conditionalFormatting>
  <conditionalFormatting sqref="D5015">
    <cfRule type="containsText" dxfId="1456" priority="7290" operator="containsText" text="Pesquisa de Preços">
      <formula>NOT(ISERROR(SEARCH("Pesquisa de Preços",D5015)))</formula>
    </cfRule>
  </conditionalFormatting>
  <conditionalFormatting sqref="D5022">
    <cfRule type="containsText" dxfId="1455" priority="7287" operator="containsText" text="Pesquisa de Preços">
      <formula>NOT(ISERROR(SEARCH("Pesquisa de Preços",D5022)))</formula>
    </cfRule>
  </conditionalFormatting>
  <conditionalFormatting sqref="D5029">
    <cfRule type="containsText" dxfId="1454" priority="7284" operator="containsText" text="Pesquisa de Preços">
      <formula>NOT(ISERROR(SEARCH("Pesquisa de Preços",D5029)))</formula>
    </cfRule>
  </conditionalFormatting>
  <conditionalFormatting sqref="D5036">
    <cfRule type="containsText" dxfId="1453" priority="7281" operator="containsText" text="Pesquisa de Preços">
      <formula>NOT(ISERROR(SEARCH("Pesquisa de Preços",D5036)))</formula>
    </cfRule>
  </conditionalFormatting>
  <conditionalFormatting sqref="D5043">
    <cfRule type="containsText" dxfId="1452" priority="7278" operator="containsText" text="Pesquisa de Preços">
      <formula>NOT(ISERROR(SEARCH("Pesquisa de Preços",D5043)))</formula>
    </cfRule>
  </conditionalFormatting>
  <conditionalFormatting sqref="D5081 D5087">
    <cfRule type="containsText" dxfId="1451" priority="7241" operator="containsText" text="Pesquisa de Preços">
      <formula>NOT(ISERROR(SEARCH("Pesquisa de Preços",D5081)))</formula>
    </cfRule>
  </conditionalFormatting>
  <conditionalFormatting sqref="D5170">
    <cfRule type="containsText" dxfId="1450" priority="7154" operator="containsText" text="Pesquisa de Preços">
      <formula>NOT(ISERROR(SEARCH("Pesquisa de Preços",D5170)))</formula>
    </cfRule>
  </conditionalFormatting>
  <conditionalFormatting sqref="D5190:D5224">
    <cfRule type="containsText" dxfId="1449" priority="1175" operator="containsText" text="Pesquisa de Preços">
      <formula>NOT(ISERROR(SEARCH("Pesquisa de Preços",D5190)))</formula>
    </cfRule>
  </conditionalFormatting>
  <conditionalFormatting sqref="D5229:D5230">
    <cfRule type="containsText" dxfId="1448" priority="7032" operator="containsText" text="Pesquisa de Preços">
      <formula>NOT(ISERROR(SEARCH("Pesquisa de Preços",D5229)))</formula>
    </cfRule>
  </conditionalFormatting>
  <conditionalFormatting sqref="D5236">
    <cfRule type="containsText" dxfId="1447" priority="7025" operator="containsText" text="Pesquisa de Preços">
      <formula>NOT(ISERROR(SEARCH("Pesquisa de Preços",D5236)))</formula>
    </cfRule>
  </conditionalFormatting>
  <conditionalFormatting sqref="D5244">
    <cfRule type="containsText" dxfId="1446" priority="7015" operator="containsText" text="Pesquisa de Preços">
      <formula>NOT(ISERROR(SEARCH("Pesquisa de Preços",D5244)))</formula>
    </cfRule>
  </conditionalFormatting>
  <conditionalFormatting sqref="D5252">
    <cfRule type="containsText" dxfId="1445" priority="7005" operator="containsText" text="Pesquisa de Preços">
      <formula>NOT(ISERROR(SEARCH("Pesquisa de Preços",D5252)))</formula>
    </cfRule>
  </conditionalFormatting>
  <conditionalFormatting sqref="D5260">
    <cfRule type="containsText" dxfId="1444" priority="6995" operator="containsText" text="Pesquisa de Preços">
      <formula>NOT(ISERROR(SEARCH("Pesquisa de Preços",D5260)))</formula>
    </cfRule>
  </conditionalFormatting>
  <conditionalFormatting sqref="D5268">
    <cfRule type="containsText" dxfId="1443" priority="6985" operator="containsText" text="Pesquisa de Preços">
      <formula>NOT(ISERROR(SEARCH("Pesquisa de Preços",D5268)))</formula>
    </cfRule>
  </conditionalFormatting>
  <conditionalFormatting sqref="D5274">
    <cfRule type="containsText" dxfId="1442" priority="6977" operator="containsText" text="Pesquisa de Preços">
      <formula>NOT(ISERROR(SEARCH("Pesquisa de Preços",D5274)))</formula>
    </cfRule>
  </conditionalFormatting>
  <conditionalFormatting sqref="D5282">
    <cfRule type="containsText" dxfId="1441" priority="1723" operator="containsText" text="Pesquisa de Preços">
      <formula>NOT(ISERROR(SEARCH("Pesquisa de Preços",D5282)))</formula>
    </cfRule>
  </conditionalFormatting>
  <conditionalFormatting sqref="D5285:D5290">
    <cfRule type="containsText" dxfId="1440" priority="1718" operator="containsText" text="Pesquisa de Preços">
      <formula>NOT(ISERROR(SEARCH("Pesquisa de Preços",D5285)))</formula>
    </cfRule>
  </conditionalFormatting>
  <conditionalFormatting sqref="D5298">
    <cfRule type="containsText" dxfId="1439" priority="6957" operator="containsText" text="Pesquisa de Preços">
      <formula>NOT(ISERROR(SEARCH("Pesquisa de Preços",D5298)))</formula>
    </cfRule>
  </conditionalFormatting>
  <conditionalFormatting sqref="D5306">
    <cfRule type="containsText" dxfId="1438" priority="6947" operator="containsText" text="Pesquisa de Preços">
      <formula>NOT(ISERROR(SEARCH("Pesquisa de Preços",D5306)))</formula>
    </cfRule>
  </conditionalFormatting>
  <conditionalFormatting sqref="D5314">
    <cfRule type="containsText" dxfId="1437" priority="6937" operator="containsText" text="Pesquisa de Preços">
      <formula>NOT(ISERROR(SEARCH("Pesquisa de Preços",D5314)))</formula>
    </cfRule>
  </conditionalFormatting>
  <conditionalFormatting sqref="D5329">
    <cfRule type="containsText" dxfId="1436" priority="6926" operator="containsText" text="Pesquisa de Preços">
      <formula>NOT(ISERROR(SEARCH("Pesquisa de Preços",D5329)))</formula>
    </cfRule>
  </conditionalFormatting>
  <conditionalFormatting sqref="D5344">
    <cfRule type="containsText" dxfId="1435" priority="6915" operator="containsText" text="Pesquisa de Preços">
      <formula>NOT(ISERROR(SEARCH("Pesquisa de Preços",D5344)))</formula>
    </cfRule>
  </conditionalFormatting>
  <conditionalFormatting sqref="D5351">
    <cfRule type="containsText" dxfId="1434" priority="6908" operator="containsText" text="Pesquisa de Preços">
      <formula>NOT(ISERROR(SEARCH("Pesquisa de Preços",D5351)))</formula>
    </cfRule>
  </conditionalFormatting>
  <conditionalFormatting sqref="D5358">
    <cfRule type="containsText" dxfId="1433" priority="1419" operator="containsText" text="Pesquisa de Preços">
      <formula>NOT(ISERROR(SEARCH("Pesquisa de Preços",D5358)))</formula>
    </cfRule>
  </conditionalFormatting>
  <conditionalFormatting sqref="D5360:D5367">
    <cfRule type="containsText" dxfId="1432" priority="1407" operator="containsText" text="Pesquisa de Preços">
      <formula>NOT(ISERROR(SEARCH("Pesquisa de Preços",D5360)))</formula>
    </cfRule>
  </conditionalFormatting>
  <conditionalFormatting sqref="D5369">
    <cfRule type="containsText" dxfId="1431" priority="6900" operator="containsText" text="Pesquisa de Preços">
      <formula>NOT(ISERROR(SEARCH("Pesquisa de Preços",D5369)))</formula>
    </cfRule>
  </conditionalFormatting>
  <conditionalFormatting sqref="D5375">
    <cfRule type="containsText" dxfId="1430" priority="6892" operator="containsText" text="Pesquisa de Preços">
      <formula>NOT(ISERROR(SEARCH("Pesquisa de Preços",D5375)))</formula>
    </cfRule>
  </conditionalFormatting>
  <conditionalFormatting sqref="D5421">
    <cfRule type="containsText" dxfId="1429" priority="1287" operator="containsText" text="Pesquisa de Preços">
      <formula>NOT(ISERROR(SEARCH("Pesquisa de Preços",D5421)))</formula>
    </cfRule>
  </conditionalFormatting>
  <conditionalFormatting sqref="D5423:D5426">
    <cfRule type="containsText" dxfId="1428" priority="1280" operator="containsText" text="Pesquisa de Preços">
      <formula>NOT(ISERROR(SEARCH("Pesquisa de Preços",D5423)))</formula>
    </cfRule>
  </conditionalFormatting>
  <conditionalFormatting sqref="D5428">
    <cfRule type="containsText" dxfId="1427" priority="1277" operator="containsText" text="Pesquisa de Preços">
      <formula>NOT(ISERROR(SEARCH("Pesquisa de Preços",D5428)))</formula>
    </cfRule>
  </conditionalFormatting>
  <conditionalFormatting sqref="D5430:D5433">
    <cfRule type="containsText" dxfId="1426" priority="1270" operator="containsText" text="Pesquisa de Preços">
      <formula>NOT(ISERROR(SEARCH("Pesquisa de Preços",D5430)))</formula>
    </cfRule>
  </conditionalFormatting>
  <conditionalFormatting sqref="D5435">
    <cfRule type="containsText" dxfId="1425" priority="6802" operator="containsText" text="Pesquisa de Preços">
      <formula>NOT(ISERROR(SEARCH("Pesquisa de Preços",D5435)))</formula>
    </cfRule>
  </conditionalFormatting>
  <conditionalFormatting sqref="D5441">
    <cfRule type="containsText" dxfId="1424" priority="6801" operator="containsText" text="Pesquisa de Preços">
      <formula>NOT(ISERROR(SEARCH("Pesquisa de Preços",D5441)))</formula>
    </cfRule>
  </conditionalFormatting>
  <conditionalFormatting sqref="D5447">
    <cfRule type="containsText" dxfId="1423" priority="1267" operator="containsText" text="Pesquisa de Preços">
      <formula>NOT(ISERROR(SEARCH("Pesquisa de Preços",D5447)))</formula>
    </cfRule>
  </conditionalFormatting>
  <conditionalFormatting sqref="D5449:D5452">
    <cfRule type="containsText" dxfId="1422" priority="1259" operator="containsText" text="Pesquisa de Preços">
      <formula>NOT(ISERROR(SEARCH("Pesquisa de Preços",D5449)))</formula>
    </cfRule>
  </conditionalFormatting>
  <conditionalFormatting sqref="D5454">
    <cfRule type="containsText" dxfId="1421" priority="6106" operator="containsText" text="Pesquisa de Preços">
      <formula>NOT(ISERROR(SEARCH("Pesquisa de Preços",D5454)))</formula>
    </cfRule>
  </conditionalFormatting>
  <conditionalFormatting sqref="D5460">
    <cfRule type="containsText" dxfId="1420" priority="6147" operator="containsText" text="Pesquisa de Preços">
      <formula>NOT(ISERROR(SEARCH("Pesquisa de Preços",D5460)))</formula>
    </cfRule>
  </conditionalFormatting>
  <conditionalFormatting sqref="D5466">
    <cfRule type="containsText" dxfId="1419" priority="6157" operator="containsText" text="Pesquisa de Preços">
      <formula>NOT(ISERROR(SEARCH("Pesquisa de Preços",D5466)))</formula>
    </cfRule>
  </conditionalFormatting>
  <conditionalFormatting sqref="D5472">
    <cfRule type="containsText" dxfId="1418" priority="6127" operator="containsText" text="Pesquisa de Preços">
      <formula>NOT(ISERROR(SEARCH("Pesquisa de Preços",D5472)))</formula>
    </cfRule>
  </conditionalFormatting>
  <conditionalFormatting sqref="D5478">
    <cfRule type="containsText" dxfId="1417" priority="6137" operator="containsText" text="Pesquisa de Preços">
      <formula>NOT(ISERROR(SEARCH("Pesquisa de Preços",D5478)))</formula>
    </cfRule>
  </conditionalFormatting>
  <conditionalFormatting sqref="D5505">
    <cfRule type="containsText" dxfId="1416" priority="6067" operator="containsText" text="Pesquisa de Preços">
      <formula>NOT(ISERROR(SEARCH("Pesquisa de Preços",D5505)))</formula>
    </cfRule>
  </conditionalFormatting>
  <conditionalFormatting sqref="D5541:D5648">
    <cfRule type="containsText" dxfId="1415" priority="1986" operator="containsText" text="Pesquisa de Preços">
      <formula>NOT(ISERROR(SEARCH("Pesquisa de Preços",D5541)))</formula>
    </cfRule>
  </conditionalFormatting>
  <conditionalFormatting sqref="D5654">
    <cfRule type="containsText" dxfId="1414" priority="6337" operator="containsText" text="Pesquisa de Preços">
      <formula>NOT(ISERROR(SEARCH("Pesquisa de Preços",D5654)))</formula>
    </cfRule>
  </conditionalFormatting>
  <conditionalFormatting sqref="D5660">
    <cfRule type="containsText" dxfId="1413" priority="6336" operator="containsText" text="Pesquisa de Preços">
      <formula>NOT(ISERROR(SEARCH("Pesquisa de Preços",D5660)))</formula>
    </cfRule>
  </conditionalFormatting>
  <conditionalFormatting sqref="D5666">
    <cfRule type="containsText" dxfId="1412" priority="6335" operator="containsText" text="Pesquisa de Preços">
      <formula>NOT(ISERROR(SEARCH("Pesquisa de Preços",D5666)))</formula>
    </cfRule>
  </conditionalFormatting>
  <conditionalFormatting sqref="D5672">
    <cfRule type="containsText" dxfId="1411" priority="6334" operator="containsText" text="Pesquisa de Preços">
      <formula>NOT(ISERROR(SEARCH("Pesquisa de Preços",D5672)))</formula>
    </cfRule>
  </conditionalFormatting>
  <conditionalFormatting sqref="D5678">
    <cfRule type="containsText" dxfId="1410" priority="6333" operator="containsText" text="Pesquisa de Preços">
      <formula>NOT(ISERROR(SEARCH("Pesquisa de Preços",D5678)))</formula>
    </cfRule>
  </conditionalFormatting>
  <conditionalFormatting sqref="D5684">
    <cfRule type="containsText" dxfId="1409" priority="6332" operator="containsText" text="Pesquisa de Preços">
      <formula>NOT(ISERROR(SEARCH("Pesquisa de Preços",D5684)))</formula>
    </cfRule>
  </conditionalFormatting>
  <conditionalFormatting sqref="D5690">
    <cfRule type="containsText" dxfId="1408" priority="6331" operator="containsText" text="Pesquisa de Preços">
      <formula>NOT(ISERROR(SEARCH("Pesquisa de Preços",D5690)))</formula>
    </cfRule>
  </conditionalFormatting>
  <conditionalFormatting sqref="D5696">
    <cfRule type="containsText" dxfId="1407" priority="6330" operator="containsText" text="Pesquisa de Preços">
      <formula>NOT(ISERROR(SEARCH("Pesquisa de Preços",D5696)))</formula>
    </cfRule>
  </conditionalFormatting>
  <conditionalFormatting sqref="D5702">
    <cfRule type="containsText" dxfId="1406" priority="6329" operator="containsText" text="Pesquisa de Preços">
      <formula>NOT(ISERROR(SEARCH("Pesquisa de Preços",D5702)))</formula>
    </cfRule>
  </conditionalFormatting>
  <conditionalFormatting sqref="D5708">
    <cfRule type="containsText" dxfId="1405" priority="6328" operator="containsText" text="Pesquisa de Preços">
      <formula>NOT(ISERROR(SEARCH("Pesquisa de Preços",D5708)))</formula>
    </cfRule>
  </conditionalFormatting>
  <conditionalFormatting sqref="D5714">
    <cfRule type="containsText" dxfId="1404" priority="6327" operator="containsText" text="Pesquisa de Preços">
      <formula>NOT(ISERROR(SEARCH("Pesquisa de Preços",D5714)))</formula>
    </cfRule>
  </conditionalFormatting>
  <conditionalFormatting sqref="D5720">
    <cfRule type="containsText" dxfId="1403" priority="6326" operator="containsText" text="Pesquisa de Preços">
      <formula>NOT(ISERROR(SEARCH("Pesquisa de Preços",D5720)))</formula>
    </cfRule>
  </conditionalFormatting>
  <conditionalFormatting sqref="D5726 D5732">
    <cfRule type="containsText" dxfId="1402" priority="6325" operator="containsText" text="Pesquisa de Preços">
      <formula>NOT(ISERROR(SEARCH("Pesquisa de Preços",D5726)))</formula>
    </cfRule>
  </conditionalFormatting>
  <conditionalFormatting sqref="D5738">
    <cfRule type="containsText" dxfId="1401" priority="6324" operator="containsText" text="Pesquisa de Preços">
      <formula>NOT(ISERROR(SEARCH("Pesquisa de Preços",D5738)))</formula>
    </cfRule>
  </conditionalFormatting>
  <conditionalFormatting sqref="D5744">
    <cfRule type="containsText" dxfId="1400" priority="6323" operator="containsText" text="Pesquisa de Preços">
      <formula>NOT(ISERROR(SEARCH("Pesquisa de Preços",D5744)))</formula>
    </cfRule>
  </conditionalFormatting>
  <conditionalFormatting sqref="D5750">
    <cfRule type="containsText" dxfId="1399" priority="6322" operator="containsText" text="Pesquisa de Preços">
      <formula>NOT(ISERROR(SEARCH("Pesquisa de Preços",D5750)))</formula>
    </cfRule>
  </conditionalFormatting>
  <conditionalFormatting sqref="D5756">
    <cfRule type="containsText" dxfId="1398" priority="6321" operator="containsText" text="Pesquisa de Preços">
      <formula>NOT(ISERROR(SEARCH("Pesquisa de Preços",D5756)))</formula>
    </cfRule>
  </conditionalFormatting>
  <conditionalFormatting sqref="D5762">
    <cfRule type="containsText" dxfId="1397" priority="6320" operator="containsText" text="Pesquisa de Preços">
      <formula>NOT(ISERROR(SEARCH("Pesquisa de Preços",D5762)))</formula>
    </cfRule>
  </conditionalFormatting>
  <conditionalFormatting sqref="D5768">
    <cfRule type="containsText" dxfId="1396" priority="6566" operator="containsText" text="Pesquisa de Preços">
      <formula>NOT(ISERROR(SEARCH("Pesquisa de Preços",D5768)))</formula>
    </cfRule>
  </conditionalFormatting>
  <conditionalFormatting sqref="D5772">
    <cfRule type="containsText" dxfId="1395" priority="6319" operator="containsText" text="Pesquisa de Preços">
      <formula>NOT(ISERROR(SEARCH("Pesquisa de Preços",D5772)))</formula>
    </cfRule>
  </conditionalFormatting>
  <conditionalFormatting sqref="D5776">
    <cfRule type="containsText" dxfId="1394" priority="6318" operator="containsText" text="Pesquisa de Preços">
      <formula>NOT(ISERROR(SEARCH("Pesquisa de Preços",D5776)))</formula>
    </cfRule>
  </conditionalFormatting>
  <conditionalFormatting sqref="D5780">
    <cfRule type="containsText" dxfId="1393" priority="6317" operator="containsText" text="Pesquisa de Preços">
      <formula>NOT(ISERROR(SEARCH("Pesquisa de Preços",D5780)))</formula>
    </cfRule>
  </conditionalFormatting>
  <conditionalFormatting sqref="D5784">
    <cfRule type="containsText" dxfId="1392" priority="6316" operator="containsText" text="Pesquisa de Preços">
      <formula>NOT(ISERROR(SEARCH("Pesquisa de Preços",D5784)))</formula>
    </cfRule>
  </conditionalFormatting>
  <conditionalFormatting sqref="D5788">
    <cfRule type="containsText" dxfId="1391" priority="6315" operator="containsText" text="Pesquisa de Preços">
      <formula>NOT(ISERROR(SEARCH("Pesquisa de Preços",D5788)))</formula>
    </cfRule>
  </conditionalFormatting>
  <conditionalFormatting sqref="D5792">
    <cfRule type="containsText" dxfId="1390" priority="6314" operator="containsText" text="Pesquisa de Preços">
      <formula>NOT(ISERROR(SEARCH("Pesquisa de Preços",D5792)))</formula>
    </cfRule>
  </conditionalFormatting>
  <conditionalFormatting sqref="D5796">
    <cfRule type="containsText" dxfId="1389" priority="6313" operator="containsText" text="Pesquisa de Preços">
      <formula>NOT(ISERROR(SEARCH("Pesquisa de Preços",D5796)))</formula>
    </cfRule>
  </conditionalFormatting>
  <conditionalFormatting sqref="D5800">
    <cfRule type="containsText" dxfId="1388" priority="6312" operator="containsText" text="Pesquisa de Preços">
      <formula>NOT(ISERROR(SEARCH("Pesquisa de Preços",D5800)))</formula>
    </cfRule>
  </conditionalFormatting>
  <conditionalFormatting sqref="D5804">
    <cfRule type="containsText" dxfId="1387" priority="6311" operator="containsText" text="Pesquisa de Preços">
      <formula>NOT(ISERROR(SEARCH("Pesquisa de Preços",D5804)))</formula>
    </cfRule>
  </conditionalFormatting>
  <conditionalFormatting sqref="D5808">
    <cfRule type="containsText" dxfId="1386" priority="6310" operator="containsText" text="Pesquisa de Preços">
      <formula>NOT(ISERROR(SEARCH("Pesquisa de Preços",D5808)))</formula>
    </cfRule>
  </conditionalFormatting>
  <conditionalFormatting sqref="D5812">
    <cfRule type="containsText" dxfId="1385" priority="6309" operator="containsText" text="Pesquisa de Preços">
      <formula>NOT(ISERROR(SEARCH("Pesquisa de Preços",D5812)))</formula>
    </cfRule>
  </conditionalFormatting>
  <conditionalFormatting sqref="D5816">
    <cfRule type="containsText" dxfId="1384" priority="6308" operator="containsText" text="Pesquisa de Preços">
      <formula>NOT(ISERROR(SEARCH("Pesquisa de Preços",D5816)))</formula>
    </cfRule>
  </conditionalFormatting>
  <conditionalFormatting sqref="D5820">
    <cfRule type="containsText" dxfId="1383" priority="6307" operator="containsText" text="Pesquisa de Preços">
      <formula>NOT(ISERROR(SEARCH("Pesquisa de Preços",D5820)))</formula>
    </cfRule>
  </conditionalFormatting>
  <conditionalFormatting sqref="D5824">
    <cfRule type="containsText" dxfId="1382" priority="6306" operator="containsText" text="Pesquisa de Preços">
      <formula>NOT(ISERROR(SEARCH("Pesquisa de Preços",D5824)))</formula>
    </cfRule>
  </conditionalFormatting>
  <conditionalFormatting sqref="D5828">
    <cfRule type="containsText" dxfId="1381" priority="6305" operator="containsText" text="Pesquisa de Preços">
      <formula>NOT(ISERROR(SEARCH("Pesquisa de Preços",D5828)))</formula>
    </cfRule>
  </conditionalFormatting>
  <conditionalFormatting sqref="D5832">
    <cfRule type="containsText" dxfId="1380" priority="6304" operator="containsText" text="Pesquisa de Preços">
      <formula>NOT(ISERROR(SEARCH("Pesquisa de Preços",D5832)))</formula>
    </cfRule>
  </conditionalFormatting>
  <conditionalFormatting sqref="D5836 D5840">
    <cfRule type="containsText" dxfId="1379" priority="6303" operator="containsText" text="Pesquisa de Preços">
      <formula>NOT(ISERROR(SEARCH("Pesquisa de Preços",D5836)))</formula>
    </cfRule>
  </conditionalFormatting>
  <conditionalFormatting sqref="D5844">
    <cfRule type="containsText" dxfId="1378" priority="6302" operator="containsText" text="Pesquisa de Preços">
      <formula>NOT(ISERROR(SEARCH("Pesquisa de Preços",D5844)))</formula>
    </cfRule>
  </conditionalFormatting>
  <conditionalFormatting sqref="D5848">
    <cfRule type="containsText" dxfId="1377" priority="6301" operator="containsText" text="Pesquisa de Preços">
      <formula>NOT(ISERROR(SEARCH("Pesquisa de Preços",D5848)))</formula>
    </cfRule>
  </conditionalFormatting>
  <conditionalFormatting sqref="D5852">
    <cfRule type="containsText" dxfId="1376" priority="6300" operator="containsText" text="Pesquisa de Preços">
      <formula>NOT(ISERROR(SEARCH("Pesquisa de Preços",D5852)))</formula>
    </cfRule>
  </conditionalFormatting>
  <conditionalFormatting sqref="D5856">
    <cfRule type="containsText" dxfId="1375" priority="6299" operator="containsText" text="Pesquisa de Preços">
      <formula>NOT(ISERROR(SEARCH("Pesquisa de Preços",D5856)))</formula>
    </cfRule>
  </conditionalFormatting>
  <conditionalFormatting sqref="D5860">
    <cfRule type="containsText" dxfId="1374" priority="6298" operator="containsText" text="Pesquisa de Preços">
      <formula>NOT(ISERROR(SEARCH("Pesquisa de Preços",D5860)))</formula>
    </cfRule>
  </conditionalFormatting>
  <conditionalFormatting sqref="D5864">
    <cfRule type="containsText" dxfId="1373" priority="6297" operator="containsText" text="Pesquisa de Preços">
      <formula>NOT(ISERROR(SEARCH("Pesquisa de Preços",D5864)))</formula>
    </cfRule>
  </conditionalFormatting>
  <conditionalFormatting sqref="D5868">
    <cfRule type="containsText" dxfId="1372" priority="6296" operator="containsText" text="Pesquisa de Preços">
      <formula>NOT(ISERROR(SEARCH("Pesquisa de Preços",D5868)))</formula>
    </cfRule>
  </conditionalFormatting>
  <conditionalFormatting sqref="D5870">
    <cfRule type="containsText" dxfId="1371" priority="3494" operator="containsText" text="Pesquisa de Preços">
      <formula>NOT(ISERROR(SEARCH("Pesquisa de Preços",D5870)))</formula>
    </cfRule>
  </conditionalFormatting>
  <conditionalFormatting sqref="D5872">
    <cfRule type="containsText" dxfId="1370" priority="6295" operator="containsText" text="Pesquisa de Preços">
      <formula>NOT(ISERROR(SEARCH("Pesquisa de Preços",D5872)))</formula>
    </cfRule>
  </conditionalFormatting>
  <conditionalFormatting sqref="D5874">
    <cfRule type="containsText" dxfId="1369" priority="3489" operator="containsText" text="Pesquisa de Preços">
      <formula>NOT(ISERROR(SEARCH("Pesquisa de Preços",D5874)))</formula>
    </cfRule>
  </conditionalFormatting>
  <conditionalFormatting sqref="D5876">
    <cfRule type="containsText" dxfId="1368" priority="6294" operator="containsText" text="Pesquisa de Preços">
      <formula>NOT(ISERROR(SEARCH("Pesquisa de Preços",D5876)))</formula>
    </cfRule>
  </conditionalFormatting>
  <conditionalFormatting sqref="D5878">
    <cfRule type="containsText" dxfId="1367" priority="6557" operator="containsText" text="Pesquisa de Preços">
      <formula>NOT(ISERROR(SEARCH("Pesquisa de Preços",D5878)))</formula>
    </cfRule>
  </conditionalFormatting>
  <conditionalFormatting sqref="D5880">
    <cfRule type="containsText" dxfId="1366" priority="6293" operator="containsText" text="Pesquisa de Preços">
      <formula>NOT(ISERROR(SEARCH("Pesquisa de Preços",D5880)))</formula>
    </cfRule>
  </conditionalFormatting>
  <conditionalFormatting sqref="D5882">
    <cfRule type="containsText" dxfId="1365" priority="6554" operator="containsText" text="Pesquisa de Preços">
      <formula>NOT(ISERROR(SEARCH("Pesquisa de Preços",D5882)))</formula>
    </cfRule>
  </conditionalFormatting>
  <conditionalFormatting sqref="D5884">
    <cfRule type="containsText" dxfId="1364" priority="6292" operator="containsText" text="Pesquisa de Preços">
      <formula>NOT(ISERROR(SEARCH("Pesquisa de Preços",D5884)))</formula>
    </cfRule>
  </conditionalFormatting>
  <conditionalFormatting sqref="D5886">
    <cfRule type="containsText" dxfId="1363" priority="6551" operator="containsText" text="Pesquisa de Preços">
      <formula>NOT(ISERROR(SEARCH("Pesquisa de Preços",D5886)))</formula>
    </cfRule>
  </conditionalFormatting>
  <conditionalFormatting sqref="D5888">
    <cfRule type="containsText" dxfId="1362" priority="6291" operator="containsText" text="Pesquisa de Preços">
      <formula>NOT(ISERROR(SEARCH("Pesquisa de Preços",D5888)))</formula>
    </cfRule>
  </conditionalFormatting>
  <conditionalFormatting sqref="D5890">
    <cfRule type="containsText" dxfId="1361" priority="6548" operator="containsText" text="Pesquisa de Preços">
      <formula>NOT(ISERROR(SEARCH("Pesquisa de Preços",D5890)))</formula>
    </cfRule>
  </conditionalFormatting>
  <conditionalFormatting sqref="D5892">
    <cfRule type="containsText" dxfId="1360" priority="6290" operator="containsText" text="Pesquisa de Preços">
      <formula>NOT(ISERROR(SEARCH("Pesquisa de Preços",D5892)))</formula>
    </cfRule>
  </conditionalFormatting>
  <conditionalFormatting sqref="D5894">
    <cfRule type="containsText" dxfId="1359" priority="6492" operator="containsText" text="Pesquisa de Preços">
      <formula>NOT(ISERROR(SEARCH("Pesquisa de Preços",D5894)))</formula>
    </cfRule>
  </conditionalFormatting>
  <conditionalFormatting sqref="D5896">
    <cfRule type="containsText" dxfId="1358" priority="6289" operator="containsText" text="Pesquisa de Preços">
      <formula>NOT(ISERROR(SEARCH("Pesquisa de Preços",D5896)))</formula>
    </cfRule>
  </conditionalFormatting>
  <conditionalFormatting sqref="D5898">
    <cfRule type="containsText" dxfId="1357" priority="6493" operator="containsText" text="Pesquisa de Preços">
      <formula>NOT(ISERROR(SEARCH("Pesquisa de Preços",D5898)))</formula>
    </cfRule>
  </conditionalFormatting>
  <conditionalFormatting sqref="D5900">
    <cfRule type="containsText" dxfId="1356" priority="6288" operator="containsText" text="Pesquisa de Preços">
      <formula>NOT(ISERROR(SEARCH("Pesquisa de Preços",D5900)))</formula>
    </cfRule>
  </conditionalFormatting>
  <conditionalFormatting sqref="D5904">
    <cfRule type="containsText" dxfId="1355" priority="6287" operator="containsText" text="Pesquisa de Preços">
      <formula>NOT(ISERROR(SEARCH("Pesquisa de Preços",D5904)))</formula>
    </cfRule>
  </conditionalFormatting>
  <conditionalFormatting sqref="D5908">
    <cfRule type="containsText" dxfId="1354" priority="6286" operator="containsText" text="Pesquisa de Preços">
      <formula>NOT(ISERROR(SEARCH("Pesquisa de Preços",D5908)))</formula>
    </cfRule>
  </conditionalFormatting>
  <conditionalFormatting sqref="D5912 D5916">
    <cfRule type="containsText" dxfId="1353" priority="6285" operator="containsText" text="Pesquisa de Preços">
      <formula>NOT(ISERROR(SEARCH("Pesquisa de Preços",D5912)))</formula>
    </cfRule>
  </conditionalFormatting>
  <conditionalFormatting sqref="D5920">
    <cfRule type="containsText" dxfId="1352" priority="6284" operator="containsText" text="Pesquisa de Preços">
      <formula>NOT(ISERROR(SEARCH("Pesquisa de Preços",D5920)))</formula>
    </cfRule>
  </conditionalFormatting>
  <conditionalFormatting sqref="D5924">
    <cfRule type="containsText" dxfId="1351" priority="6283" operator="containsText" text="Pesquisa de Preços">
      <formula>NOT(ISERROR(SEARCH("Pesquisa de Preços",D5924)))</formula>
    </cfRule>
  </conditionalFormatting>
  <conditionalFormatting sqref="D5928">
    <cfRule type="containsText" dxfId="1350" priority="6282" operator="containsText" text="Pesquisa de Preços">
      <formula>NOT(ISERROR(SEARCH("Pesquisa de Preços",D5928)))</formula>
    </cfRule>
  </conditionalFormatting>
  <conditionalFormatting sqref="D5932">
    <cfRule type="containsText" dxfId="1349" priority="6281" operator="containsText" text="Pesquisa de Preços">
      <formula>NOT(ISERROR(SEARCH("Pesquisa de Preços",D5932)))</formula>
    </cfRule>
  </conditionalFormatting>
  <conditionalFormatting sqref="D5936">
    <cfRule type="containsText" dxfId="1348" priority="6280" operator="containsText" text="Pesquisa de Preços">
      <formula>NOT(ISERROR(SEARCH("Pesquisa de Preços",D5936)))</formula>
    </cfRule>
  </conditionalFormatting>
  <conditionalFormatting sqref="D5940">
    <cfRule type="containsText" dxfId="1347" priority="6279" operator="containsText" text="Pesquisa de Preços">
      <formula>NOT(ISERROR(SEARCH("Pesquisa de Preços",D5940)))</formula>
    </cfRule>
  </conditionalFormatting>
  <conditionalFormatting sqref="D5944">
    <cfRule type="containsText" dxfId="1346" priority="6278" operator="containsText" text="Pesquisa de Preços">
      <formula>NOT(ISERROR(SEARCH("Pesquisa de Preços",D5944)))</formula>
    </cfRule>
  </conditionalFormatting>
  <conditionalFormatting sqref="D5948">
    <cfRule type="containsText" dxfId="1345" priority="6277" operator="containsText" text="Pesquisa de Preços">
      <formula>NOT(ISERROR(SEARCH("Pesquisa de Preços",D5948)))</formula>
    </cfRule>
  </conditionalFormatting>
  <conditionalFormatting sqref="D5952">
    <cfRule type="containsText" dxfId="1344" priority="6276" operator="containsText" text="Pesquisa de Preços">
      <formula>NOT(ISERROR(SEARCH("Pesquisa de Preços",D5952)))</formula>
    </cfRule>
  </conditionalFormatting>
  <conditionalFormatting sqref="D5956">
    <cfRule type="containsText" dxfId="1343" priority="6275" operator="containsText" text="Pesquisa de Preços">
      <formula>NOT(ISERROR(SEARCH("Pesquisa de Preços",D5956)))</formula>
    </cfRule>
  </conditionalFormatting>
  <conditionalFormatting sqref="D5960">
    <cfRule type="containsText" dxfId="1342" priority="6274" operator="containsText" text="Pesquisa de Preços">
      <formula>NOT(ISERROR(SEARCH("Pesquisa de Preços",D5960)))</formula>
    </cfRule>
  </conditionalFormatting>
  <conditionalFormatting sqref="D5964">
    <cfRule type="containsText" dxfId="1341" priority="6273" operator="containsText" text="Pesquisa de Preços">
      <formula>NOT(ISERROR(SEARCH("Pesquisa de Preços",D5964)))</formula>
    </cfRule>
  </conditionalFormatting>
  <conditionalFormatting sqref="D5968">
    <cfRule type="containsText" dxfId="1340" priority="6272" operator="containsText" text="Pesquisa de Preços">
      <formula>NOT(ISERROR(SEARCH("Pesquisa de Preços",D5968)))</formula>
    </cfRule>
  </conditionalFormatting>
  <conditionalFormatting sqref="D5972">
    <cfRule type="containsText" dxfId="1339" priority="6271" operator="containsText" text="Pesquisa de Preços">
      <formula>NOT(ISERROR(SEARCH("Pesquisa de Preços",D5972)))</formula>
    </cfRule>
  </conditionalFormatting>
  <conditionalFormatting sqref="D5976">
    <cfRule type="containsText" dxfId="1338" priority="6270" operator="containsText" text="Pesquisa de Preços">
      <formula>NOT(ISERROR(SEARCH("Pesquisa de Preços",D5976)))</formula>
    </cfRule>
  </conditionalFormatting>
  <conditionalFormatting sqref="D5980">
    <cfRule type="containsText" dxfId="1337" priority="6269" operator="containsText" text="Pesquisa de Preços">
      <formula>NOT(ISERROR(SEARCH("Pesquisa de Preços",D5980)))</formula>
    </cfRule>
  </conditionalFormatting>
  <conditionalFormatting sqref="D5984">
    <cfRule type="containsText" dxfId="1336" priority="6268" operator="containsText" text="Pesquisa de Preços">
      <formula>NOT(ISERROR(SEARCH("Pesquisa de Preços",D5984)))</formula>
    </cfRule>
  </conditionalFormatting>
  <conditionalFormatting sqref="D5988">
    <cfRule type="containsText" dxfId="1335" priority="6267" operator="containsText" text="Pesquisa de Preços">
      <formula>NOT(ISERROR(SEARCH("Pesquisa de Preços",D5988)))</formula>
    </cfRule>
  </conditionalFormatting>
  <conditionalFormatting sqref="D5992">
    <cfRule type="containsText" dxfId="1334" priority="6266" operator="containsText" text="Pesquisa de Preços">
      <formula>NOT(ISERROR(SEARCH("Pesquisa de Preços",D5992)))</formula>
    </cfRule>
  </conditionalFormatting>
  <conditionalFormatting sqref="D5996">
    <cfRule type="containsText" dxfId="1333" priority="6265" operator="containsText" text="Pesquisa de Preços">
      <formula>NOT(ISERROR(SEARCH("Pesquisa de Preços",D5996)))</formula>
    </cfRule>
  </conditionalFormatting>
  <conditionalFormatting sqref="D6000">
    <cfRule type="containsText" dxfId="1332" priority="6264" operator="containsText" text="Pesquisa de Preços">
      <formula>NOT(ISERROR(SEARCH("Pesquisa de Preços",D6000)))</formula>
    </cfRule>
  </conditionalFormatting>
  <conditionalFormatting sqref="D6004">
    <cfRule type="containsText" dxfId="1331" priority="6263" operator="containsText" text="Pesquisa de Preços">
      <formula>NOT(ISERROR(SEARCH("Pesquisa de Preços",D6004)))</formula>
    </cfRule>
  </conditionalFormatting>
  <conditionalFormatting sqref="D6008">
    <cfRule type="containsText" dxfId="1330" priority="6262" operator="containsText" text="Pesquisa de Preços">
      <formula>NOT(ISERROR(SEARCH("Pesquisa de Preços",D6008)))</formula>
    </cfRule>
  </conditionalFormatting>
  <conditionalFormatting sqref="D6012">
    <cfRule type="containsText" dxfId="1329" priority="6261" operator="containsText" text="Pesquisa de Preços">
      <formula>NOT(ISERROR(SEARCH("Pesquisa de Preços",D6012)))</formula>
    </cfRule>
  </conditionalFormatting>
  <conditionalFormatting sqref="D6016">
    <cfRule type="containsText" dxfId="1328" priority="6260" operator="containsText" text="Pesquisa de Preços">
      <formula>NOT(ISERROR(SEARCH("Pesquisa de Preços",D6016)))</formula>
    </cfRule>
  </conditionalFormatting>
  <conditionalFormatting sqref="D6020">
    <cfRule type="containsText" dxfId="1327" priority="6259" operator="containsText" text="Pesquisa de Preços">
      <formula>NOT(ISERROR(SEARCH("Pesquisa de Preços",D6020)))</formula>
    </cfRule>
  </conditionalFormatting>
  <conditionalFormatting sqref="D6024">
    <cfRule type="containsText" dxfId="1326" priority="6258" operator="containsText" text="Pesquisa de Preços">
      <formula>NOT(ISERROR(SEARCH("Pesquisa de Preços",D6024)))</formula>
    </cfRule>
  </conditionalFormatting>
  <conditionalFormatting sqref="D6028">
    <cfRule type="containsText" dxfId="1325" priority="6257" operator="containsText" text="Pesquisa de Preços">
      <formula>NOT(ISERROR(SEARCH("Pesquisa de Preços",D6028)))</formula>
    </cfRule>
  </conditionalFormatting>
  <conditionalFormatting sqref="D6032">
    <cfRule type="containsText" dxfId="1324" priority="6256" operator="containsText" text="Pesquisa de Preços">
      <formula>NOT(ISERROR(SEARCH("Pesquisa de Preços",D6032)))</formula>
    </cfRule>
  </conditionalFormatting>
  <conditionalFormatting sqref="D6036">
    <cfRule type="containsText" dxfId="1323" priority="6255" operator="containsText" text="Pesquisa de Preços">
      <formula>NOT(ISERROR(SEARCH("Pesquisa de Preços",D6036)))</formula>
    </cfRule>
  </conditionalFormatting>
  <conditionalFormatting sqref="D6040">
    <cfRule type="containsText" dxfId="1322" priority="6254" operator="containsText" text="Pesquisa de Preços">
      <formula>NOT(ISERROR(SEARCH("Pesquisa de Preços",D6040)))</formula>
    </cfRule>
  </conditionalFormatting>
  <conditionalFormatting sqref="D6044">
    <cfRule type="containsText" dxfId="1321" priority="6253" operator="containsText" text="Pesquisa de Preços">
      <formula>NOT(ISERROR(SEARCH("Pesquisa de Preços",D6044)))</formula>
    </cfRule>
  </conditionalFormatting>
  <conditionalFormatting sqref="D6048">
    <cfRule type="containsText" dxfId="1320" priority="6252" operator="containsText" text="Pesquisa de Preços">
      <formula>NOT(ISERROR(SEARCH("Pesquisa de Preços",D6048)))</formula>
    </cfRule>
  </conditionalFormatting>
  <conditionalFormatting sqref="D6052">
    <cfRule type="containsText" dxfId="1319" priority="6251" operator="containsText" text="Pesquisa de Preços">
      <formula>NOT(ISERROR(SEARCH("Pesquisa de Preços",D6052)))</formula>
    </cfRule>
  </conditionalFormatting>
  <conditionalFormatting sqref="D6056">
    <cfRule type="containsText" dxfId="1318" priority="6250" operator="containsText" text="Pesquisa de Preços">
      <formula>NOT(ISERROR(SEARCH("Pesquisa de Preços",D6056)))</formula>
    </cfRule>
  </conditionalFormatting>
  <conditionalFormatting sqref="D6060">
    <cfRule type="containsText" dxfId="1317" priority="6249" operator="containsText" text="Pesquisa de Preços">
      <formula>NOT(ISERROR(SEARCH("Pesquisa de Preços",D6060)))</formula>
    </cfRule>
  </conditionalFormatting>
  <conditionalFormatting sqref="D6064">
    <cfRule type="containsText" dxfId="1316" priority="6248" operator="containsText" text="Pesquisa de Preços">
      <formula>NOT(ISERROR(SEARCH("Pesquisa de Preços",D6064)))</formula>
    </cfRule>
  </conditionalFormatting>
  <conditionalFormatting sqref="D6068">
    <cfRule type="containsText" dxfId="1315" priority="6247" operator="containsText" text="Pesquisa de Preços">
      <formula>NOT(ISERROR(SEARCH("Pesquisa de Preços",D6068)))</formula>
    </cfRule>
  </conditionalFormatting>
  <conditionalFormatting sqref="D6072">
    <cfRule type="containsText" dxfId="1314" priority="6246" operator="containsText" text="Pesquisa de Preços">
      <formula>NOT(ISERROR(SEARCH("Pesquisa de Preços",D6072)))</formula>
    </cfRule>
  </conditionalFormatting>
  <conditionalFormatting sqref="D6076">
    <cfRule type="containsText" dxfId="1313" priority="6245" operator="containsText" text="Pesquisa de Preços">
      <formula>NOT(ISERROR(SEARCH("Pesquisa de Preços",D6076)))</formula>
    </cfRule>
  </conditionalFormatting>
  <conditionalFormatting sqref="D6080">
    <cfRule type="containsText" dxfId="1312" priority="6244" operator="containsText" text="Pesquisa de Preços">
      <formula>NOT(ISERROR(SEARCH("Pesquisa de Preços",D6080)))</formula>
    </cfRule>
  </conditionalFormatting>
  <conditionalFormatting sqref="D6084">
    <cfRule type="containsText" dxfId="1311" priority="6243" operator="containsText" text="Pesquisa de Preços">
      <formula>NOT(ISERROR(SEARCH("Pesquisa de Preços",D6084)))</formula>
    </cfRule>
  </conditionalFormatting>
  <conditionalFormatting sqref="D6088">
    <cfRule type="containsText" dxfId="1310" priority="6242" operator="containsText" text="Pesquisa de Preços">
      <formula>NOT(ISERROR(SEARCH("Pesquisa de Preços",D6088)))</formula>
    </cfRule>
  </conditionalFormatting>
  <conditionalFormatting sqref="D6092">
    <cfRule type="containsText" dxfId="1309" priority="6241" operator="containsText" text="Pesquisa de Preços">
      <formula>NOT(ISERROR(SEARCH("Pesquisa de Preços",D6092)))</formula>
    </cfRule>
  </conditionalFormatting>
  <conditionalFormatting sqref="D6096 D6100">
    <cfRule type="containsText" dxfId="1308" priority="6240" operator="containsText" text="Pesquisa de Preços">
      <formula>NOT(ISERROR(SEARCH("Pesquisa de Preços",D6096)))</formula>
    </cfRule>
  </conditionalFormatting>
  <conditionalFormatting sqref="D6104">
    <cfRule type="containsText" dxfId="1307" priority="6239" operator="containsText" text="Pesquisa de Preços">
      <formula>NOT(ISERROR(SEARCH("Pesquisa de Preços",D6104)))</formula>
    </cfRule>
  </conditionalFormatting>
  <conditionalFormatting sqref="D6108 D6112 D6116">
    <cfRule type="containsText" dxfId="1306" priority="6238" operator="containsText" text="Pesquisa de Preços">
      <formula>NOT(ISERROR(SEARCH("Pesquisa de Preços",D6108)))</formula>
    </cfRule>
  </conditionalFormatting>
  <conditionalFormatting sqref="D6120">
    <cfRule type="containsText" dxfId="1305" priority="6237" operator="containsText" text="Pesquisa de Preços">
      <formula>NOT(ISERROR(SEARCH("Pesquisa de Preços",D6120)))</formula>
    </cfRule>
  </conditionalFormatting>
  <conditionalFormatting sqref="D6124">
    <cfRule type="containsText" dxfId="1304" priority="6236" operator="containsText" text="Pesquisa de Preços">
      <formula>NOT(ISERROR(SEARCH("Pesquisa de Preços",D6124)))</formula>
    </cfRule>
  </conditionalFormatting>
  <conditionalFormatting sqref="D6128">
    <cfRule type="containsText" dxfId="1303" priority="6235" operator="containsText" text="Pesquisa de Preços">
      <formula>NOT(ISERROR(SEARCH("Pesquisa de Preços",D6128)))</formula>
    </cfRule>
  </conditionalFormatting>
  <conditionalFormatting sqref="D6132">
    <cfRule type="containsText" dxfId="1302" priority="6234" operator="containsText" text="Pesquisa de Preços">
      <formula>NOT(ISERROR(SEARCH("Pesquisa de Preços",D6132)))</formula>
    </cfRule>
  </conditionalFormatting>
  <conditionalFormatting sqref="D6136 D6140">
    <cfRule type="containsText" dxfId="1301" priority="6233" operator="containsText" text="Pesquisa de Preços">
      <formula>NOT(ISERROR(SEARCH("Pesquisa de Preços",D6136)))</formula>
    </cfRule>
  </conditionalFormatting>
  <conditionalFormatting sqref="D6144">
    <cfRule type="containsText" dxfId="1300" priority="6232" operator="containsText" text="Pesquisa de Preços">
      <formula>NOT(ISERROR(SEARCH("Pesquisa de Preços",D6144)))</formula>
    </cfRule>
  </conditionalFormatting>
  <conditionalFormatting sqref="D6148">
    <cfRule type="containsText" dxfId="1299" priority="6231" operator="containsText" text="Pesquisa de Preços">
      <formula>NOT(ISERROR(SEARCH("Pesquisa de Preços",D6148)))</formula>
    </cfRule>
  </conditionalFormatting>
  <conditionalFormatting sqref="D6152">
    <cfRule type="containsText" dxfId="1298" priority="6230" operator="containsText" text="Pesquisa de Preços">
      <formula>NOT(ISERROR(SEARCH("Pesquisa de Preços",D6152)))</formula>
    </cfRule>
  </conditionalFormatting>
  <conditionalFormatting sqref="D6156">
    <cfRule type="containsText" dxfId="1297" priority="6229" operator="containsText" text="Pesquisa de Preços">
      <formula>NOT(ISERROR(SEARCH("Pesquisa de Preços",D6156)))</formula>
    </cfRule>
  </conditionalFormatting>
  <conditionalFormatting sqref="D6158">
    <cfRule type="containsText" dxfId="1296" priority="6489" operator="containsText" text="Pesquisa de Preços">
      <formula>NOT(ISERROR(SEARCH("Pesquisa de Preços",D6158)))</formula>
    </cfRule>
  </conditionalFormatting>
  <conditionalFormatting sqref="D6160">
    <cfRule type="containsText" dxfId="1295" priority="6228" operator="containsText" text="Pesquisa de Preços">
      <formula>NOT(ISERROR(SEARCH("Pesquisa de Preços",D6160)))</formula>
    </cfRule>
  </conditionalFormatting>
  <conditionalFormatting sqref="D6162">
    <cfRule type="containsText" dxfId="1294" priority="6486" operator="containsText" text="Pesquisa de Preços">
      <formula>NOT(ISERROR(SEARCH("Pesquisa de Preços",D6162)))</formula>
    </cfRule>
  </conditionalFormatting>
  <conditionalFormatting sqref="D6164">
    <cfRule type="containsText" dxfId="1293" priority="6227" operator="containsText" text="Pesquisa de Preços">
      <formula>NOT(ISERROR(SEARCH("Pesquisa de Preços",D6164)))</formula>
    </cfRule>
  </conditionalFormatting>
  <conditionalFormatting sqref="D6166">
    <cfRule type="containsText" dxfId="1292" priority="6483" operator="containsText" text="Pesquisa de Preços">
      <formula>NOT(ISERROR(SEARCH("Pesquisa de Preços",D6166)))</formula>
    </cfRule>
  </conditionalFormatting>
  <conditionalFormatting sqref="D6168">
    <cfRule type="containsText" dxfId="1291" priority="6226" operator="containsText" text="Pesquisa de Preços">
      <formula>NOT(ISERROR(SEARCH("Pesquisa de Preços",D6168)))</formula>
    </cfRule>
  </conditionalFormatting>
  <conditionalFormatting sqref="D6170">
    <cfRule type="containsText" dxfId="1290" priority="6480" operator="containsText" text="Pesquisa de Preços">
      <formula>NOT(ISERROR(SEARCH("Pesquisa de Preços",D6170)))</formula>
    </cfRule>
  </conditionalFormatting>
  <conditionalFormatting sqref="D6172">
    <cfRule type="containsText" dxfId="1289" priority="6225" operator="containsText" text="Pesquisa de Preços">
      <formula>NOT(ISERROR(SEARCH("Pesquisa de Preços",D6172)))</formula>
    </cfRule>
  </conditionalFormatting>
  <conditionalFormatting sqref="D6174">
    <cfRule type="containsText" dxfId="1288" priority="6477" operator="containsText" text="Pesquisa de Preços">
      <formula>NOT(ISERROR(SEARCH("Pesquisa de Preços",D6174)))</formula>
    </cfRule>
  </conditionalFormatting>
  <conditionalFormatting sqref="D6176">
    <cfRule type="containsText" dxfId="1287" priority="6224" operator="containsText" text="Pesquisa de Preços">
      <formula>NOT(ISERROR(SEARCH("Pesquisa de Preços",D6176)))</formula>
    </cfRule>
  </conditionalFormatting>
  <conditionalFormatting sqref="D6178">
    <cfRule type="containsText" dxfId="1286" priority="6474" operator="containsText" text="Pesquisa de Preços">
      <formula>NOT(ISERROR(SEARCH("Pesquisa de Preços",D6178)))</formula>
    </cfRule>
  </conditionalFormatting>
  <conditionalFormatting sqref="D6180">
    <cfRule type="containsText" dxfId="1285" priority="6223" operator="containsText" text="Pesquisa de Preços">
      <formula>NOT(ISERROR(SEARCH("Pesquisa de Preços",D6180)))</formula>
    </cfRule>
  </conditionalFormatting>
  <conditionalFormatting sqref="D6182">
    <cfRule type="containsText" dxfId="1284" priority="6471" operator="containsText" text="Pesquisa de Preços">
      <formula>NOT(ISERROR(SEARCH("Pesquisa de Preços",D6182)))</formula>
    </cfRule>
  </conditionalFormatting>
  <conditionalFormatting sqref="D6184">
    <cfRule type="containsText" dxfId="1283" priority="6222" operator="containsText" text="Pesquisa de Preços">
      <formula>NOT(ISERROR(SEARCH("Pesquisa de Preços",D6184)))</formula>
    </cfRule>
  </conditionalFormatting>
  <conditionalFormatting sqref="D6186">
    <cfRule type="containsText" dxfId="1282" priority="6468" operator="containsText" text="Pesquisa de Preços">
      <formula>NOT(ISERROR(SEARCH("Pesquisa de Preços",D6186)))</formula>
    </cfRule>
  </conditionalFormatting>
  <conditionalFormatting sqref="D6188">
    <cfRule type="containsText" dxfId="1281" priority="6221" operator="containsText" text="Pesquisa de Preços">
      <formula>NOT(ISERROR(SEARCH("Pesquisa de Preços",D6188)))</formula>
    </cfRule>
  </conditionalFormatting>
  <conditionalFormatting sqref="D6192">
    <cfRule type="containsText" dxfId="1280" priority="4783" operator="containsText" text="Pesquisa de Preços">
      <formula>NOT(ISERROR(SEARCH("Pesquisa de Preços",D6192)))</formula>
    </cfRule>
  </conditionalFormatting>
  <conditionalFormatting sqref="D6196">
    <cfRule type="containsText" dxfId="1279" priority="6220" operator="containsText" text="Pesquisa de Preços">
      <formula>NOT(ISERROR(SEARCH("Pesquisa de Preços",D6196)))</formula>
    </cfRule>
  </conditionalFormatting>
  <conditionalFormatting sqref="D6200">
    <cfRule type="containsText" dxfId="1278" priority="6219" operator="containsText" text="Pesquisa de Preços">
      <formula>NOT(ISERROR(SEARCH("Pesquisa de Preços",D6200)))</formula>
    </cfRule>
  </conditionalFormatting>
  <conditionalFormatting sqref="D6204">
    <cfRule type="containsText" dxfId="1277" priority="6218" operator="containsText" text="Pesquisa de Preços">
      <formula>NOT(ISERROR(SEARCH("Pesquisa de Preços",D6204)))</formula>
    </cfRule>
  </conditionalFormatting>
  <conditionalFormatting sqref="D6208">
    <cfRule type="containsText" dxfId="1276" priority="4776" operator="containsText" text="Pesquisa de Preços">
      <formula>NOT(ISERROR(SEARCH("Pesquisa de Preços",D6208)))</formula>
    </cfRule>
  </conditionalFormatting>
  <conditionalFormatting sqref="D6212">
    <cfRule type="containsText" dxfId="1275" priority="4775" operator="containsText" text="Pesquisa de Preços">
      <formula>NOT(ISERROR(SEARCH("Pesquisa de Preços",D6212)))</formula>
    </cfRule>
  </conditionalFormatting>
  <conditionalFormatting sqref="D6216">
    <cfRule type="containsText" dxfId="1274" priority="6217" operator="containsText" text="Pesquisa de Preços">
      <formula>NOT(ISERROR(SEARCH("Pesquisa de Preços",D6216)))</formula>
    </cfRule>
  </conditionalFormatting>
  <conditionalFormatting sqref="D6220">
    <cfRule type="containsText" dxfId="1273" priority="6216" operator="containsText" text="Pesquisa de Preços">
      <formula>NOT(ISERROR(SEARCH("Pesquisa de Preços",D6220)))</formula>
    </cfRule>
  </conditionalFormatting>
  <conditionalFormatting sqref="D6224">
    <cfRule type="containsText" dxfId="1272" priority="6215" operator="containsText" text="Pesquisa de Preços">
      <formula>NOT(ISERROR(SEARCH("Pesquisa de Preços",D6224)))</formula>
    </cfRule>
  </conditionalFormatting>
  <conditionalFormatting sqref="D6226">
    <cfRule type="containsText" dxfId="1271" priority="6449" operator="containsText" text="Pesquisa de Preços">
      <formula>NOT(ISERROR(SEARCH("Pesquisa de Preços",D6226)))</formula>
    </cfRule>
  </conditionalFormatting>
  <conditionalFormatting sqref="D6228">
    <cfRule type="containsText" dxfId="1270" priority="6214" operator="containsText" text="Pesquisa de Preços">
      <formula>NOT(ISERROR(SEARCH("Pesquisa de Preços",D6228)))</formula>
    </cfRule>
  </conditionalFormatting>
  <conditionalFormatting sqref="D6232">
    <cfRule type="containsText" dxfId="1269" priority="6213" operator="containsText" text="Pesquisa de Preços">
      <formula>NOT(ISERROR(SEARCH("Pesquisa de Preços",D6232)))</formula>
    </cfRule>
  </conditionalFormatting>
  <conditionalFormatting sqref="D6234">
    <cfRule type="containsText" dxfId="1268" priority="6444" operator="containsText" text="Pesquisa de Preços">
      <formula>NOT(ISERROR(SEARCH("Pesquisa de Preços",D6234)))</formula>
    </cfRule>
  </conditionalFormatting>
  <conditionalFormatting sqref="D6236">
    <cfRule type="containsText" dxfId="1267" priority="6212" operator="containsText" text="Pesquisa de Preços">
      <formula>NOT(ISERROR(SEARCH("Pesquisa de Preços",D6236)))</formula>
    </cfRule>
  </conditionalFormatting>
  <conditionalFormatting sqref="D6240">
    <cfRule type="containsText" dxfId="1266" priority="6211" operator="containsText" text="Pesquisa de Preços">
      <formula>NOT(ISERROR(SEARCH("Pesquisa de Preços",D6240)))</formula>
    </cfRule>
  </conditionalFormatting>
  <conditionalFormatting sqref="D6244">
    <cfRule type="containsText" dxfId="1265" priority="6210" operator="containsText" text="Pesquisa de Preços">
      <formula>NOT(ISERROR(SEARCH("Pesquisa de Preços",D6244)))</formula>
    </cfRule>
  </conditionalFormatting>
  <conditionalFormatting sqref="D6248">
    <cfRule type="containsText" dxfId="1264" priority="6209" operator="containsText" text="Pesquisa de Preços">
      <formula>NOT(ISERROR(SEARCH("Pesquisa de Preços",D6248)))</formula>
    </cfRule>
  </conditionalFormatting>
  <conditionalFormatting sqref="D6252">
    <cfRule type="containsText" dxfId="1263" priority="6208" operator="containsText" text="Pesquisa de Preços">
      <formula>NOT(ISERROR(SEARCH("Pesquisa de Preços",D6252)))</formula>
    </cfRule>
  </conditionalFormatting>
  <conditionalFormatting sqref="D6256">
    <cfRule type="containsText" dxfId="1262" priority="6207" operator="containsText" text="Pesquisa de Preços">
      <formula>NOT(ISERROR(SEARCH("Pesquisa de Preços",D6256)))</formula>
    </cfRule>
  </conditionalFormatting>
  <conditionalFormatting sqref="D6260">
    <cfRule type="containsText" dxfId="1261" priority="6206" operator="containsText" text="Pesquisa de Preços">
      <formula>NOT(ISERROR(SEARCH("Pesquisa de Preços",D6260)))</formula>
    </cfRule>
  </conditionalFormatting>
  <conditionalFormatting sqref="D6264">
    <cfRule type="containsText" dxfId="1260" priority="2923" operator="containsText" text="Pesquisa de Preços">
      <formula>NOT(ISERROR(SEARCH("Pesquisa de Preços",D6264)))</formula>
    </cfRule>
  </conditionalFormatting>
  <conditionalFormatting sqref="D6266">
    <cfRule type="containsText" dxfId="1259" priority="2922" operator="containsText" text="Pesquisa de Preços">
      <formula>NOT(ISERROR(SEARCH("Pesquisa de Preços",D6266)))</formula>
    </cfRule>
  </conditionalFormatting>
  <conditionalFormatting sqref="D6268">
    <cfRule type="containsText" dxfId="1258" priority="2931" operator="containsText" text="Pesquisa de Preços">
      <formula>NOT(ISERROR(SEARCH("Pesquisa de Preços",D6268)))</formula>
    </cfRule>
  </conditionalFormatting>
  <conditionalFormatting sqref="D6270">
    <cfRule type="containsText" dxfId="1257" priority="2930" operator="containsText" text="Pesquisa de Preços">
      <formula>NOT(ISERROR(SEARCH("Pesquisa de Preços",D6270)))</formula>
    </cfRule>
  </conditionalFormatting>
  <conditionalFormatting sqref="D6272">
    <cfRule type="containsText" dxfId="1256" priority="6205" operator="containsText" text="Pesquisa de Preços">
      <formula>NOT(ISERROR(SEARCH("Pesquisa de Preços",D6272)))</formula>
    </cfRule>
  </conditionalFormatting>
  <conditionalFormatting sqref="D6276">
    <cfRule type="containsText" dxfId="1255" priority="6204" operator="containsText" text="Pesquisa de Preços">
      <formula>NOT(ISERROR(SEARCH("Pesquisa de Preços",D6276)))</formula>
    </cfRule>
  </conditionalFormatting>
  <conditionalFormatting sqref="D6280">
    <cfRule type="containsText" dxfId="1254" priority="3410" operator="containsText" text="Pesquisa de Preços">
      <formula>NOT(ISERROR(SEARCH("Pesquisa de Preços",D6280)))</formula>
    </cfRule>
  </conditionalFormatting>
  <conditionalFormatting sqref="D6282">
    <cfRule type="containsText" dxfId="1253" priority="3409" operator="containsText" text="Pesquisa de Preços">
      <formula>NOT(ISERROR(SEARCH("Pesquisa de Preços",D6282)))</formula>
    </cfRule>
  </conditionalFormatting>
  <conditionalFormatting sqref="D6284">
    <cfRule type="containsText" dxfId="1252" priority="6203" operator="containsText" text="Pesquisa de Preços">
      <formula>NOT(ISERROR(SEARCH("Pesquisa de Preços",D6284)))</formula>
    </cfRule>
  </conditionalFormatting>
  <conditionalFormatting sqref="D6288">
    <cfRule type="containsText" dxfId="1251" priority="4770" operator="containsText" text="Pesquisa de Preços">
      <formula>NOT(ISERROR(SEARCH("Pesquisa de Preços",D6288)))</formula>
    </cfRule>
  </conditionalFormatting>
  <conditionalFormatting sqref="D6292">
    <cfRule type="containsText" dxfId="1250" priority="4765" operator="containsText" text="Pesquisa de Preços">
      <formula>NOT(ISERROR(SEARCH("Pesquisa de Preços",D6292)))</formula>
    </cfRule>
  </conditionalFormatting>
  <conditionalFormatting sqref="D6296">
    <cfRule type="containsText" dxfId="1249" priority="4760" operator="containsText" text="Pesquisa de Preços">
      <formula>NOT(ISERROR(SEARCH("Pesquisa de Preços",D6296)))</formula>
    </cfRule>
  </conditionalFormatting>
  <conditionalFormatting sqref="D6300">
    <cfRule type="containsText" dxfId="1248" priority="6202" operator="containsText" text="Pesquisa de Preços">
      <formula>NOT(ISERROR(SEARCH("Pesquisa de Preços",D6300)))</formula>
    </cfRule>
  </conditionalFormatting>
  <conditionalFormatting sqref="D6312">
    <cfRule type="containsText" dxfId="1247" priority="6200" operator="containsText" text="Pesquisa de Preços">
      <formula>NOT(ISERROR(SEARCH("Pesquisa de Preços",D6312)))</formula>
    </cfRule>
  </conditionalFormatting>
  <conditionalFormatting sqref="D6316">
    <cfRule type="containsText" dxfId="1246" priority="6199" operator="containsText" text="Pesquisa de Preços">
      <formula>NOT(ISERROR(SEARCH("Pesquisa de Preços",D6316)))</formula>
    </cfRule>
  </conditionalFormatting>
  <conditionalFormatting sqref="D6341:D6342">
    <cfRule type="containsText" dxfId="1245" priority="5734" operator="containsText" text="Pesquisa de Preços">
      <formula>NOT(ISERROR(SEARCH("Pesquisa de Preços",D6341)))</formula>
    </cfRule>
  </conditionalFormatting>
  <conditionalFormatting sqref="D6494:D6502">
    <cfRule type="containsText" dxfId="1244" priority="3535" operator="containsText" text="Pesquisa de Preços">
      <formula>NOT(ISERROR(SEARCH("Pesquisa de Preços",D6494)))</formula>
    </cfRule>
  </conditionalFormatting>
  <conditionalFormatting sqref="D6596">
    <cfRule type="containsText" dxfId="1243" priority="4731" operator="containsText" text="Pesquisa de Preços">
      <formula>NOT(ISERROR(SEARCH("Pesquisa de Preços",D6596)))</formula>
    </cfRule>
  </conditionalFormatting>
  <conditionalFormatting sqref="D6645">
    <cfRule type="containsText" dxfId="1242" priority="4532" operator="containsText" text="Pesquisa de Preços">
      <formula>NOT(ISERROR(SEARCH("Pesquisa de Preços",D6645)))</formula>
    </cfRule>
  </conditionalFormatting>
  <conditionalFormatting sqref="D7310">
    <cfRule type="containsText" dxfId="1241" priority="4892" operator="containsText" text="Pesquisa de Preços">
      <formula>NOT(ISERROR(SEARCH("Pesquisa de Preços",D7310)))</formula>
    </cfRule>
  </conditionalFormatting>
  <conditionalFormatting sqref="D7316">
    <cfRule type="containsText" dxfId="1240" priority="4889" operator="containsText" text="Pesquisa de Preços">
      <formula>NOT(ISERROR(SEARCH("Pesquisa de Preços",D7316)))</formula>
    </cfRule>
  </conditionalFormatting>
  <conditionalFormatting sqref="D7322">
    <cfRule type="containsText" dxfId="1239" priority="4886" operator="containsText" text="Pesquisa de Preços">
      <formula>NOT(ISERROR(SEARCH("Pesquisa de Preços",D7322)))</formula>
    </cfRule>
  </conditionalFormatting>
  <conditionalFormatting sqref="D7328">
    <cfRule type="containsText" dxfId="1238" priority="4883" operator="containsText" text="Pesquisa de Preços">
      <formula>NOT(ISERROR(SEARCH("Pesquisa de Preços",D7328)))</formula>
    </cfRule>
  </conditionalFormatting>
  <conditionalFormatting sqref="D7334">
    <cfRule type="containsText" dxfId="1237" priority="4880" operator="containsText" text="Pesquisa de Preços">
      <formula>NOT(ISERROR(SEARCH("Pesquisa de Preços",D7334)))</formula>
    </cfRule>
  </conditionalFormatting>
  <conditionalFormatting sqref="D7340">
    <cfRule type="containsText" dxfId="1236" priority="4879" operator="containsText" text="Pesquisa de Preços">
      <formula>NOT(ISERROR(SEARCH("Pesquisa de Preços",D7340)))</formula>
    </cfRule>
  </conditionalFormatting>
  <conditionalFormatting sqref="D7346">
    <cfRule type="containsText" dxfId="1235" priority="4878" operator="containsText" text="Pesquisa de Preços">
      <formula>NOT(ISERROR(SEARCH("Pesquisa de Preços",D7346)))</formula>
    </cfRule>
  </conditionalFormatting>
  <conditionalFormatting sqref="D7352">
    <cfRule type="containsText" dxfId="1234" priority="4877" operator="containsText" text="Pesquisa de Preços">
      <formula>NOT(ISERROR(SEARCH("Pesquisa de Preços",D7352)))</formula>
    </cfRule>
  </conditionalFormatting>
  <conditionalFormatting sqref="D7358">
    <cfRule type="containsText" dxfId="1233" priority="4876" operator="containsText" text="Pesquisa de Preços">
      <formula>NOT(ISERROR(SEARCH("Pesquisa de Preços",D7358)))</formula>
    </cfRule>
  </conditionalFormatting>
  <conditionalFormatting sqref="D7364:D7380">
    <cfRule type="containsText" dxfId="1232" priority="1406" operator="containsText" text="Pesquisa de Preços">
      <formula>NOT(ISERROR(SEARCH("Pesquisa de Preços",D7364)))</formula>
    </cfRule>
  </conditionalFormatting>
  <conditionalFormatting sqref="D7382:D7391">
    <cfRule type="containsText" dxfId="1231" priority="1394" operator="containsText" text="Pesquisa de Preços">
      <formula>NOT(ISERROR(SEARCH("Pesquisa de Preços",D7382)))</formula>
    </cfRule>
  </conditionalFormatting>
  <conditionalFormatting sqref="D7393:D7399">
    <cfRule type="containsText" dxfId="1230" priority="1393" operator="containsText" text="Pesquisa de Preços">
      <formula>NOT(ISERROR(SEARCH("Pesquisa de Preços",D7393)))</formula>
    </cfRule>
  </conditionalFormatting>
  <conditionalFormatting sqref="D7401:D7410">
    <cfRule type="containsText" dxfId="1229" priority="1381" operator="containsText" text="Pesquisa de Preços">
      <formula>NOT(ISERROR(SEARCH("Pesquisa de Preços",D7401)))</formula>
    </cfRule>
  </conditionalFormatting>
  <conditionalFormatting sqref="D7412">
    <cfRule type="containsText" dxfId="1228" priority="4746" operator="containsText" text="Pesquisa de Preços">
      <formula>NOT(ISERROR(SEARCH("Pesquisa de Preços",D7412)))</formula>
    </cfRule>
  </conditionalFormatting>
  <conditionalFormatting sqref="D7429:D7431">
    <cfRule type="containsText" dxfId="1227" priority="4638" operator="containsText" text="Pesquisa de Preços">
      <formula>NOT(ISERROR(SEARCH("Pesquisa de Preços",D7429)))</formula>
    </cfRule>
  </conditionalFormatting>
  <conditionalFormatting sqref="D7434:D7435">
    <cfRule type="containsText" dxfId="1226" priority="4635" operator="containsText" text="Pesquisa de Preços">
      <formula>NOT(ISERROR(SEARCH("Pesquisa de Preços",D7434)))</formula>
    </cfRule>
  </conditionalFormatting>
  <conditionalFormatting sqref="D7440:D7452">
    <cfRule type="containsText" dxfId="1225" priority="289" operator="containsText" text="Pesquisa de Preços">
      <formula>NOT(ISERROR(SEARCH("Pesquisa de Preços",D7440)))</formula>
    </cfRule>
  </conditionalFormatting>
  <conditionalFormatting sqref="D7456">
    <cfRule type="containsText" dxfId="1224" priority="1298" operator="containsText" text="Pesquisa de Preços">
      <formula>NOT(ISERROR(SEARCH("Pesquisa de Preços",D7456)))</formula>
    </cfRule>
  </conditionalFormatting>
  <conditionalFormatting sqref="D7458:D7461">
    <cfRule type="containsText" dxfId="1223" priority="1290" operator="containsText" text="Pesquisa de Preços">
      <formula>NOT(ISERROR(SEARCH("Pesquisa de Preços",D7458)))</formula>
    </cfRule>
  </conditionalFormatting>
  <conditionalFormatting sqref="D7463">
    <cfRule type="containsText" dxfId="1222" priority="1090" operator="containsText" text="Pesquisa de Preços">
      <formula>NOT(ISERROR(SEARCH("Pesquisa de Preços",D7463)))</formula>
    </cfRule>
  </conditionalFormatting>
  <conditionalFormatting sqref="D7465:D7466">
    <cfRule type="containsText" dxfId="1221" priority="1059" operator="containsText" text="Pesquisa de Preços">
      <formula>NOT(ISERROR(SEARCH("Pesquisa de Preços",D7465)))</formula>
    </cfRule>
  </conditionalFormatting>
  <conditionalFormatting sqref="D7469">
    <cfRule type="containsText" dxfId="1220" priority="1116" operator="containsText" text="Pesquisa de Preços">
      <formula>NOT(ISERROR(SEARCH("Pesquisa de Preços",D7469)))</formula>
    </cfRule>
  </conditionalFormatting>
  <conditionalFormatting sqref="D7471:D7474">
    <cfRule type="containsText" dxfId="1219" priority="1104" operator="containsText" text="Pesquisa de Preços">
      <formula>NOT(ISERROR(SEARCH("Pesquisa de Preços",D7471)))</formula>
    </cfRule>
  </conditionalFormatting>
  <conditionalFormatting sqref="D7476">
    <cfRule type="containsText" dxfId="1218" priority="1103" operator="containsText" text="Pesquisa de Preços">
      <formula>NOT(ISERROR(SEARCH("Pesquisa de Preços",D7476)))</formula>
    </cfRule>
  </conditionalFormatting>
  <conditionalFormatting sqref="D7478:D7481">
    <cfRule type="containsText" dxfId="1217" priority="1091" operator="containsText" text="Pesquisa de Preços">
      <formula>NOT(ISERROR(SEARCH("Pesquisa de Preços",D7478)))</formula>
    </cfRule>
  </conditionalFormatting>
  <conditionalFormatting sqref="D7483">
    <cfRule type="containsText" dxfId="1216" priority="1129" operator="containsText" text="Pesquisa de Preços">
      <formula>NOT(ISERROR(SEARCH("Pesquisa de Preços",D7483)))</formula>
    </cfRule>
  </conditionalFormatting>
  <conditionalFormatting sqref="D7485:D7488">
    <cfRule type="containsText" dxfId="1215" priority="1117" operator="containsText" text="Pesquisa de Preços">
      <formula>NOT(ISERROR(SEARCH("Pesquisa de Preços",D7485)))</formula>
    </cfRule>
  </conditionalFormatting>
  <conditionalFormatting sqref="D7490">
    <cfRule type="containsText" dxfId="1214" priority="1135" operator="containsText" text="Pesquisa de Preços">
      <formula>NOT(ISERROR(SEARCH("Pesquisa de Preços",D7490)))</formula>
    </cfRule>
  </conditionalFormatting>
  <conditionalFormatting sqref="D7492:D7494">
    <cfRule type="containsText" dxfId="1213" priority="1130" operator="containsText" text="Pesquisa de Preços">
      <formula>NOT(ISERROR(SEARCH("Pesquisa de Preços",D7492)))</formula>
    </cfRule>
  </conditionalFormatting>
  <conditionalFormatting sqref="D7508">
    <cfRule type="containsText" dxfId="1212" priority="4700" operator="containsText" text="Pesquisa de Preços">
      <formula>NOT(ISERROR(SEARCH("Pesquisa de Preços",D7508)))</formula>
    </cfRule>
  </conditionalFormatting>
  <conditionalFormatting sqref="D7512">
    <cfRule type="containsText" dxfId="1211" priority="4699" operator="containsText" text="Pesquisa de Preços">
      <formula>NOT(ISERROR(SEARCH("Pesquisa de Preços",D7512)))</formula>
    </cfRule>
  </conditionalFormatting>
  <conditionalFormatting sqref="D7516">
    <cfRule type="containsText" dxfId="1210" priority="4701" operator="containsText" text="Pesquisa de Preços">
      <formula>NOT(ISERROR(SEARCH("Pesquisa de Preços",D7516)))</formula>
    </cfRule>
  </conditionalFormatting>
  <conditionalFormatting sqref="D7520">
    <cfRule type="containsText" dxfId="1209" priority="4698" operator="containsText" text="Pesquisa de Preços">
      <formula>NOT(ISERROR(SEARCH("Pesquisa de Preços",D7520)))</formula>
    </cfRule>
  </conditionalFormatting>
  <conditionalFormatting sqref="D7524 D7532 D7536">
    <cfRule type="containsText" dxfId="1208" priority="4691" operator="containsText" text="Pesquisa de Preços">
      <formula>NOT(ISERROR(SEARCH("Pesquisa de Preços",D7524)))</formula>
    </cfRule>
  </conditionalFormatting>
  <conditionalFormatting sqref="D7528">
    <cfRule type="containsText" dxfId="1207" priority="842" operator="containsText" text="Pesquisa de Preços">
      <formula>NOT(ISERROR(SEARCH("Pesquisa de Preços",D7528)))</formula>
    </cfRule>
  </conditionalFormatting>
  <conditionalFormatting sqref="D7540 D7544">
    <cfRule type="containsText" dxfId="1206" priority="4692" operator="containsText" text="Pesquisa de Preços">
      <formula>NOT(ISERROR(SEARCH("Pesquisa de Preços",D7540)))</formula>
    </cfRule>
  </conditionalFormatting>
  <conditionalFormatting sqref="D7548">
    <cfRule type="containsText" dxfId="1205" priority="4619" operator="containsText" text="Pesquisa de Preços">
      <formula>NOT(ISERROR(SEARCH("Pesquisa de Preços",D7548)))</formula>
    </cfRule>
  </conditionalFormatting>
  <conditionalFormatting sqref="D7555">
    <cfRule type="containsText" dxfId="1204" priority="4626" operator="containsText" text="Pesquisa de Preços">
      <formula>NOT(ISERROR(SEARCH("Pesquisa de Preços",D7555)))</formula>
    </cfRule>
  </conditionalFormatting>
  <conditionalFormatting sqref="D7561">
    <cfRule type="containsText" dxfId="1203" priority="4609" operator="containsText" text="Pesquisa de Preços">
      <formula>NOT(ISERROR(SEARCH("Pesquisa de Preços",D7561)))</formula>
    </cfRule>
  </conditionalFormatting>
  <conditionalFormatting sqref="D7569">
    <cfRule type="containsText" dxfId="1202" priority="4592" operator="containsText" text="Pesquisa de Preços">
      <formula>NOT(ISERROR(SEARCH("Pesquisa de Preços",D7569)))</formula>
    </cfRule>
  </conditionalFormatting>
  <conditionalFormatting sqref="D7577">
    <cfRule type="containsText" dxfId="1201" priority="4575" operator="containsText" text="Pesquisa de Preços">
      <formula>NOT(ISERROR(SEARCH("Pesquisa de Preços",D7577)))</formula>
    </cfRule>
  </conditionalFormatting>
  <conditionalFormatting sqref="D7583">
    <cfRule type="containsText" dxfId="1200" priority="4565" operator="containsText" text="Pesquisa de Preços">
      <formula>NOT(ISERROR(SEARCH("Pesquisa de Preços",D7583)))</formula>
    </cfRule>
  </conditionalFormatting>
  <conditionalFormatting sqref="D7588">
    <cfRule type="containsText" dxfId="1199" priority="4554" operator="containsText" text="Pesquisa de Preços">
      <formula>NOT(ISERROR(SEARCH("Pesquisa de Preços",D7588)))</formula>
    </cfRule>
  </conditionalFormatting>
  <conditionalFormatting sqref="D7607">
    <cfRule type="containsText" dxfId="1198" priority="4522" operator="containsText" text="Pesquisa de Preços">
      <formula>NOT(ISERROR(SEARCH("Pesquisa de Preços",D7607)))</formula>
    </cfRule>
  </conditionalFormatting>
  <conditionalFormatting sqref="D7616">
    <cfRule type="containsText" dxfId="1197" priority="4513" operator="containsText" text="Pesquisa de Preços">
      <formula>NOT(ISERROR(SEARCH("Pesquisa de Preços",D7616)))</formula>
    </cfRule>
  </conditionalFormatting>
  <conditionalFormatting sqref="D7659">
    <cfRule type="containsText" dxfId="1196" priority="4497" operator="containsText" text="Pesquisa de Preços">
      <formula>NOT(ISERROR(SEARCH("Pesquisa de Preços",D7659)))</formula>
    </cfRule>
  </conditionalFormatting>
  <conditionalFormatting sqref="D7668">
    <cfRule type="containsText" dxfId="1195" priority="4476" operator="containsText" text="Pesquisa de Preços">
      <formula>NOT(ISERROR(SEARCH("Pesquisa de Preços",D7668)))</formula>
    </cfRule>
  </conditionalFormatting>
  <conditionalFormatting sqref="D7674">
    <cfRule type="containsText" dxfId="1194" priority="4488" operator="containsText" text="Pesquisa de Preços">
      <formula>NOT(ISERROR(SEARCH("Pesquisa de Preços",D7674)))</formula>
    </cfRule>
  </conditionalFormatting>
  <conditionalFormatting sqref="D7682">
    <cfRule type="containsText" dxfId="1193" priority="4420" operator="containsText" text="Pesquisa de Preços">
      <formula>NOT(ISERROR(SEARCH("Pesquisa de Preços",D7682)))</formula>
    </cfRule>
  </conditionalFormatting>
  <conditionalFormatting sqref="D7689">
    <cfRule type="containsText" dxfId="1192" priority="4433" operator="containsText" text="Pesquisa de Preços">
      <formula>NOT(ISERROR(SEARCH("Pesquisa de Preços",D7689)))</formula>
    </cfRule>
  </conditionalFormatting>
  <conditionalFormatting sqref="D7696">
    <cfRule type="containsText" dxfId="1191" priority="4425" operator="containsText" text="Pesquisa de Preços">
      <formula>NOT(ISERROR(SEARCH("Pesquisa de Preços",D7696)))</formula>
    </cfRule>
  </conditionalFormatting>
  <conditionalFormatting sqref="D7700">
    <cfRule type="containsText" dxfId="1190" priority="1380" operator="containsText" text="Pesquisa de Preços">
      <formula>NOT(ISERROR(SEARCH("Pesquisa de Preços",D7700)))</formula>
    </cfRule>
  </conditionalFormatting>
  <conditionalFormatting sqref="D7702:D7709">
    <cfRule type="containsText" dxfId="1189" priority="1368" operator="containsText" text="Pesquisa de Preços">
      <formula>NOT(ISERROR(SEARCH("Pesquisa de Preços",D7702)))</formula>
    </cfRule>
  </conditionalFormatting>
  <conditionalFormatting sqref="D7711">
    <cfRule type="containsText" dxfId="1188" priority="4285" operator="containsText" text="Pesquisa de Preços">
      <formula>NOT(ISERROR(SEARCH("Pesquisa de Preços",D7711)))</formula>
    </cfRule>
  </conditionalFormatting>
  <conditionalFormatting sqref="D7719">
    <cfRule type="containsText" dxfId="1187" priority="4284" operator="containsText" text="Pesquisa de Preços">
      <formula>NOT(ISERROR(SEARCH("Pesquisa de Preços",D7719)))</formula>
    </cfRule>
  </conditionalFormatting>
  <conditionalFormatting sqref="D7727">
    <cfRule type="containsText" dxfId="1186" priority="4283" operator="containsText" text="Pesquisa de Preços">
      <formula>NOT(ISERROR(SEARCH("Pesquisa de Preços",D7727)))</formula>
    </cfRule>
  </conditionalFormatting>
  <conditionalFormatting sqref="D7735">
    <cfRule type="containsText" dxfId="1185" priority="3657" operator="containsText" text="Pesquisa de Preços">
      <formula>NOT(ISERROR(SEARCH("Pesquisa de Preços",D7735)))</formula>
    </cfRule>
  </conditionalFormatting>
  <conditionalFormatting sqref="D7741">
    <cfRule type="containsText" dxfId="1184" priority="3714" operator="containsText" text="Pesquisa de Preços">
      <formula>NOT(ISERROR(SEARCH("Pesquisa de Preços",D7741)))</formula>
    </cfRule>
  </conditionalFormatting>
  <conditionalFormatting sqref="D7747">
    <cfRule type="containsText" dxfId="1183" priority="4282" operator="containsText" text="Pesquisa de Preços">
      <formula>NOT(ISERROR(SEARCH("Pesquisa de Preços",D7747)))</formula>
    </cfRule>
  </conditionalFormatting>
  <conditionalFormatting sqref="D7756">
    <cfRule type="containsText" dxfId="1182" priority="4281" operator="containsText" text="Pesquisa de Preços">
      <formula>NOT(ISERROR(SEARCH("Pesquisa de Preços",D7756)))</formula>
    </cfRule>
  </conditionalFormatting>
  <conditionalFormatting sqref="D7762">
    <cfRule type="containsText" dxfId="1181" priority="4280" operator="containsText" text="Pesquisa de Preços">
      <formula>NOT(ISERROR(SEARCH("Pesquisa de Preços",D7762)))</formula>
    </cfRule>
  </conditionalFormatting>
  <conditionalFormatting sqref="D7768">
    <cfRule type="containsText" dxfId="1180" priority="4279" operator="containsText" text="Pesquisa de Preços">
      <formula>NOT(ISERROR(SEARCH("Pesquisa de Preços",D7768)))</formula>
    </cfRule>
  </conditionalFormatting>
  <conditionalFormatting sqref="D7782">
    <cfRule type="containsText" dxfId="1179" priority="4278" operator="containsText" text="Pesquisa de Preços">
      <formula>NOT(ISERROR(SEARCH("Pesquisa de Preços",D7782)))</formula>
    </cfRule>
  </conditionalFormatting>
  <conditionalFormatting sqref="D7796">
    <cfRule type="containsText" dxfId="1178" priority="4277" operator="containsText" text="Pesquisa de Preços">
      <formula>NOT(ISERROR(SEARCH("Pesquisa de Preços",D7796)))</formula>
    </cfRule>
  </conditionalFormatting>
  <conditionalFormatting sqref="D7803">
    <cfRule type="containsText" dxfId="1177" priority="4410" operator="containsText" text="Pesquisa de Preços">
      <formula>NOT(ISERROR(SEARCH("Pesquisa de Preços",D7803)))</formula>
    </cfRule>
  </conditionalFormatting>
  <conditionalFormatting sqref="D7807 D7811 D7815 D7819 D7823 D7827 D7831 D7835 D7839 D7843 D7847 D7851 D7855 D7859 D7863 D7867 D7871 D7875 D7879 D7883 D7887 D7891 D7895 D7899 D7903 D7907 D7911 D7915 D7919 D7923 D7927 D7931 D7935 D7939 D7943 D7947 D7951 D7955 D7959 D7963 D7967 D7971 D7975 D7979 D7983 D7987 D7991 D7995 D7999 D8003 D8007 D8011 D8015 D8019 D8023 D8027 D8031 D8035 D8039 D8043 D8047 D8051 D8055 D8059 D8063 D8067 D8071 D8075 D8079 D8083 D8087 D8091 D8095 D8099 D8103 D8107 D8111 D8115 D8119 D8123 D8127 D8131 D8135 D8139 D8143 D8147 D8151 D8155 D8159 D8163 D8167 D8171 D8175 D8179 D8183 D8187 D8191 D8195 D8199 D8203 D8207 D8211 D8215 D8219 D8223 D8227 D8231 D8235 D8239 D8243 D8247 D8251 D8255 D8259 D8263 D8267 D8271 D8275 D8279 D8283 D8287 D8291 D8295 D8299 D8303 D8307 D8311 D8315 D8319 D8323 D8327 D8331 D8335 D8339 D8343 D8347 D8351 D8355 D8359 D8363 D8371 D8379 D8383 D8387 D8391 D8395 D8399 D8403 D8407 D8411 D8415 D8419 D8423 D8427 D8431 D8435 D8439">
    <cfRule type="containsText" dxfId="1176" priority="3768" operator="containsText" text="Pesquisa de Preços">
      <formula>NOT(ISERROR(SEARCH("Pesquisa de Preços",D7807)))</formula>
    </cfRule>
  </conditionalFormatting>
  <conditionalFormatting sqref="D8367">
    <cfRule type="containsText" dxfId="1175" priority="826" operator="containsText" text="Pesquisa de Preços">
      <formula>NOT(ISERROR(SEARCH("Pesquisa de Preços",D8367)))</formula>
    </cfRule>
  </conditionalFormatting>
  <conditionalFormatting sqref="D8375">
    <cfRule type="containsText" dxfId="1174" priority="823" operator="containsText" text="Pesquisa de Preços">
      <formula>NOT(ISERROR(SEARCH("Pesquisa de Preços",D8375)))</formula>
    </cfRule>
  </conditionalFormatting>
  <conditionalFormatting sqref="D8443">
    <cfRule type="containsText" dxfId="1173" priority="837" operator="containsText" text="Pesquisa de Preços">
      <formula>NOT(ISERROR(SEARCH("Pesquisa de Preços",D8443)))</formula>
    </cfRule>
  </conditionalFormatting>
  <conditionalFormatting sqref="D8445">
    <cfRule type="containsText" dxfId="1172" priority="836" operator="containsText" text="Pesquisa de Preços">
      <formula>NOT(ISERROR(SEARCH("Pesquisa de Preços",D8445)))</formula>
    </cfRule>
  </conditionalFormatting>
  <conditionalFormatting sqref="D8447">
    <cfRule type="containsText" dxfId="1171" priority="833" operator="containsText" text="Pesquisa de Preços">
      <formula>NOT(ISERROR(SEARCH("Pesquisa de Preços",D8447)))</formula>
    </cfRule>
  </conditionalFormatting>
  <conditionalFormatting sqref="D8449">
    <cfRule type="containsText" dxfId="1170" priority="816" operator="containsText" text="Pesquisa de Preços">
      <formula>NOT(ISERROR(SEARCH("Pesquisa de Preços",D8449)))</formula>
    </cfRule>
  </conditionalFormatting>
  <conditionalFormatting sqref="D8451">
    <cfRule type="containsText" dxfId="1169" priority="3298" operator="containsText" text="Pesquisa de Preços">
      <formula>NOT(ISERROR(SEARCH("Pesquisa de Preços",D8451)))</formula>
    </cfRule>
  </conditionalFormatting>
  <conditionalFormatting sqref="D8456">
    <cfRule type="containsText" dxfId="1168" priority="3698" operator="containsText" text="Pesquisa de Preços">
      <formula>NOT(ISERROR(SEARCH("Pesquisa de Preços",D8456)))</formula>
    </cfRule>
  </conditionalFormatting>
  <conditionalFormatting sqref="D8460">
    <cfRule type="containsText" dxfId="1167" priority="3763" operator="containsText" text="Pesquisa de Preços">
      <formula>NOT(ISERROR(SEARCH("Pesquisa de Preços",D8460)))</formula>
    </cfRule>
  </conditionalFormatting>
  <conditionalFormatting sqref="D8470">
    <cfRule type="containsText" dxfId="1166" priority="3756" operator="containsText" text="Pesquisa de Preços">
      <formula>NOT(ISERROR(SEARCH("Pesquisa de Preços",D8470)))</formula>
    </cfRule>
  </conditionalFormatting>
  <conditionalFormatting sqref="D8485">
    <cfRule type="containsText" dxfId="1165" priority="3744" operator="containsText" text="Pesquisa de Preços">
      <formula>NOT(ISERROR(SEARCH("Pesquisa de Preços",D8485)))</formula>
    </cfRule>
  </conditionalFormatting>
  <conditionalFormatting sqref="D8497">
    <cfRule type="containsText" dxfId="1164" priority="3749" operator="containsText" text="Pesquisa de Preços">
      <formula>NOT(ISERROR(SEARCH("Pesquisa de Preços",D8497)))</formula>
    </cfRule>
  </conditionalFormatting>
  <conditionalFormatting sqref="D8501">
    <cfRule type="containsText" dxfId="1163" priority="3727" operator="containsText" text="Pesquisa de Preços">
      <formula>NOT(ISERROR(SEARCH("Pesquisa de Preços",D8501)))</formula>
    </cfRule>
  </conditionalFormatting>
  <conditionalFormatting sqref="D8506">
    <cfRule type="containsText" dxfId="1162" priority="3735" operator="containsText" text="Pesquisa de Preços">
      <formula>NOT(ISERROR(SEARCH("Pesquisa de Preços",D8506)))</formula>
    </cfRule>
  </conditionalFormatting>
  <conditionalFormatting sqref="D8511">
    <cfRule type="containsText" dxfId="1161" priority="3618" operator="containsText" text="Pesquisa de Preços">
      <formula>NOT(ISERROR(SEARCH("Pesquisa de Preços",D8511)))</formula>
    </cfRule>
  </conditionalFormatting>
  <conditionalFormatting sqref="D8517">
    <cfRule type="containsText" dxfId="1160" priority="3719" operator="containsText" text="Pesquisa de Preços">
      <formula>NOT(ISERROR(SEARCH("Pesquisa de Preços",D8517)))</formula>
    </cfRule>
  </conditionalFormatting>
  <conditionalFormatting sqref="D8523">
    <cfRule type="containsText" dxfId="1159" priority="3732" operator="containsText" text="Pesquisa de Preços">
      <formula>NOT(ISERROR(SEARCH("Pesquisa de Preços",D8523)))</formula>
    </cfRule>
  </conditionalFormatting>
  <conditionalFormatting sqref="D8530">
    <cfRule type="containsText" dxfId="1158" priority="3703" operator="containsText" text="Pesquisa de Preços">
      <formula>NOT(ISERROR(SEARCH("Pesquisa de Preços",D8530)))</formula>
    </cfRule>
  </conditionalFormatting>
  <conditionalFormatting sqref="D8536">
    <cfRule type="containsText" dxfId="1157" priority="1337" operator="containsText" text="Pesquisa de Preços">
      <formula>NOT(ISERROR(SEARCH("Pesquisa de Preços",D8536)))</formula>
    </cfRule>
  </conditionalFormatting>
  <conditionalFormatting sqref="D8538">
    <cfRule type="containsText" dxfId="1156" priority="1336" operator="containsText" text="Pesquisa de Preços">
      <formula>NOT(ISERROR(SEARCH("Pesquisa de Preços",D8538)))</formula>
    </cfRule>
  </conditionalFormatting>
  <conditionalFormatting sqref="D8541">
    <cfRule type="containsText" dxfId="1155" priority="3694" operator="containsText" text="Pesquisa de Preços">
      <formula>NOT(ISERROR(SEARCH("Pesquisa de Preços",D8541)))</formula>
    </cfRule>
  </conditionalFormatting>
  <conditionalFormatting sqref="D8550">
    <cfRule type="containsText" dxfId="1154" priority="3689" operator="containsText" text="Pesquisa de Preços">
      <formula>NOT(ISERROR(SEARCH("Pesquisa de Preços",D8550)))</formula>
    </cfRule>
  </conditionalFormatting>
  <conditionalFormatting sqref="D8554">
    <cfRule type="containsText" dxfId="1153" priority="830" operator="containsText" text="Pesquisa de Preços">
      <formula>NOT(ISERROR(SEARCH("Pesquisa de Preços",D8554)))</formula>
    </cfRule>
  </conditionalFormatting>
  <conditionalFormatting sqref="D8556">
    <cfRule type="containsText" dxfId="1152" priority="829" operator="containsText" text="Pesquisa de Preços">
      <formula>NOT(ISERROR(SEARCH("Pesquisa de Preços",D8556)))</formula>
    </cfRule>
  </conditionalFormatting>
  <conditionalFormatting sqref="D8558">
    <cfRule type="containsText" dxfId="1151" priority="3661" operator="containsText" text="Pesquisa de Preços">
      <formula>NOT(ISERROR(SEARCH("Pesquisa de Preços",D8558)))</formula>
    </cfRule>
  </conditionalFormatting>
  <conditionalFormatting sqref="D8564">
    <cfRule type="containsText" dxfId="1150" priority="3686" operator="containsText" text="Pesquisa de Preços">
      <formula>NOT(ISERROR(SEARCH("Pesquisa de Preços",D8564)))</formula>
    </cfRule>
  </conditionalFormatting>
  <conditionalFormatting sqref="D8573">
    <cfRule type="containsText" dxfId="1149" priority="3685" operator="containsText" text="Pesquisa de Preços">
      <formula>NOT(ISERROR(SEARCH("Pesquisa de Preços",D8573)))</formula>
    </cfRule>
  </conditionalFormatting>
  <conditionalFormatting sqref="D8581">
    <cfRule type="containsText" dxfId="1148" priority="3680" operator="containsText" text="Pesquisa de Preços">
      <formula>NOT(ISERROR(SEARCH("Pesquisa de Preços",D8581)))</formula>
    </cfRule>
  </conditionalFormatting>
  <conditionalFormatting sqref="D8587">
    <cfRule type="containsText" dxfId="1147" priority="3669" operator="containsText" text="Pesquisa de Preços">
      <formula>NOT(ISERROR(SEARCH("Pesquisa de Preços",D8587)))</formula>
    </cfRule>
  </conditionalFormatting>
  <conditionalFormatting sqref="D8593">
    <cfRule type="containsText" dxfId="1146" priority="818" operator="containsText" text="Pesquisa de Preços">
      <formula>NOT(ISERROR(SEARCH("Pesquisa de Preços",D8593)))</formula>
    </cfRule>
  </conditionalFormatting>
  <conditionalFormatting sqref="D8595">
    <cfRule type="containsText" dxfId="1145" priority="817" operator="containsText" text="Pesquisa de Preços">
      <formula>NOT(ISERROR(SEARCH("Pesquisa de Preços",D8595)))</formula>
    </cfRule>
  </conditionalFormatting>
  <conditionalFormatting sqref="D8597">
    <cfRule type="containsText" dxfId="1144" priority="3488" operator="containsText" text="Pesquisa de Preços">
      <formula>NOT(ISERROR(SEARCH("Pesquisa de Preços",D8597)))</formula>
    </cfRule>
  </conditionalFormatting>
  <conditionalFormatting sqref="D8599:D8602">
    <cfRule type="containsText" dxfId="1143" priority="3487" operator="containsText" text="Pesquisa de Preços">
      <formula>NOT(ISERROR(SEARCH("Pesquisa de Preços",D8599)))</formula>
    </cfRule>
  </conditionalFormatting>
  <conditionalFormatting sqref="D8604">
    <cfRule type="containsText" dxfId="1142" priority="3658" operator="containsText" text="Pesquisa de Preços">
      <formula>NOT(ISERROR(SEARCH("Pesquisa de Preços",D8604)))</formula>
    </cfRule>
  </conditionalFormatting>
  <conditionalFormatting sqref="D8639">
    <cfRule type="containsText" dxfId="1141" priority="3583" operator="containsText" text="Pesquisa de Preços">
      <formula>NOT(ISERROR(SEARCH("Pesquisa de Preços",D8639)))</formula>
    </cfRule>
  </conditionalFormatting>
  <conditionalFormatting sqref="D8645">
    <cfRule type="containsText" dxfId="1140" priority="811" operator="containsText" text="Pesquisa de Preços">
      <formula>NOT(ISERROR(SEARCH("Pesquisa de Preços",D8645)))</formula>
    </cfRule>
  </conditionalFormatting>
  <conditionalFormatting sqref="D8647:D8649">
    <cfRule type="containsText" dxfId="1139" priority="809" operator="containsText" text="Pesquisa de Preços">
      <formula>NOT(ISERROR(SEARCH("Pesquisa de Preços",D8647)))</formula>
    </cfRule>
  </conditionalFormatting>
  <conditionalFormatting sqref="D8655">
    <cfRule type="containsText" dxfId="1138" priority="3422" operator="containsText" text="Pesquisa de Preços">
      <formula>NOT(ISERROR(SEARCH("Pesquisa de Preços",D8655)))</formula>
    </cfRule>
  </conditionalFormatting>
  <conditionalFormatting sqref="D8657:D8660">
    <cfRule type="containsText" dxfId="1137" priority="3415" operator="containsText" text="Pesquisa de Preços">
      <formula>NOT(ISERROR(SEARCH("Pesquisa de Preços",D8657)))</formula>
    </cfRule>
  </conditionalFormatting>
  <conditionalFormatting sqref="D8662">
    <cfRule type="containsText" dxfId="1136" priority="3549" operator="containsText" text="Pesquisa de Preços">
      <formula>NOT(ISERROR(SEARCH("Pesquisa de Preços",D8662)))</formula>
    </cfRule>
  </conditionalFormatting>
  <conditionalFormatting sqref="D8664:D8666">
    <cfRule type="containsText" dxfId="1135" priority="3528" operator="containsText" text="Pesquisa de Preços">
      <formula>NOT(ISERROR(SEARCH("Pesquisa de Preços",D8664)))</formula>
    </cfRule>
  </conditionalFormatting>
  <conditionalFormatting sqref="D8668:D8670">
    <cfRule type="containsText" dxfId="1134" priority="3526" operator="containsText" text="Pesquisa de Preços">
      <formula>NOT(ISERROR(SEARCH("Pesquisa de Preços",D8668)))</formula>
    </cfRule>
  </conditionalFormatting>
  <conditionalFormatting sqref="D8678:D8681">
    <cfRule type="containsText" dxfId="1133" priority="3518" operator="containsText" text="Pesquisa de Preços">
      <formula>NOT(ISERROR(SEARCH("Pesquisa de Preços",D8678)))</formula>
    </cfRule>
  </conditionalFormatting>
  <conditionalFormatting sqref="D8683:D8685">
    <cfRule type="containsText" dxfId="1132" priority="3525" operator="containsText" text="Pesquisa de Preços">
      <formula>NOT(ISERROR(SEARCH("Pesquisa de Preços",D8683)))</formula>
    </cfRule>
  </conditionalFormatting>
  <conditionalFormatting sqref="D8687:D8690">
    <cfRule type="containsText" dxfId="1131" priority="3439" operator="containsText" text="Pesquisa de Preços">
      <formula>NOT(ISERROR(SEARCH("Pesquisa de Preços",D8687)))</formula>
    </cfRule>
  </conditionalFormatting>
  <conditionalFormatting sqref="D8692:D8703">
    <cfRule type="containsText" dxfId="1130" priority="3433" operator="containsText" text="Pesquisa de Preços">
      <formula>NOT(ISERROR(SEARCH("Pesquisa de Preços",D8692)))</formula>
    </cfRule>
  </conditionalFormatting>
  <conditionalFormatting sqref="D8705:D8725">
    <cfRule type="containsText" dxfId="1129" priority="3353" operator="containsText" text="Pesquisa de Preços">
      <formula>NOT(ISERROR(SEARCH("Pesquisa de Preços",D8705)))</formula>
    </cfRule>
  </conditionalFormatting>
  <conditionalFormatting sqref="D8727:D8731">
    <cfRule type="containsText" dxfId="1128" priority="3368" operator="containsText" text="Pesquisa de Preços">
      <formula>NOT(ISERROR(SEARCH("Pesquisa de Preços",D8727)))</formula>
    </cfRule>
  </conditionalFormatting>
  <conditionalFormatting sqref="D8733:D8748">
    <cfRule type="containsText" dxfId="1127" priority="3363" operator="containsText" text="Pesquisa de Preços">
      <formula>NOT(ISERROR(SEARCH("Pesquisa de Preços",D8733)))</formula>
    </cfRule>
  </conditionalFormatting>
  <conditionalFormatting sqref="D8750:D8754">
    <cfRule type="containsText" dxfId="1126" priority="3357" operator="containsText" text="Pesquisa de Preços">
      <formula>NOT(ISERROR(SEARCH("Pesquisa de Preços",D8750)))</formula>
    </cfRule>
  </conditionalFormatting>
  <conditionalFormatting sqref="D8756:D8758">
    <cfRule type="containsText" dxfId="1125" priority="3376" operator="containsText" text="Pesquisa de Preços">
      <formula>NOT(ISERROR(SEARCH("Pesquisa de Preços",D8756)))</formula>
    </cfRule>
  </conditionalFormatting>
  <conditionalFormatting sqref="D8760:D8764">
    <cfRule type="containsText" dxfId="1124" priority="3351" operator="containsText" text="Pesquisa de Preços">
      <formula>NOT(ISERROR(SEARCH("Pesquisa de Preços",D8760)))</formula>
    </cfRule>
  </conditionalFormatting>
  <conditionalFormatting sqref="D8768:D8773">
    <cfRule type="containsText" dxfId="1123" priority="3344" operator="containsText" text="Pesquisa de Preços">
      <formula>NOT(ISERROR(SEARCH("Pesquisa de Preços",D8768)))</formula>
    </cfRule>
  </conditionalFormatting>
  <conditionalFormatting sqref="D8777:D8782">
    <cfRule type="containsText" dxfId="1122" priority="3334" operator="containsText" text="Pesquisa de Preços">
      <formula>NOT(ISERROR(SEARCH("Pesquisa de Preços",D8777)))</formula>
    </cfRule>
  </conditionalFormatting>
  <conditionalFormatting sqref="D8785:D8787">
    <cfRule type="containsText" dxfId="1121" priority="3327" operator="containsText" text="Pesquisa de Preços">
      <formula>NOT(ISERROR(SEARCH("Pesquisa de Preços",D8785)))</formula>
    </cfRule>
  </conditionalFormatting>
  <conditionalFormatting sqref="D8790:D8792">
    <cfRule type="containsText" dxfId="1120" priority="3320" operator="containsText" text="Pesquisa de Preços">
      <formula>NOT(ISERROR(SEARCH("Pesquisa de Preços",D8790)))</formula>
    </cfRule>
  </conditionalFormatting>
  <conditionalFormatting sqref="D8795:D8851">
    <cfRule type="containsText" dxfId="1119" priority="3208" operator="containsText" text="Pesquisa de Preços">
      <formula>NOT(ISERROR(SEARCH("Pesquisa de Preços",D8795)))</formula>
    </cfRule>
  </conditionalFormatting>
  <conditionalFormatting sqref="D8853:D8854">
    <cfRule type="containsText" dxfId="1118" priority="3207" operator="containsText" text="Pesquisa de Preços">
      <formula>NOT(ISERROR(SEARCH("Pesquisa de Preços",D8853)))</formula>
    </cfRule>
  </conditionalFormatting>
  <conditionalFormatting sqref="D8856:D8862">
    <cfRule type="containsText" dxfId="1117" priority="3199" operator="containsText" text="Pesquisa de Preços">
      <formula>NOT(ISERROR(SEARCH("Pesquisa de Preços",D8856)))</formula>
    </cfRule>
  </conditionalFormatting>
  <conditionalFormatting sqref="D8864:D8876">
    <cfRule type="containsText" dxfId="1116" priority="3189" operator="containsText" text="Pesquisa de Preços">
      <formula>NOT(ISERROR(SEARCH("Pesquisa de Preços",D8864)))</formula>
    </cfRule>
  </conditionalFormatting>
  <conditionalFormatting sqref="D8878:D8904">
    <cfRule type="containsText" dxfId="1115" priority="3100" operator="containsText" text="Pesquisa de Preços">
      <formula>NOT(ISERROR(SEARCH("Pesquisa de Preços",D8878)))</formula>
    </cfRule>
  </conditionalFormatting>
  <conditionalFormatting sqref="D8906:D8910">
    <cfRule type="containsText" dxfId="1114" priority="3099" operator="containsText" text="Pesquisa de Preços">
      <formula>NOT(ISERROR(SEARCH("Pesquisa de Preços",D8906)))</formula>
    </cfRule>
  </conditionalFormatting>
  <conditionalFormatting sqref="D8912:D8918">
    <cfRule type="containsText" dxfId="1113" priority="2452" operator="containsText" text="Pesquisa de Preços">
      <formula>NOT(ISERROR(SEARCH("Pesquisa de Preços",D8912)))</formula>
    </cfRule>
  </conditionalFormatting>
  <conditionalFormatting sqref="D8920:D8922">
    <cfRule type="containsText" dxfId="1112" priority="2445" operator="containsText" text="Pesquisa de Preços">
      <formula>NOT(ISERROR(SEARCH("Pesquisa de Preços",D8920)))</formula>
    </cfRule>
  </conditionalFormatting>
  <conditionalFormatting sqref="D8924:D8926">
    <cfRule type="containsText" dxfId="1111" priority="2438" operator="containsText" text="Pesquisa de Preços">
      <formula>NOT(ISERROR(SEARCH("Pesquisa de Preços",D8924)))</formula>
    </cfRule>
  </conditionalFormatting>
  <conditionalFormatting sqref="D8928:D8930">
    <cfRule type="containsText" dxfId="1110" priority="2431" operator="containsText" text="Pesquisa de Preços">
      <formula>NOT(ISERROR(SEARCH("Pesquisa de Preços",D8928)))</formula>
    </cfRule>
  </conditionalFormatting>
  <conditionalFormatting sqref="D8932:D8934">
    <cfRule type="containsText" dxfId="1109" priority="2424" operator="containsText" text="Pesquisa de Preços">
      <formula>NOT(ISERROR(SEARCH("Pesquisa de Preços",D8932)))</formula>
    </cfRule>
  </conditionalFormatting>
  <conditionalFormatting sqref="D8936:D8938">
    <cfRule type="containsText" dxfId="1108" priority="2417" operator="containsText" text="Pesquisa de Preços">
      <formula>NOT(ISERROR(SEARCH("Pesquisa de Preços",D8936)))</formula>
    </cfRule>
  </conditionalFormatting>
  <conditionalFormatting sqref="D8940:D8942">
    <cfRule type="containsText" dxfId="1107" priority="2410" operator="containsText" text="Pesquisa de Preços">
      <formula>NOT(ISERROR(SEARCH("Pesquisa de Preços",D8940)))</formula>
    </cfRule>
  </conditionalFormatting>
  <conditionalFormatting sqref="D8944:D8946">
    <cfRule type="containsText" dxfId="1106" priority="2403" operator="containsText" text="Pesquisa de Preços">
      <formula>NOT(ISERROR(SEARCH("Pesquisa de Preços",D8944)))</formula>
    </cfRule>
  </conditionalFormatting>
  <conditionalFormatting sqref="D8948:D8950">
    <cfRule type="containsText" dxfId="1105" priority="2396" operator="containsText" text="Pesquisa de Preços">
      <formula>NOT(ISERROR(SEARCH("Pesquisa de Preços",D8948)))</formula>
    </cfRule>
  </conditionalFormatting>
  <conditionalFormatting sqref="D8952:D8954">
    <cfRule type="containsText" dxfId="1104" priority="2389" operator="containsText" text="Pesquisa de Preços">
      <formula>NOT(ISERROR(SEARCH("Pesquisa de Preços",D8952)))</formula>
    </cfRule>
  </conditionalFormatting>
  <conditionalFormatting sqref="D8956:D8958">
    <cfRule type="containsText" dxfId="1103" priority="2384" operator="containsText" text="Pesquisa de Preços">
      <formula>NOT(ISERROR(SEARCH("Pesquisa de Preços",D8956)))</formula>
    </cfRule>
  </conditionalFormatting>
  <conditionalFormatting sqref="D8960:D8962">
    <cfRule type="containsText" dxfId="1102" priority="2379" operator="containsText" text="Pesquisa de Preços">
      <formula>NOT(ISERROR(SEARCH("Pesquisa de Preços",D8960)))</formula>
    </cfRule>
  </conditionalFormatting>
  <conditionalFormatting sqref="D8964:D8966">
    <cfRule type="containsText" dxfId="1101" priority="2374" operator="containsText" text="Pesquisa de Preços">
      <formula>NOT(ISERROR(SEARCH("Pesquisa de Preços",D8964)))</formula>
    </cfRule>
  </conditionalFormatting>
  <conditionalFormatting sqref="D8968:D8970">
    <cfRule type="containsText" dxfId="1100" priority="2369" operator="containsText" text="Pesquisa de Preços">
      <formula>NOT(ISERROR(SEARCH("Pesquisa de Preços",D8968)))</formula>
    </cfRule>
  </conditionalFormatting>
  <conditionalFormatting sqref="D8972:D8974">
    <cfRule type="containsText" dxfId="1099" priority="2370" operator="containsText" text="Pesquisa de Preços">
      <formula>NOT(ISERROR(SEARCH("Pesquisa de Preços",D8972)))</formula>
    </cfRule>
  </conditionalFormatting>
  <conditionalFormatting sqref="D8976">
    <cfRule type="containsText" dxfId="1098" priority="3055" operator="containsText" text="Pesquisa de Preços">
      <formula>NOT(ISERROR(SEARCH("Pesquisa de Preços",D8976)))</formula>
    </cfRule>
  </conditionalFormatting>
  <conditionalFormatting sqref="D8979:D8985">
    <cfRule type="containsText" dxfId="1097" priority="2052" operator="containsText" text="Pesquisa de Preços">
      <formula>NOT(ISERROR(SEARCH("Pesquisa de Preços",D8979)))</formula>
    </cfRule>
  </conditionalFormatting>
  <conditionalFormatting sqref="D8987:D8989 D8991:D8993 D8995:D8997 D8999:D9001 D9014:D9016 D9018:D9020 D9022:D9024 D9026:D9028 D9030:D9032 D9034:D9036 D9038:D9040 D9046:D9048 D9050:D9052 D9054:D9056 D9058:D9060 D9062:D9064 D9066:D9068 D9070:D9072 D9074:D9076 D9078:D9080 D9082:D9084 D9090:D9092 D9094:D9096 D9098:D9100 D9102:D9104 D9106:D9108 D9110:D9112 D9114:D9116 D9118:D9120 D9122:D9124 D9126:D9128 D9134:D9136 D9138:D9140 D9142:D9144 D9146:D9148 D9150:D9152 D9154:D9156 D9158:D9160 D9162:D9164 D9166:D9168 D9170:D9172 D9174:D9176 D9178:D9180 D9182:D9184 D9190:D9192 D9194:D9196 D9198:D9200 D9202:D9204 D9206:D9208 D9210:D9212 D9214:D9216 D9218:D9220 D9222:D9224 D9226:D9228 D9234:D9236 D9238:D9240 D9242:D9244 D9246:D9248 D9250:D9252 D9254:D9256 D9258:D9260 D9266:D9268 D9270:D9272 D9274:D9276 D9278:D9280 D9282:D9284 D9286:D9288 D9290:D9292 D9318:D9320 D9322:D9324 D9326:D9328 D9334:D9336 D9338:D9340 D9342:D9344 D9346:D9348 D9402:D9404 D9406:D9408 D9410:D9412">
    <cfRule type="containsText" dxfId="1096" priority="2919" operator="containsText" text="Pesquisa de Preços">
      <formula>NOT(ISERROR(SEARCH("Pesquisa de Preços",D8987)))</formula>
    </cfRule>
  </conditionalFormatting>
  <conditionalFormatting sqref="D9003:D9012">
    <cfRule type="containsText" dxfId="1095" priority="2040" operator="containsText" text="Pesquisa de Preços">
      <formula>NOT(ISERROR(SEARCH("Pesquisa de Preços",D9003)))</formula>
    </cfRule>
  </conditionalFormatting>
  <conditionalFormatting sqref="D9042:D9044 D9086:D9088 D9130:D9132 D9186:D9188 D9230:D9232 D9262:D9264 D9294:D9296 D9298:D9300 D9302:D9304 D9306:D9308 D9310:D9312 D9314:D9316">
    <cfRule type="containsText" dxfId="1094" priority="3042" operator="containsText" text="Pesquisa de Preços">
      <formula>NOT(ISERROR(SEARCH("Pesquisa de Preços",D9042)))</formula>
    </cfRule>
  </conditionalFormatting>
  <conditionalFormatting sqref="D9330:D9332">
    <cfRule type="containsText" dxfId="1093" priority="3030" operator="containsText" text="Pesquisa de Preços">
      <formula>NOT(ISERROR(SEARCH("Pesquisa de Preços",D9330)))</formula>
    </cfRule>
  </conditionalFormatting>
  <conditionalFormatting sqref="D9350:D9352">
    <cfRule type="containsText" dxfId="1092" priority="2999" operator="containsText" text="Pesquisa de Preços">
      <formula>NOT(ISERROR(SEARCH("Pesquisa de Preços",D9350)))</formula>
    </cfRule>
  </conditionalFormatting>
  <conditionalFormatting sqref="D9354:D9356">
    <cfRule type="containsText" dxfId="1091" priority="2992" operator="containsText" text="Pesquisa de Preços">
      <formula>NOT(ISERROR(SEARCH("Pesquisa de Preços",D9354)))</formula>
    </cfRule>
  </conditionalFormatting>
  <conditionalFormatting sqref="D9358:D9360">
    <cfRule type="containsText" dxfId="1090" priority="2985" operator="containsText" text="Pesquisa de Preços">
      <formula>NOT(ISERROR(SEARCH("Pesquisa de Preços",D9358)))</formula>
    </cfRule>
  </conditionalFormatting>
  <conditionalFormatting sqref="D9362:D9364">
    <cfRule type="containsText" dxfId="1089" priority="2230" operator="containsText" text="Pesquisa de Preços">
      <formula>NOT(ISERROR(SEARCH("Pesquisa de Preços",D9362)))</formula>
    </cfRule>
  </conditionalFormatting>
  <conditionalFormatting sqref="D9366:D9368">
    <cfRule type="containsText" dxfId="1088" priority="2223" operator="containsText" text="Pesquisa de Preços">
      <formula>NOT(ISERROR(SEARCH("Pesquisa de Preços",D9366)))</formula>
    </cfRule>
  </conditionalFormatting>
  <conditionalFormatting sqref="D9370:D9372">
    <cfRule type="containsText" dxfId="1087" priority="2221" operator="containsText" text="Pesquisa de Preços">
      <formula>NOT(ISERROR(SEARCH("Pesquisa de Preços",D9370)))</formula>
    </cfRule>
  </conditionalFormatting>
  <conditionalFormatting sqref="D9374:D9376">
    <cfRule type="containsText" dxfId="1086" priority="2971" operator="containsText" text="Pesquisa de Preços">
      <formula>NOT(ISERROR(SEARCH("Pesquisa de Preços",D9374)))</formula>
    </cfRule>
  </conditionalFormatting>
  <conditionalFormatting sqref="D9378:D9380">
    <cfRule type="containsText" dxfId="1085" priority="2248" operator="containsText" text="Pesquisa de Preços">
      <formula>NOT(ISERROR(SEARCH("Pesquisa de Preços",D9378)))</formula>
    </cfRule>
  </conditionalFormatting>
  <conditionalFormatting sqref="D9382:D9384">
    <cfRule type="containsText" dxfId="1084" priority="2239" operator="containsText" text="Pesquisa de Preços">
      <formula>NOT(ISERROR(SEARCH("Pesquisa de Preços",D9382)))</formula>
    </cfRule>
  </conditionalFormatting>
  <conditionalFormatting sqref="D9386:D9388">
    <cfRule type="containsText" dxfId="1083" priority="2237" operator="containsText" text="Pesquisa de Preços">
      <formula>NOT(ISERROR(SEARCH("Pesquisa de Preços",D9386)))</formula>
    </cfRule>
  </conditionalFormatting>
  <conditionalFormatting sqref="D9390:D9392">
    <cfRule type="containsText" dxfId="1082" priority="2253" operator="containsText" text="Pesquisa de Preços">
      <formula>NOT(ISERROR(SEARCH("Pesquisa de Preços",D9390)))</formula>
    </cfRule>
  </conditionalFormatting>
  <conditionalFormatting sqref="D9394:D9396">
    <cfRule type="containsText" dxfId="1081" priority="2254" operator="containsText" text="Pesquisa de Preços">
      <formula>NOT(ISERROR(SEARCH("Pesquisa de Preços",D9394)))</formula>
    </cfRule>
  </conditionalFormatting>
  <conditionalFormatting sqref="D9398:D9400">
    <cfRule type="containsText" dxfId="1080" priority="2268" operator="containsText" text="Pesquisa de Preços">
      <formula>NOT(ISERROR(SEARCH("Pesquisa de Preços",D9398)))</formula>
    </cfRule>
  </conditionalFormatting>
  <conditionalFormatting sqref="D9414:D9416">
    <cfRule type="containsText" dxfId="1079" priority="2938" operator="containsText" text="Pesquisa de Preços">
      <formula>NOT(ISERROR(SEARCH("Pesquisa de Preços",D9414)))</formula>
    </cfRule>
  </conditionalFormatting>
  <conditionalFormatting sqref="D9418:D9420">
    <cfRule type="containsText" dxfId="1078" priority="2936" operator="containsText" text="Pesquisa de Preços">
      <formula>NOT(ISERROR(SEARCH("Pesquisa de Preços",D9418)))</formula>
    </cfRule>
  </conditionalFormatting>
  <conditionalFormatting sqref="D9422:D9429">
    <cfRule type="containsText" dxfId="1077" priority="3078" operator="containsText" text="Pesquisa de Preços">
      <formula>NOT(ISERROR(SEARCH("Pesquisa de Preços",D9422)))</formula>
    </cfRule>
  </conditionalFormatting>
  <conditionalFormatting sqref="D9431">
    <cfRule type="containsText" dxfId="1076" priority="3084" operator="containsText" text="Pesquisa de Preços">
      <formula>NOT(ISERROR(SEARCH("Pesquisa de Preços",D9431)))</formula>
    </cfRule>
  </conditionalFormatting>
  <conditionalFormatting sqref="D9433:D9440">
    <cfRule type="containsText" dxfId="1075" priority="3079" operator="containsText" text="Pesquisa de Preços">
      <formula>NOT(ISERROR(SEARCH("Pesquisa de Preços",D9433)))</formula>
    </cfRule>
  </conditionalFormatting>
  <conditionalFormatting sqref="D9442">
    <cfRule type="containsText" dxfId="1074" priority="3082" operator="containsText" text="Pesquisa de Preços">
      <formula>NOT(ISERROR(SEARCH("Pesquisa de Preços",D9442)))</formula>
    </cfRule>
  </conditionalFormatting>
  <conditionalFormatting sqref="D9444:D9451">
    <cfRule type="containsText" dxfId="1073" priority="3080" operator="containsText" text="Pesquisa de Preços">
      <formula>NOT(ISERROR(SEARCH("Pesquisa de Preços",D9444)))</formula>
    </cfRule>
  </conditionalFormatting>
  <conditionalFormatting sqref="D9453">
    <cfRule type="containsText" dxfId="1072" priority="1367" operator="containsText" text="Pesquisa de Preços">
      <formula>NOT(ISERROR(SEARCH("Pesquisa de Preços",D9453)))</formula>
    </cfRule>
  </conditionalFormatting>
  <conditionalFormatting sqref="D9455:D9464">
    <cfRule type="containsText" dxfId="1071" priority="1355" operator="containsText" text="Pesquisa de Preços">
      <formula>NOT(ISERROR(SEARCH("Pesquisa de Preços",D9455)))</formula>
    </cfRule>
  </conditionalFormatting>
  <conditionalFormatting sqref="D9466">
    <cfRule type="containsText" dxfId="1070" priority="1354" operator="containsText" text="Pesquisa de Preços">
      <formula>NOT(ISERROR(SEARCH("Pesquisa de Preços",D9466)))</formula>
    </cfRule>
  </conditionalFormatting>
  <conditionalFormatting sqref="D9468:D9477">
    <cfRule type="containsText" dxfId="1069" priority="1342" operator="containsText" text="Pesquisa de Preços">
      <formula>NOT(ISERROR(SEARCH("Pesquisa de Preços",D9468)))</formula>
    </cfRule>
  </conditionalFormatting>
  <conditionalFormatting sqref="D9479">
    <cfRule type="containsText" dxfId="1068" priority="2913" operator="containsText" text="Pesquisa de Preços">
      <formula>NOT(ISERROR(SEARCH("Pesquisa de Preços",D9479)))</formula>
    </cfRule>
  </conditionalFormatting>
  <conditionalFormatting sqref="D9481:D9523">
    <cfRule type="containsText" dxfId="1067" priority="2011" operator="containsText" text="Pesquisa de Preços">
      <formula>NOT(ISERROR(SEARCH("Pesquisa de Preços",D9481)))</formula>
    </cfRule>
  </conditionalFormatting>
  <conditionalFormatting sqref="D9526:D9531">
    <cfRule type="containsText" dxfId="1066" priority="2849" operator="containsText" text="Pesquisa de Preços">
      <formula>NOT(ISERROR(SEARCH("Pesquisa de Preços",D9526)))</formula>
    </cfRule>
  </conditionalFormatting>
  <conditionalFormatting sqref="D9534:D9543">
    <cfRule type="containsText" dxfId="1065" priority="2833" operator="containsText" text="Pesquisa de Preços">
      <formula>NOT(ISERROR(SEARCH("Pesquisa de Preços",D9534)))</formula>
    </cfRule>
  </conditionalFormatting>
  <conditionalFormatting sqref="D9561:D9594">
    <cfRule type="containsText" dxfId="1064" priority="1067" operator="containsText" text="Pesquisa de Preços">
      <formula>NOT(ISERROR(SEARCH("Pesquisa de Preços",D9561)))</formula>
    </cfRule>
  </conditionalFormatting>
  <conditionalFormatting sqref="D9596:D9618">
    <cfRule type="containsText" dxfId="1063" priority="1076" operator="containsText" text="Pesquisa de Preços">
      <formula>NOT(ISERROR(SEARCH("Pesquisa de Preços",D9596)))</formula>
    </cfRule>
  </conditionalFormatting>
  <conditionalFormatting sqref="D9620:D9622">
    <cfRule type="containsText" dxfId="1062" priority="2696" operator="containsText" text="Pesquisa de Preços">
      <formula>NOT(ISERROR(SEARCH("Pesquisa de Preços",D9620)))</formula>
    </cfRule>
  </conditionalFormatting>
  <conditionalFormatting sqref="D9624:D9640">
    <cfRule type="containsText" dxfId="1061" priority="2497" operator="containsText" text="Pesquisa de Preços">
      <formula>NOT(ISERROR(SEARCH("Pesquisa de Preços",D9624)))</formula>
    </cfRule>
  </conditionalFormatting>
  <conditionalFormatting sqref="D9642:D9655">
    <cfRule type="containsText" dxfId="1060" priority="426" operator="containsText" text="Pesquisa de Preços">
      <formula>NOT(ISERROR(SEARCH("Pesquisa de Preços",D9642)))</formula>
    </cfRule>
  </conditionalFormatting>
  <conditionalFormatting sqref="D9681:D9718">
    <cfRule type="containsText" dxfId="1059" priority="2215" operator="containsText" text="Pesquisa de Preços">
      <formula>NOT(ISERROR(SEARCH("Pesquisa de Preços",D9681)))</formula>
    </cfRule>
  </conditionalFormatting>
  <conditionalFormatting sqref="D9720:D9745">
    <cfRule type="containsText" dxfId="1058" priority="2318" operator="containsText" text="Pesquisa de Preços">
      <formula>NOT(ISERROR(SEARCH("Pesquisa de Preços",D9720)))</formula>
    </cfRule>
  </conditionalFormatting>
  <conditionalFormatting sqref="D9772:D9817">
    <cfRule type="containsText" dxfId="1057" priority="2470" operator="containsText" text="Pesquisa de Preços">
      <formula>NOT(ISERROR(SEARCH("Pesquisa de Preços",D9772)))</formula>
    </cfRule>
  </conditionalFormatting>
  <conditionalFormatting sqref="D9819:D9821">
    <cfRule type="containsText" dxfId="1056" priority="2466" operator="containsText" text="Pesquisa de Preços">
      <formula>NOT(ISERROR(SEARCH("Pesquisa de Preços",D9819)))</formula>
    </cfRule>
  </conditionalFormatting>
  <conditionalFormatting sqref="D9823:D9824">
    <cfRule type="containsText" dxfId="1055" priority="2086" operator="containsText" text="Pesquisa de Preços">
      <formula>NOT(ISERROR(SEARCH("Pesquisa de Preços",D9823)))</formula>
    </cfRule>
  </conditionalFormatting>
  <conditionalFormatting sqref="D9826">
    <cfRule type="containsText" dxfId="1054" priority="2083" operator="containsText" text="Pesquisa de Preços">
      <formula>NOT(ISERROR(SEARCH("Pesquisa de Preços",D9826)))</formula>
    </cfRule>
  </conditionalFormatting>
  <conditionalFormatting sqref="D9828 D9832">
    <cfRule type="containsText" dxfId="1053" priority="2082" operator="containsText" text="Pesquisa de Preços">
      <formula>NOT(ISERROR(SEARCH("Pesquisa de Preços",D9828)))</formula>
    </cfRule>
  </conditionalFormatting>
  <conditionalFormatting sqref="D9830">
    <cfRule type="containsText" dxfId="1052" priority="2079" operator="containsText" text="Pesquisa de Preços">
      <formula>NOT(ISERROR(SEARCH("Pesquisa de Preços",D9830)))</formula>
    </cfRule>
  </conditionalFormatting>
  <conditionalFormatting sqref="D9834">
    <cfRule type="containsText" dxfId="1051" priority="2078" operator="containsText" text="Pesquisa de Preços">
      <formula>NOT(ISERROR(SEARCH("Pesquisa de Preços",D9834)))</formula>
    </cfRule>
  </conditionalFormatting>
  <conditionalFormatting sqref="D9836 D9840 D9844 D9848 D9852 D9856 D9860 D9864 D9868 D9872 D9880 D9884 D9888 D9892 D9896 D9900 D9904 D9908 D9912 D9916 D9920 D9924 D9928 D9932 D9936 D9940 D9944 D9948 D9952 D9956 D9960 D9964 D9968 D9972 D9976 D9980 D9984 D9988 D10000 D10004 D10032 D10040 D10044 D10056 D10060 D10064 D10104 D10108 D10112 D10116 D10120 D10124 D10128 D10132 D10136 D10140 D10144 D10148 D10152 D10168 D10172 D10176 D10180 D10184 D10188 D10192 D10196 D10204 D10208 D10212 D10216 D10220 D10224 D10228 D10232 D10236 D10240 D10244 D10259 D10263 D10267 D10271 D10275 D10279 D10283 D10287 D10291 D10295 D10299 D10303 D10307 D10311 D10315 D10319 D10323 D10327 D10331 D10335 D10339 D10343 D10347 D10351 D10355 D10359 D10363 D10367 D10371 D10375 D10379 D10383 D10387 D10391 D10395 D10399 D10403 D10407 D10411 D10415 D10423 D10427 D10431 D10435 D10450 D10454 D10458 D10462 D10466 D10470 D10474 D10478 D10482 D10486 D10490 D10494 D10498 D10502 D10506 D10510 D10514 D10518 D10522 D10526 D10530 D10534 D10538 D10542 D10546 D10550 D10554 D10558 D10562 D10566 D10570 D10574 D10578 D10582 D10586 D10590 D10594 D10598 D10602 D10606 D10626 D10630 D10634 D10654 D10658 D10662 D10666 D10670 D10674 D10678 D10682 D10686 D10784:D10787 D10791 D10795">
    <cfRule type="containsText" dxfId="1050" priority="2077" operator="containsText" text="Pesquisa de Preços">
      <formula>NOT(ISERROR(SEARCH("Pesquisa de Preços",D9836)))</formula>
    </cfRule>
  </conditionalFormatting>
  <conditionalFormatting sqref="D9838 D9842 D9846 D9850 D9854 D9858 D9862 D9866 D9870 D9874 D9882 D9886 D9890 D9894 D9898 D9902 D9906 D9910 D9914 D9918 D9922 D9926 D9930 D9934 D9938 D9942 D9946 D9950 D9954 D9958 D9962 D9966 D9970 D9974 D9978 D9982 D9986 D9990 D10002 D10006 D10034 D10042 D10046 D10058 D10062 D10066 D10106 D10110 D10114 D10118 D10122 D10126 D10130 D10134 D10138 D10142 D10146 D10150 D10154 D10170 D10174 D10178 D10182 D10186 D10190 D10194 D10198 D10206 D10210 D10214 D10218 D10222 D10226 D10230 D10234 D10238 D10242 D10246 D10257 D10261 D10265 D10269 D10273 D10277 D10281 D10285 D10289 D10293 D10297 D10301 D10305 D10309 D10313 D10317 D10321 D10325 D10329 D10333 D10337 D10341 D10345 D10349 D10353 D10357 D10361 D10365 D10369 D10373 D10377 D10381 D10385 D10389 D10393 D10397 D10401 D10405 D10409 D10413 D10417 D10425 D10429 D10433 D10437 D10452 D10456 D10460 D10464 D10468 D10472 D10476 D10480 D10484 D10488 D10492 D10496 D10500 D10504 D10508 D10512 D10516 D10520 D10524 D10528 D10532 D10536 D10540 D10544 D10548 D10552 D10556 D10560 D10564 D10568 D10572 D10576 D10580 D10584 D10588 D10592 D10596 D10600 D10604 D10608 D10628 D10632 D10636 D10656 D10660 D10664 D10668 D10672 D10676 D10680 D10684 D10688 D10789 D10793 D10797">
    <cfRule type="containsText" dxfId="1049" priority="2074" operator="containsText" text="Pesquisa de Preços">
      <formula>NOT(ISERROR(SEARCH("Pesquisa de Preços",D9838)))</formula>
    </cfRule>
  </conditionalFormatting>
  <conditionalFormatting sqref="D9876">
    <cfRule type="containsText" dxfId="1048" priority="808" operator="containsText" text="Pesquisa de Preços">
      <formula>NOT(ISERROR(SEARCH("Pesquisa de Preços",D9876)))</formula>
    </cfRule>
  </conditionalFormatting>
  <conditionalFormatting sqref="D9878">
    <cfRule type="containsText" dxfId="1047" priority="807" operator="containsText" text="Pesquisa de Preços">
      <formula>NOT(ISERROR(SEARCH("Pesquisa de Preços",D9878)))</formula>
    </cfRule>
  </conditionalFormatting>
  <conditionalFormatting sqref="D9992">
    <cfRule type="containsText" dxfId="1046" priority="806" operator="containsText" text="Pesquisa de Preços">
      <formula>NOT(ISERROR(SEARCH("Pesquisa de Preços",D9992)))</formula>
    </cfRule>
  </conditionalFormatting>
  <conditionalFormatting sqref="D9994">
    <cfRule type="containsText" dxfId="1045" priority="805" operator="containsText" text="Pesquisa de Preços">
      <formula>NOT(ISERROR(SEARCH("Pesquisa de Preços",D9994)))</formula>
    </cfRule>
  </conditionalFormatting>
  <conditionalFormatting sqref="D9996">
    <cfRule type="containsText" dxfId="1044" priority="804" operator="containsText" text="Pesquisa de Preços">
      <formula>NOT(ISERROR(SEARCH("Pesquisa de Preços",D9996)))</formula>
    </cfRule>
  </conditionalFormatting>
  <conditionalFormatting sqref="D9998">
    <cfRule type="containsText" dxfId="1043" priority="803" operator="containsText" text="Pesquisa de Preços">
      <formula>NOT(ISERROR(SEARCH("Pesquisa de Preços",D9998)))</formula>
    </cfRule>
  </conditionalFormatting>
  <conditionalFormatting sqref="D10008">
    <cfRule type="containsText" dxfId="1042" priority="802" operator="containsText" text="Pesquisa de Preços">
      <formula>NOT(ISERROR(SEARCH("Pesquisa de Preços",D10008)))</formula>
    </cfRule>
  </conditionalFormatting>
  <conditionalFormatting sqref="D10010">
    <cfRule type="containsText" dxfId="1041" priority="801" operator="containsText" text="Pesquisa de Preços">
      <formula>NOT(ISERROR(SEARCH("Pesquisa de Preços",D10010)))</formula>
    </cfRule>
  </conditionalFormatting>
  <conditionalFormatting sqref="D10012 D10016 D10020 D10024 D10028">
    <cfRule type="containsText" dxfId="1040" priority="800" operator="containsText" text="Pesquisa de Preços">
      <formula>NOT(ISERROR(SEARCH("Pesquisa de Preços",D10012)))</formula>
    </cfRule>
  </conditionalFormatting>
  <conditionalFormatting sqref="D10014 D10018 D10022 D10026 D10030">
    <cfRule type="containsText" dxfId="1039" priority="799" operator="containsText" text="Pesquisa de Preços">
      <formula>NOT(ISERROR(SEARCH("Pesquisa de Preços",D10014)))</formula>
    </cfRule>
  </conditionalFormatting>
  <conditionalFormatting sqref="D10036">
    <cfRule type="containsText" dxfId="1038" priority="798" operator="containsText" text="Pesquisa de Preços">
      <formula>NOT(ISERROR(SEARCH("Pesquisa de Preços",D10036)))</formula>
    </cfRule>
  </conditionalFormatting>
  <conditionalFormatting sqref="D10038">
    <cfRule type="containsText" dxfId="1037" priority="797" operator="containsText" text="Pesquisa de Preços">
      <formula>NOT(ISERROR(SEARCH("Pesquisa de Preços",D10038)))</formula>
    </cfRule>
  </conditionalFormatting>
  <conditionalFormatting sqref="D10048">
    <cfRule type="containsText" dxfId="1036" priority="796" operator="containsText" text="Pesquisa de Preços">
      <formula>NOT(ISERROR(SEARCH("Pesquisa de Preços",D10048)))</formula>
    </cfRule>
  </conditionalFormatting>
  <conditionalFormatting sqref="D10050">
    <cfRule type="containsText" dxfId="1035" priority="795" operator="containsText" text="Pesquisa de Preços">
      <formula>NOT(ISERROR(SEARCH("Pesquisa de Preços",D10050)))</formula>
    </cfRule>
  </conditionalFormatting>
  <conditionalFormatting sqref="D10052">
    <cfRule type="containsText" dxfId="1034" priority="794" operator="containsText" text="Pesquisa de Preços">
      <formula>NOT(ISERROR(SEARCH("Pesquisa de Preços",D10052)))</formula>
    </cfRule>
  </conditionalFormatting>
  <conditionalFormatting sqref="D10054">
    <cfRule type="containsText" dxfId="1033" priority="793" operator="containsText" text="Pesquisa de Preços">
      <formula>NOT(ISERROR(SEARCH("Pesquisa de Preços",D10054)))</formula>
    </cfRule>
  </conditionalFormatting>
  <conditionalFormatting sqref="D10068">
    <cfRule type="containsText" dxfId="1032" priority="792" operator="containsText" text="Pesquisa de Preços">
      <formula>NOT(ISERROR(SEARCH("Pesquisa de Preços",D10068)))</formula>
    </cfRule>
  </conditionalFormatting>
  <conditionalFormatting sqref="D10070">
    <cfRule type="containsText" dxfId="1031" priority="791" operator="containsText" text="Pesquisa de Preços">
      <formula>NOT(ISERROR(SEARCH("Pesquisa de Preços",D10070)))</formula>
    </cfRule>
  </conditionalFormatting>
  <conditionalFormatting sqref="D10072">
    <cfRule type="containsText" dxfId="1030" priority="788" operator="containsText" text="Pesquisa de Preços">
      <formula>NOT(ISERROR(SEARCH("Pesquisa de Preços",D10072)))</formula>
    </cfRule>
  </conditionalFormatting>
  <conditionalFormatting sqref="D10074">
    <cfRule type="containsText" dxfId="1029" priority="787" operator="containsText" text="Pesquisa de Preços">
      <formula>NOT(ISERROR(SEARCH("Pesquisa de Preços",D10074)))</formula>
    </cfRule>
  </conditionalFormatting>
  <conditionalFormatting sqref="D10076">
    <cfRule type="containsText" dxfId="1028" priority="786" operator="containsText" text="Pesquisa de Preços">
      <formula>NOT(ISERROR(SEARCH("Pesquisa de Preços",D10076)))</formula>
    </cfRule>
  </conditionalFormatting>
  <conditionalFormatting sqref="D10078">
    <cfRule type="containsText" dxfId="1027" priority="785" operator="containsText" text="Pesquisa de Preços">
      <formula>NOT(ISERROR(SEARCH("Pesquisa de Preços",D10078)))</formula>
    </cfRule>
  </conditionalFormatting>
  <conditionalFormatting sqref="D10080">
    <cfRule type="containsText" dxfId="1026" priority="784" operator="containsText" text="Pesquisa de Preços">
      <formula>NOT(ISERROR(SEARCH("Pesquisa de Preços",D10080)))</formula>
    </cfRule>
  </conditionalFormatting>
  <conditionalFormatting sqref="D10082">
    <cfRule type="containsText" dxfId="1025" priority="783" operator="containsText" text="Pesquisa de Preços">
      <formula>NOT(ISERROR(SEARCH("Pesquisa de Preços",D10082)))</formula>
    </cfRule>
  </conditionalFormatting>
  <conditionalFormatting sqref="D10084">
    <cfRule type="containsText" dxfId="1024" priority="782" operator="containsText" text="Pesquisa de Preços">
      <formula>NOT(ISERROR(SEARCH("Pesquisa de Preços",D10084)))</formula>
    </cfRule>
  </conditionalFormatting>
  <conditionalFormatting sqref="D10086">
    <cfRule type="containsText" dxfId="1023" priority="781" operator="containsText" text="Pesquisa de Preços">
      <formula>NOT(ISERROR(SEARCH("Pesquisa de Preços",D10086)))</formula>
    </cfRule>
  </conditionalFormatting>
  <conditionalFormatting sqref="D10088">
    <cfRule type="containsText" dxfId="1022" priority="780" operator="containsText" text="Pesquisa de Preços">
      <formula>NOT(ISERROR(SEARCH("Pesquisa de Preços",D10088)))</formula>
    </cfRule>
  </conditionalFormatting>
  <conditionalFormatting sqref="D10090">
    <cfRule type="containsText" dxfId="1021" priority="779" operator="containsText" text="Pesquisa de Preços">
      <formula>NOT(ISERROR(SEARCH("Pesquisa de Preços",D10090)))</formula>
    </cfRule>
  </conditionalFormatting>
  <conditionalFormatting sqref="D10092">
    <cfRule type="containsText" dxfId="1020" priority="778" operator="containsText" text="Pesquisa de Preços">
      <formula>NOT(ISERROR(SEARCH("Pesquisa de Preços",D10092)))</formula>
    </cfRule>
  </conditionalFormatting>
  <conditionalFormatting sqref="D10094">
    <cfRule type="containsText" dxfId="1019" priority="777" operator="containsText" text="Pesquisa de Preços">
      <formula>NOT(ISERROR(SEARCH("Pesquisa de Preços",D10094)))</formula>
    </cfRule>
  </conditionalFormatting>
  <conditionalFormatting sqref="D10096 D10100">
    <cfRule type="containsText" dxfId="1018" priority="790" operator="containsText" text="Pesquisa de Preços">
      <formula>NOT(ISERROR(SEARCH("Pesquisa de Preços",D10096)))</formula>
    </cfRule>
  </conditionalFormatting>
  <conditionalFormatting sqref="D10098">
    <cfRule type="containsText" dxfId="1017" priority="776" operator="containsText" text="Pesquisa de Preços">
      <formula>NOT(ISERROR(SEARCH("Pesquisa de Preços",D10098)))</formula>
    </cfRule>
  </conditionalFormatting>
  <conditionalFormatting sqref="D10102">
    <cfRule type="containsText" dxfId="1016" priority="789" operator="containsText" text="Pesquisa de Preços">
      <formula>NOT(ISERROR(SEARCH("Pesquisa de Preços",D10102)))</formula>
    </cfRule>
  </conditionalFormatting>
  <conditionalFormatting sqref="D10156 D10160 D10164">
    <cfRule type="containsText" dxfId="1015" priority="775" operator="containsText" text="Pesquisa de Preços">
      <formula>NOT(ISERROR(SEARCH("Pesquisa de Preços",D10156)))</formula>
    </cfRule>
  </conditionalFormatting>
  <conditionalFormatting sqref="D10158 D10162 D10166">
    <cfRule type="containsText" dxfId="1014" priority="774" operator="containsText" text="Pesquisa de Preços">
      <formula>NOT(ISERROR(SEARCH("Pesquisa de Preços",D10158)))</formula>
    </cfRule>
  </conditionalFormatting>
  <conditionalFormatting sqref="D10200">
    <cfRule type="containsText" dxfId="1013" priority="773" operator="containsText" text="Pesquisa de Preços">
      <formula>NOT(ISERROR(SEARCH("Pesquisa de Preços",D10200)))</formula>
    </cfRule>
  </conditionalFormatting>
  <conditionalFormatting sqref="D10202">
    <cfRule type="containsText" dxfId="1012" priority="772" operator="containsText" text="Pesquisa de Preços">
      <formula>NOT(ISERROR(SEARCH("Pesquisa de Preços",D10202)))</formula>
    </cfRule>
  </conditionalFormatting>
  <conditionalFormatting sqref="D10248:D10255">
    <cfRule type="containsText" dxfId="1011" priority="2027" operator="containsText" text="Pesquisa de Preços">
      <formula>NOT(ISERROR(SEARCH("Pesquisa de Preços",D10248)))</formula>
    </cfRule>
  </conditionalFormatting>
  <conditionalFormatting sqref="D10419">
    <cfRule type="containsText" dxfId="1010" priority="771" operator="containsText" text="Pesquisa de Preços">
      <formula>NOT(ISERROR(SEARCH("Pesquisa de Preços",D10419)))</formula>
    </cfRule>
  </conditionalFormatting>
  <conditionalFormatting sqref="D10421">
    <cfRule type="containsText" dxfId="1009" priority="770" operator="containsText" text="Pesquisa de Preços">
      <formula>NOT(ISERROR(SEARCH("Pesquisa de Preços",D10421)))</formula>
    </cfRule>
  </conditionalFormatting>
  <conditionalFormatting sqref="D10439">
    <cfRule type="containsText" dxfId="1008" priority="1690" operator="containsText" text="Pesquisa de Preços">
      <formula>NOT(ISERROR(SEARCH("Pesquisa de Preços",D10439)))</formula>
    </cfRule>
  </conditionalFormatting>
  <conditionalFormatting sqref="D10441:D10448">
    <cfRule type="containsText" dxfId="1007" priority="1684" operator="containsText" text="Pesquisa de Preços">
      <formula>NOT(ISERROR(SEARCH("Pesquisa de Preços",D10441)))</formula>
    </cfRule>
  </conditionalFormatting>
  <conditionalFormatting sqref="D10610">
    <cfRule type="containsText" dxfId="1006" priority="769" operator="containsText" text="Pesquisa de Preços">
      <formula>NOT(ISERROR(SEARCH("Pesquisa de Preços",D10610)))</formula>
    </cfRule>
  </conditionalFormatting>
  <conditionalFormatting sqref="D10612">
    <cfRule type="containsText" dxfId="1005" priority="768" operator="containsText" text="Pesquisa de Preços">
      <formula>NOT(ISERROR(SEARCH("Pesquisa de Preços",D10612)))</formula>
    </cfRule>
  </conditionalFormatting>
  <conditionalFormatting sqref="D10614 D10618 D10622">
    <cfRule type="containsText" dxfId="1004" priority="767" operator="containsText" text="Pesquisa de Preços">
      <formula>NOT(ISERROR(SEARCH("Pesquisa de Preços",D10614)))</formula>
    </cfRule>
  </conditionalFormatting>
  <conditionalFormatting sqref="D10616 D10620 D10624">
    <cfRule type="containsText" dxfId="1003" priority="766" operator="containsText" text="Pesquisa de Preços">
      <formula>NOT(ISERROR(SEARCH("Pesquisa de Preços",D10616)))</formula>
    </cfRule>
  </conditionalFormatting>
  <conditionalFormatting sqref="D10638 D10642">
    <cfRule type="containsText" dxfId="1002" priority="765" operator="containsText" text="Pesquisa de Preços">
      <formula>NOT(ISERROR(SEARCH("Pesquisa de Preços",D10638)))</formula>
    </cfRule>
  </conditionalFormatting>
  <conditionalFormatting sqref="D10640 D10644">
    <cfRule type="containsText" dxfId="1001" priority="764" operator="containsText" text="Pesquisa de Preços">
      <formula>NOT(ISERROR(SEARCH("Pesquisa de Preços",D10640)))</formula>
    </cfRule>
  </conditionalFormatting>
  <conditionalFormatting sqref="D10646 D10650">
    <cfRule type="containsText" dxfId="1000" priority="763" operator="containsText" text="Pesquisa de Preços">
      <formula>NOT(ISERROR(SEARCH("Pesquisa de Preços",D10646)))</formula>
    </cfRule>
  </conditionalFormatting>
  <conditionalFormatting sqref="D10648 D10652">
    <cfRule type="containsText" dxfId="999" priority="762" operator="containsText" text="Pesquisa de Preços">
      <formula>NOT(ISERROR(SEARCH("Pesquisa de Preços",D10648)))</formula>
    </cfRule>
  </conditionalFormatting>
  <conditionalFormatting sqref="D10690">
    <cfRule type="containsText" dxfId="998" priority="2116" operator="containsText" text="Pesquisa de Preços">
      <formula>NOT(ISERROR(SEARCH("Pesquisa de Preços",D10690)))</formula>
    </cfRule>
  </conditionalFormatting>
  <conditionalFormatting sqref="D10692:D10693">
    <cfRule type="containsText" dxfId="997" priority="2110" operator="containsText" text="Pesquisa de Preços">
      <formula>NOT(ISERROR(SEARCH("Pesquisa de Preços",D10692)))</formula>
    </cfRule>
  </conditionalFormatting>
  <conditionalFormatting sqref="D10695">
    <cfRule type="containsText" dxfId="996" priority="2096" operator="containsText" text="Pesquisa de Preços">
      <formula>NOT(ISERROR(SEARCH("Pesquisa de Preços",D10695)))</formula>
    </cfRule>
  </conditionalFormatting>
  <conditionalFormatting sqref="D10697:D10701">
    <cfRule type="containsText" dxfId="995" priority="2088" operator="containsText" text="Pesquisa de Preços">
      <formula>NOT(ISERROR(SEARCH("Pesquisa de Preços",D10697)))</formula>
    </cfRule>
  </conditionalFormatting>
  <conditionalFormatting sqref="D10703:D10707">
    <cfRule type="containsText" dxfId="994" priority="2087" operator="containsText" text="Pesquisa de Preços">
      <formula>NOT(ISERROR(SEARCH("Pesquisa de Preços",D10703)))</formula>
    </cfRule>
  </conditionalFormatting>
  <conditionalFormatting sqref="D10710:D10711">
    <cfRule type="containsText" dxfId="993" priority="2183" operator="containsText" text="Pesquisa de Preços">
      <formula>NOT(ISERROR(SEARCH("Pesquisa de Preços",D10710)))</formula>
    </cfRule>
  </conditionalFormatting>
  <conditionalFormatting sqref="D10713">
    <cfRule type="containsText" dxfId="992" priority="2176" operator="containsText" text="Pesquisa de Preços">
      <formula>NOT(ISERROR(SEARCH("Pesquisa de Preços",D10713)))</formula>
    </cfRule>
  </conditionalFormatting>
  <conditionalFormatting sqref="D10715:D10718">
    <cfRule type="containsText" dxfId="991" priority="2168" operator="containsText" text="Pesquisa de Preços">
      <formula>NOT(ISERROR(SEARCH("Pesquisa de Preços",D10715)))</formula>
    </cfRule>
  </conditionalFormatting>
  <conditionalFormatting sqref="D10720">
    <cfRule type="containsText" dxfId="990" priority="2182" operator="containsText" text="Pesquisa de Preços">
      <formula>NOT(ISERROR(SEARCH("Pesquisa de Preços",D10720)))</formula>
    </cfRule>
  </conditionalFormatting>
  <conditionalFormatting sqref="D10723:D10724">
    <cfRule type="containsText" dxfId="989" priority="2177" operator="containsText" text="Pesquisa de Preços">
      <formula>NOT(ISERROR(SEARCH("Pesquisa de Preços",D10723)))</formula>
    </cfRule>
  </conditionalFormatting>
  <conditionalFormatting sqref="D10726">
    <cfRule type="containsText" dxfId="988" priority="2167" operator="containsText" text="Pesquisa de Preços">
      <formula>NOT(ISERROR(SEARCH("Pesquisa de Preços",D10726)))</formula>
    </cfRule>
  </conditionalFormatting>
  <conditionalFormatting sqref="D10728:D10731">
    <cfRule type="containsText" dxfId="987" priority="2159" operator="containsText" text="Pesquisa de Preços">
      <formula>NOT(ISERROR(SEARCH("Pesquisa de Preços",D10728)))</formula>
    </cfRule>
  </conditionalFormatting>
  <conditionalFormatting sqref="D10733:D10736">
    <cfRule type="containsText" dxfId="986" priority="2136" operator="containsText" text="Pesquisa de Preços">
      <formula>NOT(ISERROR(SEARCH("Pesquisa de Preços",D10733)))</formula>
    </cfRule>
  </conditionalFormatting>
  <conditionalFormatting sqref="D10739:D10742">
    <cfRule type="containsText" dxfId="985" priority="1142" operator="containsText" text="Pesquisa de Preços">
      <formula>NOT(ISERROR(SEARCH("Pesquisa de Preços",D10739)))</formula>
    </cfRule>
  </conditionalFormatting>
  <conditionalFormatting sqref="D10744:D10745">
    <cfRule type="containsText" dxfId="984" priority="1136" operator="containsText" text="Pesquisa de Preços">
      <formula>NOT(ISERROR(SEARCH("Pesquisa de Preços",D10744)))</formula>
    </cfRule>
  </conditionalFormatting>
  <conditionalFormatting sqref="D10748">
    <cfRule type="containsText" dxfId="983" priority="2109" operator="containsText" text="Pesquisa de Preços">
      <formula>NOT(ISERROR(SEARCH("Pesquisa de Preços",D10748)))</formula>
    </cfRule>
  </conditionalFormatting>
  <conditionalFormatting sqref="D10750:D10751">
    <cfRule type="containsText" dxfId="982" priority="2103" operator="containsText" text="Pesquisa de Preços">
      <formula>NOT(ISERROR(SEARCH("Pesquisa de Preços",D10750)))</formula>
    </cfRule>
  </conditionalFormatting>
  <conditionalFormatting sqref="D10753:D10762">
    <cfRule type="containsText" dxfId="981" priority="2121" operator="containsText" text="Pesquisa de Preços">
      <formula>NOT(ISERROR(SEARCH("Pesquisa de Preços",D10753)))</formula>
    </cfRule>
  </conditionalFormatting>
  <conditionalFormatting sqref="D10764:D10765">
    <cfRule type="containsText" dxfId="980" priority="2120" operator="containsText" text="Pesquisa de Preços">
      <formula>NOT(ISERROR(SEARCH("Pesquisa de Preços",D10764)))</formula>
    </cfRule>
  </conditionalFormatting>
  <conditionalFormatting sqref="D10767">
    <cfRule type="containsText" dxfId="979" priority="2117" operator="containsText" text="Pesquisa de Preços">
      <formula>NOT(ISERROR(SEARCH("Pesquisa de Preços",D10767)))</formula>
    </cfRule>
  </conditionalFormatting>
  <conditionalFormatting sqref="D10799">
    <cfRule type="containsText" dxfId="978" priority="2073" operator="containsText" text="Pesquisa de Preços">
      <formula>NOT(ISERROR(SEARCH("Pesquisa de Preços",D10799)))</formula>
    </cfRule>
  </conditionalFormatting>
  <conditionalFormatting sqref="D10801">
    <cfRule type="containsText" dxfId="977" priority="2070" operator="containsText" text="Pesquisa de Preços">
      <formula>NOT(ISERROR(SEARCH("Pesquisa de Preços",D10801)))</formula>
    </cfRule>
  </conditionalFormatting>
  <conditionalFormatting sqref="D10803">
    <cfRule type="containsText" dxfId="976" priority="1679" operator="containsText" text="Pesquisa de Preços">
      <formula>NOT(ISERROR(SEARCH("Pesquisa de Preços",D10803)))</formula>
    </cfRule>
  </conditionalFormatting>
  <conditionalFormatting sqref="D10805:D10812">
    <cfRule type="containsText" dxfId="975" priority="1673" operator="containsText" text="Pesquisa de Preços">
      <formula>NOT(ISERROR(SEARCH("Pesquisa de Preços",D10805)))</formula>
    </cfRule>
  </conditionalFormatting>
  <conditionalFormatting sqref="D10814">
    <cfRule type="containsText" dxfId="974" priority="2006" operator="containsText" text="Pesquisa de Preços">
      <formula>NOT(ISERROR(SEARCH("Pesquisa de Preços",D10814)))</formula>
    </cfRule>
  </conditionalFormatting>
  <conditionalFormatting sqref="D10816:D10824">
    <cfRule type="containsText" dxfId="973" priority="1993" operator="containsText" text="Pesquisa de Preços">
      <formula>NOT(ISERROR(SEARCH("Pesquisa de Preços",D10816)))</formula>
    </cfRule>
  </conditionalFormatting>
  <conditionalFormatting sqref="D10826">
    <cfRule type="containsText" dxfId="972" priority="2025" operator="containsText" text="Pesquisa de Preços">
      <formula>NOT(ISERROR(SEARCH("Pesquisa de Preços",D10826)))</formula>
    </cfRule>
  </conditionalFormatting>
  <conditionalFormatting sqref="D10828:D10831">
    <cfRule type="containsText" dxfId="971" priority="2018" operator="containsText" text="Pesquisa de Preços">
      <formula>NOT(ISERROR(SEARCH("Pesquisa de Preços",D10828)))</formula>
    </cfRule>
  </conditionalFormatting>
  <conditionalFormatting sqref="D10833">
    <cfRule type="containsText" dxfId="970" priority="1050" operator="containsText" text="Pesquisa de Preços">
      <formula>NOT(ISERROR(SEARCH("Pesquisa de Preços",D10833)))</formula>
    </cfRule>
  </conditionalFormatting>
  <conditionalFormatting sqref="D10835:D10846">
    <cfRule type="containsText" dxfId="969" priority="1025" operator="containsText" text="Pesquisa de Preços">
      <formula>NOT(ISERROR(SEARCH("Pesquisa de Preços",D10835)))</formula>
    </cfRule>
  </conditionalFormatting>
  <conditionalFormatting sqref="D10848">
    <cfRule type="containsText" dxfId="968" priority="1659" operator="containsText" text="Pesquisa de Preços">
      <formula>NOT(ISERROR(SEARCH("Pesquisa de Preços",D10848)))</formula>
    </cfRule>
  </conditionalFormatting>
  <conditionalFormatting sqref="D10852:D10853">
    <cfRule type="containsText" dxfId="967" priority="1656" operator="containsText" text="Pesquisa de Preços">
      <formula>NOT(ISERROR(SEARCH("Pesquisa de Preços",D10852)))</formula>
    </cfRule>
  </conditionalFormatting>
  <conditionalFormatting sqref="D10855">
    <cfRule type="containsText" dxfId="966" priority="594" operator="containsText" text="Pesquisa de Preços">
      <formula>NOT(ISERROR(SEARCH("Pesquisa de Preços",D10855)))</formula>
    </cfRule>
  </conditionalFormatting>
  <conditionalFormatting sqref="D10857">
    <cfRule type="containsText" dxfId="965" priority="593" operator="containsText" text="Pesquisa de Preços">
      <formula>NOT(ISERROR(SEARCH("Pesquisa de Preços",D10857)))</formula>
    </cfRule>
  </conditionalFormatting>
  <conditionalFormatting sqref="D10861">
    <cfRule type="containsText" dxfId="964" priority="1985" operator="containsText" text="Pesquisa de Preços">
      <formula>NOT(ISERROR(SEARCH("Pesquisa de Preços",D10861)))</formula>
    </cfRule>
  </conditionalFormatting>
  <conditionalFormatting sqref="D10864:D10865">
    <cfRule type="containsText" dxfId="963" priority="1982" operator="containsText" text="Pesquisa de Preços">
      <formula>NOT(ISERROR(SEARCH("Pesquisa de Preços",D10864)))</formula>
    </cfRule>
  </conditionalFormatting>
  <conditionalFormatting sqref="D10867">
    <cfRule type="containsText" dxfId="962" priority="1981" operator="containsText" text="Pesquisa de Preços">
      <formula>NOT(ISERROR(SEARCH("Pesquisa de Preços",D10867)))</formula>
    </cfRule>
  </conditionalFormatting>
  <conditionalFormatting sqref="D10870:D10872">
    <cfRule type="containsText" dxfId="961" priority="1971" operator="containsText" text="Pesquisa de Preços">
      <formula>NOT(ISERROR(SEARCH("Pesquisa de Preços",D10870)))</formula>
    </cfRule>
  </conditionalFormatting>
  <conditionalFormatting sqref="D10874:D10880">
    <cfRule type="containsText" dxfId="960" priority="1080" operator="containsText" text="Pesquisa de Preços">
      <formula>NOT(ISERROR(SEARCH("Pesquisa de Preços",D10874)))</formula>
    </cfRule>
  </conditionalFormatting>
  <conditionalFormatting sqref="D10882:D10889">
    <cfRule type="containsText" dxfId="959" priority="1182" operator="containsText" text="Pesquisa de Preços">
      <formula>NOT(ISERROR(SEARCH("Pesquisa de Preços",D10882)))</formula>
    </cfRule>
  </conditionalFormatting>
  <conditionalFormatting sqref="D10891:D10898">
    <cfRule type="containsText" dxfId="958" priority="515" operator="containsText" text="Pesquisa de Preços">
      <formula>NOT(ISERROR(SEARCH("Pesquisa de Preços",D10891)))</formula>
    </cfRule>
  </conditionalFormatting>
  <conditionalFormatting sqref="D10900">
    <cfRule type="containsText" dxfId="957" priority="514" operator="containsText" text="Pesquisa de Preços">
      <formula>NOT(ISERROR(SEARCH("Pesquisa de Preços",D10900)))</formula>
    </cfRule>
  </conditionalFormatting>
  <conditionalFormatting sqref="D10904">
    <cfRule type="containsText" dxfId="956" priority="753" operator="containsText" text="Pesquisa de Preços">
      <formula>NOT(ISERROR(SEARCH("Pesquisa de Preços",D10904)))</formula>
    </cfRule>
  </conditionalFormatting>
  <conditionalFormatting sqref="D10906">
    <cfRule type="containsText" dxfId="955" priority="752" operator="containsText" text="Pesquisa de Preços">
      <formula>NOT(ISERROR(SEARCH("Pesquisa de Preços",D10906)))</formula>
    </cfRule>
  </conditionalFormatting>
  <conditionalFormatting sqref="D10910">
    <cfRule type="containsText" dxfId="954" priority="1951" operator="containsText" text="Pesquisa de Preços">
      <formula>NOT(ISERROR(SEARCH("Pesquisa de Preços",D10910)))</formula>
    </cfRule>
  </conditionalFormatting>
  <conditionalFormatting sqref="D10912">
    <cfRule type="containsText" dxfId="953" priority="1948" operator="containsText" text="Pesquisa de Preços">
      <formula>NOT(ISERROR(SEARCH("Pesquisa de Preços",D10912)))</formula>
    </cfRule>
  </conditionalFormatting>
  <conditionalFormatting sqref="D10914">
    <cfRule type="containsText" dxfId="952" priority="1947" operator="containsText" text="Pesquisa de Preços">
      <formula>NOT(ISERROR(SEARCH("Pesquisa de Preços",D10914)))</formula>
    </cfRule>
  </conditionalFormatting>
  <conditionalFormatting sqref="D10916">
    <cfRule type="containsText" dxfId="951" priority="1946" operator="containsText" text="Pesquisa de Preços">
      <formula>NOT(ISERROR(SEARCH("Pesquisa de Preços",D10916)))</formula>
    </cfRule>
  </conditionalFormatting>
  <conditionalFormatting sqref="D10918">
    <cfRule type="containsText" dxfId="950" priority="1945" operator="containsText" text="Pesquisa de Preços">
      <formula>NOT(ISERROR(SEARCH("Pesquisa de Preços",D10918)))</formula>
    </cfRule>
  </conditionalFormatting>
  <conditionalFormatting sqref="D10920">
    <cfRule type="containsText" dxfId="949" priority="1944" operator="containsText" text="Pesquisa de Preços">
      <formula>NOT(ISERROR(SEARCH("Pesquisa de Preços",D10920)))</formula>
    </cfRule>
  </conditionalFormatting>
  <conditionalFormatting sqref="D10922">
    <cfRule type="containsText" dxfId="948" priority="1943" operator="containsText" text="Pesquisa de Preços">
      <formula>NOT(ISERROR(SEARCH("Pesquisa de Preços",D10922)))</formula>
    </cfRule>
  </conditionalFormatting>
  <conditionalFormatting sqref="D10924">
    <cfRule type="containsText" dxfId="947" priority="1942" operator="containsText" text="Pesquisa de Preços">
      <formula>NOT(ISERROR(SEARCH("Pesquisa de Preços",D10924)))</formula>
    </cfRule>
  </conditionalFormatting>
  <conditionalFormatting sqref="D10926">
    <cfRule type="containsText" dxfId="946" priority="1941" operator="containsText" text="Pesquisa de Preços">
      <formula>NOT(ISERROR(SEARCH("Pesquisa de Preços",D10926)))</formula>
    </cfRule>
  </conditionalFormatting>
  <conditionalFormatting sqref="D10928">
    <cfRule type="containsText" dxfId="945" priority="1940" operator="containsText" text="Pesquisa de Preços">
      <formula>NOT(ISERROR(SEARCH("Pesquisa de Preços",D10928)))</formula>
    </cfRule>
  </conditionalFormatting>
  <conditionalFormatting sqref="D10930">
    <cfRule type="containsText" dxfId="944" priority="1939" operator="containsText" text="Pesquisa de Preços">
      <formula>NOT(ISERROR(SEARCH("Pesquisa de Preços",D10930)))</formula>
    </cfRule>
  </conditionalFormatting>
  <conditionalFormatting sqref="D10932">
    <cfRule type="containsText" dxfId="943" priority="1938" operator="containsText" text="Pesquisa de Preços">
      <formula>NOT(ISERROR(SEARCH("Pesquisa de Preços",D10932)))</formula>
    </cfRule>
  </conditionalFormatting>
  <conditionalFormatting sqref="D10934">
    <cfRule type="containsText" dxfId="942" priority="1937" operator="containsText" text="Pesquisa de Preços">
      <formula>NOT(ISERROR(SEARCH("Pesquisa de Preços",D10934)))</formula>
    </cfRule>
  </conditionalFormatting>
  <conditionalFormatting sqref="D10936">
    <cfRule type="containsText" dxfId="941" priority="1936" operator="containsText" text="Pesquisa de Preços">
      <formula>NOT(ISERROR(SEARCH("Pesquisa de Preços",D10936)))</formula>
    </cfRule>
  </conditionalFormatting>
  <conditionalFormatting sqref="D10938">
    <cfRule type="containsText" dxfId="940" priority="1935" operator="containsText" text="Pesquisa de Preços">
      <formula>NOT(ISERROR(SEARCH("Pesquisa de Preços",D10938)))</formula>
    </cfRule>
  </conditionalFormatting>
  <conditionalFormatting sqref="D10940">
    <cfRule type="containsText" dxfId="939" priority="1934" operator="containsText" text="Pesquisa de Preços">
      <formula>NOT(ISERROR(SEARCH("Pesquisa de Preços",D10940)))</formula>
    </cfRule>
  </conditionalFormatting>
  <conditionalFormatting sqref="D10942">
    <cfRule type="containsText" dxfId="938" priority="1933" operator="containsText" text="Pesquisa de Preços">
      <formula>NOT(ISERROR(SEARCH("Pesquisa de Preços",D10942)))</formula>
    </cfRule>
  </conditionalFormatting>
  <conditionalFormatting sqref="D10944">
    <cfRule type="containsText" dxfId="937" priority="1932" operator="containsText" text="Pesquisa de Preços">
      <formula>NOT(ISERROR(SEARCH("Pesquisa de Preços",D10944)))</formula>
    </cfRule>
  </conditionalFormatting>
  <conditionalFormatting sqref="D10946">
    <cfRule type="containsText" dxfId="936" priority="1931" operator="containsText" text="Pesquisa de Preços">
      <formula>NOT(ISERROR(SEARCH("Pesquisa de Preços",D10946)))</formula>
    </cfRule>
  </conditionalFormatting>
  <conditionalFormatting sqref="D10948">
    <cfRule type="containsText" dxfId="935" priority="1930" operator="containsText" text="Pesquisa de Preços">
      <formula>NOT(ISERROR(SEARCH("Pesquisa de Preços",D10948)))</formula>
    </cfRule>
  </conditionalFormatting>
  <conditionalFormatting sqref="D10950">
    <cfRule type="containsText" dxfId="934" priority="1925" operator="containsText" text="Pesquisa de Preços">
      <formula>NOT(ISERROR(SEARCH("Pesquisa de Preços",D10950)))</formula>
    </cfRule>
  </conditionalFormatting>
  <conditionalFormatting sqref="D10952:D10953">
    <cfRule type="containsText" dxfId="933" priority="1918" operator="containsText" text="Pesquisa de Preços">
      <formula>NOT(ISERROR(SEARCH("Pesquisa de Preços",D10952)))</formula>
    </cfRule>
  </conditionalFormatting>
  <conditionalFormatting sqref="D10956">
    <cfRule type="containsText" dxfId="932" priority="1915" operator="containsText" text="Pesquisa de Preços">
      <formula>NOT(ISERROR(SEARCH("Pesquisa de Preços",D10956)))</formula>
    </cfRule>
  </conditionalFormatting>
  <conditionalFormatting sqref="D10958:D10959">
    <cfRule type="containsText" dxfId="931" priority="1908" operator="containsText" text="Pesquisa de Preços">
      <formula>NOT(ISERROR(SEARCH("Pesquisa de Preços",D10958)))</formula>
    </cfRule>
  </conditionalFormatting>
  <conditionalFormatting sqref="D10962">
    <cfRule type="containsText" dxfId="930" priority="1905" operator="containsText" text="Pesquisa de Preços">
      <formula>NOT(ISERROR(SEARCH("Pesquisa de Preços",D10962)))</formula>
    </cfRule>
  </conditionalFormatting>
  <conditionalFormatting sqref="D10964:D10968">
    <cfRule type="containsText" dxfId="929" priority="1895" operator="containsText" text="Pesquisa de Preços">
      <formula>NOT(ISERROR(SEARCH("Pesquisa de Preços",D10964)))</formula>
    </cfRule>
  </conditionalFormatting>
  <conditionalFormatting sqref="D10970">
    <cfRule type="containsText" dxfId="928" priority="1892" operator="containsText" text="Pesquisa de Preços">
      <formula>NOT(ISERROR(SEARCH("Pesquisa de Preços",D10970)))</formula>
    </cfRule>
  </conditionalFormatting>
  <conditionalFormatting sqref="D10972:D10976">
    <cfRule type="containsText" dxfId="927" priority="1882" operator="containsText" text="Pesquisa de Preços">
      <formula>NOT(ISERROR(SEARCH("Pesquisa de Preços",D10972)))</formula>
    </cfRule>
  </conditionalFormatting>
  <conditionalFormatting sqref="D10978">
    <cfRule type="containsText" dxfId="926" priority="1879" operator="containsText" text="Pesquisa de Preços">
      <formula>NOT(ISERROR(SEARCH("Pesquisa de Preços",D10978)))</formula>
    </cfRule>
  </conditionalFormatting>
  <conditionalFormatting sqref="D10980:D10984">
    <cfRule type="containsText" dxfId="925" priority="1869" operator="containsText" text="Pesquisa de Preços">
      <formula>NOT(ISERROR(SEARCH("Pesquisa de Preços",D10980)))</formula>
    </cfRule>
  </conditionalFormatting>
  <conditionalFormatting sqref="D10986">
    <cfRule type="containsText" dxfId="924" priority="1749" operator="containsText" text="Pesquisa de Preços">
      <formula>NOT(ISERROR(SEARCH("Pesquisa de Preços",D10986)))</formula>
    </cfRule>
  </conditionalFormatting>
  <conditionalFormatting sqref="D10988:D10995">
    <cfRule type="containsText" dxfId="923" priority="1143" operator="containsText" text="Pesquisa de Preços">
      <formula>NOT(ISERROR(SEARCH("Pesquisa de Preços",D10988)))</formula>
    </cfRule>
  </conditionalFormatting>
  <conditionalFormatting sqref="D10997">
    <cfRule type="containsText" dxfId="922" priority="1866" operator="containsText" text="Pesquisa de Preços">
      <formula>NOT(ISERROR(SEARCH("Pesquisa de Preços",D10997)))</formula>
    </cfRule>
  </conditionalFormatting>
  <conditionalFormatting sqref="D10999:D11003">
    <cfRule type="containsText" dxfId="921" priority="1856" operator="containsText" text="Pesquisa de Preços">
      <formula>NOT(ISERROR(SEARCH("Pesquisa de Preços",D10999)))</formula>
    </cfRule>
  </conditionalFormatting>
  <conditionalFormatting sqref="D11005">
    <cfRule type="containsText" dxfId="920" priority="1853" operator="containsText" text="Pesquisa de Preços">
      <formula>NOT(ISERROR(SEARCH("Pesquisa de Preços",D11005)))</formula>
    </cfRule>
  </conditionalFormatting>
  <conditionalFormatting sqref="D11007:D11011">
    <cfRule type="containsText" dxfId="919" priority="1843" operator="containsText" text="Pesquisa de Preços">
      <formula>NOT(ISERROR(SEARCH("Pesquisa de Preços",D11007)))</formula>
    </cfRule>
  </conditionalFormatting>
  <conditionalFormatting sqref="D11013">
    <cfRule type="containsText" dxfId="918" priority="1840" operator="containsText" text="Pesquisa de Preços">
      <formula>NOT(ISERROR(SEARCH("Pesquisa de Preços",D11013)))</formula>
    </cfRule>
  </conditionalFormatting>
  <conditionalFormatting sqref="D11015:D11019">
    <cfRule type="containsText" dxfId="917" priority="1830" operator="containsText" text="Pesquisa de Preços">
      <formula>NOT(ISERROR(SEARCH("Pesquisa de Preços",D11015)))</formula>
    </cfRule>
  </conditionalFormatting>
  <conditionalFormatting sqref="D11021">
    <cfRule type="containsText" dxfId="916" priority="1741" operator="containsText" text="Pesquisa de Preços">
      <formula>NOT(ISERROR(SEARCH("Pesquisa de Preços",D11021)))</formula>
    </cfRule>
  </conditionalFormatting>
  <conditionalFormatting sqref="D11024:D11029">
    <cfRule type="containsText" dxfId="915" priority="1735" operator="containsText" text="Pesquisa de Preços">
      <formula>NOT(ISERROR(SEARCH("Pesquisa de Preços",D11024)))</formula>
    </cfRule>
  </conditionalFormatting>
  <conditionalFormatting sqref="D11032:D11037">
    <cfRule type="containsText" dxfId="914" priority="1729" operator="containsText" text="Pesquisa de Preços">
      <formula>NOT(ISERROR(SEARCH("Pesquisa de Preços",D11032)))</formula>
    </cfRule>
  </conditionalFormatting>
  <conditionalFormatting sqref="D11040:D11045">
    <cfRule type="containsText" dxfId="913" priority="1724" operator="containsText" text="Pesquisa de Preços">
      <formula>NOT(ISERROR(SEARCH("Pesquisa de Preços",D11040)))</formula>
    </cfRule>
  </conditionalFormatting>
  <conditionalFormatting sqref="D11047:D11051">
    <cfRule type="containsText" dxfId="912" priority="1817" operator="containsText" text="Pesquisa de Preços">
      <formula>NOT(ISERROR(SEARCH("Pesquisa de Preços",D11047)))</formula>
    </cfRule>
  </conditionalFormatting>
  <conditionalFormatting sqref="D11053">
    <cfRule type="containsText" dxfId="911" priority="1814" operator="containsText" text="Pesquisa de Preços">
      <formula>NOT(ISERROR(SEARCH("Pesquisa de Preços",D11053)))</formula>
    </cfRule>
  </conditionalFormatting>
  <conditionalFormatting sqref="D11055:D11059">
    <cfRule type="containsText" dxfId="910" priority="1804" operator="containsText" text="Pesquisa de Preços">
      <formula>NOT(ISERROR(SEARCH("Pesquisa de Preços",D11055)))</formula>
    </cfRule>
  </conditionalFormatting>
  <conditionalFormatting sqref="D11061">
    <cfRule type="containsText" dxfId="909" priority="1801" operator="containsText" text="Pesquisa de Preços">
      <formula>NOT(ISERROR(SEARCH("Pesquisa de Preços",D11061)))</formula>
    </cfRule>
  </conditionalFormatting>
  <conditionalFormatting sqref="D11063:D11067">
    <cfRule type="containsText" dxfId="908" priority="1791" operator="containsText" text="Pesquisa de Preços">
      <formula>NOT(ISERROR(SEARCH("Pesquisa de Preços",D11063)))</formula>
    </cfRule>
  </conditionalFormatting>
  <conditionalFormatting sqref="D11069">
    <cfRule type="containsText" dxfId="907" priority="1788" operator="containsText" text="Pesquisa de Preços">
      <formula>NOT(ISERROR(SEARCH("Pesquisa de Preços",D11069)))</formula>
    </cfRule>
  </conditionalFormatting>
  <conditionalFormatting sqref="D11071:D11075">
    <cfRule type="containsText" dxfId="906" priority="1778" operator="containsText" text="Pesquisa de Preços">
      <formula>NOT(ISERROR(SEARCH("Pesquisa de Preços",D11071)))</formula>
    </cfRule>
  </conditionalFormatting>
  <conditionalFormatting sqref="D11077">
    <cfRule type="containsText" dxfId="905" priority="1649" operator="containsText" text="Pesquisa de Preços">
      <formula>NOT(ISERROR(SEARCH("Pesquisa de Preços",D11077)))</formula>
    </cfRule>
  </conditionalFormatting>
  <conditionalFormatting sqref="D11079:D11081">
    <cfRule type="containsText" dxfId="904" priority="1626" operator="containsText" text="Pesquisa de Preços">
      <formula>NOT(ISERROR(SEARCH("Pesquisa de Preços",D11079)))</formula>
    </cfRule>
  </conditionalFormatting>
  <conditionalFormatting sqref="D11083">
    <cfRule type="containsText" dxfId="903" priority="1641" operator="containsText" text="Pesquisa de Preços">
      <formula>NOT(ISERROR(SEARCH("Pesquisa de Preços",D11083)))</formula>
    </cfRule>
  </conditionalFormatting>
  <conditionalFormatting sqref="D11085:D11087">
    <cfRule type="containsText" dxfId="902" priority="1631" operator="containsText" text="Pesquisa de Preços">
      <formula>NOT(ISERROR(SEARCH("Pesquisa de Preços",D11085)))</formula>
    </cfRule>
  </conditionalFormatting>
  <conditionalFormatting sqref="D11089">
    <cfRule type="containsText" dxfId="901" priority="1670" operator="containsText" text="Pesquisa de Preços">
      <formula>NOT(ISERROR(SEARCH("Pesquisa de Preços",D11089)))</formula>
    </cfRule>
  </conditionalFormatting>
  <conditionalFormatting sqref="D11091:D11098">
    <cfRule type="containsText" dxfId="900" priority="1668" operator="containsText" text="Pesquisa de Preços">
      <formula>NOT(ISERROR(SEARCH("Pesquisa de Preços",D11091)))</formula>
    </cfRule>
  </conditionalFormatting>
  <conditionalFormatting sqref="D11100">
    <cfRule type="containsText" dxfId="899" priority="1621" operator="containsText" text="Pesquisa de Preços">
      <formula>NOT(ISERROR(SEARCH("Pesquisa de Preços",D11100)))</formula>
    </cfRule>
  </conditionalFormatting>
  <conditionalFormatting sqref="D11102:D11104">
    <cfRule type="containsText" dxfId="898" priority="1611" operator="containsText" text="Pesquisa de Preços">
      <formula>NOT(ISERROR(SEARCH("Pesquisa de Preços",D11102)))</formula>
    </cfRule>
  </conditionalFormatting>
  <conditionalFormatting sqref="D11106">
    <cfRule type="containsText" dxfId="897" priority="1308" operator="containsText" text="Pesquisa de Preços">
      <formula>NOT(ISERROR(SEARCH("Pesquisa de Preços",D11106)))</formula>
    </cfRule>
  </conditionalFormatting>
  <conditionalFormatting sqref="D11108:D11111">
    <cfRule type="containsText" dxfId="896" priority="1299" operator="containsText" text="Pesquisa de Preços">
      <formula>NOT(ISERROR(SEARCH("Pesquisa de Preços",D11108)))</formula>
    </cfRule>
  </conditionalFormatting>
  <conditionalFormatting sqref="D11113">
    <cfRule type="containsText" dxfId="895" priority="1056" operator="containsText" text="Pesquisa de Preços">
      <formula>NOT(ISERROR(SEARCH("Pesquisa de Preços",D11113)))</formula>
    </cfRule>
  </conditionalFormatting>
  <conditionalFormatting sqref="D11116:D11118">
    <cfRule type="containsText" dxfId="894" priority="1051" operator="containsText" text="Pesquisa de Preços">
      <formula>NOT(ISERROR(SEARCH("Pesquisa de Preços",D11116)))</formula>
    </cfRule>
  </conditionalFormatting>
  <conditionalFormatting sqref="D11120">
    <cfRule type="containsText" dxfId="893" priority="1775" operator="containsText" text="Pesquisa de Preços">
      <formula>NOT(ISERROR(SEARCH("Pesquisa de Preços",D11120)))</formula>
    </cfRule>
  </conditionalFormatting>
  <conditionalFormatting sqref="D11122:D11126">
    <cfRule type="containsText" dxfId="892" priority="1765" operator="containsText" text="Pesquisa de Preços">
      <formula>NOT(ISERROR(SEARCH("Pesquisa de Preços",D11122)))</formula>
    </cfRule>
  </conditionalFormatting>
  <conditionalFormatting sqref="D11128">
    <cfRule type="containsText" dxfId="891" priority="1762" operator="containsText" text="Pesquisa de Preços">
      <formula>NOT(ISERROR(SEARCH("Pesquisa de Preços",D11128)))</formula>
    </cfRule>
  </conditionalFormatting>
  <conditionalFormatting sqref="D11130:D11134">
    <cfRule type="containsText" dxfId="890" priority="1752" operator="containsText" text="Pesquisa de Preços">
      <formula>NOT(ISERROR(SEARCH("Pesquisa de Preços",D11130)))</formula>
    </cfRule>
  </conditionalFormatting>
  <conditionalFormatting sqref="D11136:D11192">
    <cfRule type="containsText" dxfId="889" priority="1537" operator="containsText" text="Pesquisa de Preços">
      <formula>NOT(ISERROR(SEARCH("Pesquisa de Preços",D11136)))</formula>
    </cfRule>
  </conditionalFormatting>
  <conditionalFormatting sqref="D11194:D11195">
    <cfRule type="containsText" dxfId="888" priority="1533" operator="containsText" text="Pesquisa de Preços">
      <formula>NOT(ISERROR(SEARCH("Pesquisa de Preços",D11194)))</formula>
    </cfRule>
  </conditionalFormatting>
  <conditionalFormatting sqref="D11197">
    <cfRule type="containsText" dxfId="887" priority="1333" operator="containsText" text="Pesquisa de Preços">
      <formula>NOT(ISERROR(SEARCH("Pesquisa de Preços",D11197)))</formula>
    </cfRule>
  </conditionalFormatting>
  <conditionalFormatting sqref="D11199">
    <cfRule type="containsText" dxfId="886" priority="1332" operator="containsText" text="Pesquisa de Preços">
      <formula>NOT(ISERROR(SEARCH("Pesquisa de Preços",D11199)))</formula>
    </cfRule>
  </conditionalFormatting>
  <conditionalFormatting sqref="D11202">
    <cfRule type="containsText" dxfId="885" priority="1530" operator="containsText" text="Pesquisa de Preços">
      <formula>NOT(ISERROR(SEARCH("Pesquisa de Preços",D11202)))</formula>
    </cfRule>
  </conditionalFormatting>
  <conditionalFormatting sqref="D11204:D11205">
    <cfRule type="containsText" dxfId="884" priority="1520" operator="containsText" text="Pesquisa de Preços">
      <formula>NOT(ISERROR(SEARCH("Pesquisa de Preços",D11204)))</formula>
    </cfRule>
  </conditionalFormatting>
  <conditionalFormatting sqref="D11207">
    <cfRule type="containsText" dxfId="883" priority="1329" operator="containsText" text="Pesquisa de Preços">
      <formula>NOT(ISERROR(SEARCH("Pesquisa de Preços",D11207)))</formula>
    </cfRule>
  </conditionalFormatting>
  <conditionalFormatting sqref="D11209">
    <cfRule type="containsText" dxfId="882" priority="1328" operator="containsText" text="Pesquisa de Preços">
      <formula>NOT(ISERROR(SEARCH("Pesquisa de Preços",D11209)))</formula>
    </cfRule>
  </conditionalFormatting>
  <conditionalFormatting sqref="D11212">
    <cfRule type="containsText" dxfId="881" priority="980" operator="containsText" text="Pesquisa de Preços">
      <formula>NOT(ISERROR(SEARCH("Pesquisa de Preços",D11212)))</formula>
    </cfRule>
  </conditionalFormatting>
  <conditionalFormatting sqref="D11214:D11225">
    <cfRule type="containsText" dxfId="880" priority="963" operator="containsText" text="Pesquisa de Preços">
      <formula>NOT(ISERROR(SEARCH("Pesquisa de Preços",D11214)))</formula>
    </cfRule>
  </conditionalFormatting>
  <conditionalFormatting sqref="D11243:D11253">
    <cfRule type="containsText" dxfId="879" priority="844" operator="containsText" text="Pesquisa de Preços">
      <formula>NOT(ISERROR(SEARCH("Pesquisa de Preços",D11243)))</formula>
    </cfRule>
  </conditionalFormatting>
  <conditionalFormatting sqref="D11255:D11256">
    <cfRule type="containsText" dxfId="878" priority="884" operator="containsText" text="Pesquisa de Preços">
      <formula>NOT(ISERROR(SEARCH("Pesquisa de Preços",D11255)))</formula>
    </cfRule>
  </conditionalFormatting>
  <conditionalFormatting sqref="D11258">
    <cfRule type="containsText" dxfId="877" priority="1327" operator="containsText" text="Pesquisa de Preços">
      <formula>NOT(ISERROR(SEARCH("Pesquisa de Preços",D11258)))</formula>
    </cfRule>
  </conditionalFormatting>
  <conditionalFormatting sqref="D11260">
    <cfRule type="containsText" dxfId="876" priority="1324" operator="containsText" text="Pesquisa de Preços">
      <formula>NOT(ISERROR(SEARCH("Pesquisa de Preços",D11260)))</formula>
    </cfRule>
  </conditionalFormatting>
  <conditionalFormatting sqref="D11263">
    <cfRule type="containsText" dxfId="875" priority="1317" operator="containsText" text="Pesquisa de Preços">
      <formula>NOT(ISERROR(SEARCH("Pesquisa de Preços",D11263)))</formula>
    </cfRule>
  </conditionalFormatting>
  <conditionalFormatting sqref="D11265:D11267">
    <cfRule type="containsText" dxfId="874" priority="1311" operator="containsText" text="Pesquisa de Preços">
      <formula>NOT(ISERROR(SEARCH("Pesquisa de Preços",D11265)))</formula>
    </cfRule>
  </conditionalFormatting>
  <conditionalFormatting sqref="D11269">
    <cfRule type="containsText" dxfId="873" priority="1221" operator="containsText" text="Pesquisa de Preços">
      <formula>NOT(ISERROR(SEARCH("Pesquisa de Preços",D11269)))</formula>
    </cfRule>
  </conditionalFormatting>
  <conditionalFormatting sqref="D11271:D11274">
    <cfRule type="containsText" dxfId="872" priority="1209" operator="containsText" text="Pesquisa de Preços">
      <formula>NOT(ISERROR(SEARCH("Pesquisa de Preços",D11271)))</formula>
    </cfRule>
  </conditionalFormatting>
  <conditionalFormatting sqref="D11277">
    <cfRule type="containsText" dxfId="871" priority="1232" operator="containsText" text="Pesquisa de Preços">
      <formula>NOT(ISERROR(SEARCH("Pesquisa de Preços",D11277)))</formula>
    </cfRule>
  </conditionalFormatting>
  <conditionalFormatting sqref="D11279:D11281">
    <cfRule type="containsText" dxfId="870" priority="1224" operator="containsText" text="Pesquisa de Preços">
      <formula>NOT(ISERROR(SEARCH("Pesquisa de Preços",D11279)))</formula>
    </cfRule>
  </conditionalFormatting>
  <conditionalFormatting sqref="D11283">
    <cfRule type="containsText" dxfId="869" priority="737" operator="containsText" text="Pesquisa de Preços">
      <formula>NOT(ISERROR(SEARCH("Pesquisa de Preços",D11283)))</formula>
    </cfRule>
  </conditionalFormatting>
  <conditionalFormatting sqref="D11285">
    <cfRule type="containsText" dxfId="868" priority="736" operator="containsText" text="Pesquisa de Preços">
      <formula>NOT(ISERROR(SEARCH("Pesquisa de Preços",D11285)))</formula>
    </cfRule>
  </conditionalFormatting>
  <conditionalFormatting sqref="D11289">
    <cfRule type="containsText" dxfId="867" priority="743" operator="containsText" text="Pesquisa de Preços">
      <formula>NOT(ISERROR(SEARCH("Pesquisa de Preços",D11289)))</formula>
    </cfRule>
  </conditionalFormatting>
  <conditionalFormatting sqref="D11291">
    <cfRule type="containsText" dxfId="866" priority="742" operator="containsText" text="Pesquisa de Preços">
      <formula>NOT(ISERROR(SEARCH("Pesquisa de Preços",D11291)))</formula>
    </cfRule>
  </conditionalFormatting>
  <conditionalFormatting sqref="D11295">
    <cfRule type="containsText" dxfId="865" priority="592" operator="containsText" text="Pesquisa de Preços">
      <formula>NOT(ISERROR(SEARCH("Pesquisa de Preços",D11295)))</formula>
    </cfRule>
  </conditionalFormatting>
  <conditionalFormatting sqref="D11297">
    <cfRule type="containsText" dxfId="864" priority="591" operator="containsText" text="Pesquisa de Preços">
      <formula>NOT(ISERROR(SEARCH("Pesquisa de Preços",D11297)))</formula>
    </cfRule>
  </conditionalFormatting>
  <conditionalFormatting sqref="D11301">
    <cfRule type="containsText" dxfId="863" priority="586" operator="containsText" text="Pesquisa de Preços">
      <formula>NOT(ISERROR(SEARCH("Pesquisa de Preços",D11301)))</formula>
    </cfRule>
  </conditionalFormatting>
  <conditionalFormatting sqref="D11303">
    <cfRule type="containsText" dxfId="862" priority="585" operator="containsText" text="Pesquisa de Preços">
      <formula>NOT(ISERROR(SEARCH("Pesquisa de Preços",D11303)))</formula>
    </cfRule>
  </conditionalFormatting>
  <conditionalFormatting sqref="D11314:D11317">
    <cfRule type="containsText" dxfId="861" priority="1015" operator="containsText" text="Pesquisa de Preços">
      <formula>NOT(ISERROR(SEARCH("Pesquisa de Preços",D11314)))</formula>
    </cfRule>
  </conditionalFormatting>
  <conditionalFormatting sqref="D11319">
    <cfRule type="containsText" dxfId="860" priority="1005" operator="containsText" text="Pesquisa de Preços">
      <formula>NOT(ISERROR(SEARCH("Pesquisa de Preços",D11319)))</formula>
    </cfRule>
  </conditionalFormatting>
  <conditionalFormatting sqref="D11321">
    <cfRule type="containsText" dxfId="859" priority="1008" operator="containsText" text="Pesquisa de Preços">
      <formula>NOT(ISERROR(SEARCH("Pesquisa de Preços",D11321)))</formula>
    </cfRule>
  </conditionalFormatting>
  <conditionalFormatting sqref="D11323">
    <cfRule type="containsText" dxfId="858" priority="1004" operator="containsText" text="Pesquisa de Preços">
      <formula>NOT(ISERROR(SEARCH("Pesquisa de Preços",D11323)))</formula>
    </cfRule>
  </conditionalFormatting>
  <conditionalFormatting sqref="D11332:D11337">
    <cfRule type="containsText" dxfId="857" priority="993" operator="containsText" text="Pesquisa de Preços">
      <formula>NOT(ISERROR(SEARCH("Pesquisa de Preços",D11332)))</formula>
    </cfRule>
  </conditionalFormatting>
  <conditionalFormatting sqref="D11342:D11347">
    <cfRule type="containsText" dxfId="856" priority="986" operator="containsText" text="Pesquisa de Preços">
      <formula>NOT(ISERROR(SEARCH("Pesquisa de Preços",D11342)))</formula>
    </cfRule>
  </conditionalFormatting>
  <conditionalFormatting sqref="D11352:D11355 D11359">
    <cfRule type="containsText" dxfId="855" priority="733" operator="containsText" text="Pesquisa de Preços">
      <formula>NOT(ISERROR(SEARCH("Pesquisa de Preços",D11352)))</formula>
    </cfRule>
  </conditionalFormatting>
  <conditionalFormatting sqref="D11357 D11361">
    <cfRule type="containsText" dxfId="854" priority="732" operator="containsText" text="Pesquisa de Preços">
      <formula>NOT(ISERROR(SEARCH("Pesquisa de Preços",D11357)))</formula>
    </cfRule>
  </conditionalFormatting>
  <conditionalFormatting sqref="D11363:D11370">
    <cfRule type="containsText" dxfId="853" priority="155" operator="containsText" text="Pesquisa de Preços">
      <formula>NOT(ISERROR(SEARCH("Pesquisa de Preços",D11363)))</formula>
    </cfRule>
  </conditionalFormatting>
  <conditionalFormatting sqref="D11372:D11373">
    <cfRule type="containsText" dxfId="852" priority="880" operator="containsText" text="Pesquisa de Preços">
      <formula>NOT(ISERROR(SEARCH("Pesquisa de Preços",D11372)))</formula>
    </cfRule>
  </conditionalFormatting>
  <conditionalFormatting sqref="D11375">
    <cfRule type="containsText" dxfId="851" priority="877" operator="containsText" text="Pesquisa de Preços">
      <formula>NOT(ISERROR(SEARCH("Pesquisa de Preços",D11375)))</formula>
    </cfRule>
  </conditionalFormatting>
  <conditionalFormatting sqref="D11377:D11378">
    <cfRule type="containsText" dxfId="850" priority="876" operator="containsText" text="Pesquisa de Preços">
      <formula>NOT(ISERROR(SEARCH("Pesquisa de Preços",D11377)))</formula>
    </cfRule>
  </conditionalFormatting>
  <conditionalFormatting sqref="D11380">
    <cfRule type="containsText" dxfId="849" priority="873" operator="containsText" text="Pesquisa de Preços">
      <formula>NOT(ISERROR(SEARCH("Pesquisa de Preços",D11380)))</formula>
    </cfRule>
  </conditionalFormatting>
  <conditionalFormatting sqref="D11382:D11383">
    <cfRule type="containsText" dxfId="848" priority="872" operator="containsText" text="Pesquisa de Preços">
      <formula>NOT(ISERROR(SEARCH("Pesquisa de Preços",D11382)))</formula>
    </cfRule>
  </conditionalFormatting>
  <conditionalFormatting sqref="D11385:D11403">
    <cfRule type="containsText" dxfId="847" priority="889" operator="containsText" text="Pesquisa de Preços">
      <formula>NOT(ISERROR(SEARCH("Pesquisa de Preços",D11385)))</formula>
    </cfRule>
  </conditionalFormatting>
  <conditionalFormatting sqref="D11406:D11407">
    <cfRule type="containsText" dxfId="846" priority="951" operator="containsText" text="Pesquisa de Preços">
      <formula>NOT(ISERROR(SEARCH("Pesquisa de Preços",D11406)))</formula>
    </cfRule>
  </conditionalFormatting>
  <conditionalFormatting sqref="D11409">
    <cfRule type="containsText" dxfId="845" priority="946" operator="containsText" text="Pesquisa de Preços">
      <formula>NOT(ISERROR(SEARCH("Pesquisa de Preços",D11409)))</formula>
    </cfRule>
  </conditionalFormatting>
  <conditionalFormatting sqref="D11412:D11415">
    <cfRule type="containsText" dxfId="844" priority="930" operator="containsText" text="Pesquisa de Preços">
      <formula>NOT(ISERROR(SEARCH("Pesquisa de Preços",D11412)))</formula>
    </cfRule>
  </conditionalFormatting>
  <conditionalFormatting sqref="D11417">
    <cfRule type="containsText" dxfId="843" priority="939" operator="containsText" text="Pesquisa de Preços">
      <formula>NOT(ISERROR(SEARCH("Pesquisa de Preços",D11417)))</formula>
    </cfRule>
  </conditionalFormatting>
  <conditionalFormatting sqref="D11420:D11421">
    <cfRule type="containsText" dxfId="842" priority="929" operator="containsText" text="Pesquisa de Preços">
      <formula>NOT(ISERROR(SEARCH("Pesquisa de Preços",D11420)))</formula>
    </cfRule>
  </conditionalFormatting>
  <conditionalFormatting sqref="D11423">
    <cfRule type="containsText" dxfId="841" priority="920" operator="containsText" text="Pesquisa de Preços">
      <formula>NOT(ISERROR(SEARCH("Pesquisa de Preços",D11423)))</formula>
    </cfRule>
  </conditionalFormatting>
  <conditionalFormatting sqref="D11426">
    <cfRule type="containsText" dxfId="840" priority="539" operator="containsText" text="Pesquisa de Preços">
      <formula>NOT(ISERROR(SEARCH("Pesquisa de Preços",D11426)))</formula>
    </cfRule>
  </conditionalFormatting>
  <conditionalFormatting sqref="D11428:D11430">
    <cfRule type="containsText" dxfId="839" priority="521" operator="containsText" text="Pesquisa de Preços">
      <formula>NOT(ISERROR(SEARCH("Pesquisa de Preços",D11428)))</formula>
    </cfRule>
  </conditionalFormatting>
  <conditionalFormatting sqref="D11432">
    <cfRule type="containsText" dxfId="838" priority="886" operator="containsText" text="Pesquisa de Preços">
      <formula>NOT(ISERROR(SEARCH("Pesquisa de Preços",D11432)))</formula>
    </cfRule>
  </conditionalFormatting>
  <conditionalFormatting sqref="D11435">
    <cfRule type="containsText" dxfId="837" priority="538" operator="containsText" text="Pesquisa de Preços">
      <formula>NOT(ISERROR(SEARCH("Pesquisa de Preços",D11435)))</formula>
    </cfRule>
  </conditionalFormatting>
  <conditionalFormatting sqref="D11437:D11439">
    <cfRule type="containsText" dxfId="836" priority="520" operator="containsText" text="Pesquisa de Preços">
      <formula>NOT(ISERROR(SEARCH("Pesquisa de Preços",D11437)))</formula>
    </cfRule>
  </conditionalFormatting>
  <conditionalFormatting sqref="D11441 D11445 D11449 D11453">
    <cfRule type="containsText" dxfId="835" priority="729" operator="containsText" text="Pesquisa de Preços">
      <formula>NOT(ISERROR(SEARCH("Pesquisa de Preços",D11441)))</formula>
    </cfRule>
  </conditionalFormatting>
  <conditionalFormatting sqref="D11443">
    <cfRule type="containsText" dxfId="834" priority="704" operator="containsText" text="Pesquisa de Preços">
      <formula>NOT(ISERROR(SEARCH("Pesquisa de Preços",D11443)))</formula>
    </cfRule>
  </conditionalFormatting>
  <conditionalFormatting sqref="D11447">
    <cfRule type="containsText" dxfId="833" priority="703" operator="containsText" text="Pesquisa de Preços">
      <formula>NOT(ISERROR(SEARCH("Pesquisa de Preços",D11447)))</formula>
    </cfRule>
  </conditionalFormatting>
  <conditionalFormatting sqref="D11451 D11455">
    <cfRule type="containsText" dxfId="832" priority="728" operator="containsText" text="Pesquisa de Preços">
      <formula>NOT(ISERROR(SEARCH("Pesquisa de Preços",D11451)))</formula>
    </cfRule>
  </conditionalFormatting>
  <conditionalFormatting sqref="D11457">
    <cfRule type="containsText" dxfId="831" priority="871" operator="containsText" text="Pesquisa de Preços">
      <formula>NOT(ISERROR(SEARCH("Pesquisa de Preços",D11457)))</formula>
    </cfRule>
  </conditionalFormatting>
  <conditionalFormatting sqref="D11459:D11470">
    <cfRule type="containsText" dxfId="830" priority="702" operator="containsText" text="Pesquisa de Preços">
      <formula>NOT(ISERROR(SEARCH("Pesquisa de Preços",D11459)))</formula>
    </cfRule>
  </conditionalFormatting>
  <conditionalFormatting sqref="D11472">
    <cfRule type="containsText" dxfId="829" priority="690" operator="containsText" text="Pesquisa de Preços">
      <formula>NOT(ISERROR(SEARCH("Pesquisa de Preços",D11472)))</formula>
    </cfRule>
  </conditionalFormatting>
  <conditionalFormatting sqref="D11474:D11476">
    <cfRule type="containsText" dxfId="828" priority="670" operator="containsText" text="Pesquisa de Preços">
      <formula>NOT(ISERROR(SEARCH("Pesquisa de Preços",D11474)))</formula>
    </cfRule>
  </conditionalFormatting>
  <conditionalFormatting sqref="D11478">
    <cfRule type="containsText" dxfId="827" priority="679" operator="containsText" text="Pesquisa de Preços">
      <formula>NOT(ISERROR(SEARCH("Pesquisa de Preços",D11478)))</formula>
    </cfRule>
  </conditionalFormatting>
  <conditionalFormatting sqref="D11480:D11482">
    <cfRule type="containsText" dxfId="826" priority="669" operator="containsText" text="Pesquisa de Preços">
      <formula>NOT(ISERROR(SEARCH("Pesquisa de Preços",D11480)))</formula>
    </cfRule>
  </conditionalFormatting>
  <conditionalFormatting sqref="D11484">
    <cfRule type="containsText" dxfId="825" priority="705" operator="containsText" text="Pesquisa de Preços">
      <formula>NOT(ISERROR(SEARCH("Pesquisa de Preços",D11484)))</formula>
    </cfRule>
  </conditionalFormatting>
  <conditionalFormatting sqref="D11486">
    <cfRule type="containsText" dxfId="824" priority="701" operator="containsText" text="Pesquisa de Preços">
      <formula>NOT(ISERROR(SEARCH("Pesquisa de Preços",D11486)))</formula>
    </cfRule>
  </conditionalFormatting>
  <conditionalFormatting sqref="D11488">
    <cfRule type="containsText" dxfId="823" priority="721" operator="containsText" text="Pesquisa de Preços">
      <formula>NOT(ISERROR(SEARCH("Pesquisa de Preços",D11488)))</formula>
    </cfRule>
  </conditionalFormatting>
  <conditionalFormatting sqref="D11490">
    <cfRule type="containsText" dxfId="822" priority="700" operator="containsText" text="Pesquisa de Preços">
      <formula>NOT(ISERROR(SEARCH("Pesquisa de Preços",D11490)))</formula>
    </cfRule>
  </conditionalFormatting>
  <conditionalFormatting sqref="D11492">
    <cfRule type="containsText" dxfId="821" priority="718" operator="containsText" text="Pesquisa de Preços">
      <formula>NOT(ISERROR(SEARCH("Pesquisa de Preços",D11492)))</formula>
    </cfRule>
  </conditionalFormatting>
  <conditionalFormatting sqref="D11494">
    <cfRule type="containsText" dxfId="820" priority="699" operator="containsText" text="Pesquisa de Preços">
      <formula>NOT(ISERROR(SEARCH("Pesquisa de Preços",D11494)))</formula>
    </cfRule>
  </conditionalFormatting>
  <conditionalFormatting sqref="D11496">
    <cfRule type="containsText" dxfId="819" priority="715" operator="containsText" text="Pesquisa de Preços">
      <formula>NOT(ISERROR(SEARCH("Pesquisa de Preços",D11496)))</formula>
    </cfRule>
  </conditionalFormatting>
  <conditionalFormatting sqref="D11498">
    <cfRule type="containsText" dxfId="818" priority="698" operator="containsText" text="Pesquisa de Preços">
      <formula>NOT(ISERROR(SEARCH("Pesquisa de Preços",D11498)))</formula>
    </cfRule>
  </conditionalFormatting>
  <conditionalFormatting sqref="D11500">
    <cfRule type="containsText" dxfId="817" priority="712" operator="containsText" text="Pesquisa de Preços">
      <formula>NOT(ISERROR(SEARCH("Pesquisa de Preços",D11500)))</formula>
    </cfRule>
  </conditionalFormatting>
  <conditionalFormatting sqref="D11502">
    <cfRule type="containsText" dxfId="816" priority="697" operator="containsText" text="Pesquisa de Preços">
      <formula>NOT(ISERROR(SEARCH("Pesquisa de Preços",D11502)))</formula>
    </cfRule>
  </conditionalFormatting>
  <conditionalFormatting sqref="D11504">
    <cfRule type="containsText" dxfId="815" priority="709" operator="containsText" text="Pesquisa de Preços">
      <formula>NOT(ISERROR(SEARCH("Pesquisa de Preços",D11504)))</formula>
    </cfRule>
  </conditionalFormatting>
  <conditionalFormatting sqref="D11506">
    <cfRule type="containsText" dxfId="814" priority="696" operator="containsText" text="Pesquisa de Preços">
      <formula>NOT(ISERROR(SEARCH("Pesquisa de Preços",D11506)))</formula>
    </cfRule>
  </conditionalFormatting>
  <conditionalFormatting sqref="D11508">
    <cfRule type="containsText" dxfId="813" priority="706" operator="containsText" text="Pesquisa de Preços">
      <formula>NOT(ISERROR(SEARCH("Pesquisa de Preços",D11508)))</formula>
    </cfRule>
  </conditionalFormatting>
  <conditionalFormatting sqref="D11510">
    <cfRule type="containsText" dxfId="812" priority="695" operator="containsText" text="Pesquisa de Preços">
      <formula>NOT(ISERROR(SEARCH("Pesquisa de Preços",D11510)))</formula>
    </cfRule>
  </conditionalFormatting>
  <conditionalFormatting sqref="D11512">
    <cfRule type="containsText" dxfId="811" priority="632" operator="containsText" text="Pesquisa de Preços">
      <formula>NOT(ISERROR(SEARCH("Pesquisa de Preços",D11512)))</formula>
    </cfRule>
  </conditionalFormatting>
  <conditionalFormatting sqref="D11514">
    <cfRule type="containsText" dxfId="810" priority="631" operator="containsText" text="Pesquisa de Preços">
      <formula>NOT(ISERROR(SEARCH("Pesquisa de Preços",D11514)))</formula>
    </cfRule>
  </conditionalFormatting>
  <conditionalFormatting sqref="D11516:D11540">
    <cfRule type="containsText" dxfId="809" priority="124" operator="containsText" text="Pesquisa de Preços">
      <formula>NOT(ISERROR(SEARCH("Pesquisa de Preços",D11516)))</formula>
    </cfRule>
  </conditionalFormatting>
  <conditionalFormatting sqref="D11542:D11564">
    <cfRule type="containsText" dxfId="808" priority="17" operator="containsText" text="Pesquisa de Preços">
      <formula>NOT(ISERROR(SEARCH("Pesquisa de Preços",D11542)))</formula>
    </cfRule>
  </conditionalFormatting>
  <conditionalFormatting sqref="D11566:D11567">
    <cfRule type="containsText" dxfId="807" priority="605" operator="containsText" text="Pesquisa de Preços">
      <formula>NOT(ISERROR(SEARCH("Pesquisa de Preços",D11566)))</formula>
    </cfRule>
  </conditionalFormatting>
  <conditionalFormatting sqref="D11569">
    <cfRule type="containsText" dxfId="806" priority="574" operator="containsText" text="Pesquisa de Preços">
      <formula>NOT(ISERROR(SEARCH("Pesquisa de Preços",D11569)))</formula>
    </cfRule>
  </conditionalFormatting>
  <conditionalFormatting sqref="D11571">
    <cfRule type="containsText" dxfId="805" priority="573" operator="containsText" text="Pesquisa de Preços">
      <formula>NOT(ISERROR(SEARCH("Pesquisa de Preços",D11571)))</formula>
    </cfRule>
  </conditionalFormatting>
  <conditionalFormatting sqref="D11573">
    <cfRule type="containsText" dxfId="804" priority="572" operator="containsText" text="Pesquisa de Preços">
      <formula>NOT(ISERROR(SEARCH("Pesquisa de Preços",D11573)))</formula>
    </cfRule>
  </conditionalFormatting>
  <conditionalFormatting sqref="D11575 D11595 D11599:D11600 D11603:D11605 D11610:D11611 D11648:D11653 D11666 D11673:D11677 D11681 D11683:D11686 D11691:D11695 D11699 D11701:D11704">
    <cfRule type="containsText" dxfId="803" priority="540" operator="containsText" text="Pesquisa de Preços">
      <formula>NOT(ISERROR(SEARCH("Pesquisa de Preços",D11575)))</formula>
    </cfRule>
  </conditionalFormatting>
  <conditionalFormatting sqref="D11577">
    <cfRule type="containsText" dxfId="802" priority="571" operator="containsText" text="Pesquisa de Preços">
      <formula>NOT(ISERROR(SEARCH("Pesquisa de Preços",D11577)))</formula>
    </cfRule>
  </conditionalFormatting>
  <conditionalFormatting sqref="D11579">
    <cfRule type="containsText" dxfId="801" priority="570" operator="containsText" text="Pesquisa de Preços">
      <formula>NOT(ISERROR(SEARCH("Pesquisa de Preços",D11579)))</formula>
    </cfRule>
  </conditionalFormatting>
  <conditionalFormatting sqref="D11581 D11585 D11589">
    <cfRule type="containsText" dxfId="800" priority="569" operator="containsText" text="Pesquisa de Preços">
      <formula>NOT(ISERROR(SEARCH("Pesquisa de Preços",D11581)))</formula>
    </cfRule>
  </conditionalFormatting>
  <conditionalFormatting sqref="D11583 D11587 D11591">
    <cfRule type="containsText" dxfId="799" priority="568" operator="containsText" text="Pesquisa de Preços">
      <formula>NOT(ISERROR(SEARCH("Pesquisa de Preços",D11583)))</formula>
    </cfRule>
  </conditionalFormatting>
  <conditionalFormatting sqref="D11593">
    <cfRule type="containsText" dxfId="798" priority="567" operator="containsText" text="Pesquisa de Preços">
      <formula>NOT(ISERROR(SEARCH("Pesquisa de Preços",D11593)))</formula>
    </cfRule>
  </conditionalFormatting>
  <conditionalFormatting sqref="D11597">
    <cfRule type="containsText" dxfId="797" priority="566" operator="containsText" text="Pesquisa de Preços">
      <formula>NOT(ISERROR(SEARCH("Pesquisa de Preços",D11597)))</formula>
    </cfRule>
  </conditionalFormatting>
  <conditionalFormatting sqref="D11608">
    <cfRule type="containsText" dxfId="796" priority="559" operator="containsText" text="Pesquisa de Preços">
      <formula>NOT(ISERROR(SEARCH("Pesquisa de Preços",D11608)))</formula>
    </cfRule>
  </conditionalFormatting>
  <conditionalFormatting sqref="D11613">
    <cfRule type="containsText" dxfId="795" priority="169" operator="containsText" text="Pesquisa de Preços">
      <formula>NOT(ISERROR(SEARCH("Pesquisa de Preços",D11613)))</formula>
    </cfRule>
  </conditionalFormatting>
  <conditionalFormatting sqref="D11615:D11616">
    <cfRule type="containsText" dxfId="794" priority="168" operator="containsText" text="Pesquisa de Preços">
      <formula>NOT(ISERROR(SEARCH("Pesquisa de Preços",D11615)))</formula>
    </cfRule>
  </conditionalFormatting>
  <conditionalFormatting sqref="D11634:D11646">
    <cfRule type="containsText" dxfId="793" priority="416" operator="containsText" text="Pesquisa de Preços">
      <formula>NOT(ISERROR(SEARCH("Pesquisa de Preços",D11634)))</formula>
    </cfRule>
  </conditionalFormatting>
  <conditionalFormatting sqref="D11655">
    <cfRule type="containsText" dxfId="792" priority="509" operator="containsText" text="Pesquisa de Preços">
      <formula>NOT(ISERROR(SEARCH("Pesquisa de Preços",D11655)))</formula>
    </cfRule>
  </conditionalFormatting>
  <conditionalFormatting sqref="D11664">
    <cfRule type="containsText" dxfId="791" priority="541" operator="containsText" text="Pesquisa de Preços">
      <formula>NOT(ISERROR(SEARCH("Pesquisa de Preços",D11664)))</formula>
    </cfRule>
  </conditionalFormatting>
  <conditionalFormatting sqref="D11670 D11679 D11688 D11697">
    <cfRule type="containsText" dxfId="790" priority="558" operator="containsText" text="Pesquisa de Preços">
      <formula>NOT(ISERROR(SEARCH("Pesquisa de Preços",D11670)))</formula>
    </cfRule>
  </conditionalFormatting>
  <conditionalFormatting sqref="D11706">
    <cfRule type="containsText" dxfId="789" priority="454" operator="containsText" text="Pesquisa de Preços">
      <formula>NOT(ISERROR(SEARCH("Pesquisa de Preços",D11706)))</formula>
    </cfRule>
  </conditionalFormatting>
  <conditionalFormatting sqref="D11711">
    <cfRule type="containsText" dxfId="788" priority="471" operator="containsText" text="Pesquisa de Preços">
      <formula>NOT(ISERROR(SEARCH("Pesquisa de Preços",D11711)))</formula>
    </cfRule>
  </conditionalFormatting>
  <conditionalFormatting sqref="D11722">
    <cfRule type="containsText" dxfId="787" priority="441" operator="containsText" text="Pesquisa de Preços">
      <formula>NOT(ISERROR(SEARCH("Pesquisa de Preços",D11722)))</formula>
    </cfRule>
  </conditionalFormatting>
  <conditionalFormatting sqref="D11747">
    <cfRule type="containsText" dxfId="786" priority="284" operator="containsText" text="Pesquisa de Preços">
      <formula>NOT(ISERROR(SEARCH("Pesquisa de Preços",D11747)))</formula>
    </cfRule>
  </conditionalFormatting>
  <conditionalFormatting sqref="D11757">
    <cfRule type="containsText" dxfId="785" priority="411" operator="containsText" text="Pesquisa de Preços">
      <formula>NOT(ISERROR(SEARCH("Pesquisa de Preços",D11757)))</formula>
    </cfRule>
  </conditionalFormatting>
  <conditionalFormatting sqref="D11762:D11767">
    <cfRule type="containsText" dxfId="784" priority="401" operator="containsText" text="Pesquisa de Preços">
      <formula>NOT(ISERROR(SEARCH("Pesquisa de Preços",D11762)))</formula>
    </cfRule>
  </conditionalFormatting>
  <conditionalFormatting sqref="D11769:D11774">
    <cfRule type="containsText" dxfId="783" priority="397" operator="containsText" text="Pesquisa de Preços">
      <formula>NOT(ISERROR(SEARCH("Pesquisa de Preços",D11769)))</formula>
    </cfRule>
  </conditionalFormatting>
  <conditionalFormatting sqref="D11776:D11782">
    <cfRule type="containsText" dxfId="782" priority="378" operator="containsText" text="Pesquisa de Preços">
      <formula>NOT(ISERROR(SEARCH("Pesquisa de Preços",D11776)))</formula>
    </cfRule>
  </conditionalFormatting>
  <conditionalFormatting sqref="D11787:D11793">
    <cfRule type="containsText" dxfId="781" priority="364" operator="containsText" text="Pesquisa de Preços">
      <formula>NOT(ISERROR(SEARCH("Pesquisa de Preços",D11787)))</formula>
    </cfRule>
  </conditionalFormatting>
  <conditionalFormatting sqref="D11795:D11801">
    <cfRule type="containsText" dxfId="780" priority="480" operator="containsText" text="Pesquisa de Preços">
      <formula>NOT(ISERROR(SEARCH("Pesquisa de Preços",D11795)))</formula>
    </cfRule>
  </conditionalFormatting>
  <conditionalFormatting sqref="D11804">
    <cfRule type="containsText" dxfId="779" priority="477" operator="containsText" text="Pesquisa de Preços">
      <formula>NOT(ISERROR(SEARCH("Pesquisa de Preços",D11804)))</formula>
    </cfRule>
  </conditionalFormatting>
  <conditionalFormatting sqref="D11806">
    <cfRule type="containsText" dxfId="778" priority="476" operator="containsText" text="Pesquisa de Preços">
      <formula>NOT(ISERROR(SEARCH("Pesquisa de Preços",D11806)))</formula>
    </cfRule>
  </conditionalFormatting>
  <conditionalFormatting sqref="D11808">
    <cfRule type="containsText" dxfId="777" priority="267" operator="containsText" text="Pesquisa de Preços">
      <formula>NOT(ISERROR(SEARCH("Pesquisa de Preços",D11808)))</formula>
    </cfRule>
  </conditionalFormatting>
  <conditionalFormatting sqref="D11818:D11823">
    <cfRule type="containsText" dxfId="776" priority="356" operator="containsText" text="Pesquisa de Preços">
      <formula>NOT(ISERROR(SEARCH("Pesquisa de Preços",D11818)))</formula>
    </cfRule>
  </conditionalFormatting>
  <conditionalFormatting sqref="D11825:D11830">
    <cfRule type="containsText" dxfId="775" priority="351" operator="containsText" text="Pesquisa de Preços">
      <formula>NOT(ISERROR(SEARCH("Pesquisa de Preços",D11825)))</formula>
    </cfRule>
  </conditionalFormatting>
  <conditionalFormatting sqref="D11832">
    <cfRule type="containsText" dxfId="774" priority="344" operator="containsText" text="Pesquisa de Preços">
      <formula>NOT(ISERROR(SEARCH("Pesquisa de Preços",D11832)))</formula>
    </cfRule>
  </conditionalFormatting>
  <conditionalFormatting sqref="D11834:D11838">
    <cfRule type="containsText" dxfId="773" priority="339" operator="containsText" text="Pesquisa de Preços">
      <formula>NOT(ISERROR(SEARCH("Pesquisa de Preços",D11834)))</formula>
    </cfRule>
  </conditionalFormatting>
  <conditionalFormatting sqref="D11840">
    <cfRule type="containsText" dxfId="772" priority="310" operator="containsText" text="Pesquisa de Preços">
      <formula>NOT(ISERROR(SEARCH("Pesquisa de Preços",D11840)))</formula>
    </cfRule>
  </conditionalFormatting>
  <conditionalFormatting sqref="D11842:D11848">
    <cfRule type="containsText" dxfId="771" priority="301" operator="containsText" text="Pesquisa de Preços">
      <formula>NOT(ISERROR(SEARCH("Pesquisa de Preços",D11842)))</formula>
    </cfRule>
  </conditionalFormatting>
  <conditionalFormatting sqref="D11851:D11860">
    <cfRule type="containsText" dxfId="770" priority="245" operator="containsText" text="Pesquisa de Preços">
      <formula>NOT(ISERROR(SEARCH("Pesquisa de Preços",D11851)))</formula>
    </cfRule>
  </conditionalFormatting>
  <conditionalFormatting sqref="D11862:D11868">
    <cfRule type="containsText" dxfId="769" priority="234" operator="containsText" text="Pesquisa de Preços">
      <formula>NOT(ISERROR(SEARCH("Pesquisa de Preços",D11862)))</formula>
    </cfRule>
  </conditionalFormatting>
  <conditionalFormatting sqref="D11870:D11872">
    <cfRule type="containsText" dxfId="768" priority="226" operator="containsText" text="Pesquisa de Preços">
      <formula>NOT(ISERROR(SEARCH("Pesquisa de Preços",D11870)))</formula>
    </cfRule>
  </conditionalFormatting>
  <conditionalFormatting sqref="D11874">
    <cfRule type="containsText" dxfId="767" priority="6" operator="containsText" text="Pesquisa de Preços">
      <formula>NOT(ISERROR(SEARCH("Pesquisa de Preços",D11874)))</formula>
    </cfRule>
  </conditionalFormatting>
  <conditionalFormatting sqref="D11876:D11878">
    <cfRule type="containsText" dxfId="766" priority="3" operator="containsText" text="Pesquisa de Preços">
      <formula>NOT(ISERROR(SEARCH("Pesquisa de Preços",D11876)))</formula>
    </cfRule>
  </conditionalFormatting>
  <conditionalFormatting sqref="D11880">
    <cfRule type="containsText" dxfId="765" priority="208" operator="containsText" text="Pesquisa de Preços">
      <formula>NOT(ISERROR(SEARCH("Pesquisa de Preços",D11880)))</formula>
    </cfRule>
  </conditionalFormatting>
  <conditionalFormatting sqref="D11882:D11884">
    <cfRule type="containsText" dxfId="764" priority="202" operator="containsText" text="Pesquisa de Preços">
      <formula>NOT(ISERROR(SEARCH("Pesquisa de Preços",D11882)))</formula>
    </cfRule>
  </conditionalFormatting>
  <conditionalFormatting sqref="D11886">
    <cfRule type="containsText" dxfId="763" priority="199" operator="containsText" text="Pesquisa de Preços">
      <formula>NOT(ISERROR(SEARCH("Pesquisa de Preços",D11886)))</formula>
    </cfRule>
  </conditionalFormatting>
  <conditionalFormatting sqref="D11888:D11890">
    <cfRule type="containsText" dxfId="762" priority="193" operator="containsText" text="Pesquisa de Preços">
      <formula>NOT(ISERROR(SEARCH("Pesquisa de Preços",D11888)))</formula>
    </cfRule>
  </conditionalFormatting>
  <conditionalFormatting sqref="D11892">
    <cfRule type="containsText" dxfId="761" priority="221" operator="containsText" text="Pesquisa de Preços">
      <formula>NOT(ISERROR(SEARCH("Pesquisa de Preços",D11892)))</formula>
    </cfRule>
  </conditionalFormatting>
  <conditionalFormatting sqref="D11894:D11896">
    <cfRule type="containsText" dxfId="760" priority="213" operator="containsText" text="Pesquisa de Preços">
      <formula>NOT(ISERROR(SEARCH("Pesquisa de Preços",D11894)))</formula>
    </cfRule>
  </conditionalFormatting>
  <conditionalFormatting sqref="D11898">
    <cfRule type="containsText" dxfId="759" priority="192" operator="containsText" text="Pesquisa de Preços">
      <formula>NOT(ISERROR(SEARCH("Pesquisa de Preços",D11898)))</formula>
    </cfRule>
  </conditionalFormatting>
  <conditionalFormatting sqref="D11900:D11902">
    <cfRule type="containsText" dxfId="758" priority="184" operator="containsText" text="Pesquisa de Preços">
      <formula>NOT(ISERROR(SEARCH("Pesquisa de Preços",D11900)))</formula>
    </cfRule>
  </conditionalFormatting>
  <conditionalFormatting sqref="D11904">
    <cfRule type="containsText" dxfId="757" priority="183" operator="containsText" text="Pesquisa de Preços">
      <formula>NOT(ISERROR(SEARCH("Pesquisa de Preços",D11904)))</formula>
    </cfRule>
  </conditionalFormatting>
  <conditionalFormatting sqref="D11906:D11908">
    <cfRule type="containsText" dxfId="756" priority="177" operator="containsText" text="Pesquisa de Preços">
      <formula>NOT(ISERROR(SEARCH("Pesquisa de Preços",D11906)))</formula>
    </cfRule>
  </conditionalFormatting>
  <conditionalFormatting sqref="D11910">
    <cfRule type="containsText" dxfId="755" priority="176" operator="containsText" text="Pesquisa de Preços">
      <formula>NOT(ISERROR(SEARCH("Pesquisa de Preços",D11910)))</formula>
    </cfRule>
  </conditionalFormatting>
  <conditionalFormatting sqref="D11912:D11914">
    <cfRule type="containsText" dxfId="754" priority="170" operator="containsText" text="Pesquisa de Preços">
      <formula>NOT(ISERROR(SEARCH("Pesquisa de Preços",D11912)))</formula>
    </cfRule>
  </conditionalFormatting>
  <conditionalFormatting sqref="D11916">
    <cfRule type="containsText" dxfId="753" priority="154" operator="containsText" text="Pesquisa de Preços">
      <formula>NOT(ISERROR(SEARCH("Pesquisa de Preços",D11916)))</formula>
    </cfRule>
  </conditionalFormatting>
  <conditionalFormatting sqref="D11918:D11924">
    <cfRule type="containsText" dxfId="752" priority="138" operator="containsText" text="Pesquisa de Preços">
      <formula>NOT(ISERROR(SEARCH("Pesquisa de Preços",D11918)))</formula>
    </cfRule>
  </conditionalFormatting>
  <conditionalFormatting sqref="D11926:D11931">
    <cfRule type="containsText" dxfId="751" priority="121" operator="containsText" text="Pesquisa de Preços">
      <formula>NOT(ISERROR(SEARCH("Pesquisa de Preços",D11926)))</formula>
    </cfRule>
  </conditionalFormatting>
  <conditionalFormatting sqref="D11933">
    <cfRule type="containsText" dxfId="750" priority="116" operator="containsText" text="Pesquisa de Preços">
      <formula>NOT(ISERROR(SEARCH("Pesquisa de Preços",D11933)))</formula>
    </cfRule>
  </conditionalFormatting>
  <conditionalFormatting sqref="D11935:D11937">
    <cfRule type="containsText" dxfId="749" priority="110" operator="containsText" text="Pesquisa de Preços">
      <formula>NOT(ISERROR(SEARCH("Pesquisa de Preços",D11935)))</formula>
    </cfRule>
  </conditionalFormatting>
  <conditionalFormatting sqref="D11939">
    <cfRule type="containsText" dxfId="748" priority="60" operator="containsText" text="Pesquisa de Preços">
      <formula>NOT(ISERROR(SEARCH("Pesquisa de Preços",D11939)))</formula>
    </cfRule>
  </conditionalFormatting>
  <conditionalFormatting sqref="D11941:D11943">
    <cfRule type="containsText" dxfId="747" priority="54" operator="containsText" text="Pesquisa de Preços">
      <formula>NOT(ISERROR(SEARCH("Pesquisa de Preços",D11941)))</formula>
    </cfRule>
  </conditionalFormatting>
  <conditionalFormatting sqref="D11945">
    <cfRule type="containsText" dxfId="746" priority="107" operator="containsText" text="Pesquisa de Preços">
      <formula>NOT(ISERROR(SEARCH("Pesquisa de Preços",D11945)))</formula>
    </cfRule>
  </conditionalFormatting>
  <conditionalFormatting sqref="D11947:D11949">
    <cfRule type="containsText" dxfId="745" priority="101" operator="containsText" text="Pesquisa de Preços">
      <formula>NOT(ISERROR(SEARCH("Pesquisa de Preços",D11947)))</formula>
    </cfRule>
  </conditionalFormatting>
  <conditionalFormatting sqref="D11951">
    <cfRule type="containsText" dxfId="744" priority="98" operator="containsText" text="Pesquisa de Preços">
      <formula>NOT(ISERROR(SEARCH("Pesquisa de Preços",D11951)))</formula>
    </cfRule>
  </conditionalFormatting>
  <conditionalFormatting sqref="D11953:D11955">
    <cfRule type="containsText" dxfId="743" priority="92" operator="containsText" text="Pesquisa de Preços">
      <formula>NOT(ISERROR(SEARCH("Pesquisa de Preços",D11953)))</formula>
    </cfRule>
  </conditionalFormatting>
  <conditionalFormatting sqref="D11957">
    <cfRule type="containsText" dxfId="742" priority="89" operator="containsText" text="Pesquisa de Preços">
      <formula>NOT(ISERROR(SEARCH("Pesquisa de Preços",D11957)))</formula>
    </cfRule>
  </conditionalFormatting>
  <conditionalFormatting sqref="D11959:D11961">
    <cfRule type="containsText" dxfId="741" priority="83" operator="containsText" text="Pesquisa de Preços">
      <formula>NOT(ISERROR(SEARCH("Pesquisa de Preços",D11959)))</formula>
    </cfRule>
  </conditionalFormatting>
  <conditionalFormatting sqref="D11963:D11968">
    <cfRule type="containsText" dxfId="740" priority="76" operator="containsText" text="Pesquisa de Preços">
      <formula>NOT(ISERROR(SEARCH("Pesquisa de Preços",D11963)))</formula>
    </cfRule>
  </conditionalFormatting>
  <conditionalFormatting sqref="D11970">
    <cfRule type="containsText" dxfId="739" priority="71" operator="containsText" text="Pesquisa de Preços">
      <formula>NOT(ISERROR(SEARCH("Pesquisa de Preços",D11970)))</formula>
    </cfRule>
  </conditionalFormatting>
  <conditionalFormatting sqref="D11972:D11974">
    <cfRule type="containsText" dxfId="738" priority="65" operator="containsText" text="Pesquisa de Preços">
      <formula>NOT(ISERROR(SEARCH("Pesquisa de Preços",D11972)))</formula>
    </cfRule>
  </conditionalFormatting>
  <conditionalFormatting sqref="D11976">
    <cfRule type="containsText" dxfId="737" priority="14" operator="containsText" text="Pesquisa de Preços">
      <formula>NOT(ISERROR(SEARCH("Pesquisa de Preços",D11976)))</formula>
    </cfRule>
  </conditionalFormatting>
  <conditionalFormatting sqref="D11978:D11979 D11982:D11984">
    <cfRule type="containsText" dxfId="736" priority="9" operator="containsText" text="Pesquisa de Preços">
      <formula>NOT(ISERROR(SEARCH("Pesquisa de Preços",D11978)))</formula>
    </cfRule>
  </conditionalFormatting>
  <conditionalFormatting sqref="D6:E16 D20 D23:E26 D28:E31 D33:E35 D37:E40 D42:E45 D47:E50 D52:E57 D66:E69 D71:E86 D88:D91 D93:E96 D98:E101 D103:E105 D107:E110 D112:E115 D117:E120 D122:E125 D127:E130 D132:E134 D136:E138 D140:E143 D145:E148 D150:E153 D155:E158 D162:E165 D167:E170 D172:E174 D176:E178 D180:E182 D184:E189 D191:D196 D198:E200 D202:E209 D211:E213 D215:E218 D220:E223 D225:D229 D231 D235 D239 D243:D267 D269:D300 D304:D315 D319:D323 D341:D349 D351:D361 D365:D392 D396:D399 D415:D432 D434:D451 D453:D474 D476 D482:D486 D488:D491 D493:D518 D520 D523:D526 D530:D575 D579:D602 D605:D611 D614:D644 D646 D650 D654 D658 D662 D666 D668:D674 D676:D679 D681:D684 D686:D696 D699:D702 D706:D707 D709:D712 D714:D721 D723:D728 D730:D734 D736:D742 D748:E764 D766:D770 D785:D786 D790:D802 D804:D812 D814:E816 D818:D830 D832:D860 D862:D872 D875:E894 D896:D905 D914:D915 D918:E923 D925:D937 D939:E944 D946:D951 D953:D964 D966:E971 D973:E1001 D1003:E1006 D1008:E1020 D1022:E1024 D1026:D1053 D1055:D1074 D1077:D1100 D1107:D1110 D1112:E1115 D1117:E1120 D1122:D1131 D1133:D1273 D1275:D1307 D1309:D1317 D1319:E1323 D1325:E1329 D1331:E1335 D1337:D1404 D1408 D1415:D1419 D1423 D1430:D1434 D1438 D1448:D1449 D1453 D1460:D1464 D1468 D1478:D1479 D1483 D1490:D1494 D1498 D1509:D1512 D1515:D1519 D1521:D1522 D1527:D1531 D1533:D1541 D1543:D1548 D1550:D1574 D1576:D1593 D1596:D1639 D1643:D1645 D1647:D1655 D1658:D1660 D1663:D1699 D1709:D1714 D1719:D1724 D1729:D1734 D1739:D1791 D1794:D1796 D1881:D1884 D1886:D1889 D1891:D1985 D1987:E1990 D1992:D2003 D2005 D2010 D2015:D2017 D2020:E2026 D2028:D2050 D2052:E2058 D2060:D2096 D2099:D2105 D2107:D2113 D2115:D2121 D2123:D2129 D2131:D2137 D2139:D2145 D2147:D2152 D2155:D2156 D2163:D2168 D2171:D2176 D2179:D2187 D2190:D2194 D2196:D2200 D2202:D2206 D2208:E2212 D2216:D2230 D2232:D2246 D2248:D2254 D2257:D2262 D2265:D2266 D2273:D2274 D2278:D2281 D2283:D2288 D2292:D2295 D2297:D2317 D2319 D2322:E2327 D2331:D2333 D2335 D2341:D2343 D2345 D2349:D2353 D2355 D2358:E2363 D2365 D2369:D2373 D2375 D2381:D2391 D2393:D2420 D2422:D2440 D2443:D2444 D2446:D2450 D2452:D2457 D2462:D2466 D2468:D2469 D2474:D2476 D2478:D2480 D2482:D2484 D2486:D2488 D2490:D2492 D2494:D2496 D2498:D2500 D2502:D2504 D2506:D2508 D2510 D2514 D2518 D2522 D2526 D2530 D2534 D2538 D2542 D2546 D2550 D2554 D2558 D2562 D2566 D2570 D2574 D2578 D2582 D2586 D2590 D2594 D2598 D2602 D2606 D2610 D2614 D2618 D2622 D2626 D2630 D2634 D2638 D2642 D2646 D2650:D2652 D2658:D2660 D2666:D2668 D2674 D2678 D2682 D2690 D2694 D2698 D2702 D2706 D2710 D2714 D2718 D2722 D2726 D2730 D2734 D2738 D2744 D2750 D2756 D2762 D2768 D2774 D2780 D2786 D2792 D2798 D2802 D2806 D2810 D2814 D2818 D2822 D2826 D2830 D2834 D2838 D2842 D2846 D2850 D2854:D2855 D2859:D2865 D2869:D2871 D2875:D2876 D2880:D2881 D2885:D2891 D2895 D2900 D2905 D2910 D2917 D2922 D2927 D2932 D2937 D2942 D2947 D2952 D2957:D2958 D2964 D2969 D2974 D2979:D2980 D2987:D2988 D2995:D2996 D3003:D3004 D3011:D3012 D3019 D3024 D3029 D3034 D3039 D3044 D3049 D3054 D3059 D3064 D3069:D3075 D3079 D3084 D3089 D3094 D3099 D3104 D3109 D3114 D3119 D3124:D3125 D3132 D3137:D3138 D3145 D3149:D3152 D3157 D3162:D3166 D3170 D3175 D3180 D3185 D3190 D3195 D3200 D3205 D3210 D3215 D3221:D3223 D3227:D3229 D3233:D3235 D3239:D3240 D3245:D3246 D3250:D3251 D3255:D3257 D3264:D3268 D3272:D3276 D3280:D3281 D3285 D3289:D3292 D3308:D3310 D3314:D3316 D3320:D3322 D3326:D3331 D3337 D3342:D3344 D3349:D3351 D3356:D3358 D3363:D3365 D3370:D3372 D3377:D3379 D3384:D3386 D3391:D3393 D3398:D3400 D3405:D3407 D3411:D3413 D3417:D3419 D3423:D3426 D3432:D3433 D3438:D3440 D3444 D3446:D3447 D3451:D3454 D3458 D3462:D3464 D3466:D3467 D3471 D3475 D3479:D3482 D3486:D3489 D3493:D3496 D3500:D3501 D3505:D3506 D3510:D3511 D3515 D3519 D3523:D3524 D3527 D3533:D3534 D3538 D3544:D3545 D3549 D3556:D3559 D3564:D3569 D3573 D3581:D3584 D3589:D3594 D3598 D3606:D3607 D3615:D3616 D3624:D3627 D3631:D3636 D3640 D3647:D3648 D3653:D3654 D3660:D3663 D3667 D3670 D3674:D3675 D3694:D3697 D3701:D3703 D3707:D3713 D3717:D3718 D3722:D3723 D3727:D3731 D3735 D3739:D3741 D3745:D3754 D3760:D3762 D3768:D3774 D3780:D3787 D3793:D3794 D3798 D3804 D3808:D3814 D3818:D3819 D3824:D3825 D3832:D3835 D3839 D3843 D3847 D3851 D3857 D3863 D3869 D3875 D3881 D3887 D3893 D3899 D3905 D3911 D3916:D3918 D3928:D3929 D3931:D3934 D3938:D3943 D3947:D3951 D3955:D3961 D3967:D3977 D3982 D3984:D3985 D3989:D4003 D4007:D4009 D4014:D4015 D4020:D4021 D4026:D4028 D4036:D4037 D4041:D4045 D4049 D4051:D4055 D4059:D4062 D4067:D4070 D4086:D4095 D4099 D4104 D4108 D4112:D4117 D4121:D4126 D4130:D4135 D4139:D4144 D4148:D4153 D4157:D4162 D4184:D4186 D4190:D4192 D4196:D4199 D4203 D4209 D4213:D4215 D4220:D4223 D4228:D4231 D4236:D4240 D4244 D4250:D4252 D4256:D4258 D4260 D4267:D4268 D4282:D4285 D4290:D4293 D4298:D4299 D4304:D4305 D4310:D4311 D4315:D4321 D4325:D4327 D4331:D4333 D4339:D4343 D4347:D4352 D4358:D4359 D4364 D4368:D4372 D4376 D4381 D4385:D4395 D4401:D4414 D4416:D4422 D4428 D4434:D4440 D4445:D4449 D4453 D4455:D4458 D4463:D4467 D4471 D4473:D4476 D4480:D4481 D4490:D4491 D4498:D4499 D4506:D4512 D4516:D4522 D4526:D4532 D4536:D4537 D4568 D4574:D4588 D4594:D4596 D4602:D4606 D4610:D4612 D4616:D4617 D4621:D4622 D4635:D4639 D4644 D4648 D4650 D4654:D4662 D4666:D4674 D4678:D4682 D4684:D4691 D4697:D4701 D4705:D4710 D4714:D4715 D4722:D4723 D4728:D4734 D4740:D4741 D4755:D4759 D4763 D4765:D4767 D4782:D4784 D4789 D4796:D4801 D4805:D4807 D4809:D4810 D4821 D4827:D4829 D4835 D4839 D4843 D4847 D4851 D4855 D4859 D4863 D4867 D4871:D4872 D4875:D4877 D4882:D4883 D4892:D4898 D4902:D4908 D4912 D4917 D4922 D4927:D4928 D4935:D4936 D4943:D4944 D4951:D4952 D4959:D4960 D4967:D4968 D4975:D4976 D4983:D4984 D4993:D5008 D5011:D5013 D5017 D5019:D5020 D5024 D5026:D5027 D5031 D5033:D5034 D5038 D5040:D5041 D5045 D5052:D5064 D5066:D5071 D5073:D5076 D5078:D5079 D5083:D5085 D5089:D5091 D5093:D5103 D5105:D5117 D5120:D5123 D5125:D5129 D5131:D5163 D5166:D5168 D5172:D5176 D5178:E5182 D5184:E5188 D5226 D5232:D5233 D5238:D5242 D5246:D5250 D5254:D5258 D5262:D5266 D5270:D5272 D5276:D5280 D5292:D5296 D5300:D5304 D5308:D5312 D5316:D5325 D5331:D5340 D5346:D5349 D5353:D5356 D5371:D5373 D5377:D5379 D5381:D5400 D5402:D5405 D5407:D5414 D5416:D5419 D5437:D5439 D5443:D5445 D5456:D5458 D5462:D5464 D5468:D5470 D5474:D5476 D5480:D5482 D5484:E5504 D5507:D5509 D5511:D5538 D5650 D5656 D5662 D5668 D5674 D5680 D5686 D5692 D5698 D5704 D5710 D5716 D5722 D5728 D5734 D5740 D5746 D5752 D5758 D5764 D5770 D5774 D5778 D5782 D5786 D5790 D5794 D5798 D5802 D5806 D5810 D5814 D5818 D5822 D5826 D5830 D5834 D5838 D5842 D5846 D5850 D5854 D5858 D5862 D5866 D5902 D5906 D5910 D5914 D5918 D5922 D5926 D5930 D5934 D5938 D5942 D5946 D5950 D5954 D5958 D5962 D5966 D5970 D5974 D5978 D5982 D5986 D5990 D5994 D5998 D6002 D6006 D6010 D6014 D6018 D6022 D6026 D6030 D6034 D6038 D6042 D6046 D6050 D6054 D6058 D6062 D6066 D6070 D6074 D6078 D6082 D6086 D6090 D6094 D6098 D6102 D6106 D6110 D6114 D6118 D6122 D6126 D6130 D6134 D6138 D6142 D6146 D6150 D6154 D6190 D6194 D6198 D6202 D6206 D6210 D6214 D6218 D6222 D6230 D6238 D6242 D6246 D6250 D6254 D6258 D6262 D6274 D6278 D6286 D6290 D6294 D6298 D6302:D6308 D6310 D6314 D6318 D6320:D6323 D6326:D6328 D6330:D6334 D6337:D6339 D6344:D6349 D6351:D6354 D6356:D6359 D6361:D6367 D6369:D6375 D6377:D6384 D6386:D6390 D6392:D6396 D6398:D6403 D6405:D6409 D6411:D6415 D6417:D6424 D6426:D6435 D6437:D6443 D6445:D6451 D6453:D6458 D6460:D6468 D6470:D6492 D6504:D6511 D6513:D6516 D6518:D6529 D6531:D6539 D6541:D6592 D6594 D6598:D6601 D6603:D6626 D6628:D6632 D6634:D6638 D6641:D6643 D6648:D6650 D6652:D6961 D6963:D6969 D6971:D7113 D7115:D7289 D7291:D7304 D7306 D7312 D7318 D7324 D7330 D7336 D7342 D7348 D7354 D7360 D7414:D7418 D7420:D7423 D7454 D7496:D7504 D7506 D7510 D7514 D7518 D7542 D7546 D7550:D7553 D7557:D7559 D7563:D7567 D7571:D7575 D7580:D7581 D7585:E7586 D7590:E7591 D7593:D7600 D7603:D7605 D7609:D7614 D7618:D7620 D7622:D7630 D7632:D7636 D7638:D7642 D7644:D7648 D7650:D7653 D7655:D7656 D7661:D7666 D7671:D7672 D7676:D7680 D7685:D7687 D7691:D7694 D7698 D7714:D7717 D7722:D7725 D7730:D7733 D7737:D7739 D7743:D7744 D7749:D7750 D7758:D7759 D7764:D7765 D7770:D7774 D7784:D7788 D7799:D7801 D7805 D7809 D7813 D7817 D7821 D7825 D7829 D7833 D7837 D7841 D7845 D7849 D7853 D7857 D7861 D7865 D7869 D7873 D7877 D7881 D7885 D7889 D7893 D7897 D7901 D7905 D7909 D7913 D7917 D7921 D7925 D7929 D7933 D7937 D7941 D7945 D7949 D7953 D7957 D7961 D7965 D7969 D7973 D7977 D7981 D7985 D7989 D7993 D7997 D8001 D8005 D8009 D8013 D8017 D8021 D8025 D8029 D8033 D8037 D8041 D8045 D8049 D8053 D8057 D8065 D8069 D8073 D8077 D8081 D8085 D8089 D8093 D8097 D8105 D8109 D8117 D8121 D8125 D8129 D8133 D8137 D8141 D8145 D8153 D8157 D8161 D8165 D8169 D8173 D8177 D8181 D8185 D8189 D8193 D8201 D8205 D8209 D8213 D8217 D8221 D8225 D8229 D8233 D8237 D8241 D8245 D8249 D8253 D8257 D8261 D8265 D8269 D8273 D8277 D8281 D8285 D8289 D8293 D8297 D8301 D8305 D8309 D8313 D8317 D8321 D8325 D8329 D8333 D8337 D8341 D8345 D8349 D8353 D8357 D8361 D8365 D8373 D8381 D8385 D8389 D8393 D8397 D8401 D8405 D8409 D8413 D8417 D8421 D8425 D8429 D8433 D8437 D8441 D8458 D8462:D8468 D8472:D8478 D8480:E8483 D8487:D8495 D8499 D8503:D8504 D8508:D8509 D8513:D8515 D8519:D8520 D8526:D8528 D8532:D8534 D8543:D8548 D8552 D8560:D8562 D8566:D8571 D8575:D8579 D8583:D8585 D8589:D8591 D8606:D8611 D8620:D8625 D8630:D8633 D8635:D8637 D8641:D8643 D8651:D8653">
    <cfRule type="containsText" dxfId="735" priority="3566" operator="containsText" text="Pesquisa de Preços">
      <formula>NOT(ISERROR(SEARCH("Pesquisa de Preços",D6)))</formula>
    </cfRule>
  </conditionalFormatting>
  <conditionalFormatting sqref="D18:E18 E2483 E3463">
    <cfRule type="containsText" dxfId="734" priority="8198" operator="containsText" text="Pesquisa de Preços">
      <formula>NOT(ISERROR(SEARCH("Pesquisa de Preços",D18)))</formula>
    </cfRule>
  </conditionalFormatting>
  <conditionalFormatting sqref="D59:E64">
    <cfRule type="containsText" dxfId="733" priority="643" operator="containsText" text="Pesquisa de Preços">
      <formula>NOT(ISERROR(SEARCH("Pesquisa de Preços",D59)))</formula>
    </cfRule>
  </conditionalFormatting>
  <conditionalFormatting sqref="D325:E339">
    <cfRule type="containsText" dxfId="732" priority="1250" operator="containsText" text="Pesquisa de Preços">
      <formula>NOT(ISERROR(SEARCH("Pesquisa de Preços",D325)))</formula>
    </cfRule>
  </conditionalFormatting>
  <conditionalFormatting sqref="D401:E413">
    <cfRule type="containsText" dxfId="731" priority="2918" operator="containsText" text="Pesquisa de Preços">
      <formula>NOT(ISERROR(SEARCH("Pesquisa de Preços",D401)))</formula>
    </cfRule>
  </conditionalFormatting>
  <conditionalFormatting sqref="D744:E746">
    <cfRule type="containsText" dxfId="730" priority="7988" operator="containsText" text="Pesquisa de Preços">
      <formula>NOT(ISERROR(SEARCH("Pesquisa de Preços",D744)))</formula>
    </cfRule>
  </conditionalFormatting>
  <conditionalFormatting sqref="D1702:E1704">
    <cfRule type="containsText" dxfId="729" priority="7737" operator="containsText" text="Pesquisa de Preços">
      <formula>NOT(ISERROR(SEARCH("Pesquisa de Preços",D1702)))</formula>
    </cfRule>
  </conditionalFormatting>
  <conditionalFormatting sqref="D2290:E2290">
    <cfRule type="containsText" dxfId="728" priority="7627" operator="containsText" text="Pesquisa de Preços">
      <formula>NOT(ISERROR(SEARCH("Pesquisa de Preços",D2290)))</formula>
    </cfRule>
  </conditionalFormatting>
  <conditionalFormatting sqref="D2459:E2460">
    <cfRule type="containsText" dxfId="727" priority="7562" operator="containsText" text="Pesquisa de Preços">
      <formula>NOT(ISERROR(SEARCH("Pesquisa de Preços",D2459)))</formula>
    </cfRule>
  </conditionalFormatting>
  <conditionalFormatting sqref="D4989:E4991">
    <cfRule type="containsText" dxfId="726" priority="7304" operator="containsText" text="Pesquisa de Preços">
      <formula>NOT(ISERROR(SEARCH("Pesquisa de Preços",D4989)))</formula>
    </cfRule>
  </conditionalFormatting>
  <conditionalFormatting sqref="D5048:E5050">
    <cfRule type="containsText" dxfId="725" priority="7270" operator="containsText" text="Pesquisa de Preços">
      <formula>NOT(ISERROR(SEARCH("Pesquisa de Preços",D5048)))</formula>
    </cfRule>
  </conditionalFormatting>
  <conditionalFormatting sqref="D7425:E7426">
    <cfRule type="containsText" dxfId="724" priority="4641" operator="containsText" text="Pesquisa de Preços">
      <formula>NOT(ISERROR(SEARCH("Pesquisa de Preços",D7425)))</formula>
    </cfRule>
  </conditionalFormatting>
  <conditionalFormatting sqref="D8613:E8615">
    <cfRule type="containsText" dxfId="723" priority="3597" operator="containsText" text="Pesquisa de Preços">
      <formula>NOT(ISERROR(SEARCH("Pesquisa de Preços",D8613)))</formula>
    </cfRule>
  </conditionalFormatting>
  <conditionalFormatting sqref="D8672:E8674">
    <cfRule type="containsText" dxfId="722" priority="3521" operator="containsText" text="Pesquisa de Preços">
      <formula>NOT(ISERROR(SEARCH("Pesquisa de Preços",D8672)))</formula>
    </cfRule>
  </conditionalFormatting>
  <conditionalFormatting sqref="D9545:E9551">
    <cfRule type="containsText" dxfId="721" priority="2809" operator="containsText" text="Pesquisa de Preços">
      <formula>NOT(ISERROR(SEARCH("Pesquisa de Preços",D9545)))</formula>
    </cfRule>
  </conditionalFormatting>
  <conditionalFormatting sqref="D9553:E9559">
    <cfRule type="containsText" dxfId="720" priority="2808" operator="containsText" text="Pesquisa de Preços">
      <formula>NOT(ISERROR(SEARCH("Pesquisa de Preços",D9553)))</formula>
    </cfRule>
  </conditionalFormatting>
  <conditionalFormatting sqref="D9657:E9679">
    <cfRule type="containsText" dxfId="719" priority="36" operator="containsText" text="Pesquisa de Preços">
      <formula>NOT(ISERROR(SEARCH("Pesquisa de Preços",D9657)))</formula>
    </cfRule>
  </conditionalFormatting>
  <conditionalFormatting sqref="D9746:E9771">
    <cfRule type="containsText" dxfId="718" priority="2288" operator="containsText" text="Pesquisa de Preços">
      <formula>NOT(ISERROR(SEARCH("Pesquisa de Preços",D9746)))</formula>
    </cfRule>
  </conditionalFormatting>
  <conditionalFormatting sqref="D10769:E10771">
    <cfRule type="containsText" dxfId="717" priority="2146" operator="containsText" text="Pesquisa de Preços">
      <formula>NOT(ISERROR(SEARCH("Pesquisa de Preços",D10769)))</formula>
    </cfRule>
  </conditionalFormatting>
  <conditionalFormatting sqref="D10775:E10780">
    <cfRule type="containsText" dxfId="716" priority="319" operator="containsText" text="Pesquisa de Preços">
      <formula>NOT(ISERROR(SEARCH("Pesquisa de Preços",D10775)))</formula>
    </cfRule>
  </conditionalFormatting>
  <conditionalFormatting sqref="D11307:E11309">
    <cfRule type="containsText" dxfId="715" priority="1017" operator="containsText" text="Pesquisa de Preços">
      <formula>NOT(ISERROR(SEARCH("Pesquisa de Preços",D11307)))</formula>
    </cfRule>
  </conditionalFormatting>
  <conditionalFormatting sqref="D11325:E11327">
    <cfRule type="containsText" dxfId="714" priority="998" operator="containsText" text="Pesquisa de Preços">
      <formula>NOT(ISERROR(SEARCH("Pesquisa de Preços",D11325)))</formula>
    </cfRule>
  </conditionalFormatting>
  <conditionalFormatting sqref="D11618:E11632">
    <cfRule type="containsText" dxfId="713" priority="33" operator="containsText" text="Pesquisa de Preços">
      <formula>NOT(ISERROR(SEARCH("Pesquisa de Preços",D11618)))</formula>
    </cfRule>
  </conditionalFormatting>
  <conditionalFormatting sqref="D11657:E11662">
    <cfRule type="containsText" dxfId="712" priority="499" operator="containsText" text="Pesquisa de Preços">
      <formula>NOT(ISERROR(SEARCH("Pesquisa de Preços",D11657)))</formula>
    </cfRule>
  </conditionalFormatting>
  <conditionalFormatting sqref="D11708:E11709">
    <cfRule type="containsText" dxfId="711" priority="448" operator="containsText" text="Pesquisa de Preços">
      <formula>NOT(ISERROR(SEARCH("Pesquisa de Preços",D11708)))</formula>
    </cfRule>
  </conditionalFormatting>
  <conditionalFormatting sqref="D11713:E11720">
    <cfRule type="containsText" dxfId="710" priority="461" operator="containsText" text="Pesquisa de Preços">
      <formula>NOT(ISERROR(SEARCH("Pesquisa de Preços",D11713)))</formula>
    </cfRule>
  </conditionalFormatting>
  <conditionalFormatting sqref="D11724:E11745">
    <cfRule type="containsText" dxfId="709" priority="431" operator="containsText" text="Pesquisa de Preços">
      <formula>NOT(ISERROR(SEARCH("Pesquisa de Preços",D11724)))</formula>
    </cfRule>
  </conditionalFormatting>
  <conditionalFormatting sqref="D11749:E11755">
    <cfRule type="containsText" dxfId="708" priority="274" operator="containsText" text="Pesquisa de Preços">
      <formula>NOT(ISERROR(SEARCH("Pesquisa de Preços",D11749)))</formula>
    </cfRule>
  </conditionalFormatting>
  <conditionalFormatting sqref="D11759:E11760">
    <cfRule type="containsText" dxfId="707" priority="405" operator="containsText" text="Pesquisa de Preços">
      <formula>NOT(ISERROR(SEARCH("Pesquisa de Preços",D11759)))</formula>
    </cfRule>
  </conditionalFormatting>
  <conditionalFormatting sqref="D11784:E11785">
    <cfRule type="containsText" dxfId="706" priority="372" operator="containsText" text="Pesquisa de Preços">
      <formula>NOT(ISERROR(SEARCH("Pesquisa de Preços",D11784)))</formula>
    </cfRule>
  </conditionalFormatting>
  <conditionalFormatting sqref="D11810:E11816">
    <cfRule type="containsText" dxfId="705" priority="257" operator="containsText" text="Pesquisa de Preços">
      <formula>NOT(ISERROR(SEARCH("Pesquisa de Preços",D11810)))</formula>
    </cfRule>
  </conditionalFormatting>
  <conditionalFormatting sqref="E88:E89">
    <cfRule type="containsText" dxfId="704" priority="8174" operator="containsText" text="Pesquisa de Preços">
      <formula>NOT(ISERROR(SEARCH("Pesquisa de Preços",E88)))</formula>
    </cfRule>
  </conditionalFormatting>
  <conditionalFormatting sqref="E191:E194">
    <cfRule type="containsText" dxfId="703" priority="8112" operator="containsText" text="Pesquisa de Preços">
      <formula>NOT(ISERROR(SEARCH("Pesquisa de Preços",E191)))</formula>
    </cfRule>
  </conditionalFormatting>
  <conditionalFormatting sqref="E196">
    <cfRule type="containsText" dxfId="702" priority="7434" operator="containsText" text="Pesquisa de Preços">
      <formula>NOT(ISERROR(SEARCH("Pesquisa de Preços",E196)))</formula>
    </cfRule>
  </conditionalFormatting>
  <conditionalFormatting sqref="E225:E228">
    <cfRule type="containsText" dxfId="701" priority="7521" operator="containsText" text="Pesquisa de Preços">
      <formula>NOT(ISERROR(SEARCH("Pesquisa de Preços",E225)))</formula>
    </cfRule>
  </conditionalFormatting>
  <conditionalFormatting sqref="E248:E267">
    <cfRule type="containsText" dxfId="700" priority="6830" operator="containsText" text="Pesquisa de Preços">
      <formula>NOT(ISERROR(SEARCH("Pesquisa de Preços",E248)))</formula>
    </cfRule>
  </conditionalFormatting>
  <conditionalFormatting sqref="E269:E291">
    <cfRule type="containsText" dxfId="699" priority="8071" operator="containsText" text="Pesquisa de Preços">
      <formula>NOT(ISERROR(SEARCH("Pesquisa de Preços",E269)))</formula>
    </cfRule>
  </conditionalFormatting>
  <conditionalFormatting sqref="E295:E298">
    <cfRule type="containsText" dxfId="698" priority="3647" operator="containsText" text="Pesquisa de Preços">
      <formula>NOT(ISERROR(SEARCH("Pesquisa de Preços",E295)))</formula>
    </cfRule>
  </conditionalFormatting>
  <conditionalFormatting sqref="E304:E306">
    <cfRule type="containsText" dxfId="697" priority="4748" operator="containsText" text="Pesquisa de Preços">
      <formula>NOT(ISERROR(SEARCH("Pesquisa de Preços",E304)))</formula>
    </cfRule>
  </conditionalFormatting>
  <conditionalFormatting sqref="E310:E313">
    <cfRule type="containsText" dxfId="696" priority="7507" operator="containsText" text="Pesquisa de Preços">
      <formula>NOT(ISERROR(SEARCH("Pesquisa de Preços",E310)))</formula>
    </cfRule>
  </conditionalFormatting>
  <conditionalFormatting sqref="E319:E321">
    <cfRule type="containsText" dxfId="695" priority="7439" operator="containsText" text="Pesquisa de Preços">
      <formula>NOT(ISERROR(SEARCH("Pesquisa de Preços",E319)))</formula>
    </cfRule>
  </conditionalFormatting>
  <conditionalFormatting sqref="E341:E343">
    <cfRule type="containsText" dxfId="694" priority="8076" operator="containsText" text="Pesquisa de Preços">
      <formula>NOT(ISERROR(SEARCH("Pesquisa de Preços",E341)))</formula>
    </cfRule>
  </conditionalFormatting>
  <conditionalFormatting sqref="E351:E352">
    <cfRule type="containsText" dxfId="693" priority="8074" operator="containsText" text="Pesquisa de Preços">
      <formula>NOT(ISERROR(SEARCH("Pesquisa de Preços",E351)))</formula>
    </cfRule>
  </conditionalFormatting>
  <conditionalFormatting sqref="E355:E358">
    <cfRule type="containsText" dxfId="692" priority="8073" operator="containsText" text="Pesquisa de Preços">
      <formula>NOT(ISERROR(SEARCH("Pesquisa de Preços",E355)))</formula>
    </cfRule>
  </conditionalFormatting>
  <conditionalFormatting sqref="E365:E381">
    <cfRule type="containsText" dxfId="691" priority="7490" operator="containsText" text="Pesquisa de Preços">
      <formula>NOT(ISERROR(SEARCH("Pesquisa de Preços",E365)))</formula>
    </cfRule>
  </conditionalFormatting>
  <conditionalFormatting sqref="E415:E416">
    <cfRule type="containsText" dxfId="690" priority="8058" operator="containsText" text="Pesquisa de Preços">
      <formula>NOT(ISERROR(SEARCH("Pesquisa de Preços",E415)))</formula>
    </cfRule>
  </conditionalFormatting>
  <conditionalFormatting sqref="E421:E427">
    <cfRule type="containsText" dxfId="689" priority="7529" operator="containsText" text="Pesquisa de Preços">
      <formula>NOT(ISERROR(SEARCH("Pesquisa de Preços",E421)))</formula>
    </cfRule>
  </conditionalFormatting>
  <conditionalFormatting sqref="E434:E447">
    <cfRule type="containsText" dxfId="688" priority="8042" operator="containsText" text="Pesquisa de Preços">
      <formula>NOT(ISERROR(SEARCH("Pesquisa de Preços",E434)))</formula>
    </cfRule>
  </conditionalFormatting>
  <conditionalFormatting sqref="E451">
    <cfRule type="containsText" dxfId="687" priority="8043" operator="containsText" text="Pesquisa de Preços">
      <formula>NOT(ISERROR(SEARCH("Pesquisa de Preços",E451)))</formula>
    </cfRule>
  </conditionalFormatting>
  <conditionalFormatting sqref="E453:E472">
    <cfRule type="containsText" dxfId="686" priority="7504" operator="containsText" text="Pesquisa de Preços">
      <formula>NOT(ISERROR(SEARCH("Pesquisa de Preços",E453)))</formula>
    </cfRule>
  </conditionalFormatting>
  <conditionalFormatting sqref="E482:E518">
    <cfRule type="containsText" dxfId="685" priority="7502" operator="containsText" text="Pesquisa de Preços">
      <formula>NOT(ISERROR(SEARCH("Pesquisa de Preços",E482)))</formula>
    </cfRule>
  </conditionalFormatting>
  <conditionalFormatting sqref="E523:E571">
    <cfRule type="containsText" dxfId="684" priority="8008" operator="containsText" text="Pesquisa de Preços">
      <formula>NOT(ISERROR(SEARCH("Pesquisa de Preços",E523)))</formula>
    </cfRule>
  </conditionalFormatting>
  <conditionalFormatting sqref="E579:E595">
    <cfRule type="containsText" dxfId="683" priority="7492" operator="containsText" text="Pesquisa de Preços">
      <formula>NOT(ISERROR(SEARCH("Pesquisa de Preços",E579)))</formula>
    </cfRule>
  </conditionalFormatting>
  <conditionalFormatting sqref="E605">
    <cfRule type="containsText" dxfId="682" priority="7489" operator="containsText" text="Pesquisa de Preços">
      <formula>NOT(ISERROR(SEARCH("Pesquisa de Preços",E605)))</formula>
    </cfRule>
  </conditionalFormatting>
  <conditionalFormatting sqref="E614:E643">
    <cfRule type="containsText" dxfId="681" priority="1960" operator="containsText" text="Pesquisa de Preços">
      <formula>NOT(ISERROR(SEARCH("Pesquisa de Preços",E614)))</formula>
    </cfRule>
  </conditionalFormatting>
  <conditionalFormatting sqref="E668:E669">
    <cfRule type="containsText" dxfId="680" priority="7999" operator="containsText" text="Pesquisa de Preços">
      <formula>NOT(ISERROR(SEARCH("Pesquisa de Preços",E668)))</formula>
    </cfRule>
  </conditionalFormatting>
  <conditionalFormatting sqref="E676:E677">
    <cfRule type="containsText" dxfId="679" priority="8001" operator="containsText" text="Pesquisa de Preços">
      <formula>NOT(ISERROR(SEARCH("Pesquisa de Preços",E676)))</formula>
    </cfRule>
  </conditionalFormatting>
  <conditionalFormatting sqref="E686:E695">
    <cfRule type="containsText" dxfId="678" priority="6196" operator="containsText" text="Pesquisa de Preços">
      <formula>NOT(ISERROR(SEARCH("Pesquisa de Preços",E686)))</formula>
    </cfRule>
  </conditionalFormatting>
  <conditionalFormatting sqref="E714:E715">
    <cfRule type="containsText" dxfId="677" priority="7994" operator="containsText" text="Pesquisa de Preços">
      <formula>NOT(ISERROR(SEARCH("Pesquisa de Preços",E714)))</formula>
    </cfRule>
  </conditionalFormatting>
  <conditionalFormatting sqref="E723:E724">
    <cfRule type="containsText" dxfId="676" priority="7990" operator="containsText" text="Pesquisa de Preços">
      <formula>NOT(ISERROR(SEARCH("Pesquisa de Preços",E723)))</formula>
    </cfRule>
  </conditionalFormatting>
  <conditionalFormatting sqref="E730:E731">
    <cfRule type="containsText" dxfId="675" priority="7992" operator="containsText" text="Pesquisa de Preços">
      <formula>NOT(ISERROR(SEARCH("Pesquisa de Preços",E730)))</formula>
    </cfRule>
  </conditionalFormatting>
  <conditionalFormatting sqref="E736:E737">
    <cfRule type="containsText" dxfId="674" priority="7486" operator="containsText" text="Pesquisa de Preços">
      <formula>NOT(ISERROR(SEARCH("Pesquisa de Preços",E736)))</formula>
    </cfRule>
  </conditionalFormatting>
  <conditionalFormatting sqref="E766:E769">
    <cfRule type="containsText" dxfId="673" priority="7428" operator="containsText" text="Pesquisa de Preços">
      <formula>NOT(ISERROR(SEARCH("Pesquisa de Preços",E766)))</formula>
    </cfRule>
  </conditionalFormatting>
  <conditionalFormatting sqref="E774:E781">
    <cfRule type="containsText" dxfId="672" priority="2279" operator="containsText" text="Pesquisa de Preços">
      <formula>NOT(ISERROR(SEARCH("Pesquisa de Preços",E774)))</formula>
    </cfRule>
  </conditionalFormatting>
  <conditionalFormatting sqref="E790:E791">
    <cfRule type="containsText" dxfId="671" priority="7986" operator="containsText" text="Pesquisa de Preços">
      <formula>NOT(ISERROR(SEARCH("Pesquisa de Preços",E790)))</formula>
    </cfRule>
  </conditionalFormatting>
  <conditionalFormatting sqref="E793:E802">
    <cfRule type="containsText" dxfId="670" priority="7460" operator="containsText" text="Pesquisa de Preços">
      <formula>NOT(ISERROR(SEARCH("Pesquisa de Preços",E793)))</formula>
    </cfRule>
  </conditionalFormatting>
  <conditionalFormatting sqref="E804:E805">
    <cfRule type="containsText" dxfId="669" priority="7970" operator="containsText" text="Pesquisa de Preços">
      <formula>NOT(ISERROR(SEARCH("Pesquisa de Preços",E804)))</formula>
    </cfRule>
  </conditionalFormatting>
  <conditionalFormatting sqref="E807:E812">
    <cfRule type="containsText" dxfId="668" priority="2276" operator="containsText" text="Pesquisa de Preços">
      <formula>NOT(ISERROR(SEARCH("Pesquisa de Preços",E807)))</formula>
    </cfRule>
  </conditionalFormatting>
  <conditionalFormatting sqref="E818:E819">
    <cfRule type="containsText" dxfId="667" priority="7968" operator="containsText" text="Pesquisa de Preços">
      <formula>NOT(ISERROR(SEARCH("Pesquisa de Preços",E818)))</formula>
    </cfRule>
  </conditionalFormatting>
  <conditionalFormatting sqref="E822:E824">
    <cfRule type="containsText" dxfId="666" priority="7969" operator="containsText" text="Pesquisa de Preços">
      <formula>NOT(ISERROR(SEARCH("Pesquisa de Preços",E822)))</formula>
    </cfRule>
  </conditionalFormatting>
  <conditionalFormatting sqref="E826:E830">
    <cfRule type="containsText" dxfId="665" priority="7472" operator="containsText" text="Pesquisa de Preços">
      <formula>NOT(ISERROR(SEARCH("Pesquisa de Preços",E826)))</formula>
    </cfRule>
  </conditionalFormatting>
  <conditionalFormatting sqref="E832:E852">
    <cfRule type="containsText" dxfId="664" priority="7427" operator="containsText" text="Pesquisa de Preços">
      <formula>NOT(ISERROR(SEARCH("Pesquisa de Preços",E832)))</formula>
    </cfRule>
  </conditionalFormatting>
  <conditionalFormatting sqref="E854:E860">
    <cfRule type="containsText" dxfId="663" priority="6195" operator="containsText" text="Pesquisa de Preços">
      <formula>NOT(ISERROR(SEARCH("Pesquisa de Preços",E854)))</formula>
    </cfRule>
  </conditionalFormatting>
  <conditionalFormatting sqref="E862:E869">
    <cfRule type="containsText" dxfId="662" priority="6194" operator="containsText" text="Pesquisa de Preços">
      <formula>NOT(ISERROR(SEARCH("Pesquisa de Preços",E862)))</formula>
    </cfRule>
  </conditionalFormatting>
  <conditionalFormatting sqref="E871:E872">
    <cfRule type="containsText" dxfId="661" priority="7426" operator="containsText" text="Pesquisa de Preços">
      <formula>NOT(ISERROR(SEARCH("Pesquisa de Preços",E871)))</formula>
    </cfRule>
  </conditionalFormatting>
  <conditionalFormatting sqref="E896:E898">
    <cfRule type="containsText" dxfId="660" priority="7589" operator="containsText" text="Pesquisa de Preços">
      <formula>NOT(ISERROR(SEARCH("Pesquisa de Preços",E896)))</formula>
    </cfRule>
  </conditionalFormatting>
  <conditionalFormatting sqref="E900:E905">
    <cfRule type="containsText" dxfId="659" priority="7571" operator="containsText" text="Pesquisa de Preços">
      <formula>NOT(ISERROR(SEARCH("Pesquisa de Preços",E900)))</formula>
    </cfRule>
  </conditionalFormatting>
  <conditionalFormatting sqref="E925:E926">
    <cfRule type="containsText" dxfId="658" priority="7952" operator="containsText" text="Pesquisa de Preços">
      <formula>NOT(ISERROR(SEARCH("Pesquisa de Preços",E925)))</formula>
    </cfRule>
  </conditionalFormatting>
  <conditionalFormatting sqref="E931:E933">
    <cfRule type="containsText" dxfId="657" priority="7953" operator="containsText" text="Pesquisa de Preços">
      <formula>NOT(ISERROR(SEARCH("Pesquisa de Preços",E931)))</formula>
    </cfRule>
  </conditionalFormatting>
  <conditionalFormatting sqref="E946:E947">
    <cfRule type="containsText" dxfId="656" priority="7943" operator="containsText" text="Pesquisa de Preços">
      <formula>NOT(ISERROR(SEARCH("Pesquisa de Preços",E946)))</formula>
    </cfRule>
  </conditionalFormatting>
  <conditionalFormatting sqref="E953:E954">
    <cfRule type="containsText" dxfId="655" priority="7945" operator="containsText" text="Pesquisa de Preços">
      <formula>NOT(ISERROR(SEARCH("Pesquisa de Preços",E953)))</formula>
    </cfRule>
  </conditionalFormatting>
  <conditionalFormatting sqref="E958:E960">
    <cfRule type="containsText" dxfId="654" priority="7946" operator="containsText" text="Pesquisa de Preços">
      <formula>NOT(ISERROR(SEARCH("Pesquisa de Preços",E958)))</formula>
    </cfRule>
  </conditionalFormatting>
  <conditionalFormatting sqref="E1026:E1029">
    <cfRule type="containsText" dxfId="653" priority="7924" operator="containsText" text="Pesquisa de Preços">
      <formula>NOT(ISERROR(SEARCH("Pesquisa de Preços",E1026)))</formula>
    </cfRule>
  </conditionalFormatting>
  <conditionalFormatting sqref="E1031:E1034">
    <cfRule type="containsText" dxfId="652" priority="7922" operator="containsText" text="Pesquisa de Preços">
      <formula>NOT(ISERROR(SEARCH("Pesquisa de Preços",E1031)))</formula>
    </cfRule>
  </conditionalFormatting>
  <conditionalFormatting sqref="E1037:E1038">
    <cfRule type="containsText" dxfId="651" priority="7294" operator="containsText" text="Pesquisa de Preços">
      <formula>NOT(ISERROR(SEARCH("Pesquisa de Preços",E1037)))</formula>
    </cfRule>
  </conditionalFormatting>
  <conditionalFormatting sqref="E1040:E1053">
    <cfRule type="containsText" dxfId="650" priority="7906" operator="containsText" text="Pesquisa de Preços">
      <formula>NOT(ISERROR(SEARCH("Pesquisa de Preços",E1040)))</formula>
    </cfRule>
  </conditionalFormatting>
  <conditionalFormatting sqref="E1055:E1057">
    <cfRule type="containsText" dxfId="649" priority="7912" operator="containsText" text="Pesquisa de Preços">
      <formula>NOT(ISERROR(SEARCH("Pesquisa de Preços",E1055)))</formula>
    </cfRule>
  </conditionalFormatting>
  <conditionalFormatting sqref="E1059:E1063">
    <cfRule type="containsText" dxfId="648" priority="6857" operator="containsText" text="Pesquisa de Preços">
      <formula>NOT(ISERROR(SEARCH("Pesquisa de Preços",E1059)))</formula>
    </cfRule>
  </conditionalFormatting>
  <conditionalFormatting sqref="E1067:E1070">
    <cfRule type="containsText" dxfId="647" priority="7423" operator="containsText" text="Pesquisa de Preços">
      <formula>NOT(ISERROR(SEARCH("Pesquisa de Preços",E1067)))</formula>
    </cfRule>
  </conditionalFormatting>
  <conditionalFormatting sqref="E1077:E1091">
    <cfRule type="containsText" dxfId="646" priority="7422" operator="containsText" text="Pesquisa de Preços">
      <formula>NOT(ISERROR(SEARCH("Pesquisa de Preços",E1077)))</formula>
    </cfRule>
  </conditionalFormatting>
  <conditionalFormatting sqref="E1093:E1096">
    <cfRule type="containsText" dxfId="645" priority="7911" operator="containsText" text="Pesquisa de Preços">
      <formula>NOT(ISERROR(SEARCH("Pesquisa de Preços",E1093)))</formula>
    </cfRule>
  </conditionalFormatting>
  <conditionalFormatting sqref="E1122:E1207">
    <cfRule type="containsText" dxfId="644" priority="6847" operator="containsText" text="Pesquisa de Preços">
      <formula>NOT(ISERROR(SEARCH("Pesquisa de Preços",E1122)))</formula>
    </cfRule>
  </conditionalFormatting>
  <conditionalFormatting sqref="E1209:E1219">
    <cfRule type="containsText" dxfId="643" priority="7474" operator="containsText" text="Pesquisa de Preços">
      <formula>NOT(ISERROR(SEARCH("Pesquisa de Preços",E1209)))</formula>
    </cfRule>
  </conditionalFormatting>
  <conditionalFormatting sqref="E1222:E1225">
    <cfRule type="containsText" dxfId="642" priority="7890" operator="containsText" text="Pesquisa de Preços">
      <formula>NOT(ISERROR(SEARCH("Pesquisa de Preços",E1222)))</formula>
    </cfRule>
  </conditionalFormatting>
  <conditionalFormatting sqref="E1228:E1231">
    <cfRule type="containsText" dxfId="641" priority="5628" operator="containsText" text="Pesquisa de Preços">
      <formula>NOT(ISERROR(SEARCH("Pesquisa de Preços",E1228)))</formula>
    </cfRule>
  </conditionalFormatting>
  <conditionalFormatting sqref="E1234:E1237">
    <cfRule type="containsText" dxfId="640" priority="5624" operator="containsText" text="Pesquisa de Preços">
      <formula>NOT(ISERROR(SEARCH("Pesquisa de Preços",E1234)))</formula>
    </cfRule>
  </conditionalFormatting>
  <conditionalFormatting sqref="E1240:E1256">
    <cfRule type="containsText" dxfId="639" priority="7479" operator="containsText" text="Pesquisa de Preços">
      <formula>NOT(ISERROR(SEARCH("Pesquisa de Preços",E1240)))</formula>
    </cfRule>
  </conditionalFormatting>
  <conditionalFormatting sqref="E1261:E1273">
    <cfRule type="containsText" dxfId="638" priority="7842" operator="containsText" text="Pesquisa de Preços">
      <formula>NOT(ISERROR(SEARCH("Pesquisa de Preços",E1261)))</formula>
    </cfRule>
  </conditionalFormatting>
  <conditionalFormatting sqref="E1275:E1277">
    <cfRule type="containsText" dxfId="637" priority="7840" operator="containsText" text="Pesquisa de Preços">
      <formula>NOT(ISERROR(SEARCH("Pesquisa de Preços",E1275)))</formula>
    </cfRule>
  </conditionalFormatting>
  <conditionalFormatting sqref="E1281:E1284">
    <cfRule type="containsText" dxfId="636" priority="7838" operator="containsText" text="Pesquisa de Preços">
      <formula>NOT(ISERROR(SEARCH("Pesquisa de Preços",E1281)))</formula>
    </cfRule>
  </conditionalFormatting>
  <conditionalFormatting sqref="E1288:E1290">
    <cfRule type="containsText" dxfId="635" priority="7836" operator="containsText" text="Pesquisa de Preços">
      <formula>NOT(ISERROR(SEARCH("Pesquisa de Preços",E1288)))</formula>
    </cfRule>
  </conditionalFormatting>
  <conditionalFormatting sqref="E1293 E1295:E1305">
    <cfRule type="containsText" dxfId="634" priority="7837" operator="containsText" text="Pesquisa de Preços">
      <formula>NOT(ISERROR(SEARCH("Pesquisa de Preços",E1293)))</formula>
    </cfRule>
  </conditionalFormatting>
  <conditionalFormatting sqref="E1311:E1317">
    <cfRule type="containsText" dxfId="633" priority="5611" operator="containsText" text="Pesquisa de Preços">
      <formula>NOT(ISERROR(SEARCH("Pesquisa de Preços",E1311)))</formula>
    </cfRule>
  </conditionalFormatting>
  <conditionalFormatting sqref="E1337:E1346">
    <cfRule type="containsText" dxfId="632" priority="7421" operator="containsText" text="Pesquisa de Preços">
      <formula>NOT(ISERROR(SEARCH("Pesquisa de Preços",E1337)))</formula>
    </cfRule>
  </conditionalFormatting>
  <conditionalFormatting sqref="E1348:E1365">
    <cfRule type="containsText" dxfId="631" priority="3645" operator="containsText" text="Pesquisa de Preços">
      <formula>NOT(ISERROR(SEARCH("Pesquisa de Preços",E1348)))</formula>
    </cfRule>
  </conditionalFormatting>
  <conditionalFormatting sqref="E1367:E1368">
    <cfRule type="containsText" dxfId="630" priority="7814" operator="containsText" text="Pesquisa de Preços">
      <formula>NOT(ISERROR(SEARCH("Pesquisa de Preços",E1367)))</formula>
    </cfRule>
  </conditionalFormatting>
  <conditionalFormatting sqref="E1375">
    <cfRule type="containsText" dxfId="629" priority="7812" operator="containsText" text="Pesquisa de Preços">
      <formula>NOT(ISERROR(SEARCH("Pesquisa de Preços",E1375)))</formula>
    </cfRule>
  </conditionalFormatting>
  <conditionalFormatting sqref="E1381">
    <cfRule type="containsText" dxfId="628" priority="7811" operator="containsText" text="Pesquisa de Preços">
      <formula>NOT(ISERROR(SEARCH("Pesquisa de Preços",E1381)))</formula>
    </cfRule>
  </conditionalFormatting>
  <conditionalFormatting sqref="E1388:E1402">
    <cfRule type="containsText" dxfId="627" priority="3568" operator="containsText" text="Pesquisa de Preços">
      <formula>NOT(ISERROR(SEARCH("Pesquisa de Preços",E1388)))</formula>
    </cfRule>
  </conditionalFormatting>
  <conditionalFormatting sqref="E1415:E1417">
    <cfRule type="containsText" dxfId="626" priority="7785" operator="containsText" text="Pesquisa de Preços">
      <formula>NOT(ISERROR(SEARCH("Pesquisa de Preços",E1415)))</formula>
    </cfRule>
  </conditionalFormatting>
  <conditionalFormatting sqref="E1430:E1432">
    <cfRule type="containsText" dxfId="625" priority="7786" operator="containsText" text="Pesquisa de Preços">
      <formula>NOT(ISERROR(SEARCH("Pesquisa de Preços",E1430)))</formula>
    </cfRule>
  </conditionalFormatting>
  <conditionalFormatting sqref="E1445">
    <cfRule type="containsText" dxfId="624" priority="7788" operator="containsText" text="Pesquisa de Preços">
      <formula>NOT(ISERROR(SEARCH("Pesquisa de Preços",E1445)))</formula>
    </cfRule>
  </conditionalFormatting>
  <conditionalFormatting sqref="E1460:E1462">
    <cfRule type="containsText" dxfId="623" priority="7782" operator="containsText" text="Pesquisa de Preços">
      <formula>NOT(ISERROR(SEARCH("Pesquisa de Preços",E1460)))</formula>
    </cfRule>
  </conditionalFormatting>
  <conditionalFormatting sqref="E1475">
    <cfRule type="containsText" dxfId="622" priority="7784" operator="containsText" text="Pesquisa de Preços">
      <formula>NOT(ISERROR(SEARCH("Pesquisa de Preços",E1475)))</formula>
    </cfRule>
  </conditionalFormatting>
  <conditionalFormatting sqref="E1478">
    <cfRule type="containsText" dxfId="621" priority="7419" operator="containsText" text="Pesquisa de Preços">
      <formula>NOT(ISERROR(SEARCH("Pesquisa de Preços",E1478)))</formula>
    </cfRule>
  </conditionalFormatting>
  <conditionalFormatting sqref="E1490:E1492">
    <cfRule type="containsText" dxfId="620" priority="7781" operator="containsText" text="Pesquisa de Preços">
      <formula>NOT(ISERROR(SEARCH("Pesquisa de Preços",E1490)))</formula>
    </cfRule>
  </conditionalFormatting>
  <conditionalFormatting sqref="E1495">
    <cfRule type="containsText" dxfId="619" priority="7498" operator="containsText" text="Pesquisa de Preços">
      <formula>NOT(ISERROR(SEARCH("Pesquisa de Preços",E1495)))</formula>
    </cfRule>
  </conditionalFormatting>
  <conditionalFormatting sqref="E1505">
    <cfRule type="containsText" dxfId="618" priority="7792" operator="containsText" text="Pesquisa de Preços">
      <formula>NOT(ISERROR(SEARCH("Pesquisa de Preços",E1505)))</formula>
    </cfRule>
  </conditionalFormatting>
  <conditionalFormatting sqref="E1507">
    <cfRule type="containsText" dxfId="617" priority="7420" operator="containsText" text="Pesquisa de Preços">
      <formula>NOT(ISERROR(SEARCH("Pesquisa de Preços",E1507)))</formula>
    </cfRule>
  </conditionalFormatting>
  <conditionalFormatting sqref="E1511">
    <cfRule type="containsText" dxfId="616" priority="7800" operator="containsText" text="Pesquisa de Preços">
      <formula>NOT(ISERROR(SEARCH("Pesquisa de Preços",E1511)))</formula>
    </cfRule>
  </conditionalFormatting>
  <conditionalFormatting sqref="E1517:E1519">
    <cfRule type="containsText" dxfId="615" priority="7801" operator="containsText" text="Pesquisa de Preços">
      <formula>NOT(ISERROR(SEARCH("Pesquisa de Preços",E1517)))</formula>
    </cfRule>
  </conditionalFormatting>
  <conditionalFormatting sqref="E1529:E1531">
    <cfRule type="containsText" dxfId="614" priority="7799" operator="containsText" text="Pesquisa de Preços">
      <formula>NOT(ISERROR(SEARCH("Pesquisa de Preços",E1529)))</formula>
    </cfRule>
  </conditionalFormatting>
  <conditionalFormatting sqref="E1535:E1538">
    <cfRule type="containsText" dxfId="613" priority="7805" operator="containsText" text="Pesquisa de Preços">
      <formula>NOT(ISERROR(SEARCH("Pesquisa de Preços",E1535)))</formula>
    </cfRule>
  </conditionalFormatting>
  <conditionalFormatting sqref="E1543:E1546">
    <cfRule type="containsText" dxfId="612" priority="3644" operator="containsText" text="Pesquisa de Preços">
      <formula>NOT(ISERROR(SEARCH("Pesquisa de Preços",E1543)))</formula>
    </cfRule>
  </conditionalFormatting>
  <conditionalFormatting sqref="E1548">
    <cfRule type="containsText" dxfId="611" priority="7808" operator="containsText" text="Pesquisa de Preços">
      <formula>NOT(ISERROR(SEARCH("Pesquisa de Preços",E1548)))</formula>
    </cfRule>
  </conditionalFormatting>
  <conditionalFormatting sqref="E1550:E1559">
    <cfRule type="containsText" dxfId="610" priority="1254" operator="containsText" text="Pesquisa de Preços">
      <formula>NOT(ISERROR(SEARCH("Pesquisa de Preços",E1550)))</formula>
    </cfRule>
  </conditionalFormatting>
  <conditionalFormatting sqref="E1561:E1580">
    <cfRule type="containsText" dxfId="609" priority="3643" operator="containsText" text="Pesquisa de Preços">
      <formula>NOT(ISERROR(SEARCH("Pesquisa de Preços",E1561)))</formula>
    </cfRule>
  </conditionalFormatting>
  <conditionalFormatting sqref="E1585:E1587">
    <cfRule type="containsText" dxfId="608" priority="7771" operator="containsText" text="Pesquisa de Preços">
      <formula>NOT(ISERROR(SEARCH("Pesquisa de Preços",E1585)))</formula>
    </cfRule>
  </conditionalFormatting>
  <conditionalFormatting sqref="E1592">
    <cfRule type="containsText" dxfId="607" priority="7772" operator="containsText" text="Pesquisa de Preços">
      <formula>NOT(ISERROR(SEARCH("Pesquisa de Preços",E1592)))</formula>
    </cfRule>
  </conditionalFormatting>
  <conditionalFormatting sqref="E1599:E1602">
    <cfRule type="containsText" dxfId="606" priority="7464" operator="containsText" text="Pesquisa de Preços">
      <formula>NOT(ISERROR(SEARCH("Pesquisa de Preços",E1599)))</formula>
    </cfRule>
  </conditionalFormatting>
  <conditionalFormatting sqref="E1604:E1639">
    <cfRule type="containsText" dxfId="605" priority="3636" operator="containsText" text="Pesquisa de Preços">
      <formula>NOT(ISERROR(SEARCH("Pesquisa de Preços",E1604)))</formula>
    </cfRule>
  </conditionalFormatting>
  <conditionalFormatting sqref="E1644:E1645">
    <cfRule type="containsText" dxfId="604" priority="3635" operator="containsText" text="Pesquisa de Preços">
      <formula>NOT(ISERROR(SEARCH("Pesquisa de Preços",E1644)))</formula>
    </cfRule>
  </conditionalFormatting>
  <conditionalFormatting sqref="E1647:E1649">
    <cfRule type="containsText" dxfId="603" priority="7454" operator="containsText" text="Pesquisa de Preços">
      <formula>NOT(ISERROR(SEARCH("Pesquisa de Preços",E1647)))</formula>
    </cfRule>
  </conditionalFormatting>
  <conditionalFormatting sqref="E1651:E1654">
    <cfRule type="containsText" dxfId="602" priority="7742" operator="containsText" text="Pesquisa de Preços">
      <formula>NOT(ISERROR(SEARCH("Pesquisa de Preços",E1651)))</formula>
    </cfRule>
  </conditionalFormatting>
  <conditionalFormatting sqref="E1658:E1659">
    <cfRule type="containsText" dxfId="601" priority="7743" operator="containsText" text="Pesquisa de Preços">
      <formula>NOT(ISERROR(SEARCH("Pesquisa de Preços",E1658)))</formula>
    </cfRule>
  </conditionalFormatting>
  <conditionalFormatting sqref="E1663:E1664">
    <cfRule type="containsText" dxfId="600" priority="7747" operator="containsText" text="Pesquisa de Preços">
      <formula>NOT(ISERROR(SEARCH("Pesquisa de Preços",E1663)))</formula>
    </cfRule>
  </conditionalFormatting>
  <conditionalFormatting sqref="E1666:E1669">
    <cfRule type="containsText" dxfId="599" priority="7748" operator="containsText" text="Pesquisa de Preços">
      <formula>NOT(ISERROR(SEARCH("Pesquisa de Preços",E1666)))</formula>
    </cfRule>
  </conditionalFormatting>
  <conditionalFormatting sqref="E1672:E1685">
    <cfRule type="containsText" dxfId="598" priority="3634" operator="containsText" text="Pesquisa de Preços">
      <formula>NOT(ISERROR(SEARCH("Pesquisa de Preços",E1672)))</formula>
    </cfRule>
  </conditionalFormatting>
  <conditionalFormatting sqref="E1687:E1690">
    <cfRule type="containsText" dxfId="597" priority="7733" operator="containsText" text="Pesquisa de Preços">
      <formula>NOT(ISERROR(SEARCH("Pesquisa de Preços",E1687)))</formula>
    </cfRule>
  </conditionalFormatting>
  <conditionalFormatting sqref="E1692:E1695">
    <cfRule type="containsText" dxfId="596" priority="7731" operator="containsText" text="Pesquisa de Preços">
      <formula>NOT(ISERROR(SEARCH("Pesquisa de Preços",E1692)))</formula>
    </cfRule>
  </conditionalFormatting>
  <conditionalFormatting sqref="E1698:E1699">
    <cfRule type="containsText" dxfId="595" priority="7730" operator="containsText" text="Pesquisa de Preços">
      <formula>NOT(ISERROR(SEARCH("Pesquisa de Preços",E1698)))</formula>
    </cfRule>
  </conditionalFormatting>
  <conditionalFormatting sqref="E1711:E1714">
    <cfRule type="containsText" dxfId="594" priority="7735" operator="containsText" text="Pesquisa de Preços">
      <formula>NOT(ISERROR(SEARCH("Pesquisa de Preços",E1711)))</formula>
    </cfRule>
  </conditionalFormatting>
  <conditionalFormatting sqref="E1721:E1724">
    <cfRule type="containsText" dxfId="593" priority="1151" operator="containsText" text="Pesquisa de Preços">
      <formula>NOT(ISERROR(SEARCH("Pesquisa de Preços",E1721)))</formula>
    </cfRule>
  </conditionalFormatting>
  <conditionalFormatting sqref="E1731:E1734">
    <cfRule type="containsText" dxfId="592" priority="1149" operator="containsText" text="Pesquisa de Preços">
      <formula>NOT(ISERROR(SEARCH("Pesquisa de Preços",E1731)))</formula>
    </cfRule>
  </conditionalFormatting>
  <conditionalFormatting sqref="E1741:E1764">
    <cfRule type="containsText" dxfId="591" priority="3633" operator="containsText" text="Pesquisa de Preços">
      <formula>NOT(ISERROR(SEARCH("Pesquisa de Preços",E1741)))</formula>
    </cfRule>
  </conditionalFormatting>
  <conditionalFormatting sqref="E1767:E1776">
    <cfRule type="containsText" dxfId="590" priority="3628" operator="containsText" text="Pesquisa de Preços">
      <formula>NOT(ISERROR(SEARCH("Pesquisa de Preços",E1767)))</formula>
    </cfRule>
  </conditionalFormatting>
  <conditionalFormatting sqref="E1783:E1785">
    <cfRule type="containsText" dxfId="589" priority="7544" operator="containsText" text="Pesquisa de Preços">
      <formula>NOT(ISERROR(SEARCH("Pesquisa de Preços",E1783)))</formula>
    </cfRule>
  </conditionalFormatting>
  <conditionalFormatting sqref="E1788:E1790">
    <cfRule type="containsText" dxfId="588" priority="3626" operator="containsText" text="Pesquisa de Preços">
      <formula>NOT(ISERROR(SEARCH("Pesquisa de Preços",E1788)))</formula>
    </cfRule>
  </conditionalFormatting>
  <conditionalFormatting sqref="E1881:E1882">
    <cfRule type="containsText" dxfId="587" priority="7726" operator="containsText" text="Pesquisa de Preços">
      <formula>NOT(ISERROR(SEARCH("Pesquisa de Preços",E1881)))</formula>
    </cfRule>
  </conditionalFormatting>
  <conditionalFormatting sqref="E1886:E1887">
    <cfRule type="containsText" dxfId="586" priority="7728" operator="containsText" text="Pesquisa de Preços">
      <formula>NOT(ISERROR(SEARCH("Pesquisa de Preços",E1886)))</formula>
    </cfRule>
  </conditionalFormatting>
  <conditionalFormatting sqref="E1891:E1896">
    <cfRule type="containsText" dxfId="585" priority="7453" operator="containsText" text="Pesquisa de Preços">
      <formula>NOT(ISERROR(SEARCH("Pesquisa de Preços",E1891)))</formula>
    </cfRule>
  </conditionalFormatting>
  <conditionalFormatting sqref="E1902:E1927">
    <cfRule type="containsText" dxfId="584" priority="7450" operator="containsText" text="Pesquisa de Preços">
      <formula>NOT(ISERROR(SEARCH("Pesquisa de Preços",E1902)))</formula>
    </cfRule>
  </conditionalFormatting>
  <conditionalFormatting sqref="E1933">
    <cfRule type="containsText" dxfId="583" priority="7710" operator="containsText" text="Pesquisa de Preços">
      <formula>NOT(ISERROR(SEARCH("Pesquisa de Preços",E1933)))</formula>
    </cfRule>
  </conditionalFormatting>
  <conditionalFormatting sqref="E1939">
    <cfRule type="containsText" dxfId="582" priority="7706" operator="containsText" text="Pesquisa de Preços">
      <formula>NOT(ISERROR(SEARCH("Pesquisa de Preços",E1939)))</formula>
    </cfRule>
  </conditionalFormatting>
  <conditionalFormatting sqref="E1945">
    <cfRule type="containsText" dxfId="581" priority="7708" operator="containsText" text="Pesquisa de Preços">
      <formula>NOT(ISERROR(SEARCH("Pesquisa de Preços",E1945)))</formula>
    </cfRule>
  </conditionalFormatting>
  <conditionalFormatting sqref="E1951">
    <cfRule type="containsText" dxfId="580" priority="7705" operator="containsText" text="Pesquisa de Preços">
      <formula>NOT(ISERROR(SEARCH("Pesquisa de Preços",E1951)))</formula>
    </cfRule>
  </conditionalFormatting>
  <conditionalFormatting sqref="E1957">
    <cfRule type="containsText" dxfId="579" priority="7704" operator="containsText" text="Pesquisa de Preços">
      <formula>NOT(ISERROR(SEARCH("Pesquisa de Preços",E1957)))</formula>
    </cfRule>
  </conditionalFormatting>
  <conditionalFormatting sqref="E1963">
    <cfRule type="containsText" dxfId="578" priority="7707" operator="containsText" text="Pesquisa de Preços">
      <formula>NOT(ISERROR(SEARCH("Pesquisa de Preços",E1963)))</formula>
    </cfRule>
  </conditionalFormatting>
  <conditionalFormatting sqref="E1969:E1981">
    <cfRule type="containsText" dxfId="577" priority="7698" operator="containsText" text="Pesquisa de Preços">
      <formula>NOT(ISERROR(SEARCH("Pesquisa de Preços",E1969)))</formula>
    </cfRule>
  </conditionalFormatting>
  <conditionalFormatting sqref="E1992:E1994">
    <cfRule type="containsText" dxfId="576" priority="7696" operator="containsText" text="Pesquisa de Preços">
      <formula>NOT(ISERROR(SEARCH("Pesquisa de Preços",E1992)))</formula>
    </cfRule>
  </conditionalFormatting>
  <conditionalFormatting sqref="E1996:E2002">
    <cfRule type="containsText" dxfId="575" priority="7430" operator="containsText" text="Pesquisa de Preços">
      <formula>NOT(ISERROR(SEARCH("Pesquisa de Preços",E1996)))</formula>
    </cfRule>
  </conditionalFormatting>
  <conditionalFormatting sqref="E2016:E2017">
    <cfRule type="containsText" dxfId="574" priority="5487" operator="containsText" text="Pesquisa de Preços">
      <formula>NOT(ISERROR(SEARCH("Pesquisa de Preços",E2016)))</formula>
    </cfRule>
  </conditionalFormatting>
  <conditionalFormatting sqref="E2029:E2050">
    <cfRule type="containsText" dxfId="573" priority="5621" operator="containsText" text="Pesquisa de Preços">
      <formula>NOT(ISERROR(SEARCH("Pesquisa de Preços",E2029)))</formula>
    </cfRule>
  </conditionalFormatting>
  <conditionalFormatting sqref="E2060:E2095">
    <cfRule type="containsText" dxfId="572" priority="5615" operator="containsText" text="Pesquisa de Preços">
      <formula>NOT(ISERROR(SEARCH("Pesquisa de Preços",E2060)))</formula>
    </cfRule>
  </conditionalFormatting>
  <conditionalFormatting sqref="E2101:E2105">
    <cfRule type="containsText" dxfId="571" priority="7536" operator="containsText" text="Pesquisa de Preços">
      <formula>NOT(ISERROR(SEARCH("Pesquisa de Preços",E2101)))</formula>
    </cfRule>
  </conditionalFormatting>
  <conditionalFormatting sqref="E2109:E2113">
    <cfRule type="containsText" dxfId="570" priority="7649" operator="containsText" text="Pesquisa de Preços">
      <formula>NOT(ISERROR(SEARCH("Pesquisa de Preços",E2109)))</formula>
    </cfRule>
  </conditionalFormatting>
  <conditionalFormatting sqref="E2117:E2121">
    <cfRule type="containsText" dxfId="569" priority="7644" operator="containsText" text="Pesquisa de Preços">
      <formula>NOT(ISERROR(SEARCH("Pesquisa de Preços",E2117)))</formula>
    </cfRule>
  </conditionalFormatting>
  <conditionalFormatting sqref="E2125:E2129">
    <cfRule type="containsText" dxfId="568" priority="7645" operator="containsText" text="Pesquisa de Preços">
      <formula>NOT(ISERROR(SEARCH("Pesquisa de Preços",E2125)))</formula>
    </cfRule>
  </conditionalFormatting>
  <conditionalFormatting sqref="E2133:E2137">
    <cfRule type="containsText" dxfId="567" priority="7646" operator="containsText" text="Pesquisa de Preços">
      <formula>NOT(ISERROR(SEARCH("Pesquisa de Preços",E2133)))</formula>
    </cfRule>
  </conditionalFormatting>
  <conditionalFormatting sqref="E2141:E2145">
    <cfRule type="containsText" dxfId="566" priority="7642" operator="containsText" text="Pesquisa de Preços">
      <formula>NOT(ISERROR(SEARCH("Pesquisa de Preços",E2141)))</formula>
    </cfRule>
  </conditionalFormatting>
  <conditionalFormatting sqref="E2149:E2151">
    <cfRule type="containsText" dxfId="565" priority="7643" operator="containsText" text="Pesquisa de Preços">
      <formula>NOT(ISERROR(SEARCH("Pesquisa de Preços",E2149)))</formula>
    </cfRule>
  </conditionalFormatting>
  <conditionalFormatting sqref="E2165:E2167">
    <cfRule type="containsText" dxfId="564" priority="7537" operator="containsText" text="Pesquisa de Preços">
      <formula>NOT(ISERROR(SEARCH("Pesquisa de Preços",E2165)))</formula>
    </cfRule>
  </conditionalFormatting>
  <conditionalFormatting sqref="E2173:E2175">
    <cfRule type="containsText" dxfId="563" priority="7639" operator="containsText" text="Pesquisa de Preços">
      <formula>NOT(ISERROR(SEARCH("Pesquisa de Preços",E2173)))</formula>
    </cfRule>
  </conditionalFormatting>
  <conditionalFormatting sqref="E2181:E2185">
    <cfRule type="containsText" dxfId="562" priority="7633" operator="containsText" text="Pesquisa de Preços">
      <formula>NOT(ISERROR(SEARCH("Pesquisa de Preços",E2181)))</formula>
    </cfRule>
  </conditionalFormatting>
  <conditionalFormatting sqref="E2196:E2198">
    <cfRule type="containsText" dxfId="561" priority="7663" operator="containsText" text="Pesquisa de Preços">
      <formula>NOT(ISERROR(SEARCH("Pesquisa de Preços",E2196)))</formula>
    </cfRule>
  </conditionalFormatting>
  <conditionalFormatting sqref="E2200">
    <cfRule type="containsText" dxfId="560" priority="6827" operator="containsText" text="Pesquisa de Preços">
      <formula>NOT(ISERROR(SEARCH("Pesquisa de Preços",E2200)))</formula>
    </cfRule>
  </conditionalFormatting>
  <conditionalFormatting sqref="E2203:E2204">
    <cfRule type="containsText" dxfId="559" priority="7416" operator="containsText" text="Pesquisa de Preços">
      <formula>NOT(ISERROR(SEARCH("Pesquisa de Preços",E2203)))</formula>
    </cfRule>
  </conditionalFormatting>
  <conditionalFormatting sqref="E2219:E2223">
    <cfRule type="containsText" dxfId="558" priority="7657" operator="containsText" text="Pesquisa de Preços">
      <formula>NOT(ISERROR(SEARCH("Pesquisa de Preços",E2219)))</formula>
    </cfRule>
  </conditionalFormatting>
  <conditionalFormatting sqref="E2226:E2230">
    <cfRule type="containsText" dxfId="557" priority="7415" operator="containsText" text="Pesquisa de Preços">
      <formula>NOT(ISERROR(SEARCH("Pesquisa de Preços",E2226)))</formula>
    </cfRule>
  </conditionalFormatting>
  <conditionalFormatting sqref="E2235:E2239">
    <cfRule type="containsText" dxfId="556" priority="7655" operator="containsText" text="Pesquisa de Preços">
      <formula>NOT(ISERROR(SEARCH("Pesquisa de Preços",E2235)))</formula>
    </cfRule>
  </conditionalFormatting>
  <conditionalFormatting sqref="E2243:E2245">
    <cfRule type="containsText" dxfId="555" priority="7659" operator="containsText" text="Pesquisa de Preços">
      <formula>NOT(ISERROR(SEARCH("Pesquisa de Preços",E2243)))</formula>
    </cfRule>
  </conditionalFormatting>
  <conditionalFormatting sqref="E2251:E2253">
    <cfRule type="containsText" dxfId="554" priority="7656" operator="containsText" text="Pesquisa de Preços">
      <formula>NOT(ISERROR(SEARCH("Pesquisa de Preços",E2251)))</formula>
    </cfRule>
  </conditionalFormatting>
  <conditionalFormatting sqref="E2259:E2261">
    <cfRule type="containsText" dxfId="553" priority="7654" operator="containsText" text="Pesquisa de Preços">
      <formula>NOT(ISERROR(SEARCH("Pesquisa de Preços",E2259)))</formula>
    </cfRule>
  </conditionalFormatting>
  <conditionalFormatting sqref="E2278:E2280">
    <cfRule type="containsText" dxfId="552" priority="7631" operator="containsText" text="Pesquisa de Preços">
      <formula>NOT(ISERROR(SEARCH("Pesquisa de Preços",E2278)))</formula>
    </cfRule>
  </conditionalFormatting>
  <conditionalFormatting sqref="E2283:E2285">
    <cfRule type="containsText" dxfId="551" priority="7629" operator="containsText" text="Pesquisa de Preços">
      <formula>NOT(ISERROR(SEARCH("Pesquisa de Preços",E2283)))</formula>
    </cfRule>
  </conditionalFormatting>
  <conditionalFormatting sqref="E2287:E2288">
    <cfRule type="containsText" dxfId="550" priority="7628" operator="containsText" text="Pesquisa de Preços">
      <formula>NOT(ISERROR(SEARCH("Pesquisa de Preços",E2287)))</formula>
    </cfRule>
  </conditionalFormatting>
  <conditionalFormatting sqref="E2297:E2298">
    <cfRule type="containsText" dxfId="549" priority="7623" operator="containsText" text="Pesquisa de Preços">
      <formula>NOT(ISERROR(SEARCH("Pesquisa de Preços",E2297)))</formula>
    </cfRule>
  </conditionalFormatting>
  <conditionalFormatting sqref="E2301:E2304">
    <cfRule type="containsText" dxfId="548" priority="5485" operator="containsText" text="Pesquisa de Preços">
      <formula>NOT(ISERROR(SEARCH("Pesquisa de Preços",E2301)))</formula>
    </cfRule>
  </conditionalFormatting>
  <conditionalFormatting sqref="E2307:E2317">
    <cfRule type="containsText" dxfId="547" priority="7062" operator="containsText" text="Pesquisa de Preços">
      <formula>NOT(ISERROR(SEARCH("Pesquisa de Preços",E2307)))</formula>
    </cfRule>
  </conditionalFormatting>
  <conditionalFormatting sqref="E2349:E2350">
    <cfRule type="containsText" dxfId="546" priority="7614" operator="containsText" text="Pesquisa de Preços">
      <formula>NOT(ISERROR(SEARCH("Pesquisa de Preços",E2349)))</formula>
    </cfRule>
  </conditionalFormatting>
  <conditionalFormatting sqref="E2369:E2370">
    <cfRule type="containsText" dxfId="545" priority="7618" operator="containsText" text="Pesquisa de Preços">
      <formula>NOT(ISERROR(SEARCH("Pesquisa de Preços",E2369)))</formula>
    </cfRule>
  </conditionalFormatting>
  <conditionalFormatting sqref="E2385:E2388">
    <cfRule type="containsText" dxfId="544" priority="7607" operator="containsText" text="Pesquisa de Preços">
      <formula>NOT(ISERROR(SEARCH("Pesquisa de Preços",E2385)))</formula>
    </cfRule>
  </conditionalFormatting>
  <conditionalFormatting sqref="E2391">
    <cfRule type="containsText" dxfId="543" priority="7608" operator="containsText" text="Pesquisa de Preços">
      <formula>NOT(ISERROR(SEARCH("Pesquisa de Preços",E2391)))</formula>
    </cfRule>
  </conditionalFormatting>
  <conditionalFormatting sqref="E2393:E2394">
    <cfRule type="containsText" dxfId="542" priority="7596" operator="containsText" text="Pesquisa de Preços">
      <formula>NOT(ISERROR(SEARCH("Pesquisa de Preços",E2393)))</formula>
    </cfRule>
  </conditionalFormatting>
  <conditionalFormatting sqref="E2396:E2401">
    <cfRule type="containsText" dxfId="541" priority="7595" operator="containsText" text="Pesquisa de Preços">
      <formula>NOT(ISERROR(SEARCH("Pesquisa de Preços",E2396)))</formula>
    </cfRule>
  </conditionalFormatting>
  <conditionalFormatting sqref="E2404:E2407">
    <cfRule type="containsText" dxfId="540" priority="7602" operator="containsText" text="Pesquisa de Preços">
      <formula>NOT(ISERROR(SEARCH("Pesquisa de Preços",E2404)))</formula>
    </cfRule>
  </conditionalFormatting>
  <conditionalFormatting sqref="E2410:E2419">
    <cfRule type="containsText" dxfId="539" priority="7446" operator="containsText" text="Pesquisa de Preços">
      <formula>NOT(ISERROR(SEARCH("Pesquisa de Preços",E2410)))</formula>
    </cfRule>
  </conditionalFormatting>
  <conditionalFormatting sqref="E2422:E2428">
    <cfRule type="containsText" dxfId="538" priority="7591" operator="containsText" text="Pesquisa de Preços">
      <formula>NOT(ISERROR(SEARCH("Pesquisa de Preços",E2422)))</formula>
    </cfRule>
  </conditionalFormatting>
  <conditionalFormatting sqref="E2430:E2440">
    <cfRule type="containsText" dxfId="537" priority="7564" operator="containsText" text="Pesquisa de Preços">
      <formula>NOT(ISERROR(SEARCH("Pesquisa de Preços",E2430)))</formula>
    </cfRule>
  </conditionalFormatting>
  <conditionalFormatting sqref="E2446:E2448">
    <cfRule type="containsText" dxfId="536" priority="7442" operator="containsText" text="Pesquisa de Preços">
      <formula>NOT(ISERROR(SEARCH("Pesquisa de Preços",E2446)))</formula>
    </cfRule>
  </conditionalFormatting>
  <conditionalFormatting sqref="E2450">
    <cfRule type="containsText" dxfId="535" priority="7568" operator="containsText" text="Pesquisa de Preços">
      <formula>NOT(ISERROR(SEARCH("Pesquisa de Preços",E2450)))</formula>
    </cfRule>
  </conditionalFormatting>
  <conditionalFormatting sqref="E2452:E2455">
    <cfRule type="containsText" dxfId="534" priority="7445" operator="containsText" text="Pesquisa de Preços">
      <formula>NOT(ISERROR(SEARCH("Pesquisa de Preços",E2452)))</formula>
    </cfRule>
  </conditionalFormatting>
  <conditionalFormatting sqref="E2465">
    <cfRule type="containsText" dxfId="533" priority="7563" operator="containsText" text="Pesquisa de Preços">
      <formula>NOT(ISERROR(SEARCH("Pesquisa de Preços",E2465)))</formula>
    </cfRule>
  </conditionalFormatting>
  <conditionalFormatting sqref="E2475">
    <cfRule type="containsText" dxfId="532" priority="6798" operator="containsText" text="Pesquisa de Preços">
      <formula>NOT(ISERROR(SEARCH("Pesquisa de Preços",E2475)))</formula>
    </cfRule>
  </conditionalFormatting>
  <conditionalFormatting sqref="E2479">
    <cfRule type="containsText" dxfId="531" priority="6793" operator="containsText" text="Pesquisa de Preços">
      <formula>NOT(ISERROR(SEARCH("Pesquisa de Preços",E2479)))</formula>
    </cfRule>
  </conditionalFormatting>
  <conditionalFormatting sqref="E2487">
    <cfRule type="containsText" dxfId="530" priority="6788" operator="containsText" text="Pesquisa de Preços">
      <formula>NOT(ISERROR(SEARCH("Pesquisa de Preços",E2487)))</formula>
    </cfRule>
  </conditionalFormatting>
  <conditionalFormatting sqref="E2491">
    <cfRule type="containsText" dxfId="529" priority="6783" operator="containsText" text="Pesquisa de Preços">
      <formula>NOT(ISERROR(SEARCH("Pesquisa de Preços",E2491)))</formula>
    </cfRule>
  </conditionalFormatting>
  <conditionalFormatting sqref="E2495">
    <cfRule type="containsText" dxfId="528" priority="6778" operator="containsText" text="Pesquisa de Preços">
      <formula>NOT(ISERROR(SEARCH("Pesquisa de Preços",E2495)))</formula>
    </cfRule>
  </conditionalFormatting>
  <conditionalFormatting sqref="E2499">
    <cfRule type="containsText" dxfId="527" priority="6773" operator="containsText" text="Pesquisa de Preços">
      <formula>NOT(ISERROR(SEARCH("Pesquisa de Preços",E2499)))</formula>
    </cfRule>
  </conditionalFormatting>
  <conditionalFormatting sqref="E2503">
    <cfRule type="containsText" dxfId="526" priority="6768" operator="containsText" text="Pesquisa de Preços">
      <formula>NOT(ISERROR(SEARCH("Pesquisa de Preços",E2503)))</formula>
    </cfRule>
  </conditionalFormatting>
  <conditionalFormatting sqref="E2507">
    <cfRule type="containsText" dxfId="525" priority="6763" operator="containsText" text="Pesquisa de Preços">
      <formula>NOT(ISERROR(SEARCH("Pesquisa de Preços",E2507)))</formula>
    </cfRule>
  </conditionalFormatting>
  <conditionalFormatting sqref="E4993:E4996">
    <cfRule type="containsText" dxfId="524" priority="7303" operator="containsText" text="Pesquisa de Preços">
      <formula>NOT(ISERROR(SEARCH("Pesquisa de Preços",E4993)))</formula>
    </cfRule>
  </conditionalFormatting>
  <conditionalFormatting sqref="E4998:E5005">
    <cfRule type="containsText" dxfId="523" priority="5576" operator="containsText" text="Pesquisa de Preços">
      <formula>NOT(ISERROR(SEARCH("Pesquisa de Preços",E4998)))</formula>
    </cfRule>
  </conditionalFormatting>
  <conditionalFormatting sqref="E5007">
    <cfRule type="containsText" dxfId="522" priority="7298" operator="containsText" text="Pesquisa de Preços">
      <formula>NOT(ISERROR(SEARCH("Pesquisa de Preços",E5007)))</formula>
    </cfRule>
  </conditionalFormatting>
  <conditionalFormatting sqref="E5054:E5057">
    <cfRule type="containsText" dxfId="521" priority="7266" operator="containsText" text="Pesquisa de Preços">
      <formula>NOT(ISERROR(SEARCH("Pesquisa de Preços",E5054)))</formula>
    </cfRule>
  </conditionalFormatting>
  <conditionalFormatting sqref="E5061:E5064">
    <cfRule type="containsText" dxfId="520" priority="7260" operator="containsText" text="Pesquisa de Preços">
      <formula>NOT(ISERROR(SEARCH("Pesquisa de Preços",E5061)))</formula>
    </cfRule>
  </conditionalFormatting>
  <conditionalFormatting sqref="E5068:E5071">
    <cfRule type="containsText" dxfId="519" priority="5573" operator="containsText" text="Pesquisa de Preços">
      <formula>NOT(ISERROR(SEARCH("Pesquisa de Preços",E5068)))</formula>
    </cfRule>
  </conditionalFormatting>
  <conditionalFormatting sqref="E5075">
    <cfRule type="containsText" dxfId="518" priority="7255" operator="containsText" text="Pesquisa de Preços">
      <formula>NOT(ISERROR(SEARCH("Pesquisa de Preços",E5075)))</formula>
    </cfRule>
  </conditionalFormatting>
  <conditionalFormatting sqref="E5078">
    <cfRule type="containsText" dxfId="517" priority="7244" operator="containsText" text="Pesquisa de Preços">
      <formula>NOT(ISERROR(SEARCH("Pesquisa de Preços",E5078)))</formula>
    </cfRule>
  </conditionalFormatting>
  <conditionalFormatting sqref="E5093:E5094">
    <cfRule type="containsText" dxfId="516" priority="7234" operator="containsText" text="Pesquisa de Preços">
      <formula>NOT(ISERROR(SEARCH("Pesquisa de Preços",E5093)))</formula>
    </cfRule>
  </conditionalFormatting>
  <conditionalFormatting sqref="E5098:E5103">
    <cfRule type="containsText" dxfId="515" priority="7087" operator="containsText" text="Pesquisa de Preços">
      <formula>NOT(ISERROR(SEARCH("Pesquisa de Preços",E5098)))</formula>
    </cfRule>
  </conditionalFormatting>
  <conditionalFormatting sqref="E5105:E5106">
    <cfRule type="containsText" dxfId="514" priority="7226" operator="containsText" text="Pesquisa de Preços">
      <formula>NOT(ISERROR(SEARCH("Pesquisa de Preços",E5105)))</formula>
    </cfRule>
  </conditionalFormatting>
  <conditionalFormatting sqref="E5111:E5114">
    <cfRule type="containsText" dxfId="513" priority="7220" operator="containsText" text="Pesquisa de Preços">
      <formula>NOT(ISERROR(SEARCH("Pesquisa de Preços",E5111)))</formula>
    </cfRule>
  </conditionalFormatting>
  <conditionalFormatting sqref="E5116">
    <cfRule type="containsText" dxfId="512" priority="7221" operator="containsText" text="Pesquisa de Preços">
      <formula>NOT(ISERROR(SEARCH("Pesquisa de Preços",E5116)))</formula>
    </cfRule>
  </conditionalFormatting>
  <conditionalFormatting sqref="E5125:E5127">
    <cfRule type="containsText" dxfId="511" priority="7212" operator="containsText" text="Pesquisa de Preços">
      <formula>NOT(ISERROR(SEARCH("Pesquisa de Preços",E5125)))</formula>
    </cfRule>
  </conditionalFormatting>
  <conditionalFormatting sqref="E5131:E5138">
    <cfRule type="containsText" dxfId="510" priority="7189" operator="containsText" text="Pesquisa de Preços">
      <formula>NOT(ISERROR(SEARCH("Pesquisa de Preços",E5131)))</formula>
    </cfRule>
  </conditionalFormatting>
  <conditionalFormatting sqref="E5141:E5144">
    <cfRule type="containsText" dxfId="509" priority="7178" operator="containsText" text="Pesquisa de Preços">
      <formula>NOT(ISERROR(SEARCH("Pesquisa de Preços",E5141)))</formula>
    </cfRule>
  </conditionalFormatting>
  <conditionalFormatting sqref="E5147:E5157">
    <cfRule type="containsText" dxfId="508" priority="5569" operator="containsText" text="Pesquisa de Preços">
      <formula>NOT(ISERROR(SEARCH("Pesquisa de Preços",E5147)))</formula>
    </cfRule>
  </conditionalFormatting>
  <conditionalFormatting sqref="E5160:E5162">
    <cfRule type="containsText" dxfId="507" priority="7158" operator="containsText" text="Pesquisa de Preços">
      <formula>NOT(ISERROR(SEARCH("Pesquisa de Preços",E5160)))</formula>
    </cfRule>
  </conditionalFormatting>
  <conditionalFormatting sqref="E5190:E5204">
    <cfRule type="containsText" dxfId="506" priority="7094" operator="containsText" text="Pesquisa de Preços">
      <formula>NOT(ISERROR(SEARCH("Pesquisa de Preços",E5190)))</formula>
    </cfRule>
  </conditionalFormatting>
  <conditionalFormatting sqref="E5211:E5213">
    <cfRule type="containsText" dxfId="505" priority="7049" operator="containsText" text="Pesquisa de Preços">
      <formula>NOT(ISERROR(SEARCH("Pesquisa de Preços",E5211)))</formula>
    </cfRule>
  </conditionalFormatting>
  <conditionalFormatting sqref="E5218:E5220">
    <cfRule type="containsText" dxfId="504" priority="7041" operator="containsText" text="Pesquisa de Preços">
      <formula>NOT(ISERROR(SEARCH("Pesquisa de Preços",E5218)))</formula>
    </cfRule>
  </conditionalFormatting>
  <conditionalFormatting sqref="E5229">
    <cfRule type="containsText" dxfId="503" priority="7042" operator="containsText" text="Pesquisa de Preços">
      <formula>NOT(ISERROR(SEARCH("Pesquisa de Preços",E5229)))</formula>
    </cfRule>
  </conditionalFormatting>
  <conditionalFormatting sqref="E5287:E5289">
    <cfRule type="containsText" dxfId="502" priority="1721" operator="containsText" text="Pesquisa de Preços">
      <formula>NOT(ISERROR(SEARCH("Pesquisa de Preços",E5287)))</formula>
    </cfRule>
  </conditionalFormatting>
  <conditionalFormatting sqref="E5387">
    <cfRule type="containsText" dxfId="501" priority="6878" operator="containsText" text="Pesquisa de Preços">
      <formula>NOT(ISERROR(SEARCH("Pesquisa de Preços",E5387)))</formula>
    </cfRule>
  </conditionalFormatting>
  <conditionalFormatting sqref="E5399:E5400">
    <cfRule type="containsText" dxfId="500" priority="6816" operator="containsText" text="Pesquisa de Preços">
      <formula>NOT(ISERROR(SEARCH("Pesquisa de Preços",E5399)))</formula>
    </cfRule>
  </conditionalFormatting>
  <conditionalFormatting sqref="E5407">
    <cfRule type="containsText" dxfId="499" priority="6819" operator="containsText" text="Pesquisa de Preços">
      <formula>NOT(ISERROR(SEARCH("Pesquisa de Preços",E5407)))</formula>
    </cfRule>
  </conditionalFormatting>
  <conditionalFormatting sqref="E5413">
    <cfRule type="containsText" dxfId="498" priority="6870" operator="containsText" text="Pesquisa de Preços">
      <formula>NOT(ISERROR(SEARCH("Pesquisa de Preços",E5413)))</formula>
    </cfRule>
  </conditionalFormatting>
  <conditionalFormatting sqref="E5507">
    <cfRule type="containsText" dxfId="497" priority="6057" operator="containsText" text="Pesquisa de Preços">
      <formula>NOT(ISERROR(SEARCH("Pesquisa de Preços",E5507)))</formula>
    </cfRule>
  </conditionalFormatting>
  <conditionalFormatting sqref="E5516:E5519">
    <cfRule type="containsText" dxfId="496" priority="6043" operator="containsText" text="Pesquisa de Preços">
      <formula>NOT(ISERROR(SEARCH("Pesquisa de Preços",E5516)))</formula>
    </cfRule>
  </conditionalFormatting>
  <conditionalFormatting sqref="E5521:E5526">
    <cfRule type="containsText" dxfId="495" priority="6035" operator="containsText" text="Pesquisa de Preços">
      <formula>NOT(ISERROR(SEARCH("Pesquisa de Preços",E5521)))</formula>
    </cfRule>
  </conditionalFormatting>
  <conditionalFormatting sqref="E5529:E5532">
    <cfRule type="containsText" dxfId="494" priority="3541" operator="containsText" text="Pesquisa de Preços">
      <formula>NOT(ISERROR(SEARCH("Pesquisa de Preços",E5529)))</formula>
    </cfRule>
  </conditionalFormatting>
  <conditionalFormatting sqref="E5535:E5538">
    <cfRule type="containsText" dxfId="493" priority="6022" operator="containsText" text="Pesquisa de Preços">
      <formula>NOT(ISERROR(SEARCH("Pesquisa de Preços",E5535)))</formula>
    </cfRule>
  </conditionalFormatting>
  <conditionalFormatting sqref="E5543:E5546">
    <cfRule type="containsText" dxfId="492" priority="6015" operator="containsText" text="Pesquisa de Preços">
      <formula>NOT(ISERROR(SEARCH("Pesquisa de Preços",E5543)))</formula>
    </cfRule>
  </conditionalFormatting>
  <conditionalFormatting sqref="E5552:E5555">
    <cfRule type="containsText" dxfId="491" priority="332" operator="containsText" text="Pesquisa de Preços">
      <formula>NOT(ISERROR(SEARCH("Pesquisa de Preços",E5552)))</formula>
    </cfRule>
  </conditionalFormatting>
  <conditionalFormatting sqref="E5561:E5564">
    <cfRule type="containsText" dxfId="490" priority="6004" operator="containsText" text="Pesquisa de Preços">
      <formula>NOT(ISERROR(SEARCH("Pesquisa de Preços",E5561)))</formula>
    </cfRule>
  </conditionalFormatting>
  <conditionalFormatting sqref="E5569">
    <cfRule type="containsText" dxfId="489" priority="6006" operator="containsText" text="Pesquisa de Preços">
      <formula>NOT(ISERROR(SEARCH("Pesquisa de Preços",E5569)))</formula>
    </cfRule>
  </conditionalFormatting>
  <conditionalFormatting sqref="E5579">
    <cfRule type="containsText" dxfId="488" priority="5998" operator="containsText" text="Pesquisa de Preços">
      <formula>NOT(ISERROR(SEARCH("Pesquisa de Preços",E5579)))</formula>
    </cfRule>
  </conditionalFormatting>
  <conditionalFormatting sqref="E5591:E5594">
    <cfRule type="containsText" dxfId="487" priority="5966" operator="containsText" text="Pesquisa de Preços">
      <formula>NOT(ISERROR(SEARCH("Pesquisa de Preços",E5591)))</formula>
    </cfRule>
  </conditionalFormatting>
  <conditionalFormatting sqref="E5597:E5600">
    <cfRule type="containsText" dxfId="486" priority="5958" operator="containsText" text="Pesquisa de Preços">
      <formula>NOT(ISERROR(SEARCH("Pesquisa de Preços",E5597)))</formula>
    </cfRule>
  </conditionalFormatting>
  <conditionalFormatting sqref="E5603:E5606">
    <cfRule type="containsText" dxfId="485" priority="5952" operator="containsText" text="Pesquisa de Preços">
      <formula>NOT(ISERROR(SEARCH("Pesquisa de Preços",E5603)))</formula>
    </cfRule>
  </conditionalFormatting>
  <conditionalFormatting sqref="E5608:E5617">
    <cfRule type="containsText" dxfId="484" priority="1987" operator="containsText" text="Pesquisa de Preços">
      <formula>NOT(ISERROR(SEARCH("Pesquisa de Preços",E5608)))</formula>
    </cfRule>
  </conditionalFormatting>
  <conditionalFormatting sqref="E5620:E5623">
    <cfRule type="containsText" dxfId="483" priority="5932" operator="containsText" text="Pesquisa de Preços">
      <formula>NOT(ISERROR(SEARCH("Pesquisa de Preços",E5620)))</formula>
    </cfRule>
  </conditionalFormatting>
  <conditionalFormatting sqref="E5626:E5630">
    <cfRule type="containsText" dxfId="482" priority="5921" operator="containsText" text="Pesquisa de Preços">
      <formula>NOT(ISERROR(SEARCH("Pesquisa de Preços",E5626)))</formula>
    </cfRule>
  </conditionalFormatting>
  <conditionalFormatting sqref="E5632:E5641">
    <cfRule type="containsText" dxfId="481" priority="5896" operator="containsText" text="Pesquisa de Preços">
      <formula>NOT(ISERROR(SEARCH("Pesquisa de Preços",E5632)))</formula>
    </cfRule>
  </conditionalFormatting>
  <conditionalFormatting sqref="E5643:E5647">
    <cfRule type="containsText" dxfId="480" priority="5902" operator="containsText" text="Pesquisa de Preços">
      <formula>NOT(ISERROR(SEARCH("Pesquisa de Preços",E5643)))</formula>
    </cfRule>
  </conditionalFormatting>
  <conditionalFormatting sqref="E6330">
    <cfRule type="containsText" dxfId="479" priority="5735" operator="containsText" text="Pesquisa de Preços">
      <formula>NOT(ISERROR(SEARCH("Pesquisa de Preços",E6330)))</formula>
    </cfRule>
  </conditionalFormatting>
  <conditionalFormatting sqref="E6341">
    <cfRule type="containsText" dxfId="478" priority="5729" operator="containsText" text="Pesquisa de Preços">
      <formula>NOT(ISERROR(SEARCH("Pesquisa de Preços",E6341)))</formula>
    </cfRule>
  </conditionalFormatting>
  <conditionalFormatting sqref="E6539:E6540">
    <cfRule type="containsText" dxfId="477" priority="5746" operator="containsText" text="Pesquisa de Preços">
      <formula>NOT(ISERROR(SEARCH("Pesquisa de Preços",E6539)))</formula>
    </cfRule>
  </conditionalFormatting>
  <conditionalFormatting sqref="E6544:E6546">
    <cfRule type="containsText" dxfId="476" priority="5755" operator="containsText" text="Pesquisa de Preços">
      <formula>NOT(ISERROR(SEARCH("Pesquisa de Preços",E6544)))</formula>
    </cfRule>
  </conditionalFormatting>
  <conditionalFormatting sqref="E6551:E6554">
    <cfRule type="containsText" dxfId="475" priority="5749" operator="containsText" text="Pesquisa de Preços">
      <formula>NOT(ISERROR(SEARCH("Pesquisa de Preços",E6551)))</formula>
    </cfRule>
  </conditionalFormatting>
  <conditionalFormatting sqref="E6557:E6560">
    <cfRule type="containsText" dxfId="474" priority="5537" operator="containsText" text="Pesquisa de Preços">
      <formula>NOT(ISERROR(SEARCH("Pesquisa de Preços",E6557)))</formula>
    </cfRule>
  </conditionalFormatting>
  <conditionalFormatting sqref="E6564:E6566">
    <cfRule type="containsText" dxfId="473" priority="5526" operator="containsText" text="Pesquisa de Preços">
      <formula>NOT(ISERROR(SEARCH("Pesquisa de Preços",E6564)))</formula>
    </cfRule>
  </conditionalFormatting>
  <conditionalFormatting sqref="E6568:E6570">
    <cfRule type="containsText" dxfId="472" priority="5519" operator="containsText" text="Pesquisa de Preços">
      <formula>NOT(ISERROR(SEARCH("Pesquisa de Preços",E6568)))</formula>
    </cfRule>
  </conditionalFormatting>
  <conditionalFormatting sqref="E6573:E6575">
    <cfRule type="containsText" dxfId="471" priority="5508" operator="containsText" text="Pesquisa de Preços">
      <formula>NOT(ISERROR(SEARCH("Pesquisa de Preços",E6573)))</formula>
    </cfRule>
  </conditionalFormatting>
  <conditionalFormatting sqref="E6577:E6579">
    <cfRule type="containsText" dxfId="470" priority="5501" operator="containsText" text="Pesquisa de Preços">
      <formula>NOT(ISERROR(SEARCH("Pesquisa de Preços",E6577)))</formula>
    </cfRule>
  </conditionalFormatting>
  <conditionalFormatting sqref="E6581:E6583">
    <cfRule type="containsText" dxfId="469" priority="5502" operator="containsText" text="Pesquisa de Preços">
      <formula>NOT(ISERROR(SEARCH("Pesquisa de Preços",E6581)))</formula>
    </cfRule>
  </conditionalFormatting>
  <conditionalFormatting sqref="E6586:E6588">
    <cfRule type="containsText" dxfId="468" priority="5551" operator="containsText" text="Pesquisa de Preços">
      <formula>NOT(ISERROR(SEARCH("Pesquisa de Preços",E6586)))</formula>
    </cfRule>
  </conditionalFormatting>
  <conditionalFormatting sqref="E6591">
    <cfRule type="containsText" dxfId="467" priority="5552" operator="containsText" text="Pesquisa de Preços">
      <formula>NOT(ISERROR(SEARCH("Pesquisa de Preços",E6591)))</formula>
    </cfRule>
  </conditionalFormatting>
  <conditionalFormatting sqref="E6603:E6604">
    <cfRule type="containsText" dxfId="466" priority="5474" operator="containsText" text="Pesquisa de Preços">
      <formula>NOT(ISERROR(SEARCH("Pesquisa de Preços",E6603)))</formula>
    </cfRule>
  </conditionalFormatting>
  <conditionalFormatting sqref="E6607:E6610">
    <cfRule type="containsText" dxfId="465" priority="5466" operator="containsText" text="Pesquisa de Preços">
      <formula>NOT(ISERROR(SEARCH("Pesquisa de Preços",E6607)))</formula>
    </cfRule>
  </conditionalFormatting>
  <conditionalFormatting sqref="E6616:E6619">
    <cfRule type="containsText" dxfId="464" priority="5452" operator="containsText" text="Pesquisa de Preços">
      <formula>NOT(ISERROR(SEARCH("Pesquisa de Preços",E6616)))</formula>
    </cfRule>
  </conditionalFormatting>
  <conditionalFormatting sqref="E6623:E6626">
    <cfRule type="containsText" dxfId="463" priority="5434" operator="containsText" text="Pesquisa de Preços">
      <formula>NOT(ISERROR(SEARCH("Pesquisa de Preços",E6623)))</formula>
    </cfRule>
  </conditionalFormatting>
  <conditionalFormatting sqref="E6630:E6632">
    <cfRule type="containsText" dxfId="462" priority="5435" operator="containsText" text="Pesquisa de Preços">
      <formula>NOT(ISERROR(SEARCH("Pesquisa de Preços",E6630)))</formula>
    </cfRule>
  </conditionalFormatting>
  <conditionalFormatting sqref="E6637">
    <cfRule type="containsText" dxfId="461" priority="5422" operator="containsText" text="Pesquisa de Preços">
      <formula>NOT(ISERROR(SEARCH("Pesquisa de Preços",E6637)))</formula>
    </cfRule>
  </conditionalFormatting>
  <conditionalFormatting sqref="E6652:E6653">
    <cfRule type="containsText" dxfId="460" priority="5086" operator="containsText" text="Pesquisa de Preços">
      <formula>NOT(ISERROR(SEARCH("Pesquisa de Preços",E6652)))</formula>
    </cfRule>
  </conditionalFormatting>
  <conditionalFormatting sqref="E6655:E6657">
    <cfRule type="containsText" dxfId="459" priority="5087" operator="containsText" text="Pesquisa de Preços">
      <formula>NOT(ISERROR(SEARCH("Pesquisa de Preços",E6655)))</formula>
    </cfRule>
  </conditionalFormatting>
  <conditionalFormatting sqref="E6659:E6661">
    <cfRule type="containsText" dxfId="458" priority="5400" operator="containsText" text="Pesquisa de Preços">
      <formula>NOT(ISERROR(SEARCH("Pesquisa de Preços",E6659)))</formula>
    </cfRule>
  </conditionalFormatting>
  <conditionalFormatting sqref="E6663:E6665">
    <cfRule type="containsText" dxfId="457" priority="5395" operator="containsText" text="Pesquisa de Preços">
      <formula>NOT(ISERROR(SEARCH("Pesquisa de Preços",E6663)))</formula>
    </cfRule>
  </conditionalFormatting>
  <conditionalFormatting sqref="E6667:E6669">
    <cfRule type="containsText" dxfId="456" priority="5390" operator="containsText" text="Pesquisa de Preços">
      <formula>NOT(ISERROR(SEARCH("Pesquisa de Preços",E6667)))</formula>
    </cfRule>
  </conditionalFormatting>
  <conditionalFormatting sqref="E6671:E6673">
    <cfRule type="containsText" dxfId="455" priority="5385" operator="containsText" text="Pesquisa de Preços">
      <formula>NOT(ISERROR(SEARCH("Pesquisa de Preços",E6671)))</formula>
    </cfRule>
  </conditionalFormatting>
  <conditionalFormatting sqref="E6675:E6677">
    <cfRule type="containsText" dxfId="454" priority="5380" operator="containsText" text="Pesquisa de Preços">
      <formula>NOT(ISERROR(SEARCH("Pesquisa de Preços",E6675)))</formula>
    </cfRule>
  </conditionalFormatting>
  <conditionalFormatting sqref="E6679:E6681">
    <cfRule type="containsText" dxfId="453" priority="5375" operator="containsText" text="Pesquisa de Preços">
      <formula>NOT(ISERROR(SEARCH("Pesquisa de Preços",E6679)))</formula>
    </cfRule>
  </conditionalFormatting>
  <conditionalFormatting sqref="E6683:E6685">
    <cfRule type="containsText" dxfId="452" priority="5370" operator="containsText" text="Pesquisa de Preços">
      <formula>NOT(ISERROR(SEARCH("Pesquisa de Preços",E6683)))</formula>
    </cfRule>
  </conditionalFormatting>
  <conditionalFormatting sqref="E6687:E6689">
    <cfRule type="containsText" dxfId="451" priority="5365" operator="containsText" text="Pesquisa de Preços">
      <formula>NOT(ISERROR(SEARCH("Pesquisa de Preços",E6687)))</formula>
    </cfRule>
  </conditionalFormatting>
  <conditionalFormatting sqref="E6691:E6693">
    <cfRule type="containsText" dxfId="450" priority="5360" operator="containsText" text="Pesquisa de Preços">
      <formula>NOT(ISERROR(SEARCH("Pesquisa de Preços",E6691)))</formula>
    </cfRule>
  </conditionalFormatting>
  <conditionalFormatting sqref="E6695:E6697">
    <cfRule type="containsText" dxfId="449" priority="5081" operator="containsText" text="Pesquisa de Preços">
      <formula>NOT(ISERROR(SEARCH("Pesquisa de Preços",E6695)))</formula>
    </cfRule>
  </conditionalFormatting>
  <conditionalFormatting sqref="E6699:E6701">
    <cfRule type="containsText" dxfId="448" priority="5082" operator="containsText" text="Pesquisa de Preços">
      <formula>NOT(ISERROR(SEARCH("Pesquisa de Preços",E6699)))</formula>
    </cfRule>
  </conditionalFormatting>
  <conditionalFormatting sqref="E6703:E6705">
    <cfRule type="containsText" dxfId="447" priority="5350" operator="containsText" text="Pesquisa de Preços">
      <formula>NOT(ISERROR(SEARCH("Pesquisa de Preços",E6703)))</formula>
    </cfRule>
  </conditionalFormatting>
  <conditionalFormatting sqref="E6707:E6709">
    <cfRule type="containsText" dxfId="446" priority="5345" operator="containsText" text="Pesquisa de Preços">
      <formula>NOT(ISERROR(SEARCH("Pesquisa de Preços",E6707)))</formula>
    </cfRule>
  </conditionalFormatting>
  <conditionalFormatting sqref="E6711:E6713">
    <cfRule type="containsText" dxfId="445" priority="5340" operator="containsText" text="Pesquisa de Preços">
      <formula>NOT(ISERROR(SEARCH("Pesquisa de Preços",E6711)))</formula>
    </cfRule>
  </conditionalFormatting>
  <conditionalFormatting sqref="E6715:E6717">
    <cfRule type="containsText" dxfId="444" priority="4944" operator="containsText" text="Pesquisa de Preços">
      <formula>NOT(ISERROR(SEARCH("Pesquisa de Preços",E6715)))</formula>
    </cfRule>
  </conditionalFormatting>
  <conditionalFormatting sqref="E6719:E6721">
    <cfRule type="containsText" dxfId="443" priority="4945" operator="containsText" text="Pesquisa de Preços">
      <formula>NOT(ISERROR(SEARCH("Pesquisa de Preços",E6719)))</formula>
    </cfRule>
  </conditionalFormatting>
  <conditionalFormatting sqref="E6723:E6725">
    <cfRule type="containsText" dxfId="442" priority="5330" operator="containsText" text="Pesquisa de Preços">
      <formula>NOT(ISERROR(SEARCH("Pesquisa de Preços",E6723)))</formula>
    </cfRule>
  </conditionalFormatting>
  <conditionalFormatting sqref="E6727:E6729">
    <cfRule type="containsText" dxfId="441" priority="5325" operator="containsText" text="Pesquisa de Preços">
      <formula>NOT(ISERROR(SEARCH("Pesquisa de Preços",E6727)))</formula>
    </cfRule>
  </conditionalFormatting>
  <conditionalFormatting sqref="E6731:E6733">
    <cfRule type="containsText" dxfId="440" priority="5320" operator="containsText" text="Pesquisa de Preços">
      <formula>NOT(ISERROR(SEARCH("Pesquisa de Preços",E6731)))</formula>
    </cfRule>
  </conditionalFormatting>
  <conditionalFormatting sqref="E6735:E6737">
    <cfRule type="containsText" dxfId="439" priority="5315" operator="containsText" text="Pesquisa de Preços">
      <formula>NOT(ISERROR(SEARCH("Pesquisa de Preços",E6735)))</formula>
    </cfRule>
  </conditionalFormatting>
  <conditionalFormatting sqref="E6739:E6741">
    <cfRule type="containsText" dxfId="438" priority="5310" operator="containsText" text="Pesquisa de Preços">
      <formula>NOT(ISERROR(SEARCH("Pesquisa de Preços",E6739)))</formula>
    </cfRule>
  </conditionalFormatting>
  <conditionalFormatting sqref="E6743:E6745">
    <cfRule type="containsText" dxfId="437" priority="5074" operator="containsText" text="Pesquisa de Preços">
      <formula>NOT(ISERROR(SEARCH("Pesquisa de Preços",E6743)))</formula>
    </cfRule>
  </conditionalFormatting>
  <conditionalFormatting sqref="E6747:E6749">
    <cfRule type="containsText" dxfId="436" priority="5075" operator="containsText" text="Pesquisa de Preços">
      <formula>NOT(ISERROR(SEARCH("Pesquisa de Preços",E6747)))</formula>
    </cfRule>
  </conditionalFormatting>
  <conditionalFormatting sqref="E6751:E6753">
    <cfRule type="containsText" dxfId="435" priority="5300" operator="containsText" text="Pesquisa de Preços">
      <formula>NOT(ISERROR(SEARCH("Pesquisa de Preços",E6751)))</formula>
    </cfRule>
  </conditionalFormatting>
  <conditionalFormatting sqref="E6755:E6757">
    <cfRule type="containsText" dxfId="434" priority="5295" operator="containsText" text="Pesquisa de Preços">
      <formula>NOT(ISERROR(SEARCH("Pesquisa de Preços",E6755)))</formula>
    </cfRule>
  </conditionalFormatting>
  <conditionalFormatting sqref="E6759:E6761">
    <cfRule type="containsText" dxfId="433" priority="5290" operator="containsText" text="Pesquisa de Preços">
      <formula>NOT(ISERROR(SEARCH("Pesquisa de Preços",E6759)))</formula>
    </cfRule>
  </conditionalFormatting>
  <conditionalFormatting sqref="E6763:E6765">
    <cfRule type="containsText" dxfId="432" priority="5285" operator="containsText" text="Pesquisa de Preços">
      <formula>NOT(ISERROR(SEARCH("Pesquisa de Preços",E6763)))</formula>
    </cfRule>
  </conditionalFormatting>
  <conditionalFormatting sqref="E6767:E6769">
    <cfRule type="containsText" dxfId="431" priority="5280" operator="containsText" text="Pesquisa de Preços">
      <formula>NOT(ISERROR(SEARCH("Pesquisa de Preços",E6767)))</formula>
    </cfRule>
  </conditionalFormatting>
  <conditionalFormatting sqref="E6771:E6773">
    <cfRule type="containsText" dxfId="430" priority="5275" operator="containsText" text="Pesquisa de Preços">
      <formula>NOT(ISERROR(SEARCH("Pesquisa de Preços",E6771)))</formula>
    </cfRule>
  </conditionalFormatting>
  <conditionalFormatting sqref="E6775:E6777">
    <cfRule type="containsText" dxfId="429" priority="5270" operator="containsText" text="Pesquisa de Preços">
      <formula>NOT(ISERROR(SEARCH("Pesquisa de Preços",E6775)))</formula>
    </cfRule>
  </conditionalFormatting>
  <conditionalFormatting sqref="E6779:E6781">
    <cfRule type="containsText" dxfId="428" priority="5265" operator="containsText" text="Pesquisa de Preços">
      <formula>NOT(ISERROR(SEARCH("Pesquisa de Preços",E6779)))</formula>
    </cfRule>
  </conditionalFormatting>
  <conditionalFormatting sqref="E6783:E6785">
    <cfRule type="containsText" dxfId="427" priority="5037" operator="containsText" text="Pesquisa de Preços">
      <formula>NOT(ISERROR(SEARCH("Pesquisa de Preços",E6783)))</formula>
    </cfRule>
  </conditionalFormatting>
  <conditionalFormatting sqref="E6787:E6789">
    <cfRule type="containsText" dxfId="426" priority="5038" operator="containsText" text="Pesquisa de Preços">
      <formula>NOT(ISERROR(SEARCH("Pesquisa de Preços",E6787)))</formula>
    </cfRule>
  </conditionalFormatting>
  <conditionalFormatting sqref="E6791:E6793">
    <cfRule type="containsText" dxfId="425" priority="5047" operator="containsText" text="Pesquisa de Preços">
      <formula>NOT(ISERROR(SEARCH("Pesquisa de Preços",E6791)))</formula>
    </cfRule>
  </conditionalFormatting>
  <conditionalFormatting sqref="E6795:E6797">
    <cfRule type="containsText" dxfId="424" priority="5096" operator="containsText" text="Pesquisa de Preços">
      <formula>NOT(ISERROR(SEARCH("Pesquisa de Preços",E6795)))</formula>
    </cfRule>
  </conditionalFormatting>
  <conditionalFormatting sqref="E6799:E6801">
    <cfRule type="containsText" dxfId="423" priority="5255" operator="containsText" text="Pesquisa de Preços">
      <formula>NOT(ISERROR(SEARCH("Pesquisa de Preços",E6799)))</formula>
    </cfRule>
  </conditionalFormatting>
  <conditionalFormatting sqref="E6803:E6805">
    <cfRule type="containsText" dxfId="422" priority="5250" operator="containsText" text="Pesquisa de Preços">
      <formula>NOT(ISERROR(SEARCH("Pesquisa de Preços",E6803)))</formula>
    </cfRule>
  </conditionalFormatting>
  <conditionalFormatting sqref="E6807:E6809">
    <cfRule type="containsText" dxfId="421" priority="5065" operator="containsText" text="Pesquisa de Preços">
      <formula>NOT(ISERROR(SEARCH("Pesquisa de Preços",E6807)))</formula>
    </cfRule>
  </conditionalFormatting>
  <conditionalFormatting sqref="E6811:E6813">
    <cfRule type="containsText" dxfId="420" priority="5060" operator="containsText" text="Pesquisa de Preços">
      <formula>NOT(ISERROR(SEARCH("Pesquisa de Preços",E6811)))</formula>
    </cfRule>
  </conditionalFormatting>
  <conditionalFormatting sqref="E6815:E6817">
    <cfRule type="containsText" dxfId="419" priority="5055" operator="containsText" text="Pesquisa de Preços">
      <formula>NOT(ISERROR(SEARCH("Pesquisa de Preços",E6815)))</formula>
    </cfRule>
  </conditionalFormatting>
  <conditionalFormatting sqref="E6819:E6821">
    <cfRule type="containsText" dxfId="418" priority="5056" operator="containsText" text="Pesquisa de Preços">
      <formula>NOT(ISERROR(SEARCH("Pesquisa de Preços",E6819)))</formula>
    </cfRule>
  </conditionalFormatting>
  <conditionalFormatting sqref="E6823:E6825">
    <cfRule type="containsText" dxfId="417" priority="5240" operator="containsText" text="Pesquisa de Preços">
      <formula>NOT(ISERROR(SEARCH("Pesquisa de Preços",E6823)))</formula>
    </cfRule>
  </conditionalFormatting>
  <conditionalFormatting sqref="E6827:E6829">
    <cfRule type="containsText" dxfId="416" priority="5235" operator="containsText" text="Pesquisa de Preços">
      <formula>NOT(ISERROR(SEARCH("Pesquisa de Preços",E6827)))</formula>
    </cfRule>
  </conditionalFormatting>
  <conditionalFormatting sqref="E6831:E6833">
    <cfRule type="containsText" dxfId="415" priority="5230" operator="containsText" text="Pesquisa de Preços">
      <formula>NOT(ISERROR(SEARCH("Pesquisa de Preços",E6831)))</formula>
    </cfRule>
  </conditionalFormatting>
  <conditionalFormatting sqref="E6835:E6837">
    <cfRule type="containsText" dxfId="414" priority="5225" operator="containsText" text="Pesquisa de Preços">
      <formula>NOT(ISERROR(SEARCH("Pesquisa de Preços",E6835)))</formula>
    </cfRule>
  </conditionalFormatting>
  <conditionalFormatting sqref="E6839:E6841 E6843:E6845 E6847:E6849 E6851:E6853 E6855:E6857 E6859:E6861 E6863:E6865 E6867:E6869 E6871:E6873 E6875:E6877 E6887:E6889 E6891:E6893 E6895:E6897 E6899:E6901 E6903:E6905 E6907:E6909 E6911:E6913 E6915:E6917 E6919:E6921 E6923:E6925 E6927:E6929 E6931:E6933 E6935:E6937 E6939:E6941 E6943:E6945 E6947:E6949 E6951:E6953 E6955:E6957 E6959:E6961 E6963:E6965 E6967:E6969 E6971:E6973 E6975:E6977 E6979:E6981 E6983:E6985 E6987:E6989 E6991:E6993 E6995:E6997 E6999:E7001 E7019:E7021">
    <cfRule type="containsText" dxfId="413" priority="5030" operator="containsText" text="Pesquisa de Preços">
      <formula>NOT(ISERROR(SEARCH("Pesquisa de Preços",E6839)))</formula>
    </cfRule>
  </conditionalFormatting>
  <conditionalFormatting sqref="E6879:E6881">
    <cfRule type="containsText" dxfId="412" priority="4953" operator="containsText" text="Pesquisa de Preços">
      <formula>NOT(ISERROR(SEARCH("Pesquisa de Preços",E6879)))</formula>
    </cfRule>
  </conditionalFormatting>
  <conditionalFormatting sqref="E6883:E6885">
    <cfRule type="containsText" dxfId="411" priority="4954" operator="containsText" text="Pesquisa de Preços">
      <formula>NOT(ISERROR(SEARCH("Pesquisa de Preços",E6883)))</formula>
    </cfRule>
  </conditionalFormatting>
  <conditionalFormatting sqref="E7003:E7005">
    <cfRule type="containsText" dxfId="410" priority="4960" operator="containsText" text="Pesquisa de Preços">
      <formula>NOT(ISERROR(SEARCH("Pesquisa de Preços",E7003)))</formula>
    </cfRule>
  </conditionalFormatting>
  <conditionalFormatting sqref="E7007:E7009 E7011:E7013">
    <cfRule type="containsText" dxfId="409" priority="4919" operator="containsText" text="Pesquisa de Preços">
      <formula>NOT(ISERROR(SEARCH("Pesquisa de Preços",E7007)))</formula>
    </cfRule>
  </conditionalFormatting>
  <conditionalFormatting sqref="E7015:E7017">
    <cfRule type="containsText" dxfId="408" priority="4920" operator="containsText" text="Pesquisa de Preços">
      <formula>NOT(ISERROR(SEARCH("Pesquisa de Preços",E7015)))</formula>
    </cfRule>
  </conditionalFormatting>
  <conditionalFormatting sqref="E7023:E7025">
    <cfRule type="containsText" dxfId="407" priority="5031" operator="containsText" text="Pesquisa de Preços">
      <formula>NOT(ISERROR(SEARCH("Pesquisa de Preços",E7023)))</formula>
    </cfRule>
  </conditionalFormatting>
  <conditionalFormatting sqref="E7027:E7029">
    <cfRule type="containsText" dxfId="406" priority="5215" operator="containsText" text="Pesquisa de Preços">
      <formula>NOT(ISERROR(SEARCH("Pesquisa de Preços",E7027)))</formula>
    </cfRule>
  </conditionalFormatting>
  <conditionalFormatting sqref="E7031:E7033">
    <cfRule type="containsText" dxfId="405" priority="5210" operator="containsText" text="Pesquisa de Preços">
      <formula>NOT(ISERROR(SEARCH("Pesquisa de Preços",E7031)))</formula>
    </cfRule>
  </conditionalFormatting>
  <conditionalFormatting sqref="E7035:E7037">
    <cfRule type="containsText" dxfId="404" priority="5205" operator="containsText" text="Pesquisa de Preços">
      <formula>NOT(ISERROR(SEARCH("Pesquisa de Preços",E7035)))</formula>
    </cfRule>
  </conditionalFormatting>
  <conditionalFormatting sqref="E7039:E7041">
    <cfRule type="containsText" dxfId="403" priority="5200" operator="containsText" text="Pesquisa de Preços">
      <formula>NOT(ISERROR(SEARCH("Pesquisa de Preços",E7039)))</formula>
    </cfRule>
  </conditionalFormatting>
  <conditionalFormatting sqref="E7043:E7045">
    <cfRule type="containsText" dxfId="402" priority="5195" operator="containsText" text="Pesquisa de Preços">
      <formula>NOT(ISERROR(SEARCH("Pesquisa de Preços",E7043)))</formula>
    </cfRule>
  </conditionalFormatting>
  <conditionalFormatting sqref="E7047:E7049">
    <cfRule type="containsText" dxfId="401" priority="4937" operator="containsText" text="Pesquisa de Preços">
      <formula>NOT(ISERROR(SEARCH("Pesquisa de Preços",E7047)))</formula>
    </cfRule>
  </conditionalFormatting>
  <conditionalFormatting sqref="E7051:E7053">
    <cfRule type="containsText" dxfId="400" priority="4931" operator="containsText" text="Pesquisa de Preços">
      <formula>NOT(ISERROR(SEARCH("Pesquisa de Preços",E7051)))</formula>
    </cfRule>
  </conditionalFormatting>
  <conditionalFormatting sqref="E7055:E7057">
    <cfRule type="containsText" dxfId="399" priority="5188" operator="containsText" text="Pesquisa de Preços">
      <formula>NOT(ISERROR(SEARCH("Pesquisa de Preços",E7055)))</formula>
    </cfRule>
  </conditionalFormatting>
  <conditionalFormatting sqref="E7059:E7061">
    <cfRule type="containsText" dxfId="398" priority="5023" operator="containsText" text="Pesquisa de Preços">
      <formula>NOT(ISERROR(SEARCH("Pesquisa de Preços",E7059)))</formula>
    </cfRule>
  </conditionalFormatting>
  <conditionalFormatting sqref="E7063:E7065">
    <cfRule type="containsText" dxfId="397" priority="5016" operator="containsText" text="Pesquisa de Preços">
      <formula>NOT(ISERROR(SEARCH("Pesquisa de Preços",E7063)))</formula>
    </cfRule>
  </conditionalFormatting>
  <conditionalFormatting sqref="E7067:E7069">
    <cfRule type="containsText" dxfId="396" priority="4871" operator="containsText" text="Pesquisa de Preços">
      <formula>NOT(ISERROR(SEARCH("Pesquisa de Preços",E7067)))</formula>
    </cfRule>
  </conditionalFormatting>
  <conditionalFormatting sqref="E7071:E7073">
    <cfRule type="containsText" dxfId="395" priority="4872" operator="containsText" text="Pesquisa de Preços">
      <formula>NOT(ISERROR(SEARCH("Pesquisa de Preços",E7071)))</formula>
    </cfRule>
  </conditionalFormatting>
  <conditionalFormatting sqref="E7075:E7077">
    <cfRule type="containsText" dxfId="394" priority="5002" operator="containsText" text="Pesquisa de Preços">
      <formula>NOT(ISERROR(SEARCH("Pesquisa de Preços",E7075)))</formula>
    </cfRule>
  </conditionalFormatting>
  <conditionalFormatting sqref="E7079:E7081">
    <cfRule type="containsText" dxfId="393" priority="5003" operator="containsText" text="Pesquisa de Preços">
      <formula>NOT(ISERROR(SEARCH("Pesquisa de Preços",E7079)))</formula>
    </cfRule>
  </conditionalFormatting>
  <conditionalFormatting sqref="E7083:E7085">
    <cfRule type="containsText" dxfId="392" priority="5010" operator="containsText" text="Pesquisa de Preços">
      <formula>NOT(ISERROR(SEARCH("Pesquisa de Preços",E7083)))</formula>
    </cfRule>
  </conditionalFormatting>
  <conditionalFormatting sqref="E7087:E7089">
    <cfRule type="containsText" dxfId="391" priority="5173" operator="containsText" text="Pesquisa de Preços">
      <formula>NOT(ISERROR(SEARCH("Pesquisa de Preços",E7087)))</formula>
    </cfRule>
  </conditionalFormatting>
  <conditionalFormatting sqref="E7091:E7093">
    <cfRule type="containsText" dxfId="390" priority="5168" operator="containsText" text="Pesquisa de Preços">
      <formula>NOT(ISERROR(SEARCH("Pesquisa de Preços",E7091)))</formula>
    </cfRule>
  </conditionalFormatting>
  <conditionalFormatting sqref="E7095:E7097">
    <cfRule type="containsText" dxfId="389" priority="5163" operator="containsText" text="Pesquisa de Preços">
      <formula>NOT(ISERROR(SEARCH("Pesquisa de Preços",E7095)))</formula>
    </cfRule>
  </conditionalFormatting>
  <conditionalFormatting sqref="E7099:E7101">
    <cfRule type="containsText" dxfId="388" priority="5158" operator="containsText" text="Pesquisa de Preços">
      <formula>NOT(ISERROR(SEARCH("Pesquisa de Preços",E7099)))</formula>
    </cfRule>
  </conditionalFormatting>
  <conditionalFormatting sqref="E7103:E7105">
    <cfRule type="containsText" dxfId="387" priority="5153" operator="containsText" text="Pesquisa de Preços">
      <formula>NOT(ISERROR(SEARCH("Pesquisa de Preços",E7103)))</formula>
    </cfRule>
  </conditionalFormatting>
  <conditionalFormatting sqref="E7107:E7109">
    <cfRule type="containsText" dxfId="386" priority="5148" operator="containsText" text="Pesquisa de Preços">
      <formula>NOT(ISERROR(SEARCH("Pesquisa de Preços",E7107)))</formula>
    </cfRule>
  </conditionalFormatting>
  <conditionalFormatting sqref="E7111:E7113">
    <cfRule type="containsText" dxfId="385" priority="5143" operator="containsText" text="Pesquisa de Preços">
      <formula>NOT(ISERROR(SEARCH("Pesquisa de Preços",E7111)))</formula>
    </cfRule>
  </conditionalFormatting>
  <conditionalFormatting sqref="E7115:E7117 E7119:E7121 E7131:E7133 E7135:E7137 E7139:E7141 E7143:E7145 E7147:E7149 E7151:E7153 E7155:E7157 E7159:E7161 E7163:E7165 E7175:E7177 E7179:E7181 E7183:E7185 E7187:E7189 E7191:E7193">
    <cfRule type="containsText" dxfId="384" priority="4995" operator="containsText" text="Pesquisa de Preços">
      <formula>NOT(ISERROR(SEARCH("Pesquisa de Preços",E7115)))</formula>
    </cfRule>
  </conditionalFormatting>
  <conditionalFormatting sqref="E7123:E7125">
    <cfRule type="containsText" dxfId="383" priority="4753" operator="containsText" text="Pesquisa de Preços">
      <formula>NOT(ISERROR(SEARCH("Pesquisa de Preços",E7123)))</formula>
    </cfRule>
  </conditionalFormatting>
  <conditionalFormatting sqref="E7127:E7129">
    <cfRule type="containsText" dxfId="382" priority="4754" operator="containsText" text="Pesquisa de Preços">
      <formula>NOT(ISERROR(SEARCH("Pesquisa de Preços",E7127)))</formula>
    </cfRule>
  </conditionalFormatting>
  <conditionalFormatting sqref="E7167:E7169">
    <cfRule type="containsText" dxfId="381" priority="4926" operator="containsText" text="Pesquisa de Preços">
      <formula>NOT(ISERROR(SEARCH("Pesquisa de Preços",E7167)))</formula>
    </cfRule>
  </conditionalFormatting>
  <conditionalFormatting sqref="E7171:E7173">
    <cfRule type="containsText" dxfId="380" priority="4927" operator="containsText" text="Pesquisa de Preços">
      <formula>NOT(ISERROR(SEARCH("Pesquisa de Preços",E7171)))</formula>
    </cfRule>
  </conditionalFormatting>
  <conditionalFormatting sqref="E7195:E7197">
    <cfRule type="containsText" dxfId="379" priority="4981" operator="containsText" text="Pesquisa de Preços">
      <formula>NOT(ISERROR(SEARCH("Pesquisa de Preços",E7195)))</formula>
    </cfRule>
  </conditionalFormatting>
  <conditionalFormatting sqref="E7199:E7201">
    <cfRule type="containsText" dxfId="378" priority="4974" operator="containsText" text="Pesquisa de Preços">
      <formula>NOT(ISERROR(SEARCH("Pesquisa de Preços",E7199)))</formula>
    </cfRule>
  </conditionalFormatting>
  <conditionalFormatting sqref="E7203:E7205">
    <cfRule type="containsText" dxfId="377" priority="4967" operator="containsText" text="Pesquisa de Preços">
      <formula>NOT(ISERROR(SEARCH("Pesquisa de Preços",E7203)))</formula>
    </cfRule>
  </conditionalFormatting>
  <conditionalFormatting sqref="E7207:E7209">
    <cfRule type="containsText" dxfId="376" priority="4968" operator="containsText" text="Pesquisa de Preços">
      <formula>NOT(ISERROR(SEARCH("Pesquisa de Preços",E7207)))</formula>
    </cfRule>
  </conditionalFormatting>
  <conditionalFormatting sqref="E7211:E7213 E7215:E7217 E7219:E7221 E7223:E7225 E7227:E7229 E7231:E7233 E7235:E7237 E7239:E7241 E7243:E7245 E7247:E7249 E7251:E7253 E7255:E7257 E7259:E7261 E7263:E7265 E7267:E7269 E7271:E7273 E7275:E7277 E7279:E7281 E7283:E7285 E7287:E7289 E7291:E7293 E7295:E7297 E7299:E7301">
    <cfRule type="containsText" dxfId="375" priority="4988" operator="containsText" text="Pesquisa de Preços">
      <formula>NOT(ISERROR(SEARCH("Pesquisa de Preços",E7211)))</formula>
    </cfRule>
  </conditionalFormatting>
  <conditionalFormatting sqref="E7303">
    <cfRule type="containsText" dxfId="374" priority="4989" operator="containsText" text="Pesquisa de Preços">
      <formula>NOT(ISERROR(SEARCH("Pesquisa de Preços",E7303)))</formula>
    </cfRule>
  </conditionalFormatting>
  <conditionalFormatting sqref="E7364:E7365">
    <cfRule type="containsText" dxfId="373" priority="4905" operator="containsText" text="Pesquisa de Preços">
      <formula>NOT(ISERROR(SEARCH("Pesquisa de Preços",E7364)))</formula>
    </cfRule>
  </conditionalFormatting>
  <conditionalFormatting sqref="E7367:E7369">
    <cfRule type="containsText" dxfId="372" priority="4898" operator="containsText" text="Pesquisa de Preços">
      <formula>NOT(ISERROR(SEARCH("Pesquisa de Preços",E7367)))</formula>
    </cfRule>
  </conditionalFormatting>
  <conditionalFormatting sqref="E7371:E7373">
    <cfRule type="containsText" dxfId="371" priority="4899" operator="containsText" text="Pesquisa de Preços">
      <formula>NOT(ISERROR(SEARCH("Pesquisa de Preços",E7371)))</formula>
    </cfRule>
  </conditionalFormatting>
  <conditionalFormatting sqref="E7375:E7377">
    <cfRule type="containsText" dxfId="370" priority="4912" operator="containsText" text="Pesquisa de Preços">
      <formula>NOT(ISERROR(SEARCH("Pesquisa de Preços",E7375)))</formula>
    </cfRule>
  </conditionalFormatting>
  <conditionalFormatting sqref="E7379">
    <cfRule type="containsText" dxfId="369" priority="4913" operator="containsText" text="Pesquisa de Preços">
      <formula>NOT(ISERROR(SEARCH("Pesquisa de Preços",E7379)))</formula>
    </cfRule>
  </conditionalFormatting>
  <conditionalFormatting sqref="E7393:E7398">
    <cfRule type="containsText" dxfId="368" priority="4739" operator="containsText" text="Pesquisa de Preços">
      <formula>NOT(ISERROR(SEARCH("Pesquisa de Preços",E7393)))</formula>
    </cfRule>
  </conditionalFormatting>
  <conditionalFormatting sqref="E7421:E7423">
    <cfRule type="containsText" dxfId="367" priority="4735" operator="containsText" text="Pesquisa de Preços">
      <formula>NOT(ISERROR(SEARCH("Pesquisa de Preços",E7421)))</formula>
    </cfRule>
  </conditionalFormatting>
  <conditionalFormatting sqref="E7429:E7434">
    <cfRule type="containsText" dxfId="366" priority="4630" operator="containsText" text="Pesquisa de Preços">
      <formula>NOT(ISERROR(SEARCH("Pesquisa de Preços",E7429)))</formula>
    </cfRule>
  </conditionalFormatting>
  <conditionalFormatting sqref="E7437:E7438">
    <cfRule type="containsText" dxfId="365" priority="4629" operator="containsText" text="Pesquisa de Preços">
      <formula>NOT(ISERROR(SEARCH("Pesquisa de Preços",E7437)))</formula>
    </cfRule>
  </conditionalFormatting>
  <conditionalFormatting sqref="E7440:E7441">
    <cfRule type="containsText" dxfId="364" priority="4660" operator="containsText" text="Pesquisa de Preços">
      <formula>NOT(ISERROR(SEARCH("Pesquisa de Preços",E7440)))</formula>
    </cfRule>
  </conditionalFormatting>
  <conditionalFormatting sqref="E7443:E7445">
    <cfRule type="containsText" dxfId="363" priority="292" operator="containsText" text="Pesquisa de Preços">
      <formula>NOT(ISERROR(SEARCH("Pesquisa de Preços",E7443)))</formula>
    </cfRule>
  </conditionalFormatting>
  <conditionalFormatting sqref="E7447:E7449">
    <cfRule type="containsText" dxfId="362" priority="293" operator="containsText" text="Pesquisa de Preços">
      <formula>NOT(ISERROR(SEARCH("Pesquisa de Preços",E7447)))</formula>
    </cfRule>
  </conditionalFormatting>
  <conditionalFormatting sqref="E7451">
    <cfRule type="containsText" dxfId="361" priority="4656" operator="containsText" text="Pesquisa de Preços">
      <formula>NOT(ISERROR(SEARCH("Pesquisa de Preços",E7451)))</formula>
    </cfRule>
  </conditionalFormatting>
  <conditionalFormatting sqref="E7459:E7461">
    <cfRule type="containsText" dxfId="360" priority="1295" operator="containsText" text="Pesquisa de Preços">
      <formula>NOT(ISERROR(SEARCH("Pesquisa de Preços",E7459)))</formula>
    </cfRule>
  </conditionalFormatting>
  <conditionalFormatting sqref="E7472:E7474">
    <cfRule type="containsText" dxfId="359" priority="1108" operator="containsText" text="Pesquisa de Preços">
      <formula>NOT(ISERROR(SEARCH("Pesquisa de Preços",E7472)))</formula>
    </cfRule>
  </conditionalFormatting>
  <conditionalFormatting sqref="E7479:E7481">
    <cfRule type="containsText" dxfId="358" priority="1095" operator="containsText" text="Pesquisa de Preços">
      <formula>NOT(ISERROR(SEARCH("Pesquisa de Preços",E7479)))</formula>
    </cfRule>
  </conditionalFormatting>
  <conditionalFormatting sqref="E7486:E7488">
    <cfRule type="containsText" dxfId="357" priority="1121" operator="containsText" text="Pesquisa de Preços">
      <formula>NOT(ISERROR(SEARCH("Pesquisa de Preços",E7486)))</formula>
    </cfRule>
  </conditionalFormatting>
  <conditionalFormatting sqref="E7493:E7494">
    <cfRule type="containsText" dxfId="356" priority="1133" operator="containsText" text="Pesquisa de Preços">
      <formula>NOT(ISERROR(SEARCH("Pesquisa de Preços",E7493)))</formula>
    </cfRule>
  </conditionalFormatting>
  <conditionalFormatting sqref="E7496:E7497">
    <cfRule type="containsText" dxfId="355" priority="4724" operator="containsText" text="Pesquisa de Preços">
      <formula>NOT(ISERROR(SEARCH("Pesquisa de Preços",E7496)))</formula>
    </cfRule>
  </conditionalFormatting>
  <conditionalFormatting sqref="E7499:E7501">
    <cfRule type="containsText" dxfId="354" priority="4719" operator="containsText" text="Pesquisa de Preços">
      <formula>NOT(ISERROR(SEARCH("Pesquisa de Preços",E7499)))</formula>
    </cfRule>
  </conditionalFormatting>
  <conditionalFormatting sqref="E7503">
    <cfRule type="containsText" dxfId="353" priority="4720" operator="containsText" text="Pesquisa de Preços">
      <formula>NOT(ISERROR(SEARCH("Pesquisa de Preços",E7503)))</formula>
    </cfRule>
  </conditionalFormatting>
  <conditionalFormatting sqref="E7551:E7553">
    <cfRule type="containsText" dxfId="352" priority="4616" operator="containsText" text="Pesquisa de Preços">
      <formula>NOT(ISERROR(SEARCH("Pesquisa de Preços",E7551)))</formula>
    </cfRule>
  </conditionalFormatting>
  <conditionalFormatting sqref="E7558:E7559">
    <cfRule type="containsText" dxfId="351" priority="4624" operator="containsText" text="Pesquisa de Preços">
      <formula>NOT(ISERROR(SEARCH("Pesquisa de Preços",E7558)))</formula>
    </cfRule>
  </conditionalFormatting>
  <conditionalFormatting sqref="E7564:E7567">
    <cfRule type="containsText" dxfId="350" priority="4595" operator="containsText" text="Pesquisa de Preços">
      <formula>NOT(ISERROR(SEARCH("Pesquisa de Preços",E7564)))</formula>
    </cfRule>
  </conditionalFormatting>
  <conditionalFormatting sqref="E7572:E7575">
    <cfRule type="containsText" dxfId="349" priority="4578" operator="containsText" text="Pesquisa de Preços">
      <formula>NOT(ISERROR(SEARCH("Pesquisa de Preços",E7572)))</formula>
    </cfRule>
  </conditionalFormatting>
  <conditionalFormatting sqref="E7579:E7581">
    <cfRule type="containsText" dxfId="348" priority="4568" operator="containsText" text="Pesquisa de Preços">
      <formula>NOT(ISERROR(SEARCH("Pesquisa de Preços",E7579)))</formula>
    </cfRule>
  </conditionalFormatting>
  <conditionalFormatting sqref="E7593:E7594">
    <cfRule type="containsText" dxfId="347" priority="4540" operator="containsText" text="Pesquisa de Preços">
      <formula>NOT(ISERROR(SEARCH("Pesquisa de Preços",E7593)))</formula>
    </cfRule>
  </conditionalFormatting>
  <conditionalFormatting sqref="E7599">
    <cfRule type="containsText" dxfId="346" priority="4541" operator="containsText" text="Pesquisa de Preços">
      <formula>NOT(ISERROR(SEARCH("Pesquisa de Preços",E7599)))</formula>
    </cfRule>
  </conditionalFormatting>
  <conditionalFormatting sqref="E7609">
    <cfRule type="containsText" dxfId="345" priority="331" operator="containsText" text="Pesquisa de Preços">
      <formula>NOT(ISERROR(SEARCH("Pesquisa de Preços",E7609)))</formula>
    </cfRule>
  </conditionalFormatting>
  <conditionalFormatting sqref="E7619:E7620">
    <cfRule type="containsText" dxfId="344" priority="4511" operator="containsText" text="Pesquisa de Preços">
      <formula>NOT(ISERROR(SEARCH("Pesquisa de Preços",E7619)))</formula>
    </cfRule>
  </conditionalFormatting>
  <conditionalFormatting sqref="E7622:E7623">
    <cfRule type="containsText" dxfId="343" priority="4500" operator="containsText" text="Pesquisa de Preços">
      <formula>NOT(ISERROR(SEARCH("Pesquisa de Preços",E7622)))</formula>
    </cfRule>
  </conditionalFormatting>
  <conditionalFormatting sqref="E7628">
    <cfRule type="containsText" dxfId="342" priority="4501" operator="containsText" text="Pesquisa de Preços">
      <formula>NOT(ISERROR(SEARCH("Pesquisa de Preços",E7628)))</formula>
    </cfRule>
  </conditionalFormatting>
  <conditionalFormatting sqref="E7630">
    <cfRule type="containsText" dxfId="341" priority="4465" operator="containsText" text="Pesquisa de Preços">
      <formula>NOT(ISERROR(SEARCH("Pesquisa de Preços",E7630)))</formula>
    </cfRule>
  </conditionalFormatting>
  <conditionalFormatting sqref="E7634">
    <cfRule type="containsText" dxfId="340" priority="4466" operator="containsText" text="Pesquisa de Preços">
      <formula>NOT(ISERROR(SEARCH("Pesquisa de Preços",E7634)))</formula>
    </cfRule>
  </conditionalFormatting>
  <conditionalFormatting sqref="E7636">
    <cfRule type="containsText" dxfId="339" priority="4460" operator="containsText" text="Pesquisa de Preços">
      <formula>NOT(ISERROR(SEARCH("Pesquisa de Preços",E7636)))</formula>
    </cfRule>
  </conditionalFormatting>
  <conditionalFormatting sqref="E7640">
    <cfRule type="containsText" dxfId="338" priority="4461" operator="containsText" text="Pesquisa de Preços">
      <formula>NOT(ISERROR(SEARCH("Pesquisa de Preços",E7640)))</formula>
    </cfRule>
  </conditionalFormatting>
  <conditionalFormatting sqref="E7642">
    <cfRule type="containsText" dxfId="337" priority="4455" operator="containsText" text="Pesquisa de Preços">
      <formula>NOT(ISERROR(SEARCH("Pesquisa de Preços",E7642)))</formula>
    </cfRule>
  </conditionalFormatting>
  <conditionalFormatting sqref="E7646">
    <cfRule type="containsText" dxfId="336" priority="4456" operator="containsText" text="Pesquisa de Preços">
      <formula>NOT(ISERROR(SEARCH("Pesquisa de Preços",E7646)))</formula>
    </cfRule>
  </conditionalFormatting>
  <conditionalFormatting sqref="E7648">
    <cfRule type="containsText" dxfId="335" priority="4448" operator="containsText" text="Pesquisa de Preços">
      <formula>NOT(ISERROR(SEARCH("Pesquisa de Preços",E7648)))</formula>
    </cfRule>
  </conditionalFormatting>
  <conditionalFormatting sqref="E7652">
    <cfRule type="containsText" dxfId="334" priority="4449" operator="containsText" text="Pesquisa de Preços">
      <formula>NOT(ISERROR(SEARCH("Pesquisa de Preços",E7652)))</formula>
    </cfRule>
  </conditionalFormatting>
  <conditionalFormatting sqref="E7661">
    <cfRule type="containsText" dxfId="333" priority="326" operator="containsText" text="Pesquisa de Preços">
      <formula>NOT(ISERROR(SEARCH("Pesquisa de Preços",E7661)))</formula>
    </cfRule>
  </conditionalFormatting>
  <conditionalFormatting sqref="E7670:E7672">
    <cfRule type="containsText" dxfId="332" priority="4471" operator="containsText" text="Pesquisa de Preços">
      <formula>NOT(ISERROR(SEARCH("Pesquisa de Preços",E7670)))</formula>
    </cfRule>
  </conditionalFormatting>
  <conditionalFormatting sqref="E7677">
    <cfRule type="containsText" dxfId="331" priority="321" operator="containsText" text="Pesquisa de Preços">
      <formula>NOT(ISERROR(SEARCH("Pesquisa de Preços",E7677)))</formula>
    </cfRule>
  </conditionalFormatting>
  <conditionalFormatting sqref="E7692:E7694">
    <cfRule type="containsText" dxfId="330" priority="4430" operator="containsText" text="Pesquisa de Preços">
      <formula>NOT(ISERROR(SEARCH("Pesquisa de Preços",E7692)))</formula>
    </cfRule>
  </conditionalFormatting>
  <conditionalFormatting sqref="E8622:E8625">
    <cfRule type="containsText" dxfId="329" priority="3594" operator="containsText" text="Pesquisa de Preços">
      <formula>NOT(ISERROR(SEARCH("Pesquisa de Preços",E8622)))</formula>
    </cfRule>
  </conditionalFormatting>
  <conditionalFormatting sqref="E8632">
    <cfRule type="containsText" dxfId="328" priority="3596" operator="containsText" text="Pesquisa de Preços">
      <formula>NOT(ISERROR(SEARCH("Pesquisa de Preços",E8632)))</formula>
    </cfRule>
  </conditionalFormatting>
  <conditionalFormatting sqref="E8678:E8680">
    <cfRule type="containsText" dxfId="327" priority="3519" operator="containsText" text="Pesquisa de Preços">
      <formula>NOT(ISERROR(SEARCH("Pesquisa de Preços",E8678)))</formula>
    </cfRule>
  </conditionalFormatting>
  <conditionalFormatting sqref="E8687:E8724">
    <cfRule type="containsText" dxfId="326" priority="2274" operator="containsText" text="Pesquisa de Preços">
      <formula>NOT(ISERROR(SEARCH("Pesquisa de Preços",E8687)))</formula>
    </cfRule>
  </conditionalFormatting>
  <conditionalFormatting sqref="E8728:E8729">
    <cfRule type="containsText" dxfId="325" priority="3367" operator="containsText" text="Pesquisa de Preços">
      <formula>NOT(ISERROR(SEARCH("Pesquisa de Preços",E8728)))</formula>
    </cfRule>
  </conditionalFormatting>
  <conditionalFormatting sqref="E8733:E8746">
    <cfRule type="containsText" dxfId="324" priority="3361" operator="containsText" text="Pesquisa de Preços">
      <formula>NOT(ISERROR(SEARCH("Pesquisa de Preços",E8733)))</formula>
    </cfRule>
  </conditionalFormatting>
  <conditionalFormatting sqref="E8752">
    <cfRule type="containsText" dxfId="323" priority="3356" operator="containsText" text="Pesquisa de Preços">
      <formula>NOT(ISERROR(SEARCH("Pesquisa de Preços",E8752)))</formula>
    </cfRule>
  </conditionalFormatting>
  <conditionalFormatting sqref="E8762:E8764">
    <cfRule type="containsText" dxfId="322" priority="3349" operator="containsText" text="Pesquisa de Preços">
      <formula>NOT(ISERROR(SEARCH("Pesquisa de Preços",E8762)))</formula>
    </cfRule>
  </conditionalFormatting>
  <conditionalFormatting sqref="E8770:E8773">
    <cfRule type="containsText" dxfId="321" priority="3342" operator="containsText" text="Pesquisa de Preços">
      <formula>NOT(ISERROR(SEARCH("Pesquisa de Preços",E8770)))</formula>
    </cfRule>
  </conditionalFormatting>
  <conditionalFormatting sqref="E8779:E8781">
    <cfRule type="containsText" dxfId="320" priority="3337" operator="containsText" text="Pesquisa de Preços">
      <formula>NOT(ISERROR(SEARCH("Pesquisa de Preços",E8779)))</formula>
    </cfRule>
  </conditionalFormatting>
  <conditionalFormatting sqref="E8785:E8786">
    <cfRule type="containsText" dxfId="319" priority="3330" operator="containsText" text="Pesquisa de Preços">
      <formula>NOT(ISERROR(SEARCH("Pesquisa de Preços",E8785)))</formula>
    </cfRule>
  </conditionalFormatting>
  <conditionalFormatting sqref="E8790:E8791">
    <cfRule type="containsText" dxfId="318" priority="3323" operator="containsText" text="Pesquisa de Preços">
      <formula>NOT(ISERROR(SEARCH("Pesquisa de Preços",E8790)))</formula>
    </cfRule>
  </conditionalFormatting>
  <conditionalFormatting sqref="E8795:E8803">
    <cfRule type="containsText" dxfId="317" priority="3309" operator="containsText" text="Pesquisa de Preços">
      <formula>NOT(ISERROR(SEARCH("Pesquisa de Preços",E8795)))</formula>
    </cfRule>
  </conditionalFormatting>
  <conditionalFormatting sqref="E8805:E8809">
    <cfRule type="containsText" dxfId="316" priority="3302" operator="containsText" text="Pesquisa de Preços">
      <formula>NOT(ISERROR(SEARCH("Pesquisa de Preços",E8805)))</formula>
    </cfRule>
  </conditionalFormatting>
  <conditionalFormatting sqref="E8811:E8851">
    <cfRule type="containsText" dxfId="315" priority="3209" operator="containsText" text="Pesquisa de Preços">
      <formula>NOT(ISERROR(SEARCH("Pesquisa de Preços",E8811)))</formula>
    </cfRule>
  </conditionalFormatting>
  <conditionalFormatting sqref="E8859:E8862">
    <cfRule type="containsText" dxfId="314" priority="3201" operator="containsText" text="Pesquisa de Preços">
      <formula>NOT(ISERROR(SEARCH("Pesquisa de Preços",E8859)))</formula>
    </cfRule>
  </conditionalFormatting>
  <conditionalFormatting sqref="E8868:E8871">
    <cfRule type="containsText" dxfId="313" priority="3191" operator="containsText" text="Pesquisa de Preços">
      <formula>NOT(ISERROR(SEARCH("Pesquisa de Preços",E8868)))</formula>
    </cfRule>
  </conditionalFormatting>
  <conditionalFormatting sqref="E8878:E8903">
    <cfRule type="containsText" dxfId="312" priority="3106" operator="containsText" text="Pesquisa de Preços">
      <formula>NOT(ISERROR(SEARCH("Pesquisa de Preços",E8878)))</formula>
    </cfRule>
  </conditionalFormatting>
  <conditionalFormatting sqref="E8912:E8917">
    <cfRule type="containsText" dxfId="311" priority="3115" operator="containsText" text="Pesquisa de Preços">
      <formula>NOT(ISERROR(SEARCH("Pesquisa de Preços",E8912)))</formula>
    </cfRule>
  </conditionalFormatting>
  <conditionalFormatting sqref="E8974">
    <cfRule type="containsText" dxfId="310" priority="3058" operator="containsText" text="Pesquisa de Preços">
      <formula>NOT(ISERROR(SEARCH("Pesquisa de Preços",E8974)))</formula>
    </cfRule>
  </conditionalFormatting>
  <conditionalFormatting sqref="E8979:E8984">
    <cfRule type="containsText" dxfId="309" priority="2053" operator="containsText" text="Pesquisa de Preços">
      <formula>NOT(ISERROR(SEARCH("Pesquisa de Preços",E8979)))</formula>
    </cfRule>
  </conditionalFormatting>
  <conditionalFormatting sqref="E9005:E9011">
    <cfRule type="containsText" dxfId="308" priority="2039" operator="containsText" text="Pesquisa de Preços">
      <formula>NOT(ISERROR(SEARCH("Pesquisa de Preços",E9005)))</formula>
    </cfRule>
  </conditionalFormatting>
  <conditionalFormatting sqref="E9488:E9522">
    <cfRule type="containsText" dxfId="307" priority="2007" operator="containsText" text="Pesquisa de Preços">
      <formula>NOT(ISERROR(SEARCH("Pesquisa de Preços",E9488)))</formula>
    </cfRule>
  </conditionalFormatting>
  <conditionalFormatting sqref="E9528:E9530">
    <cfRule type="containsText" dxfId="306" priority="2853" operator="containsText" text="Pesquisa de Preços">
      <formula>NOT(ISERROR(SEARCH("Pesquisa de Preços",E9528)))</formula>
    </cfRule>
  </conditionalFormatting>
  <conditionalFormatting sqref="E9536:E9543">
    <cfRule type="containsText" dxfId="305" priority="2812" operator="containsText" text="Pesquisa de Preços">
      <formula>NOT(ISERROR(SEARCH("Pesquisa de Preços",E9536)))</formula>
    </cfRule>
  </conditionalFormatting>
  <conditionalFormatting sqref="E9561:E9592">
    <cfRule type="containsText" dxfId="304" priority="1073" operator="containsText" text="Pesquisa de Preços">
      <formula>NOT(ISERROR(SEARCH("Pesquisa de Preços",E9561)))</formula>
    </cfRule>
  </conditionalFormatting>
  <conditionalFormatting sqref="E9596:E9617">
    <cfRule type="containsText" dxfId="303" priority="1075" operator="containsText" text="Pesquisa de Preços">
      <formula>NOT(ISERROR(SEARCH("Pesquisa de Preços",E9596)))</formula>
    </cfRule>
  </conditionalFormatting>
  <conditionalFormatting sqref="E9626:E9640">
    <cfRule type="containsText" dxfId="302" priority="2498" operator="containsText" text="Pesquisa de Preços">
      <formula>NOT(ISERROR(SEARCH("Pesquisa de Preços",E9626)))</formula>
    </cfRule>
  </conditionalFormatting>
  <conditionalFormatting sqref="E9642:E9653">
    <cfRule type="containsText" dxfId="301" priority="424" operator="containsText" text="Pesquisa de Preços">
      <formula>NOT(ISERROR(SEARCH("Pesquisa de Preços",E9642)))</formula>
    </cfRule>
  </conditionalFormatting>
  <conditionalFormatting sqref="E9681:E9745">
    <cfRule type="containsText" dxfId="300" priority="2218" operator="containsText" text="Pesquisa de Preços">
      <formula>NOT(ISERROR(SEARCH("Pesquisa de Preços",E9681)))</formula>
    </cfRule>
  </conditionalFormatting>
  <conditionalFormatting sqref="E9772:E9823">
    <cfRule type="containsText" dxfId="299" priority="2469" operator="containsText" text="Pesquisa de Preços">
      <formula>NOT(ISERROR(SEARCH("Pesquisa de Preços",E9772)))</formula>
    </cfRule>
  </conditionalFormatting>
  <conditionalFormatting sqref="E10248:E10254">
    <cfRule type="containsText" dxfId="298" priority="2026" operator="containsText" text="Pesquisa de Preços">
      <formula>NOT(ISERROR(SEARCH("Pesquisa de Preços",E10248)))</formula>
    </cfRule>
  </conditionalFormatting>
  <conditionalFormatting sqref="E10716:E10718">
    <cfRule type="containsText" dxfId="297" priority="2173" operator="containsText" text="Pesquisa de Preços">
      <formula>NOT(ISERROR(SEARCH("Pesquisa de Preços",E10716)))</formula>
    </cfRule>
  </conditionalFormatting>
  <conditionalFormatting sqref="E10729:E10731">
    <cfRule type="containsText" dxfId="296" priority="2164" operator="containsText" text="Pesquisa de Preços">
      <formula>NOT(ISERROR(SEARCH("Pesquisa de Preços",E10729)))</formula>
    </cfRule>
  </conditionalFormatting>
  <conditionalFormatting sqref="E10733:E10735">
    <cfRule type="containsText" dxfId="295" priority="2153" operator="containsText" text="Pesquisa de Preços">
      <formula>NOT(ISERROR(SEARCH("Pesquisa de Preços",E10733)))</formula>
    </cfRule>
  </conditionalFormatting>
  <conditionalFormatting sqref="E10741">
    <cfRule type="containsText" dxfId="294" priority="2154" operator="containsText" text="Pesquisa de Preços">
      <formula>NOT(ISERROR(SEARCH("Pesquisa de Preços",E10741)))</formula>
    </cfRule>
  </conditionalFormatting>
  <conditionalFormatting sqref="E10753:E10754">
    <cfRule type="containsText" dxfId="293" priority="2130" operator="containsText" text="Pesquisa de Preços">
      <formula>NOT(ISERROR(SEARCH("Pesquisa de Preços",E10753)))</formula>
    </cfRule>
  </conditionalFormatting>
  <conditionalFormatting sqref="E10756:E10762">
    <cfRule type="containsText" dxfId="292" priority="2124" operator="containsText" text="Pesquisa de Preços">
      <formula>NOT(ISERROR(SEARCH("Pesquisa de Preços",E10756)))</formula>
    </cfRule>
  </conditionalFormatting>
  <conditionalFormatting sqref="E10764">
    <cfRule type="containsText" dxfId="291" priority="2131" operator="containsText" text="Pesquisa de Preços">
      <formula>NOT(ISERROR(SEARCH("Pesquisa de Preços",E10764)))</formula>
    </cfRule>
  </conditionalFormatting>
  <conditionalFormatting sqref="E10784:E10786">
    <cfRule type="containsText" dxfId="290" priority="317" operator="containsText" text="Pesquisa de Preços">
      <formula>NOT(ISERROR(SEARCH("Pesquisa de Preços",E10784)))</formula>
    </cfRule>
  </conditionalFormatting>
  <conditionalFormatting sqref="E10817:E10824">
    <cfRule type="containsText" dxfId="289" priority="1997" operator="containsText" text="Pesquisa de Preços">
      <formula>NOT(ISERROR(SEARCH("Pesquisa de Preços",E10817)))</formula>
    </cfRule>
  </conditionalFormatting>
  <conditionalFormatting sqref="E10829:E10831">
    <cfRule type="containsText" dxfId="288" priority="2017" operator="containsText" text="Pesquisa de Preços">
      <formula>NOT(ISERROR(SEARCH("Pesquisa de Preços",E10829)))</formula>
    </cfRule>
  </conditionalFormatting>
  <conditionalFormatting sqref="E10836:E10846">
    <cfRule type="containsText" dxfId="287" priority="846" operator="containsText" text="Pesquisa de Preços">
      <formula>NOT(ISERROR(SEARCH("Pesquisa de Preços",E10836)))</formula>
    </cfRule>
  </conditionalFormatting>
  <conditionalFormatting sqref="E10878:E10879">
    <cfRule type="containsText" dxfId="286" priority="1083" operator="containsText" text="Pesquisa de Preços">
      <formula>NOT(ISERROR(SEARCH("Pesquisa de Preços",E10878)))</formula>
    </cfRule>
  </conditionalFormatting>
  <conditionalFormatting sqref="E10885:E10889">
    <cfRule type="containsText" dxfId="285" priority="1185" operator="containsText" text="Pesquisa de Preços">
      <formula>NOT(ISERROR(SEARCH("Pesquisa de Preços",E10885)))</formula>
    </cfRule>
  </conditionalFormatting>
  <conditionalFormatting sqref="E10897">
    <cfRule type="containsText" dxfId="284" priority="1714" operator="containsText" text="Pesquisa de Preços">
      <formula>NOT(ISERROR(SEARCH("Pesquisa de Preços",E10897)))</formula>
    </cfRule>
  </conditionalFormatting>
  <conditionalFormatting sqref="E11026:E11028">
    <cfRule type="containsText" dxfId="283" priority="1739" operator="containsText" text="Pesquisa de Preços">
      <formula>NOT(ISERROR(SEARCH("Pesquisa de Preços",E11026)))</formula>
    </cfRule>
  </conditionalFormatting>
  <conditionalFormatting sqref="E11034:E11036">
    <cfRule type="containsText" dxfId="282" priority="1733" operator="containsText" text="Pesquisa de Preços">
      <formula>NOT(ISERROR(SEARCH("Pesquisa de Preços",E11034)))</formula>
    </cfRule>
  </conditionalFormatting>
  <conditionalFormatting sqref="E11042:E11044">
    <cfRule type="containsText" dxfId="281" priority="1727" operator="containsText" text="Pesquisa de Preços">
      <formula>NOT(ISERROR(SEARCH("Pesquisa de Preços",E11042)))</formula>
    </cfRule>
  </conditionalFormatting>
  <conditionalFormatting sqref="E11142">
    <cfRule type="containsText" dxfId="280" priority="1608" operator="containsText" text="Pesquisa de Preços">
      <formula>NOT(ISERROR(SEARCH("Pesquisa de Preços",E11142)))</formula>
    </cfRule>
  </conditionalFormatting>
  <conditionalFormatting sqref="E11149">
    <cfRule type="containsText" dxfId="279" priority="1602" operator="containsText" text="Pesquisa de Preços">
      <formula>NOT(ISERROR(SEARCH("Pesquisa de Preços",E11149)))</formula>
    </cfRule>
  </conditionalFormatting>
  <conditionalFormatting sqref="E11156">
    <cfRule type="containsText" dxfId="278" priority="1592" operator="containsText" text="Pesquisa de Preços">
      <formula>NOT(ISERROR(SEARCH("Pesquisa de Preços",E11156)))</formula>
    </cfRule>
  </conditionalFormatting>
  <conditionalFormatting sqref="E11163">
    <cfRule type="containsText" dxfId="277" priority="1585" operator="containsText" text="Pesquisa de Preços">
      <formula>NOT(ISERROR(SEARCH("Pesquisa de Preços",E11163)))</formula>
    </cfRule>
  </conditionalFormatting>
  <conditionalFormatting sqref="E11170">
    <cfRule type="containsText" dxfId="276" priority="1578" operator="containsText" text="Pesquisa de Preços">
      <formula>NOT(ISERROR(SEARCH("Pesquisa de Preços",E11170)))</formula>
    </cfRule>
  </conditionalFormatting>
  <conditionalFormatting sqref="E11177">
    <cfRule type="containsText" dxfId="275" priority="1571" operator="containsText" text="Pesquisa de Preços">
      <formula>NOT(ISERROR(SEARCH("Pesquisa de Preços",E11177)))</formula>
    </cfRule>
  </conditionalFormatting>
  <conditionalFormatting sqref="E11184">
    <cfRule type="containsText" dxfId="274" priority="1564" operator="containsText" text="Pesquisa de Preços">
      <formula>NOT(ISERROR(SEARCH("Pesquisa de Preços",E11184)))</formula>
    </cfRule>
  </conditionalFormatting>
  <conditionalFormatting sqref="E11191">
    <cfRule type="containsText" dxfId="273" priority="1558" operator="containsText" text="Pesquisa de Preços">
      <formula>NOT(ISERROR(SEARCH("Pesquisa de Preços",E11191)))</formula>
    </cfRule>
  </conditionalFormatting>
  <conditionalFormatting sqref="E11215:E11225">
    <cfRule type="containsText" dxfId="272" priority="966" operator="containsText" text="Pesquisa de Preços">
      <formula>NOT(ISERROR(SEARCH("Pesquisa de Preços",E11215)))</formula>
    </cfRule>
  </conditionalFormatting>
  <conditionalFormatting sqref="E11243:E11246">
    <cfRule type="containsText" dxfId="271" priority="843" operator="containsText" text="Pesquisa de Preços">
      <formula>NOT(ISERROR(SEARCH("Pesquisa de Preços",E11243)))</formula>
    </cfRule>
  </conditionalFormatting>
  <conditionalFormatting sqref="E11250:E11252">
    <cfRule type="containsText" dxfId="270" priority="1542" operator="containsText" text="Pesquisa de Preços">
      <formula>NOT(ISERROR(SEARCH("Pesquisa de Preços",E11250)))</formula>
    </cfRule>
  </conditionalFormatting>
  <conditionalFormatting sqref="E11274:E11275">
    <cfRule type="containsText" dxfId="269" priority="1208" operator="containsText" text="Pesquisa de Preços">
      <formula>NOT(ISERROR(SEARCH("Pesquisa de Preços",E11274)))</formula>
    </cfRule>
  </conditionalFormatting>
  <conditionalFormatting sqref="E11316">
    <cfRule type="containsText" dxfId="268" priority="1018" operator="containsText" text="Pesquisa de Preços">
      <formula>NOT(ISERROR(SEARCH("Pesquisa de Preços",E11316)))</formula>
    </cfRule>
  </conditionalFormatting>
  <conditionalFormatting sqref="E11334:E11337">
    <cfRule type="containsText" dxfId="267" priority="991" operator="containsText" text="Pesquisa de Preços">
      <formula>NOT(ISERROR(SEARCH("Pesquisa de Preços",E11334)))</formula>
    </cfRule>
  </conditionalFormatting>
  <conditionalFormatting sqref="E11344:E11347">
    <cfRule type="containsText" dxfId="266" priority="984" operator="containsText" text="Pesquisa de Preços">
      <formula>NOT(ISERROR(SEARCH("Pesquisa de Preços",E11344)))</formula>
    </cfRule>
  </conditionalFormatting>
  <conditionalFormatting sqref="E11354">
    <cfRule type="containsText" dxfId="265" priority="985" operator="containsText" text="Pesquisa de Preços">
      <formula>NOT(ISERROR(SEARCH("Pesquisa de Preços",E11354)))</formula>
    </cfRule>
  </conditionalFormatting>
  <conditionalFormatting sqref="E11369">
    <cfRule type="containsText" dxfId="264" priority="166" operator="containsText" text="Pesquisa de Preços">
      <formula>NOT(ISERROR(SEARCH("Pesquisa de Preços",E11369)))</formula>
    </cfRule>
  </conditionalFormatting>
  <conditionalFormatting sqref="E11391">
    <cfRule type="containsText" dxfId="263" priority="916" operator="containsText" text="Pesquisa de Preços">
      <formula>NOT(ISERROR(SEARCH("Pesquisa de Preços",E11391)))</formula>
    </cfRule>
  </conditionalFormatting>
  <conditionalFormatting sqref="E11402">
    <cfRule type="containsText" dxfId="262" priority="903" operator="containsText" text="Pesquisa de Preços">
      <formula>NOT(ISERROR(SEARCH("Pesquisa de Preços",E11402)))</formula>
    </cfRule>
  </conditionalFormatting>
  <conditionalFormatting sqref="E11460:E11470">
    <cfRule type="containsText" dxfId="261" priority="845" operator="containsText" text="Pesquisa de Preços">
      <formula>NOT(ISERROR(SEARCH("Pesquisa de Preços",E11460)))</formula>
    </cfRule>
  </conditionalFormatting>
  <conditionalFormatting sqref="E11520:E11521">
    <cfRule type="containsText" dxfId="260" priority="132" operator="containsText" text="Pesquisa de Preços">
      <formula>NOT(ISERROR(SEARCH("Pesquisa de Preços",E11520)))</formula>
    </cfRule>
  </conditionalFormatting>
  <conditionalFormatting sqref="E11528">
    <cfRule type="containsText" dxfId="259" priority="667" operator="containsText" text="Pesquisa de Preços">
      <formula>NOT(ISERROR(SEARCH("Pesquisa de Preços",E11528)))</formula>
    </cfRule>
  </conditionalFormatting>
  <conditionalFormatting sqref="E11533:E11540">
    <cfRule type="containsText" dxfId="258" priority="633" operator="containsText" text="Pesquisa de Preços">
      <formula>NOT(ISERROR(SEARCH("Pesquisa de Preços",E11533)))</formula>
    </cfRule>
  </conditionalFormatting>
  <conditionalFormatting sqref="E11551">
    <cfRule type="containsText" dxfId="257" priority="31" operator="containsText" text="Pesquisa de Preços">
      <formula>NOT(ISERROR(SEARCH("Pesquisa de Preços",E11551)))</formula>
    </cfRule>
  </conditionalFormatting>
  <conditionalFormatting sqref="E11556:E11557">
    <cfRule type="containsText" dxfId="256" priority="624" operator="containsText" text="Pesquisa de Preços">
      <formula>NOT(ISERROR(SEARCH("Pesquisa de Preços",E11556)))</formula>
    </cfRule>
  </conditionalFormatting>
  <conditionalFormatting sqref="E11562:E11563">
    <cfRule type="containsText" dxfId="255" priority="614" operator="containsText" text="Pesquisa de Preços">
      <formula>NOT(ISERROR(SEARCH("Pesquisa de Preços",E11562)))</formula>
    </cfRule>
  </conditionalFormatting>
  <conditionalFormatting sqref="E11634:E11635">
    <cfRule type="containsText" dxfId="254" priority="420" operator="containsText" text="Pesquisa de Preços">
      <formula>NOT(ISERROR(SEARCH("Pesquisa de Preços",E11634)))</formula>
    </cfRule>
  </conditionalFormatting>
  <conditionalFormatting sqref="E11637:E11646">
    <cfRule type="containsText" dxfId="253" priority="419" operator="containsText" text="Pesquisa de Preços">
      <formula>NOT(ISERROR(SEARCH("Pesquisa de Preços",E11637)))</formula>
    </cfRule>
  </conditionalFormatting>
  <conditionalFormatting sqref="E11648:E11649">
    <cfRule type="containsText" dxfId="252" priority="550" operator="containsText" text="Pesquisa de Preços">
      <formula>NOT(ISERROR(SEARCH("Pesquisa de Preços",E11648)))</formula>
    </cfRule>
  </conditionalFormatting>
  <conditionalFormatting sqref="E11762:E11763">
    <cfRule type="containsText" dxfId="251" priority="399" operator="containsText" text="Pesquisa de Preços">
      <formula>NOT(ISERROR(SEARCH("Pesquisa de Preços",E11762)))</formula>
    </cfRule>
  </conditionalFormatting>
  <conditionalFormatting sqref="E11769:E11770">
    <cfRule type="containsText" dxfId="250" priority="395" operator="containsText" text="Pesquisa de Preços">
      <formula>NOT(ISERROR(SEARCH("Pesquisa de Preços",E11769)))</formula>
    </cfRule>
  </conditionalFormatting>
  <conditionalFormatting sqref="E11780:E11781">
    <cfRule type="containsText" dxfId="249" priority="388" operator="containsText" text="Pesquisa de Preços">
      <formula>NOT(ISERROR(SEARCH("Pesquisa de Preços",E11780)))</formula>
    </cfRule>
  </conditionalFormatting>
  <conditionalFormatting sqref="E11791:E11792">
    <cfRule type="containsText" dxfId="248" priority="363" operator="containsText" text="Pesquisa de Preços">
      <formula>NOT(ISERROR(SEARCH("Pesquisa de Preços",E11791)))</formula>
    </cfRule>
  </conditionalFormatting>
  <conditionalFormatting sqref="E11795:E11802">
    <cfRule type="containsText" dxfId="247" priority="483" operator="containsText" text="Pesquisa de Preços">
      <formula>NOT(ISERROR(SEARCH("Pesquisa de Preços",E11795)))</formula>
    </cfRule>
  </conditionalFormatting>
  <conditionalFormatting sqref="E11818:E11819">
    <cfRule type="containsText" dxfId="246" priority="354" operator="containsText" text="Pesquisa de Preços">
      <formula>NOT(ISERROR(SEARCH("Pesquisa de Preços",E11818)))</formula>
    </cfRule>
  </conditionalFormatting>
  <conditionalFormatting sqref="E11825:E11826">
    <cfRule type="containsText" dxfId="245" priority="349" operator="containsText" text="Pesquisa de Preços">
      <formula>NOT(ISERROR(SEARCH("Pesquisa de Preços",E11825)))</formula>
    </cfRule>
  </conditionalFormatting>
  <conditionalFormatting sqref="E11842:E11849">
    <cfRule type="containsText" dxfId="244" priority="299" operator="containsText" text="Pesquisa de Preços">
      <formula>NOT(ISERROR(SEARCH("Pesquisa de Preços",E11842)))</formula>
    </cfRule>
  </conditionalFormatting>
  <conditionalFormatting sqref="E11851:E11859">
    <cfRule type="containsText" dxfId="243" priority="246" operator="containsText" text="Pesquisa de Preços">
      <formula>NOT(ISERROR(SEARCH("Pesquisa de Preços",E11851)))</formula>
    </cfRule>
  </conditionalFormatting>
  <conditionalFormatting sqref="E11862:E11863">
    <cfRule type="containsText" dxfId="242" priority="241" operator="containsText" text="Pesquisa de Preços">
      <formula>NOT(ISERROR(SEARCH("Pesquisa de Preços",E11862)))</formula>
    </cfRule>
  </conditionalFormatting>
  <conditionalFormatting sqref="E11865:E11867">
    <cfRule type="containsText" dxfId="241" priority="240" operator="containsText" text="Pesquisa de Preços">
      <formula>NOT(ISERROR(SEARCH("Pesquisa de Preços",E11865)))</formula>
    </cfRule>
  </conditionalFormatting>
  <conditionalFormatting sqref="E11919:E11924">
    <cfRule type="containsText" dxfId="240" priority="139" operator="containsText" text="Pesquisa de Preços">
      <formula>NOT(ISERROR(SEARCH("Pesquisa de Preços",E11919)))</formula>
    </cfRule>
  </conditionalFormatting>
  <conditionalFormatting sqref="E11926:E11927">
    <cfRule type="containsText" dxfId="239" priority="119" operator="containsText" text="Pesquisa de Preços">
      <formula>NOT(ISERROR(SEARCH("Pesquisa de Preços",E11926)))</formula>
    </cfRule>
  </conditionalFormatting>
  <conditionalFormatting sqref="E11963:E11964">
    <cfRule type="containsText" dxfId="238" priority="74" operator="containsText" text="Pesquisa de Preços">
      <formula>NOT(ISERROR(SEARCH("Pesquisa de Preços",E11963)))</formula>
    </cfRule>
  </conditionalFormatting>
  <conditionalFormatting sqref="G3027">
    <cfRule type="notContainsText" dxfId="237" priority="8257" operator="notContains" text="Sinapi">
      <formula>ISERROR(SEARCH("Sinapi",G3027))</formula>
    </cfRule>
  </conditionalFormatting>
  <conditionalFormatting sqref="G3032">
    <cfRule type="notContainsText" dxfId="236" priority="8256" operator="notContains" text="Sinapi">
      <formula>ISERROR(SEARCH("Sinapi",G3032))</formula>
    </cfRule>
  </conditionalFormatting>
  <conditionalFormatting sqref="G3037">
    <cfRule type="notContainsText" dxfId="235" priority="8255" operator="notContains" text="Sinapi">
      <formula>ISERROR(SEARCH("Sinapi",G3037))</formula>
    </cfRule>
  </conditionalFormatting>
  <conditionalFormatting sqref="G3042">
    <cfRule type="notContainsText" dxfId="234" priority="8254" operator="notContains" text="Sinapi">
      <formula>ISERROR(SEARCH("Sinapi",G3042))</formula>
    </cfRule>
  </conditionalFormatting>
  <conditionalFormatting sqref="G3047">
    <cfRule type="notContainsText" dxfId="233" priority="8253" operator="notContains" text="Sinapi">
      <formula>ISERROR(SEARCH("Sinapi",G3047))</formula>
    </cfRule>
  </conditionalFormatting>
  <conditionalFormatting sqref="G3052">
    <cfRule type="notContainsText" dxfId="232" priority="8252" operator="notContains" text="Sinapi">
      <formula>ISERROR(SEARCH("Sinapi",G3052))</formula>
    </cfRule>
  </conditionalFormatting>
  <conditionalFormatting sqref="G3057">
    <cfRule type="notContainsText" dxfId="231" priority="8251" operator="notContains" text="Sinapi">
      <formula>ISERROR(SEARCH("Sinapi",G3057))</formula>
    </cfRule>
  </conditionalFormatting>
  <conditionalFormatting sqref="G3062">
    <cfRule type="notContainsText" dxfId="230" priority="8250" operator="notContains" text="Sinapi">
      <formula>ISERROR(SEARCH("Sinapi",G3062))</formula>
    </cfRule>
  </conditionalFormatting>
  <conditionalFormatting sqref="G3077">
    <cfRule type="notContainsText" dxfId="229" priority="8249" operator="notContains" text="Sinapi">
      <formula>ISERROR(SEARCH("Sinapi",G3077))</formula>
    </cfRule>
  </conditionalFormatting>
  <conditionalFormatting sqref="G3082">
    <cfRule type="notContainsText" dxfId="228" priority="8248" operator="notContains" text="Sinapi">
      <formula>ISERROR(SEARCH("Sinapi",G3082))</formula>
    </cfRule>
  </conditionalFormatting>
  <conditionalFormatting sqref="G3087">
    <cfRule type="notContainsText" dxfId="227" priority="8247" operator="notContains" text="Sinapi">
      <formula>ISERROR(SEARCH("Sinapi",G3087))</formula>
    </cfRule>
  </conditionalFormatting>
  <conditionalFormatting sqref="G3092">
    <cfRule type="notContainsText" dxfId="226" priority="8246" operator="notContains" text="Sinapi">
      <formula>ISERROR(SEARCH("Sinapi",G3092))</formula>
    </cfRule>
  </conditionalFormatting>
  <conditionalFormatting sqref="G3097">
    <cfRule type="notContainsText" dxfId="225" priority="8245" operator="notContains" text="Sinapi">
      <formula>ISERROR(SEARCH("Sinapi",G3097))</formula>
    </cfRule>
  </conditionalFormatting>
  <conditionalFormatting sqref="G3102">
    <cfRule type="notContainsText" dxfId="224" priority="8244" operator="notContains" text="Sinapi">
      <formula>ISERROR(SEARCH("Sinapi",G3102))</formula>
    </cfRule>
  </conditionalFormatting>
  <conditionalFormatting sqref="G3107">
    <cfRule type="notContainsText" dxfId="223" priority="8243" operator="notContains" text="Sinapi">
      <formula>ISERROR(SEARCH("Sinapi",G3107))</formula>
    </cfRule>
  </conditionalFormatting>
  <conditionalFormatting sqref="G3112">
    <cfRule type="notContainsText" dxfId="222" priority="8242" operator="notContains" text="Sinapi">
      <formula>ISERROR(SEARCH("Sinapi",G3112))</formula>
    </cfRule>
  </conditionalFormatting>
  <conditionalFormatting sqref="G3117">
    <cfRule type="notContainsText" dxfId="221" priority="8241" operator="notContains" text="Sinapi">
      <formula>ISERROR(SEARCH("Sinapi",G3117))</formula>
    </cfRule>
  </conditionalFormatting>
  <conditionalFormatting sqref="G3130">
    <cfRule type="notContainsText" dxfId="220" priority="8240" operator="notContains" text="Sinapi">
      <formula>ISERROR(SEARCH("Sinapi",G3130))</formula>
    </cfRule>
  </conditionalFormatting>
  <conditionalFormatting sqref="G3143">
    <cfRule type="notContainsText" dxfId="219" priority="8203" operator="notContains" text="Sinapi">
      <formula>ISERROR(SEARCH("Sinapi",G3143))</formula>
    </cfRule>
  </conditionalFormatting>
  <conditionalFormatting sqref="G3155">
    <cfRule type="notContainsText" dxfId="218" priority="8239" operator="notContains" text="Sinapi">
      <formula>ISERROR(SEARCH("Sinapi",G3155))</formula>
    </cfRule>
  </conditionalFormatting>
  <conditionalFormatting sqref="G3168">
    <cfRule type="notContainsText" dxfId="217" priority="8238" operator="notContains" text="Sinapi">
      <formula>ISERROR(SEARCH("Sinapi",G3168))</formula>
    </cfRule>
  </conditionalFormatting>
  <conditionalFormatting sqref="G3173">
    <cfRule type="notContainsText" dxfId="216" priority="8237" operator="notContains" text="Sinapi">
      <formula>ISERROR(SEARCH("Sinapi",G3173))</formula>
    </cfRule>
  </conditionalFormatting>
  <conditionalFormatting sqref="G3178">
    <cfRule type="notContainsText" dxfId="215" priority="8236" operator="notContains" text="Sinapi">
      <formula>ISERROR(SEARCH("Sinapi",G3178))</formula>
    </cfRule>
  </conditionalFormatting>
  <conditionalFormatting sqref="G3183">
    <cfRule type="notContainsText" dxfId="214" priority="8235" operator="notContains" text="Sinapi">
      <formula>ISERROR(SEARCH("Sinapi",G3183))</formula>
    </cfRule>
  </conditionalFormatting>
  <conditionalFormatting sqref="G3188">
    <cfRule type="notContainsText" dxfId="213" priority="8234" operator="notContains" text="Sinapi">
      <formula>ISERROR(SEARCH("Sinapi",G3188))</formula>
    </cfRule>
  </conditionalFormatting>
  <conditionalFormatting sqref="G3193">
    <cfRule type="notContainsText" dxfId="212" priority="8233" operator="notContains" text="Sinapi">
      <formula>ISERROR(SEARCH("Sinapi",G3193))</formula>
    </cfRule>
  </conditionalFormatting>
  <conditionalFormatting sqref="G3198">
    <cfRule type="notContainsText" dxfId="211" priority="8232" operator="notContains" text="Sinapi">
      <formula>ISERROR(SEARCH("Sinapi",G3198))</formula>
    </cfRule>
  </conditionalFormatting>
  <conditionalFormatting sqref="G3203">
    <cfRule type="notContainsText" dxfId="210" priority="8231" operator="notContains" text="Sinapi">
      <formula>ISERROR(SEARCH("Sinapi",G3203))</formula>
    </cfRule>
  </conditionalFormatting>
  <conditionalFormatting sqref="G3208">
    <cfRule type="notContainsText" dxfId="209" priority="8230" operator="notContains" text="Sinapi">
      <formula>ISERROR(SEARCH("Sinapi",G3208))</formula>
    </cfRule>
  </conditionalFormatting>
  <conditionalFormatting sqref="G3248">
    <cfRule type="notContainsText" dxfId="208" priority="8229" operator="notContains" text="Sinapi">
      <formula>ISERROR(SEARCH("Sinapi",G3248))</formula>
    </cfRule>
  </conditionalFormatting>
  <conditionalFormatting sqref="G3430">
    <cfRule type="notContainsText" dxfId="207" priority="8228" operator="notContains" text="Sinapi">
      <formula>ISERROR(SEARCH("Sinapi",G3430))</formula>
    </cfRule>
  </conditionalFormatting>
  <conditionalFormatting sqref="G3449">
    <cfRule type="notContainsText" dxfId="206" priority="8227" operator="notContains" text="Sinapi">
      <formula>ISERROR(SEARCH("Sinapi",G3449))</formula>
    </cfRule>
  </conditionalFormatting>
  <conditionalFormatting sqref="G3460">
    <cfRule type="notContainsText" dxfId="205" priority="8226" operator="notContains" text="Sinapi">
      <formula>ISERROR(SEARCH("Sinapi",G3460))</formula>
    </cfRule>
  </conditionalFormatting>
  <conditionalFormatting sqref="G3464">
    <cfRule type="notContainsText" dxfId="204" priority="8225" operator="notContains" text="Sinapi">
      <formula>ISERROR(SEARCH("Sinapi",G3464))</formula>
    </cfRule>
  </conditionalFormatting>
  <conditionalFormatting sqref="D861:E861 D3296:D3302 D3689:D3690 D4074:D4080 D8454 D11226:E11242">
    <cfRule type="containsText" dxfId="203" priority="8630" operator="containsText" text="Pesquisa de Preços">
      <formula>NOT(ISERROR(SEARCH("Pesquisa de Preços",D861)))</formula>
    </cfRule>
  </conditionalFormatting>
  <hyperlinks>
    <hyperlink ref="C462" r:id="rId1" xr:uid="{649A013E-11A5-4F91-8A3D-F983BED36FCF}"/>
    <hyperlink ref="C496" r:id="rId2" xr:uid="{C17CD20D-5D37-49C6-970F-C4C311AEBFF2}"/>
    <hyperlink ref="C495" r:id="rId3" xr:uid="{7A024A26-4399-43A3-9F20-9A6844C8F289}"/>
    <hyperlink ref="C481" r:id="rId4" xr:uid="{772995E8-42D7-4FA2-AC03-0D773F55CBC0}"/>
    <hyperlink ref="C4744" r:id="rId5" xr:uid="{7EA8DC3B-CFF6-4FC4-BF2D-7E24FA0D6688}"/>
    <hyperlink ref="C4813" r:id="rId6" xr:uid="{173AC3C0-182E-4422-B080-331A3672D072}"/>
    <hyperlink ref="C4792" r:id="rId7" xr:uid="{C2A9E8FE-19F3-42F9-AE8F-C8799D05ADD7}"/>
    <hyperlink ref="C3260" r:id="rId8" xr:uid="{40CB7412-16BA-4AF4-875C-4EF3576DB6F3}"/>
    <hyperlink ref="C480" r:id="rId9" xr:uid="{104AD9B1-B0F2-4C87-99EE-8B95D5A789CA}"/>
  </hyperlinks>
  <printOptions horizontalCentered="1"/>
  <pageMargins left="0.19685039370078741" right="0.19685039370078741" top="0.98425196850393704" bottom="0.59055118110236227" header="0.19685039370078741" footer="0.19685039370078741"/>
  <pageSetup paperSize="9" scale="56" fitToHeight="0" orientation="landscape" horizontalDpi="4294967295" verticalDpi="4294967295" r:id="rId10"/>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rowBreaks count="1" manualBreakCount="1">
    <brk id="248" max="16383" man="1"/>
  </rowBreaks>
  <drawing r:id="rId11"/>
  <legacyDrawingHF r:id="rId1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9B0BA-2739-4196-BEB2-655DE94F0C98}">
  <sheetPr codeName="Planilha5" filterMode="1">
    <pageSetUpPr fitToPage="1"/>
  </sheetPr>
  <dimension ref="A1:I813"/>
  <sheetViews>
    <sheetView zoomScale="80" zoomScaleNormal="80" workbookViewId="0">
      <pane ySplit="5" topLeftCell="A6" activePane="bottomLeft" state="frozen"/>
      <selection activeCell="C10404" sqref="C10404"/>
      <selection pane="bottomLeft"/>
    </sheetView>
  </sheetViews>
  <sheetFormatPr defaultRowHeight="15" x14ac:dyDescent="0.25"/>
  <cols>
    <col min="1" max="1" width="46.85546875" customWidth="1"/>
    <col min="2" max="2" width="65.7109375" style="2" customWidth="1"/>
    <col min="3" max="3" width="15.7109375" customWidth="1"/>
    <col min="4" max="4" width="20.7109375" customWidth="1"/>
    <col min="5" max="5" width="15.7109375" customWidth="1"/>
    <col min="6" max="7" width="17.7109375" customWidth="1"/>
    <col min="8" max="8" width="5.7109375" customWidth="1"/>
    <col min="9" max="9" width="14.42578125" customWidth="1"/>
  </cols>
  <sheetData>
    <row r="1" spans="1:9" ht="24.95" customHeight="1" x14ac:dyDescent="0.25">
      <c r="A1" s="110" t="s">
        <v>10621</v>
      </c>
      <c r="B1" s="111"/>
      <c r="C1" s="110"/>
      <c r="D1" s="110"/>
      <c r="E1" s="110"/>
      <c r="F1" s="110"/>
      <c r="G1" s="110"/>
      <c r="H1" s="112"/>
      <c r="I1" s="113"/>
    </row>
    <row r="2" spans="1:9" ht="24.95" customHeight="1" x14ac:dyDescent="0.25">
      <c r="A2" s="11" t="s">
        <v>2953</v>
      </c>
      <c r="B2" s="12"/>
      <c r="C2" s="12"/>
      <c r="D2" s="12"/>
      <c r="E2" s="12"/>
      <c r="F2" s="12"/>
      <c r="G2" s="12"/>
      <c r="H2" s="15"/>
      <c r="I2" s="113"/>
    </row>
    <row r="3" spans="1:9" ht="20.100000000000001" customHeight="1" x14ac:dyDescent="0.25">
      <c r="A3" s="16" t="s">
        <v>0</v>
      </c>
      <c r="B3" s="16"/>
      <c r="C3" s="16"/>
      <c r="D3" s="16"/>
      <c r="E3" s="16"/>
      <c r="F3" s="16"/>
      <c r="G3" s="16"/>
      <c r="H3" s="16"/>
      <c r="I3" s="114"/>
    </row>
    <row r="4" spans="1:9" ht="20.100000000000001" customHeight="1" thickBot="1" x14ac:dyDescent="0.3">
      <c r="A4" s="115"/>
      <c r="B4" s="116"/>
      <c r="C4" s="116"/>
      <c r="D4" s="116"/>
      <c r="E4" s="116"/>
      <c r="F4" s="116"/>
      <c r="G4" s="116"/>
      <c r="H4" s="117"/>
      <c r="I4" s="118"/>
    </row>
    <row r="5" spans="1:9" ht="30.75" thickBot="1" x14ac:dyDescent="0.3">
      <c r="A5" s="24" t="s">
        <v>3</v>
      </c>
      <c r="B5" s="25" t="s">
        <v>4</v>
      </c>
      <c r="C5" s="25" t="s">
        <v>5</v>
      </c>
      <c r="D5" s="25" t="s">
        <v>6</v>
      </c>
      <c r="E5" s="25" t="s">
        <v>7</v>
      </c>
      <c r="F5" s="25" t="s">
        <v>8</v>
      </c>
      <c r="G5" s="28" t="s">
        <v>2954</v>
      </c>
      <c r="H5" s="29" t="s">
        <v>10</v>
      </c>
      <c r="I5" s="119" t="s">
        <v>11</v>
      </c>
    </row>
    <row r="6" spans="1:9" ht="26.25" hidden="1" customHeight="1" thickBot="1" x14ac:dyDescent="0.3">
      <c r="A6" s="184" t="s">
        <v>10679</v>
      </c>
      <c r="B6" s="31" t="s">
        <v>13</v>
      </c>
      <c r="C6" s="32" t="s">
        <v>2880</v>
      </c>
      <c r="D6" s="120"/>
      <c r="E6" s="34" t="s">
        <v>13</v>
      </c>
      <c r="F6" s="34" t="str">
        <f>IF(ISNUMBER(E6),E6*$D6,"")</f>
        <v/>
      </c>
      <c r="G6" s="35"/>
      <c r="H6" s="36"/>
      <c r="I6" s="121">
        <v>0</v>
      </c>
    </row>
    <row r="7" spans="1:9" hidden="1" x14ac:dyDescent="0.25">
      <c r="A7" s="182"/>
      <c r="B7" s="39" t="s">
        <v>13</v>
      </c>
      <c r="C7" s="39"/>
      <c r="D7" s="122"/>
      <c r="E7" s="38" t="s">
        <v>13</v>
      </c>
      <c r="F7" s="38" t="str">
        <f>IF(ISNUMBER(E7),E7*$D7,"")</f>
        <v/>
      </c>
      <c r="G7" s="42"/>
      <c r="H7" s="38"/>
      <c r="I7" s="121">
        <v>0</v>
      </c>
    </row>
    <row r="8" spans="1:9" ht="25.5" hidden="1" x14ac:dyDescent="0.25">
      <c r="A8" s="182"/>
      <c r="B8" s="43" t="s">
        <v>10647</v>
      </c>
      <c r="C8" s="43" t="s">
        <v>2880</v>
      </c>
      <c r="D8" s="44">
        <v>1.07</v>
      </c>
      <c r="E8" s="38">
        <v>199.71849999999998</v>
      </c>
      <c r="F8" s="41">
        <f>IF(ISNUMBER(E8),E8*$D8,"")</f>
        <v>213.69879499999999</v>
      </c>
      <c r="G8" s="46">
        <f>SUM(F8:F12)</f>
        <v>800.36532496249993</v>
      </c>
      <c r="H8" s="59"/>
      <c r="I8" s="121">
        <v>0</v>
      </c>
    </row>
    <row r="9" spans="1:9" hidden="1" x14ac:dyDescent="0.25">
      <c r="A9" s="182"/>
      <c r="B9" s="43" t="s">
        <v>10648</v>
      </c>
      <c r="C9" s="43" t="s">
        <v>1044</v>
      </c>
      <c r="D9" s="44">
        <v>482.96</v>
      </c>
      <c r="E9" s="41">
        <v>0.64600000000000002</v>
      </c>
      <c r="F9" s="41">
        <f>IF(ISNUMBER(E9),E9*$D9,"")</f>
        <v>311.99216000000001</v>
      </c>
      <c r="G9" s="58"/>
      <c r="H9" s="59"/>
      <c r="I9" s="121">
        <v>0</v>
      </c>
    </row>
    <row r="10" spans="1:9" hidden="1" x14ac:dyDescent="0.25">
      <c r="A10" s="182"/>
      <c r="B10" s="43" t="s">
        <v>10614</v>
      </c>
      <c r="C10" s="43" t="s">
        <v>2800</v>
      </c>
      <c r="D10" s="44">
        <v>8.57</v>
      </c>
      <c r="E10" s="38">
        <v>23.693000000000001</v>
      </c>
      <c r="F10" s="41">
        <f>IF(ISNUMBER(E10),E10*$D10,"")</f>
        <v>203.04901000000001</v>
      </c>
      <c r="G10" s="58"/>
      <c r="H10" s="59"/>
      <c r="I10" s="121">
        <v>0</v>
      </c>
    </row>
    <row r="11" spans="1:9" ht="51" hidden="1" x14ac:dyDescent="0.25">
      <c r="A11" s="182"/>
      <c r="B11" s="43" t="s">
        <v>10624</v>
      </c>
      <c r="C11" s="43" t="s">
        <v>2880</v>
      </c>
      <c r="D11" s="44">
        <f>ROUND(1*D8,4)</f>
        <v>1.07</v>
      </c>
      <c r="E11" s="38">
        <v>8.5522277500000001</v>
      </c>
      <c r="F11" s="41">
        <f>IF(ISNUMBER(E11),E11*$D11,"")</f>
        <v>9.1508836925000008</v>
      </c>
      <c r="G11" s="58"/>
      <c r="H11" s="59"/>
      <c r="I11" s="121">
        <v>0</v>
      </c>
    </row>
    <row r="12" spans="1:9" ht="38.25" hidden="1" x14ac:dyDescent="0.25">
      <c r="A12" s="182"/>
      <c r="B12" s="43" t="s">
        <v>10622</v>
      </c>
      <c r="C12" s="43" t="s">
        <v>10676</v>
      </c>
      <c r="D12" s="44">
        <f>ROUND(D8*20,4)</f>
        <v>21.4</v>
      </c>
      <c r="E12" s="38">
        <v>2.9193680499999997</v>
      </c>
      <c r="F12" s="41">
        <f>IF(ISNUMBER(E12),E12*$D12,"")</f>
        <v>62.47447626999999</v>
      </c>
      <c r="G12" s="58"/>
      <c r="H12" s="59"/>
      <c r="I12" s="121">
        <v>0</v>
      </c>
    </row>
    <row r="13" spans="1:9" hidden="1" x14ac:dyDescent="0.25">
      <c r="A13" s="182"/>
      <c r="B13" s="61"/>
      <c r="C13" s="62"/>
      <c r="D13" s="44"/>
      <c r="E13" s="38" t="s">
        <v>13</v>
      </c>
      <c r="F13" s="41" t="str">
        <f>IF(ISNUMBER(E13),E13*$D13,"")</f>
        <v/>
      </c>
      <c r="G13" s="58"/>
      <c r="H13" s="59"/>
      <c r="I13" s="121">
        <v>0</v>
      </c>
    </row>
    <row r="14" spans="1:9" hidden="1" x14ac:dyDescent="0.25">
      <c r="A14" s="182"/>
      <c r="B14" s="4" t="s">
        <v>646</v>
      </c>
      <c r="C14" s="62"/>
      <c r="D14" s="44"/>
      <c r="E14" s="38" t="s">
        <v>13</v>
      </c>
      <c r="F14" s="41" t="str">
        <f>IF(ISNUMBER(E14),E14*$D14,"")</f>
        <v/>
      </c>
      <c r="G14" s="58"/>
      <c r="H14" s="59"/>
      <c r="I14" s="121">
        <v>0</v>
      </c>
    </row>
    <row r="15" spans="1:9" ht="15.75" hidden="1" thickBot="1" x14ac:dyDescent="0.3">
      <c r="A15" s="183"/>
      <c r="B15" s="49" t="s">
        <v>13</v>
      </c>
      <c r="C15" s="49"/>
      <c r="D15" s="123"/>
      <c r="E15" s="51" t="s">
        <v>13</v>
      </c>
      <c r="F15" s="52" t="str">
        <f>IF(ISNUMBER(E15),E15*$D15,"")</f>
        <v/>
      </c>
      <c r="G15" s="53"/>
      <c r="H15" s="38"/>
      <c r="I15" s="121">
        <v>0</v>
      </c>
    </row>
    <row r="16" spans="1:9" ht="15.75" hidden="1" customHeight="1" thickBot="1" x14ac:dyDescent="0.3">
      <c r="A16" s="184" t="s">
        <v>10680</v>
      </c>
      <c r="B16" s="31" t="s">
        <v>13</v>
      </c>
      <c r="C16" s="32" t="s">
        <v>83</v>
      </c>
      <c r="D16" s="120"/>
      <c r="E16" s="54" t="s">
        <v>13</v>
      </c>
      <c r="F16" s="54" t="str">
        <f>IF(ISNUMBER(E16),E16*$D16,"")</f>
        <v/>
      </c>
      <c r="G16" s="35"/>
      <c r="H16" s="36"/>
      <c r="I16" s="121">
        <v>0</v>
      </c>
    </row>
    <row r="17" spans="1:9" hidden="1" x14ac:dyDescent="0.25">
      <c r="A17" s="182"/>
      <c r="B17" s="39" t="s">
        <v>13</v>
      </c>
      <c r="C17" s="39"/>
      <c r="D17" s="122"/>
      <c r="E17" s="55" t="s">
        <v>13</v>
      </c>
      <c r="F17" s="38" t="str">
        <f>IF(ISNUMBER(E17),E17*$D17,"")</f>
        <v/>
      </c>
      <c r="G17" s="42"/>
      <c r="H17" s="38"/>
      <c r="I17" s="121">
        <v>0</v>
      </c>
    </row>
    <row r="18" spans="1:9" hidden="1" x14ac:dyDescent="0.25">
      <c r="A18" s="182"/>
      <c r="B18" s="43" t="s">
        <v>10750</v>
      </c>
      <c r="C18" s="43" t="s">
        <v>2800</v>
      </c>
      <c r="D18" s="44">
        <v>0.15679999999999999</v>
      </c>
      <c r="E18" s="38">
        <v>24.358000000000001</v>
      </c>
      <c r="F18" s="41">
        <f>IF(ISNUMBER(E18),E18*$D18,"")</f>
        <v>3.8193343999999998</v>
      </c>
      <c r="G18" s="46">
        <f>SUM(F18:F19)</f>
        <v>26.440639399999995</v>
      </c>
      <c r="H18" s="59"/>
      <c r="I18" s="121">
        <v>0</v>
      </c>
    </row>
    <row r="19" spans="1:9" ht="25.5" hidden="1" x14ac:dyDescent="0.25">
      <c r="A19" s="182"/>
      <c r="B19" s="43" t="s">
        <v>10751</v>
      </c>
      <c r="C19" s="43" t="s">
        <v>2800</v>
      </c>
      <c r="D19" s="44">
        <v>0.69</v>
      </c>
      <c r="E19" s="38">
        <v>32.784499999999994</v>
      </c>
      <c r="F19" s="41">
        <f>IF(ISNUMBER(E19),E19*$D19,"")</f>
        <v>22.621304999999996</v>
      </c>
      <c r="G19" s="58"/>
      <c r="H19" s="59"/>
      <c r="I19" s="121">
        <v>0</v>
      </c>
    </row>
    <row r="20" spans="1:9" ht="15.75" hidden="1" thickBot="1" x14ac:dyDescent="0.3">
      <c r="A20" s="183"/>
      <c r="B20" s="49" t="s">
        <v>13</v>
      </c>
      <c r="C20" s="49"/>
      <c r="D20" s="123"/>
      <c r="E20" s="51" t="s">
        <v>13</v>
      </c>
      <c r="F20" s="51" t="str">
        <f>IF(ISNUMBER(E20),E20*$D20,"")</f>
        <v/>
      </c>
      <c r="G20" s="53"/>
      <c r="H20" s="38"/>
      <c r="I20" s="121">
        <v>0</v>
      </c>
    </row>
    <row r="21" spans="1:9" ht="15.75" hidden="1" customHeight="1" thickBot="1" x14ac:dyDescent="0.3">
      <c r="A21" s="184" t="s">
        <v>10681</v>
      </c>
      <c r="B21" s="31" t="s">
        <v>13</v>
      </c>
      <c r="C21" s="32" t="s">
        <v>1302</v>
      </c>
      <c r="D21" s="120"/>
      <c r="E21" s="54" t="s">
        <v>13</v>
      </c>
      <c r="F21" s="54" t="str">
        <f>IF(ISNUMBER(E21),E21*$D21,"")</f>
        <v/>
      </c>
      <c r="G21" s="35"/>
      <c r="H21" s="36"/>
      <c r="I21" s="121">
        <v>0</v>
      </c>
    </row>
    <row r="22" spans="1:9" hidden="1" x14ac:dyDescent="0.25">
      <c r="A22" s="182"/>
      <c r="B22" s="39" t="s">
        <v>13</v>
      </c>
      <c r="C22" s="39"/>
      <c r="D22" s="122"/>
      <c r="E22" s="55" t="s">
        <v>13</v>
      </c>
      <c r="F22" s="38" t="str">
        <f>IF(ISNUMBER(E22),E22*$D22,"")</f>
        <v/>
      </c>
      <c r="G22" s="42"/>
      <c r="H22" s="38"/>
      <c r="I22" s="121">
        <v>0</v>
      </c>
    </row>
    <row r="23" spans="1:9" ht="25.5" hidden="1" x14ac:dyDescent="0.25">
      <c r="A23" s="182"/>
      <c r="B23" s="43" t="s">
        <v>10752</v>
      </c>
      <c r="C23" s="43" t="s">
        <v>83</v>
      </c>
      <c r="D23" s="44">
        <v>1.7857000000000001</v>
      </c>
      <c r="E23" s="41">
        <v>1.7669999999999999</v>
      </c>
      <c r="F23" s="41">
        <f>IF(ISNUMBER(E23),E23*$D23,"")</f>
        <v>3.1553318999999997</v>
      </c>
      <c r="G23" s="46">
        <f>SUM(F23:F25)</f>
        <v>10.725714699999999</v>
      </c>
      <c r="H23" s="59"/>
      <c r="I23" s="121">
        <v>0</v>
      </c>
    </row>
    <row r="24" spans="1:9" ht="25.5" hidden="1" x14ac:dyDescent="0.25">
      <c r="A24" s="182"/>
      <c r="B24" s="43" t="s">
        <v>10753</v>
      </c>
      <c r="C24" s="43" t="s">
        <v>2800</v>
      </c>
      <c r="D24" s="44">
        <v>4.8000000000000001E-2</v>
      </c>
      <c r="E24" s="38">
        <v>23.997</v>
      </c>
      <c r="F24" s="41">
        <f>IF(ISNUMBER(E24),E24*$D24,"")</f>
        <v>1.151856</v>
      </c>
      <c r="G24" s="58"/>
      <c r="H24" s="59"/>
      <c r="I24" s="121">
        <v>0</v>
      </c>
    </row>
    <row r="25" spans="1:9" ht="25.5" hidden="1" x14ac:dyDescent="0.25">
      <c r="A25" s="182"/>
      <c r="B25" s="43" t="s">
        <v>10754</v>
      </c>
      <c r="C25" s="43" t="s">
        <v>2800</v>
      </c>
      <c r="D25" s="44">
        <v>0.2114</v>
      </c>
      <c r="E25" s="38">
        <v>30.361999999999998</v>
      </c>
      <c r="F25" s="41">
        <f>IF(ISNUMBER(E25),E25*$D25,"")</f>
        <v>6.4185267999999995</v>
      </c>
      <c r="G25" s="58"/>
      <c r="H25" s="59"/>
      <c r="I25" s="121">
        <v>0</v>
      </c>
    </row>
    <row r="26" spans="1:9" ht="15.75" hidden="1" thickBot="1" x14ac:dyDescent="0.3">
      <c r="A26" s="183"/>
      <c r="B26" s="49" t="s">
        <v>13</v>
      </c>
      <c r="C26" s="49"/>
      <c r="D26" s="123"/>
      <c r="E26" s="51" t="s">
        <v>13</v>
      </c>
      <c r="F26" s="51" t="str">
        <f>IF(ISNUMBER(E26),E26*$D26,"")</f>
        <v/>
      </c>
      <c r="G26" s="53"/>
      <c r="H26" s="38"/>
      <c r="I26" s="121">
        <v>0</v>
      </c>
    </row>
    <row r="27" spans="1:9" ht="15.75" hidden="1" customHeight="1" thickBot="1" x14ac:dyDescent="0.3">
      <c r="A27" s="184" t="s">
        <v>10682</v>
      </c>
      <c r="B27" s="31" t="s">
        <v>13</v>
      </c>
      <c r="C27" s="32" t="s">
        <v>162</v>
      </c>
      <c r="D27" s="120"/>
      <c r="E27" s="54" t="s">
        <v>13</v>
      </c>
      <c r="F27" s="54" t="str">
        <f>IF(ISNUMBER(E27),E27*$D27,"")</f>
        <v/>
      </c>
      <c r="G27" s="35"/>
      <c r="H27" s="36"/>
      <c r="I27" s="121">
        <v>0</v>
      </c>
    </row>
    <row r="28" spans="1:9" hidden="1" x14ac:dyDescent="0.25">
      <c r="A28" s="182"/>
      <c r="B28" s="39" t="s">
        <v>13</v>
      </c>
      <c r="C28" s="39"/>
      <c r="D28" s="122"/>
      <c r="E28" s="55" t="s">
        <v>13</v>
      </c>
      <c r="F28" s="38" t="str">
        <f>IF(ISNUMBER(E28),E28*$D28,"")</f>
        <v/>
      </c>
      <c r="G28" s="42"/>
      <c r="H28" s="38"/>
      <c r="I28" s="121">
        <v>0</v>
      </c>
    </row>
    <row r="29" spans="1:9" ht="38.25" hidden="1" x14ac:dyDescent="0.25">
      <c r="A29" s="182"/>
      <c r="B29" s="43" t="s">
        <v>10675</v>
      </c>
      <c r="C29" s="43" t="s">
        <v>162</v>
      </c>
      <c r="D29" s="44">
        <v>1.1459999999999999</v>
      </c>
      <c r="E29" s="41">
        <v>36.755499999999998</v>
      </c>
      <c r="F29" s="41">
        <f>IF(ISNUMBER(E29),E29*$D29,"")</f>
        <v>42.121802999999993</v>
      </c>
      <c r="G29" s="46">
        <f>SUM(F29:F36)</f>
        <v>104.332705</v>
      </c>
      <c r="H29" s="59"/>
      <c r="I29" s="121">
        <v>0</v>
      </c>
    </row>
    <row r="30" spans="1:9" ht="25.5" hidden="1" x14ac:dyDescent="0.25">
      <c r="A30" s="182"/>
      <c r="B30" s="43" t="s">
        <v>10612</v>
      </c>
      <c r="C30" s="43" t="s">
        <v>1302</v>
      </c>
      <c r="D30" s="44">
        <v>0.16600000000000001</v>
      </c>
      <c r="E30" s="41">
        <v>7.3055000000000003</v>
      </c>
      <c r="F30" s="41">
        <f>IF(ISNUMBER(E30),E30*$D30,"")</f>
        <v>1.2127130000000002</v>
      </c>
      <c r="G30" s="58"/>
      <c r="H30" s="59"/>
      <c r="I30" s="121">
        <v>0</v>
      </c>
    </row>
    <row r="31" spans="1:9" ht="25.5" hidden="1" x14ac:dyDescent="0.25">
      <c r="A31" s="182"/>
      <c r="B31" s="43" t="s">
        <v>10652</v>
      </c>
      <c r="C31" s="43" t="s">
        <v>1302</v>
      </c>
      <c r="D31" s="44">
        <v>6.952</v>
      </c>
      <c r="E31" s="41">
        <v>2.5554999999999999</v>
      </c>
      <c r="F31" s="41">
        <f>IF(ISNUMBER(E31),E31*$D31,"")</f>
        <v>17.765836</v>
      </c>
      <c r="G31" s="58"/>
      <c r="H31" s="59"/>
      <c r="I31" s="121">
        <v>0</v>
      </c>
    </row>
    <row r="32" spans="1:9" hidden="1" x14ac:dyDescent="0.25">
      <c r="A32" s="182"/>
      <c r="B32" s="43" t="s">
        <v>10653</v>
      </c>
      <c r="C32" s="43" t="s">
        <v>1044</v>
      </c>
      <c r="D32" s="44">
        <v>0.159</v>
      </c>
      <c r="E32" s="41">
        <v>18.401499999999999</v>
      </c>
      <c r="F32" s="41">
        <f>IF(ISNUMBER(E32),E32*$D32,"")</f>
        <v>2.9258384999999998</v>
      </c>
      <c r="G32" s="58"/>
      <c r="H32" s="59"/>
      <c r="I32" s="121">
        <v>0</v>
      </c>
    </row>
    <row r="33" spans="1:9" hidden="1" x14ac:dyDescent="0.25">
      <c r="A33" s="182"/>
      <c r="B33" s="43" t="s">
        <v>10655</v>
      </c>
      <c r="C33" s="43" t="s">
        <v>2800</v>
      </c>
      <c r="D33" s="44">
        <v>0.20200000000000001</v>
      </c>
      <c r="E33" s="38">
        <v>24.358000000000001</v>
      </c>
      <c r="F33" s="41">
        <f>IF(ISNUMBER(E33),E33*$D33,"")</f>
        <v>4.9203160000000006</v>
      </c>
      <c r="G33" s="58"/>
      <c r="H33" s="59"/>
      <c r="I33" s="121">
        <v>0</v>
      </c>
    </row>
    <row r="34" spans="1:9" hidden="1" x14ac:dyDescent="0.25">
      <c r="A34" s="182"/>
      <c r="B34" s="43" t="s">
        <v>10613</v>
      </c>
      <c r="C34" s="43" t="s">
        <v>2800</v>
      </c>
      <c r="D34" s="44">
        <v>0.91100000000000003</v>
      </c>
      <c r="E34" s="38">
        <v>30.628</v>
      </c>
      <c r="F34" s="41">
        <f>IF(ISNUMBER(E34),E34*$D34,"")</f>
        <v>27.902108000000002</v>
      </c>
      <c r="G34" s="58"/>
      <c r="H34" s="59"/>
      <c r="I34" s="121">
        <v>0</v>
      </c>
    </row>
    <row r="35" spans="1:9" ht="25.5" hidden="1" x14ac:dyDescent="0.25">
      <c r="A35" s="182"/>
      <c r="B35" s="43" t="s">
        <v>10656</v>
      </c>
      <c r="C35" s="43" t="s">
        <v>1050</v>
      </c>
      <c r="D35" s="44">
        <v>0.05</v>
      </c>
      <c r="E35" s="38">
        <v>26.884999999999998</v>
      </c>
      <c r="F35" s="38">
        <f>IF(ISNUMBER(E35),E35*$D35,"")</f>
        <v>1.3442499999999999</v>
      </c>
      <c r="G35" s="58"/>
      <c r="H35" s="59"/>
      <c r="I35" s="121">
        <v>0</v>
      </c>
    </row>
    <row r="36" spans="1:9" ht="25.5" hidden="1" x14ac:dyDescent="0.25">
      <c r="A36" s="182"/>
      <c r="B36" s="43" t="s">
        <v>10657</v>
      </c>
      <c r="C36" s="43" t="s">
        <v>10677</v>
      </c>
      <c r="D36" s="44">
        <v>0.23699999999999999</v>
      </c>
      <c r="E36" s="38">
        <v>25.906499999999998</v>
      </c>
      <c r="F36" s="38">
        <f>IF(ISNUMBER(E36),E36*$D36,"")</f>
        <v>6.1398404999999991</v>
      </c>
      <c r="G36" s="58"/>
      <c r="H36" s="59"/>
      <c r="I36" s="121">
        <v>0</v>
      </c>
    </row>
    <row r="37" spans="1:9" ht="15.75" hidden="1" thickBot="1" x14ac:dyDescent="0.3">
      <c r="A37" s="183"/>
      <c r="B37" s="49" t="s">
        <v>13</v>
      </c>
      <c r="C37" s="49"/>
      <c r="D37" s="123"/>
      <c r="E37" s="51" t="s">
        <v>13</v>
      </c>
      <c r="F37" s="51" t="str">
        <f>IF(ISNUMBER(E37),E37*$D37,"")</f>
        <v/>
      </c>
      <c r="G37" s="53"/>
      <c r="H37" s="38"/>
      <c r="I37" s="121">
        <v>0</v>
      </c>
    </row>
    <row r="38" spans="1:9" ht="15.75" hidden="1" thickBot="1" x14ac:dyDescent="0.3">
      <c r="A38" s="184" t="s">
        <v>10683</v>
      </c>
      <c r="B38" s="31" t="s">
        <v>13</v>
      </c>
      <c r="C38" s="32" t="s">
        <v>1302</v>
      </c>
      <c r="D38" s="120"/>
      <c r="E38" s="54" t="s">
        <v>13</v>
      </c>
      <c r="F38" s="54" t="str">
        <f>IF(ISNUMBER(E38),E38*$D38,"")</f>
        <v/>
      </c>
      <c r="G38" s="35"/>
      <c r="H38" s="36"/>
      <c r="I38" s="121">
        <v>0</v>
      </c>
    </row>
    <row r="39" spans="1:9" hidden="1" x14ac:dyDescent="0.25">
      <c r="A39" s="182"/>
      <c r="B39" s="39" t="s">
        <v>13</v>
      </c>
      <c r="C39" s="39"/>
      <c r="D39" s="122"/>
      <c r="E39" s="55" t="s">
        <v>13</v>
      </c>
      <c r="F39" s="38" t="str">
        <f>IF(ISNUMBER(E39),E39*$D39,"")</f>
        <v/>
      </c>
      <c r="G39" s="42"/>
      <c r="H39" s="38"/>
      <c r="I39" s="121">
        <v>0</v>
      </c>
    </row>
    <row r="40" spans="1:9" ht="38.25" hidden="1" x14ac:dyDescent="0.25">
      <c r="A40" s="182"/>
      <c r="B40" s="43" t="s">
        <v>10755</v>
      </c>
      <c r="C40" s="43" t="s">
        <v>162</v>
      </c>
      <c r="D40" s="44">
        <v>0.13600000000000001</v>
      </c>
      <c r="E40" s="38">
        <v>62.253499999999995</v>
      </c>
      <c r="F40" s="38">
        <f>IF(ISNUMBER(E40),E40*$D40,"")</f>
        <v>8.4664760000000001</v>
      </c>
      <c r="G40" s="46">
        <f>SUM(F40:F46)</f>
        <v>31.989597000000003</v>
      </c>
      <c r="H40" s="59"/>
      <c r="I40" s="121">
        <v>0</v>
      </c>
    </row>
    <row r="41" spans="1:9" ht="25.5" hidden="1" x14ac:dyDescent="0.25">
      <c r="A41" s="182"/>
      <c r="B41" s="43" t="s">
        <v>10612</v>
      </c>
      <c r="C41" s="43" t="s">
        <v>1302</v>
      </c>
      <c r="D41" s="44">
        <v>2.3420000000000001</v>
      </c>
      <c r="E41" s="38">
        <v>7.3055000000000003</v>
      </c>
      <c r="F41" s="38">
        <f>IF(ISNUMBER(E41),E41*$D41,"")</f>
        <v>17.109481000000002</v>
      </c>
      <c r="G41" s="58"/>
      <c r="H41" s="59"/>
      <c r="I41" s="121">
        <v>0</v>
      </c>
    </row>
    <row r="42" spans="1:9" hidden="1" x14ac:dyDescent="0.25">
      <c r="A42" s="182"/>
      <c r="B42" s="43" t="s">
        <v>10653</v>
      </c>
      <c r="C42" s="43" t="s">
        <v>1044</v>
      </c>
      <c r="D42" s="44">
        <v>1.2E-2</v>
      </c>
      <c r="E42" s="38">
        <v>18.401499999999999</v>
      </c>
      <c r="F42" s="38">
        <f>IF(ISNUMBER(E42),E42*$D42,"")</f>
        <v>0.22081799999999999</v>
      </c>
      <c r="G42" s="58"/>
      <c r="H42" s="59"/>
      <c r="I42" s="121">
        <v>0</v>
      </c>
    </row>
    <row r="43" spans="1:9" hidden="1" x14ac:dyDescent="0.25">
      <c r="A43" s="182"/>
      <c r="B43" s="43" t="s">
        <v>10655</v>
      </c>
      <c r="C43" s="43" t="s">
        <v>2800</v>
      </c>
      <c r="D43" s="44">
        <v>3.2000000000000001E-2</v>
      </c>
      <c r="E43" s="38">
        <v>24.358000000000001</v>
      </c>
      <c r="F43" s="38">
        <f>IF(ISNUMBER(E43),E43*$D43,"")</f>
        <v>0.77945600000000004</v>
      </c>
      <c r="G43" s="58"/>
      <c r="H43" s="59"/>
      <c r="I43" s="121">
        <v>0</v>
      </c>
    </row>
    <row r="44" spans="1:9" hidden="1" x14ac:dyDescent="0.25">
      <c r="A44" s="182"/>
      <c r="B44" s="43" t="s">
        <v>10613</v>
      </c>
      <c r="C44" s="43" t="s">
        <v>2800</v>
      </c>
      <c r="D44" s="44">
        <v>8.3000000000000004E-2</v>
      </c>
      <c r="E44" s="38">
        <v>30.628</v>
      </c>
      <c r="F44" s="38">
        <f>IF(ISNUMBER(E44),E44*$D44,"")</f>
        <v>2.5421240000000003</v>
      </c>
      <c r="G44" s="58"/>
      <c r="H44" s="59"/>
      <c r="I44" s="121">
        <v>0</v>
      </c>
    </row>
    <row r="45" spans="1:9" ht="25.5" hidden="1" x14ac:dyDescent="0.25">
      <c r="A45" s="182"/>
      <c r="B45" s="43" t="s">
        <v>10656</v>
      </c>
      <c r="C45" s="43" t="s">
        <v>1050</v>
      </c>
      <c r="D45" s="44">
        <v>2.1999999999999999E-2</v>
      </c>
      <c r="E45" s="38">
        <v>26.884999999999998</v>
      </c>
      <c r="F45" s="38">
        <f>IF(ISNUMBER(E45),E45*$D45,"")</f>
        <v>0.59146999999999994</v>
      </c>
      <c r="G45" s="58"/>
      <c r="H45" s="59"/>
      <c r="I45" s="121">
        <v>0</v>
      </c>
    </row>
    <row r="46" spans="1:9" ht="25.5" hidden="1" x14ac:dyDescent="0.25">
      <c r="A46" s="182"/>
      <c r="B46" s="43" t="s">
        <v>10657</v>
      </c>
      <c r="C46" s="43" t="s">
        <v>10677</v>
      </c>
      <c r="D46" s="44">
        <v>8.7999999999999995E-2</v>
      </c>
      <c r="E46" s="38">
        <v>25.906499999999998</v>
      </c>
      <c r="F46" s="41">
        <f>IF(ISNUMBER(E46),E46*$D46,"")</f>
        <v>2.2797719999999995</v>
      </c>
      <c r="G46" s="58"/>
      <c r="H46" s="59"/>
      <c r="I46" s="121">
        <v>0</v>
      </c>
    </row>
    <row r="47" spans="1:9" ht="15.75" hidden="1" thickBot="1" x14ac:dyDescent="0.3">
      <c r="A47" s="183"/>
      <c r="B47" s="49" t="s">
        <v>13</v>
      </c>
      <c r="C47" s="49"/>
      <c r="D47" s="123"/>
      <c r="E47" s="51" t="s">
        <v>13</v>
      </c>
      <c r="F47" s="51" t="str">
        <f>IF(ISNUMBER(E47),E47*$D47,"")</f>
        <v/>
      </c>
      <c r="G47" s="53"/>
      <c r="H47" s="38"/>
      <c r="I47" s="121">
        <v>0</v>
      </c>
    </row>
    <row r="48" spans="1:9" ht="15.75" hidden="1" thickBot="1" x14ac:dyDescent="0.3">
      <c r="A48" s="184" t="s">
        <v>10628</v>
      </c>
      <c r="B48" s="31" t="s">
        <v>13</v>
      </c>
      <c r="C48" s="32" t="s">
        <v>2880</v>
      </c>
      <c r="D48" s="120"/>
      <c r="E48" s="54" t="s">
        <v>13</v>
      </c>
      <c r="F48" s="54" t="str">
        <f>IF(ISNUMBER(E48),E48*$D48,"")</f>
        <v/>
      </c>
      <c r="G48" s="35"/>
      <c r="H48" s="36"/>
      <c r="I48" s="121">
        <v>0</v>
      </c>
    </row>
    <row r="49" spans="1:9" hidden="1" x14ac:dyDescent="0.25">
      <c r="A49" s="182"/>
      <c r="B49" s="39" t="s">
        <v>13</v>
      </c>
      <c r="C49" s="39"/>
      <c r="D49" s="122"/>
      <c r="E49" s="55" t="s">
        <v>13</v>
      </c>
      <c r="F49" s="38" t="str">
        <f>IF(ISNUMBER(E49),E49*$D49,"")</f>
        <v/>
      </c>
      <c r="G49" s="42"/>
      <c r="H49" s="38"/>
      <c r="I49" s="121">
        <v>0</v>
      </c>
    </row>
    <row r="50" spans="1:9" ht="25.5" hidden="1" x14ac:dyDescent="0.25">
      <c r="A50" s="182"/>
      <c r="B50" s="43" t="s">
        <v>10647</v>
      </c>
      <c r="C50" s="43" t="s">
        <v>2880</v>
      </c>
      <c r="D50" s="44">
        <v>1.1599999999999999</v>
      </c>
      <c r="E50" s="41">
        <v>199.71849999999998</v>
      </c>
      <c r="F50" s="41">
        <f>IF(ISNUMBER(E50),E50*$D50,"")</f>
        <v>231.67345999999995</v>
      </c>
      <c r="G50" s="46">
        <f>SUM(F50:F57)</f>
        <v>811.23146794999991</v>
      </c>
      <c r="H50" s="59"/>
      <c r="I50" s="121">
        <v>0</v>
      </c>
    </row>
    <row r="51" spans="1:9" hidden="1" x14ac:dyDescent="0.25">
      <c r="A51" s="182"/>
      <c r="B51" s="43" t="s">
        <v>10659</v>
      </c>
      <c r="C51" s="43" t="s">
        <v>1044</v>
      </c>
      <c r="D51" s="44">
        <v>174.1</v>
      </c>
      <c r="E51" s="41">
        <v>1.4724999999999999</v>
      </c>
      <c r="F51" s="41">
        <f>IF(ISNUMBER(E51),E51*$D51,"")</f>
        <v>256.36224999999996</v>
      </c>
      <c r="G51" s="58"/>
      <c r="H51" s="59"/>
      <c r="I51" s="121">
        <v>0</v>
      </c>
    </row>
    <row r="52" spans="1:9" hidden="1" x14ac:dyDescent="0.25">
      <c r="A52" s="182"/>
      <c r="B52" s="43" t="s">
        <v>10648</v>
      </c>
      <c r="C52" s="43" t="s">
        <v>1044</v>
      </c>
      <c r="D52" s="44">
        <v>195.86</v>
      </c>
      <c r="E52" s="41">
        <v>0.64600000000000002</v>
      </c>
      <c r="F52" s="41">
        <f>IF(ISNUMBER(E52),E52*$D52,"")</f>
        <v>126.52556000000001</v>
      </c>
      <c r="G52" s="58"/>
      <c r="H52" s="59"/>
      <c r="I52" s="121">
        <v>0</v>
      </c>
    </row>
    <row r="53" spans="1:9" ht="25.5" hidden="1" x14ac:dyDescent="0.25">
      <c r="A53" s="182"/>
      <c r="B53" s="43" t="s">
        <v>10649</v>
      </c>
      <c r="C53" s="43" t="s">
        <v>2800</v>
      </c>
      <c r="D53" s="44">
        <v>4.5</v>
      </c>
      <c r="E53" s="38">
        <v>25.745000000000001</v>
      </c>
      <c r="F53" s="41">
        <f>IF(ISNUMBER(E53),E53*$D53,"")</f>
        <v>115.85250000000001</v>
      </c>
      <c r="G53" s="58"/>
      <c r="H53" s="59"/>
      <c r="I53" s="121">
        <v>0</v>
      </c>
    </row>
    <row r="54" spans="1:9" ht="38.25" hidden="1" x14ac:dyDescent="0.25">
      <c r="A54" s="182"/>
      <c r="B54" s="43" t="s">
        <v>10650</v>
      </c>
      <c r="C54" s="43" t="s">
        <v>1050</v>
      </c>
      <c r="D54" s="44">
        <v>1.05</v>
      </c>
      <c r="E54" s="38">
        <v>1.6435</v>
      </c>
      <c r="F54" s="41">
        <f>IF(ISNUMBER(E54),E54*$D54,"")</f>
        <v>1.7256750000000001</v>
      </c>
      <c r="G54" s="58"/>
      <c r="H54" s="59"/>
      <c r="I54" s="121">
        <v>0</v>
      </c>
    </row>
    <row r="55" spans="1:9" ht="38.25" hidden="1" x14ac:dyDescent="0.25">
      <c r="A55" s="182"/>
      <c r="B55" s="43" t="s">
        <v>10651</v>
      </c>
      <c r="C55" s="43" t="s">
        <v>10677</v>
      </c>
      <c r="D55" s="44">
        <v>3.45</v>
      </c>
      <c r="E55" s="38">
        <v>0.41799999999999998</v>
      </c>
      <c r="F55" s="41">
        <f>IF(ISNUMBER(E55),E55*$D55,"")</f>
        <v>1.4420999999999999</v>
      </c>
      <c r="G55" s="58"/>
      <c r="H55" s="59"/>
      <c r="I55" s="121">
        <v>0</v>
      </c>
    </row>
    <row r="56" spans="1:9" ht="51" hidden="1" x14ac:dyDescent="0.25">
      <c r="A56" s="182"/>
      <c r="B56" s="43" t="s">
        <v>10624</v>
      </c>
      <c r="C56" s="43" t="s">
        <v>2880</v>
      </c>
      <c r="D56" s="44">
        <f>ROUND(1*D50,4)</f>
        <v>1.1599999999999999</v>
      </c>
      <c r="E56" s="38">
        <v>8.5522277500000001</v>
      </c>
      <c r="F56" s="41">
        <f>IF(ISNUMBER(E56),E56*$D56,"")</f>
        <v>9.9205841899999996</v>
      </c>
      <c r="G56" s="58"/>
      <c r="H56" s="59"/>
      <c r="I56" s="121">
        <v>0</v>
      </c>
    </row>
    <row r="57" spans="1:9" ht="38.25" hidden="1" x14ac:dyDescent="0.25">
      <c r="A57" s="182"/>
      <c r="B57" s="43" t="s">
        <v>10622</v>
      </c>
      <c r="C57" s="43" t="s">
        <v>10676</v>
      </c>
      <c r="D57" s="44">
        <f>ROUND(D50*20,4)</f>
        <v>23.2</v>
      </c>
      <c r="E57" s="38">
        <v>2.9193680499999997</v>
      </c>
      <c r="F57" s="41">
        <f>IF(ISNUMBER(E57),E57*$D57,"")</f>
        <v>67.72933875999999</v>
      </c>
      <c r="G57" s="58"/>
      <c r="H57" s="59"/>
      <c r="I57" s="121">
        <v>0</v>
      </c>
    </row>
    <row r="58" spans="1:9" hidden="1" x14ac:dyDescent="0.25">
      <c r="A58" s="182"/>
      <c r="B58" s="61"/>
      <c r="C58" s="62"/>
      <c r="D58" s="44"/>
      <c r="E58" s="38" t="s">
        <v>13</v>
      </c>
      <c r="F58" s="41" t="str">
        <f>IF(ISNUMBER(E58),E58*$D58,"")</f>
        <v/>
      </c>
      <c r="G58" s="58"/>
      <c r="H58" s="59"/>
      <c r="I58" s="121">
        <v>0</v>
      </c>
    </row>
    <row r="59" spans="1:9" hidden="1" x14ac:dyDescent="0.25">
      <c r="A59" s="182"/>
      <c r="B59" s="4" t="s">
        <v>646</v>
      </c>
      <c r="C59" s="62"/>
      <c r="D59" s="44"/>
      <c r="E59" s="38" t="s">
        <v>13</v>
      </c>
      <c r="F59" s="41" t="str">
        <f>IF(ISNUMBER(E59),E59*$D59,"")</f>
        <v/>
      </c>
      <c r="G59" s="58"/>
      <c r="H59" s="59"/>
      <c r="I59" s="121">
        <v>0</v>
      </c>
    </row>
    <row r="60" spans="1:9" ht="15.75" hidden="1" thickBot="1" x14ac:dyDescent="0.3">
      <c r="A60" s="183"/>
      <c r="B60" s="49" t="s">
        <v>13</v>
      </c>
      <c r="C60" s="49"/>
      <c r="D60" s="123"/>
      <c r="E60" s="51" t="s">
        <v>13</v>
      </c>
      <c r="F60" s="51" t="str">
        <f>IF(ISNUMBER(E60),E60*$D60,"")</f>
        <v/>
      </c>
      <c r="G60" s="53"/>
      <c r="H60" s="38"/>
      <c r="I60" s="121">
        <v>0</v>
      </c>
    </row>
    <row r="61" spans="1:9" ht="15.75" hidden="1" thickBot="1" x14ac:dyDescent="0.3">
      <c r="A61" s="184" t="s">
        <v>10684</v>
      </c>
      <c r="B61" s="31" t="s">
        <v>13</v>
      </c>
      <c r="C61" s="32" t="s">
        <v>162</v>
      </c>
      <c r="D61" s="120"/>
      <c r="E61" s="54" t="s">
        <v>13</v>
      </c>
      <c r="F61" s="54" t="str">
        <f>IF(ISNUMBER(E61),E61*$D61,"")</f>
        <v/>
      </c>
      <c r="G61" s="35"/>
      <c r="H61" s="36"/>
      <c r="I61" s="121">
        <v>0</v>
      </c>
    </row>
    <row r="62" spans="1:9" hidden="1" x14ac:dyDescent="0.25">
      <c r="A62" s="182"/>
      <c r="B62" s="39" t="s">
        <v>13</v>
      </c>
      <c r="C62" s="39"/>
      <c r="D62" s="122"/>
      <c r="E62" s="55" t="s">
        <v>13</v>
      </c>
      <c r="F62" s="38" t="str">
        <f>IF(ISNUMBER(E62),E62*$D62,"")</f>
        <v/>
      </c>
      <c r="G62" s="42"/>
      <c r="H62" s="38"/>
      <c r="I62" s="121">
        <v>0</v>
      </c>
    </row>
    <row r="63" spans="1:9" hidden="1" x14ac:dyDescent="0.25">
      <c r="A63" s="182"/>
      <c r="B63" s="43" t="s">
        <v>10648</v>
      </c>
      <c r="C63" s="43" t="s">
        <v>1044</v>
      </c>
      <c r="D63" s="44">
        <v>0.5</v>
      </c>
      <c r="E63" s="41">
        <v>0.64600000000000002</v>
      </c>
      <c r="F63" s="41">
        <f>IF(ISNUMBER(E63),E63*$D63,"")</f>
        <v>0.32300000000000001</v>
      </c>
      <c r="G63" s="46">
        <f>SUM(F63:F67)</f>
        <v>47.908584871669994</v>
      </c>
      <c r="H63" s="59"/>
      <c r="I63" s="121">
        <v>0</v>
      </c>
    </row>
    <row r="64" spans="1:9" ht="25.5" hidden="1" x14ac:dyDescent="0.25">
      <c r="A64" s="182"/>
      <c r="B64" s="43" t="s">
        <v>10756</v>
      </c>
      <c r="C64" s="43" t="s">
        <v>70</v>
      </c>
      <c r="D64" s="44">
        <v>0.21</v>
      </c>
      <c r="E64" s="41">
        <v>14.762999999999998</v>
      </c>
      <c r="F64" s="41">
        <f>IF(ISNUMBER(E64),E64*$D64,"")</f>
        <v>3.1002299999999994</v>
      </c>
      <c r="G64" s="58"/>
      <c r="H64" s="59"/>
      <c r="I64" s="121">
        <v>0</v>
      </c>
    </row>
    <row r="65" spans="1:9" ht="38.25" hidden="1" x14ac:dyDescent="0.25">
      <c r="A65" s="182"/>
      <c r="B65" s="43" t="s">
        <v>10625</v>
      </c>
      <c r="C65" s="43" t="s">
        <v>2880</v>
      </c>
      <c r="D65" s="44">
        <v>4.3099999999999999E-2</v>
      </c>
      <c r="E65" s="38">
        <v>787.9934657</v>
      </c>
      <c r="F65" s="41">
        <f>IF(ISNUMBER(E65),E65*$D65,"")</f>
        <v>33.962518371670001</v>
      </c>
      <c r="G65" s="58"/>
      <c r="H65" s="59"/>
      <c r="I65" s="121">
        <v>0</v>
      </c>
    </row>
    <row r="66" spans="1:9" hidden="1" x14ac:dyDescent="0.25">
      <c r="A66" s="182"/>
      <c r="B66" s="43" t="s">
        <v>10757</v>
      </c>
      <c r="C66" s="43" t="s">
        <v>2800</v>
      </c>
      <c r="D66" s="44">
        <v>0.245</v>
      </c>
      <c r="E66" s="38">
        <v>31.055499999999995</v>
      </c>
      <c r="F66" s="41">
        <f>IF(ISNUMBER(E66),E66*$D66,"")</f>
        <v>7.6085974999999983</v>
      </c>
      <c r="G66" s="58"/>
      <c r="H66" s="59"/>
      <c r="I66" s="121">
        <v>0</v>
      </c>
    </row>
    <row r="67" spans="1:9" hidden="1" x14ac:dyDescent="0.25">
      <c r="A67" s="182"/>
      <c r="B67" s="43" t="s">
        <v>10614</v>
      </c>
      <c r="C67" s="43" t="s">
        <v>2800</v>
      </c>
      <c r="D67" s="44">
        <v>0.123</v>
      </c>
      <c r="E67" s="38">
        <v>23.693000000000001</v>
      </c>
      <c r="F67" s="41">
        <f>IF(ISNUMBER(E67),E67*$D67,"")</f>
        <v>2.9142390000000002</v>
      </c>
      <c r="G67" s="58"/>
      <c r="H67" s="59"/>
      <c r="I67" s="121">
        <v>0</v>
      </c>
    </row>
    <row r="68" spans="1:9" ht="15.75" hidden="1" thickBot="1" x14ac:dyDescent="0.3">
      <c r="A68" s="183"/>
      <c r="B68" s="49" t="s">
        <v>13</v>
      </c>
      <c r="C68" s="49"/>
      <c r="D68" s="123"/>
      <c r="E68" s="51" t="s">
        <v>13</v>
      </c>
      <c r="F68" s="51" t="str">
        <f>IF(ISNUMBER(E68),E68*$D68,"")</f>
        <v/>
      </c>
      <c r="G68" s="53"/>
      <c r="H68" s="38"/>
      <c r="I68" s="121">
        <v>0</v>
      </c>
    </row>
    <row r="69" spans="1:9" ht="15.75" hidden="1" thickBot="1" x14ac:dyDescent="0.3">
      <c r="A69" s="184" t="s">
        <v>10685</v>
      </c>
      <c r="B69" s="31" t="s">
        <v>13</v>
      </c>
      <c r="C69" s="32" t="s">
        <v>2880</v>
      </c>
      <c r="D69" s="120"/>
      <c r="E69" s="54" t="s">
        <v>13</v>
      </c>
      <c r="F69" s="54" t="str">
        <f>IF(ISNUMBER(E69),E69*$D69,"")</f>
        <v/>
      </c>
      <c r="G69" s="35"/>
      <c r="H69" s="36"/>
      <c r="I69" s="121">
        <v>0</v>
      </c>
    </row>
    <row r="70" spans="1:9" hidden="1" x14ac:dyDescent="0.25">
      <c r="A70" s="182"/>
      <c r="B70" s="39" t="s">
        <v>13</v>
      </c>
      <c r="C70" s="39"/>
      <c r="D70" s="122"/>
      <c r="E70" s="55" t="s">
        <v>13</v>
      </c>
      <c r="F70" s="38" t="str">
        <f>IF(ISNUMBER(E70),E70*$D70,"")</f>
        <v/>
      </c>
      <c r="G70" s="42"/>
      <c r="H70" s="38"/>
      <c r="I70" s="121">
        <v>0</v>
      </c>
    </row>
    <row r="71" spans="1:9" ht="25.5" hidden="1" x14ac:dyDescent="0.25">
      <c r="A71" s="182"/>
      <c r="B71" s="43" t="s">
        <v>10658</v>
      </c>
      <c r="C71" s="43" t="s">
        <v>2880</v>
      </c>
      <c r="D71" s="44">
        <v>0.94</v>
      </c>
      <c r="E71" s="41">
        <v>202.32149999999999</v>
      </c>
      <c r="F71" s="41">
        <f>IF(ISNUMBER(E71),E71*$D71,"")</f>
        <v>190.18220999999997</v>
      </c>
      <c r="G71" s="46">
        <f>SUM(F71:F75)</f>
        <v>787.22126342499996</v>
      </c>
      <c r="H71" s="59"/>
      <c r="I71" s="121">
        <v>0</v>
      </c>
    </row>
    <row r="72" spans="1:9" hidden="1" x14ac:dyDescent="0.25">
      <c r="A72" s="182"/>
      <c r="B72" s="43" t="s">
        <v>10648</v>
      </c>
      <c r="C72" s="43" t="s">
        <v>1044</v>
      </c>
      <c r="D72" s="44">
        <v>422.63</v>
      </c>
      <c r="E72" s="41">
        <v>0.64600000000000002</v>
      </c>
      <c r="F72" s="41">
        <f>IF(ISNUMBER(E72),E72*$D72,"")</f>
        <v>273.01898</v>
      </c>
      <c r="G72" s="58"/>
      <c r="H72" s="59"/>
      <c r="I72" s="121">
        <v>0</v>
      </c>
    </row>
    <row r="73" spans="1:9" hidden="1" x14ac:dyDescent="0.25">
      <c r="A73" s="182"/>
      <c r="B73" s="43" t="s">
        <v>10614</v>
      </c>
      <c r="C73" s="43" t="s">
        <v>2800</v>
      </c>
      <c r="D73" s="44">
        <v>11.02</v>
      </c>
      <c r="E73" s="38">
        <v>23.693000000000001</v>
      </c>
      <c r="F73" s="41">
        <f>IF(ISNUMBER(E73),E73*$D73,"")</f>
        <v>261.09685999999999</v>
      </c>
      <c r="G73" s="58"/>
      <c r="H73" s="59"/>
      <c r="I73" s="121">
        <v>0</v>
      </c>
    </row>
    <row r="74" spans="1:9" ht="51" hidden="1" x14ac:dyDescent="0.25">
      <c r="A74" s="182"/>
      <c r="B74" s="43" t="s">
        <v>10624</v>
      </c>
      <c r="C74" s="43" t="s">
        <v>2880</v>
      </c>
      <c r="D74" s="44">
        <f>ROUND(1*D71,4)</f>
        <v>0.94</v>
      </c>
      <c r="E74" s="38">
        <v>8.5522277500000001</v>
      </c>
      <c r="F74" s="41">
        <f>IF(ISNUMBER(E74),E74*$D74,"")</f>
        <v>8.0390940850000003</v>
      </c>
      <c r="G74" s="58"/>
      <c r="H74" s="59"/>
      <c r="I74" s="121">
        <v>0</v>
      </c>
    </row>
    <row r="75" spans="1:9" ht="38.25" hidden="1" x14ac:dyDescent="0.25">
      <c r="A75" s="182"/>
      <c r="B75" s="43" t="s">
        <v>10622</v>
      </c>
      <c r="C75" s="62" t="s">
        <v>10676</v>
      </c>
      <c r="D75" s="44">
        <f>ROUND(D71*20,4)</f>
        <v>18.8</v>
      </c>
      <c r="E75" s="38">
        <v>2.9193680499999997</v>
      </c>
      <c r="F75" s="41">
        <f>IF(ISNUMBER(E75),E75*$D75,"")</f>
        <v>54.884119339999998</v>
      </c>
      <c r="G75" s="58"/>
      <c r="H75" s="59"/>
      <c r="I75" s="121">
        <v>0</v>
      </c>
    </row>
    <row r="76" spans="1:9" hidden="1" x14ac:dyDescent="0.25">
      <c r="A76" s="182"/>
      <c r="B76" s="61"/>
      <c r="C76" s="62"/>
      <c r="D76" s="44"/>
      <c r="E76" s="38" t="s">
        <v>13</v>
      </c>
      <c r="F76" s="41" t="str">
        <f>IF(ISNUMBER(E76),E76*$D76,"")</f>
        <v/>
      </c>
      <c r="G76" s="58"/>
      <c r="H76" s="59"/>
      <c r="I76" s="121">
        <v>0</v>
      </c>
    </row>
    <row r="77" spans="1:9" hidden="1" x14ac:dyDescent="0.25">
      <c r="A77" s="182"/>
      <c r="B77" s="4" t="s">
        <v>646</v>
      </c>
      <c r="C77" s="62"/>
      <c r="D77" s="44"/>
      <c r="E77" s="38" t="s">
        <v>13</v>
      </c>
      <c r="F77" s="41" t="str">
        <f>IF(ISNUMBER(E77),E77*$D77,"")</f>
        <v/>
      </c>
      <c r="G77" s="58"/>
      <c r="H77" s="59"/>
      <c r="I77" s="121">
        <v>0</v>
      </c>
    </row>
    <row r="78" spans="1:9" ht="15.75" hidden="1" thickBot="1" x14ac:dyDescent="0.3">
      <c r="A78" s="183"/>
      <c r="B78" s="49" t="s">
        <v>13</v>
      </c>
      <c r="C78" s="49"/>
      <c r="D78" s="123"/>
      <c r="E78" s="51" t="s">
        <v>13</v>
      </c>
      <c r="F78" s="51" t="str">
        <f>IF(ISNUMBER(E78),E78*$D78,"")</f>
        <v/>
      </c>
      <c r="G78" s="53"/>
      <c r="H78" s="38"/>
      <c r="I78" s="121">
        <v>0</v>
      </c>
    </row>
    <row r="79" spans="1:9" ht="15.75" hidden="1" thickBot="1" x14ac:dyDescent="0.3">
      <c r="A79" s="184" t="s">
        <v>10686</v>
      </c>
      <c r="B79" s="31" t="s">
        <v>13</v>
      </c>
      <c r="C79" s="32" t="s">
        <v>2880</v>
      </c>
      <c r="D79" s="120"/>
      <c r="E79" s="54" t="s">
        <v>13</v>
      </c>
      <c r="F79" s="54" t="str">
        <f>IF(ISNUMBER(E79),E79*$D79,"")</f>
        <v/>
      </c>
      <c r="G79" s="35"/>
      <c r="H79" s="36"/>
      <c r="I79" s="121">
        <v>0</v>
      </c>
    </row>
    <row r="80" spans="1:9" hidden="1" x14ac:dyDescent="0.25">
      <c r="A80" s="182"/>
      <c r="B80" s="39" t="s">
        <v>13</v>
      </c>
      <c r="C80" s="39"/>
      <c r="D80" s="122"/>
      <c r="E80" s="55" t="s">
        <v>13</v>
      </c>
      <c r="F80" s="38" t="str">
        <f>IF(ISNUMBER(E80),E80*$D80,"")</f>
        <v/>
      </c>
      <c r="G80" s="42"/>
      <c r="H80" s="38"/>
      <c r="I80" s="121">
        <v>0</v>
      </c>
    </row>
    <row r="81" spans="1:9" hidden="1" x14ac:dyDescent="0.25">
      <c r="A81" s="182"/>
      <c r="B81" s="43" t="s">
        <v>10758</v>
      </c>
      <c r="C81" s="43" t="s">
        <v>1044</v>
      </c>
      <c r="D81" s="44">
        <v>1981.23</v>
      </c>
      <c r="E81" s="41">
        <v>1.1779999999999999</v>
      </c>
      <c r="F81" s="41">
        <f>IF(ISNUMBER(E81),E81*$D81,"")</f>
        <v>2333.8889399999998</v>
      </c>
      <c r="G81" s="46">
        <f>SUM(F81:F84)</f>
        <v>2464.0896699999998</v>
      </c>
      <c r="H81" s="59"/>
      <c r="I81" s="121">
        <v>0</v>
      </c>
    </row>
    <row r="82" spans="1:9" ht="25.5" hidden="1" x14ac:dyDescent="0.25">
      <c r="A82" s="182"/>
      <c r="B82" s="43" t="s">
        <v>10649</v>
      </c>
      <c r="C82" s="43" t="s">
        <v>2800</v>
      </c>
      <c r="D82" s="44">
        <v>4.72</v>
      </c>
      <c r="E82" s="38">
        <v>25.745000000000001</v>
      </c>
      <c r="F82" s="41">
        <f>IF(ISNUMBER(E82),E82*$D82,"")</f>
        <v>121.5164</v>
      </c>
      <c r="G82" s="58"/>
      <c r="H82" s="59"/>
      <c r="I82" s="121">
        <v>0</v>
      </c>
    </row>
    <row r="83" spans="1:9" ht="38.25" hidden="1" x14ac:dyDescent="0.25">
      <c r="A83" s="182"/>
      <c r="B83" s="43" t="s">
        <v>10759</v>
      </c>
      <c r="C83" s="43" t="s">
        <v>1050</v>
      </c>
      <c r="D83" s="44">
        <v>1.1000000000000001</v>
      </c>
      <c r="E83" s="38">
        <v>4.2370000000000001</v>
      </c>
      <c r="F83" s="124">
        <f>IF(ISNUMBER(E83),E83*$D83,"")</f>
        <v>4.6607000000000003</v>
      </c>
      <c r="G83" s="58"/>
      <c r="H83" s="59"/>
      <c r="I83" s="121">
        <v>0</v>
      </c>
    </row>
    <row r="84" spans="1:9" ht="38.25" hidden="1" x14ac:dyDescent="0.25">
      <c r="A84" s="182"/>
      <c r="B84" s="43" t="s">
        <v>10760</v>
      </c>
      <c r="C84" s="43" t="s">
        <v>10677</v>
      </c>
      <c r="D84" s="44">
        <v>3.62</v>
      </c>
      <c r="E84" s="38">
        <v>1.1114999999999999</v>
      </c>
      <c r="F84" s="124">
        <f>IF(ISNUMBER(E84),E84*$D84,"")</f>
        <v>4.0236299999999998</v>
      </c>
      <c r="G84" s="58"/>
      <c r="H84" s="59"/>
      <c r="I84" s="121">
        <v>0</v>
      </c>
    </row>
    <row r="85" spans="1:9" ht="15.75" hidden="1" thickBot="1" x14ac:dyDescent="0.3">
      <c r="A85" s="183"/>
      <c r="B85" s="49" t="s">
        <v>13</v>
      </c>
      <c r="C85" s="49"/>
      <c r="D85" s="123"/>
      <c r="E85" s="51" t="s">
        <v>13</v>
      </c>
      <c r="F85" s="51" t="str">
        <f>IF(ISNUMBER(E85),E85*$D85,"")</f>
        <v/>
      </c>
      <c r="G85" s="53"/>
      <c r="H85" s="38"/>
      <c r="I85" s="121">
        <v>0</v>
      </c>
    </row>
    <row r="86" spans="1:9" ht="15.75" hidden="1" thickBot="1" x14ac:dyDescent="0.3">
      <c r="A86" s="184" t="s">
        <v>10687</v>
      </c>
      <c r="B86" s="31" t="s">
        <v>13</v>
      </c>
      <c r="C86" s="32" t="s">
        <v>2880</v>
      </c>
      <c r="D86" s="120"/>
      <c r="E86" s="54" t="s">
        <v>13</v>
      </c>
      <c r="F86" s="54" t="str">
        <f>IF(ISNUMBER(E86),E86*$D86,"")</f>
        <v/>
      </c>
      <c r="G86" s="35"/>
      <c r="H86" s="36"/>
      <c r="I86" s="121">
        <v>0</v>
      </c>
    </row>
    <row r="87" spans="1:9" hidden="1" x14ac:dyDescent="0.25">
      <c r="A87" s="182"/>
      <c r="B87" s="39" t="s">
        <v>13</v>
      </c>
      <c r="C87" s="39"/>
      <c r="D87" s="122"/>
      <c r="E87" s="55" t="s">
        <v>13</v>
      </c>
      <c r="F87" s="38" t="str">
        <f>IF(ISNUMBER(E87),E87*$D87,"")</f>
        <v/>
      </c>
      <c r="G87" s="42"/>
      <c r="H87" s="38"/>
      <c r="I87" s="121">
        <v>0</v>
      </c>
    </row>
    <row r="88" spans="1:9" ht="25.5" hidden="1" x14ac:dyDescent="0.25">
      <c r="A88" s="182"/>
      <c r="B88" s="43" t="s">
        <v>10647</v>
      </c>
      <c r="C88" s="43" t="s">
        <v>2880</v>
      </c>
      <c r="D88" s="44">
        <v>1.35</v>
      </c>
      <c r="E88" s="41">
        <v>199.71849999999998</v>
      </c>
      <c r="F88" s="41">
        <f>IF(ISNUMBER(E88),E88*$D88,"")</f>
        <v>269.61997500000001</v>
      </c>
      <c r="G88" s="46">
        <f>SUM(F88:F92)</f>
        <v>914.74395981250007</v>
      </c>
      <c r="H88" s="59"/>
      <c r="I88" s="121">
        <v>0</v>
      </c>
    </row>
    <row r="89" spans="1:9" hidden="1" x14ac:dyDescent="0.25">
      <c r="A89" s="182"/>
      <c r="B89" s="43" t="s">
        <v>10648</v>
      </c>
      <c r="C89" s="43" t="s">
        <v>1044</v>
      </c>
      <c r="D89" s="44">
        <v>454.58</v>
      </c>
      <c r="E89" s="41">
        <v>0.64600000000000002</v>
      </c>
      <c r="F89" s="41">
        <f>IF(ISNUMBER(E89),E89*$D89,"")</f>
        <v>293.65868</v>
      </c>
      <c r="G89" s="58"/>
      <c r="H89" s="59"/>
      <c r="I89" s="121">
        <v>0</v>
      </c>
    </row>
    <row r="90" spans="1:9" hidden="1" x14ac:dyDescent="0.25">
      <c r="A90" s="182"/>
      <c r="B90" s="43" t="s">
        <v>10614</v>
      </c>
      <c r="C90" s="43" t="s">
        <v>2800</v>
      </c>
      <c r="D90" s="44">
        <v>11.02</v>
      </c>
      <c r="E90" s="38">
        <v>23.693000000000001</v>
      </c>
      <c r="F90" s="41">
        <f>IF(ISNUMBER(E90),E90*$D90,"")</f>
        <v>261.09685999999999</v>
      </c>
      <c r="G90" s="58"/>
      <c r="H90" s="59"/>
      <c r="I90" s="121">
        <v>0</v>
      </c>
    </row>
    <row r="91" spans="1:9" ht="51" hidden="1" x14ac:dyDescent="0.25">
      <c r="A91" s="182"/>
      <c r="B91" s="43" t="s">
        <v>10624</v>
      </c>
      <c r="C91" s="43" t="s">
        <v>2880</v>
      </c>
      <c r="D91" s="44">
        <f>ROUND(1*D88,4)</f>
        <v>1.35</v>
      </c>
      <c r="E91" s="38">
        <v>8.5522277500000001</v>
      </c>
      <c r="F91" s="41">
        <f>IF(ISNUMBER(E91),E91*$D91,"")</f>
        <v>11.545507462500002</v>
      </c>
      <c r="G91" s="58"/>
      <c r="H91" s="59"/>
      <c r="I91" s="121">
        <v>0</v>
      </c>
    </row>
    <row r="92" spans="1:9" ht="38.25" hidden="1" x14ac:dyDescent="0.25">
      <c r="A92" s="182"/>
      <c r="B92" s="43" t="s">
        <v>10622</v>
      </c>
      <c r="C92" s="62" t="s">
        <v>10676</v>
      </c>
      <c r="D92" s="44">
        <f>ROUND(D88*20,4)</f>
        <v>27</v>
      </c>
      <c r="E92" s="38">
        <v>2.9193680499999997</v>
      </c>
      <c r="F92" s="41">
        <f>IF(ISNUMBER(E92),E92*$D92,"")</f>
        <v>78.822937349999989</v>
      </c>
      <c r="G92" s="58"/>
      <c r="H92" s="59"/>
      <c r="I92" s="121">
        <v>0</v>
      </c>
    </row>
    <row r="93" spans="1:9" hidden="1" x14ac:dyDescent="0.25">
      <c r="A93" s="182"/>
      <c r="B93" s="61"/>
      <c r="C93" s="62"/>
      <c r="D93" s="44"/>
      <c r="E93" s="38" t="s">
        <v>13</v>
      </c>
      <c r="F93" s="41" t="str">
        <f>IF(ISNUMBER(E93),E93*$D93,"")</f>
        <v/>
      </c>
      <c r="G93" s="58"/>
      <c r="H93" s="59"/>
      <c r="I93" s="121">
        <v>0</v>
      </c>
    </row>
    <row r="94" spans="1:9" hidden="1" x14ac:dyDescent="0.25">
      <c r="A94" s="182"/>
      <c r="B94" s="4" t="s">
        <v>646</v>
      </c>
      <c r="C94" s="62"/>
      <c r="D94" s="44"/>
      <c r="E94" s="38" t="s">
        <v>13</v>
      </c>
      <c r="F94" s="41" t="str">
        <f>IF(ISNUMBER(E94),E94*$D94,"")</f>
        <v/>
      </c>
      <c r="G94" s="58"/>
      <c r="H94" s="59"/>
      <c r="I94" s="121">
        <v>0</v>
      </c>
    </row>
    <row r="95" spans="1:9" ht="15.75" hidden="1" thickBot="1" x14ac:dyDescent="0.3">
      <c r="A95" s="183"/>
      <c r="B95" s="49" t="s">
        <v>13</v>
      </c>
      <c r="C95" s="49"/>
      <c r="D95" s="123"/>
      <c r="E95" s="51" t="s">
        <v>13</v>
      </c>
      <c r="F95" s="51" t="str">
        <f>IF(ISNUMBER(E95),E95*$D95,"")</f>
        <v/>
      </c>
      <c r="G95" s="53"/>
      <c r="H95" s="38"/>
      <c r="I95" s="121">
        <v>0</v>
      </c>
    </row>
    <row r="96" spans="1:9" ht="15.75" hidden="1" thickBot="1" x14ac:dyDescent="0.3">
      <c r="A96" s="184" t="s">
        <v>10688</v>
      </c>
      <c r="B96" s="31" t="s">
        <v>13</v>
      </c>
      <c r="C96" s="32" t="s">
        <v>2880</v>
      </c>
      <c r="D96" s="120"/>
      <c r="E96" s="54" t="s">
        <v>13</v>
      </c>
      <c r="F96" s="54" t="str">
        <f>IF(ISNUMBER(E96),E96*$D96,"")</f>
        <v/>
      </c>
      <c r="G96" s="35"/>
      <c r="H96" s="36"/>
      <c r="I96" s="121">
        <v>0</v>
      </c>
    </row>
    <row r="97" spans="1:9" hidden="1" x14ac:dyDescent="0.25">
      <c r="A97" s="182"/>
      <c r="B97" s="39" t="s">
        <v>13</v>
      </c>
      <c r="C97" s="39"/>
      <c r="D97" s="122"/>
      <c r="E97" s="55" t="s">
        <v>13</v>
      </c>
      <c r="F97" s="38" t="str">
        <f>IF(ISNUMBER(E97),E97*$D97,"")</f>
        <v/>
      </c>
      <c r="G97" s="42"/>
      <c r="H97" s="38"/>
      <c r="I97" s="121">
        <v>0</v>
      </c>
    </row>
    <row r="98" spans="1:9" ht="25.5" hidden="1" x14ac:dyDescent="0.25">
      <c r="A98" s="182"/>
      <c r="B98" s="43" t="s">
        <v>10647</v>
      </c>
      <c r="C98" s="43" t="s">
        <v>2880</v>
      </c>
      <c r="D98" s="44">
        <v>1.1499999999999999</v>
      </c>
      <c r="E98" s="41">
        <v>199.71849999999998</v>
      </c>
      <c r="F98" s="41">
        <f>IF(ISNUMBER(E98),E98*$D98,"")</f>
        <v>229.67627499999995</v>
      </c>
      <c r="G98" s="46">
        <f>SUM(F98:F102)</f>
        <v>754.7146120624999</v>
      </c>
      <c r="H98" s="59"/>
      <c r="I98" s="121">
        <v>0</v>
      </c>
    </row>
    <row r="99" spans="1:9" hidden="1" x14ac:dyDescent="0.25">
      <c r="A99" s="182"/>
      <c r="B99" s="43" t="s">
        <v>10648</v>
      </c>
      <c r="C99" s="43" t="s">
        <v>1044</v>
      </c>
      <c r="D99" s="44">
        <v>389.54</v>
      </c>
      <c r="E99" s="41">
        <v>0.64600000000000002</v>
      </c>
      <c r="F99" s="41">
        <f>IF(ISNUMBER(E99),E99*$D99,"")</f>
        <v>251.64284000000001</v>
      </c>
      <c r="G99" s="58"/>
      <c r="H99" s="59"/>
      <c r="I99" s="121">
        <v>0</v>
      </c>
    </row>
    <row r="100" spans="1:9" hidden="1" x14ac:dyDescent="0.25">
      <c r="A100" s="182"/>
      <c r="B100" s="43" t="s">
        <v>10614</v>
      </c>
      <c r="C100" s="43" t="s">
        <v>2800</v>
      </c>
      <c r="D100" s="44">
        <v>8.2899999999999991</v>
      </c>
      <c r="E100" s="38">
        <v>23.693000000000001</v>
      </c>
      <c r="F100" s="41">
        <f>IF(ISNUMBER(E100),E100*$D100,"")</f>
        <v>196.41496999999998</v>
      </c>
      <c r="G100" s="58"/>
      <c r="H100" s="59"/>
      <c r="I100" s="121">
        <v>0</v>
      </c>
    </row>
    <row r="101" spans="1:9" ht="51" hidden="1" x14ac:dyDescent="0.25">
      <c r="A101" s="182"/>
      <c r="B101" s="43" t="s">
        <v>10624</v>
      </c>
      <c r="C101" s="43" t="s">
        <v>2880</v>
      </c>
      <c r="D101" s="44">
        <f>ROUND(1*D98,4)</f>
        <v>1.1499999999999999</v>
      </c>
      <c r="E101" s="38">
        <v>8.5522277500000001</v>
      </c>
      <c r="F101" s="41">
        <f>IF(ISNUMBER(E101),E101*$D101,"")</f>
        <v>9.8350619124999987</v>
      </c>
      <c r="G101" s="58"/>
      <c r="H101" s="59"/>
      <c r="I101" s="121">
        <v>0</v>
      </c>
    </row>
    <row r="102" spans="1:9" ht="38.25" hidden="1" x14ac:dyDescent="0.25">
      <c r="A102" s="182"/>
      <c r="B102" s="43" t="s">
        <v>10622</v>
      </c>
      <c r="C102" s="62" t="s">
        <v>10676</v>
      </c>
      <c r="D102" s="44">
        <f>ROUND(D98*20,4)</f>
        <v>23</v>
      </c>
      <c r="E102" s="38">
        <v>2.9193680499999997</v>
      </c>
      <c r="F102" s="41">
        <f>IF(ISNUMBER(E102),E102*$D102,"")</f>
        <v>67.145465149999993</v>
      </c>
      <c r="G102" s="58"/>
      <c r="H102" s="59"/>
      <c r="I102" s="121">
        <v>0</v>
      </c>
    </row>
    <row r="103" spans="1:9" hidden="1" x14ac:dyDescent="0.25">
      <c r="A103" s="182"/>
      <c r="B103" s="61"/>
      <c r="C103" s="62"/>
      <c r="D103" s="44"/>
      <c r="E103" s="38" t="s">
        <v>13</v>
      </c>
      <c r="F103" s="41" t="str">
        <f>IF(ISNUMBER(E103),E103*$D103,"")</f>
        <v/>
      </c>
      <c r="G103" s="58"/>
      <c r="H103" s="59"/>
      <c r="I103" s="121">
        <v>0</v>
      </c>
    </row>
    <row r="104" spans="1:9" hidden="1" x14ac:dyDescent="0.25">
      <c r="A104" s="182"/>
      <c r="B104" s="4" t="s">
        <v>646</v>
      </c>
      <c r="C104" s="62"/>
      <c r="D104" s="44"/>
      <c r="E104" s="38" t="s">
        <v>13</v>
      </c>
      <c r="F104" s="41" t="str">
        <f>IF(ISNUMBER(E104),E104*$D104,"")</f>
        <v/>
      </c>
      <c r="G104" s="58"/>
      <c r="H104" s="59"/>
      <c r="I104" s="121">
        <v>0</v>
      </c>
    </row>
    <row r="105" spans="1:9" ht="15.75" hidden="1" thickBot="1" x14ac:dyDescent="0.3">
      <c r="A105" s="183"/>
      <c r="B105" s="49" t="s">
        <v>13</v>
      </c>
      <c r="C105" s="49"/>
      <c r="D105" s="123"/>
      <c r="E105" s="51" t="s">
        <v>13</v>
      </c>
      <c r="F105" s="51" t="str">
        <f>IF(ISNUMBER(E105),E105*$D105,"")</f>
        <v/>
      </c>
      <c r="G105" s="53"/>
      <c r="H105" s="38"/>
      <c r="I105" s="121">
        <v>0</v>
      </c>
    </row>
    <row r="106" spans="1:9" ht="15.75" hidden="1" thickBot="1" x14ac:dyDescent="0.3">
      <c r="A106" s="184" t="s">
        <v>10689</v>
      </c>
      <c r="B106" s="31" t="s">
        <v>13</v>
      </c>
      <c r="C106" s="32" t="s">
        <v>1302</v>
      </c>
      <c r="D106" s="120"/>
      <c r="E106" s="54" t="s">
        <v>13</v>
      </c>
      <c r="F106" s="54" t="str">
        <f>IF(ISNUMBER(E106),E106*$D106,"")</f>
        <v/>
      </c>
      <c r="G106" s="35"/>
      <c r="H106" s="36"/>
      <c r="I106" s="121">
        <v>0</v>
      </c>
    </row>
    <row r="107" spans="1:9" hidden="1" x14ac:dyDescent="0.25">
      <c r="A107" s="182"/>
      <c r="B107" s="39" t="s">
        <v>13</v>
      </c>
      <c r="C107" s="39"/>
      <c r="D107" s="122"/>
      <c r="E107" s="55" t="s">
        <v>13</v>
      </c>
      <c r="F107" s="38" t="str">
        <f>IF(ISNUMBER(E107),E107*$D107,"")</f>
        <v/>
      </c>
      <c r="G107" s="42"/>
      <c r="H107" s="38"/>
      <c r="I107" s="121">
        <v>0</v>
      </c>
    </row>
    <row r="108" spans="1:9" ht="25.5" hidden="1" x14ac:dyDescent="0.25">
      <c r="A108" s="182"/>
      <c r="B108" s="43" t="s">
        <v>10752</v>
      </c>
      <c r="C108" s="43" t="s">
        <v>83</v>
      </c>
      <c r="D108" s="44">
        <v>0.66669999999999996</v>
      </c>
      <c r="E108" s="41">
        <v>1.7669999999999999</v>
      </c>
      <c r="F108" s="41">
        <f>IF(ISNUMBER(E108),E108*$D108,"")</f>
        <v>1.1780588999999999</v>
      </c>
      <c r="G108" s="46">
        <f>SUM(F108:F110)</f>
        <v>4.0031669999999995</v>
      </c>
      <c r="H108" s="59"/>
      <c r="I108" s="121">
        <v>0</v>
      </c>
    </row>
    <row r="109" spans="1:9" ht="25.5" hidden="1" x14ac:dyDescent="0.25">
      <c r="A109" s="182"/>
      <c r="B109" s="43" t="s">
        <v>10753</v>
      </c>
      <c r="C109" s="43" t="s">
        <v>2800</v>
      </c>
      <c r="D109" s="44">
        <v>1.7899999999999999E-2</v>
      </c>
      <c r="E109" s="38">
        <v>23.997</v>
      </c>
      <c r="F109" s="41">
        <f>IF(ISNUMBER(E109),E109*$D109,"")</f>
        <v>0.42954629999999999</v>
      </c>
      <c r="G109" s="58"/>
      <c r="H109" s="59"/>
      <c r="I109" s="121">
        <v>0</v>
      </c>
    </row>
    <row r="110" spans="1:9" ht="25.5" hidden="1" x14ac:dyDescent="0.25">
      <c r="A110" s="182"/>
      <c r="B110" s="43" t="s">
        <v>10754</v>
      </c>
      <c r="C110" s="43" t="s">
        <v>2800</v>
      </c>
      <c r="D110" s="44">
        <v>7.8899999999999998E-2</v>
      </c>
      <c r="E110" s="38">
        <v>30.361999999999998</v>
      </c>
      <c r="F110" s="41">
        <f>IF(ISNUMBER(E110),E110*$D110,"")</f>
        <v>2.3955617999999999</v>
      </c>
      <c r="G110" s="58"/>
      <c r="H110" s="59"/>
      <c r="I110" s="121">
        <v>0</v>
      </c>
    </row>
    <row r="111" spans="1:9" ht="15.75" hidden="1" thickBot="1" x14ac:dyDescent="0.3">
      <c r="A111" s="183"/>
      <c r="B111" s="49" t="s">
        <v>13</v>
      </c>
      <c r="C111" s="49"/>
      <c r="D111" s="123"/>
      <c r="E111" s="51" t="s">
        <v>13</v>
      </c>
      <c r="F111" s="51" t="str">
        <f>IF(ISNUMBER(E111),E111*$D111,"")</f>
        <v/>
      </c>
      <c r="G111" s="53"/>
      <c r="H111" s="38"/>
      <c r="I111" s="121">
        <v>0</v>
      </c>
    </row>
    <row r="112" spans="1:9" ht="15.75" hidden="1" thickBot="1" x14ac:dyDescent="0.3">
      <c r="A112" s="184" t="s">
        <v>2955</v>
      </c>
      <c r="B112" s="31" t="s">
        <v>13</v>
      </c>
      <c r="C112" s="32" t="s">
        <v>83</v>
      </c>
      <c r="D112" s="120"/>
      <c r="E112" s="54" t="s">
        <v>13</v>
      </c>
      <c r="F112" s="54" t="str">
        <f>IF(ISNUMBER(E112),E112*$D112,"")</f>
        <v/>
      </c>
      <c r="G112" s="35"/>
      <c r="H112" s="36"/>
      <c r="I112" s="121">
        <v>0</v>
      </c>
    </row>
    <row r="113" spans="1:9" hidden="1" x14ac:dyDescent="0.25">
      <c r="A113" s="182"/>
      <c r="B113" s="39" t="s">
        <v>13</v>
      </c>
      <c r="C113" s="39"/>
      <c r="D113" s="122"/>
      <c r="E113" s="55" t="s">
        <v>13</v>
      </c>
      <c r="F113" s="38" t="str">
        <f>IF(ISNUMBER(E113),E113*$D113,"")</f>
        <v/>
      </c>
      <c r="G113" s="42"/>
      <c r="H113" s="38"/>
      <c r="I113" s="121">
        <v>0</v>
      </c>
    </row>
    <row r="114" spans="1:9" ht="25.5" hidden="1" x14ac:dyDescent="0.25">
      <c r="A114" s="182"/>
      <c r="B114" s="43" t="s">
        <v>10761</v>
      </c>
      <c r="C114" s="43" t="s">
        <v>83</v>
      </c>
      <c r="D114" s="44">
        <v>1</v>
      </c>
      <c r="E114" s="41">
        <v>2.4319999999999999</v>
      </c>
      <c r="F114" s="41">
        <f>IF(ISNUMBER(E114),E114*$D114,"")</f>
        <v>2.4319999999999999</v>
      </c>
      <c r="G114" s="46">
        <f>SUM(F114:F116)</f>
        <v>5.1052999999999997</v>
      </c>
      <c r="H114" s="59"/>
      <c r="I114" s="121">
        <v>0</v>
      </c>
    </row>
    <row r="115" spans="1:9" hidden="1" x14ac:dyDescent="0.25">
      <c r="A115" s="182"/>
      <c r="B115" s="43" t="s">
        <v>10762</v>
      </c>
      <c r="C115" s="43" t="s">
        <v>2800</v>
      </c>
      <c r="D115" s="44">
        <v>0.06</v>
      </c>
      <c r="E115" s="38">
        <v>19.4085</v>
      </c>
      <c r="F115" s="41">
        <f>IF(ISNUMBER(E115),E115*$D115,"")</f>
        <v>1.1645099999999999</v>
      </c>
      <c r="G115" s="58"/>
      <c r="H115" s="59"/>
      <c r="I115" s="121">
        <v>0</v>
      </c>
    </row>
    <row r="116" spans="1:9" hidden="1" x14ac:dyDescent="0.25">
      <c r="A116" s="182"/>
      <c r="B116" s="43" t="s">
        <v>10763</v>
      </c>
      <c r="C116" s="43" t="s">
        <v>2800</v>
      </c>
      <c r="D116" s="44">
        <v>0.06</v>
      </c>
      <c r="E116" s="38">
        <v>25.146499999999996</v>
      </c>
      <c r="F116" s="41">
        <f>IF(ISNUMBER(E116),E116*$D116,"")</f>
        <v>1.5087899999999996</v>
      </c>
      <c r="G116" s="58"/>
      <c r="H116" s="59"/>
      <c r="I116" s="121">
        <v>0</v>
      </c>
    </row>
    <row r="117" spans="1:9" ht="15.75" hidden="1" thickBot="1" x14ac:dyDescent="0.3">
      <c r="A117" s="183"/>
      <c r="B117" s="49" t="s">
        <v>13</v>
      </c>
      <c r="C117" s="49"/>
      <c r="D117" s="123"/>
      <c r="E117" s="51" t="s">
        <v>13</v>
      </c>
      <c r="F117" s="51" t="str">
        <f>IF(ISNUMBER(E117),E117*$D117,"")</f>
        <v/>
      </c>
      <c r="G117" s="53"/>
      <c r="H117" s="38"/>
      <c r="I117" s="121">
        <v>0</v>
      </c>
    </row>
    <row r="118" spans="1:9" ht="15.75" hidden="1" thickBot="1" x14ac:dyDescent="0.3">
      <c r="A118" s="184" t="s">
        <v>2956</v>
      </c>
      <c r="B118" s="31" t="s">
        <v>13</v>
      </c>
      <c r="C118" s="32" t="s">
        <v>83</v>
      </c>
      <c r="D118" s="120"/>
      <c r="E118" s="54" t="s">
        <v>13</v>
      </c>
      <c r="F118" s="54" t="str">
        <f>IF(ISNUMBER(E118),E118*$D118,"")</f>
        <v/>
      </c>
      <c r="G118" s="35"/>
      <c r="H118" s="36"/>
      <c r="I118" s="121">
        <v>0</v>
      </c>
    </row>
    <row r="119" spans="1:9" hidden="1" x14ac:dyDescent="0.25">
      <c r="A119" s="182"/>
      <c r="B119" s="39" t="s">
        <v>13</v>
      </c>
      <c r="C119" s="39"/>
      <c r="D119" s="122"/>
      <c r="E119" s="55" t="s">
        <v>13</v>
      </c>
      <c r="F119" s="38" t="str">
        <f>IF(ISNUMBER(E119),E119*$D119,"")</f>
        <v/>
      </c>
      <c r="G119" s="42"/>
      <c r="H119" s="38"/>
      <c r="I119" s="121">
        <v>0</v>
      </c>
    </row>
    <row r="120" spans="1:9" ht="25.5" hidden="1" x14ac:dyDescent="0.25">
      <c r="A120" s="182"/>
      <c r="B120" s="43" t="s">
        <v>10764</v>
      </c>
      <c r="C120" s="43" t="s">
        <v>83</v>
      </c>
      <c r="D120" s="44">
        <v>1</v>
      </c>
      <c r="E120" s="41">
        <v>2.831</v>
      </c>
      <c r="F120" s="41">
        <f>IF(ISNUMBER(E120),E120*$D120,"")</f>
        <v>2.831</v>
      </c>
      <c r="G120" s="46">
        <f>SUM(F120:F122)</f>
        <v>5.5042999999999997</v>
      </c>
      <c r="H120" s="59"/>
      <c r="I120" s="121">
        <v>0</v>
      </c>
    </row>
    <row r="121" spans="1:9" hidden="1" x14ac:dyDescent="0.25">
      <c r="A121" s="182"/>
      <c r="B121" s="43" t="s">
        <v>10762</v>
      </c>
      <c r="C121" s="43" t="s">
        <v>2800</v>
      </c>
      <c r="D121" s="44">
        <v>0.06</v>
      </c>
      <c r="E121" s="38">
        <v>19.4085</v>
      </c>
      <c r="F121" s="41">
        <f>IF(ISNUMBER(E121),E121*$D121,"")</f>
        <v>1.1645099999999999</v>
      </c>
      <c r="G121" s="58"/>
      <c r="H121" s="59"/>
      <c r="I121" s="121">
        <v>0</v>
      </c>
    </row>
    <row r="122" spans="1:9" hidden="1" x14ac:dyDescent="0.25">
      <c r="A122" s="182"/>
      <c r="B122" s="43" t="s">
        <v>10763</v>
      </c>
      <c r="C122" s="43" t="s">
        <v>2800</v>
      </c>
      <c r="D122" s="44">
        <v>0.06</v>
      </c>
      <c r="E122" s="38">
        <v>25.146499999999996</v>
      </c>
      <c r="F122" s="41">
        <f>IF(ISNUMBER(E122),E122*$D122,"")</f>
        <v>1.5087899999999996</v>
      </c>
      <c r="G122" s="58"/>
      <c r="H122" s="59"/>
      <c r="I122" s="121">
        <v>0</v>
      </c>
    </row>
    <row r="123" spans="1:9" ht="15.75" hidden="1" thickBot="1" x14ac:dyDescent="0.3">
      <c r="A123" s="183"/>
      <c r="B123" s="49" t="s">
        <v>13</v>
      </c>
      <c r="C123" s="49"/>
      <c r="D123" s="123"/>
      <c r="E123" s="51" t="s">
        <v>13</v>
      </c>
      <c r="F123" s="51" t="str">
        <f>IF(ISNUMBER(E123),E123*$D123,"")</f>
        <v/>
      </c>
      <c r="G123" s="53"/>
      <c r="H123" s="38"/>
      <c r="I123" s="121">
        <v>0</v>
      </c>
    </row>
    <row r="124" spans="1:9" ht="15.75" hidden="1" thickBot="1" x14ac:dyDescent="0.3">
      <c r="A124" s="184" t="s">
        <v>2957</v>
      </c>
      <c r="B124" s="31" t="s">
        <v>13</v>
      </c>
      <c r="C124" s="32" t="s">
        <v>83</v>
      </c>
      <c r="D124" s="120"/>
      <c r="E124" s="54" t="s">
        <v>13</v>
      </c>
      <c r="F124" s="54" t="str">
        <f>IF(ISNUMBER(E124),E124*$D124,"")</f>
        <v/>
      </c>
      <c r="G124" s="35"/>
      <c r="H124" s="36"/>
      <c r="I124" s="121">
        <v>0</v>
      </c>
    </row>
    <row r="125" spans="1:9" hidden="1" x14ac:dyDescent="0.25">
      <c r="A125" s="182"/>
      <c r="B125" s="39" t="s">
        <v>13</v>
      </c>
      <c r="C125" s="39"/>
      <c r="D125" s="122"/>
      <c r="E125" s="55" t="s">
        <v>13</v>
      </c>
      <c r="F125" s="38" t="str">
        <f>IF(ISNUMBER(E125),E125*$D125,"")</f>
        <v/>
      </c>
      <c r="G125" s="42"/>
      <c r="H125" s="38"/>
      <c r="I125" s="121">
        <v>0</v>
      </c>
    </row>
    <row r="126" spans="1:9" ht="25.5" hidden="1" x14ac:dyDescent="0.25">
      <c r="A126" s="182"/>
      <c r="B126" s="43" t="s">
        <v>10765</v>
      </c>
      <c r="C126" s="43" t="s">
        <v>83</v>
      </c>
      <c r="D126" s="44">
        <v>1</v>
      </c>
      <c r="E126" s="41">
        <v>5.016</v>
      </c>
      <c r="F126" s="41">
        <f>IF(ISNUMBER(E126),E126*$D126,"")</f>
        <v>5.016</v>
      </c>
      <c r="G126" s="46">
        <f>SUM(F126:F128)</f>
        <v>9.0259499999999999</v>
      </c>
      <c r="H126" s="59"/>
      <c r="I126" s="121">
        <v>0</v>
      </c>
    </row>
    <row r="127" spans="1:9" hidden="1" x14ac:dyDescent="0.25">
      <c r="A127" s="182"/>
      <c r="B127" s="43" t="s">
        <v>10762</v>
      </c>
      <c r="C127" s="43" t="s">
        <v>2800</v>
      </c>
      <c r="D127" s="44">
        <v>0.09</v>
      </c>
      <c r="E127" s="38">
        <v>19.4085</v>
      </c>
      <c r="F127" s="41">
        <f>IF(ISNUMBER(E127),E127*$D127,"")</f>
        <v>1.7467649999999999</v>
      </c>
      <c r="G127" s="58"/>
      <c r="H127" s="59"/>
      <c r="I127" s="121">
        <v>0</v>
      </c>
    </row>
    <row r="128" spans="1:9" hidden="1" x14ac:dyDescent="0.25">
      <c r="A128" s="182"/>
      <c r="B128" s="43" t="s">
        <v>10763</v>
      </c>
      <c r="C128" s="43" t="s">
        <v>2800</v>
      </c>
      <c r="D128" s="44">
        <v>0.09</v>
      </c>
      <c r="E128" s="38">
        <v>25.146499999999996</v>
      </c>
      <c r="F128" s="41">
        <f>IF(ISNUMBER(E128),E128*$D128,"")</f>
        <v>2.2631849999999996</v>
      </c>
      <c r="G128" s="58"/>
      <c r="H128" s="59"/>
      <c r="I128" s="121">
        <v>0</v>
      </c>
    </row>
    <row r="129" spans="1:9" ht="15.75" hidden="1" thickBot="1" x14ac:dyDescent="0.3">
      <c r="A129" s="183"/>
      <c r="B129" s="49" t="s">
        <v>13</v>
      </c>
      <c r="C129" s="49"/>
      <c r="D129" s="123"/>
      <c r="E129" s="51" t="s">
        <v>13</v>
      </c>
      <c r="F129" s="51" t="str">
        <f>IF(ISNUMBER(E129),E129*$D129,"")</f>
        <v/>
      </c>
      <c r="G129" s="53"/>
      <c r="H129" s="38"/>
      <c r="I129" s="121">
        <v>0</v>
      </c>
    </row>
    <row r="130" spans="1:9" ht="15.75" hidden="1" thickBot="1" x14ac:dyDescent="0.3">
      <c r="A130" s="184" t="s">
        <v>2958</v>
      </c>
      <c r="B130" s="31" t="s">
        <v>13</v>
      </c>
      <c r="C130" s="32" t="s">
        <v>83</v>
      </c>
      <c r="D130" s="120"/>
      <c r="E130" s="54" t="s">
        <v>13</v>
      </c>
      <c r="F130" s="54" t="str">
        <f>IF(ISNUMBER(E130),E130*$D130,"")</f>
        <v/>
      </c>
      <c r="G130" s="35"/>
      <c r="H130" s="36"/>
      <c r="I130" s="121">
        <v>0</v>
      </c>
    </row>
    <row r="131" spans="1:9" hidden="1" x14ac:dyDescent="0.25">
      <c r="A131" s="182"/>
      <c r="B131" s="39" t="s">
        <v>13</v>
      </c>
      <c r="C131" s="39"/>
      <c r="D131" s="122"/>
      <c r="E131" s="55" t="s">
        <v>13</v>
      </c>
      <c r="F131" s="38" t="str">
        <f>IF(ISNUMBER(E131),E131*$D131,"")</f>
        <v/>
      </c>
      <c r="G131" s="42"/>
      <c r="H131" s="38"/>
      <c r="I131" s="121">
        <v>0</v>
      </c>
    </row>
    <row r="132" spans="1:9" ht="25.5" hidden="1" x14ac:dyDescent="0.25">
      <c r="A132" s="182"/>
      <c r="B132" s="43" t="s">
        <v>10766</v>
      </c>
      <c r="C132" s="43" t="s">
        <v>83</v>
      </c>
      <c r="D132" s="44">
        <v>1</v>
      </c>
      <c r="E132" s="41">
        <v>7.2579999999999991</v>
      </c>
      <c r="F132" s="41">
        <f>IF(ISNUMBER(E132),E132*$D132,"")</f>
        <v>7.2579999999999991</v>
      </c>
      <c r="G132" s="46">
        <f>SUM(F132:F134)</f>
        <v>11.267949999999999</v>
      </c>
      <c r="H132" s="59"/>
      <c r="I132" s="121">
        <v>0</v>
      </c>
    </row>
    <row r="133" spans="1:9" hidden="1" x14ac:dyDescent="0.25">
      <c r="A133" s="182"/>
      <c r="B133" s="43" t="s">
        <v>10762</v>
      </c>
      <c r="C133" s="43" t="s">
        <v>2800</v>
      </c>
      <c r="D133" s="44">
        <v>0.09</v>
      </c>
      <c r="E133" s="38">
        <v>19.4085</v>
      </c>
      <c r="F133" s="41">
        <f>IF(ISNUMBER(E133),E133*$D133,"")</f>
        <v>1.7467649999999999</v>
      </c>
      <c r="G133" s="58"/>
      <c r="H133" s="59"/>
      <c r="I133" s="121">
        <v>0</v>
      </c>
    </row>
    <row r="134" spans="1:9" hidden="1" x14ac:dyDescent="0.25">
      <c r="A134" s="182"/>
      <c r="B134" s="43" t="s">
        <v>10763</v>
      </c>
      <c r="C134" s="43" t="s">
        <v>2800</v>
      </c>
      <c r="D134" s="44">
        <v>0.09</v>
      </c>
      <c r="E134" s="38">
        <v>25.146499999999996</v>
      </c>
      <c r="F134" s="41">
        <f>IF(ISNUMBER(E134),E134*$D134,"")</f>
        <v>2.2631849999999996</v>
      </c>
      <c r="G134" s="58"/>
      <c r="H134" s="59"/>
      <c r="I134" s="121">
        <v>0</v>
      </c>
    </row>
    <row r="135" spans="1:9" ht="15.75" hidden="1" thickBot="1" x14ac:dyDescent="0.3">
      <c r="A135" s="183"/>
      <c r="B135" s="49" t="s">
        <v>13</v>
      </c>
      <c r="C135" s="49"/>
      <c r="D135" s="123"/>
      <c r="E135" s="51" t="s">
        <v>13</v>
      </c>
      <c r="F135" s="51" t="str">
        <f>IF(ISNUMBER(E135),E135*$D135,"")</f>
        <v/>
      </c>
      <c r="G135" s="53"/>
      <c r="H135" s="38"/>
      <c r="I135" s="121">
        <v>0</v>
      </c>
    </row>
    <row r="136" spans="1:9" ht="15.75" hidden="1" thickBot="1" x14ac:dyDescent="0.3">
      <c r="A136" s="184" t="s">
        <v>10690</v>
      </c>
      <c r="B136" s="31" t="s">
        <v>13</v>
      </c>
      <c r="C136" s="32" t="s">
        <v>1302</v>
      </c>
      <c r="D136" s="120"/>
      <c r="E136" s="54" t="s">
        <v>13</v>
      </c>
      <c r="F136" s="54" t="str">
        <f>IF(ISNUMBER(E136),E136*$D136,"")</f>
        <v/>
      </c>
      <c r="G136" s="35"/>
      <c r="H136" s="36"/>
      <c r="I136" s="121">
        <v>0</v>
      </c>
    </row>
    <row r="137" spans="1:9" hidden="1" x14ac:dyDescent="0.25">
      <c r="A137" s="182"/>
      <c r="B137" s="39" t="s">
        <v>13</v>
      </c>
      <c r="C137" s="39"/>
      <c r="D137" s="122"/>
      <c r="E137" s="55" t="s">
        <v>13</v>
      </c>
      <c r="F137" s="38" t="str">
        <f>IF(ISNUMBER(E137),E137*$D137,"")</f>
        <v/>
      </c>
      <c r="G137" s="42"/>
      <c r="H137" s="38"/>
      <c r="I137" s="121">
        <v>0</v>
      </c>
    </row>
    <row r="138" spans="1:9" ht="25.5" hidden="1" x14ac:dyDescent="0.25">
      <c r="A138" s="182"/>
      <c r="B138" s="43" t="s">
        <v>10767</v>
      </c>
      <c r="C138" s="43" t="s">
        <v>83</v>
      </c>
      <c r="D138" s="44">
        <v>0.66669999999999996</v>
      </c>
      <c r="E138" s="41">
        <v>3.6289999999999996</v>
      </c>
      <c r="F138" s="41">
        <f>IF(ISNUMBER(E138),E138*$D138,"")</f>
        <v>2.4194542999999995</v>
      </c>
      <c r="G138" s="46">
        <f>SUM(F138:F140)</f>
        <v>6.9168359999999982</v>
      </c>
      <c r="H138" s="59"/>
      <c r="I138" s="121">
        <v>0</v>
      </c>
    </row>
    <row r="139" spans="1:9" ht="25.5" hidden="1" x14ac:dyDescent="0.25">
      <c r="A139" s="182"/>
      <c r="B139" s="43" t="s">
        <v>10753</v>
      </c>
      <c r="C139" s="43" t="s">
        <v>2800</v>
      </c>
      <c r="D139" s="44">
        <v>2.8500000000000001E-2</v>
      </c>
      <c r="E139" s="38">
        <v>23.997</v>
      </c>
      <c r="F139" s="41">
        <f>IF(ISNUMBER(E139),E139*$D139,"")</f>
        <v>0.68391449999999998</v>
      </c>
      <c r="G139" s="58"/>
      <c r="H139" s="59"/>
      <c r="I139" s="121">
        <v>0</v>
      </c>
    </row>
    <row r="140" spans="1:9" ht="25.5" hidden="1" x14ac:dyDescent="0.25">
      <c r="A140" s="182"/>
      <c r="B140" s="43" t="s">
        <v>10754</v>
      </c>
      <c r="C140" s="43" t="s">
        <v>2800</v>
      </c>
      <c r="D140" s="44">
        <v>0.12559999999999999</v>
      </c>
      <c r="E140" s="38">
        <v>30.361999999999998</v>
      </c>
      <c r="F140" s="41">
        <f>IF(ISNUMBER(E140),E140*$D140,"")</f>
        <v>3.8134671999999994</v>
      </c>
      <c r="G140" s="58"/>
      <c r="H140" s="59"/>
      <c r="I140" s="121">
        <v>0</v>
      </c>
    </row>
    <row r="141" spans="1:9" ht="15.75" hidden="1" thickBot="1" x14ac:dyDescent="0.3">
      <c r="A141" s="183"/>
      <c r="B141" s="49" t="s">
        <v>13</v>
      </c>
      <c r="C141" s="49"/>
      <c r="D141" s="123"/>
      <c r="E141" s="51" t="s">
        <v>13</v>
      </c>
      <c r="F141" s="51" t="str">
        <f>IF(ISNUMBER(E141),E141*$D141,"")</f>
        <v/>
      </c>
      <c r="G141" s="53"/>
      <c r="H141" s="38"/>
      <c r="I141" s="121">
        <v>0</v>
      </c>
    </row>
    <row r="142" spans="1:9" ht="15.75" hidden="1" thickBot="1" x14ac:dyDescent="0.3">
      <c r="A142" s="184" t="s">
        <v>10691</v>
      </c>
      <c r="B142" s="31" t="s">
        <v>13</v>
      </c>
      <c r="C142" s="32" t="s">
        <v>2880</v>
      </c>
      <c r="D142" s="120"/>
      <c r="E142" s="54" t="s">
        <v>13</v>
      </c>
      <c r="F142" s="54" t="str">
        <f>IF(ISNUMBER(E142),E142*$D142,"")</f>
        <v/>
      </c>
      <c r="G142" s="35"/>
      <c r="H142" s="36"/>
      <c r="I142" s="121">
        <v>0</v>
      </c>
    </row>
    <row r="143" spans="1:9" hidden="1" x14ac:dyDescent="0.25">
      <c r="A143" s="182"/>
      <c r="B143" s="39" t="s">
        <v>13</v>
      </c>
      <c r="C143" s="39"/>
      <c r="D143" s="122"/>
      <c r="E143" s="55" t="s">
        <v>13</v>
      </c>
      <c r="F143" s="38" t="str">
        <f>IF(ISNUMBER(E143),E143*$D143,"")</f>
        <v/>
      </c>
      <c r="G143" s="42"/>
      <c r="H143" s="38"/>
      <c r="I143" s="121">
        <v>0</v>
      </c>
    </row>
    <row r="144" spans="1:9" ht="25.5" hidden="1" x14ac:dyDescent="0.25">
      <c r="A144" s="182"/>
      <c r="B144" s="43" t="s">
        <v>10647</v>
      </c>
      <c r="C144" s="43" t="s">
        <v>2880</v>
      </c>
      <c r="D144" s="44">
        <v>1.18</v>
      </c>
      <c r="E144" s="41">
        <v>199.71849999999998</v>
      </c>
      <c r="F144" s="41">
        <f>IF(ISNUMBER(E144),E144*$D144,"")</f>
        <v>235.66782999999995</v>
      </c>
      <c r="G144" s="46">
        <f>SUM(F144:F152)</f>
        <v>782.54550972499999</v>
      </c>
      <c r="H144" s="59"/>
      <c r="I144" s="121">
        <v>0</v>
      </c>
    </row>
    <row r="145" spans="1:9" hidden="1" x14ac:dyDescent="0.25">
      <c r="A145" s="182"/>
      <c r="B145" s="43" t="s">
        <v>10659</v>
      </c>
      <c r="C145" s="43" t="s">
        <v>1044</v>
      </c>
      <c r="D145" s="44">
        <v>157.44</v>
      </c>
      <c r="E145" s="41">
        <v>1.4724999999999999</v>
      </c>
      <c r="F145" s="41">
        <f>IF(ISNUMBER(E145),E145*$D145,"")</f>
        <v>231.8304</v>
      </c>
      <c r="G145" s="58"/>
      <c r="H145" s="59"/>
      <c r="I145" s="121">
        <v>0</v>
      </c>
    </row>
    <row r="146" spans="1:9" hidden="1" x14ac:dyDescent="0.25">
      <c r="A146" s="182"/>
      <c r="B146" s="43" t="s">
        <v>10648</v>
      </c>
      <c r="C146" s="43" t="s">
        <v>1044</v>
      </c>
      <c r="D146" s="44">
        <v>177.12</v>
      </c>
      <c r="E146" s="41">
        <v>0.64600000000000002</v>
      </c>
      <c r="F146" s="41">
        <f>IF(ISNUMBER(E146),E146*$D146,"")</f>
        <v>114.41952000000001</v>
      </c>
      <c r="G146" s="58"/>
      <c r="H146" s="59"/>
      <c r="I146" s="121">
        <v>0</v>
      </c>
    </row>
    <row r="147" spans="1:9" hidden="1" x14ac:dyDescent="0.25">
      <c r="A147" s="182"/>
      <c r="B147" s="43" t="s">
        <v>10614</v>
      </c>
      <c r="C147" s="43" t="s">
        <v>2800</v>
      </c>
      <c r="D147" s="44">
        <v>0.79</v>
      </c>
      <c r="E147" s="38">
        <v>23.693000000000001</v>
      </c>
      <c r="F147" s="41">
        <f>IF(ISNUMBER(E147),E147*$D147,"")</f>
        <v>18.717470000000002</v>
      </c>
      <c r="G147" s="58"/>
      <c r="H147" s="59"/>
      <c r="I147" s="121">
        <v>0</v>
      </c>
    </row>
    <row r="148" spans="1:9" ht="25.5" hidden="1" x14ac:dyDescent="0.25">
      <c r="A148" s="182"/>
      <c r="B148" s="43" t="s">
        <v>10649</v>
      </c>
      <c r="C148" s="43" t="s">
        <v>2800</v>
      </c>
      <c r="D148" s="44">
        <v>3.65</v>
      </c>
      <c r="E148" s="38">
        <v>25.745000000000001</v>
      </c>
      <c r="F148" s="41">
        <f>IF(ISNUMBER(E148),E148*$D148,"")</f>
        <v>93.969250000000002</v>
      </c>
      <c r="G148" s="58"/>
      <c r="H148" s="59"/>
      <c r="I148" s="121">
        <v>0</v>
      </c>
    </row>
    <row r="149" spans="1:9" ht="38.25" hidden="1" x14ac:dyDescent="0.25">
      <c r="A149" s="182"/>
      <c r="B149" s="43" t="s">
        <v>10663</v>
      </c>
      <c r="C149" s="43" t="s">
        <v>1050</v>
      </c>
      <c r="D149" s="44">
        <v>0.85</v>
      </c>
      <c r="E149" s="38">
        <v>4.9305000000000003</v>
      </c>
      <c r="F149" s="41">
        <f>IF(ISNUMBER(E149),E149*$D149,"")</f>
        <v>4.190925</v>
      </c>
      <c r="G149" s="58"/>
      <c r="H149" s="59"/>
      <c r="I149" s="121">
        <v>0</v>
      </c>
    </row>
    <row r="150" spans="1:9" ht="38.25" hidden="1" x14ac:dyDescent="0.25">
      <c r="A150" s="182"/>
      <c r="B150" s="43" t="s">
        <v>10664</v>
      </c>
      <c r="C150" s="43" t="s">
        <v>10677</v>
      </c>
      <c r="D150" s="44">
        <v>2.8</v>
      </c>
      <c r="E150" s="38">
        <v>1.7004999999999999</v>
      </c>
      <c r="F150" s="41">
        <f>IF(ISNUMBER(E150),E150*$D150,"")</f>
        <v>4.7613999999999992</v>
      </c>
      <c r="G150" s="58"/>
      <c r="H150" s="59"/>
      <c r="I150" s="121">
        <v>0</v>
      </c>
    </row>
    <row r="151" spans="1:9" ht="51" hidden="1" x14ac:dyDescent="0.25">
      <c r="A151" s="182"/>
      <c r="B151" s="43" t="s">
        <v>10624</v>
      </c>
      <c r="C151" s="43" t="s">
        <v>2880</v>
      </c>
      <c r="D151" s="44">
        <f>ROUND(1*D144,4)</f>
        <v>1.18</v>
      </c>
      <c r="E151" s="38">
        <v>8.5522277500000001</v>
      </c>
      <c r="F151" s="41">
        <f>IF(ISNUMBER(E151),E151*$D151,"")</f>
        <v>10.091628745</v>
      </c>
      <c r="G151" s="58"/>
      <c r="H151" s="59"/>
      <c r="I151" s="121">
        <v>0</v>
      </c>
    </row>
    <row r="152" spans="1:9" ht="38.25" hidden="1" x14ac:dyDescent="0.25">
      <c r="A152" s="182"/>
      <c r="B152" s="43" t="s">
        <v>10622</v>
      </c>
      <c r="C152" s="62" t="s">
        <v>10676</v>
      </c>
      <c r="D152" s="44">
        <f>ROUND(D144*20,4)</f>
        <v>23.6</v>
      </c>
      <c r="E152" s="38">
        <v>2.9193680499999997</v>
      </c>
      <c r="F152" s="41">
        <f>IF(ISNUMBER(E152),E152*$D152,"")</f>
        <v>68.89708598</v>
      </c>
      <c r="G152" s="58"/>
      <c r="H152" s="59"/>
      <c r="I152" s="121">
        <v>0</v>
      </c>
    </row>
    <row r="153" spans="1:9" hidden="1" x14ac:dyDescent="0.25">
      <c r="A153" s="182"/>
      <c r="B153" s="61"/>
      <c r="C153" s="62"/>
      <c r="D153" s="44"/>
      <c r="E153" s="38" t="s">
        <v>13</v>
      </c>
      <c r="F153" s="41" t="str">
        <f>IF(ISNUMBER(E153),E153*$D153,"")</f>
        <v/>
      </c>
      <c r="G153" s="58"/>
      <c r="H153" s="59"/>
      <c r="I153" s="121">
        <v>0</v>
      </c>
    </row>
    <row r="154" spans="1:9" hidden="1" x14ac:dyDescent="0.25">
      <c r="A154" s="182"/>
      <c r="B154" s="4" t="s">
        <v>646</v>
      </c>
      <c r="C154" s="62"/>
      <c r="D154" s="44"/>
      <c r="E154" s="38" t="s">
        <v>13</v>
      </c>
      <c r="F154" s="41" t="str">
        <f>IF(ISNUMBER(E154),E154*$D154,"")</f>
        <v/>
      </c>
      <c r="G154" s="58"/>
      <c r="H154" s="59"/>
      <c r="I154" s="121">
        <v>0</v>
      </c>
    </row>
    <row r="155" spans="1:9" ht="15.75" hidden="1" thickBot="1" x14ac:dyDescent="0.3">
      <c r="A155" s="183"/>
      <c r="B155" s="49"/>
      <c r="C155" s="49"/>
      <c r="D155" s="123"/>
      <c r="E155" s="51" t="s">
        <v>13</v>
      </c>
      <c r="F155" s="51" t="str">
        <f>IF(ISNUMBER(E155),E155*$D155,"")</f>
        <v/>
      </c>
      <c r="G155" s="53"/>
      <c r="H155" s="38"/>
      <c r="I155" s="121">
        <v>0</v>
      </c>
    </row>
    <row r="156" spans="1:9" ht="15.75" hidden="1" thickBot="1" x14ac:dyDescent="0.3">
      <c r="A156" s="184" t="s">
        <v>10625</v>
      </c>
      <c r="B156" s="31" t="s">
        <v>13</v>
      </c>
      <c r="C156" s="32" t="s">
        <v>2880</v>
      </c>
      <c r="D156" s="120"/>
      <c r="E156" s="54" t="s">
        <v>13</v>
      </c>
      <c r="F156" s="54" t="str">
        <f>IF(ISNUMBER(E156),E156*$D156,"")</f>
        <v/>
      </c>
      <c r="G156" s="35"/>
      <c r="H156" s="36"/>
      <c r="I156" s="121">
        <v>0</v>
      </c>
    </row>
    <row r="157" spans="1:9" hidden="1" x14ac:dyDescent="0.25">
      <c r="A157" s="182"/>
      <c r="B157" s="39" t="s">
        <v>13</v>
      </c>
      <c r="C157" s="39"/>
      <c r="D157" s="122"/>
      <c r="E157" s="55" t="s">
        <v>13</v>
      </c>
      <c r="F157" s="38" t="str">
        <f>IF(ISNUMBER(E157),E157*$D157,"")</f>
        <v/>
      </c>
      <c r="G157" s="42"/>
      <c r="H157" s="38"/>
      <c r="I157" s="121">
        <v>0</v>
      </c>
    </row>
    <row r="158" spans="1:9" ht="25.5" hidden="1" x14ac:dyDescent="0.25">
      <c r="A158" s="182"/>
      <c r="B158" s="43" t="s">
        <v>10647</v>
      </c>
      <c r="C158" s="43" t="s">
        <v>2880</v>
      </c>
      <c r="D158" s="44">
        <v>1.36</v>
      </c>
      <c r="E158" s="41">
        <v>199.71849999999998</v>
      </c>
      <c r="F158" s="41">
        <f>IF(ISNUMBER(E158),E158*$D158,"")</f>
        <v>271.61716000000001</v>
      </c>
      <c r="G158" s="46">
        <f>SUM(F158:F164)</f>
        <v>787.99346570000023</v>
      </c>
      <c r="H158" s="59"/>
      <c r="I158" s="121">
        <v>0</v>
      </c>
    </row>
    <row r="159" spans="1:9" hidden="1" x14ac:dyDescent="0.25">
      <c r="A159" s="182"/>
      <c r="B159" s="43" t="s">
        <v>10648</v>
      </c>
      <c r="C159" s="43" t="s">
        <v>1044</v>
      </c>
      <c r="D159" s="44">
        <v>459.85</v>
      </c>
      <c r="E159" s="41">
        <v>0.64600000000000002</v>
      </c>
      <c r="F159" s="41">
        <f>IF(ISNUMBER(E159),E159*$D159,"")</f>
        <v>297.06310000000002</v>
      </c>
      <c r="G159" s="58"/>
      <c r="H159" s="59"/>
      <c r="I159" s="121">
        <v>0</v>
      </c>
    </row>
    <row r="160" spans="1:9" ht="25.5" hidden="1" x14ac:dyDescent="0.25">
      <c r="A160" s="182"/>
      <c r="B160" s="43" t="s">
        <v>10649</v>
      </c>
      <c r="C160" s="43" t="s">
        <v>2800</v>
      </c>
      <c r="D160" s="44">
        <v>4.8499999999999996</v>
      </c>
      <c r="E160" s="38">
        <v>25.745000000000001</v>
      </c>
      <c r="F160" s="41">
        <f>IF(ISNUMBER(E160),E160*$D160,"")</f>
        <v>124.86324999999999</v>
      </c>
      <c r="G160" s="58"/>
      <c r="H160" s="59"/>
      <c r="I160" s="121">
        <v>0</v>
      </c>
    </row>
    <row r="161" spans="1:9" ht="38.25" hidden="1" x14ac:dyDescent="0.25">
      <c r="A161" s="182"/>
      <c r="B161" s="43" t="s">
        <v>10650</v>
      </c>
      <c r="C161" s="43" t="s">
        <v>1050</v>
      </c>
      <c r="D161" s="44">
        <v>1.1299999999999999</v>
      </c>
      <c r="E161" s="38">
        <v>1.6435</v>
      </c>
      <c r="F161" s="41">
        <f>IF(ISNUMBER(E161),E161*$D161,"")</f>
        <v>1.8571549999999999</v>
      </c>
      <c r="G161" s="58"/>
      <c r="H161" s="59"/>
      <c r="I161" s="121">
        <v>0</v>
      </c>
    </row>
    <row r="162" spans="1:9" ht="38.25" hidden="1" x14ac:dyDescent="0.25">
      <c r="A162" s="182"/>
      <c r="B162" s="43" t="s">
        <v>10651</v>
      </c>
      <c r="C162" s="43" t="s">
        <v>10677</v>
      </c>
      <c r="D162" s="44">
        <v>3.72</v>
      </c>
      <c r="E162" s="38">
        <v>0.41799999999999998</v>
      </c>
      <c r="F162" s="41">
        <f>IF(ISNUMBER(E162),E162*$D162,"")</f>
        <v>1.5549600000000001</v>
      </c>
      <c r="G162" s="58"/>
      <c r="H162" s="59"/>
      <c r="I162" s="121">
        <v>0</v>
      </c>
    </row>
    <row r="163" spans="1:9" ht="51" hidden="1" x14ac:dyDescent="0.25">
      <c r="A163" s="182"/>
      <c r="B163" s="43" t="s">
        <v>10624</v>
      </c>
      <c r="C163" s="43" t="s">
        <v>2880</v>
      </c>
      <c r="D163" s="44">
        <f>ROUND(1*D158,4)</f>
        <v>1.36</v>
      </c>
      <c r="E163" s="38">
        <v>8.5522277500000001</v>
      </c>
      <c r="F163" s="41">
        <f>IF(ISNUMBER(E163),E163*$D163,"")</f>
        <v>11.631029740000001</v>
      </c>
      <c r="G163" s="58"/>
      <c r="H163" s="59"/>
      <c r="I163" s="121">
        <v>0</v>
      </c>
    </row>
    <row r="164" spans="1:9" ht="38.25" hidden="1" x14ac:dyDescent="0.25">
      <c r="A164" s="182"/>
      <c r="B164" s="43" t="s">
        <v>10622</v>
      </c>
      <c r="C164" s="62" t="s">
        <v>10676</v>
      </c>
      <c r="D164" s="44">
        <f>ROUND(D158*20,4)</f>
        <v>27.2</v>
      </c>
      <c r="E164" s="38">
        <v>2.9193680499999997</v>
      </c>
      <c r="F164" s="41">
        <f>IF(ISNUMBER(E164),E164*$D164,"")</f>
        <v>79.406810959999987</v>
      </c>
      <c r="G164" s="58"/>
      <c r="H164" s="59"/>
      <c r="I164" s="121">
        <v>0</v>
      </c>
    </row>
    <row r="165" spans="1:9" hidden="1" x14ac:dyDescent="0.25">
      <c r="A165" s="182"/>
      <c r="B165" s="61"/>
      <c r="C165" s="62"/>
      <c r="D165" s="44"/>
      <c r="E165" s="38" t="s">
        <v>13</v>
      </c>
      <c r="F165" s="41" t="str">
        <f>IF(ISNUMBER(E165),E165*$D165,"")</f>
        <v/>
      </c>
      <c r="G165" s="58"/>
      <c r="H165" s="59"/>
      <c r="I165" s="121">
        <v>0</v>
      </c>
    </row>
    <row r="166" spans="1:9" hidden="1" x14ac:dyDescent="0.25">
      <c r="A166" s="182"/>
      <c r="B166" s="4" t="s">
        <v>646</v>
      </c>
      <c r="C166" s="62"/>
      <c r="D166" s="44"/>
      <c r="E166" s="38" t="s">
        <v>13</v>
      </c>
      <c r="F166" s="41" t="str">
        <f>IF(ISNUMBER(E166),E166*$D166,"")</f>
        <v/>
      </c>
      <c r="G166" s="58"/>
      <c r="H166" s="59"/>
      <c r="I166" s="121">
        <v>0</v>
      </c>
    </row>
    <row r="167" spans="1:9" ht="15.75" hidden="1" thickBot="1" x14ac:dyDescent="0.3">
      <c r="A167" s="183"/>
      <c r="B167" s="49"/>
      <c r="C167" s="49"/>
      <c r="D167" s="123"/>
      <c r="E167" s="51" t="s">
        <v>13</v>
      </c>
      <c r="F167" s="51" t="str">
        <f>IF(ISNUMBER(E167),E167*$D167,"")</f>
        <v/>
      </c>
      <c r="G167" s="53"/>
      <c r="H167" s="38"/>
      <c r="I167" s="121">
        <v>0</v>
      </c>
    </row>
    <row r="168" spans="1:9" ht="15.75" hidden="1" thickBot="1" x14ac:dyDescent="0.3">
      <c r="A168" s="184" t="s">
        <v>10692</v>
      </c>
      <c r="B168" s="31" t="s">
        <v>13</v>
      </c>
      <c r="C168" s="32" t="s">
        <v>1044</v>
      </c>
      <c r="D168" s="120"/>
      <c r="E168" s="54" t="s">
        <v>13</v>
      </c>
      <c r="F168" s="54" t="str">
        <f>IF(ISNUMBER(E168),E168*$D168,"")</f>
        <v/>
      </c>
      <c r="G168" s="35"/>
      <c r="H168" s="36"/>
      <c r="I168" s="121">
        <v>0</v>
      </c>
    </row>
    <row r="169" spans="1:9" hidden="1" x14ac:dyDescent="0.25">
      <c r="A169" s="182"/>
      <c r="B169" s="39" t="s">
        <v>13</v>
      </c>
      <c r="C169" s="39"/>
      <c r="D169" s="122"/>
      <c r="E169" s="55" t="s">
        <v>13</v>
      </c>
      <c r="F169" s="38" t="str">
        <f>IF(ISNUMBER(E169),E169*$D169,"")</f>
        <v/>
      </c>
      <c r="G169" s="42"/>
      <c r="H169" s="38"/>
      <c r="I169" s="121">
        <v>0</v>
      </c>
    </row>
    <row r="170" spans="1:9" hidden="1" x14ac:dyDescent="0.25">
      <c r="A170" s="182"/>
      <c r="B170" s="43" t="s">
        <v>10768</v>
      </c>
      <c r="C170" s="43" t="s">
        <v>1044</v>
      </c>
      <c r="D170" s="44">
        <v>1.1100000000000001</v>
      </c>
      <c r="E170" s="41">
        <v>7.8185000000000002</v>
      </c>
      <c r="F170" s="41">
        <f>IF(ISNUMBER(E170),E170*$D170,"")</f>
        <v>8.6785350000000019</v>
      </c>
      <c r="G170" s="46">
        <f>SUM(F170:F172)</f>
        <v>9.2418451000000026</v>
      </c>
      <c r="H170" s="59"/>
      <c r="I170" s="121">
        <v>0</v>
      </c>
    </row>
    <row r="171" spans="1:9" hidden="1" x14ac:dyDescent="0.25">
      <c r="A171" s="182"/>
      <c r="B171" s="43" t="s">
        <v>10643</v>
      </c>
      <c r="C171" s="43" t="s">
        <v>2800</v>
      </c>
      <c r="D171" s="44">
        <v>2.5999999999999999E-3</v>
      </c>
      <c r="E171" s="41">
        <v>24.519499999999997</v>
      </c>
      <c r="F171" s="41">
        <f>IF(ISNUMBER(E171),E171*$D171,"")</f>
        <v>6.3750699999999993E-2</v>
      </c>
      <c r="G171" s="58"/>
      <c r="H171" s="59"/>
      <c r="I171" s="121">
        <v>0</v>
      </c>
    </row>
    <row r="172" spans="1:9" hidden="1" x14ac:dyDescent="0.25">
      <c r="A172" s="182"/>
      <c r="B172" s="43" t="s">
        <v>10644</v>
      </c>
      <c r="C172" s="43" t="s">
        <v>2800</v>
      </c>
      <c r="D172" s="44">
        <v>1.6199999999999999E-2</v>
      </c>
      <c r="E172" s="41">
        <v>30.837</v>
      </c>
      <c r="F172" s="41">
        <f>IF(ISNUMBER(E172),E172*$D172,"")</f>
        <v>0.49955939999999999</v>
      </c>
      <c r="G172" s="58"/>
      <c r="H172" s="59"/>
      <c r="I172" s="121">
        <v>0</v>
      </c>
    </row>
    <row r="173" spans="1:9" ht="15.75" hidden="1" thickBot="1" x14ac:dyDescent="0.3">
      <c r="A173" s="183"/>
      <c r="B173" s="49" t="s">
        <v>13</v>
      </c>
      <c r="C173" s="49"/>
      <c r="D173" s="123"/>
      <c r="E173" s="51" t="s">
        <v>13</v>
      </c>
      <c r="F173" s="51" t="str">
        <f>IF(ISNUMBER(E173),E173*$D173,"")</f>
        <v/>
      </c>
      <c r="G173" s="53"/>
      <c r="H173" s="38"/>
      <c r="I173" s="121">
        <v>0</v>
      </c>
    </row>
    <row r="174" spans="1:9" ht="15.75" hidden="1" thickBot="1" x14ac:dyDescent="0.3">
      <c r="A174" s="184" t="s">
        <v>10693</v>
      </c>
      <c r="B174" s="31" t="s">
        <v>13</v>
      </c>
      <c r="C174" s="32" t="s">
        <v>1044</v>
      </c>
      <c r="D174" s="120"/>
      <c r="E174" s="54" t="s">
        <v>13</v>
      </c>
      <c r="F174" s="54" t="str">
        <f>IF(ISNUMBER(E174),E174*$D174,"")</f>
        <v/>
      </c>
      <c r="G174" s="35"/>
      <c r="H174" s="36"/>
      <c r="I174" s="121">
        <v>0</v>
      </c>
    </row>
    <row r="175" spans="1:9" hidden="1" x14ac:dyDescent="0.25">
      <c r="A175" s="182"/>
      <c r="B175" s="39" t="s">
        <v>13</v>
      </c>
      <c r="C175" s="39"/>
      <c r="D175" s="122"/>
      <c r="E175" s="55" t="s">
        <v>13</v>
      </c>
      <c r="F175" s="38" t="str">
        <f>IF(ISNUMBER(E175),E175*$D175,"")</f>
        <v/>
      </c>
      <c r="G175" s="42"/>
      <c r="H175" s="38"/>
      <c r="I175" s="121">
        <v>0</v>
      </c>
    </row>
    <row r="176" spans="1:9" hidden="1" x14ac:dyDescent="0.25">
      <c r="A176" s="182"/>
      <c r="B176" s="43" t="s">
        <v>10667</v>
      </c>
      <c r="C176" s="43" t="s">
        <v>1044</v>
      </c>
      <c r="D176" s="44">
        <v>1.1100000000000001</v>
      </c>
      <c r="E176" s="41">
        <v>6.3839999999999995</v>
      </c>
      <c r="F176" s="41">
        <f>IF(ISNUMBER(E176),E176*$D176,"")</f>
        <v>7.0862400000000001</v>
      </c>
      <c r="G176" s="46">
        <f>SUM(F176:F178)</f>
        <v>7.2538732000000001</v>
      </c>
      <c r="H176" s="59"/>
      <c r="I176" s="121">
        <v>0</v>
      </c>
    </row>
    <row r="177" spans="1:9" hidden="1" x14ac:dyDescent="0.25">
      <c r="A177" s="182"/>
      <c r="B177" s="43" t="s">
        <v>10643</v>
      </c>
      <c r="C177" s="43" t="s">
        <v>2800</v>
      </c>
      <c r="D177" s="44">
        <v>8.0000000000000004E-4</v>
      </c>
      <c r="E177" s="41">
        <v>24.519499999999997</v>
      </c>
      <c r="F177" s="41">
        <f>IF(ISNUMBER(E177),E177*$D177,"")</f>
        <v>1.96156E-2</v>
      </c>
      <c r="G177" s="58"/>
      <c r="H177" s="59"/>
      <c r="I177" s="121">
        <v>0</v>
      </c>
    </row>
    <row r="178" spans="1:9" hidden="1" x14ac:dyDescent="0.25">
      <c r="A178" s="182"/>
      <c r="B178" s="43" t="s">
        <v>10644</v>
      </c>
      <c r="C178" s="43" t="s">
        <v>2800</v>
      </c>
      <c r="D178" s="44">
        <v>4.7999999999999996E-3</v>
      </c>
      <c r="E178" s="41">
        <v>30.837</v>
      </c>
      <c r="F178" s="41">
        <f>IF(ISNUMBER(E178),E178*$D178,"")</f>
        <v>0.1480176</v>
      </c>
      <c r="G178" s="58"/>
      <c r="H178" s="59"/>
      <c r="I178" s="121">
        <v>0</v>
      </c>
    </row>
    <row r="179" spans="1:9" ht="15.75" hidden="1" thickBot="1" x14ac:dyDescent="0.3">
      <c r="A179" s="183"/>
      <c r="B179" s="49" t="s">
        <v>13</v>
      </c>
      <c r="C179" s="49"/>
      <c r="D179" s="123"/>
      <c r="E179" s="51" t="s">
        <v>13</v>
      </c>
      <c r="F179" s="51" t="str">
        <f>IF(ISNUMBER(E179),E179*$D179,"")</f>
        <v/>
      </c>
      <c r="G179" s="53"/>
      <c r="H179" s="38"/>
      <c r="I179" s="121">
        <v>0</v>
      </c>
    </row>
    <row r="180" spans="1:9" ht="15.75" hidden="1" thickBot="1" x14ac:dyDescent="0.3">
      <c r="A180" s="184" t="s">
        <v>10635</v>
      </c>
      <c r="B180" s="31" t="s">
        <v>13</v>
      </c>
      <c r="C180" s="32" t="s">
        <v>1044</v>
      </c>
      <c r="D180" s="120"/>
      <c r="E180" s="54" t="s">
        <v>13</v>
      </c>
      <c r="F180" s="54" t="str">
        <f>IF(ISNUMBER(E180),E180*$D180,"")</f>
        <v/>
      </c>
      <c r="G180" s="35"/>
      <c r="H180" s="36"/>
      <c r="I180" s="121">
        <v>0</v>
      </c>
    </row>
    <row r="181" spans="1:9" hidden="1" x14ac:dyDescent="0.25">
      <c r="A181" s="182"/>
      <c r="B181" s="39" t="s">
        <v>13</v>
      </c>
      <c r="C181" s="39"/>
      <c r="D181" s="122"/>
      <c r="E181" s="55" t="s">
        <v>13</v>
      </c>
      <c r="F181" s="38" t="str">
        <f>IF(ISNUMBER(E181),E181*$D181,"")</f>
        <v/>
      </c>
      <c r="G181" s="42"/>
      <c r="H181" s="38"/>
      <c r="I181" s="121">
        <v>0</v>
      </c>
    </row>
    <row r="182" spans="1:9" hidden="1" x14ac:dyDescent="0.25">
      <c r="A182" s="182"/>
      <c r="B182" s="43" t="s">
        <v>10667</v>
      </c>
      <c r="C182" s="43" t="s">
        <v>1044</v>
      </c>
      <c r="D182" s="44">
        <v>1.1100000000000001</v>
      </c>
      <c r="E182" s="41">
        <v>6.3839999999999995</v>
      </c>
      <c r="F182" s="41">
        <f>IF(ISNUMBER(E182),E182*$D182,"")</f>
        <v>7.0862400000000001</v>
      </c>
      <c r="G182" s="46">
        <f>SUM(F182:F183)</f>
        <v>7.1633325000000001</v>
      </c>
      <c r="H182" s="59"/>
      <c r="I182" s="121">
        <v>0</v>
      </c>
    </row>
    <row r="183" spans="1:9" hidden="1" x14ac:dyDescent="0.25">
      <c r="A183" s="182"/>
      <c r="B183" s="43" t="s">
        <v>10644</v>
      </c>
      <c r="C183" s="43" t="s">
        <v>2800</v>
      </c>
      <c r="D183" s="44">
        <v>2.5000000000000001E-3</v>
      </c>
      <c r="E183" s="41">
        <v>30.837</v>
      </c>
      <c r="F183" s="41">
        <f>IF(ISNUMBER(E183),E183*$D183,"")</f>
        <v>7.7092499999999994E-2</v>
      </c>
      <c r="G183" s="58"/>
      <c r="H183" s="59"/>
      <c r="I183" s="121">
        <v>0</v>
      </c>
    </row>
    <row r="184" spans="1:9" ht="15.75" hidden="1" thickBot="1" x14ac:dyDescent="0.3">
      <c r="A184" s="183"/>
      <c r="B184" s="49" t="s">
        <v>13</v>
      </c>
      <c r="C184" s="49"/>
      <c r="D184" s="123"/>
      <c r="E184" s="51" t="s">
        <v>13</v>
      </c>
      <c r="F184" s="51" t="str">
        <f>IF(ISNUMBER(E184),E184*$D184,"")</f>
        <v/>
      </c>
      <c r="G184" s="53"/>
      <c r="H184" s="38"/>
      <c r="I184" s="121">
        <v>0</v>
      </c>
    </row>
    <row r="185" spans="1:9" ht="15.75" hidden="1" thickBot="1" x14ac:dyDescent="0.3">
      <c r="A185" s="184" t="s">
        <v>10694</v>
      </c>
      <c r="B185" s="31" t="s">
        <v>13</v>
      </c>
      <c r="C185" s="32" t="s">
        <v>10815</v>
      </c>
      <c r="D185" s="120"/>
      <c r="E185" s="54" t="s">
        <v>13</v>
      </c>
      <c r="F185" s="54" t="str">
        <f>IF(ISNUMBER(E185),E185*$D185,"")</f>
        <v/>
      </c>
      <c r="G185" s="35"/>
      <c r="H185" s="36"/>
      <c r="I185" s="121">
        <v>0</v>
      </c>
    </row>
    <row r="186" spans="1:9" hidden="1" x14ac:dyDescent="0.25">
      <c r="A186" s="182"/>
      <c r="B186" s="39" t="s">
        <v>13</v>
      </c>
      <c r="C186" s="39"/>
      <c r="D186" s="122"/>
      <c r="E186" s="55" t="s">
        <v>13</v>
      </c>
      <c r="F186" s="38" t="str">
        <f>IF(ISNUMBER(E186),E186*$D186,"")</f>
        <v/>
      </c>
      <c r="G186" s="42"/>
      <c r="H186" s="38"/>
      <c r="I186" s="121">
        <v>0</v>
      </c>
    </row>
    <row r="187" spans="1:9" hidden="1" x14ac:dyDescent="0.25">
      <c r="A187" s="182"/>
      <c r="B187" s="43" t="s">
        <v>10614</v>
      </c>
      <c r="C187" s="43" t="s">
        <v>2800</v>
      </c>
      <c r="D187" s="44">
        <v>0.61180000000000001</v>
      </c>
      <c r="E187" s="41">
        <v>23.693000000000001</v>
      </c>
      <c r="F187" s="41">
        <f>IF(ISNUMBER(E187),E187*$D187,"")</f>
        <v>14.495377400000001</v>
      </c>
      <c r="G187" s="46">
        <f>SUM(F187:F187)</f>
        <v>14.495377400000001</v>
      </c>
      <c r="H187" s="59"/>
      <c r="I187" s="121">
        <v>0</v>
      </c>
    </row>
    <row r="188" spans="1:9" ht="15.75" hidden="1" thickBot="1" x14ac:dyDescent="0.3">
      <c r="A188" s="183"/>
      <c r="B188" s="49" t="s">
        <v>13</v>
      </c>
      <c r="C188" s="49"/>
      <c r="D188" s="123"/>
      <c r="E188" s="51" t="s">
        <v>13</v>
      </c>
      <c r="F188" s="51" t="str">
        <f>IF(ISNUMBER(E188),E188*$D188,"")</f>
        <v/>
      </c>
      <c r="G188" s="53"/>
      <c r="H188" s="38"/>
      <c r="I188" s="121">
        <v>0</v>
      </c>
    </row>
    <row r="189" spans="1:9" ht="15.75" hidden="1" thickBot="1" x14ac:dyDescent="0.3">
      <c r="A189" s="184" t="s">
        <v>10695</v>
      </c>
      <c r="B189" s="31" t="s">
        <v>13</v>
      </c>
      <c r="C189" s="32" t="s">
        <v>2880</v>
      </c>
      <c r="D189" s="120"/>
      <c r="E189" s="54" t="s">
        <v>13</v>
      </c>
      <c r="F189" s="54" t="str">
        <f>IF(ISNUMBER(E189),E189*$D189,"")</f>
        <v/>
      </c>
      <c r="G189" s="35"/>
      <c r="H189" s="36"/>
      <c r="I189" s="121">
        <v>0</v>
      </c>
    </row>
    <row r="190" spans="1:9" hidden="1" x14ac:dyDescent="0.25">
      <c r="A190" s="182"/>
      <c r="B190" s="39" t="s">
        <v>13</v>
      </c>
      <c r="C190" s="39"/>
      <c r="D190" s="122"/>
      <c r="E190" s="55" t="s">
        <v>13</v>
      </c>
      <c r="F190" s="38" t="str">
        <f>IF(ISNUMBER(E190),E190*$D190,"")</f>
        <v/>
      </c>
      <c r="G190" s="42"/>
      <c r="H190" s="38"/>
      <c r="I190" s="121">
        <v>0</v>
      </c>
    </row>
    <row r="191" spans="1:9" hidden="1" x14ac:dyDescent="0.25">
      <c r="A191" s="182"/>
      <c r="B191" s="43" t="s">
        <v>10613</v>
      </c>
      <c r="C191" s="43" t="s">
        <v>2800</v>
      </c>
      <c r="D191" s="44">
        <v>2.4590000000000001</v>
      </c>
      <c r="E191" s="41">
        <v>30.628</v>
      </c>
      <c r="F191" s="41">
        <f>IF(ISNUMBER(E191),E191*$D191,"")</f>
        <v>75.314251999999996</v>
      </c>
      <c r="G191" s="46">
        <f>SUM(F191:F195)</f>
        <v>328.49380250000002</v>
      </c>
      <c r="H191" s="59"/>
      <c r="I191" s="121">
        <v>0</v>
      </c>
    </row>
    <row r="192" spans="1:9" hidden="1" x14ac:dyDescent="0.25">
      <c r="A192" s="182"/>
      <c r="B192" s="43" t="s">
        <v>10757</v>
      </c>
      <c r="C192" s="43" t="s">
        <v>2800</v>
      </c>
      <c r="D192" s="44">
        <v>2.4590000000000001</v>
      </c>
      <c r="E192" s="41">
        <v>31.055499999999995</v>
      </c>
      <c r="F192" s="41">
        <f>IF(ISNUMBER(E192),E192*$D192,"")</f>
        <v>76.365474499999991</v>
      </c>
      <c r="G192" s="58"/>
      <c r="H192" s="59"/>
      <c r="I192" s="121">
        <v>0</v>
      </c>
    </row>
    <row r="193" spans="1:9" hidden="1" x14ac:dyDescent="0.25">
      <c r="A193" s="182"/>
      <c r="B193" s="43" t="s">
        <v>10614</v>
      </c>
      <c r="C193" s="43" t="s">
        <v>2800</v>
      </c>
      <c r="D193" s="44">
        <v>7.3769999999999998</v>
      </c>
      <c r="E193" s="38">
        <v>23.693000000000001</v>
      </c>
      <c r="F193" s="41">
        <f>IF(ISNUMBER(E193),E193*$D193,"")</f>
        <v>174.78326100000001</v>
      </c>
      <c r="G193" s="58"/>
      <c r="H193" s="59"/>
      <c r="I193" s="121">
        <v>0</v>
      </c>
    </row>
    <row r="194" spans="1:9" ht="25.5" hidden="1" x14ac:dyDescent="0.25">
      <c r="A194" s="182"/>
      <c r="B194" s="43" t="s">
        <v>10769</v>
      </c>
      <c r="C194" s="43" t="s">
        <v>1050</v>
      </c>
      <c r="D194" s="44">
        <v>1.042</v>
      </c>
      <c r="E194" s="38">
        <v>1.2255</v>
      </c>
      <c r="F194" s="124">
        <f>IF(ISNUMBER(E194),E194*$D194,"")</f>
        <v>1.2769710000000001</v>
      </c>
      <c r="G194" s="58"/>
      <c r="H194" s="59"/>
      <c r="I194" s="121">
        <v>0</v>
      </c>
    </row>
    <row r="195" spans="1:9" ht="25.5" hidden="1" x14ac:dyDescent="0.25">
      <c r="A195" s="182"/>
      <c r="B195" s="43" t="s">
        <v>10770</v>
      </c>
      <c r="C195" s="43" t="s">
        <v>10677</v>
      </c>
      <c r="D195" s="44">
        <v>1.417</v>
      </c>
      <c r="E195" s="38">
        <v>0.53200000000000003</v>
      </c>
      <c r="F195" s="124">
        <f>IF(ISNUMBER(E195),E195*$D195,"")</f>
        <v>0.75384400000000007</v>
      </c>
      <c r="G195" s="58"/>
      <c r="H195" s="59"/>
      <c r="I195" s="121">
        <v>0</v>
      </c>
    </row>
    <row r="196" spans="1:9" ht="15.75" hidden="1" thickBot="1" x14ac:dyDescent="0.3">
      <c r="A196" s="183"/>
      <c r="B196" s="49"/>
      <c r="C196" s="49"/>
      <c r="D196" s="123"/>
      <c r="E196" s="51" t="s">
        <v>13</v>
      </c>
      <c r="F196" s="51" t="str">
        <f>IF(ISNUMBER(E196),E196*$D196,"")</f>
        <v/>
      </c>
      <c r="G196" s="53"/>
      <c r="H196" s="38"/>
      <c r="I196" s="121">
        <v>0</v>
      </c>
    </row>
    <row r="197" spans="1:9" ht="15.75" hidden="1" thickBot="1" x14ac:dyDescent="0.3">
      <c r="A197" s="184" t="s">
        <v>10622</v>
      </c>
      <c r="B197" s="31" t="s">
        <v>13</v>
      </c>
      <c r="C197" s="32" t="s">
        <v>10676</v>
      </c>
      <c r="D197" s="120"/>
      <c r="E197" s="54" t="s">
        <v>13</v>
      </c>
      <c r="F197" s="54" t="str">
        <f>IF(ISNUMBER(E197),E197*$D197,"")</f>
        <v/>
      </c>
      <c r="G197" s="35"/>
      <c r="H197" s="36"/>
      <c r="I197" s="121">
        <v>0</v>
      </c>
    </row>
    <row r="198" spans="1:9" hidden="1" x14ac:dyDescent="0.25">
      <c r="A198" s="182"/>
      <c r="B198" s="39" t="s">
        <v>13</v>
      </c>
      <c r="C198" s="39"/>
      <c r="D198" s="122"/>
      <c r="E198" s="55" t="s">
        <v>13</v>
      </c>
      <c r="F198" s="38" t="str">
        <f>IF(ISNUMBER(E198),E198*$D198,"")</f>
        <v/>
      </c>
      <c r="G198" s="42"/>
      <c r="H198" s="38"/>
      <c r="I198" s="121">
        <v>0</v>
      </c>
    </row>
    <row r="199" spans="1:9" ht="51" hidden="1" x14ac:dyDescent="0.25">
      <c r="A199" s="182"/>
      <c r="B199" s="43" t="s">
        <v>10640</v>
      </c>
      <c r="C199" s="43" t="s">
        <v>1050</v>
      </c>
      <c r="D199" s="44">
        <v>1.3899999999999999E-2</v>
      </c>
      <c r="E199" s="41">
        <v>182.21949999999998</v>
      </c>
      <c r="F199" s="41">
        <f>IF(ISNUMBER(E199),E199*$D199,"")</f>
        <v>2.5328510499999997</v>
      </c>
      <c r="G199" s="46">
        <f>SUM(F199:F200)</f>
        <v>2.9193680499999997</v>
      </c>
      <c r="H199" s="59"/>
      <c r="I199" s="121">
        <v>0</v>
      </c>
    </row>
    <row r="200" spans="1:9" ht="51" hidden="1" x14ac:dyDescent="0.25">
      <c r="A200" s="182"/>
      <c r="B200" s="43" t="s">
        <v>10641</v>
      </c>
      <c r="C200" s="43" t="s">
        <v>10677</v>
      </c>
      <c r="D200" s="44">
        <v>6.0000000000000001E-3</v>
      </c>
      <c r="E200" s="41">
        <v>64.419499999999999</v>
      </c>
      <c r="F200" s="41">
        <f>IF(ISNUMBER(E200),E200*$D200,"")</f>
        <v>0.386517</v>
      </c>
      <c r="G200" s="58"/>
      <c r="H200" s="59"/>
      <c r="I200" s="121">
        <v>0</v>
      </c>
    </row>
    <row r="201" spans="1:9" ht="15.75" hidden="1" thickBot="1" x14ac:dyDescent="0.3">
      <c r="A201" s="183"/>
      <c r="B201" s="49" t="s">
        <v>13</v>
      </c>
      <c r="C201" s="49"/>
      <c r="D201" s="123"/>
      <c r="E201" s="51" t="s">
        <v>13</v>
      </c>
      <c r="F201" s="51" t="str">
        <f>IF(ISNUMBER(E201),E201*$D201,"")</f>
        <v/>
      </c>
      <c r="G201" s="53"/>
      <c r="H201" s="38"/>
      <c r="I201" s="121">
        <v>0</v>
      </c>
    </row>
    <row r="202" spans="1:9" ht="15.75" hidden="1" thickBot="1" x14ac:dyDescent="0.3">
      <c r="A202" s="184" t="s">
        <v>10696</v>
      </c>
      <c r="B202" s="31" t="s">
        <v>13</v>
      </c>
      <c r="C202" s="32" t="s">
        <v>10816</v>
      </c>
      <c r="D202" s="120"/>
      <c r="E202" s="54" t="s">
        <v>13</v>
      </c>
      <c r="F202" s="54" t="str">
        <f>IF(ISNUMBER(E202),E202*$D202,"")</f>
        <v/>
      </c>
      <c r="G202" s="35"/>
      <c r="H202" s="36"/>
      <c r="I202" s="121">
        <v>0</v>
      </c>
    </row>
    <row r="203" spans="1:9" hidden="1" x14ac:dyDescent="0.25">
      <c r="A203" s="182"/>
      <c r="B203" s="39" t="s">
        <v>13</v>
      </c>
      <c r="C203" s="39"/>
      <c r="D203" s="122"/>
      <c r="E203" s="55" t="s">
        <v>13</v>
      </c>
      <c r="F203" s="38" t="str">
        <f>IF(ISNUMBER(E203),E203*$D203,"")</f>
        <v/>
      </c>
      <c r="G203" s="42"/>
      <c r="H203" s="38"/>
      <c r="I203" s="121">
        <v>0</v>
      </c>
    </row>
    <row r="204" spans="1:9" ht="51" hidden="1" x14ac:dyDescent="0.25">
      <c r="A204" s="182"/>
      <c r="B204" s="43" t="s">
        <v>10640</v>
      </c>
      <c r="C204" s="43" t="s">
        <v>1050</v>
      </c>
      <c r="D204" s="44">
        <v>9.2999999999999992E-3</v>
      </c>
      <c r="E204" s="41">
        <v>182.21949999999998</v>
      </c>
      <c r="F204" s="41">
        <f>IF(ISNUMBER(E204),E204*$D204,"")</f>
        <v>1.6946413499999997</v>
      </c>
      <c r="G204" s="46">
        <f>SUM(F204:F205)</f>
        <v>1.9523193499999998</v>
      </c>
      <c r="H204" s="59"/>
      <c r="I204" s="121">
        <v>0</v>
      </c>
    </row>
    <row r="205" spans="1:9" ht="51" hidden="1" x14ac:dyDescent="0.25">
      <c r="A205" s="182"/>
      <c r="B205" s="43" t="s">
        <v>10641</v>
      </c>
      <c r="C205" s="43" t="s">
        <v>10677</v>
      </c>
      <c r="D205" s="44">
        <v>4.0000000000000001E-3</v>
      </c>
      <c r="E205" s="41">
        <v>64.419499999999999</v>
      </c>
      <c r="F205" s="41">
        <f>IF(ISNUMBER(E205),E205*$D205,"")</f>
        <v>0.25767800000000002</v>
      </c>
      <c r="G205" s="58"/>
      <c r="H205" s="59"/>
      <c r="I205" s="121">
        <v>0</v>
      </c>
    </row>
    <row r="206" spans="1:9" ht="15.75" hidden="1" thickBot="1" x14ac:dyDescent="0.3">
      <c r="A206" s="183"/>
      <c r="B206" s="49" t="s">
        <v>13</v>
      </c>
      <c r="C206" s="49"/>
      <c r="D206" s="123"/>
      <c r="E206" s="51" t="s">
        <v>13</v>
      </c>
      <c r="F206" s="51" t="str">
        <f>IF(ISNUMBER(E206),E206*$D206,"")</f>
        <v/>
      </c>
      <c r="G206" s="53"/>
      <c r="H206" s="38"/>
      <c r="I206" s="121">
        <v>0</v>
      </c>
    </row>
    <row r="207" spans="1:9" ht="15.75" hidden="1" thickBot="1" x14ac:dyDescent="0.3">
      <c r="A207" s="184" t="s">
        <v>10697</v>
      </c>
      <c r="B207" s="31" t="s">
        <v>13</v>
      </c>
      <c r="C207" s="32" t="s">
        <v>2880</v>
      </c>
      <c r="D207" s="120"/>
      <c r="E207" s="54" t="s">
        <v>13</v>
      </c>
      <c r="F207" s="54" t="str">
        <f>IF(ISNUMBER(E207),E207*$D207,"")</f>
        <v/>
      </c>
      <c r="G207" s="35"/>
      <c r="H207" s="36"/>
      <c r="I207" s="121">
        <v>0</v>
      </c>
    </row>
    <row r="208" spans="1:9" hidden="1" x14ac:dyDescent="0.25">
      <c r="A208" s="182"/>
      <c r="B208" s="39" t="s">
        <v>13</v>
      </c>
      <c r="C208" s="39"/>
      <c r="D208" s="122"/>
      <c r="E208" s="55" t="s">
        <v>13</v>
      </c>
      <c r="F208" s="38" t="str">
        <f>IF(ISNUMBER(E208),E208*$D208,"")</f>
        <v/>
      </c>
      <c r="G208" s="42"/>
      <c r="H208" s="38"/>
      <c r="I208" s="121">
        <v>0</v>
      </c>
    </row>
    <row r="209" spans="1:9" ht="25.5" hidden="1" x14ac:dyDescent="0.25">
      <c r="A209" s="182"/>
      <c r="B209" s="43" t="s">
        <v>10647</v>
      </c>
      <c r="C209" s="43" t="s">
        <v>2880</v>
      </c>
      <c r="D209" s="44">
        <v>0.76090000000000002</v>
      </c>
      <c r="E209" s="41">
        <v>199.71849999999998</v>
      </c>
      <c r="F209" s="41">
        <f>IF(ISNUMBER(E209),E209*$D209,"")</f>
        <v>151.96580664999999</v>
      </c>
      <c r="G209" s="46">
        <f>SUM(F209:F217)</f>
        <v>652.89816514887502</v>
      </c>
      <c r="H209" s="59"/>
      <c r="I209" s="121">
        <v>0</v>
      </c>
    </row>
    <row r="210" spans="1:9" hidden="1" x14ac:dyDescent="0.25">
      <c r="A210" s="182"/>
      <c r="B210" s="43" t="s">
        <v>10648</v>
      </c>
      <c r="C210" s="43" t="s">
        <v>1044</v>
      </c>
      <c r="D210" s="44">
        <v>325.15890000000002</v>
      </c>
      <c r="E210" s="41">
        <v>0.64600000000000002</v>
      </c>
      <c r="F210" s="41">
        <f>IF(ISNUMBER(E210),E210*$D210,"")</f>
        <v>210.05264940000001</v>
      </c>
      <c r="G210" s="58"/>
      <c r="H210" s="59"/>
      <c r="I210" s="121">
        <v>0</v>
      </c>
    </row>
    <row r="211" spans="1:9" ht="25.5" hidden="1" x14ac:dyDescent="0.25">
      <c r="A211" s="182"/>
      <c r="B211" s="43" t="s">
        <v>10662</v>
      </c>
      <c r="C211" s="43" t="s">
        <v>2880</v>
      </c>
      <c r="D211" s="44">
        <v>0.59119999999999995</v>
      </c>
      <c r="E211" s="41">
        <v>194.8355</v>
      </c>
      <c r="F211" s="41">
        <f>IF(ISNUMBER(E211),E211*$D211,"")</f>
        <v>115.18674759999999</v>
      </c>
      <c r="G211" s="58"/>
      <c r="H211" s="59"/>
      <c r="I211" s="121">
        <v>0</v>
      </c>
    </row>
    <row r="212" spans="1:9" hidden="1" x14ac:dyDescent="0.25">
      <c r="A212" s="182"/>
      <c r="B212" s="43" t="s">
        <v>10614</v>
      </c>
      <c r="C212" s="43" t="s">
        <v>2800</v>
      </c>
      <c r="D212" s="44">
        <v>2.0266999999999999</v>
      </c>
      <c r="E212" s="38">
        <v>23.693000000000001</v>
      </c>
      <c r="F212" s="41">
        <f>IF(ISNUMBER(E212),E212*$D212,"")</f>
        <v>48.0186031</v>
      </c>
      <c r="G212" s="58"/>
      <c r="H212" s="59"/>
      <c r="I212" s="121">
        <v>0</v>
      </c>
    </row>
    <row r="213" spans="1:9" ht="25.5" hidden="1" x14ac:dyDescent="0.25">
      <c r="A213" s="182"/>
      <c r="B213" s="43" t="s">
        <v>10649</v>
      </c>
      <c r="C213" s="43" t="s">
        <v>2800</v>
      </c>
      <c r="D213" s="44">
        <v>1.2767999999999999</v>
      </c>
      <c r="E213" s="38">
        <v>25.745000000000001</v>
      </c>
      <c r="F213" s="124">
        <f>IF(ISNUMBER(E213),E213*$D213,"")</f>
        <v>32.871215999999997</v>
      </c>
      <c r="G213" s="58"/>
      <c r="H213" s="59"/>
      <c r="I213" s="121">
        <v>0</v>
      </c>
    </row>
    <row r="214" spans="1:9" ht="38.25" hidden="1" x14ac:dyDescent="0.25">
      <c r="A214" s="182"/>
      <c r="B214" s="43" t="s">
        <v>10663</v>
      </c>
      <c r="C214" s="43" t="s">
        <v>1050</v>
      </c>
      <c r="D214" s="44">
        <v>0.65720000000000001</v>
      </c>
      <c r="E214" s="38">
        <v>4.9305000000000003</v>
      </c>
      <c r="F214" s="124">
        <f>IF(ISNUMBER(E214),E214*$D214,"")</f>
        <v>3.2403246000000001</v>
      </c>
      <c r="G214" s="58"/>
      <c r="H214" s="59"/>
      <c r="I214" s="121">
        <v>0</v>
      </c>
    </row>
    <row r="215" spans="1:9" ht="38.25" hidden="1" x14ac:dyDescent="0.25">
      <c r="A215" s="182"/>
      <c r="B215" s="43" t="s">
        <v>10664</v>
      </c>
      <c r="C215" s="43" t="s">
        <v>10677</v>
      </c>
      <c r="D215" s="44">
        <v>0.61970000000000003</v>
      </c>
      <c r="E215" s="38">
        <v>1.7004999999999999</v>
      </c>
      <c r="F215" s="41">
        <f>IF(ISNUMBER(E215),E215*$D215,"")</f>
        <v>1.0537998500000001</v>
      </c>
      <c r="G215" s="58"/>
      <c r="H215" s="59"/>
      <c r="I215" s="121">
        <v>0</v>
      </c>
    </row>
    <row r="216" spans="1:9" ht="51" hidden="1" x14ac:dyDescent="0.25">
      <c r="A216" s="182"/>
      <c r="B216" s="43" t="s">
        <v>10624</v>
      </c>
      <c r="C216" s="43" t="s">
        <v>2880</v>
      </c>
      <c r="D216" s="44">
        <f>ROUND(1*(D209+D211),4)</f>
        <v>1.3521000000000001</v>
      </c>
      <c r="E216" s="38">
        <v>8.5522277500000001</v>
      </c>
      <c r="F216" s="41">
        <f>IF(ISNUMBER(E216),E216*$D216,"")</f>
        <v>11.563467140775002</v>
      </c>
      <c r="G216" s="58"/>
      <c r="H216" s="59"/>
      <c r="I216" s="121">
        <v>0</v>
      </c>
    </row>
    <row r="217" spans="1:9" ht="38.25" hidden="1" x14ac:dyDescent="0.25">
      <c r="A217" s="182"/>
      <c r="B217" s="43" t="s">
        <v>10622</v>
      </c>
      <c r="C217" s="62" t="s">
        <v>10676</v>
      </c>
      <c r="D217" s="44">
        <f>ROUND((D209+D211)*20,4)</f>
        <v>27.042000000000002</v>
      </c>
      <c r="E217" s="38">
        <v>2.9193680499999997</v>
      </c>
      <c r="F217" s="41">
        <f>IF(ISNUMBER(E217),E217*$D217,"")</f>
        <v>78.945550808099995</v>
      </c>
      <c r="G217" s="58"/>
      <c r="H217" s="59"/>
      <c r="I217" s="121">
        <v>0</v>
      </c>
    </row>
    <row r="218" spans="1:9" hidden="1" x14ac:dyDescent="0.25">
      <c r="A218" s="182"/>
      <c r="B218" s="61"/>
      <c r="C218" s="62"/>
      <c r="D218" s="44"/>
      <c r="E218" s="38" t="s">
        <v>13</v>
      </c>
      <c r="F218" s="41" t="str">
        <f>IF(ISNUMBER(E218),E218*$D218,"")</f>
        <v/>
      </c>
      <c r="G218" s="58"/>
      <c r="H218" s="59"/>
      <c r="I218" s="121">
        <v>0</v>
      </c>
    </row>
    <row r="219" spans="1:9" ht="25.5" hidden="1" x14ac:dyDescent="0.25">
      <c r="A219" s="182"/>
      <c r="B219" s="4" t="s">
        <v>78</v>
      </c>
      <c r="C219" s="62"/>
      <c r="D219" s="44"/>
      <c r="E219" s="38" t="s">
        <v>13</v>
      </c>
      <c r="F219" s="41" t="str">
        <f>IF(ISNUMBER(E219),E219*$D219,"")</f>
        <v/>
      </c>
      <c r="G219" s="58"/>
      <c r="H219" s="59"/>
      <c r="I219" s="121">
        <v>0</v>
      </c>
    </row>
    <row r="220" spans="1:9" ht="15.75" hidden="1" thickBot="1" x14ac:dyDescent="0.3">
      <c r="A220" s="183"/>
      <c r="B220" s="49" t="s">
        <v>13</v>
      </c>
      <c r="C220" s="49"/>
      <c r="D220" s="123"/>
      <c r="E220" s="51" t="s">
        <v>13</v>
      </c>
      <c r="F220" s="51" t="str">
        <f>IF(ISNUMBER(E220),E220*$D220,"")</f>
        <v/>
      </c>
      <c r="G220" s="53"/>
      <c r="H220" s="38"/>
      <c r="I220" s="121">
        <v>0</v>
      </c>
    </row>
    <row r="221" spans="1:9" ht="15.75" hidden="1" thickBot="1" x14ac:dyDescent="0.3">
      <c r="A221" s="184" t="s">
        <v>10698</v>
      </c>
      <c r="B221" s="31" t="s">
        <v>13</v>
      </c>
      <c r="C221" s="32" t="s">
        <v>2880</v>
      </c>
      <c r="D221" s="120"/>
      <c r="E221" s="54" t="s">
        <v>13</v>
      </c>
      <c r="F221" s="54" t="str">
        <f>IF(ISNUMBER(E221),E221*$D221,"")</f>
        <v/>
      </c>
      <c r="G221" s="35"/>
      <c r="H221" s="36"/>
      <c r="I221" s="121">
        <v>0</v>
      </c>
    </row>
    <row r="222" spans="1:9" hidden="1" x14ac:dyDescent="0.25">
      <c r="A222" s="182"/>
      <c r="B222" s="39" t="s">
        <v>13</v>
      </c>
      <c r="C222" s="39"/>
      <c r="D222" s="122"/>
      <c r="E222" s="55" t="s">
        <v>13</v>
      </c>
      <c r="F222" s="38" t="str">
        <f>IF(ISNUMBER(E222),E222*$D222,"")</f>
        <v/>
      </c>
      <c r="G222" s="42"/>
      <c r="H222" s="38"/>
      <c r="I222" s="121">
        <v>0</v>
      </c>
    </row>
    <row r="223" spans="1:9" ht="25.5" hidden="1" x14ac:dyDescent="0.25">
      <c r="A223" s="182"/>
      <c r="B223" s="43" t="s">
        <v>10647</v>
      </c>
      <c r="C223" s="43" t="s">
        <v>2880</v>
      </c>
      <c r="D223" s="44">
        <v>0.82689999999999997</v>
      </c>
      <c r="E223" s="41">
        <v>199.71849999999998</v>
      </c>
      <c r="F223" s="41">
        <f>IF(ISNUMBER(E223),E223*$D223,"")</f>
        <v>165.14722764999996</v>
      </c>
      <c r="G223" s="46">
        <f>SUM(F223:F231)</f>
        <v>604.0264871526249</v>
      </c>
      <c r="H223" s="59"/>
      <c r="I223" s="121">
        <v>0</v>
      </c>
    </row>
    <row r="224" spans="1:9" hidden="1" x14ac:dyDescent="0.25">
      <c r="A224" s="182"/>
      <c r="B224" s="43" t="s">
        <v>10648</v>
      </c>
      <c r="C224" s="43" t="s">
        <v>1044</v>
      </c>
      <c r="D224" s="44">
        <v>212.01939999999999</v>
      </c>
      <c r="E224" s="41">
        <v>0.64600000000000002</v>
      </c>
      <c r="F224" s="41">
        <f>IF(ISNUMBER(E224),E224*$D224,"")</f>
        <v>136.9645324</v>
      </c>
      <c r="G224" s="58"/>
      <c r="H224" s="59"/>
      <c r="I224" s="121">
        <v>0</v>
      </c>
    </row>
    <row r="225" spans="1:9" ht="25.5" hidden="1" x14ac:dyDescent="0.25">
      <c r="A225" s="182"/>
      <c r="B225" s="43" t="s">
        <v>10662</v>
      </c>
      <c r="C225" s="43" t="s">
        <v>2880</v>
      </c>
      <c r="D225" s="44">
        <v>0.57820000000000005</v>
      </c>
      <c r="E225" s="41">
        <v>194.8355</v>
      </c>
      <c r="F225" s="41">
        <f>IF(ISNUMBER(E225),E225*$D225,"")</f>
        <v>112.65388610000001</v>
      </c>
      <c r="G225" s="58"/>
      <c r="H225" s="59"/>
      <c r="I225" s="121">
        <v>0</v>
      </c>
    </row>
    <row r="226" spans="1:9" hidden="1" x14ac:dyDescent="0.25">
      <c r="A226" s="182"/>
      <c r="B226" s="43" t="s">
        <v>10614</v>
      </c>
      <c r="C226" s="43" t="s">
        <v>2800</v>
      </c>
      <c r="D226" s="44">
        <v>2.3433000000000002</v>
      </c>
      <c r="E226" s="38">
        <v>23.693000000000001</v>
      </c>
      <c r="F226" s="41">
        <f>IF(ISNUMBER(E226),E226*$D226,"")</f>
        <v>55.519806900000006</v>
      </c>
      <c r="G226" s="58"/>
      <c r="H226" s="59"/>
      <c r="I226" s="121">
        <v>0</v>
      </c>
    </row>
    <row r="227" spans="1:9" ht="25.5" hidden="1" x14ac:dyDescent="0.25">
      <c r="A227" s="182"/>
      <c r="B227" s="43" t="s">
        <v>10649</v>
      </c>
      <c r="C227" s="43" t="s">
        <v>2800</v>
      </c>
      <c r="D227" s="44">
        <v>1.4811000000000001</v>
      </c>
      <c r="E227" s="38">
        <v>25.745000000000001</v>
      </c>
      <c r="F227" s="124">
        <f>IF(ISNUMBER(E227),E227*$D227,"")</f>
        <v>38.130919500000005</v>
      </c>
      <c r="G227" s="58"/>
      <c r="H227" s="59"/>
      <c r="I227" s="121">
        <v>0</v>
      </c>
    </row>
    <row r="228" spans="1:9" ht="38.25" hidden="1" x14ac:dyDescent="0.25">
      <c r="A228" s="182"/>
      <c r="B228" s="43" t="s">
        <v>10650</v>
      </c>
      <c r="C228" s="43" t="s">
        <v>1050</v>
      </c>
      <c r="D228" s="44">
        <v>0.76229999999999998</v>
      </c>
      <c r="E228" s="38">
        <v>1.6435</v>
      </c>
      <c r="F228" s="124">
        <f>IF(ISNUMBER(E228),E228*$D228,"")</f>
        <v>1.2528400499999999</v>
      </c>
      <c r="G228" s="58"/>
      <c r="H228" s="59"/>
      <c r="I228" s="121">
        <v>0</v>
      </c>
    </row>
    <row r="229" spans="1:9" ht="38.25" hidden="1" x14ac:dyDescent="0.25">
      <c r="A229" s="182"/>
      <c r="B229" s="43" t="s">
        <v>10651</v>
      </c>
      <c r="C229" s="43" t="s">
        <v>10677</v>
      </c>
      <c r="D229" s="44">
        <v>0.71879999999999999</v>
      </c>
      <c r="E229" s="38">
        <v>0.41799999999999998</v>
      </c>
      <c r="F229" s="41">
        <f>IF(ISNUMBER(E229),E229*$D229,"")</f>
        <v>0.30045839999999996</v>
      </c>
      <c r="G229" s="58"/>
      <c r="H229" s="59"/>
      <c r="I229" s="121">
        <v>0</v>
      </c>
    </row>
    <row r="230" spans="1:9" ht="51" hidden="1" x14ac:dyDescent="0.25">
      <c r="A230" s="182"/>
      <c r="B230" s="43" t="s">
        <v>10624</v>
      </c>
      <c r="C230" s="43" t="s">
        <v>2880</v>
      </c>
      <c r="D230" s="44">
        <f>ROUND(1*(D223+D225),4)</f>
        <v>1.4051</v>
      </c>
      <c r="E230" s="38">
        <v>8.5522277500000001</v>
      </c>
      <c r="F230" s="41">
        <f>IF(ISNUMBER(E230),E230*$D230,"")</f>
        <v>12.016735211525001</v>
      </c>
      <c r="G230" s="58"/>
      <c r="H230" s="59"/>
      <c r="I230" s="121">
        <v>0</v>
      </c>
    </row>
    <row r="231" spans="1:9" ht="38.25" hidden="1" x14ac:dyDescent="0.25">
      <c r="A231" s="182"/>
      <c r="B231" s="43" t="s">
        <v>10622</v>
      </c>
      <c r="C231" s="62" t="s">
        <v>10676</v>
      </c>
      <c r="D231" s="44">
        <f>ROUND((D223+D225)*20,4)</f>
        <v>28.102</v>
      </c>
      <c r="E231" s="38">
        <v>2.9193680499999997</v>
      </c>
      <c r="F231" s="41">
        <f>IF(ISNUMBER(E231),E231*$D231,"")</f>
        <v>82.040080941099987</v>
      </c>
      <c r="G231" s="58"/>
      <c r="H231" s="59"/>
      <c r="I231" s="121">
        <v>0</v>
      </c>
    </row>
    <row r="232" spans="1:9" hidden="1" x14ac:dyDescent="0.25">
      <c r="A232" s="182"/>
      <c r="B232" s="61"/>
      <c r="C232" s="62"/>
      <c r="D232" s="44"/>
      <c r="E232" s="38" t="s">
        <v>13</v>
      </c>
      <c r="F232" s="41" t="str">
        <f>IF(ISNUMBER(E232),E232*$D232,"")</f>
        <v/>
      </c>
      <c r="G232" s="58"/>
      <c r="H232" s="59"/>
      <c r="I232" s="121">
        <v>0</v>
      </c>
    </row>
    <row r="233" spans="1:9" ht="25.5" hidden="1" x14ac:dyDescent="0.25">
      <c r="A233" s="182"/>
      <c r="B233" s="4" t="s">
        <v>78</v>
      </c>
      <c r="C233" s="62"/>
      <c r="D233" s="44"/>
      <c r="E233" s="38" t="s">
        <v>13</v>
      </c>
      <c r="F233" s="41" t="str">
        <f>IF(ISNUMBER(E233),E233*$D233,"")</f>
        <v/>
      </c>
      <c r="G233" s="58"/>
      <c r="H233" s="59"/>
      <c r="I233" s="121">
        <v>0</v>
      </c>
    </row>
    <row r="234" spans="1:9" ht="15.75" hidden="1" thickBot="1" x14ac:dyDescent="0.3">
      <c r="A234" s="183"/>
      <c r="B234" s="49" t="s">
        <v>13</v>
      </c>
      <c r="C234" s="49"/>
      <c r="D234" s="123"/>
      <c r="E234" s="51" t="s">
        <v>13</v>
      </c>
      <c r="F234" s="51" t="str">
        <f>IF(ISNUMBER(E234),E234*$D234,"")</f>
        <v/>
      </c>
      <c r="G234" s="53"/>
      <c r="H234" s="38"/>
      <c r="I234" s="121">
        <v>0</v>
      </c>
    </row>
    <row r="235" spans="1:9" ht="15.75" hidden="1" thickBot="1" x14ac:dyDescent="0.3">
      <c r="A235" s="184" t="s">
        <v>10699</v>
      </c>
      <c r="B235" s="31" t="s">
        <v>13</v>
      </c>
      <c r="C235" s="32" t="s">
        <v>2880</v>
      </c>
      <c r="D235" s="120"/>
      <c r="E235" s="54" t="s">
        <v>13</v>
      </c>
      <c r="F235" s="60" t="str">
        <f>IF(ISNUMBER(E235),E235*$D235,"")</f>
        <v/>
      </c>
      <c r="G235" s="35"/>
      <c r="H235" s="36"/>
      <c r="I235" s="121">
        <v>0</v>
      </c>
    </row>
    <row r="236" spans="1:9" hidden="1" x14ac:dyDescent="0.25">
      <c r="A236" s="182"/>
      <c r="B236" s="39" t="s">
        <v>13</v>
      </c>
      <c r="C236" s="39"/>
      <c r="D236" s="122"/>
      <c r="E236" s="55" t="s">
        <v>13</v>
      </c>
      <c r="F236" s="38" t="str">
        <f>IF(ISNUMBER(E236),E236*$D236,"")</f>
        <v/>
      </c>
      <c r="G236" s="42"/>
      <c r="H236" s="38"/>
      <c r="I236" s="121">
        <v>0</v>
      </c>
    </row>
    <row r="237" spans="1:9" ht="25.5" hidden="1" x14ac:dyDescent="0.25">
      <c r="A237" s="182"/>
      <c r="B237" s="43" t="s">
        <v>10658</v>
      </c>
      <c r="C237" s="43" t="s">
        <v>2880</v>
      </c>
      <c r="D237" s="44">
        <v>0.57979999999999998</v>
      </c>
      <c r="E237" s="41">
        <v>202.32149999999999</v>
      </c>
      <c r="F237" s="41">
        <f>IF(ISNUMBER(E237),E237*$D237,"")</f>
        <v>117.30600569999999</v>
      </c>
      <c r="G237" s="46">
        <f>SUM(F237:F246)</f>
        <v>776.60634962849986</v>
      </c>
      <c r="H237" s="59"/>
      <c r="I237" s="121">
        <v>0</v>
      </c>
    </row>
    <row r="238" spans="1:9" hidden="1" x14ac:dyDescent="0.25">
      <c r="A238" s="182"/>
      <c r="B238" s="43" t="s">
        <v>10659</v>
      </c>
      <c r="C238" s="43" t="s">
        <v>1044</v>
      </c>
      <c r="D238" s="44">
        <v>12.3698</v>
      </c>
      <c r="E238" s="41">
        <v>1.4724999999999999</v>
      </c>
      <c r="F238" s="41">
        <f>IF(ISNUMBER(E238),E238*$D238,"")</f>
        <v>18.214530499999999</v>
      </c>
      <c r="G238" s="58"/>
      <c r="H238" s="59"/>
      <c r="I238" s="121">
        <v>0</v>
      </c>
    </row>
    <row r="239" spans="1:9" hidden="1" x14ac:dyDescent="0.25">
      <c r="A239" s="182"/>
      <c r="B239" s="43" t="s">
        <v>10648</v>
      </c>
      <c r="C239" s="43" t="s">
        <v>1044</v>
      </c>
      <c r="D239" s="44">
        <v>515.40949999999998</v>
      </c>
      <c r="E239" s="41">
        <v>0.64600000000000002</v>
      </c>
      <c r="F239" s="41">
        <f>IF(ISNUMBER(E239),E239*$D239,"")</f>
        <v>332.95453700000002</v>
      </c>
      <c r="G239" s="58"/>
      <c r="H239" s="59"/>
      <c r="I239" s="121">
        <v>0</v>
      </c>
    </row>
    <row r="240" spans="1:9" ht="25.5" hidden="1" x14ac:dyDescent="0.25">
      <c r="A240" s="182"/>
      <c r="B240" s="43" t="s">
        <v>10665</v>
      </c>
      <c r="C240" s="43" t="s">
        <v>2880</v>
      </c>
      <c r="D240" s="44">
        <v>0.56699999999999995</v>
      </c>
      <c r="E240" s="38">
        <v>224.941</v>
      </c>
      <c r="F240" s="41">
        <f>IF(ISNUMBER(E240),E240*$D240,"")</f>
        <v>127.54154699999999</v>
      </c>
      <c r="G240" s="58"/>
      <c r="H240" s="59"/>
      <c r="I240" s="121">
        <v>0</v>
      </c>
    </row>
    <row r="241" spans="1:9" hidden="1" x14ac:dyDescent="0.25">
      <c r="A241" s="182"/>
      <c r="B241" s="43" t="s">
        <v>10614</v>
      </c>
      <c r="C241" s="43" t="s">
        <v>2800</v>
      </c>
      <c r="D241" s="44">
        <v>2.5491999999999999</v>
      </c>
      <c r="E241" s="38">
        <v>23.693000000000001</v>
      </c>
      <c r="F241" s="41">
        <f>IF(ISNUMBER(E241),E241*$D241,"")</f>
        <v>60.398195600000001</v>
      </c>
      <c r="G241" s="58"/>
      <c r="H241" s="59"/>
      <c r="I241" s="121">
        <v>0</v>
      </c>
    </row>
    <row r="242" spans="1:9" ht="25.5" hidden="1" x14ac:dyDescent="0.25">
      <c r="A242" s="182"/>
      <c r="B242" s="43" t="s">
        <v>10649</v>
      </c>
      <c r="C242" s="43" t="s">
        <v>2800</v>
      </c>
      <c r="D242" s="44">
        <v>1.6075999999999999</v>
      </c>
      <c r="E242" s="38">
        <v>25.745000000000001</v>
      </c>
      <c r="F242" s="41">
        <f>IF(ISNUMBER(E242),E242*$D242,"")</f>
        <v>41.387661999999999</v>
      </c>
      <c r="G242" s="58"/>
      <c r="H242" s="59"/>
      <c r="I242" s="121">
        <v>0</v>
      </c>
    </row>
    <row r="243" spans="1:9" ht="38.25" hidden="1" x14ac:dyDescent="0.25">
      <c r="A243" s="182"/>
      <c r="B243" s="43" t="s">
        <v>10650</v>
      </c>
      <c r="C243" s="43" t="s">
        <v>1050</v>
      </c>
      <c r="D243" s="44">
        <v>1.1143000000000001</v>
      </c>
      <c r="E243" s="38">
        <v>1.6435</v>
      </c>
      <c r="F243" s="125">
        <f>IF(ISNUMBER(E243),E243*$D243,"")</f>
        <v>1.83135205</v>
      </c>
      <c r="G243" s="58"/>
      <c r="H243" s="59"/>
      <c r="I243" s="121">
        <v>0</v>
      </c>
    </row>
    <row r="244" spans="1:9" ht="38.25" hidden="1" x14ac:dyDescent="0.25">
      <c r="A244" s="182"/>
      <c r="B244" s="43" t="s">
        <v>10651</v>
      </c>
      <c r="C244" s="43" t="s">
        <v>10677</v>
      </c>
      <c r="D244" s="44">
        <v>0.49330000000000002</v>
      </c>
      <c r="E244" s="38">
        <v>0.41799999999999998</v>
      </c>
      <c r="F244" s="125">
        <f>IF(ISNUMBER(E244),E244*$D244,"")</f>
        <v>0.2061994</v>
      </c>
      <c r="G244" s="58"/>
      <c r="H244" s="59"/>
      <c r="I244" s="121">
        <v>0</v>
      </c>
    </row>
    <row r="245" spans="1:9" ht="51" hidden="1" x14ac:dyDescent="0.25">
      <c r="A245" s="182"/>
      <c r="B245" s="43" t="s">
        <v>10624</v>
      </c>
      <c r="C245" s="43" t="s">
        <v>2880</v>
      </c>
      <c r="D245" s="44">
        <f>ROUND(1*(D237+D240),4)</f>
        <v>1.1468</v>
      </c>
      <c r="E245" s="38">
        <v>8.5522277500000001</v>
      </c>
      <c r="F245" s="41">
        <f>IF(ISNUMBER(E245),E245*$D245,"")</f>
        <v>9.8076947837000006</v>
      </c>
      <c r="G245" s="58"/>
      <c r="H245" s="59"/>
      <c r="I245" s="121">
        <v>0</v>
      </c>
    </row>
    <row r="246" spans="1:9" ht="38.25" hidden="1" x14ac:dyDescent="0.25">
      <c r="A246" s="182"/>
      <c r="B246" s="43" t="s">
        <v>10622</v>
      </c>
      <c r="C246" s="62" t="s">
        <v>10676</v>
      </c>
      <c r="D246" s="44">
        <f>ROUND((D237+D240)*20,4)</f>
        <v>22.936</v>
      </c>
      <c r="E246" s="38">
        <v>2.9193680499999997</v>
      </c>
      <c r="F246" s="41">
        <f>IF(ISNUMBER(E246),E246*$D246,"")</f>
        <v>66.958625594799997</v>
      </c>
      <c r="G246" s="58"/>
      <c r="H246" s="59"/>
      <c r="I246" s="121">
        <v>0</v>
      </c>
    </row>
    <row r="247" spans="1:9" hidden="1" x14ac:dyDescent="0.25">
      <c r="A247" s="182"/>
      <c r="B247" s="61"/>
      <c r="C247" s="62"/>
      <c r="D247" s="44"/>
      <c r="E247" s="38" t="s">
        <v>13</v>
      </c>
      <c r="F247" s="41" t="str">
        <f>IF(ISNUMBER(E247),E247*$D247,"")</f>
        <v/>
      </c>
      <c r="G247" s="58"/>
      <c r="H247" s="59"/>
      <c r="I247" s="121">
        <v>0</v>
      </c>
    </row>
    <row r="248" spans="1:9" ht="25.5" hidden="1" x14ac:dyDescent="0.25">
      <c r="A248" s="182"/>
      <c r="B248" s="4" t="s">
        <v>78</v>
      </c>
      <c r="C248" s="62"/>
      <c r="D248" s="44"/>
      <c r="E248" s="38" t="s">
        <v>13</v>
      </c>
      <c r="F248" s="41" t="str">
        <f>IF(ISNUMBER(E248),E248*$D248,"")</f>
        <v/>
      </c>
      <c r="G248" s="58"/>
      <c r="H248" s="59"/>
      <c r="I248" s="121">
        <v>0</v>
      </c>
    </row>
    <row r="249" spans="1:9" ht="15.75" hidden="1" thickBot="1" x14ac:dyDescent="0.3">
      <c r="A249" s="183"/>
      <c r="B249" s="49"/>
      <c r="C249" s="49"/>
      <c r="D249" s="123"/>
      <c r="E249" s="51" t="s">
        <v>13</v>
      </c>
      <c r="F249" s="51" t="str">
        <f>IF(ISNUMBER(E249),E249*$D249,"")</f>
        <v/>
      </c>
      <c r="G249" s="53"/>
      <c r="H249" s="38"/>
      <c r="I249" s="121">
        <v>0</v>
      </c>
    </row>
    <row r="250" spans="1:9" ht="15.75" hidden="1" thickBot="1" x14ac:dyDescent="0.3">
      <c r="A250" s="182" t="s">
        <v>10700</v>
      </c>
      <c r="B250" s="56" t="s">
        <v>13</v>
      </c>
      <c r="C250" s="48" t="s">
        <v>2880</v>
      </c>
      <c r="D250" s="126"/>
      <c r="E250" s="97" t="s">
        <v>13</v>
      </c>
      <c r="F250" s="48" t="str">
        <f>IF(ISNUMBER(E250),E250*$D250,"")</f>
        <v/>
      </c>
      <c r="G250" s="98"/>
      <c r="H250" s="36"/>
      <c r="I250" s="121">
        <v>0</v>
      </c>
    </row>
    <row r="251" spans="1:9" hidden="1" x14ac:dyDescent="0.25">
      <c r="A251" s="182"/>
      <c r="B251" s="39" t="s">
        <v>13</v>
      </c>
      <c r="C251" s="39"/>
      <c r="D251" s="122"/>
      <c r="E251" s="38" t="s">
        <v>13</v>
      </c>
      <c r="F251" s="38" t="str">
        <f>IF(ISNUMBER(E251),E251*$D251,"")</f>
        <v/>
      </c>
      <c r="G251" s="42"/>
      <c r="H251" s="38"/>
      <c r="I251" s="121">
        <v>0</v>
      </c>
    </row>
    <row r="252" spans="1:9" ht="25.5" hidden="1" x14ac:dyDescent="0.25">
      <c r="A252" s="182"/>
      <c r="B252" s="43" t="s">
        <v>10647</v>
      </c>
      <c r="C252" s="43" t="s">
        <v>2880</v>
      </c>
      <c r="D252" s="44">
        <v>1.25</v>
      </c>
      <c r="E252" s="38">
        <v>199.71849999999998</v>
      </c>
      <c r="F252" s="41">
        <f>IF(ISNUMBER(E252),E252*$D252,"")</f>
        <v>249.64812499999996</v>
      </c>
      <c r="G252" s="46">
        <f>SUM(F252:F256)</f>
        <v>973.42520093749999</v>
      </c>
      <c r="H252" s="59"/>
      <c r="I252" s="121">
        <v>0</v>
      </c>
    </row>
    <row r="253" spans="1:9" hidden="1" x14ac:dyDescent="0.25">
      <c r="A253" s="182"/>
      <c r="B253" s="43" t="s">
        <v>10648</v>
      </c>
      <c r="C253" s="43" t="s">
        <v>1044</v>
      </c>
      <c r="D253" s="44">
        <v>563.59</v>
      </c>
      <c r="E253" s="41">
        <v>0.64600000000000002</v>
      </c>
      <c r="F253" s="41">
        <f>IF(ISNUMBER(E253),E253*$D253,"")</f>
        <v>364.07914000000005</v>
      </c>
      <c r="G253" s="58"/>
      <c r="H253" s="59"/>
      <c r="I253" s="121">
        <v>0</v>
      </c>
    </row>
    <row r="254" spans="1:9" hidden="1" x14ac:dyDescent="0.25">
      <c r="A254" s="182"/>
      <c r="B254" s="43" t="s">
        <v>10614</v>
      </c>
      <c r="C254" s="43" t="s">
        <v>2800</v>
      </c>
      <c r="D254" s="44">
        <v>11.65</v>
      </c>
      <c r="E254" s="38">
        <v>23.693000000000001</v>
      </c>
      <c r="F254" s="41">
        <f>IF(ISNUMBER(E254),E254*$D254,"")</f>
        <v>276.02345000000003</v>
      </c>
      <c r="G254" s="58"/>
      <c r="H254" s="59"/>
      <c r="I254" s="121">
        <v>0</v>
      </c>
    </row>
    <row r="255" spans="1:9" ht="51" hidden="1" x14ac:dyDescent="0.25">
      <c r="A255" s="182"/>
      <c r="B255" s="43" t="s">
        <v>10624</v>
      </c>
      <c r="C255" s="43" t="s">
        <v>2880</v>
      </c>
      <c r="D255" s="44">
        <f>ROUND(1*(D252),4)</f>
        <v>1.25</v>
      </c>
      <c r="E255" s="38">
        <v>8.5522277500000001</v>
      </c>
      <c r="F255" s="41">
        <f>IF(ISNUMBER(E255),E255*$D255,"")</f>
        <v>10.6902846875</v>
      </c>
      <c r="G255" s="58"/>
      <c r="H255" s="59"/>
      <c r="I255" s="121">
        <v>0</v>
      </c>
    </row>
    <row r="256" spans="1:9" ht="38.25" hidden="1" x14ac:dyDescent="0.25">
      <c r="A256" s="182"/>
      <c r="B256" s="43" t="s">
        <v>10622</v>
      </c>
      <c r="C256" s="62" t="s">
        <v>10676</v>
      </c>
      <c r="D256" s="44">
        <f>ROUND(D252*20,4)</f>
        <v>25</v>
      </c>
      <c r="E256" s="38">
        <v>2.9193680499999997</v>
      </c>
      <c r="F256" s="41">
        <f>IF(ISNUMBER(E256),E256*$D256,"")</f>
        <v>72.984201249999998</v>
      </c>
      <c r="G256" s="58"/>
      <c r="H256" s="59"/>
      <c r="I256" s="121">
        <v>0</v>
      </c>
    </row>
    <row r="257" spans="1:9" hidden="1" x14ac:dyDescent="0.25">
      <c r="A257" s="182"/>
      <c r="B257" s="61"/>
      <c r="C257" s="62"/>
      <c r="D257" s="44"/>
      <c r="E257" s="38" t="s">
        <v>13</v>
      </c>
      <c r="F257" s="41" t="str">
        <f>IF(ISNUMBER(E257),E257*$D257,"")</f>
        <v/>
      </c>
      <c r="G257" s="58"/>
      <c r="H257" s="59"/>
      <c r="I257" s="121">
        <v>0</v>
      </c>
    </row>
    <row r="258" spans="1:9" hidden="1" x14ac:dyDescent="0.25">
      <c r="A258" s="182"/>
      <c r="B258" s="4" t="s">
        <v>646</v>
      </c>
      <c r="C258" s="62"/>
      <c r="D258" s="44"/>
      <c r="E258" s="38" t="s">
        <v>13</v>
      </c>
      <c r="F258" s="41" t="str">
        <f>IF(ISNUMBER(E258),E258*$D258,"")</f>
        <v/>
      </c>
      <c r="G258" s="58"/>
      <c r="H258" s="59"/>
      <c r="I258" s="121">
        <v>0</v>
      </c>
    </row>
    <row r="259" spans="1:9" ht="15.75" hidden="1" thickBot="1" x14ac:dyDescent="0.3">
      <c r="A259" s="183"/>
      <c r="B259" s="49" t="s">
        <v>13</v>
      </c>
      <c r="C259" s="49"/>
      <c r="D259" s="123"/>
      <c r="E259" s="51" t="s">
        <v>13</v>
      </c>
      <c r="F259" s="52" t="str">
        <f>IF(ISNUMBER(E259),E259*$D259,"")</f>
        <v/>
      </c>
      <c r="G259" s="53"/>
      <c r="H259" s="38"/>
      <c r="I259" s="121">
        <v>0</v>
      </c>
    </row>
    <row r="260" spans="1:9" ht="15.75" hidden="1" thickBot="1" x14ac:dyDescent="0.3">
      <c r="A260" s="182" t="s">
        <v>10701</v>
      </c>
      <c r="B260" s="31" t="s">
        <v>13</v>
      </c>
      <c r="C260" s="32" t="s">
        <v>83</v>
      </c>
      <c r="D260" s="120"/>
      <c r="E260" s="34" t="s">
        <v>13</v>
      </c>
      <c r="F260" s="32" t="str">
        <f>IF(ISNUMBER(E260),E260*$D260,"")</f>
        <v/>
      </c>
      <c r="G260" s="35"/>
      <c r="H260" s="36"/>
      <c r="I260" s="121">
        <v>0</v>
      </c>
    </row>
    <row r="261" spans="1:9" hidden="1" x14ac:dyDescent="0.25">
      <c r="A261" s="182"/>
      <c r="B261" s="39" t="s">
        <v>13</v>
      </c>
      <c r="C261" s="39"/>
      <c r="D261" s="122"/>
      <c r="E261" s="38" t="s">
        <v>13</v>
      </c>
      <c r="F261" s="38" t="str">
        <f>IF(ISNUMBER(E261),E261*$D261,"")</f>
        <v/>
      </c>
      <c r="G261" s="42"/>
      <c r="H261" s="38"/>
      <c r="I261" s="121">
        <v>0</v>
      </c>
    </row>
    <row r="262" spans="1:9" ht="63.75" hidden="1" x14ac:dyDescent="0.25">
      <c r="A262" s="182"/>
      <c r="B262" s="43" t="s">
        <v>10771</v>
      </c>
      <c r="C262" s="43" t="s">
        <v>10817</v>
      </c>
      <c r="D262" s="44">
        <v>1</v>
      </c>
      <c r="E262" s="38">
        <v>284.90499999999997</v>
      </c>
      <c r="F262" s="41">
        <f>IF(ISNUMBER(E262),E262*$D262,"")</f>
        <v>284.90499999999997</v>
      </c>
      <c r="G262" s="46">
        <f>SUM(F262:F266)</f>
        <v>398.30489449999999</v>
      </c>
      <c r="H262" s="59"/>
      <c r="I262" s="121">
        <v>0</v>
      </c>
    </row>
    <row r="263" spans="1:9" hidden="1" x14ac:dyDescent="0.25">
      <c r="A263" s="182"/>
      <c r="B263" s="43" t="s">
        <v>10772</v>
      </c>
      <c r="C263" s="43" t="s">
        <v>1044</v>
      </c>
      <c r="D263" s="44">
        <v>1.0999999999999999E-2</v>
      </c>
      <c r="E263" s="41">
        <v>24.244</v>
      </c>
      <c r="F263" s="41">
        <f>IF(ISNUMBER(E263),E263*$D263,"")</f>
        <v>0.26668399999999998</v>
      </c>
      <c r="G263" s="58"/>
      <c r="H263" s="59"/>
      <c r="I263" s="121">
        <v>0</v>
      </c>
    </row>
    <row r="264" spans="1:9" hidden="1" x14ac:dyDescent="0.25">
      <c r="A264" s="182"/>
      <c r="B264" s="43" t="s">
        <v>10773</v>
      </c>
      <c r="C264" s="43" t="s">
        <v>1044</v>
      </c>
      <c r="D264" s="44">
        <v>2.4E-2</v>
      </c>
      <c r="E264" s="38">
        <v>18.401499999999999</v>
      </c>
      <c r="F264" s="41">
        <f>IF(ISNUMBER(E264),E264*$D264,"")</f>
        <v>0.44163599999999997</v>
      </c>
      <c r="G264" s="58"/>
      <c r="H264" s="59"/>
      <c r="I264" s="121">
        <v>0</v>
      </c>
    </row>
    <row r="265" spans="1:9" ht="25.5" hidden="1" x14ac:dyDescent="0.25">
      <c r="A265" s="182"/>
      <c r="B265" s="43" t="s">
        <v>10774</v>
      </c>
      <c r="C265" s="43" t="s">
        <v>2800</v>
      </c>
      <c r="D265" s="44">
        <v>2.7410000000000001</v>
      </c>
      <c r="E265" s="38">
        <v>29.383499999999998</v>
      </c>
      <c r="F265" s="41">
        <f>IF(ISNUMBER(E265),E265*$D265,"")</f>
        <v>80.540173499999995</v>
      </c>
      <c r="G265" s="58"/>
      <c r="H265" s="59"/>
      <c r="I265" s="121">
        <v>0</v>
      </c>
    </row>
    <row r="266" spans="1:9" hidden="1" x14ac:dyDescent="0.25">
      <c r="A266" s="182"/>
      <c r="B266" s="43" t="s">
        <v>10614</v>
      </c>
      <c r="C266" s="43" t="s">
        <v>2800</v>
      </c>
      <c r="D266" s="44">
        <v>1.357</v>
      </c>
      <c r="E266" s="38">
        <v>23.693000000000001</v>
      </c>
      <c r="F266" s="41">
        <f>IF(ISNUMBER(E266),E266*$D266,"")</f>
        <v>32.151401</v>
      </c>
      <c r="G266" s="58"/>
      <c r="H266" s="59"/>
      <c r="I266" s="121">
        <v>0</v>
      </c>
    </row>
    <row r="267" spans="1:9" ht="15.75" hidden="1" thickBot="1" x14ac:dyDescent="0.3">
      <c r="A267" s="183"/>
      <c r="B267" s="127"/>
      <c r="C267" s="63"/>
      <c r="D267" s="50"/>
      <c r="E267" s="51" t="s">
        <v>13</v>
      </c>
      <c r="F267" s="52" t="str">
        <f>IF(ISNUMBER(E267),E267*$D267,"")</f>
        <v/>
      </c>
      <c r="G267" s="64"/>
      <c r="H267" s="59"/>
      <c r="I267" s="121">
        <v>0</v>
      </c>
    </row>
    <row r="268" spans="1:9" ht="15.75" hidden="1" thickBot="1" x14ac:dyDescent="0.3">
      <c r="A268" s="184" t="s">
        <v>10702</v>
      </c>
      <c r="B268" s="31" t="s">
        <v>13</v>
      </c>
      <c r="C268" s="32" t="s">
        <v>2880</v>
      </c>
      <c r="D268" s="120"/>
      <c r="E268" s="34" t="s">
        <v>13</v>
      </c>
      <c r="F268" s="34" t="str">
        <f>IF(ISNUMBER(E268),E268*$D268,"")</f>
        <v/>
      </c>
      <c r="G268" s="35"/>
      <c r="H268" s="36"/>
      <c r="I268" s="121">
        <v>0</v>
      </c>
    </row>
    <row r="269" spans="1:9" hidden="1" x14ac:dyDescent="0.25">
      <c r="A269" s="182"/>
      <c r="B269" s="39" t="s">
        <v>13</v>
      </c>
      <c r="C269" s="39"/>
      <c r="D269" s="122"/>
      <c r="E269" s="38" t="s">
        <v>13</v>
      </c>
      <c r="F269" s="38" t="str">
        <f>IF(ISNUMBER(E269),E269*$D269,"")</f>
        <v/>
      </c>
      <c r="G269" s="42"/>
      <c r="H269" s="38"/>
      <c r="I269" s="121">
        <v>0</v>
      </c>
    </row>
    <row r="270" spans="1:9" ht="25.5" hidden="1" x14ac:dyDescent="0.25">
      <c r="A270" s="182"/>
      <c r="B270" s="43" t="s">
        <v>10647</v>
      </c>
      <c r="C270" s="43" t="s">
        <v>2880</v>
      </c>
      <c r="D270" s="44">
        <v>1.1299999999999999</v>
      </c>
      <c r="E270" s="38">
        <v>199.71849999999998</v>
      </c>
      <c r="F270" s="41">
        <f>IF(ISNUMBER(E270),E270*$D270,"")</f>
        <v>225.68190499999994</v>
      </c>
      <c r="G270" s="46">
        <f>SUM(F270:F275)</f>
        <v>839.87227528749997</v>
      </c>
      <c r="H270" s="59"/>
      <c r="I270" s="121">
        <v>0</v>
      </c>
    </row>
    <row r="271" spans="1:9" hidden="1" x14ac:dyDescent="0.25">
      <c r="A271" s="182"/>
      <c r="B271" s="43" t="s">
        <v>10659</v>
      </c>
      <c r="C271" s="43" t="s">
        <v>1044</v>
      </c>
      <c r="D271" s="44">
        <v>75.47</v>
      </c>
      <c r="E271" s="38">
        <v>1.4724999999999999</v>
      </c>
      <c r="F271" s="41">
        <f>IF(ISNUMBER(E271),E271*$D271,"")</f>
        <v>111.12957499999999</v>
      </c>
      <c r="G271" s="58"/>
      <c r="H271" s="59"/>
      <c r="I271" s="121">
        <v>0</v>
      </c>
    </row>
    <row r="272" spans="1:9" hidden="1" x14ac:dyDescent="0.25">
      <c r="A272" s="182"/>
      <c r="B272" s="43" t="s">
        <v>10648</v>
      </c>
      <c r="C272" s="43" t="s">
        <v>1044</v>
      </c>
      <c r="D272" s="44">
        <v>339.62</v>
      </c>
      <c r="E272" s="41">
        <v>0.64600000000000002</v>
      </c>
      <c r="F272" s="41">
        <f>IF(ISNUMBER(E272),E272*$D272,"")</f>
        <v>219.39452</v>
      </c>
      <c r="G272" s="58"/>
      <c r="H272" s="59"/>
      <c r="I272" s="121">
        <v>0</v>
      </c>
    </row>
    <row r="273" spans="1:9" hidden="1" x14ac:dyDescent="0.25">
      <c r="A273" s="182"/>
      <c r="B273" s="43" t="s">
        <v>10614</v>
      </c>
      <c r="C273" s="43" t="s">
        <v>2800</v>
      </c>
      <c r="D273" s="44">
        <v>8.7799999999999994</v>
      </c>
      <c r="E273" s="38">
        <v>23.693000000000001</v>
      </c>
      <c r="F273" s="41">
        <f>IF(ISNUMBER(E273),E273*$D273,"")</f>
        <v>208.02454</v>
      </c>
      <c r="G273" s="58"/>
      <c r="H273" s="59"/>
      <c r="I273" s="121">
        <v>0</v>
      </c>
    </row>
    <row r="274" spans="1:9" ht="51" hidden="1" x14ac:dyDescent="0.25">
      <c r="A274" s="182"/>
      <c r="B274" s="43" t="s">
        <v>10624</v>
      </c>
      <c r="C274" s="43" t="s">
        <v>2880</v>
      </c>
      <c r="D274" s="44">
        <f>ROUND(1*D270,4)</f>
        <v>1.1299999999999999</v>
      </c>
      <c r="E274" s="38">
        <v>8.5522277500000001</v>
      </c>
      <c r="F274" s="41">
        <f>IF(ISNUMBER(E274),E274*$D274,"")</f>
        <v>9.6640173574999988</v>
      </c>
      <c r="G274" s="58"/>
      <c r="H274" s="59"/>
      <c r="I274" s="121">
        <v>0</v>
      </c>
    </row>
    <row r="275" spans="1:9" ht="38.25" hidden="1" x14ac:dyDescent="0.25">
      <c r="A275" s="182"/>
      <c r="B275" s="43" t="s">
        <v>10622</v>
      </c>
      <c r="C275" s="62" t="s">
        <v>10676</v>
      </c>
      <c r="D275" s="44">
        <f>ROUND(D270*20,4)</f>
        <v>22.6</v>
      </c>
      <c r="E275" s="38">
        <v>2.9193680499999997</v>
      </c>
      <c r="F275" s="41">
        <f>IF(ISNUMBER(E275),E275*$D275,"")</f>
        <v>65.977717929999997</v>
      </c>
      <c r="G275" s="58"/>
      <c r="H275" s="59"/>
      <c r="I275" s="121">
        <v>0</v>
      </c>
    </row>
    <row r="276" spans="1:9" hidden="1" x14ac:dyDescent="0.25">
      <c r="A276" s="182"/>
      <c r="B276" s="61"/>
      <c r="C276" s="62"/>
      <c r="D276" s="44"/>
      <c r="E276" s="38" t="s">
        <v>13</v>
      </c>
      <c r="F276" s="41" t="str">
        <f>IF(ISNUMBER(E276),E276*$D276,"")</f>
        <v/>
      </c>
      <c r="G276" s="58"/>
      <c r="H276" s="59"/>
      <c r="I276" s="121">
        <v>0</v>
      </c>
    </row>
    <row r="277" spans="1:9" hidden="1" x14ac:dyDescent="0.25">
      <c r="A277" s="182"/>
      <c r="B277" s="4" t="s">
        <v>646</v>
      </c>
      <c r="C277" s="62"/>
      <c r="D277" s="44"/>
      <c r="E277" s="38" t="s">
        <v>13</v>
      </c>
      <c r="F277" s="41" t="str">
        <f>IF(ISNUMBER(E277),E277*$D277,"")</f>
        <v/>
      </c>
      <c r="G277" s="58"/>
      <c r="H277" s="59"/>
      <c r="I277" s="121">
        <v>0</v>
      </c>
    </row>
    <row r="278" spans="1:9" ht="15.75" hidden="1" thickBot="1" x14ac:dyDescent="0.3">
      <c r="A278" s="183"/>
      <c r="B278" s="49" t="s">
        <v>13</v>
      </c>
      <c r="C278" s="49"/>
      <c r="D278" s="123"/>
      <c r="E278" s="51" t="s">
        <v>13</v>
      </c>
      <c r="F278" s="51" t="str">
        <f>IF(ISNUMBER(E278),E278*$D278,"")</f>
        <v/>
      </c>
      <c r="G278" s="53"/>
      <c r="H278" s="38"/>
      <c r="I278" s="121">
        <v>0</v>
      </c>
    </row>
    <row r="279" spans="1:9" ht="15.75" hidden="1" thickBot="1" x14ac:dyDescent="0.3">
      <c r="A279" s="182" t="s">
        <v>10629</v>
      </c>
      <c r="B279" s="56" t="s">
        <v>13</v>
      </c>
      <c r="C279" s="32" t="s">
        <v>1044</v>
      </c>
      <c r="D279" s="126"/>
      <c r="E279" s="97" t="s">
        <v>13</v>
      </c>
      <c r="F279" s="97" t="str">
        <f>IF(ISNUMBER(E279),E279*$D279,"")</f>
        <v/>
      </c>
      <c r="G279" s="98"/>
      <c r="H279" s="36"/>
      <c r="I279" s="121">
        <v>0</v>
      </c>
    </row>
    <row r="280" spans="1:9" hidden="1" x14ac:dyDescent="0.25">
      <c r="A280" s="182"/>
      <c r="B280" s="39" t="s">
        <v>13</v>
      </c>
      <c r="C280" s="39"/>
      <c r="D280" s="122"/>
      <c r="E280" s="38" t="s">
        <v>13</v>
      </c>
      <c r="F280" s="38" t="str">
        <f>IF(ISNUMBER(E280),E280*$D280,"")</f>
        <v/>
      </c>
      <c r="G280" s="42"/>
      <c r="H280" s="38"/>
      <c r="I280" s="121">
        <v>0</v>
      </c>
    </row>
    <row r="281" spans="1:9" ht="38.25" hidden="1" x14ac:dyDescent="0.25">
      <c r="A281" s="182"/>
      <c r="B281" s="43" t="s">
        <v>10660</v>
      </c>
      <c r="C281" s="43" t="s">
        <v>83</v>
      </c>
      <c r="D281" s="44">
        <v>2.8159999999999998</v>
      </c>
      <c r="E281" s="38">
        <v>0.20899999999999999</v>
      </c>
      <c r="F281" s="41">
        <f>IF(ISNUMBER(E281),E281*$D281,"")</f>
        <v>0.58854399999999996</v>
      </c>
      <c r="G281" s="46">
        <f>SUM(F281:F285)</f>
        <v>15.397990450000002</v>
      </c>
      <c r="H281" s="59"/>
      <c r="I281" s="121">
        <v>0</v>
      </c>
    </row>
    <row r="282" spans="1:9" ht="25.5" hidden="1" x14ac:dyDescent="0.25">
      <c r="A282" s="182"/>
      <c r="B282" s="43" t="s">
        <v>10661</v>
      </c>
      <c r="C282" s="43" t="s">
        <v>1044</v>
      </c>
      <c r="D282" s="44">
        <v>2.5000000000000001E-2</v>
      </c>
      <c r="E282" s="38">
        <v>19</v>
      </c>
      <c r="F282" s="41">
        <f>IF(ISNUMBER(E282),E282*$D282,"")</f>
        <v>0.47500000000000003</v>
      </c>
      <c r="G282" s="58"/>
      <c r="H282" s="59"/>
      <c r="I282" s="121">
        <v>0</v>
      </c>
    </row>
    <row r="283" spans="1:9" hidden="1" x14ac:dyDescent="0.25">
      <c r="A283" s="182"/>
      <c r="B283" s="43" t="s">
        <v>10643</v>
      </c>
      <c r="C283" s="43" t="s">
        <v>2800</v>
      </c>
      <c r="D283" s="44">
        <v>1.72E-2</v>
      </c>
      <c r="E283" s="41">
        <v>24.519499999999997</v>
      </c>
      <c r="F283" s="41">
        <f>IF(ISNUMBER(E283),E283*$D283,"")</f>
        <v>0.42173539999999993</v>
      </c>
      <c r="G283" s="58"/>
      <c r="H283" s="59"/>
      <c r="I283" s="121">
        <v>0</v>
      </c>
    </row>
    <row r="284" spans="1:9" hidden="1" x14ac:dyDescent="0.25">
      <c r="A284" s="182"/>
      <c r="B284" s="43" t="s">
        <v>10644</v>
      </c>
      <c r="C284" s="43" t="s">
        <v>2800</v>
      </c>
      <c r="D284" s="44">
        <v>0.1055</v>
      </c>
      <c r="E284" s="38">
        <v>30.837</v>
      </c>
      <c r="F284" s="41">
        <f>IF(ISNUMBER(E284),E284*$D284,"")</f>
        <v>3.2533034999999999</v>
      </c>
      <c r="G284" s="58"/>
      <c r="H284" s="59"/>
      <c r="I284" s="121">
        <v>0</v>
      </c>
    </row>
    <row r="285" spans="1:9" hidden="1" x14ac:dyDescent="0.25">
      <c r="A285" s="182"/>
      <c r="B285" s="43" t="s">
        <v>10623</v>
      </c>
      <c r="C285" s="62" t="s">
        <v>1044</v>
      </c>
      <c r="D285" s="44">
        <v>1</v>
      </c>
      <c r="E285" s="38">
        <v>10.659407550000001</v>
      </c>
      <c r="F285" s="41">
        <f>IF(ISNUMBER(E285),E285*$D285,"")</f>
        <v>10.659407550000001</v>
      </c>
      <c r="G285" s="58"/>
      <c r="H285" s="59"/>
      <c r="I285" s="121">
        <v>0</v>
      </c>
    </row>
    <row r="286" spans="1:9" ht="15.75" hidden="1" thickBot="1" x14ac:dyDescent="0.3">
      <c r="A286" s="183"/>
      <c r="B286" s="127"/>
      <c r="C286" s="63"/>
      <c r="D286" s="50"/>
      <c r="E286" s="51" t="s">
        <v>13</v>
      </c>
      <c r="F286" s="52" t="str">
        <f>IF(ISNUMBER(E286),E286*$D286,"")</f>
        <v/>
      </c>
      <c r="G286" s="64"/>
      <c r="H286" s="59"/>
      <c r="I286" s="121">
        <v>0</v>
      </c>
    </row>
    <row r="287" spans="1:9" ht="15.75" hidden="1" thickBot="1" x14ac:dyDescent="0.3">
      <c r="A287" s="184" t="s">
        <v>10623</v>
      </c>
      <c r="B287" s="31" t="s">
        <v>13</v>
      </c>
      <c r="C287" s="32" t="s">
        <v>1044</v>
      </c>
      <c r="D287" s="120"/>
      <c r="E287" s="34" t="s">
        <v>13</v>
      </c>
      <c r="F287" s="32" t="str">
        <f>IF(ISNUMBER(E287),E287*$D287,"")</f>
        <v/>
      </c>
      <c r="G287" s="35"/>
      <c r="H287" s="36"/>
      <c r="I287" s="121">
        <v>0</v>
      </c>
    </row>
    <row r="288" spans="1:9" hidden="1" x14ac:dyDescent="0.25">
      <c r="A288" s="182"/>
      <c r="B288" s="39" t="s">
        <v>13</v>
      </c>
      <c r="C288" s="39"/>
      <c r="D288" s="122"/>
      <c r="E288" s="38" t="s">
        <v>13</v>
      </c>
      <c r="F288" s="38" t="str">
        <f>IF(ISNUMBER(E288),E288*$D288,"")</f>
        <v/>
      </c>
      <c r="G288" s="42"/>
      <c r="H288" s="38"/>
      <c r="I288" s="121">
        <v>0</v>
      </c>
    </row>
    <row r="289" spans="1:9" hidden="1" x14ac:dyDescent="0.25">
      <c r="A289" s="182"/>
      <c r="B289" s="43" t="s">
        <v>10642</v>
      </c>
      <c r="C289" s="43" t="s">
        <v>1044</v>
      </c>
      <c r="D289" s="44">
        <v>1.07</v>
      </c>
      <c r="E289" s="41">
        <v>6.9729999999999999</v>
      </c>
      <c r="F289" s="41">
        <f>IF(ISNUMBER(E289),E289*$D289,"")</f>
        <v>7.4611100000000006</v>
      </c>
      <c r="G289" s="46">
        <f>SUM(F289:F291)</f>
        <v>10.710898499999999</v>
      </c>
      <c r="H289" s="59"/>
      <c r="I289" s="121">
        <v>0</v>
      </c>
    </row>
    <row r="290" spans="1:9" hidden="1" x14ac:dyDescent="0.25">
      <c r="A290" s="182"/>
      <c r="B290" s="43" t="s">
        <v>10643</v>
      </c>
      <c r="C290" s="43" t="s">
        <v>2800</v>
      </c>
      <c r="D290" s="44">
        <v>1.52E-2</v>
      </c>
      <c r="E290" s="41">
        <v>24.519499999999997</v>
      </c>
      <c r="F290" s="41">
        <f>IF(ISNUMBER(E290),E290*$D290,"")</f>
        <v>0.37269639999999998</v>
      </c>
      <c r="G290" s="58"/>
      <c r="H290" s="59"/>
      <c r="I290" s="121">
        <v>0</v>
      </c>
    </row>
    <row r="291" spans="1:9" hidden="1" x14ac:dyDescent="0.25">
      <c r="A291" s="182"/>
      <c r="B291" s="43" t="s">
        <v>10644</v>
      </c>
      <c r="C291" s="43" t="s">
        <v>2800</v>
      </c>
      <c r="D291" s="44">
        <v>9.3299999999999994E-2</v>
      </c>
      <c r="E291" s="38">
        <v>30.837</v>
      </c>
      <c r="F291" s="41">
        <f>IF(ISNUMBER(E291),E291*$D291,"")</f>
        <v>2.8770920999999996</v>
      </c>
      <c r="G291" s="58"/>
      <c r="H291" s="59"/>
      <c r="I291" s="121">
        <v>0</v>
      </c>
    </row>
    <row r="292" spans="1:9" ht="15.75" hidden="1" thickBot="1" x14ac:dyDescent="0.3">
      <c r="A292" s="183"/>
      <c r="B292" s="49" t="s">
        <v>13</v>
      </c>
      <c r="C292" s="49"/>
      <c r="D292" s="123"/>
      <c r="E292" s="51" t="s">
        <v>13</v>
      </c>
      <c r="F292" s="52" t="str">
        <f>IF(ISNUMBER(E292),E292*$D292,"")</f>
        <v/>
      </c>
      <c r="G292" s="53"/>
      <c r="H292" s="38"/>
      <c r="I292" s="121">
        <v>0</v>
      </c>
    </row>
    <row r="293" spans="1:9" ht="15.75" hidden="1" thickBot="1" x14ac:dyDescent="0.3">
      <c r="A293" s="184" t="s">
        <v>10703</v>
      </c>
      <c r="B293" s="31" t="s">
        <v>13</v>
      </c>
      <c r="C293" s="32" t="s">
        <v>2880</v>
      </c>
      <c r="D293" s="120"/>
      <c r="E293" s="54" t="s">
        <v>13</v>
      </c>
      <c r="F293" s="54" t="str">
        <f>IF(ISNUMBER(E293),E293*$D293,"")</f>
        <v/>
      </c>
      <c r="G293" s="35"/>
      <c r="H293" s="36"/>
      <c r="I293" s="121">
        <v>0</v>
      </c>
    </row>
    <row r="294" spans="1:9" hidden="1" x14ac:dyDescent="0.25">
      <c r="A294" s="182"/>
      <c r="B294" s="39" t="s">
        <v>13</v>
      </c>
      <c r="C294" s="39"/>
      <c r="D294" s="122"/>
      <c r="E294" s="55" t="s">
        <v>13</v>
      </c>
      <c r="F294" s="38" t="str">
        <f>IF(ISNUMBER(E294),E294*$D294,"")</f>
        <v/>
      </c>
      <c r="G294" s="42"/>
      <c r="H294" s="38"/>
      <c r="I294" s="121">
        <v>0</v>
      </c>
    </row>
    <row r="295" spans="1:9" ht="25.5" hidden="1" x14ac:dyDescent="0.25">
      <c r="A295" s="182"/>
      <c r="B295" s="43" t="s">
        <v>10647</v>
      </c>
      <c r="C295" s="43" t="s">
        <v>2880</v>
      </c>
      <c r="D295" s="44">
        <v>0.80759999999999998</v>
      </c>
      <c r="E295" s="41">
        <v>199.71849999999998</v>
      </c>
      <c r="F295" s="41">
        <f>IF(ISNUMBER(E295),E295*$D295,"")</f>
        <v>161.29266059999998</v>
      </c>
      <c r="G295" s="46">
        <f>SUM(F295:F303)</f>
        <v>629.908652764875</v>
      </c>
      <c r="H295" s="59"/>
      <c r="I295" s="121">
        <v>0</v>
      </c>
    </row>
    <row r="296" spans="1:9" hidden="1" x14ac:dyDescent="0.25">
      <c r="A296" s="182"/>
      <c r="B296" s="43" t="s">
        <v>10648</v>
      </c>
      <c r="C296" s="43" t="s">
        <v>1044</v>
      </c>
      <c r="D296" s="44">
        <v>274.06349999999998</v>
      </c>
      <c r="E296" s="41">
        <v>0.64600000000000002</v>
      </c>
      <c r="F296" s="41">
        <f>IF(ISNUMBER(E296),E296*$D296,"")</f>
        <v>177.04502099999999</v>
      </c>
      <c r="G296" s="58"/>
      <c r="H296" s="59"/>
      <c r="I296" s="121">
        <v>0</v>
      </c>
    </row>
    <row r="297" spans="1:9" ht="25.5" hidden="1" x14ac:dyDescent="0.25">
      <c r="A297" s="182"/>
      <c r="B297" s="43" t="s">
        <v>10662</v>
      </c>
      <c r="C297" s="43" t="s">
        <v>2880</v>
      </c>
      <c r="D297" s="44">
        <v>0.58130000000000004</v>
      </c>
      <c r="E297" s="41">
        <v>194.8355</v>
      </c>
      <c r="F297" s="41">
        <f>IF(ISNUMBER(E297),E297*$D297,"")</f>
        <v>113.25787615</v>
      </c>
      <c r="G297" s="58"/>
      <c r="H297" s="59"/>
      <c r="I297" s="121">
        <v>0</v>
      </c>
    </row>
    <row r="298" spans="1:9" hidden="1" x14ac:dyDescent="0.25">
      <c r="A298" s="182"/>
      <c r="B298" s="43" t="s">
        <v>10614</v>
      </c>
      <c r="C298" s="43" t="s">
        <v>2800</v>
      </c>
      <c r="D298" s="44">
        <v>2.0266999999999999</v>
      </c>
      <c r="E298" s="38">
        <v>23.693000000000001</v>
      </c>
      <c r="F298" s="41">
        <f>IF(ISNUMBER(E298),E298*$D298,"")</f>
        <v>48.0186031</v>
      </c>
      <c r="G298" s="58"/>
      <c r="H298" s="59"/>
      <c r="I298" s="121">
        <v>0</v>
      </c>
    </row>
    <row r="299" spans="1:9" ht="25.5" hidden="1" x14ac:dyDescent="0.25">
      <c r="A299" s="182"/>
      <c r="B299" s="43" t="s">
        <v>10649</v>
      </c>
      <c r="C299" s="43" t="s">
        <v>2800</v>
      </c>
      <c r="D299" s="44">
        <v>1.2822</v>
      </c>
      <c r="E299" s="38">
        <v>25.745000000000001</v>
      </c>
      <c r="F299" s="124">
        <f>IF(ISNUMBER(E299),E299*$D299,"")</f>
        <v>33.010238999999999</v>
      </c>
      <c r="G299" s="58"/>
      <c r="H299" s="59"/>
      <c r="I299" s="121">
        <v>0</v>
      </c>
    </row>
    <row r="300" spans="1:9" ht="38.25" hidden="1" x14ac:dyDescent="0.25">
      <c r="A300" s="182"/>
      <c r="B300" s="43" t="s">
        <v>10663</v>
      </c>
      <c r="C300" s="43" t="s">
        <v>1050</v>
      </c>
      <c r="D300" s="44">
        <v>0.65990000000000004</v>
      </c>
      <c r="E300" s="38">
        <v>4.9305000000000003</v>
      </c>
      <c r="F300" s="124">
        <f>IF(ISNUMBER(E300),E300*$D300,"")</f>
        <v>3.2536369500000006</v>
      </c>
      <c r="G300" s="58"/>
      <c r="H300" s="59"/>
      <c r="I300" s="121">
        <v>0</v>
      </c>
    </row>
    <row r="301" spans="1:9" ht="38.25" hidden="1" x14ac:dyDescent="0.25">
      <c r="A301" s="182"/>
      <c r="B301" s="43" t="s">
        <v>10664</v>
      </c>
      <c r="C301" s="43" t="s">
        <v>10677</v>
      </c>
      <c r="D301" s="44">
        <v>0.62229999999999996</v>
      </c>
      <c r="E301" s="38">
        <v>1.7004999999999999</v>
      </c>
      <c r="F301" s="41">
        <f>IF(ISNUMBER(E301),E301*$D301,"")</f>
        <v>1.0582211499999998</v>
      </c>
      <c r="G301" s="58"/>
      <c r="H301" s="59"/>
      <c r="I301" s="121">
        <v>0</v>
      </c>
    </row>
    <row r="302" spans="1:9" ht="51" hidden="1" x14ac:dyDescent="0.25">
      <c r="A302" s="182"/>
      <c r="B302" s="43" t="s">
        <v>10624</v>
      </c>
      <c r="C302" s="43" t="s">
        <v>2880</v>
      </c>
      <c r="D302" s="44">
        <f>ROUND(1*(D295+D297),4)</f>
        <v>1.3889</v>
      </c>
      <c r="E302" s="38">
        <v>8.5522277500000001</v>
      </c>
      <c r="F302" s="41">
        <f>IF(ISNUMBER(E302),E302*$D302,"")</f>
        <v>11.878189121975</v>
      </c>
      <c r="G302" s="58"/>
      <c r="H302" s="59"/>
      <c r="I302" s="121">
        <v>0</v>
      </c>
    </row>
    <row r="303" spans="1:9" ht="38.25" hidden="1" x14ac:dyDescent="0.25">
      <c r="A303" s="182"/>
      <c r="B303" s="43" t="s">
        <v>10622</v>
      </c>
      <c r="C303" s="62" t="s">
        <v>10676</v>
      </c>
      <c r="D303" s="44">
        <f>ROUND((D295+D297)*20,4)</f>
        <v>27.777999999999999</v>
      </c>
      <c r="E303" s="38">
        <v>2.9193680499999997</v>
      </c>
      <c r="F303" s="41">
        <f>IF(ISNUMBER(E303),E303*$D303,"")</f>
        <v>81.09420569289999</v>
      </c>
      <c r="G303" s="58"/>
      <c r="H303" s="59"/>
      <c r="I303" s="121">
        <v>0</v>
      </c>
    </row>
    <row r="304" spans="1:9" hidden="1" x14ac:dyDescent="0.25">
      <c r="A304" s="182"/>
      <c r="B304" s="61"/>
      <c r="C304" s="62"/>
      <c r="D304" s="44"/>
      <c r="E304" s="38" t="s">
        <v>13</v>
      </c>
      <c r="F304" s="41" t="str">
        <f>IF(ISNUMBER(E304),E304*$D304,"")</f>
        <v/>
      </c>
      <c r="G304" s="58"/>
      <c r="H304" s="59"/>
      <c r="I304" s="121">
        <v>0</v>
      </c>
    </row>
    <row r="305" spans="1:9" ht="25.5" hidden="1" x14ac:dyDescent="0.25">
      <c r="A305" s="182"/>
      <c r="B305" s="4" t="s">
        <v>78</v>
      </c>
      <c r="C305" s="62"/>
      <c r="D305" s="44"/>
      <c r="E305" s="38" t="s">
        <v>13</v>
      </c>
      <c r="F305" s="41" t="str">
        <f>IF(ISNUMBER(E305),E305*$D305,"")</f>
        <v/>
      </c>
      <c r="G305" s="58"/>
      <c r="H305" s="59"/>
      <c r="I305" s="121">
        <v>0</v>
      </c>
    </row>
    <row r="306" spans="1:9" ht="15.75" hidden="1" thickBot="1" x14ac:dyDescent="0.3">
      <c r="A306" s="183"/>
      <c r="B306" s="49" t="s">
        <v>13</v>
      </c>
      <c r="C306" s="49"/>
      <c r="D306" s="123"/>
      <c r="E306" s="51" t="s">
        <v>13</v>
      </c>
      <c r="F306" s="51" t="str">
        <f>IF(ISNUMBER(E306),E306*$D306,"")</f>
        <v/>
      </c>
      <c r="G306" s="53"/>
      <c r="H306" s="38"/>
      <c r="I306" s="121">
        <v>0</v>
      </c>
    </row>
    <row r="307" spans="1:9" ht="15.75" hidden="1" thickBot="1" x14ac:dyDescent="0.3">
      <c r="A307" s="184" t="s">
        <v>10704</v>
      </c>
      <c r="B307" s="31" t="s">
        <v>13</v>
      </c>
      <c r="C307" s="32" t="s">
        <v>2880</v>
      </c>
      <c r="D307" s="120"/>
      <c r="E307" s="54" t="s">
        <v>13</v>
      </c>
      <c r="F307" s="54" t="str">
        <f>IF(ISNUMBER(E307),E307*$D307,"")</f>
        <v/>
      </c>
      <c r="G307" s="35"/>
      <c r="H307" s="36"/>
      <c r="I307" s="121">
        <v>0</v>
      </c>
    </row>
    <row r="308" spans="1:9" hidden="1" x14ac:dyDescent="0.25">
      <c r="A308" s="182"/>
      <c r="B308" s="39" t="s">
        <v>13</v>
      </c>
      <c r="C308" s="39"/>
      <c r="D308" s="122"/>
      <c r="E308" s="55" t="s">
        <v>13</v>
      </c>
      <c r="F308" s="38" t="str">
        <f>IF(ISNUMBER(E308),E308*$D308,"")</f>
        <v/>
      </c>
      <c r="G308" s="42"/>
      <c r="H308" s="38"/>
      <c r="I308" s="121">
        <v>0</v>
      </c>
    </row>
    <row r="309" spans="1:9" ht="25.5" hidden="1" x14ac:dyDescent="0.25">
      <c r="A309" s="182"/>
      <c r="B309" s="43" t="s">
        <v>10647</v>
      </c>
      <c r="C309" s="43" t="s">
        <v>2880</v>
      </c>
      <c r="D309" s="44">
        <v>0.83250000000000002</v>
      </c>
      <c r="E309" s="41">
        <v>199.71849999999998</v>
      </c>
      <c r="F309" s="41">
        <f>IF(ISNUMBER(E309),E309*$D309,"")</f>
        <v>166.26565124999999</v>
      </c>
      <c r="G309" s="46">
        <f>SUM(F309:F317)</f>
        <v>600.91276229574999</v>
      </c>
      <c r="H309" s="59"/>
      <c r="I309" s="121">
        <v>0</v>
      </c>
    </row>
    <row r="310" spans="1:9" hidden="1" x14ac:dyDescent="0.25">
      <c r="A310" s="182"/>
      <c r="B310" s="43" t="s">
        <v>10648</v>
      </c>
      <c r="C310" s="43" t="s">
        <v>1044</v>
      </c>
      <c r="D310" s="44">
        <v>213.45310000000001</v>
      </c>
      <c r="E310" s="41">
        <v>0.64600000000000002</v>
      </c>
      <c r="F310" s="41">
        <f>IF(ISNUMBER(E310),E310*$D310,"")</f>
        <v>137.8907026</v>
      </c>
      <c r="G310" s="58"/>
      <c r="H310" s="59"/>
      <c r="I310" s="121">
        <v>0</v>
      </c>
    </row>
    <row r="311" spans="1:9" ht="25.5" hidden="1" x14ac:dyDescent="0.25">
      <c r="A311" s="182"/>
      <c r="B311" s="43" t="s">
        <v>10662</v>
      </c>
      <c r="C311" s="43" t="s">
        <v>2880</v>
      </c>
      <c r="D311" s="44">
        <v>0.58209999999999995</v>
      </c>
      <c r="E311" s="41">
        <v>194.8355</v>
      </c>
      <c r="F311" s="41">
        <f>IF(ISNUMBER(E311),E311*$D311,"")</f>
        <v>113.41374454999999</v>
      </c>
      <c r="G311" s="58"/>
      <c r="H311" s="59"/>
      <c r="I311" s="121">
        <v>0</v>
      </c>
    </row>
    <row r="312" spans="1:9" hidden="1" x14ac:dyDescent="0.25">
      <c r="A312" s="182"/>
      <c r="B312" s="43" t="s">
        <v>10614</v>
      </c>
      <c r="C312" s="43" t="s">
        <v>2800</v>
      </c>
      <c r="D312" s="44">
        <v>2.1057999999999999</v>
      </c>
      <c r="E312" s="38">
        <v>23.693000000000001</v>
      </c>
      <c r="F312" s="41">
        <f>IF(ISNUMBER(E312),E312*$D312,"")</f>
        <v>49.892719399999997</v>
      </c>
      <c r="G312" s="58"/>
      <c r="H312" s="59"/>
      <c r="I312" s="121">
        <v>0</v>
      </c>
    </row>
    <row r="313" spans="1:9" ht="25.5" hidden="1" x14ac:dyDescent="0.25">
      <c r="A313" s="182"/>
      <c r="B313" s="43" t="s">
        <v>10649</v>
      </c>
      <c r="C313" s="43" t="s">
        <v>2800</v>
      </c>
      <c r="D313" s="44">
        <v>1.3314999999999999</v>
      </c>
      <c r="E313" s="38">
        <v>25.745000000000001</v>
      </c>
      <c r="F313" s="124">
        <f>IF(ISNUMBER(E313),E313*$D313,"")</f>
        <v>34.279467499999996</v>
      </c>
      <c r="G313" s="58"/>
      <c r="H313" s="59"/>
      <c r="I313" s="121">
        <v>0</v>
      </c>
    </row>
    <row r="314" spans="1:9" ht="38.25" hidden="1" x14ac:dyDescent="0.25">
      <c r="A314" s="182"/>
      <c r="B314" s="43" t="s">
        <v>10663</v>
      </c>
      <c r="C314" s="43" t="s">
        <v>1050</v>
      </c>
      <c r="D314" s="44">
        <v>0.68530000000000002</v>
      </c>
      <c r="E314" s="38">
        <v>4.9305000000000003</v>
      </c>
      <c r="F314" s="124">
        <f>IF(ISNUMBER(E314),E314*$D314,"")</f>
        <v>3.3788716500000002</v>
      </c>
      <c r="G314" s="58"/>
      <c r="H314" s="59"/>
      <c r="I314" s="121">
        <v>0</v>
      </c>
    </row>
    <row r="315" spans="1:9" ht="38.25" hidden="1" x14ac:dyDescent="0.25">
      <c r="A315" s="182"/>
      <c r="B315" s="43" t="s">
        <v>10664</v>
      </c>
      <c r="C315" s="43" t="s">
        <v>10677</v>
      </c>
      <c r="D315" s="44">
        <v>0.6462</v>
      </c>
      <c r="E315" s="38">
        <v>1.7004999999999999</v>
      </c>
      <c r="F315" s="41">
        <f>IF(ISNUMBER(E315),E315*$D315,"")</f>
        <v>1.0988631</v>
      </c>
      <c r="G315" s="58"/>
      <c r="H315" s="59"/>
      <c r="I315" s="121">
        <v>0</v>
      </c>
    </row>
    <row r="316" spans="1:9" ht="51" hidden="1" x14ac:dyDescent="0.25">
      <c r="A316" s="182"/>
      <c r="B316" s="43" t="s">
        <v>10624</v>
      </c>
      <c r="C316" s="43" t="s">
        <v>2880</v>
      </c>
      <c r="D316" s="44">
        <f>ROUND(1*(D309+D311),4)</f>
        <v>1.4146000000000001</v>
      </c>
      <c r="E316" s="38">
        <v>8.5522277500000001</v>
      </c>
      <c r="F316" s="41">
        <f>IF(ISNUMBER(E316),E316*$D316,"")</f>
        <v>12.097981375150001</v>
      </c>
      <c r="G316" s="58"/>
      <c r="H316" s="59"/>
      <c r="I316" s="121">
        <v>0</v>
      </c>
    </row>
    <row r="317" spans="1:9" ht="38.25" hidden="1" x14ac:dyDescent="0.25">
      <c r="A317" s="182"/>
      <c r="B317" s="43" t="s">
        <v>10622</v>
      </c>
      <c r="C317" s="62" t="s">
        <v>10676</v>
      </c>
      <c r="D317" s="44">
        <f>ROUND((D309+D311)*20,4)</f>
        <v>28.292000000000002</v>
      </c>
      <c r="E317" s="38">
        <v>2.9193680499999997</v>
      </c>
      <c r="F317" s="41">
        <f>IF(ISNUMBER(E317),E317*$D317,"")</f>
        <v>82.594760870599998</v>
      </c>
      <c r="G317" s="58"/>
      <c r="H317" s="59"/>
      <c r="I317" s="121">
        <v>0</v>
      </c>
    </row>
    <row r="318" spans="1:9" hidden="1" x14ac:dyDescent="0.25">
      <c r="A318" s="182"/>
      <c r="B318" s="61"/>
      <c r="C318" s="62"/>
      <c r="D318" s="44"/>
      <c r="E318" s="38" t="s">
        <v>13</v>
      </c>
      <c r="F318" s="41" t="str">
        <f>IF(ISNUMBER(E318),E318*$D318,"")</f>
        <v/>
      </c>
      <c r="G318" s="58"/>
      <c r="H318" s="59"/>
      <c r="I318" s="121">
        <v>0</v>
      </c>
    </row>
    <row r="319" spans="1:9" ht="25.5" hidden="1" x14ac:dyDescent="0.25">
      <c r="A319" s="182"/>
      <c r="B319" s="4" t="s">
        <v>78</v>
      </c>
      <c r="C319" s="62"/>
      <c r="D319" s="44"/>
      <c r="E319" s="38" t="s">
        <v>13</v>
      </c>
      <c r="F319" s="41" t="str">
        <f>IF(ISNUMBER(E319),E319*$D319,"")</f>
        <v/>
      </c>
      <c r="G319" s="58"/>
      <c r="H319" s="59"/>
      <c r="I319" s="121">
        <v>0</v>
      </c>
    </row>
    <row r="320" spans="1:9" ht="15.75" hidden="1" thickBot="1" x14ac:dyDescent="0.3">
      <c r="A320" s="183"/>
      <c r="B320" s="49" t="s">
        <v>13</v>
      </c>
      <c r="C320" s="49"/>
      <c r="D320" s="123"/>
      <c r="E320" s="51" t="s">
        <v>13</v>
      </c>
      <c r="F320" s="51" t="str">
        <f>IF(ISNUMBER(E320),E320*$D320,"")</f>
        <v/>
      </c>
      <c r="G320" s="53"/>
      <c r="H320" s="38"/>
      <c r="I320" s="121">
        <v>0</v>
      </c>
    </row>
    <row r="321" spans="1:9" ht="15.75" hidden="1" thickBot="1" x14ac:dyDescent="0.3">
      <c r="A321" s="184" t="s">
        <v>10705</v>
      </c>
      <c r="B321" s="31" t="s">
        <v>13</v>
      </c>
      <c r="C321" s="32" t="s">
        <v>2880</v>
      </c>
      <c r="D321" s="120"/>
      <c r="E321" s="34" t="s">
        <v>13</v>
      </c>
      <c r="F321" s="34" t="str">
        <f>IF(ISNUMBER(E321),E321*$D321,"")</f>
        <v/>
      </c>
      <c r="G321" s="35"/>
      <c r="H321" s="36"/>
      <c r="I321" s="121">
        <v>0</v>
      </c>
    </row>
    <row r="322" spans="1:9" hidden="1" x14ac:dyDescent="0.25">
      <c r="A322" s="182"/>
      <c r="B322" s="39" t="s">
        <v>13</v>
      </c>
      <c r="C322" s="39"/>
      <c r="D322" s="122"/>
      <c r="E322" s="38" t="s">
        <v>13</v>
      </c>
      <c r="F322" s="38" t="str">
        <f>IF(ISNUMBER(E322),E322*$D322,"")</f>
        <v/>
      </c>
      <c r="G322" s="42"/>
      <c r="H322" s="38"/>
      <c r="I322" s="121">
        <v>0</v>
      </c>
    </row>
    <row r="323" spans="1:9" ht="25.5" hidden="1" x14ac:dyDescent="0.25">
      <c r="A323" s="182"/>
      <c r="B323" s="43" t="s">
        <v>10658</v>
      </c>
      <c r="C323" s="43" t="s">
        <v>2880</v>
      </c>
      <c r="D323" s="44">
        <v>1.02</v>
      </c>
      <c r="E323" s="38">
        <v>202.32149999999999</v>
      </c>
      <c r="F323" s="41">
        <f>IF(ISNUMBER(E323),E323*$D323,"")</f>
        <v>206.36793</v>
      </c>
      <c r="G323" s="46">
        <f>SUM(F323:F329)</f>
        <v>619.28009052499999</v>
      </c>
      <c r="H323" s="59"/>
      <c r="I323" s="121">
        <v>0</v>
      </c>
    </row>
    <row r="324" spans="1:9" hidden="1" x14ac:dyDescent="0.25">
      <c r="A324" s="182"/>
      <c r="B324" s="43" t="s">
        <v>10648</v>
      </c>
      <c r="C324" s="43" t="s">
        <v>1044</v>
      </c>
      <c r="D324" s="44">
        <v>343.52</v>
      </c>
      <c r="E324" s="41">
        <v>0.64600000000000002</v>
      </c>
      <c r="F324" s="41">
        <f>IF(ISNUMBER(E324),E324*$D324,"")</f>
        <v>221.91391999999999</v>
      </c>
      <c r="G324" s="58"/>
      <c r="H324" s="59"/>
      <c r="I324" s="121">
        <v>0</v>
      </c>
    </row>
    <row r="325" spans="1:9" ht="25.5" hidden="1" x14ac:dyDescent="0.25">
      <c r="A325" s="182"/>
      <c r="B325" s="43" t="s">
        <v>10649</v>
      </c>
      <c r="C325" s="43" t="s">
        <v>2800</v>
      </c>
      <c r="D325" s="44">
        <v>4.6399999999999997</v>
      </c>
      <c r="E325" s="38">
        <v>25.745000000000001</v>
      </c>
      <c r="F325" s="41">
        <f>IF(ISNUMBER(E325),E325*$D325,"")</f>
        <v>119.4568</v>
      </c>
      <c r="G325" s="58"/>
      <c r="H325" s="59"/>
      <c r="I325" s="121">
        <v>0</v>
      </c>
    </row>
    <row r="326" spans="1:9" ht="38.25" hidden="1" x14ac:dyDescent="0.25">
      <c r="A326" s="182"/>
      <c r="B326" s="43" t="s">
        <v>10650</v>
      </c>
      <c r="C326" s="43" t="s">
        <v>1050</v>
      </c>
      <c r="D326" s="44">
        <v>1.08</v>
      </c>
      <c r="E326" s="38">
        <v>1.6435</v>
      </c>
      <c r="F326" s="41">
        <f>IF(ISNUMBER(E326),E326*$D326,"")</f>
        <v>1.77498</v>
      </c>
      <c r="G326" s="58"/>
      <c r="H326" s="59"/>
      <c r="I326" s="121">
        <v>0</v>
      </c>
    </row>
    <row r="327" spans="1:9" ht="38.25" hidden="1" x14ac:dyDescent="0.25">
      <c r="A327" s="182"/>
      <c r="B327" s="43" t="s">
        <v>10651</v>
      </c>
      <c r="C327" s="43" t="s">
        <v>10677</v>
      </c>
      <c r="D327" s="44">
        <v>3.56</v>
      </c>
      <c r="E327" s="38">
        <v>0.41799999999999998</v>
      </c>
      <c r="F327" s="41">
        <f>IF(ISNUMBER(E327),E327*$D327,"")</f>
        <v>1.4880800000000001</v>
      </c>
      <c r="G327" s="58"/>
      <c r="H327" s="59"/>
      <c r="I327" s="121">
        <v>0</v>
      </c>
    </row>
    <row r="328" spans="1:9" ht="51" hidden="1" x14ac:dyDescent="0.25">
      <c r="A328" s="182"/>
      <c r="B328" s="43" t="s">
        <v>10624</v>
      </c>
      <c r="C328" s="43" t="s">
        <v>2880</v>
      </c>
      <c r="D328" s="44">
        <f>ROUND(1*(D323),4)</f>
        <v>1.02</v>
      </c>
      <c r="E328" s="38">
        <v>8.5522277500000001</v>
      </c>
      <c r="F328" s="41">
        <f>IF(ISNUMBER(E328),E328*$D328,"")</f>
        <v>8.7232723050000001</v>
      </c>
      <c r="G328" s="58"/>
      <c r="H328" s="59"/>
      <c r="I328" s="121">
        <v>0</v>
      </c>
    </row>
    <row r="329" spans="1:9" ht="38.25" hidden="1" x14ac:dyDescent="0.25">
      <c r="A329" s="182"/>
      <c r="B329" s="43" t="s">
        <v>10622</v>
      </c>
      <c r="C329" s="62" t="s">
        <v>10676</v>
      </c>
      <c r="D329" s="44">
        <f>ROUND(D323*20,4)</f>
        <v>20.399999999999999</v>
      </c>
      <c r="E329" s="38">
        <v>2.9193680499999997</v>
      </c>
      <c r="F329" s="41">
        <f>IF(ISNUMBER(E329),E329*$D329,"")</f>
        <v>59.555108219999987</v>
      </c>
      <c r="G329" s="58"/>
      <c r="H329" s="59"/>
      <c r="I329" s="121">
        <v>0</v>
      </c>
    </row>
    <row r="330" spans="1:9" hidden="1" x14ac:dyDescent="0.25">
      <c r="A330" s="182"/>
      <c r="B330" s="43"/>
      <c r="C330" s="43"/>
      <c r="D330" s="44"/>
      <c r="E330" s="38" t="s">
        <v>13</v>
      </c>
      <c r="F330" s="41" t="str">
        <f>IF(ISNUMBER(E330),E330*$D330,"")</f>
        <v/>
      </c>
      <c r="G330" s="58"/>
      <c r="H330" s="59"/>
      <c r="I330" s="121">
        <v>0</v>
      </c>
    </row>
    <row r="331" spans="1:9" hidden="1" x14ac:dyDescent="0.25">
      <c r="A331" s="182"/>
      <c r="B331" s="4" t="s">
        <v>646</v>
      </c>
      <c r="C331" s="62"/>
      <c r="D331" s="44"/>
      <c r="E331" s="38" t="s">
        <v>13</v>
      </c>
      <c r="F331" s="41" t="str">
        <f>IF(ISNUMBER(E331),E331*$D331,"")</f>
        <v/>
      </c>
      <c r="G331" s="58"/>
      <c r="H331" s="59"/>
      <c r="I331" s="121">
        <v>0</v>
      </c>
    </row>
    <row r="332" spans="1:9" ht="15.75" hidden="1" thickBot="1" x14ac:dyDescent="0.3">
      <c r="A332" s="183"/>
      <c r="B332" s="49" t="s">
        <v>13</v>
      </c>
      <c r="C332" s="49"/>
      <c r="D332" s="123"/>
      <c r="E332" s="51" t="s">
        <v>13</v>
      </c>
      <c r="F332" s="52" t="str">
        <f>IF(ISNUMBER(E332),E332*$D332,"")</f>
        <v/>
      </c>
      <c r="G332" s="53"/>
      <c r="H332" s="38"/>
      <c r="I332" s="121">
        <v>0</v>
      </c>
    </row>
    <row r="333" spans="1:9" ht="15.75" hidden="1" thickBot="1" x14ac:dyDescent="0.3">
      <c r="A333" s="184" t="s">
        <v>10624</v>
      </c>
      <c r="B333" s="31" t="s">
        <v>13</v>
      </c>
      <c r="C333" s="32" t="s">
        <v>2880</v>
      </c>
      <c r="D333" s="120"/>
      <c r="E333" s="34" t="s">
        <v>13</v>
      </c>
      <c r="F333" s="32" t="str">
        <f>IF(ISNUMBER(E333),E333*$D333,"")</f>
        <v/>
      </c>
      <c r="G333" s="35"/>
      <c r="H333" s="36"/>
      <c r="I333" s="121">
        <v>0</v>
      </c>
    </row>
    <row r="334" spans="1:9" hidden="1" x14ac:dyDescent="0.25">
      <c r="A334" s="182"/>
      <c r="B334" s="39" t="s">
        <v>13</v>
      </c>
      <c r="C334" s="39"/>
      <c r="D334" s="122"/>
      <c r="E334" s="38" t="s">
        <v>13</v>
      </c>
      <c r="F334" s="38" t="str">
        <f>IF(ISNUMBER(E334),E334*$D334,"")</f>
        <v/>
      </c>
      <c r="G334" s="42"/>
      <c r="H334" s="38"/>
      <c r="I334" s="121">
        <v>0</v>
      </c>
    </row>
    <row r="335" spans="1:9" ht="38.25" hidden="1" x14ac:dyDescent="0.25">
      <c r="A335" s="182"/>
      <c r="B335" s="43" t="s">
        <v>10645</v>
      </c>
      <c r="C335" s="43" t="s">
        <v>1050</v>
      </c>
      <c r="D335" s="44">
        <v>8.3000000000000001E-3</v>
      </c>
      <c r="E335" s="38">
        <v>158.45049999999998</v>
      </c>
      <c r="F335" s="41">
        <f>IF(ISNUMBER(E335),E335*$D335,"")</f>
        <v>1.3151391499999998</v>
      </c>
      <c r="G335" s="46">
        <f>SUM(F335:F338)</f>
        <v>8.5522277499999984</v>
      </c>
      <c r="H335" s="59"/>
      <c r="I335" s="121">
        <v>0</v>
      </c>
    </row>
    <row r="336" spans="1:9" ht="38.25" hidden="1" x14ac:dyDescent="0.25">
      <c r="A336" s="182"/>
      <c r="B336" s="43" t="s">
        <v>10646</v>
      </c>
      <c r="C336" s="43" t="s">
        <v>10677</v>
      </c>
      <c r="D336" s="44">
        <v>1.5100000000000001E-2</v>
      </c>
      <c r="E336" s="38">
        <v>70.471000000000004</v>
      </c>
      <c r="F336" s="41">
        <f>IF(ISNUMBER(E336),E336*$D336,"")</f>
        <v>1.0641121</v>
      </c>
      <c r="G336" s="58"/>
      <c r="H336" s="59"/>
      <c r="I336" s="121">
        <v>0</v>
      </c>
    </row>
    <row r="337" spans="1:9" ht="51" hidden="1" x14ac:dyDescent="0.25">
      <c r="A337" s="182"/>
      <c r="B337" s="43" t="s">
        <v>10640</v>
      </c>
      <c r="C337" s="43" t="s">
        <v>1050</v>
      </c>
      <c r="D337" s="44">
        <v>2.6700000000000002E-2</v>
      </c>
      <c r="E337" s="38">
        <v>182.21949999999998</v>
      </c>
      <c r="F337" s="41">
        <f>IF(ISNUMBER(E337),E337*$D337,"")</f>
        <v>4.8652606499999997</v>
      </c>
      <c r="G337" s="58"/>
      <c r="H337" s="59"/>
      <c r="I337" s="121">
        <v>0</v>
      </c>
    </row>
    <row r="338" spans="1:9" ht="51" hidden="1" x14ac:dyDescent="0.25">
      <c r="A338" s="182"/>
      <c r="B338" s="43" t="s">
        <v>10641</v>
      </c>
      <c r="C338" s="43" t="s">
        <v>10677</v>
      </c>
      <c r="D338" s="44">
        <v>2.0299999999999999E-2</v>
      </c>
      <c r="E338" s="38">
        <v>64.419499999999999</v>
      </c>
      <c r="F338" s="41">
        <f>IF(ISNUMBER(E338),E338*$D338,"")</f>
        <v>1.3077158499999999</v>
      </c>
      <c r="G338" s="58"/>
      <c r="H338" s="59"/>
      <c r="I338" s="121">
        <v>0</v>
      </c>
    </row>
    <row r="339" spans="1:9" ht="15.75" hidden="1" thickBot="1" x14ac:dyDescent="0.3">
      <c r="A339" s="183"/>
      <c r="B339" s="49" t="s">
        <v>13</v>
      </c>
      <c r="C339" s="49"/>
      <c r="D339" s="123"/>
      <c r="E339" s="51" t="s">
        <v>13</v>
      </c>
      <c r="F339" s="52" t="str">
        <f>IF(ISNUMBER(E339),E339*$D339,"")</f>
        <v/>
      </c>
      <c r="G339" s="53"/>
      <c r="H339" s="38"/>
      <c r="I339" s="121">
        <v>0</v>
      </c>
    </row>
    <row r="340" spans="1:9" ht="15.75" hidden="1" thickBot="1" x14ac:dyDescent="0.3">
      <c r="A340" s="184" t="s">
        <v>10706</v>
      </c>
      <c r="B340" s="31" t="s">
        <v>13</v>
      </c>
      <c r="C340" s="32" t="s">
        <v>2885</v>
      </c>
      <c r="D340" s="120"/>
      <c r="E340" s="34" t="s">
        <v>13</v>
      </c>
      <c r="F340" s="32" t="str">
        <f>IF(ISNUMBER(E340),E340*$D340,"")</f>
        <v/>
      </c>
      <c r="G340" s="35"/>
      <c r="H340" s="36"/>
      <c r="I340" s="121">
        <v>0</v>
      </c>
    </row>
    <row r="341" spans="1:9" hidden="1" x14ac:dyDescent="0.25">
      <c r="A341" s="182"/>
      <c r="B341" s="39" t="s">
        <v>13</v>
      </c>
      <c r="C341" s="39"/>
      <c r="D341" s="122"/>
      <c r="E341" s="38" t="s">
        <v>13</v>
      </c>
      <c r="F341" s="38" t="str">
        <f>IF(ISNUMBER(E341),E341*$D341,"")</f>
        <v/>
      </c>
      <c r="G341" s="42"/>
      <c r="H341" s="38"/>
      <c r="I341" s="121">
        <v>0</v>
      </c>
    </row>
    <row r="342" spans="1:9" ht="38.25" hidden="1" x14ac:dyDescent="0.25">
      <c r="A342" s="182"/>
      <c r="B342" s="43" t="s">
        <v>10645</v>
      </c>
      <c r="C342" s="43" t="s">
        <v>1050</v>
      </c>
      <c r="D342" s="44">
        <v>5.5599999999999998E-3</v>
      </c>
      <c r="E342" s="38">
        <v>158.45049999999998</v>
      </c>
      <c r="F342" s="41">
        <f>IF(ISNUMBER(E342),E342*$D342,"")</f>
        <v>0.8809847799999998</v>
      </c>
      <c r="G342" s="46">
        <f>SUM(F342:F345)</f>
        <v>5.7059122299999991</v>
      </c>
      <c r="H342" s="59"/>
      <c r="I342" s="121">
        <v>0</v>
      </c>
    </row>
    <row r="343" spans="1:9" ht="38.25" hidden="1" x14ac:dyDescent="0.25">
      <c r="A343" s="182"/>
      <c r="B343" s="43" t="s">
        <v>10646</v>
      </c>
      <c r="C343" s="43" t="s">
        <v>10677</v>
      </c>
      <c r="D343" s="44">
        <v>1.01E-2</v>
      </c>
      <c r="E343" s="38">
        <v>70.471000000000004</v>
      </c>
      <c r="F343" s="41">
        <f>IF(ISNUMBER(E343),E343*$D343,"")</f>
        <v>0.71175710000000003</v>
      </c>
      <c r="G343" s="58"/>
      <c r="H343" s="59"/>
      <c r="I343" s="121">
        <v>0</v>
      </c>
    </row>
    <row r="344" spans="1:9" ht="51" hidden="1" x14ac:dyDescent="0.25">
      <c r="A344" s="182"/>
      <c r="B344" s="43" t="s">
        <v>10640</v>
      </c>
      <c r="C344" s="43" t="s">
        <v>1050</v>
      </c>
      <c r="D344" s="44">
        <v>1.78E-2</v>
      </c>
      <c r="E344" s="38">
        <v>182.21949999999998</v>
      </c>
      <c r="F344" s="41">
        <f>IF(ISNUMBER(E344),E344*$D344,"")</f>
        <v>3.2435070999999995</v>
      </c>
      <c r="G344" s="58"/>
      <c r="H344" s="59"/>
      <c r="I344" s="121">
        <v>0</v>
      </c>
    </row>
    <row r="345" spans="1:9" ht="51" hidden="1" x14ac:dyDescent="0.25">
      <c r="A345" s="182"/>
      <c r="B345" s="43" t="s">
        <v>10641</v>
      </c>
      <c r="C345" s="43" t="s">
        <v>10677</v>
      </c>
      <c r="D345" s="44">
        <v>1.35E-2</v>
      </c>
      <c r="E345" s="38">
        <v>64.419499999999999</v>
      </c>
      <c r="F345" s="41">
        <f>IF(ISNUMBER(E345),E345*$D345,"")</f>
        <v>0.86966325</v>
      </c>
      <c r="G345" s="58"/>
      <c r="H345" s="59"/>
      <c r="I345" s="121">
        <v>0</v>
      </c>
    </row>
    <row r="346" spans="1:9" ht="15.75" hidden="1" thickBot="1" x14ac:dyDescent="0.3">
      <c r="A346" s="183"/>
      <c r="B346" s="49" t="s">
        <v>13</v>
      </c>
      <c r="C346" s="49"/>
      <c r="D346" s="123"/>
      <c r="E346" s="51" t="s">
        <v>13</v>
      </c>
      <c r="F346" s="52" t="str">
        <f>IF(ISNUMBER(E346),E346*$D346,"")</f>
        <v/>
      </c>
      <c r="G346" s="53"/>
      <c r="H346" s="38"/>
      <c r="I346" s="121">
        <v>0</v>
      </c>
    </row>
    <row r="347" spans="1:9" ht="15.75" hidden="1" thickBot="1" x14ac:dyDescent="0.3">
      <c r="A347" s="184" t="s">
        <v>10707</v>
      </c>
      <c r="B347" s="31" t="s">
        <v>13</v>
      </c>
      <c r="C347" s="32" t="s">
        <v>162</v>
      </c>
      <c r="D347" s="120"/>
      <c r="E347" s="34" t="s">
        <v>13</v>
      </c>
      <c r="F347" s="34" t="str">
        <f>IF(ISNUMBER(E347),E347*$D347,"")</f>
        <v/>
      </c>
      <c r="G347" s="35"/>
      <c r="H347" s="36"/>
      <c r="I347" s="121">
        <v>0</v>
      </c>
    </row>
    <row r="348" spans="1:9" hidden="1" x14ac:dyDescent="0.25">
      <c r="A348" s="182"/>
      <c r="B348" s="39" t="s">
        <v>13</v>
      </c>
      <c r="C348" s="39"/>
      <c r="D348" s="122"/>
      <c r="E348" s="38" t="s">
        <v>13</v>
      </c>
      <c r="F348" s="38" t="str">
        <f>IF(ISNUMBER(E348),E348*$D348,"")</f>
        <v/>
      </c>
      <c r="G348" s="42"/>
      <c r="H348" s="38"/>
      <c r="I348" s="121">
        <v>0</v>
      </c>
    </row>
    <row r="349" spans="1:9" ht="25.5" hidden="1" x14ac:dyDescent="0.25">
      <c r="A349" s="182"/>
      <c r="B349" s="43" t="s">
        <v>10775</v>
      </c>
      <c r="C349" s="43" t="s">
        <v>70</v>
      </c>
      <c r="D349" s="44">
        <v>1.7000000000000001E-2</v>
      </c>
      <c r="E349" s="38">
        <v>8.5310000000000006</v>
      </c>
      <c r="F349" s="41">
        <f>IF(ISNUMBER(E349),E349*$D349,"")</f>
        <v>0.14502700000000002</v>
      </c>
      <c r="G349" s="46">
        <f>SUM(F349:F353)</f>
        <v>158.31798554500003</v>
      </c>
      <c r="H349" s="59"/>
      <c r="I349" s="121">
        <v>0</v>
      </c>
    </row>
    <row r="350" spans="1:9" hidden="1" x14ac:dyDescent="0.25">
      <c r="A350" s="182"/>
      <c r="B350" s="43" t="s">
        <v>10776</v>
      </c>
      <c r="C350" s="43" t="s">
        <v>1044</v>
      </c>
      <c r="D350" s="44">
        <v>2.7E-2</v>
      </c>
      <c r="E350" s="41">
        <v>22.704999999999998</v>
      </c>
      <c r="F350" s="41">
        <f>IF(ISNUMBER(E350),E350*$D350,"")</f>
        <v>0.613035</v>
      </c>
      <c r="G350" s="58"/>
      <c r="H350" s="59"/>
      <c r="I350" s="121">
        <v>0</v>
      </c>
    </row>
    <row r="351" spans="1:9" hidden="1" x14ac:dyDescent="0.25">
      <c r="A351" s="182"/>
      <c r="B351" s="43" t="s">
        <v>10655</v>
      </c>
      <c r="C351" s="43" t="s">
        <v>2800</v>
      </c>
      <c r="D351" s="44">
        <v>0.48899999999999999</v>
      </c>
      <c r="E351" s="38">
        <v>24.358000000000001</v>
      </c>
      <c r="F351" s="41">
        <f>IF(ISNUMBER(E351),E351*$D351,"")</f>
        <v>11.911061999999999</v>
      </c>
      <c r="G351" s="58"/>
      <c r="H351" s="59"/>
      <c r="I351" s="121">
        <v>0</v>
      </c>
    </row>
    <row r="352" spans="1:9" hidden="1" x14ac:dyDescent="0.25">
      <c r="A352" s="182"/>
      <c r="B352" s="43" t="s">
        <v>10613</v>
      </c>
      <c r="C352" s="43" t="s">
        <v>2800</v>
      </c>
      <c r="D352" s="44">
        <v>2.6680000000000001</v>
      </c>
      <c r="E352" s="38">
        <v>30.628</v>
      </c>
      <c r="F352" s="41">
        <f>IF(ISNUMBER(E352),E352*$D352,"")</f>
        <v>81.71550400000001</v>
      </c>
      <c r="G352" s="58"/>
      <c r="H352" s="59"/>
      <c r="I352" s="121">
        <v>0</v>
      </c>
    </row>
    <row r="353" spans="1:9" ht="25.5" hidden="1" x14ac:dyDescent="0.25">
      <c r="A353" s="182"/>
      <c r="B353" s="43" t="s">
        <v>10626</v>
      </c>
      <c r="C353" s="43" t="s">
        <v>162</v>
      </c>
      <c r="D353" s="44">
        <v>0.53</v>
      </c>
      <c r="E353" s="38">
        <v>120.62897650000002</v>
      </c>
      <c r="F353" s="41">
        <f>IF(ISNUMBER(E353),E353*$D353,"")</f>
        <v>63.933357545000014</v>
      </c>
      <c r="G353" s="58"/>
      <c r="H353" s="59"/>
      <c r="I353" s="121">
        <v>0</v>
      </c>
    </row>
    <row r="354" spans="1:9" ht="15.75" hidden="1" thickBot="1" x14ac:dyDescent="0.3">
      <c r="A354" s="183"/>
      <c r="B354" s="49" t="s">
        <v>13</v>
      </c>
      <c r="C354" s="49"/>
      <c r="D354" s="123"/>
      <c r="E354" s="51" t="s">
        <v>13</v>
      </c>
      <c r="F354" s="52" t="str">
        <f>IF(ISNUMBER(E354),E354*$D354,"")</f>
        <v/>
      </c>
      <c r="G354" s="53"/>
      <c r="H354" s="38"/>
      <c r="I354" s="121">
        <v>0</v>
      </c>
    </row>
    <row r="355" spans="1:9" ht="15.75" hidden="1" thickBot="1" x14ac:dyDescent="0.3">
      <c r="A355" s="184" t="s">
        <v>10708</v>
      </c>
      <c r="B355" s="31" t="s">
        <v>13</v>
      </c>
      <c r="C355" s="32" t="s">
        <v>162</v>
      </c>
      <c r="D355" s="120"/>
      <c r="E355" s="34" t="s">
        <v>13</v>
      </c>
      <c r="F355" s="34" t="str">
        <f>IF(ISNUMBER(E355),E355*$D355,"")</f>
        <v/>
      </c>
      <c r="G355" s="35"/>
      <c r="H355" s="36"/>
      <c r="I355" s="121">
        <v>0</v>
      </c>
    </row>
    <row r="356" spans="1:9" hidden="1" x14ac:dyDescent="0.25">
      <c r="A356" s="182"/>
      <c r="B356" s="39" t="s">
        <v>13</v>
      </c>
      <c r="C356" s="39"/>
      <c r="D356" s="122"/>
      <c r="E356" s="38" t="s">
        <v>13</v>
      </c>
      <c r="F356" s="38" t="str">
        <f>IF(ISNUMBER(E356),E356*$D356,"")</f>
        <v/>
      </c>
      <c r="G356" s="42"/>
      <c r="H356" s="38"/>
      <c r="I356" s="121">
        <v>0</v>
      </c>
    </row>
    <row r="357" spans="1:9" ht="38.25" hidden="1" x14ac:dyDescent="0.25">
      <c r="A357" s="182"/>
      <c r="B357" s="43" t="s">
        <v>10627</v>
      </c>
      <c r="C357" s="43" t="s">
        <v>2880</v>
      </c>
      <c r="D357" s="44">
        <v>4.1999999999999997E-3</v>
      </c>
      <c r="E357" s="38">
        <v>645.57248931250001</v>
      </c>
      <c r="F357" s="41">
        <f>IF(ISNUMBER(E357),E357*$D357,"")</f>
        <v>2.7114044551125001</v>
      </c>
      <c r="G357" s="46">
        <f>SUM(F357:F359)</f>
        <v>5.0511404551124999</v>
      </c>
      <c r="H357" s="59"/>
      <c r="I357" s="121">
        <v>0</v>
      </c>
    </row>
    <row r="358" spans="1:9" hidden="1" x14ac:dyDescent="0.25">
      <c r="A358" s="182"/>
      <c r="B358" s="43" t="s">
        <v>10757</v>
      </c>
      <c r="C358" s="43" t="s">
        <v>2800</v>
      </c>
      <c r="D358" s="44">
        <v>7.0000000000000007E-2</v>
      </c>
      <c r="E358" s="41">
        <v>31.055499999999995</v>
      </c>
      <c r="F358" s="41">
        <f>IF(ISNUMBER(E358),E358*$D358,"")</f>
        <v>2.1738849999999998</v>
      </c>
      <c r="G358" s="58"/>
      <c r="H358" s="59"/>
      <c r="I358" s="121">
        <v>0</v>
      </c>
    </row>
    <row r="359" spans="1:9" hidden="1" x14ac:dyDescent="0.25">
      <c r="A359" s="182"/>
      <c r="B359" s="43" t="s">
        <v>10614</v>
      </c>
      <c r="C359" s="43" t="s">
        <v>2800</v>
      </c>
      <c r="D359" s="44">
        <v>7.0000000000000001E-3</v>
      </c>
      <c r="E359" s="38">
        <v>23.693000000000001</v>
      </c>
      <c r="F359" s="41">
        <f>IF(ISNUMBER(E359),E359*$D359,"")</f>
        <v>0.16585100000000003</v>
      </c>
      <c r="G359" s="58"/>
      <c r="H359" s="59"/>
      <c r="I359" s="121">
        <v>0</v>
      </c>
    </row>
    <row r="360" spans="1:9" ht="15.75" hidden="1" thickBot="1" x14ac:dyDescent="0.3">
      <c r="A360" s="183"/>
      <c r="B360" s="49"/>
      <c r="C360" s="49"/>
      <c r="D360" s="50"/>
      <c r="E360" s="51" t="s">
        <v>13</v>
      </c>
      <c r="F360" s="52" t="str">
        <f>IF(ISNUMBER(E360),E360*$D360,"")</f>
        <v/>
      </c>
      <c r="G360" s="64"/>
      <c r="H360" s="59"/>
      <c r="I360" s="121">
        <v>0</v>
      </c>
    </row>
    <row r="361" spans="1:9" ht="15.75" hidden="1" thickBot="1" x14ac:dyDescent="0.3">
      <c r="A361" s="184" t="s">
        <v>10709</v>
      </c>
      <c r="B361" s="31" t="s">
        <v>13</v>
      </c>
      <c r="C361" s="32" t="s">
        <v>162</v>
      </c>
      <c r="D361" s="120"/>
      <c r="E361" s="34" t="s">
        <v>13</v>
      </c>
      <c r="F361" s="34" t="str">
        <f>IF(ISNUMBER(E361),E361*$D361,"")</f>
        <v/>
      </c>
      <c r="G361" s="35"/>
      <c r="H361" s="36"/>
      <c r="I361" s="121">
        <v>0</v>
      </c>
    </row>
    <row r="362" spans="1:9" hidden="1" x14ac:dyDescent="0.25">
      <c r="A362" s="182"/>
      <c r="B362" s="39" t="s">
        <v>13</v>
      </c>
      <c r="C362" s="39"/>
      <c r="D362" s="122"/>
      <c r="E362" s="38" t="s">
        <v>13</v>
      </c>
      <c r="F362" s="38" t="str">
        <f>IF(ISNUMBER(E362),E362*$D362,"")</f>
        <v/>
      </c>
      <c r="G362" s="42"/>
      <c r="H362" s="38"/>
      <c r="I362" s="121">
        <v>0</v>
      </c>
    </row>
    <row r="363" spans="1:9" ht="51" hidden="1" x14ac:dyDescent="0.25">
      <c r="A363" s="182"/>
      <c r="B363" s="43" t="s">
        <v>10628</v>
      </c>
      <c r="C363" s="43" t="s">
        <v>2880</v>
      </c>
      <c r="D363" s="44">
        <v>1.9400000000000001E-2</v>
      </c>
      <c r="E363" s="38">
        <v>811.23146795000002</v>
      </c>
      <c r="F363" s="41">
        <f>IF(ISNUMBER(E363),E363*$D363,"")</f>
        <v>15.737890478230002</v>
      </c>
      <c r="G363" s="46">
        <f>SUM(F363:F365)</f>
        <v>35.387006478229999</v>
      </c>
      <c r="H363" s="59"/>
      <c r="I363" s="121">
        <v>0</v>
      </c>
    </row>
    <row r="364" spans="1:9" hidden="1" x14ac:dyDescent="0.25">
      <c r="A364" s="182"/>
      <c r="B364" s="43" t="s">
        <v>10757</v>
      </c>
      <c r="C364" s="43" t="s">
        <v>2800</v>
      </c>
      <c r="D364" s="44">
        <v>0.45800000000000002</v>
      </c>
      <c r="E364" s="41">
        <v>31.055499999999995</v>
      </c>
      <c r="F364" s="41">
        <f>IF(ISNUMBER(E364),E364*$D364,"")</f>
        <v>14.223418999999998</v>
      </c>
      <c r="G364" s="58"/>
      <c r="H364" s="59"/>
      <c r="I364" s="121">
        <v>0</v>
      </c>
    </row>
    <row r="365" spans="1:9" hidden="1" x14ac:dyDescent="0.25">
      <c r="A365" s="182"/>
      <c r="B365" s="43" t="s">
        <v>10614</v>
      </c>
      <c r="C365" s="43" t="s">
        <v>2800</v>
      </c>
      <c r="D365" s="44">
        <v>0.22900000000000001</v>
      </c>
      <c r="E365" s="38">
        <v>23.693000000000001</v>
      </c>
      <c r="F365" s="41">
        <f>IF(ISNUMBER(E365),E365*$D365,"")</f>
        <v>5.4256970000000004</v>
      </c>
      <c r="G365" s="58"/>
      <c r="H365" s="59"/>
      <c r="I365" s="121">
        <v>0</v>
      </c>
    </row>
    <row r="366" spans="1:9" ht="15.75" hidden="1" thickBot="1" x14ac:dyDescent="0.3">
      <c r="A366" s="183"/>
      <c r="B366" s="49"/>
      <c r="C366" s="49"/>
      <c r="D366" s="50"/>
      <c r="E366" s="51" t="s">
        <v>13</v>
      </c>
      <c r="F366" s="52" t="str">
        <f>IF(ISNUMBER(E366),E366*$D366,"")</f>
        <v/>
      </c>
      <c r="G366" s="64"/>
      <c r="H366" s="59"/>
      <c r="I366" s="121">
        <v>0</v>
      </c>
    </row>
    <row r="367" spans="1:9" ht="15.75" hidden="1" thickBot="1" x14ac:dyDescent="0.3">
      <c r="A367" s="184" t="s">
        <v>10710</v>
      </c>
      <c r="B367" s="31" t="s">
        <v>13</v>
      </c>
      <c r="C367" s="32" t="s">
        <v>162</v>
      </c>
      <c r="D367" s="120"/>
      <c r="E367" s="34" t="s">
        <v>13</v>
      </c>
      <c r="F367" s="34" t="str">
        <f>IF(ISNUMBER(E367),E367*$D367,"")</f>
        <v/>
      </c>
      <c r="G367" s="35"/>
      <c r="H367" s="36"/>
      <c r="I367" s="121">
        <v>0</v>
      </c>
    </row>
    <row r="368" spans="1:9" hidden="1" x14ac:dyDescent="0.25">
      <c r="A368" s="182"/>
      <c r="B368" s="39" t="s">
        <v>13</v>
      </c>
      <c r="C368" s="39"/>
      <c r="D368" s="122"/>
      <c r="E368" s="38" t="s">
        <v>13</v>
      </c>
      <c r="F368" s="38" t="str">
        <f>IF(ISNUMBER(E368),E368*$D368,"")</f>
        <v/>
      </c>
      <c r="G368" s="42"/>
      <c r="H368" s="38"/>
      <c r="I368" s="121">
        <v>0</v>
      </c>
    </row>
    <row r="369" spans="1:9" ht="25.5" hidden="1" x14ac:dyDescent="0.25">
      <c r="A369" s="182"/>
      <c r="B369" s="43" t="s">
        <v>10777</v>
      </c>
      <c r="C369" s="43" t="s">
        <v>1302</v>
      </c>
      <c r="D369" s="44">
        <v>0.42</v>
      </c>
      <c r="E369" s="38">
        <v>2.0044999999999997</v>
      </c>
      <c r="F369" s="41">
        <f>IF(ISNUMBER(E369),E369*$D369,"")</f>
        <v>0.84188999999999981</v>
      </c>
      <c r="G369" s="46">
        <f>SUM(F369:F374)</f>
        <v>69.803244766679995</v>
      </c>
      <c r="H369" s="59"/>
      <c r="I369" s="121">
        <v>0</v>
      </c>
    </row>
    <row r="370" spans="1:9" hidden="1" x14ac:dyDescent="0.25">
      <c r="A370" s="182"/>
      <c r="B370" s="43" t="s">
        <v>10778</v>
      </c>
      <c r="C370" s="43" t="s">
        <v>10818</v>
      </c>
      <c r="D370" s="44">
        <v>5.0000000000000001E-3</v>
      </c>
      <c r="E370" s="41">
        <v>39.833500000000001</v>
      </c>
      <c r="F370" s="41">
        <f>IF(ISNUMBER(E370),E370*$D370,"")</f>
        <v>0.1991675</v>
      </c>
      <c r="G370" s="58"/>
      <c r="H370" s="59"/>
      <c r="I370" s="121">
        <v>0</v>
      </c>
    </row>
    <row r="371" spans="1:9" ht="25.5" hidden="1" x14ac:dyDescent="0.25">
      <c r="A371" s="182"/>
      <c r="B371" s="43" t="s">
        <v>10779</v>
      </c>
      <c r="C371" s="43" t="s">
        <v>83</v>
      </c>
      <c r="D371" s="44">
        <v>13.6</v>
      </c>
      <c r="E371" s="38">
        <v>2.5745</v>
      </c>
      <c r="F371" s="41">
        <f>IF(ISNUMBER(E371),E371*$D371,"")</f>
        <v>35.013199999999998</v>
      </c>
      <c r="G371" s="58"/>
      <c r="H371" s="59"/>
      <c r="I371" s="121">
        <v>0</v>
      </c>
    </row>
    <row r="372" spans="1:9" ht="51" hidden="1" x14ac:dyDescent="0.25">
      <c r="A372" s="182"/>
      <c r="B372" s="43" t="s">
        <v>10628</v>
      </c>
      <c r="C372" s="43" t="s">
        <v>2880</v>
      </c>
      <c r="D372" s="44">
        <v>1.04E-2</v>
      </c>
      <c r="E372" s="38">
        <v>811.23146795000002</v>
      </c>
      <c r="F372" s="41">
        <f>IF(ISNUMBER(E372),E372*$D372,"")</f>
        <v>8.4368072666800007</v>
      </c>
      <c r="G372" s="58"/>
      <c r="H372" s="59"/>
      <c r="I372" s="121">
        <v>0</v>
      </c>
    </row>
    <row r="373" spans="1:9" hidden="1" x14ac:dyDescent="0.25">
      <c r="A373" s="182"/>
      <c r="B373" s="43" t="s">
        <v>10757</v>
      </c>
      <c r="C373" s="43" t="s">
        <v>2800</v>
      </c>
      <c r="D373" s="44">
        <v>0.59</v>
      </c>
      <c r="E373" s="38">
        <v>31.055499999999995</v>
      </c>
      <c r="F373" s="41">
        <f>IF(ISNUMBER(E373),E373*$D373,"")</f>
        <v>18.322744999999998</v>
      </c>
      <c r="G373" s="58"/>
      <c r="H373" s="59"/>
      <c r="I373" s="121">
        <v>0</v>
      </c>
    </row>
    <row r="374" spans="1:9" hidden="1" x14ac:dyDescent="0.25">
      <c r="A374" s="182"/>
      <c r="B374" s="43" t="s">
        <v>10614</v>
      </c>
      <c r="C374" s="43" t="s">
        <v>2800</v>
      </c>
      <c r="D374" s="44">
        <v>0.29499999999999998</v>
      </c>
      <c r="E374" s="38">
        <v>23.693000000000001</v>
      </c>
      <c r="F374" s="41">
        <f>IF(ISNUMBER(E374),E374*$D374,"")</f>
        <v>6.9894350000000003</v>
      </c>
      <c r="G374" s="58"/>
      <c r="H374" s="59"/>
      <c r="I374" s="121">
        <v>0</v>
      </c>
    </row>
    <row r="375" spans="1:9" ht="15.75" hidden="1" thickBot="1" x14ac:dyDescent="0.3">
      <c r="A375" s="183"/>
      <c r="B375" s="49" t="s">
        <v>13</v>
      </c>
      <c r="C375" s="49"/>
      <c r="D375" s="123"/>
      <c r="E375" s="51" t="s">
        <v>13</v>
      </c>
      <c r="F375" s="52" t="str">
        <f>IF(ISNUMBER(E375),E375*$D375,"")</f>
        <v/>
      </c>
      <c r="G375" s="53"/>
      <c r="H375" s="38"/>
      <c r="I375" s="121">
        <v>0</v>
      </c>
    </row>
    <row r="376" spans="1:9" ht="15.75" hidden="1" thickBot="1" x14ac:dyDescent="0.3">
      <c r="A376" s="184" t="s">
        <v>10626</v>
      </c>
      <c r="B376" s="31" t="s">
        <v>13</v>
      </c>
      <c r="C376" s="32" t="s">
        <v>162</v>
      </c>
      <c r="D376" s="120"/>
      <c r="E376" s="54" t="s">
        <v>13</v>
      </c>
      <c r="F376" s="54" t="str">
        <f>IF(ISNUMBER(E376),E376*$D376,"")</f>
        <v/>
      </c>
      <c r="G376" s="35"/>
      <c r="H376" s="36"/>
      <c r="I376" s="121">
        <v>0</v>
      </c>
    </row>
    <row r="377" spans="1:9" hidden="1" x14ac:dyDescent="0.25">
      <c r="A377" s="182"/>
      <c r="B377" s="39" t="s">
        <v>13</v>
      </c>
      <c r="C377" s="128"/>
      <c r="D377" s="122"/>
      <c r="E377" s="55" t="s">
        <v>13</v>
      </c>
      <c r="F377" s="38" t="str">
        <f>IF(ISNUMBER(E377),E377*$D377,"")</f>
        <v/>
      </c>
      <c r="G377" s="42"/>
      <c r="H377" s="38"/>
      <c r="I377" s="121">
        <v>0</v>
      </c>
    </row>
    <row r="378" spans="1:9" ht="25.5" hidden="1" x14ac:dyDescent="0.25">
      <c r="A378" s="182"/>
      <c r="B378" s="43" t="s">
        <v>10652</v>
      </c>
      <c r="C378" s="43" t="s">
        <v>1302</v>
      </c>
      <c r="D378" s="44">
        <v>4.4320000000000004</v>
      </c>
      <c r="E378" s="41">
        <v>2.5554999999999999</v>
      </c>
      <c r="F378" s="41">
        <f>IF(ISNUMBER(E378),E378*$D378,"")</f>
        <v>11.325976000000001</v>
      </c>
      <c r="G378" s="46">
        <f>SUM(F378:F384)</f>
        <v>120.62897649999999</v>
      </c>
      <c r="H378" s="59"/>
      <c r="I378" s="121">
        <v>0</v>
      </c>
    </row>
    <row r="379" spans="1:9" hidden="1" x14ac:dyDescent="0.25">
      <c r="A379" s="182"/>
      <c r="B379" s="43" t="s">
        <v>10653</v>
      </c>
      <c r="C379" s="43" t="s">
        <v>1044</v>
      </c>
      <c r="D379" s="44">
        <v>8.5999999999999993E-2</v>
      </c>
      <c r="E379" s="41">
        <v>18.401499999999999</v>
      </c>
      <c r="F379" s="41">
        <f>IF(ISNUMBER(E379),E379*$D379,"")</f>
        <v>1.5825289999999999</v>
      </c>
      <c r="G379" s="58"/>
      <c r="H379" s="59"/>
      <c r="I379" s="121">
        <v>0</v>
      </c>
    </row>
    <row r="380" spans="1:9" ht="25.5" hidden="1" x14ac:dyDescent="0.25">
      <c r="A380" s="182"/>
      <c r="B380" s="43" t="s">
        <v>10654</v>
      </c>
      <c r="C380" s="43" t="s">
        <v>1302</v>
      </c>
      <c r="D380" s="44">
        <v>6.53</v>
      </c>
      <c r="E380" s="38">
        <v>12.112499999999999</v>
      </c>
      <c r="F380" s="41">
        <f>IF(ISNUMBER(E380),E380*$D380,"")</f>
        <v>79.094624999999994</v>
      </c>
      <c r="G380" s="58"/>
      <c r="H380" s="59"/>
      <c r="I380" s="121">
        <v>0</v>
      </c>
    </row>
    <row r="381" spans="1:9" hidden="1" x14ac:dyDescent="0.25">
      <c r="A381" s="182"/>
      <c r="B381" s="43" t="s">
        <v>10655</v>
      </c>
      <c r="C381" s="43" t="s">
        <v>2800</v>
      </c>
      <c r="D381" s="44">
        <v>0.14299999999999999</v>
      </c>
      <c r="E381" s="38">
        <v>24.358000000000001</v>
      </c>
      <c r="F381" s="41">
        <f>IF(ISNUMBER(E381),E381*$D381,"")</f>
        <v>3.4831939999999997</v>
      </c>
      <c r="G381" s="58"/>
      <c r="H381" s="59"/>
      <c r="I381" s="121">
        <v>0</v>
      </c>
    </row>
    <row r="382" spans="1:9" hidden="1" x14ac:dyDescent="0.25">
      <c r="A382" s="182"/>
      <c r="B382" s="43" t="s">
        <v>10613</v>
      </c>
      <c r="C382" s="43" t="s">
        <v>2800</v>
      </c>
      <c r="D382" s="44">
        <v>0.60699999999999998</v>
      </c>
      <c r="E382" s="38">
        <v>30.628</v>
      </c>
      <c r="F382" s="41">
        <f>IF(ISNUMBER(E382),E382*$D382,"")</f>
        <v>18.591196</v>
      </c>
      <c r="G382" s="58"/>
      <c r="H382" s="59"/>
      <c r="I382" s="121">
        <v>0</v>
      </c>
    </row>
    <row r="383" spans="1:9" ht="25.5" hidden="1" x14ac:dyDescent="0.25">
      <c r="A383" s="182"/>
      <c r="B383" s="43" t="s">
        <v>10656</v>
      </c>
      <c r="C383" s="43" t="s">
        <v>1050</v>
      </c>
      <c r="D383" s="44">
        <v>0.05</v>
      </c>
      <c r="E383" s="38">
        <v>26.884999999999998</v>
      </c>
      <c r="F383" s="41">
        <f>IF(ISNUMBER(E383),E383*$D383,"")</f>
        <v>1.3442499999999999</v>
      </c>
      <c r="G383" s="58"/>
      <c r="H383" s="59"/>
      <c r="I383" s="121">
        <v>0</v>
      </c>
    </row>
    <row r="384" spans="1:9" ht="25.5" hidden="1" x14ac:dyDescent="0.25">
      <c r="A384" s="182"/>
      <c r="B384" s="43" t="s">
        <v>10657</v>
      </c>
      <c r="C384" s="43" t="s">
        <v>10677</v>
      </c>
      <c r="D384" s="44">
        <v>0.20100000000000001</v>
      </c>
      <c r="E384" s="41">
        <v>25.906499999999998</v>
      </c>
      <c r="F384" s="41">
        <f>IF(ISNUMBER(E384),E384*$D384,"")</f>
        <v>5.2072064999999998</v>
      </c>
      <c r="G384" s="58"/>
      <c r="H384" s="59"/>
      <c r="I384" s="121">
        <v>0</v>
      </c>
    </row>
    <row r="385" spans="1:9" ht="15.75" hidden="1" thickBot="1" x14ac:dyDescent="0.3">
      <c r="A385" s="183"/>
      <c r="B385" s="92"/>
      <c r="C385" s="129"/>
      <c r="D385" s="123"/>
      <c r="E385" s="51" t="s">
        <v>13</v>
      </c>
      <c r="F385" s="51" t="str">
        <f>IF(ISNUMBER(E385),E385*$D385,"")</f>
        <v/>
      </c>
      <c r="G385" s="53"/>
      <c r="H385" s="38"/>
      <c r="I385" s="121">
        <v>0</v>
      </c>
    </row>
    <row r="386" spans="1:9" ht="15.75" hidden="1" thickBot="1" x14ac:dyDescent="0.3">
      <c r="A386" s="184" t="s">
        <v>10627</v>
      </c>
      <c r="B386" s="31" t="s">
        <v>13</v>
      </c>
      <c r="C386" s="32" t="s">
        <v>2880</v>
      </c>
      <c r="D386" s="120"/>
      <c r="E386" s="54" t="s">
        <v>13</v>
      </c>
      <c r="F386" s="54" t="str">
        <f>IF(ISNUMBER(E386),E386*$D386,"")</f>
        <v/>
      </c>
      <c r="G386" s="35"/>
      <c r="H386" s="36"/>
      <c r="I386" s="121">
        <v>0</v>
      </c>
    </row>
    <row r="387" spans="1:9" hidden="1" x14ac:dyDescent="0.25">
      <c r="A387" s="182"/>
      <c r="B387" s="39" t="s">
        <v>13</v>
      </c>
      <c r="C387" s="128"/>
      <c r="D387" s="122"/>
      <c r="E387" s="55" t="s">
        <v>13</v>
      </c>
      <c r="F387" s="38" t="str">
        <f>IF(ISNUMBER(E387),E387*$D387,"")</f>
        <v/>
      </c>
      <c r="G387" s="42"/>
      <c r="H387" s="38"/>
      <c r="I387" s="121">
        <v>0</v>
      </c>
    </row>
    <row r="388" spans="1:9" ht="25.5" hidden="1" x14ac:dyDescent="0.25">
      <c r="A388" s="182"/>
      <c r="B388" s="43" t="s">
        <v>10658</v>
      </c>
      <c r="C388" s="43" t="s">
        <v>2880</v>
      </c>
      <c r="D388" s="44">
        <v>0.95</v>
      </c>
      <c r="E388" s="41">
        <v>202.32149999999999</v>
      </c>
      <c r="F388" s="41">
        <f>IF(ISNUMBER(E388),E388*$D388,"")</f>
        <v>192.20542499999999</v>
      </c>
      <c r="G388" s="46">
        <f>SUM(F388:F396)</f>
        <v>645.57248931250001</v>
      </c>
      <c r="H388" s="59"/>
      <c r="I388" s="121">
        <v>0</v>
      </c>
    </row>
    <row r="389" spans="1:9" hidden="1" x14ac:dyDescent="0.25">
      <c r="A389" s="182"/>
      <c r="B389" s="43" t="s">
        <v>10648</v>
      </c>
      <c r="C389" s="43" t="s">
        <v>1044</v>
      </c>
      <c r="D389" s="44">
        <v>426.49</v>
      </c>
      <c r="E389" s="41">
        <v>0.64600000000000002</v>
      </c>
      <c r="F389" s="41">
        <f>IF(ISNUMBER(E389),E389*$D389,"")</f>
        <v>275.51254</v>
      </c>
      <c r="G389" s="58"/>
      <c r="H389" s="59"/>
      <c r="I389" s="121">
        <v>0</v>
      </c>
    </row>
    <row r="390" spans="1:9" ht="25.5" hidden="1" x14ac:dyDescent="0.25">
      <c r="A390" s="182"/>
      <c r="B390" s="43" t="s">
        <v>10649</v>
      </c>
      <c r="C390" s="43" t="s">
        <v>2800</v>
      </c>
      <c r="D390" s="44">
        <v>4.32</v>
      </c>
      <c r="E390" s="38">
        <v>25.745000000000001</v>
      </c>
      <c r="F390" s="41">
        <f>IF(ISNUMBER(E390),E390*$D390,"")</f>
        <v>111.21840000000002</v>
      </c>
      <c r="G390" s="58"/>
      <c r="H390" s="59"/>
      <c r="I390" s="121">
        <v>0</v>
      </c>
    </row>
    <row r="391" spans="1:9" ht="38.25" hidden="1" x14ac:dyDescent="0.25">
      <c r="A391" s="182"/>
      <c r="B391" s="43" t="s">
        <v>10650</v>
      </c>
      <c r="C391" s="43" t="s">
        <v>1050</v>
      </c>
      <c r="D391" s="44">
        <v>1.01</v>
      </c>
      <c r="E391" s="38">
        <v>1.6435</v>
      </c>
      <c r="F391" s="41">
        <f>IF(ISNUMBER(E391),E391*$D391,"")</f>
        <v>1.6599349999999999</v>
      </c>
      <c r="G391" s="58"/>
      <c r="H391" s="59"/>
      <c r="I391" s="121">
        <v>0</v>
      </c>
    </row>
    <row r="392" spans="1:9" ht="38.25" hidden="1" x14ac:dyDescent="0.25">
      <c r="A392" s="182"/>
      <c r="B392" s="43" t="s">
        <v>10651</v>
      </c>
      <c r="C392" s="43" t="s">
        <v>10677</v>
      </c>
      <c r="D392" s="44">
        <v>3.31</v>
      </c>
      <c r="E392" s="38">
        <v>0.41799999999999998</v>
      </c>
      <c r="F392" s="41">
        <f>IF(ISNUMBER(E392),E392*$D392,"")</f>
        <v>1.38358</v>
      </c>
      <c r="G392" s="58"/>
      <c r="H392" s="59"/>
      <c r="I392" s="121">
        <v>0</v>
      </c>
    </row>
    <row r="393" spans="1:9" ht="51" hidden="1" x14ac:dyDescent="0.25">
      <c r="A393" s="182"/>
      <c r="B393" s="43" t="s">
        <v>10624</v>
      </c>
      <c r="C393" s="43" t="s">
        <v>2880</v>
      </c>
      <c r="D393" s="44">
        <f>ROUND(1*(D388),4)</f>
        <v>0.95</v>
      </c>
      <c r="E393" s="38">
        <v>8.5522277500000001</v>
      </c>
      <c r="F393" s="41">
        <f>IF(ISNUMBER(E393),E393*$D393,"")</f>
        <v>8.1246163624999994</v>
      </c>
      <c r="G393" s="58"/>
      <c r="H393" s="59"/>
      <c r="I393" s="121">
        <v>0</v>
      </c>
    </row>
    <row r="394" spans="1:9" ht="38.25" hidden="1" x14ac:dyDescent="0.25">
      <c r="A394" s="182"/>
      <c r="B394" s="43" t="s">
        <v>10622</v>
      </c>
      <c r="C394" s="62" t="s">
        <v>10676</v>
      </c>
      <c r="D394" s="44">
        <f>ROUND(D388*20,4)</f>
        <v>19</v>
      </c>
      <c r="E394" s="38">
        <v>2.9193680499999997</v>
      </c>
      <c r="F394" s="41">
        <f>IF(ISNUMBER(E394),E394*$D394,"")</f>
        <v>55.467992949999996</v>
      </c>
      <c r="G394" s="58"/>
      <c r="H394" s="59"/>
      <c r="I394" s="121">
        <v>0</v>
      </c>
    </row>
    <row r="395" spans="1:9" hidden="1" x14ac:dyDescent="0.25">
      <c r="A395" s="182"/>
      <c r="B395" s="61"/>
      <c r="C395" s="130"/>
      <c r="D395" s="44"/>
      <c r="E395" s="38" t="s">
        <v>13</v>
      </c>
      <c r="F395" s="41" t="str">
        <f>IF(ISNUMBER(E395),E395*$D395,"")</f>
        <v/>
      </c>
      <c r="G395" s="58"/>
      <c r="H395" s="59"/>
      <c r="I395" s="121">
        <v>0</v>
      </c>
    </row>
    <row r="396" spans="1:9" hidden="1" x14ac:dyDescent="0.25">
      <c r="A396" s="182"/>
      <c r="B396" s="4" t="s">
        <v>646</v>
      </c>
      <c r="C396" s="130"/>
      <c r="D396" s="44"/>
      <c r="E396" s="38" t="s">
        <v>13</v>
      </c>
      <c r="F396" s="41" t="str">
        <f>IF(ISNUMBER(E396),E396*$D396,"")</f>
        <v/>
      </c>
      <c r="G396" s="58"/>
      <c r="H396" s="59"/>
      <c r="I396" s="121">
        <v>0</v>
      </c>
    </row>
    <row r="397" spans="1:9" ht="15.75" hidden="1" thickBot="1" x14ac:dyDescent="0.3">
      <c r="A397" s="183"/>
      <c r="B397" s="92"/>
      <c r="C397" s="129"/>
      <c r="D397" s="123"/>
      <c r="E397" s="51" t="s">
        <v>13</v>
      </c>
      <c r="F397" s="51" t="str">
        <f>IF(ISNUMBER(E397),E397*$D397,"")</f>
        <v/>
      </c>
      <c r="G397" s="53"/>
      <c r="H397" s="38"/>
      <c r="I397" s="121">
        <v>0</v>
      </c>
    </row>
    <row r="398" spans="1:9" ht="26.25" hidden="1" customHeight="1" thickBot="1" x14ac:dyDescent="0.3">
      <c r="A398" s="184" t="s">
        <v>10711</v>
      </c>
      <c r="B398" s="31" t="s">
        <v>13</v>
      </c>
      <c r="C398" s="32" t="s">
        <v>2880</v>
      </c>
      <c r="D398" s="120"/>
      <c r="E398" s="54" t="s">
        <v>13</v>
      </c>
      <c r="F398" s="54" t="str">
        <f>IF(ISNUMBER(E398),E398*$D398,"")</f>
        <v/>
      </c>
      <c r="G398" s="35"/>
      <c r="H398" s="36"/>
      <c r="I398" s="121">
        <v>0</v>
      </c>
    </row>
    <row r="399" spans="1:9" hidden="1" x14ac:dyDescent="0.25">
      <c r="A399" s="182"/>
      <c r="B399" s="39" t="s">
        <v>13</v>
      </c>
      <c r="C399" s="128"/>
      <c r="D399" s="122"/>
      <c r="E399" s="55" t="s">
        <v>13</v>
      </c>
      <c r="F399" s="38" t="str">
        <f>IF(ISNUMBER(E399),E399*$D399,"")</f>
        <v/>
      </c>
      <c r="G399" s="42"/>
      <c r="H399" s="38"/>
      <c r="I399" s="121">
        <v>0</v>
      </c>
    </row>
    <row r="400" spans="1:9" ht="25.5" hidden="1" x14ac:dyDescent="0.25">
      <c r="A400" s="182"/>
      <c r="B400" s="43" t="s">
        <v>10647</v>
      </c>
      <c r="C400" s="43" t="s">
        <v>2880</v>
      </c>
      <c r="D400" s="44">
        <v>1.27</v>
      </c>
      <c r="E400" s="41">
        <v>199.71849999999998</v>
      </c>
      <c r="F400" s="41">
        <f>IF(ISNUMBER(E400),E400*$D400,"")</f>
        <v>253.64249499999997</v>
      </c>
      <c r="G400" s="46">
        <f>SUM(F400:F408)</f>
        <v>826.11055771250005</v>
      </c>
      <c r="H400" s="59"/>
      <c r="I400" s="121">
        <v>0</v>
      </c>
    </row>
    <row r="401" spans="1:9" hidden="1" x14ac:dyDescent="0.25">
      <c r="A401" s="182"/>
      <c r="B401" s="43" t="s">
        <v>10648</v>
      </c>
      <c r="C401" s="43" t="s">
        <v>1044</v>
      </c>
      <c r="D401" s="44">
        <v>573.61</v>
      </c>
      <c r="E401" s="41">
        <v>0.64600000000000002</v>
      </c>
      <c r="F401" s="41">
        <f>IF(ISNUMBER(E401),E401*$D401,"")</f>
        <v>370.55206000000004</v>
      </c>
      <c r="G401" s="58"/>
      <c r="H401" s="59"/>
      <c r="I401" s="121">
        <v>0</v>
      </c>
    </row>
    <row r="402" spans="1:9" ht="25.5" hidden="1" x14ac:dyDescent="0.25">
      <c r="A402" s="182"/>
      <c r="B402" s="43" t="s">
        <v>10649</v>
      </c>
      <c r="C402" s="43" t="s">
        <v>2800</v>
      </c>
      <c r="D402" s="44">
        <v>4.42</v>
      </c>
      <c r="E402" s="38">
        <v>25.745000000000001</v>
      </c>
      <c r="F402" s="41">
        <f>IF(ISNUMBER(E402),E402*$D402,"")</f>
        <v>113.7929</v>
      </c>
      <c r="G402" s="58"/>
      <c r="H402" s="59"/>
      <c r="I402" s="121">
        <v>0</v>
      </c>
    </row>
    <row r="403" spans="1:9" ht="38.25" hidden="1" x14ac:dyDescent="0.25">
      <c r="A403" s="182"/>
      <c r="B403" s="43" t="s">
        <v>10650</v>
      </c>
      <c r="C403" s="43" t="s">
        <v>1050</v>
      </c>
      <c r="D403" s="44">
        <v>1.03</v>
      </c>
      <c r="E403" s="38">
        <v>1.6435</v>
      </c>
      <c r="F403" s="41">
        <f>IF(ISNUMBER(E403),E403*$D403,"")</f>
        <v>1.6928049999999999</v>
      </c>
      <c r="G403" s="58"/>
      <c r="H403" s="59"/>
      <c r="I403" s="121">
        <v>0</v>
      </c>
    </row>
    <row r="404" spans="1:9" ht="38.25" hidden="1" x14ac:dyDescent="0.25">
      <c r="A404" s="182"/>
      <c r="B404" s="43" t="s">
        <v>10651</v>
      </c>
      <c r="C404" s="43" t="s">
        <v>10677</v>
      </c>
      <c r="D404" s="44">
        <v>3.39</v>
      </c>
      <c r="E404" s="38">
        <v>0.41799999999999998</v>
      </c>
      <c r="F404" s="41">
        <f>IF(ISNUMBER(E404),E404*$D404,"")</f>
        <v>1.4170199999999999</v>
      </c>
      <c r="G404" s="58"/>
      <c r="H404" s="59"/>
      <c r="I404" s="121">
        <v>0</v>
      </c>
    </row>
    <row r="405" spans="1:9" ht="51" hidden="1" x14ac:dyDescent="0.25">
      <c r="A405" s="182"/>
      <c r="B405" s="43" t="s">
        <v>10624</v>
      </c>
      <c r="C405" s="43" t="s">
        <v>2880</v>
      </c>
      <c r="D405" s="44">
        <f>ROUND(1*(D400),4)</f>
        <v>1.27</v>
      </c>
      <c r="E405" s="38">
        <v>8.5522277500000001</v>
      </c>
      <c r="F405" s="41">
        <f>IF(ISNUMBER(E405),E405*$D405,"")</f>
        <v>10.8613292425</v>
      </c>
      <c r="G405" s="58"/>
      <c r="H405" s="59"/>
      <c r="I405" s="121">
        <v>0</v>
      </c>
    </row>
    <row r="406" spans="1:9" ht="38.25" hidden="1" x14ac:dyDescent="0.25">
      <c r="A406" s="182"/>
      <c r="B406" s="43" t="s">
        <v>10622</v>
      </c>
      <c r="C406" s="62" t="s">
        <v>10676</v>
      </c>
      <c r="D406" s="44">
        <f>ROUND(D400*20,4)</f>
        <v>25.4</v>
      </c>
      <c r="E406" s="38">
        <v>2.9193680499999997</v>
      </c>
      <c r="F406" s="41">
        <f>IF(ISNUMBER(E406),E406*$D406,"")</f>
        <v>74.151948469999994</v>
      </c>
      <c r="G406" s="58"/>
      <c r="H406" s="59"/>
      <c r="I406" s="121">
        <v>0</v>
      </c>
    </row>
    <row r="407" spans="1:9" hidden="1" x14ac:dyDescent="0.25">
      <c r="A407" s="182"/>
      <c r="B407" s="61"/>
      <c r="C407" s="130"/>
      <c r="D407" s="44"/>
      <c r="E407" s="38" t="s">
        <v>13</v>
      </c>
      <c r="F407" s="41" t="str">
        <f>IF(ISNUMBER(E407),E407*$D407,"")</f>
        <v/>
      </c>
      <c r="G407" s="58"/>
      <c r="H407" s="59"/>
      <c r="I407" s="121">
        <v>0</v>
      </c>
    </row>
    <row r="408" spans="1:9" ht="24.95" hidden="1" customHeight="1" x14ac:dyDescent="0.25">
      <c r="A408" s="182"/>
      <c r="B408" s="4" t="s">
        <v>646</v>
      </c>
      <c r="C408" s="130"/>
      <c r="D408" s="44"/>
      <c r="E408" s="38" t="s">
        <v>13</v>
      </c>
      <c r="F408" s="41" t="str">
        <f>IF(ISNUMBER(E408),E408*$D408,"")</f>
        <v/>
      </c>
      <c r="G408" s="58"/>
      <c r="H408" s="59"/>
      <c r="I408" s="121">
        <v>0</v>
      </c>
    </row>
    <row r="409" spans="1:9" ht="15.75" hidden="1" thickBot="1" x14ac:dyDescent="0.3">
      <c r="A409" s="183"/>
      <c r="B409" s="92"/>
      <c r="C409" s="129"/>
      <c r="D409" s="123"/>
      <c r="E409" s="51" t="s">
        <v>13</v>
      </c>
      <c r="F409" s="51" t="str">
        <f>IF(ISNUMBER(E409),E409*$D409,"")</f>
        <v/>
      </c>
      <c r="G409" s="53"/>
      <c r="H409" s="38"/>
      <c r="I409" s="121">
        <v>0</v>
      </c>
    </row>
    <row r="410" spans="1:9" ht="26.25" hidden="1" customHeight="1" thickBot="1" x14ac:dyDescent="0.3">
      <c r="A410" s="184" t="s">
        <v>10712</v>
      </c>
      <c r="B410" s="31" t="s">
        <v>13</v>
      </c>
      <c r="C410" s="32" t="s">
        <v>2880</v>
      </c>
      <c r="D410" s="120"/>
      <c r="E410" s="54" t="s">
        <v>13</v>
      </c>
      <c r="F410" s="54" t="str">
        <f>IF(ISNUMBER(E410),E410*$D410,"")</f>
        <v/>
      </c>
      <c r="G410" s="35"/>
      <c r="H410" s="36"/>
      <c r="I410" s="121">
        <v>0</v>
      </c>
    </row>
    <row r="411" spans="1:9" hidden="1" x14ac:dyDescent="0.25">
      <c r="A411" s="182"/>
      <c r="B411" s="39" t="s">
        <v>13</v>
      </c>
      <c r="C411" s="128"/>
      <c r="D411" s="122"/>
      <c r="E411" s="55" t="s">
        <v>13</v>
      </c>
      <c r="F411" s="38" t="str">
        <f>IF(ISNUMBER(E411),E411*$D411,"")</f>
        <v/>
      </c>
      <c r="G411" s="42"/>
      <c r="H411" s="38"/>
      <c r="I411" s="121">
        <v>0</v>
      </c>
    </row>
    <row r="412" spans="1:9" ht="25.5" hidden="1" x14ac:dyDescent="0.25">
      <c r="A412" s="182"/>
      <c r="B412" s="43" t="s">
        <v>10647</v>
      </c>
      <c r="C412" s="43" t="s">
        <v>2880</v>
      </c>
      <c r="D412" s="44">
        <v>1.1599999999999999</v>
      </c>
      <c r="E412" s="41">
        <v>199.71849999999998</v>
      </c>
      <c r="F412" s="41">
        <f>IF(ISNUMBER(E412),E412*$D412,"")</f>
        <v>231.67345999999995</v>
      </c>
      <c r="G412" s="46">
        <f>SUM(F412:F419)</f>
        <v>915.97571295</v>
      </c>
      <c r="H412" s="59"/>
      <c r="I412" s="121">
        <v>0</v>
      </c>
    </row>
    <row r="413" spans="1:9" hidden="1" x14ac:dyDescent="0.25">
      <c r="A413" s="182"/>
      <c r="B413" s="43" t="s">
        <v>10659</v>
      </c>
      <c r="C413" s="43" t="s">
        <v>1044</v>
      </c>
      <c r="D413" s="44">
        <v>116.4</v>
      </c>
      <c r="E413" s="41">
        <v>1.4724999999999999</v>
      </c>
      <c r="F413" s="41">
        <f>IF(ISNUMBER(E413),E413*$D413,"")</f>
        <v>171.399</v>
      </c>
      <c r="G413" s="58"/>
      <c r="H413" s="59"/>
      <c r="I413" s="121">
        <v>0</v>
      </c>
    </row>
    <row r="414" spans="1:9" hidden="1" x14ac:dyDescent="0.25">
      <c r="A414" s="182"/>
      <c r="B414" s="43" t="s">
        <v>10648</v>
      </c>
      <c r="C414" s="43" t="s">
        <v>1044</v>
      </c>
      <c r="D414" s="44">
        <v>261.89</v>
      </c>
      <c r="E414" s="38">
        <v>0.64600000000000002</v>
      </c>
      <c r="F414" s="41">
        <f>IF(ISNUMBER(E414),E414*$D414,"")</f>
        <v>169.18093999999999</v>
      </c>
      <c r="G414" s="58"/>
      <c r="H414" s="59"/>
      <c r="I414" s="121">
        <v>0</v>
      </c>
    </row>
    <row r="415" spans="1:9" hidden="1" x14ac:dyDescent="0.25">
      <c r="A415" s="182"/>
      <c r="B415" s="43" t="s">
        <v>10614</v>
      </c>
      <c r="C415" s="43" t="s">
        <v>2800</v>
      </c>
      <c r="D415" s="44">
        <v>11.23</v>
      </c>
      <c r="E415" s="38">
        <v>23.693000000000001</v>
      </c>
      <c r="F415" s="41">
        <f>IF(ISNUMBER(E415),E415*$D415,"")</f>
        <v>266.07239000000004</v>
      </c>
      <c r="G415" s="58"/>
      <c r="H415" s="59"/>
      <c r="I415" s="121">
        <v>0</v>
      </c>
    </row>
    <row r="416" spans="1:9" ht="51" hidden="1" x14ac:dyDescent="0.25">
      <c r="A416" s="182"/>
      <c r="B416" s="43" t="s">
        <v>10624</v>
      </c>
      <c r="C416" s="43" t="s">
        <v>2880</v>
      </c>
      <c r="D416" s="44">
        <f>ROUND(1*(D412),4)</f>
        <v>1.1599999999999999</v>
      </c>
      <c r="E416" s="38">
        <v>8.5522277500000001</v>
      </c>
      <c r="F416" s="41">
        <f>IF(ISNUMBER(E416),E416*$D416,"")</f>
        <v>9.9205841899999996</v>
      </c>
      <c r="G416" s="58"/>
      <c r="H416" s="59"/>
      <c r="I416" s="121">
        <v>0</v>
      </c>
    </row>
    <row r="417" spans="1:9" ht="38.25" hidden="1" x14ac:dyDescent="0.25">
      <c r="A417" s="182"/>
      <c r="B417" s="43" t="s">
        <v>10622</v>
      </c>
      <c r="C417" s="62" t="s">
        <v>10676</v>
      </c>
      <c r="D417" s="44">
        <f>ROUND(D412*20,4)</f>
        <v>23.2</v>
      </c>
      <c r="E417" s="38">
        <v>2.9193680499999997</v>
      </c>
      <c r="F417" s="41">
        <f>IF(ISNUMBER(E417),E417*$D417,"")</f>
        <v>67.72933875999999</v>
      </c>
      <c r="G417" s="58"/>
      <c r="H417" s="59"/>
      <c r="I417" s="121">
        <v>0</v>
      </c>
    </row>
    <row r="418" spans="1:9" hidden="1" x14ac:dyDescent="0.25">
      <c r="A418" s="182"/>
      <c r="B418" s="61"/>
      <c r="C418" s="130"/>
      <c r="D418" s="44"/>
      <c r="E418" s="38" t="s">
        <v>13</v>
      </c>
      <c r="F418" s="41" t="str">
        <f>IF(ISNUMBER(E418),E418*$D418,"")</f>
        <v/>
      </c>
      <c r="G418" s="58"/>
      <c r="H418" s="59"/>
      <c r="I418" s="121">
        <v>0</v>
      </c>
    </row>
    <row r="419" spans="1:9" ht="24.95" hidden="1" customHeight="1" x14ac:dyDescent="0.25">
      <c r="A419" s="182"/>
      <c r="B419" s="4" t="s">
        <v>646</v>
      </c>
      <c r="C419" s="130"/>
      <c r="D419" s="44"/>
      <c r="E419" s="38" t="s">
        <v>13</v>
      </c>
      <c r="F419" s="41" t="str">
        <f>IF(ISNUMBER(E419),E419*$D419,"")</f>
        <v/>
      </c>
      <c r="G419" s="58"/>
      <c r="H419" s="59"/>
      <c r="I419" s="121">
        <v>0</v>
      </c>
    </row>
    <row r="420" spans="1:9" ht="15.75" hidden="1" thickBot="1" x14ac:dyDescent="0.3">
      <c r="A420" s="183"/>
      <c r="B420" s="92"/>
      <c r="C420" s="129"/>
      <c r="D420" s="123"/>
      <c r="E420" s="51" t="s">
        <v>13</v>
      </c>
      <c r="F420" s="51" t="str">
        <f>IF(ISNUMBER(E420),E420*$D420,"")</f>
        <v/>
      </c>
      <c r="G420" s="53"/>
      <c r="H420" s="38"/>
      <c r="I420" s="121">
        <v>0</v>
      </c>
    </row>
    <row r="421" spans="1:9" ht="26.25" hidden="1" customHeight="1" thickBot="1" x14ac:dyDescent="0.3">
      <c r="A421" s="184" t="s">
        <v>10713</v>
      </c>
      <c r="B421" s="31" t="s">
        <v>13</v>
      </c>
      <c r="C421" s="32" t="s">
        <v>2880</v>
      </c>
      <c r="D421" s="120"/>
      <c r="E421" s="54" t="s">
        <v>13</v>
      </c>
      <c r="F421" s="54" t="str">
        <f>IF(ISNUMBER(E421),E421*$D421,"")</f>
        <v/>
      </c>
      <c r="G421" s="35"/>
      <c r="H421" s="36"/>
      <c r="I421" s="121">
        <v>0</v>
      </c>
    </row>
    <row r="422" spans="1:9" hidden="1" x14ac:dyDescent="0.25">
      <c r="A422" s="182"/>
      <c r="B422" s="39" t="s">
        <v>13</v>
      </c>
      <c r="C422" s="128"/>
      <c r="D422" s="122"/>
      <c r="E422" s="55" t="s">
        <v>13</v>
      </c>
      <c r="F422" s="38" t="str">
        <f>IF(ISNUMBER(E422),E422*$D422,"")</f>
        <v/>
      </c>
      <c r="G422" s="42"/>
      <c r="H422" s="38"/>
      <c r="I422" s="121">
        <v>0</v>
      </c>
    </row>
    <row r="423" spans="1:9" ht="25.5" hidden="1" x14ac:dyDescent="0.25">
      <c r="A423" s="182"/>
      <c r="B423" s="43" t="s">
        <v>10647</v>
      </c>
      <c r="C423" s="43" t="s">
        <v>2880</v>
      </c>
      <c r="D423" s="44">
        <v>1.07</v>
      </c>
      <c r="E423" s="41">
        <v>199.71849999999998</v>
      </c>
      <c r="F423" s="41">
        <f>IF(ISNUMBER(E423),E423*$D423,"")</f>
        <v>213.69879499999999</v>
      </c>
      <c r="G423" s="46">
        <f>SUM(F423:F431)</f>
        <v>688.25221496249992</v>
      </c>
      <c r="H423" s="59"/>
      <c r="I423" s="121">
        <v>0</v>
      </c>
    </row>
    <row r="424" spans="1:9" hidden="1" x14ac:dyDescent="0.25">
      <c r="A424" s="182"/>
      <c r="B424" s="43" t="s">
        <v>10648</v>
      </c>
      <c r="C424" s="43" t="s">
        <v>1044</v>
      </c>
      <c r="D424" s="44">
        <v>483.7</v>
      </c>
      <c r="E424" s="41">
        <v>0.64600000000000002</v>
      </c>
      <c r="F424" s="41">
        <f>IF(ISNUMBER(E424),E424*$D424,"")</f>
        <v>312.47019999999998</v>
      </c>
      <c r="G424" s="58"/>
      <c r="H424" s="59"/>
      <c r="I424" s="121">
        <v>0</v>
      </c>
    </row>
    <row r="425" spans="1:9" ht="25.5" hidden="1" x14ac:dyDescent="0.25">
      <c r="A425" s="182"/>
      <c r="B425" s="43" t="s">
        <v>10649</v>
      </c>
      <c r="C425" s="43" t="s">
        <v>2800</v>
      </c>
      <c r="D425" s="44">
        <v>3.42</v>
      </c>
      <c r="E425" s="38">
        <v>25.745000000000001</v>
      </c>
      <c r="F425" s="41">
        <f>IF(ISNUMBER(E425),E425*$D425,"")</f>
        <v>88.047899999999998</v>
      </c>
      <c r="G425" s="58"/>
      <c r="H425" s="59"/>
      <c r="I425" s="121">
        <v>0</v>
      </c>
    </row>
    <row r="426" spans="1:9" ht="38.25" hidden="1" x14ac:dyDescent="0.25">
      <c r="A426" s="182"/>
      <c r="B426" s="43" t="s">
        <v>10650</v>
      </c>
      <c r="C426" s="43" t="s">
        <v>1050</v>
      </c>
      <c r="D426" s="44">
        <v>0.8</v>
      </c>
      <c r="E426" s="38">
        <v>1.6435</v>
      </c>
      <c r="F426" s="41">
        <f>IF(ISNUMBER(E426),E426*$D426,"")</f>
        <v>1.3148</v>
      </c>
      <c r="G426" s="58"/>
      <c r="H426" s="59"/>
      <c r="I426" s="121">
        <v>0</v>
      </c>
    </row>
    <row r="427" spans="1:9" ht="38.25" hidden="1" x14ac:dyDescent="0.25">
      <c r="A427" s="182"/>
      <c r="B427" s="43" t="s">
        <v>10651</v>
      </c>
      <c r="C427" s="43" t="s">
        <v>10677</v>
      </c>
      <c r="D427" s="44">
        <v>2.62</v>
      </c>
      <c r="E427" s="38">
        <v>0.41799999999999998</v>
      </c>
      <c r="F427" s="41">
        <f>IF(ISNUMBER(E427),E427*$D427,"")</f>
        <v>1.0951599999999999</v>
      </c>
      <c r="G427" s="58"/>
      <c r="H427" s="59"/>
      <c r="I427" s="121">
        <v>0</v>
      </c>
    </row>
    <row r="428" spans="1:9" ht="51" hidden="1" x14ac:dyDescent="0.25">
      <c r="A428" s="182"/>
      <c r="B428" s="43" t="s">
        <v>10624</v>
      </c>
      <c r="C428" s="43" t="s">
        <v>2880</v>
      </c>
      <c r="D428" s="44">
        <f>ROUND(1*(D423),4)</f>
        <v>1.07</v>
      </c>
      <c r="E428" s="38">
        <v>8.5522277500000001</v>
      </c>
      <c r="F428" s="41">
        <f>IF(ISNUMBER(E428),E428*$D428,"")</f>
        <v>9.1508836925000008</v>
      </c>
      <c r="G428" s="58"/>
      <c r="H428" s="59"/>
      <c r="I428" s="121">
        <v>0</v>
      </c>
    </row>
    <row r="429" spans="1:9" ht="38.25" hidden="1" x14ac:dyDescent="0.25">
      <c r="A429" s="182"/>
      <c r="B429" s="43" t="s">
        <v>10622</v>
      </c>
      <c r="C429" s="62" t="s">
        <v>10676</v>
      </c>
      <c r="D429" s="44">
        <f>ROUND(D423*20,4)</f>
        <v>21.4</v>
      </c>
      <c r="E429" s="38">
        <v>2.9193680499999997</v>
      </c>
      <c r="F429" s="41">
        <f>IF(ISNUMBER(E429),E429*$D429,"")</f>
        <v>62.47447626999999</v>
      </c>
      <c r="G429" s="58"/>
      <c r="H429" s="59"/>
      <c r="I429" s="121">
        <v>0</v>
      </c>
    </row>
    <row r="430" spans="1:9" hidden="1" x14ac:dyDescent="0.25">
      <c r="A430" s="182"/>
      <c r="B430" s="61"/>
      <c r="C430" s="130"/>
      <c r="D430" s="44"/>
      <c r="E430" s="38" t="s">
        <v>13</v>
      </c>
      <c r="F430" s="41" t="str">
        <f>IF(ISNUMBER(E430),E430*$D430,"")</f>
        <v/>
      </c>
      <c r="G430" s="58"/>
      <c r="H430" s="59"/>
      <c r="I430" s="121">
        <v>0</v>
      </c>
    </row>
    <row r="431" spans="1:9" ht="24.95" hidden="1" customHeight="1" x14ac:dyDescent="0.25">
      <c r="A431" s="182"/>
      <c r="B431" s="4" t="s">
        <v>646</v>
      </c>
      <c r="C431" s="130"/>
      <c r="D431" s="44"/>
      <c r="E431" s="38" t="s">
        <v>13</v>
      </c>
      <c r="F431" s="41" t="str">
        <f>IF(ISNUMBER(E431),E431*$D431,"")</f>
        <v/>
      </c>
      <c r="G431" s="58"/>
      <c r="H431" s="59"/>
      <c r="I431" s="121">
        <v>0</v>
      </c>
    </row>
    <row r="432" spans="1:9" ht="15.75" hidden="1" thickBot="1" x14ac:dyDescent="0.3">
      <c r="A432" s="183"/>
      <c r="B432" s="92"/>
      <c r="C432" s="129"/>
      <c r="D432" s="123"/>
      <c r="E432" s="51" t="s">
        <v>13</v>
      </c>
      <c r="F432" s="51" t="str">
        <f>IF(ISNUMBER(E432),E432*$D432,"")</f>
        <v/>
      </c>
      <c r="G432" s="53"/>
      <c r="H432" s="38"/>
      <c r="I432" s="121">
        <v>0</v>
      </c>
    </row>
    <row r="433" spans="1:9" ht="26.25" hidden="1" customHeight="1" thickBot="1" x14ac:dyDescent="0.3">
      <c r="A433" s="184" t="s">
        <v>10714</v>
      </c>
      <c r="B433" s="31" t="s">
        <v>13</v>
      </c>
      <c r="C433" s="32" t="s">
        <v>2880</v>
      </c>
      <c r="D433" s="120"/>
      <c r="E433" s="54" t="s">
        <v>13</v>
      </c>
      <c r="F433" s="54" t="str">
        <f>IF(ISNUMBER(E433),E433*$D433,"")</f>
        <v/>
      </c>
      <c r="G433" s="35"/>
      <c r="H433" s="36"/>
      <c r="I433" s="121">
        <v>0</v>
      </c>
    </row>
    <row r="434" spans="1:9" hidden="1" x14ac:dyDescent="0.25">
      <c r="A434" s="182"/>
      <c r="B434" s="39" t="s">
        <v>13</v>
      </c>
      <c r="C434" s="128"/>
      <c r="D434" s="122"/>
      <c r="E434" s="55" t="s">
        <v>13</v>
      </c>
      <c r="F434" s="38" t="str">
        <f>IF(ISNUMBER(E434),E434*$D434,"")</f>
        <v/>
      </c>
      <c r="G434" s="42"/>
      <c r="H434" s="38"/>
      <c r="I434" s="121">
        <v>0</v>
      </c>
    </row>
    <row r="435" spans="1:9" ht="38.25" hidden="1" x14ac:dyDescent="0.25">
      <c r="A435" s="182"/>
      <c r="B435" s="43" t="s">
        <v>10675</v>
      </c>
      <c r="C435" s="43" t="s">
        <v>162</v>
      </c>
      <c r="D435" s="44">
        <v>1.3111999999999999</v>
      </c>
      <c r="E435" s="41">
        <v>36.755499999999998</v>
      </c>
      <c r="F435" s="41">
        <f>IF(ISNUMBER(E435),E435*$D435,"")</f>
        <v>48.193811599999997</v>
      </c>
      <c r="G435" s="46">
        <f>SUM(F435:F450)</f>
        <v>2716.9668922225051</v>
      </c>
      <c r="H435" s="59"/>
      <c r="I435" s="121">
        <v>0</v>
      </c>
    </row>
    <row r="436" spans="1:9" ht="25.5" hidden="1" x14ac:dyDescent="0.25">
      <c r="A436" s="182"/>
      <c r="B436" s="43" t="s">
        <v>10775</v>
      </c>
      <c r="C436" s="43" t="s">
        <v>70</v>
      </c>
      <c r="D436" s="44">
        <v>5.67E-2</v>
      </c>
      <c r="E436" s="41">
        <v>8.5310000000000006</v>
      </c>
      <c r="F436" s="41">
        <f>IF(ISNUMBER(E436),E436*$D436,"")</f>
        <v>0.48370770000000002</v>
      </c>
      <c r="G436" s="58"/>
      <c r="H436" s="59"/>
      <c r="I436" s="121">
        <v>0</v>
      </c>
    </row>
    <row r="437" spans="1:9" ht="25.5" hidden="1" x14ac:dyDescent="0.25">
      <c r="A437" s="182"/>
      <c r="B437" s="43" t="s">
        <v>10652</v>
      </c>
      <c r="C437" s="43" t="s">
        <v>1302</v>
      </c>
      <c r="D437" s="44">
        <v>4.4770000000000003</v>
      </c>
      <c r="E437" s="38">
        <v>2.5554999999999999</v>
      </c>
      <c r="F437" s="41">
        <f>IF(ISNUMBER(E437),E437*$D437,"")</f>
        <v>11.4409735</v>
      </c>
      <c r="G437" s="58"/>
      <c r="H437" s="59"/>
      <c r="I437" s="121">
        <v>0</v>
      </c>
    </row>
    <row r="438" spans="1:9" hidden="1" x14ac:dyDescent="0.25">
      <c r="A438" s="182"/>
      <c r="B438" s="43" t="s">
        <v>10780</v>
      </c>
      <c r="C438" s="43" t="s">
        <v>1044</v>
      </c>
      <c r="D438" s="44">
        <v>0.26190000000000002</v>
      </c>
      <c r="E438" s="38">
        <v>20.367999999999999</v>
      </c>
      <c r="F438" s="41">
        <f>IF(ISNUMBER(E438),E438*$D438,"")</f>
        <v>5.3343791999999999</v>
      </c>
      <c r="G438" s="58"/>
      <c r="H438" s="59"/>
      <c r="I438" s="121">
        <v>0</v>
      </c>
    </row>
    <row r="439" spans="1:9" hidden="1" x14ac:dyDescent="0.25">
      <c r="A439" s="182"/>
      <c r="B439" s="43" t="s">
        <v>10655</v>
      </c>
      <c r="C439" s="43" t="s">
        <v>2800</v>
      </c>
      <c r="D439" s="44">
        <v>0.73560000000000003</v>
      </c>
      <c r="E439" s="38">
        <v>24.358000000000001</v>
      </c>
      <c r="F439" s="41">
        <f>IF(ISNUMBER(E439),E439*$D439,"")</f>
        <v>17.917744800000001</v>
      </c>
      <c r="G439" s="58"/>
      <c r="H439" s="59"/>
      <c r="I439" s="121">
        <v>0</v>
      </c>
    </row>
    <row r="440" spans="1:9" ht="25.5" hidden="1" x14ac:dyDescent="0.25">
      <c r="A440" s="182"/>
      <c r="B440" s="43" t="s">
        <v>10774</v>
      </c>
      <c r="C440" s="43" t="s">
        <v>2800</v>
      </c>
      <c r="D440" s="44">
        <v>3.6779999999999999</v>
      </c>
      <c r="E440" s="38">
        <v>29.383499999999998</v>
      </c>
      <c r="F440" s="41">
        <f>IF(ISNUMBER(E440),E440*$D440,"")</f>
        <v>108.07251299999999</v>
      </c>
      <c r="G440" s="58"/>
      <c r="H440" s="59"/>
      <c r="I440" s="121">
        <v>0</v>
      </c>
    </row>
    <row r="441" spans="1:9" hidden="1" x14ac:dyDescent="0.25">
      <c r="A441" s="182"/>
      <c r="B441" s="43" t="s">
        <v>10757</v>
      </c>
      <c r="C441" s="43" t="s">
        <v>2800</v>
      </c>
      <c r="D441" s="44">
        <v>22.497399999999999</v>
      </c>
      <c r="E441" s="38">
        <v>31.055499999999995</v>
      </c>
      <c r="F441" s="41">
        <f>IF(ISNUMBER(E441),E441*$D441,"")</f>
        <v>698.66800569999987</v>
      </c>
      <c r="G441" s="58"/>
      <c r="H441" s="59"/>
      <c r="I441" s="121">
        <v>0</v>
      </c>
    </row>
    <row r="442" spans="1:9" hidden="1" x14ac:dyDescent="0.25">
      <c r="A442" s="182"/>
      <c r="B442" s="43" t="s">
        <v>10614</v>
      </c>
      <c r="C442" s="43" t="s">
        <v>2800</v>
      </c>
      <c r="D442" s="44">
        <v>22.497399999999999</v>
      </c>
      <c r="E442" s="38">
        <v>23.693000000000001</v>
      </c>
      <c r="F442" s="41">
        <f>IF(ISNUMBER(E442),E442*$D442,"")</f>
        <v>533.03089820000002</v>
      </c>
      <c r="G442" s="58"/>
      <c r="H442" s="59"/>
      <c r="I442" s="121">
        <v>0</v>
      </c>
    </row>
    <row r="443" spans="1:9" ht="25.5" hidden="1" x14ac:dyDescent="0.25">
      <c r="A443" s="182"/>
      <c r="B443" s="43" t="s">
        <v>10769</v>
      </c>
      <c r="C443" s="43" t="s">
        <v>1050</v>
      </c>
      <c r="D443" s="44">
        <v>4.6864999999999997</v>
      </c>
      <c r="E443" s="38">
        <v>1.2255</v>
      </c>
      <c r="F443" s="41">
        <f>IF(ISNUMBER(E443),E443*$D443,"")</f>
        <v>5.7433057499999993</v>
      </c>
      <c r="G443" s="58"/>
      <c r="H443" s="59"/>
      <c r="I443" s="121">
        <v>0</v>
      </c>
    </row>
    <row r="444" spans="1:9" ht="25.5" hidden="1" x14ac:dyDescent="0.25">
      <c r="A444" s="182"/>
      <c r="B444" s="43" t="s">
        <v>10770</v>
      </c>
      <c r="C444" s="43" t="s">
        <v>10677</v>
      </c>
      <c r="D444" s="44">
        <v>12.7788</v>
      </c>
      <c r="E444" s="38">
        <v>0.53200000000000003</v>
      </c>
      <c r="F444" s="41">
        <f>IF(ISNUMBER(E444),E444*$D444,"")</f>
        <v>6.7983216000000004</v>
      </c>
      <c r="G444" s="58"/>
      <c r="H444" s="59"/>
      <c r="I444" s="121">
        <v>0</v>
      </c>
    </row>
    <row r="445" spans="1:9" ht="25.5" hidden="1" x14ac:dyDescent="0.25">
      <c r="A445" s="182"/>
      <c r="B445" s="43" t="s">
        <v>10656</v>
      </c>
      <c r="C445" s="43" t="s">
        <v>1050</v>
      </c>
      <c r="D445" s="44">
        <v>0.313</v>
      </c>
      <c r="E445" s="38">
        <v>26.884999999999998</v>
      </c>
      <c r="F445" s="41">
        <f>IF(ISNUMBER(E445),E445*$D445,"")</f>
        <v>8.415004999999999</v>
      </c>
      <c r="G445" s="58"/>
      <c r="H445" s="59"/>
      <c r="I445" s="121">
        <v>0</v>
      </c>
    </row>
    <row r="446" spans="1:9" ht="25.5" hidden="1" x14ac:dyDescent="0.25">
      <c r="A446" s="182"/>
      <c r="B446" s="43" t="s">
        <v>10657</v>
      </c>
      <c r="C446" s="43" t="s">
        <v>10677</v>
      </c>
      <c r="D446" s="44">
        <v>0.42259999999999998</v>
      </c>
      <c r="E446" s="38">
        <v>25.906499999999998</v>
      </c>
      <c r="F446" s="41">
        <f>IF(ISNUMBER(E446),E446*$D446,"")</f>
        <v>10.948086899999998</v>
      </c>
      <c r="G446" s="58"/>
      <c r="H446" s="59"/>
      <c r="I446" s="121">
        <v>0</v>
      </c>
    </row>
    <row r="447" spans="1:9" ht="38.25" hidden="1" x14ac:dyDescent="0.25">
      <c r="A447" s="182"/>
      <c r="B447" s="43" t="s">
        <v>10629</v>
      </c>
      <c r="C447" s="43" t="s">
        <v>1044</v>
      </c>
      <c r="D447" s="44">
        <v>28.936900000000001</v>
      </c>
      <c r="E447" s="38">
        <v>15.39799045</v>
      </c>
      <c r="F447" s="41">
        <f>IF(ISNUMBER(E447),E447*$D447,"")</f>
        <v>445.57010985260501</v>
      </c>
      <c r="G447" s="58"/>
      <c r="H447" s="59"/>
      <c r="I447" s="121">
        <v>0</v>
      </c>
    </row>
    <row r="448" spans="1:9" ht="38.25" hidden="1" x14ac:dyDescent="0.25">
      <c r="A448" s="182"/>
      <c r="B448" s="43" t="s">
        <v>10630</v>
      </c>
      <c r="C448" s="62" t="s">
        <v>2880</v>
      </c>
      <c r="D448" s="44">
        <v>1.2</v>
      </c>
      <c r="E448" s="38">
        <v>680.29169118325012</v>
      </c>
      <c r="F448" s="41">
        <f>IF(ISNUMBER(E448),E448*$D448,"")</f>
        <v>816.35002941990012</v>
      </c>
      <c r="G448" s="58"/>
      <c r="H448" s="59"/>
      <c r="I448" s="121">
        <v>0</v>
      </c>
    </row>
    <row r="449" spans="1:9" hidden="1" x14ac:dyDescent="0.25">
      <c r="A449" s="182"/>
      <c r="B449" s="61"/>
      <c r="C449" s="130"/>
      <c r="D449" s="44"/>
      <c r="E449" s="38" t="s">
        <v>13</v>
      </c>
      <c r="F449" s="41" t="str">
        <f>IF(ISNUMBER(E449),E449*$D449,"")</f>
        <v/>
      </c>
      <c r="G449" s="58"/>
      <c r="H449" s="59"/>
      <c r="I449" s="121">
        <v>0</v>
      </c>
    </row>
    <row r="450" spans="1:9" ht="24.95" hidden="1" customHeight="1" x14ac:dyDescent="0.25">
      <c r="A450" s="182"/>
      <c r="B450" s="4" t="s">
        <v>646</v>
      </c>
      <c r="C450" s="130"/>
      <c r="D450" s="44"/>
      <c r="E450" s="38" t="s">
        <v>13</v>
      </c>
      <c r="F450" s="41" t="str">
        <f>IF(ISNUMBER(E450),E450*$D450,"")</f>
        <v/>
      </c>
      <c r="G450" s="58"/>
      <c r="H450" s="59"/>
      <c r="I450" s="121">
        <v>0</v>
      </c>
    </row>
    <row r="451" spans="1:9" ht="15.75" hidden="1" thickBot="1" x14ac:dyDescent="0.3">
      <c r="A451" s="183"/>
      <c r="B451" s="92"/>
      <c r="C451" s="129"/>
      <c r="D451" s="123"/>
      <c r="E451" s="51" t="s">
        <v>13</v>
      </c>
      <c r="F451" s="51" t="str">
        <f>IF(ISNUMBER(E451),E451*$D451,"")</f>
        <v/>
      </c>
      <c r="G451" s="53"/>
      <c r="H451" s="38"/>
      <c r="I451" s="121">
        <v>0</v>
      </c>
    </row>
    <row r="452" spans="1:9" ht="26.25" hidden="1" customHeight="1" thickBot="1" x14ac:dyDescent="0.3">
      <c r="A452" s="184" t="s">
        <v>10715</v>
      </c>
      <c r="B452" s="31" t="s">
        <v>13</v>
      </c>
      <c r="C452" s="32" t="s">
        <v>2880</v>
      </c>
      <c r="D452" s="120"/>
      <c r="E452" s="54" t="s">
        <v>13</v>
      </c>
      <c r="F452" s="54" t="str">
        <f>IF(ISNUMBER(E452),E452*$D452,"")</f>
        <v/>
      </c>
      <c r="G452" s="35"/>
      <c r="H452" s="36"/>
      <c r="I452" s="121">
        <v>0</v>
      </c>
    </row>
    <row r="453" spans="1:9" hidden="1" x14ac:dyDescent="0.25">
      <c r="A453" s="182"/>
      <c r="B453" s="39" t="s">
        <v>13</v>
      </c>
      <c r="C453" s="128"/>
      <c r="D453" s="122"/>
      <c r="E453" s="55" t="s">
        <v>13</v>
      </c>
      <c r="F453" s="38" t="str">
        <f>IF(ISNUMBER(E453),E453*$D453,"")</f>
        <v/>
      </c>
      <c r="G453" s="42"/>
      <c r="H453" s="38"/>
      <c r="I453" s="121">
        <v>0</v>
      </c>
    </row>
    <row r="454" spans="1:9" ht="25.5" hidden="1" x14ac:dyDescent="0.25">
      <c r="A454" s="182"/>
      <c r="B454" s="43" t="s">
        <v>10665</v>
      </c>
      <c r="C454" s="43" t="s">
        <v>2880</v>
      </c>
      <c r="D454" s="44">
        <v>1.1000000000000001</v>
      </c>
      <c r="E454" s="41">
        <v>224.941</v>
      </c>
      <c r="F454" s="41">
        <f>IF(ISNUMBER(E454),E454*$D454,"")</f>
        <v>247.43510000000003</v>
      </c>
      <c r="G454" s="46">
        <f>SUM(F454:F464)</f>
        <v>443.76215937500001</v>
      </c>
      <c r="H454" s="59"/>
      <c r="I454" s="121">
        <v>0</v>
      </c>
    </row>
    <row r="455" spans="1:9" ht="63.75" hidden="1" x14ac:dyDescent="0.25">
      <c r="A455" s="182"/>
      <c r="B455" s="43" t="s">
        <v>10781</v>
      </c>
      <c r="C455" s="43" t="s">
        <v>1050</v>
      </c>
      <c r="D455" s="44">
        <v>0.128</v>
      </c>
      <c r="E455" s="41">
        <v>140.87549999999999</v>
      </c>
      <c r="F455" s="41">
        <f>IF(ISNUMBER(E455),E455*$D455,"")</f>
        <v>18.032063999999998</v>
      </c>
      <c r="G455" s="58"/>
      <c r="H455" s="59"/>
      <c r="I455" s="121">
        <v>0</v>
      </c>
    </row>
    <row r="456" spans="1:9" ht="63.75" hidden="1" x14ac:dyDescent="0.25">
      <c r="A456" s="182"/>
      <c r="B456" s="43" t="s">
        <v>10782</v>
      </c>
      <c r="C456" s="43" t="s">
        <v>10677</v>
      </c>
      <c r="D456" s="44">
        <v>0.63980000000000004</v>
      </c>
      <c r="E456" s="38">
        <v>61.037499999999994</v>
      </c>
      <c r="F456" s="41">
        <f>IF(ISNUMBER(E456),E456*$D456,"")</f>
        <v>39.051792499999998</v>
      </c>
      <c r="G456" s="58"/>
      <c r="H456" s="59"/>
      <c r="I456" s="121">
        <v>0</v>
      </c>
    </row>
    <row r="457" spans="1:9" hidden="1" x14ac:dyDescent="0.25">
      <c r="A457" s="182"/>
      <c r="B457" s="43" t="s">
        <v>10757</v>
      </c>
      <c r="C457" s="43" t="s">
        <v>2800</v>
      </c>
      <c r="D457" s="44">
        <v>0.92130000000000001</v>
      </c>
      <c r="E457" s="38">
        <v>31.055499999999995</v>
      </c>
      <c r="F457" s="41">
        <f>IF(ISNUMBER(E457),E457*$D457,"")</f>
        <v>28.611432149999995</v>
      </c>
      <c r="G457" s="58"/>
      <c r="H457" s="59"/>
      <c r="I457" s="121">
        <v>0</v>
      </c>
    </row>
    <row r="458" spans="1:9" hidden="1" x14ac:dyDescent="0.25">
      <c r="A458" s="182"/>
      <c r="B458" s="43" t="s">
        <v>10614</v>
      </c>
      <c r="C458" s="43" t="s">
        <v>2800</v>
      </c>
      <c r="D458" s="44">
        <v>1.3818999999999999</v>
      </c>
      <c r="E458" s="38">
        <v>23.693000000000001</v>
      </c>
      <c r="F458" s="41">
        <f>IF(ISNUMBER(E458),E458*$D458,"")</f>
        <v>32.741356699999997</v>
      </c>
      <c r="G458" s="58"/>
      <c r="H458" s="59"/>
      <c r="I458" s="121">
        <v>0</v>
      </c>
    </row>
    <row r="459" spans="1:9" ht="38.25" hidden="1" x14ac:dyDescent="0.25">
      <c r="A459" s="182"/>
      <c r="B459" s="43" t="s">
        <v>10783</v>
      </c>
      <c r="C459" s="43" t="s">
        <v>1050</v>
      </c>
      <c r="D459" s="44">
        <v>7.1800000000000003E-2</v>
      </c>
      <c r="E459" s="38">
        <v>34.323500000000003</v>
      </c>
      <c r="F459" s="41">
        <f>IF(ISNUMBER(E459),E459*$D459,"")</f>
        <v>2.4644273000000001</v>
      </c>
      <c r="G459" s="58"/>
      <c r="H459" s="59"/>
      <c r="I459" s="121">
        <v>0</v>
      </c>
    </row>
    <row r="460" spans="1:9" ht="38.25" hidden="1" x14ac:dyDescent="0.25">
      <c r="A460" s="182"/>
      <c r="B460" s="43" t="s">
        <v>10784</v>
      </c>
      <c r="C460" s="43" t="s">
        <v>10677</v>
      </c>
      <c r="D460" s="44">
        <v>6.6600000000000006E-2</v>
      </c>
      <c r="E460" s="38">
        <v>26.913499999999996</v>
      </c>
      <c r="F460" s="41">
        <f>IF(ISNUMBER(E460),E460*$D460,"")</f>
        <v>1.7924391</v>
      </c>
      <c r="G460" s="58"/>
      <c r="H460" s="59"/>
      <c r="I460" s="121">
        <v>0</v>
      </c>
    </row>
    <row r="461" spans="1:9" ht="51" hidden="1" x14ac:dyDescent="0.25">
      <c r="A461" s="182"/>
      <c r="B461" s="43" t="s">
        <v>10624</v>
      </c>
      <c r="C461" s="43" t="s">
        <v>2880</v>
      </c>
      <c r="D461" s="44">
        <f>ROUND(1*(D454),4)</f>
        <v>1.1000000000000001</v>
      </c>
      <c r="E461" s="38">
        <v>8.5522277500000001</v>
      </c>
      <c r="F461" s="41">
        <f>IF(ISNUMBER(E461),E461*$D461,"")</f>
        <v>9.4074505250000016</v>
      </c>
      <c r="G461" s="58"/>
      <c r="H461" s="59"/>
      <c r="I461" s="121">
        <v>0</v>
      </c>
    </row>
    <row r="462" spans="1:9" ht="38.25" hidden="1" x14ac:dyDescent="0.25">
      <c r="A462" s="182"/>
      <c r="B462" s="43" t="s">
        <v>10622</v>
      </c>
      <c r="C462" s="62" t="s">
        <v>10676</v>
      </c>
      <c r="D462" s="44">
        <f>ROUND(D454*20,4)</f>
        <v>22</v>
      </c>
      <c r="E462" s="38">
        <v>2.9193680499999997</v>
      </c>
      <c r="F462" s="41">
        <f>IF(ISNUMBER(E462),E462*$D462,"")</f>
        <v>64.22609709999999</v>
      </c>
      <c r="G462" s="58"/>
      <c r="H462" s="59"/>
      <c r="I462" s="121">
        <v>0</v>
      </c>
    </row>
    <row r="463" spans="1:9" hidden="1" x14ac:dyDescent="0.25">
      <c r="A463" s="182"/>
      <c r="B463" s="61"/>
      <c r="C463" s="130"/>
      <c r="D463" s="44"/>
      <c r="E463" s="38" t="s">
        <v>13</v>
      </c>
      <c r="F463" s="41" t="str">
        <f>IF(ISNUMBER(E463),E463*$D463,"")</f>
        <v/>
      </c>
      <c r="G463" s="58"/>
      <c r="H463" s="59"/>
      <c r="I463" s="121">
        <v>0</v>
      </c>
    </row>
    <row r="464" spans="1:9" ht="24.95" hidden="1" customHeight="1" x14ac:dyDescent="0.25">
      <c r="A464" s="182"/>
      <c r="B464" s="4" t="s">
        <v>646</v>
      </c>
      <c r="C464" s="130"/>
      <c r="D464" s="44"/>
      <c r="E464" s="38" t="s">
        <v>13</v>
      </c>
      <c r="F464" s="41" t="str">
        <f>IF(ISNUMBER(E464),E464*$D464,"")</f>
        <v/>
      </c>
      <c r="G464" s="58"/>
      <c r="H464" s="59"/>
      <c r="I464" s="121">
        <v>0</v>
      </c>
    </row>
    <row r="465" spans="1:9" ht="15.75" hidden="1" thickBot="1" x14ac:dyDescent="0.3">
      <c r="A465" s="183"/>
      <c r="B465" s="92"/>
      <c r="C465" s="129"/>
      <c r="D465" s="123"/>
      <c r="E465" s="51" t="s">
        <v>13</v>
      </c>
      <c r="F465" s="51" t="str">
        <f>IF(ISNUMBER(E465),E465*$D465,"")</f>
        <v/>
      </c>
      <c r="G465" s="53"/>
      <c r="H465" s="38"/>
      <c r="I465" s="121">
        <v>0</v>
      </c>
    </row>
    <row r="466" spans="1:9" ht="26.25" hidden="1" customHeight="1" thickBot="1" x14ac:dyDescent="0.3">
      <c r="A466" s="184" t="s">
        <v>10716</v>
      </c>
      <c r="B466" s="31" t="s">
        <v>13</v>
      </c>
      <c r="C466" s="32" t="s">
        <v>2880</v>
      </c>
      <c r="D466" s="120"/>
      <c r="E466" s="54" t="s">
        <v>13</v>
      </c>
      <c r="F466" s="54" t="str">
        <f>IF(ISNUMBER(E466),E466*$D466,"")</f>
        <v/>
      </c>
      <c r="G466" s="35"/>
      <c r="H466" s="36"/>
      <c r="I466" s="121">
        <v>0</v>
      </c>
    </row>
    <row r="467" spans="1:9" hidden="1" x14ac:dyDescent="0.25">
      <c r="A467" s="182"/>
      <c r="B467" s="39" t="s">
        <v>13</v>
      </c>
      <c r="C467" s="128"/>
      <c r="D467" s="122"/>
      <c r="E467" s="55" t="s">
        <v>13</v>
      </c>
      <c r="F467" s="38" t="str">
        <f>IF(ISNUMBER(E467),E467*$D467,"")</f>
        <v/>
      </c>
      <c r="G467" s="42"/>
      <c r="H467" s="38"/>
      <c r="I467" s="121">
        <v>0</v>
      </c>
    </row>
    <row r="468" spans="1:9" ht="38.25" hidden="1" x14ac:dyDescent="0.25">
      <c r="A468" s="182"/>
      <c r="B468" s="43" t="s">
        <v>10675</v>
      </c>
      <c r="C468" s="43" t="s">
        <v>162</v>
      </c>
      <c r="D468" s="44">
        <v>1.9403999999999999</v>
      </c>
      <c r="E468" s="41">
        <v>36.755499999999998</v>
      </c>
      <c r="F468" s="41">
        <f>IF(ISNUMBER(E468),E468*$D468,"")</f>
        <v>71.320372199999994</v>
      </c>
      <c r="G468" s="46">
        <f>SUM(F468:F483)</f>
        <v>3297.7565904370094</v>
      </c>
      <c r="H468" s="59"/>
      <c r="I468" s="121">
        <v>0</v>
      </c>
    </row>
    <row r="469" spans="1:9" ht="25.5" hidden="1" x14ac:dyDescent="0.25">
      <c r="A469" s="182"/>
      <c r="B469" s="43" t="s">
        <v>10775</v>
      </c>
      <c r="C469" s="43" t="s">
        <v>70</v>
      </c>
      <c r="D469" s="44">
        <v>8.3299999999999999E-2</v>
      </c>
      <c r="E469" s="41">
        <v>8.5310000000000006</v>
      </c>
      <c r="F469" s="41">
        <f>IF(ISNUMBER(E469),E469*$D469,"")</f>
        <v>0.71063229999999999</v>
      </c>
      <c r="G469" s="58"/>
      <c r="H469" s="59"/>
      <c r="I469" s="121">
        <v>0</v>
      </c>
    </row>
    <row r="470" spans="1:9" ht="25.5" hidden="1" x14ac:dyDescent="0.25">
      <c r="A470" s="182"/>
      <c r="B470" s="43" t="s">
        <v>10652</v>
      </c>
      <c r="C470" s="43" t="s">
        <v>1302</v>
      </c>
      <c r="D470" s="44">
        <v>5.6283000000000003</v>
      </c>
      <c r="E470" s="38">
        <v>2.5554999999999999</v>
      </c>
      <c r="F470" s="41">
        <f>IF(ISNUMBER(E470),E470*$D470,"")</f>
        <v>14.38312065</v>
      </c>
      <c r="G470" s="58"/>
      <c r="H470" s="59"/>
      <c r="I470" s="121">
        <v>0</v>
      </c>
    </row>
    <row r="471" spans="1:9" hidden="1" x14ac:dyDescent="0.25">
      <c r="A471" s="182"/>
      <c r="B471" s="43" t="s">
        <v>10780</v>
      </c>
      <c r="C471" s="43" t="s">
        <v>1044</v>
      </c>
      <c r="D471" s="44">
        <v>0.4365</v>
      </c>
      <c r="E471" s="38">
        <v>20.367999999999999</v>
      </c>
      <c r="F471" s="41">
        <f>IF(ISNUMBER(E471),E471*$D471,"")</f>
        <v>8.8906320000000001</v>
      </c>
      <c r="G471" s="58"/>
      <c r="H471" s="59"/>
      <c r="I471" s="121">
        <v>0</v>
      </c>
    </row>
    <row r="472" spans="1:9" hidden="1" x14ac:dyDescent="0.25">
      <c r="A472" s="182"/>
      <c r="B472" s="43" t="s">
        <v>10655</v>
      </c>
      <c r="C472" s="43" t="s">
        <v>2800</v>
      </c>
      <c r="D472" s="44">
        <v>1.1919999999999999</v>
      </c>
      <c r="E472" s="38">
        <v>24.358000000000001</v>
      </c>
      <c r="F472" s="41">
        <f>IF(ISNUMBER(E472),E472*$D472,"")</f>
        <v>29.034735999999999</v>
      </c>
      <c r="G472" s="58"/>
      <c r="H472" s="59"/>
      <c r="I472" s="121">
        <v>0</v>
      </c>
    </row>
    <row r="473" spans="1:9" ht="25.5" hidden="1" x14ac:dyDescent="0.25">
      <c r="A473" s="182"/>
      <c r="B473" s="43" t="s">
        <v>10774</v>
      </c>
      <c r="C473" s="43" t="s">
        <v>2800</v>
      </c>
      <c r="D473" s="44">
        <v>5.96</v>
      </c>
      <c r="E473" s="38">
        <v>29.383499999999998</v>
      </c>
      <c r="F473" s="41">
        <f>IF(ISNUMBER(E473),E473*$D473,"")</f>
        <v>175.12565999999998</v>
      </c>
      <c r="G473" s="58"/>
      <c r="H473" s="59"/>
      <c r="I473" s="121">
        <v>0</v>
      </c>
    </row>
    <row r="474" spans="1:9" hidden="1" x14ac:dyDescent="0.25">
      <c r="A474" s="182"/>
      <c r="B474" s="43" t="s">
        <v>10757</v>
      </c>
      <c r="C474" s="43" t="s">
        <v>2800</v>
      </c>
      <c r="D474" s="44">
        <v>31.349900000000002</v>
      </c>
      <c r="E474" s="38">
        <v>31.055499999999995</v>
      </c>
      <c r="F474" s="41">
        <f>IF(ISNUMBER(E474),E474*$D474,"")</f>
        <v>973.58681944999989</v>
      </c>
      <c r="G474" s="58"/>
      <c r="H474" s="59"/>
      <c r="I474" s="121">
        <v>0</v>
      </c>
    </row>
    <row r="475" spans="1:9" hidden="1" x14ac:dyDescent="0.25">
      <c r="A475" s="182"/>
      <c r="B475" s="43" t="s">
        <v>10614</v>
      </c>
      <c r="C475" s="43" t="s">
        <v>2800</v>
      </c>
      <c r="D475" s="44">
        <v>31.349900000000002</v>
      </c>
      <c r="E475" s="38">
        <v>23.693000000000001</v>
      </c>
      <c r="F475" s="41">
        <f>IF(ISNUMBER(E475),E475*$D475,"")</f>
        <v>742.77318070000013</v>
      </c>
      <c r="G475" s="58"/>
      <c r="H475" s="59"/>
      <c r="I475" s="121">
        <v>0</v>
      </c>
    </row>
    <row r="476" spans="1:9" ht="25.5" hidden="1" x14ac:dyDescent="0.25">
      <c r="A476" s="182"/>
      <c r="B476" s="43" t="s">
        <v>10769</v>
      </c>
      <c r="C476" s="43" t="s">
        <v>1050</v>
      </c>
      <c r="D476" s="44">
        <v>6.6349999999999998</v>
      </c>
      <c r="E476" s="38">
        <v>1.2255</v>
      </c>
      <c r="F476" s="41">
        <f>IF(ISNUMBER(E476),E476*$D476,"")</f>
        <v>8.1311924999999992</v>
      </c>
      <c r="G476" s="58"/>
      <c r="H476" s="59"/>
      <c r="I476" s="121">
        <v>0</v>
      </c>
    </row>
    <row r="477" spans="1:9" ht="25.5" hidden="1" x14ac:dyDescent="0.25">
      <c r="A477" s="182"/>
      <c r="B477" s="43" t="s">
        <v>10770</v>
      </c>
      <c r="C477" s="43" t="s">
        <v>10677</v>
      </c>
      <c r="D477" s="44">
        <v>18.091699999999999</v>
      </c>
      <c r="E477" s="38">
        <v>0.53200000000000003</v>
      </c>
      <c r="F477" s="41">
        <f>IF(ISNUMBER(E477),E477*$D477,"")</f>
        <v>9.6247843999999994</v>
      </c>
      <c r="G477" s="58"/>
      <c r="H477" s="59"/>
      <c r="I477" s="121">
        <v>0</v>
      </c>
    </row>
    <row r="478" spans="1:9" ht="25.5" hidden="1" x14ac:dyDescent="0.25">
      <c r="A478" s="182"/>
      <c r="B478" s="43" t="s">
        <v>10656</v>
      </c>
      <c r="C478" s="43" t="s">
        <v>1050</v>
      </c>
      <c r="D478" s="44">
        <v>0.48770000000000002</v>
      </c>
      <c r="E478" s="38">
        <v>26.884999999999998</v>
      </c>
      <c r="F478" s="41">
        <f>IF(ISNUMBER(E478),E478*$D478,"")</f>
        <v>13.111814499999999</v>
      </c>
      <c r="G478" s="58"/>
      <c r="H478" s="59"/>
      <c r="I478" s="121">
        <v>0</v>
      </c>
    </row>
    <row r="479" spans="1:9" ht="25.5" hidden="1" x14ac:dyDescent="0.25">
      <c r="A479" s="182"/>
      <c r="B479" s="43" t="s">
        <v>10657</v>
      </c>
      <c r="C479" s="43" t="s">
        <v>10677</v>
      </c>
      <c r="D479" s="44">
        <v>0.70430000000000004</v>
      </c>
      <c r="E479" s="38">
        <v>25.906499999999998</v>
      </c>
      <c r="F479" s="41">
        <f>IF(ISNUMBER(E479),E479*$D479,"")</f>
        <v>18.245947949999998</v>
      </c>
      <c r="G479" s="58"/>
      <c r="H479" s="59"/>
      <c r="I479" s="121">
        <v>0</v>
      </c>
    </row>
    <row r="480" spans="1:9" ht="38.25" hidden="1" x14ac:dyDescent="0.25">
      <c r="A480" s="182"/>
      <c r="B480" s="43" t="s">
        <v>10629</v>
      </c>
      <c r="C480" s="43" t="s">
        <v>1044</v>
      </c>
      <c r="D480" s="44">
        <v>27.898800000000001</v>
      </c>
      <c r="E480" s="38">
        <v>15.39799045</v>
      </c>
      <c r="F480" s="41">
        <f>IF(ISNUMBER(E480),E480*$D480,"")</f>
        <v>429.58545596646002</v>
      </c>
      <c r="G480" s="58"/>
      <c r="H480" s="59"/>
      <c r="I480" s="121">
        <v>0</v>
      </c>
    </row>
    <row r="481" spans="1:9" ht="38.25" hidden="1" x14ac:dyDescent="0.25">
      <c r="A481" s="182"/>
      <c r="B481" s="43" t="s">
        <v>10631</v>
      </c>
      <c r="C481" s="62" t="s">
        <v>2880</v>
      </c>
      <c r="D481" s="44">
        <v>1.2</v>
      </c>
      <c r="E481" s="38">
        <v>669.36020151712512</v>
      </c>
      <c r="F481" s="41">
        <f>IF(ISNUMBER(E481),E481*$D481,"")</f>
        <v>803.23224182055014</v>
      </c>
      <c r="G481" s="58"/>
      <c r="H481" s="59"/>
      <c r="I481" s="121">
        <v>0</v>
      </c>
    </row>
    <row r="482" spans="1:9" hidden="1" x14ac:dyDescent="0.25">
      <c r="A482" s="182"/>
      <c r="B482" s="61"/>
      <c r="C482" s="130"/>
      <c r="D482" s="44"/>
      <c r="E482" s="38" t="s">
        <v>13</v>
      </c>
      <c r="F482" s="41" t="str">
        <f>IF(ISNUMBER(E482),E482*$D482,"")</f>
        <v/>
      </c>
      <c r="G482" s="58"/>
      <c r="H482" s="59"/>
      <c r="I482" s="121">
        <v>0</v>
      </c>
    </row>
    <row r="483" spans="1:9" ht="24.95" hidden="1" customHeight="1" x14ac:dyDescent="0.25">
      <c r="A483" s="182"/>
      <c r="B483" s="4" t="s">
        <v>646</v>
      </c>
      <c r="C483" s="130"/>
      <c r="D483" s="44"/>
      <c r="E483" s="38" t="s">
        <v>13</v>
      </c>
      <c r="F483" s="41" t="str">
        <f>IF(ISNUMBER(E483),E483*$D483,"")</f>
        <v/>
      </c>
      <c r="G483" s="58"/>
      <c r="H483" s="59"/>
      <c r="I483" s="121">
        <v>0</v>
      </c>
    </row>
    <row r="484" spans="1:9" ht="15.75" hidden="1" thickBot="1" x14ac:dyDescent="0.3">
      <c r="A484" s="183"/>
      <c r="B484" s="92"/>
      <c r="C484" s="129"/>
      <c r="D484" s="123"/>
      <c r="E484" s="51" t="s">
        <v>13</v>
      </c>
      <c r="F484" s="51" t="str">
        <f>IF(ISNUMBER(E484),E484*$D484,"")</f>
        <v/>
      </c>
      <c r="G484" s="53"/>
      <c r="H484" s="38"/>
      <c r="I484" s="121">
        <v>0</v>
      </c>
    </row>
    <row r="485" spans="1:9" ht="26.25" hidden="1" customHeight="1" thickBot="1" x14ac:dyDescent="0.3">
      <c r="A485" s="184" t="s">
        <v>10717</v>
      </c>
      <c r="B485" s="31" t="s">
        <v>13</v>
      </c>
      <c r="C485" s="32" t="s">
        <v>2880</v>
      </c>
      <c r="D485" s="120"/>
      <c r="E485" s="54" t="s">
        <v>13</v>
      </c>
      <c r="F485" s="54" t="str">
        <f>IF(ISNUMBER(E485),E485*$D485,"")</f>
        <v/>
      </c>
      <c r="G485" s="35"/>
      <c r="H485" s="36"/>
      <c r="I485" s="121">
        <v>0</v>
      </c>
    </row>
    <row r="486" spans="1:9" hidden="1" x14ac:dyDescent="0.25">
      <c r="A486" s="182"/>
      <c r="B486" s="39" t="s">
        <v>13</v>
      </c>
      <c r="C486" s="128"/>
      <c r="D486" s="122"/>
      <c r="E486" s="55" t="s">
        <v>13</v>
      </c>
      <c r="F486" s="38" t="str">
        <f>IF(ISNUMBER(E486),E486*$D486,"")</f>
        <v/>
      </c>
      <c r="G486" s="42"/>
      <c r="H486" s="38"/>
      <c r="I486" s="121">
        <v>0</v>
      </c>
    </row>
    <row r="487" spans="1:9" ht="25.5" hidden="1" x14ac:dyDescent="0.25">
      <c r="A487" s="182"/>
      <c r="B487" s="43" t="s">
        <v>10665</v>
      </c>
      <c r="C487" s="43" t="s">
        <v>2880</v>
      </c>
      <c r="D487" s="44">
        <v>1.1000000000000001</v>
      </c>
      <c r="E487" s="41">
        <v>224.941</v>
      </c>
      <c r="F487" s="41">
        <f>IF(ISNUMBER(E487),E487*$D487,"")</f>
        <v>247.43510000000003</v>
      </c>
      <c r="G487" s="46">
        <f>SUM(F487:F495)</f>
        <v>491.40012502500008</v>
      </c>
      <c r="H487" s="59"/>
      <c r="I487" s="121">
        <v>0</v>
      </c>
    </row>
    <row r="488" spans="1:9" hidden="1" x14ac:dyDescent="0.25">
      <c r="A488" s="182"/>
      <c r="B488" s="43" t="s">
        <v>10757</v>
      </c>
      <c r="C488" s="43" t="s">
        <v>2800</v>
      </c>
      <c r="D488" s="44">
        <v>2.4937999999999998</v>
      </c>
      <c r="E488" s="38">
        <v>31.055499999999995</v>
      </c>
      <c r="F488" s="41">
        <f>IF(ISNUMBER(E488),E488*$D488,"")</f>
        <v>77.446205899999981</v>
      </c>
      <c r="G488" s="58"/>
      <c r="H488" s="59"/>
      <c r="I488" s="121">
        <v>0</v>
      </c>
    </row>
    <row r="489" spans="1:9" hidden="1" x14ac:dyDescent="0.25">
      <c r="A489" s="182"/>
      <c r="B489" s="43" t="s">
        <v>10614</v>
      </c>
      <c r="C489" s="43" t="s">
        <v>2800</v>
      </c>
      <c r="D489" s="44">
        <v>3.7406999999999999</v>
      </c>
      <c r="E489" s="38">
        <v>23.693000000000001</v>
      </c>
      <c r="F489" s="41">
        <f>IF(ISNUMBER(E489),E489*$D489,"")</f>
        <v>88.628405100000009</v>
      </c>
      <c r="G489" s="58"/>
      <c r="H489" s="59"/>
      <c r="I489" s="121">
        <v>0</v>
      </c>
    </row>
    <row r="490" spans="1:9" ht="38.25" hidden="1" x14ac:dyDescent="0.25">
      <c r="A490" s="182"/>
      <c r="B490" s="43" t="s">
        <v>10783</v>
      </c>
      <c r="C490" s="43" t="s">
        <v>1050</v>
      </c>
      <c r="D490" s="44">
        <v>7.1800000000000003E-2</v>
      </c>
      <c r="E490" s="38">
        <v>34.323500000000003</v>
      </c>
      <c r="F490" s="41">
        <f>IF(ISNUMBER(E490),E490*$D490,"")</f>
        <v>2.4644273000000001</v>
      </c>
      <c r="G490" s="58"/>
      <c r="H490" s="59"/>
      <c r="I490" s="121">
        <v>0</v>
      </c>
    </row>
    <row r="491" spans="1:9" ht="38.25" hidden="1" x14ac:dyDescent="0.25">
      <c r="A491" s="182"/>
      <c r="B491" s="43" t="s">
        <v>10784</v>
      </c>
      <c r="C491" s="43" t="s">
        <v>10677</v>
      </c>
      <c r="D491" s="44">
        <v>6.6600000000000006E-2</v>
      </c>
      <c r="E491" s="38">
        <v>26.913499999999996</v>
      </c>
      <c r="F491" s="41">
        <f>IF(ISNUMBER(E491),E491*$D491,"")</f>
        <v>1.7924391</v>
      </c>
      <c r="G491" s="58"/>
      <c r="H491" s="59"/>
      <c r="I491" s="121">
        <v>0</v>
      </c>
    </row>
    <row r="492" spans="1:9" ht="51" hidden="1" x14ac:dyDescent="0.25">
      <c r="A492" s="182"/>
      <c r="B492" s="43" t="s">
        <v>10624</v>
      </c>
      <c r="C492" s="43" t="s">
        <v>2880</v>
      </c>
      <c r="D492" s="44">
        <f>ROUND(1*(D487),4)</f>
        <v>1.1000000000000001</v>
      </c>
      <c r="E492" s="38">
        <v>8.5522277500000001</v>
      </c>
      <c r="F492" s="41">
        <f>IF(ISNUMBER(E492),E492*$D492,"")</f>
        <v>9.4074505250000016</v>
      </c>
      <c r="G492" s="58"/>
      <c r="H492" s="59"/>
      <c r="I492" s="121">
        <v>0</v>
      </c>
    </row>
    <row r="493" spans="1:9" ht="38.25" hidden="1" x14ac:dyDescent="0.25">
      <c r="A493" s="182"/>
      <c r="B493" s="43" t="s">
        <v>10622</v>
      </c>
      <c r="C493" s="62" t="s">
        <v>10676</v>
      </c>
      <c r="D493" s="44">
        <f>ROUND(D487*20,4)</f>
        <v>22</v>
      </c>
      <c r="E493" s="38">
        <v>2.9193680499999997</v>
      </c>
      <c r="F493" s="41">
        <f>IF(ISNUMBER(E493),E493*$D493,"")</f>
        <v>64.22609709999999</v>
      </c>
      <c r="G493" s="58"/>
      <c r="H493" s="59"/>
      <c r="I493" s="121">
        <v>0</v>
      </c>
    </row>
    <row r="494" spans="1:9" hidden="1" x14ac:dyDescent="0.25">
      <c r="A494" s="182"/>
      <c r="B494" s="61"/>
      <c r="C494" s="130"/>
      <c r="D494" s="44"/>
      <c r="E494" s="38" t="s">
        <v>13</v>
      </c>
      <c r="F494" s="41" t="str">
        <f>IF(ISNUMBER(E494),E494*$D494,"")</f>
        <v/>
      </c>
      <c r="G494" s="58"/>
      <c r="H494" s="59"/>
      <c r="I494" s="121">
        <v>0</v>
      </c>
    </row>
    <row r="495" spans="1:9" ht="24.95" hidden="1" customHeight="1" x14ac:dyDescent="0.25">
      <c r="A495" s="182"/>
      <c r="B495" s="4" t="s">
        <v>646</v>
      </c>
      <c r="C495" s="130"/>
      <c r="D495" s="44"/>
      <c r="E495" s="38" t="s">
        <v>13</v>
      </c>
      <c r="F495" s="41" t="str">
        <f>IF(ISNUMBER(E495),E495*$D495,"")</f>
        <v/>
      </c>
      <c r="G495" s="58"/>
      <c r="H495" s="59"/>
      <c r="I495" s="121">
        <v>0</v>
      </c>
    </row>
    <row r="496" spans="1:9" ht="15.75" hidden="1" thickBot="1" x14ac:dyDescent="0.3">
      <c r="A496" s="183"/>
      <c r="B496" s="92"/>
      <c r="C496" s="129"/>
      <c r="D496" s="123"/>
      <c r="E496" s="51" t="s">
        <v>13</v>
      </c>
      <c r="F496" s="51" t="str">
        <f>IF(ISNUMBER(E496),E496*$D496,"")</f>
        <v/>
      </c>
      <c r="G496" s="53"/>
      <c r="H496" s="38"/>
      <c r="I496" s="121">
        <v>0</v>
      </c>
    </row>
    <row r="497" spans="1:9" ht="26.25" hidden="1" customHeight="1" thickBot="1" x14ac:dyDescent="0.3">
      <c r="A497" s="184" t="s">
        <v>10718</v>
      </c>
      <c r="B497" s="31" t="s">
        <v>13</v>
      </c>
      <c r="C497" s="32" t="s">
        <v>2880</v>
      </c>
      <c r="D497" s="120"/>
      <c r="E497" s="54" t="s">
        <v>13</v>
      </c>
      <c r="F497" s="54" t="str">
        <f>IF(ISNUMBER(E497),E497*$D497,"")</f>
        <v/>
      </c>
      <c r="G497" s="35"/>
      <c r="H497" s="36"/>
      <c r="I497" s="121">
        <v>0</v>
      </c>
    </row>
    <row r="498" spans="1:9" hidden="1" x14ac:dyDescent="0.25">
      <c r="A498" s="182"/>
      <c r="B498" s="39" t="s">
        <v>13</v>
      </c>
      <c r="C498" s="128"/>
      <c r="D498" s="122"/>
      <c r="E498" s="55" t="s">
        <v>13</v>
      </c>
      <c r="F498" s="38" t="str">
        <f>IF(ISNUMBER(E498),E498*$D498,"")</f>
        <v/>
      </c>
      <c r="G498" s="42"/>
      <c r="H498" s="38"/>
      <c r="I498" s="121">
        <v>0</v>
      </c>
    </row>
    <row r="499" spans="1:9" ht="25.5" hidden="1" x14ac:dyDescent="0.25">
      <c r="A499" s="182"/>
      <c r="B499" s="43" t="s">
        <v>10647</v>
      </c>
      <c r="C499" s="43" t="s">
        <v>2880</v>
      </c>
      <c r="D499" s="44">
        <v>0.8538</v>
      </c>
      <c r="E499" s="41">
        <v>199.71849999999998</v>
      </c>
      <c r="F499" s="41">
        <f>IF(ISNUMBER(E499),E499*$D499,"")</f>
        <v>170.51965529999998</v>
      </c>
      <c r="G499" s="46">
        <f>SUM(F499:F506)</f>
        <v>674.33682106737501</v>
      </c>
      <c r="H499" s="59"/>
      <c r="I499" s="121">
        <v>0</v>
      </c>
    </row>
    <row r="500" spans="1:9" hidden="1" x14ac:dyDescent="0.25">
      <c r="A500" s="182"/>
      <c r="B500" s="43" t="s">
        <v>10648</v>
      </c>
      <c r="C500" s="43" t="s">
        <v>1044</v>
      </c>
      <c r="D500" s="44">
        <v>218.93</v>
      </c>
      <c r="E500" s="41">
        <v>0.64600000000000002</v>
      </c>
      <c r="F500" s="41">
        <f>IF(ISNUMBER(E500),E500*$D500,"")</f>
        <v>141.42878000000002</v>
      </c>
      <c r="G500" s="58"/>
      <c r="H500" s="59"/>
      <c r="I500" s="121">
        <v>0</v>
      </c>
    </row>
    <row r="501" spans="1:9" ht="25.5" hidden="1" x14ac:dyDescent="0.25">
      <c r="A501" s="182"/>
      <c r="B501" s="43" t="s">
        <v>10662</v>
      </c>
      <c r="C501" s="43" t="s">
        <v>2880</v>
      </c>
      <c r="D501" s="44">
        <v>0.59709999999999996</v>
      </c>
      <c r="E501" s="38">
        <v>194.8355</v>
      </c>
      <c r="F501" s="41">
        <f>IF(ISNUMBER(E501),E501*$D501,"")</f>
        <v>116.33627704999999</v>
      </c>
      <c r="G501" s="58"/>
      <c r="H501" s="59"/>
      <c r="I501" s="121">
        <v>0</v>
      </c>
    </row>
    <row r="502" spans="1:9" hidden="1" x14ac:dyDescent="0.25">
      <c r="A502" s="182"/>
      <c r="B502" s="43" t="s">
        <v>10614</v>
      </c>
      <c r="C502" s="43" t="s">
        <v>2800</v>
      </c>
      <c r="D502" s="44">
        <v>6.2858000000000001</v>
      </c>
      <c r="E502" s="38">
        <v>23.693000000000001</v>
      </c>
      <c r="F502" s="41">
        <f>IF(ISNUMBER(E502),E502*$D502,"")</f>
        <v>148.92945940000001</v>
      </c>
      <c r="G502" s="58"/>
      <c r="H502" s="59"/>
      <c r="I502" s="121">
        <v>0</v>
      </c>
    </row>
    <row r="503" spans="1:9" ht="51" hidden="1" x14ac:dyDescent="0.25">
      <c r="A503" s="182"/>
      <c r="B503" s="43" t="s">
        <v>10624</v>
      </c>
      <c r="C503" s="43" t="s">
        <v>2880</v>
      </c>
      <c r="D503" s="44">
        <f>ROUND(1*(D499+D501),4)</f>
        <v>1.4509000000000001</v>
      </c>
      <c r="E503" s="38">
        <v>8.5522277500000001</v>
      </c>
      <c r="F503" s="41">
        <f>IF(ISNUMBER(E503),E503*$D503,"")</f>
        <v>12.408427242475002</v>
      </c>
      <c r="G503" s="58"/>
      <c r="H503" s="59"/>
      <c r="I503" s="121">
        <v>0</v>
      </c>
    </row>
    <row r="504" spans="1:9" ht="38.25" hidden="1" x14ac:dyDescent="0.25">
      <c r="A504" s="182"/>
      <c r="B504" s="43" t="s">
        <v>10622</v>
      </c>
      <c r="C504" s="62" t="s">
        <v>10676</v>
      </c>
      <c r="D504" s="44">
        <f>ROUND((D499+D501)*20,4)</f>
        <v>29.018000000000001</v>
      </c>
      <c r="E504" s="38">
        <v>2.9193680499999997</v>
      </c>
      <c r="F504" s="41">
        <f>IF(ISNUMBER(E504),E504*$D504,"")</f>
        <v>84.714222074899993</v>
      </c>
      <c r="G504" s="58"/>
      <c r="H504" s="59"/>
      <c r="I504" s="121">
        <v>0</v>
      </c>
    </row>
    <row r="505" spans="1:9" hidden="1" x14ac:dyDescent="0.25">
      <c r="A505" s="182"/>
      <c r="B505" s="61"/>
      <c r="C505" s="130"/>
      <c r="D505" s="44"/>
      <c r="E505" s="38" t="s">
        <v>13</v>
      </c>
      <c r="F505" s="41" t="str">
        <f>IF(ISNUMBER(E505),E505*$D505,"")</f>
        <v/>
      </c>
      <c r="G505" s="58"/>
      <c r="H505" s="59"/>
      <c r="I505" s="121">
        <v>0</v>
      </c>
    </row>
    <row r="506" spans="1:9" ht="24.95" hidden="1" customHeight="1" x14ac:dyDescent="0.25">
      <c r="A506" s="182"/>
      <c r="B506" s="4" t="s">
        <v>78</v>
      </c>
      <c r="C506" s="130"/>
      <c r="D506" s="44"/>
      <c r="E506" s="38" t="s">
        <v>13</v>
      </c>
      <c r="F506" s="41" t="str">
        <f>IF(ISNUMBER(E506),E506*$D506,"")</f>
        <v/>
      </c>
      <c r="G506" s="58"/>
      <c r="H506" s="59"/>
      <c r="I506" s="121">
        <v>0</v>
      </c>
    </row>
    <row r="507" spans="1:9" ht="15.75" hidden="1" thickBot="1" x14ac:dyDescent="0.3">
      <c r="A507" s="183"/>
      <c r="B507" s="92"/>
      <c r="C507" s="129"/>
      <c r="D507" s="123"/>
      <c r="E507" s="51" t="s">
        <v>13</v>
      </c>
      <c r="F507" s="51" t="str">
        <f>IF(ISNUMBER(E507),E507*$D507,"")</f>
        <v/>
      </c>
      <c r="G507" s="53"/>
      <c r="H507" s="38"/>
      <c r="I507" s="121">
        <v>0</v>
      </c>
    </row>
    <row r="508" spans="1:9" ht="26.25" hidden="1" customHeight="1" thickBot="1" x14ac:dyDescent="0.3">
      <c r="A508" s="184" t="s">
        <v>10719</v>
      </c>
      <c r="B508" s="31" t="s">
        <v>13</v>
      </c>
      <c r="C508" s="32" t="s">
        <v>83</v>
      </c>
      <c r="D508" s="120"/>
      <c r="E508" s="54" t="s">
        <v>13</v>
      </c>
      <c r="F508" s="54" t="str">
        <f>IF(ISNUMBER(E508),E508*$D508,"")</f>
        <v/>
      </c>
      <c r="G508" s="35"/>
      <c r="H508" s="36"/>
      <c r="I508" s="121">
        <v>0</v>
      </c>
    </row>
    <row r="509" spans="1:9" hidden="1" x14ac:dyDescent="0.25">
      <c r="A509" s="182"/>
      <c r="B509" s="39" t="s">
        <v>13</v>
      </c>
      <c r="C509" s="128"/>
      <c r="D509" s="122"/>
      <c r="E509" s="55" t="s">
        <v>13</v>
      </c>
      <c r="F509" s="38" t="str">
        <f>IF(ISNUMBER(E509),E509*$D509,"")</f>
        <v/>
      </c>
      <c r="G509" s="42"/>
      <c r="H509" s="38"/>
      <c r="I509" s="121">
        <v>0</v>
      </c>
    </row>
    <row r="510" spans="1:9" hidden="1" x14ac:dyDescent="0.25">
      <c r="A510" s="182"/>
      <c r="B510" s="43" t="s">
        <v>10653</v>
      </c>
      <c r="C510" s="43" t="s">
        <v>1044</v>
      </c>
      <c r="D510" s="44">
        <v>3.3999999999999998E-3</v>
      </c>
      <c r="E510" s="41">
        <v>18.401499999999999</v>
      </c>
      <c r="F510" s="41">
        <f>IF(ISNUMBER(E510),E510*$D510,"")</f>
        <v>6.2565099999999998E-2</v>
      </c>
      <c r="G510" s="46">
        <f>SUM(F510:F512)</f>
        <v>2.2235149000000001</v>
      </c>
      <c r="H510" s="59"/>
      <c r="I510" s="121">
        <v>0</v>
      </c>
    </row>
    <row r="511" spans="1:9" hidden="1" x14ac:dyDescent="0.25">
      <c r="A511" s="182"/>
      <c r="B511" s="43" t="s">
        <v>10655</v>
      </c>
      <c r="C511" s="43" t="s">
        <v>2800</v>
      </c>
      <c r="D511" s="44">
        <v>3.9300000000000002E-2</v>
      </c>
      <c r="E511" s="41">
        <v>24.358000000000001</v>
      </c>
      <c r="F511" s="41">
        <f>IF(ISNUMBER(E511),E511*$D511,"")</f>
        <v>0.95726940000000005</v>
      </c>
      <c r="G511" s="58"/>
      <c r="H511" s="59"/>
      <c r="I511" s="121">
        <v>0</v>
      </c>
    </row>
    <row r="512" spans="1:9" hidden="1" x14ac:dyDescent="0.25">
      <c r="A512" s="182"/>
      <c r="B512" s="43" t="s">
        <v>10613</v>
      </c>
      <c r="C512" s="43" t="s">
        <v>2800</v>
      </c>
      <c r="D512" s="44">
        <v>3.9300000000000002E-2</v>
      </c>
      <c r="E512" s="38">
        <v>30.628</v>
      </c>
      <c r="F512" s="41">
        <f>IF(ISNUMBER(E512),E512*$D512,"")</f>
        <v>1.2036804000000001</v>
      </c>
      <c r="G512" s="58"/>
      <c r="H512" s="59"/>
      <c r="I512" s="121">
        <v>0</v>
      </c>
    </row>
    <row r="513" spans="1:9" ht="15.75" hidden="1" thickBot="1" x14ac:dyDescent="0.3">
      <c r="A513" s="183"/>
      <c r="B513" s="92"/>
      <c r="C513" s="129"/>
      <c r="D513" s="123"/>
      <c r="E513" s="51" t="s">
        <v>13</v>
      </c>
      <c r="F513" s="51" t="str">
        <f>IF(ISNUMBER(E513),E513*$D513,"")</f>
        <v/>
      </c>
      <c r="G513" s="53"/>
      <c r="H513" s="38"/>
      <c r="I513" s="121">
        <v>0</v>
      </c>
    </row>
    <row r="514" spans="1:9" ht="26.25" hidden="1" customHeight="1" thickBot="1" x14ac:dyDescent="0.3">
      <c r="A514" s="184" t="s">
        <v>10720</v>
      </c>
      <c r="B514" s="31" t="s">
        <v>13</v>
      </c>
      <c r="C514" s="32" t="s">
        <v>2880</v>
      </c>
      <c r="D514" s="120"/>
      <c r="E514" s="54" t="s">
        <v>13</v>
      </c>
      <c r="F514" s="54" t="str">
        <f>IF(ISNUMBER(E514),E514*$D514,"")</f>
        <v/>
      </c>
      <c r="G514" s="35"/>
      <c r="H514" s="36"/>
      <c r="I514" s="121">
        <v>0</v>
      </c>
    </row>
    <row r="515" spans="1:9" hidden="1" x14ac:dyDescent="0.25">
      <c r="A515" s="182"/>
      <c r="B515" s="39" t="s">
        <v>13</v>
      </c>
      <c r="C515" s="128"/>
      <c r="D515" s="122"/>
      <c r="E515" s="55" t="s">
        <v>13</v>
      </c>
      <c r="F515" s="38" t="str">
        <f>IF(ISNUMBER(E515),E515*$D515,"")</f>
        <v/>
      </c>
      <c r="G515" s="42"/>
      <c r="H515" s="38"/>
      <c r="I515" s="121">
        <v>0</v>
      </c>
    </row>
    <row r="516" spans="1:9" hidden="1" x14ac:dyDescent="0.25">
      <c r="A516" s="182"/>
      <c r="B516" s="43" t="s">
        <v>10757</v>
      </c>
      <c r="C516" s="43" t="s">
        <v>2800</v>
      </c>
      <c r="D516" s="44">
        <v>8.2972999999999999</v>
      </c>
      <c r="E516" s="41">
        <v>31.055499999999995</v>
      </c>
      <c r="F516" s="41">
        <f>IF(ISNUMBER(E516),E516*$D516,"")</f>
        <v>257.67680014999996</v>
      </c>
      <c r="G516" s="46">
        <f>SUM(F516:F518)</f>
        <v>1277.5927441263489</v>
      </c>
      <c r="H516" s="59"/>
      <c r="I516" s="121">
        <v>0</v>
      </c>
    </row>
    <row r="517" spans="1:9" hidden="1" x14ac:dyDescent="0.25">
      <c r="A517" s="182"/>
      <c r="B517" s="43" t="s">
        <v>10614</v>
      </c>
      <c r="C517" s="43" t="s">
        <v>2800</v>
      </c>
      <c r="D517" s="44">
        <v>5.5315000000000003</v>
      </c>
      <c r="E517" s="41">
        <v>23.693000000000001</v>
      </c>
      <c r="F517" s="41">
        <f>IF(ISNUMBER(E517),E517*$D517,"")</f>
        <v>131.05782950000003</v>
      </c>
      <c r="G517" s="58"/>
      <c r="H517" s="59"/>
      <c r="I517" s="121">
        <v>0</v>
      </c>
    </row>
    <row r="518" spans="1:9" ht="38.25" hidden="1" x14ac:dyDescent="0.25">
      <c r="A518" s="182"/>
      <c r="B518" s="43" t="s">
        <v>10632</v>
      </c>
      <c r="C518" s="6" t="s">
        <v>2880</v>
      </c>
      <c r="D518" s="44">
        <v>1.2030000000000001</v>
      </c>
      <c r="E518" s="38">
        <v>738.86792558299999</v>
      </c>
      <c r="F518" s="41">
        <f>IF(ISNUMBER(E518),E518*$D518,"")</f>
        <v>888.85811447634899</v>
      </c>
      <c r="G518" s="58"/>
      <c r="H518" s="59"/>
      <c r="I518" s="121">
        <v>0</v>
      </c>
    </row>
    <row r="519" spans="1:9" ht="15.75" hidden="1" thickBot="1" x14ac:dyDescent="0.3">
      <c r="A519" s="183"/>
      <c r="B519" s="92"/>
      <c r="C519" s="129"/>
      <c r="D519" s="123"/>
      <c r="E519" s="51" t="s">
        <v>13</v>
      </c>
      <c r="F519" s="51" t="str">
        <f>IF(ISNUMBER(E519),E519*$D519,"")</f>
        <v/>
      </c>
      <c r="G519" s="53"/>
      <c r="H519" s="38"/>
      <c r="I519" s="121">
        <v>0</v>
      </c>
    </row>
    <row r="520" spans="1:9" ht="26.25" hidden="1" customHeight="1" thickBot="1" x14ac:dyDescent="0.3">
      <c r="A520" s="184" t="s">
        <v>10721</v>
      </c>
      <c r="B520" s="31" t="s">
        <v>13</v>
      </c>
      <c r="C520" s="32" t="s">
        <v>2880</v>
      </c>
      <c r="D520" s="120"/>
      <c r="E520" s="54" t="s">
        <v>13</v>
      </c>
      <c r="F520" s="54" t="str">
        <f>IF(ISNUMBER(E520),E520*$D520,"")</f>
        <v/>
      </c>
      <c r="G520" s="35"/>
      <c r="H520" s="36"/>
      <c r="I520" s="121">
        <v>0</v>
      </c>
    </row>
    <row r="521" spans="1:9" hidden="1" x14ac:dyDescent="0.25">
      <c r="A521" s="182"/>
      <c r="B521" s="39" t="s">
        <v>13</v>
      </c>
      <c r="C521" s="128"/>
      <c r="D521" s="122"/>
      <c r="E521" s="55" t="s">
        <v>13</v>
      </c>
      <c r="F521" s="38" t="str">
        <f>IF(ISNUMBER(E521),E521*$D521,"")</f>
        <v/>
      </c>
      <c r="G521" s="42"/>
      <c r="H521" s="38"/>
      <c r="I521" s="121">
        <v>0</v>
      </c>
    </row>
    <row r="522" spans="1:9" hidden="1" x14ac:dyDescent="0.25">
      <c r="A522" s="182"/>
      <c r="B522" s="43" t="s">
        <v>10757</v>
      </c>
      <c r="C522" s="43" t="s">
        <v>2800</v>
      </c>
      <c r="D522" s="44">
        <v>7.4147999999999996</v>
      </c>
      <c r="E522" s="41">
        <v>31.055499999999995</v>
      </c>
      <c r="F522" s="41">
        <f>IF(ISNUMBER(E522),E522*$D522,"")</f>
        <v>230.27032139999994</v>
      </c>
      <c r="G522" s="46">
        <f>SUM(F522:F524)</f>
        <v>1236.2476734763491</v>
      </c>
      <c r="H522" s="59"/>
      <c r="I522" s="121">
        <v>0</v>
      </c>
    </row>
    <row r="523" spans="1:9" hidden="1" x14ac:dyDescent="0.25">
      <c r="A523" s="182"/>
      <c r="B523" s="43" t="s">
        <v>10614</v>
      </c>
      <c r="C523" s="43" t="s">
        <v>2800</v>
      </c>
      <c r="D523" s="44">
        <v>4.9432</v>
      </c>
      <c r="E523" s="41">
        <v>23.693000000000001</v>
      </c>
      <c r="F523" s="41">
        <f>IF(ISNUMBER(E523),E523*$D523,"")</f>
        <v>117.11923760000001</v>
      </c>
      <c r="G523" s="58"/>
      <c r="H523" s="59"/>
      <c r="I523" s="121">
        <v>0</v>
      </c>
    </row>
    <row r="524" spans="1:9" ht="38.25" hidden="1" x14ac:dyDescent="0.25">
      <c r="A524" s="182"/>
      <c r="B524" s="43" t="s">
        <v>10632</v>
      </c>
      <c r="C524" s="6" t="s">
        <v>2880</v>
      </c>
      <c r="D524" s="44">
        <v>1.2030000000000001</v>
      </c>
      <c r="E524" s="38">
        <v>738.86792558299999</v>
      </c>
      <c r="F524" s="41">
        <f>IF(ISNUMBER(E524),E524*$D524,"")</f>
        <v>888.85811447634899</v>
      </c>
      <c r="G524" s="58"/>
      <c r="H524" s="59"/>
      <c r="I524" s="121">
        <v>0</v>
      </c>
    </row>
    <row r="525" spans="1:9" ht="15.75" hidden="1" thickBot="1" x14ac:dyDescent="0.3">
      <c r="A525" s="183"/>
      <c r="B525" s="92"/>
      <c r="C525" s="129"/>
      <c r="D525" s="123"/>
      <c r="E525" s="51" t="s">
        <v>13</v>
      </c>
      <c r="F525" s="51" t="str">
        <f>IF(ISNUMBER(E525),E525*$D525,"")</f>
        <v/>
      </c>
      <c r="G525" s="53"/>
      <c r="H525" s="38"/>
      <c r="I525" s="121">
        <v>0</v>
      </c>
    </row>
    <row r="526" spans="1:9" ht="26.25" hidden="1" customHeight="1" thickBot="1" x14ac:dyDescent="0.3">
      <c r="A526" s="184" t="s">
        <v>10722</v>
      </c>
      <c r="B526" s="31" t="s">
        <v>13</v>
      </c>
      <c r="C526" s="32" t="s">
        <v>1044</v>
      </c>
      <c r="D526" s="120"/>
      <c r="E526" s="54" t="s">
        <v>13</v>
      </c>
      <c r="F526" s="54" t="str">
        <f>IF(ISNUMBER(E526),E526*$D526,"")</f>
        <v/>
      </c>
      <c r="G526" s="35"/>
      <c r="H526" s="36"/>
      <c r="I526" s="121">
        <v>0</v>
      </c>
    </row>
    <row r="527" spans="1:9" hidden="1" x14ac:dyDescent="0.25">
      <c r="A527" s="182"/>
      <c r="B527" s="39" t="s">
        <v>13</v>
      </c>
      <c r="C527" s="128"/>
      <c r="D527" s="122"/>
      <c r="E527" s="55" t="s">
        <v>13</v>
      </c>
      <c r="F527" s="38" t="str">
        <f>IF(ISNUMBER(E527),E527*$D527,"")</f>
        <v/>
      </c>
      <c r="G527" s="42"/>
      <c r="H527" s="38"/>
      <c r="I527" s="121">
        <v>0</v>
      </c>
    </row>
    <row r="528" spans="1:9" hidden="1" x14ac:dyDescent="0.25">
      <c r="A528" s="182"/>
      <c r="B528" s="43" t="s">
        <v>10785</v>
      </c>
      <c r="C528" s="43" t="s">
        <v>1044</v>
      </c>
      <c r="D528" s="44">
        <v>1</v>
      </c>
      <c r="E528" s="41">
        <v>7.3719999999999999</v>
      </c>
      <c r="F528" s="41">
        <f>IF(ISNUMBER(E528),E528*$D528,"")</f>
        <v>7.3719999999999999</v>
      </c>
      <c r="G528" s="46">
        <f>SUM(F528:F530)</f>
        <v>10.273774999999999</v>
      </c>
      <c r="H528" s="59"/>
      <c r="I528" s="121">
        <v>0</v>
      </c>
    </row>
    <row r="529" spans="1:9" hidden="1" x14ac:dyDescent="0.25">
      <c r="A529" s="182"/>
      <c r="B529" s="43" t="s">
        <v>10643</v>
      </c>
      <c r="C529" s="43" t="s">
        <v>2800</v>
      </c>
      <c r="D529" s="44">
        <v>4.1000000000000002E-2</v>
      </c>
      <c r="E529" s="41">
        <v>24.519499999999997</v>
      </c>
      <c r="F529" s="41">
        <f>IF(ISNUMBER(E529),E529*$D529,"")</f>
        <v>1.0052995</v>
      </c>
      <c r="G529" s="58"/>
      <c r="H529" s="59"/>
      <c r="I529" s="121">
        <v>0</v>
      </c>
    </row>
    <row r="530" spans="1:9" hidden="1" x14ac:dyDescent="0.25">
      <c r="A530" s="182"/>
      <c r="B530" s="43" t="s">
        <v>10644</v>
      </c>
      <c r="C530" s="43" t="s">
        <v>2800</v>
      </c>
      <c r="D530" s="44">
        <v>6.1499999999999999E-2</v>
      </c>
      <c r="E530" s="38">
        <v>30.837</v>
      </c>
      <c r="F530" s="41">
        <f>IF(ISNUMBER(E530),E530*$D530,"")</f>
        <v>1.8964755</v>
      </c>
      <c r="G530" s="58"/>
      <c r="H530" s="59"/>
      <c r="I530" s="121">
        <v>0</v>
      </c>
    </row>
    <row r="531" spans="1:9" ht="15.75" hidden="1" thickBot="1" x14ac:dyDescent="0.3">
      <c r="A531" s="183"/>
      <c r="B531" s="92"/>
      <c r="C531" s="129"/>
      <c r="D531" s="123"/>
      <c r="E531" s="51" t="s">
        <v>13</v>
      </c>
      <c r="F531" s="51" t="str">
        <f>IF(ISNUMBER(E531),E531*$D531,"")</f>
        <v/>
      </c>
      <c r="G531" s="53"/>
      <c r="H531" s="38"/>
      <c r="I531" s="121">
        <v>0</v>
      </c>
    </row>
    <row r="532" spans="1:9" ht="26.25" hidden="1" customHeight="1" thickBot="1" x14ac:dyDescent="0.3">
      <c r="A532" s="184" t="s">
        <v>10723</v>
      </c>
      <c r="B532" s="31" t="s">
        <v>13</v>
      </c>
      <c r="C532" s="32" t="s">
        <v>1044</v>
      </c>
      <c r="D532" s="120"/>
      <c r="E532" s="54" t="s">
        <v>13</v>
      </c>
      <c r="F532" s="54" t="str">
        <f>IF(ISNUMBER(E532),E532*$D532,"")</f>
        <v/>
      </c>
      <c r="G532" s="35"/>
      <c r="H532" s="36"/>
      <c r="I532" s="121">
        <v>0</v>
      </c>
    </row>
    <row r="533" spans="1:9" hidden="1" x14ac:dyDescent="0.25">
      <c r="A533" s="182"/>
      <c r="B533" s="39" t="s">
        <v>13</v>
      </c>
      <c r="C533" s="128"/>
      <c r="D533" s="122"/>
      <c r="E533" s="55" t="s">
        <v>13</v>
      </c>
      <c r="F533" s="38" t="str">
        <f>IF(ISNUMBER(E533),E533*$D533,"")</f>
        <v/>
      </c>
      <c r="G533" s="42"/>
      <c r="H533" s="38"/>
      <c r="I533" s="121">
        <v>0</v>
      </c>
    </row>
    <row r="534" spans="1:9" hidden="1" x14ac:dyDescent="0.25">
      <c r="A534" s="182"/>
      <c r="B534" s="43" t="s">
        <v>10785</v>
      </c>
      <c r="C534" s="43" t="s">
        <v>1044</v>
      </c>
      <c r="D534" s="44">
        <v>1</v>
      </c>
      <c r="E534" s="41">
        <v>7.3719999999999999</v>
      </c>
      <c r="F534" s="41">
        <f>IF(ISNUMBER(E534),E534*$D534,"")</f>
        <v>7.3719999999999999</v>
      </c>
      <c r="G534" s="46">
        <f>SUM(F534:F536)</f>
        <v>9.6737293499999986</v>
      </c>
      <c r="H534" s="59"/>
      <c r="I534" s="121">
        <v>0</v>
      </c>
    </row>
    <row r="535" spans="1:9" hidden="1" x14ac:dyDescent="0.25">
      <c r="A535" s="182"/>
      <c r="B535" s="43" t="s">
        <v>10643</v>
      </c>
      <c r="C535" s="43" t="s">
        <v>2800</v>
      </c>
      <c r="D535" s="44">
        <v>3.2500000000000001E-2</v>
      </c>
      <c r="E535" s="41">
        <v>24.519499999999997</v>
      </c>
      <c r="F535" s="41">
        <f>IF(ISNUMBER(E535),E535*$D535,"")</f>
        <v>0.79688374999999989</v>
      </c>
      <c r="G535" s="58"/>
      <c r="H535" s="59"/>
      <c r="I535" s="121">
        <v>0</v>
      </c>
    </row>
    <row r="536" spans="1:9" hidden="1" x14ac:dyDescent="0.25">
      <c r="A536" s="182"/>
      <c r="B536" s="43" t="s">
        <v>10644</v>
      </c>
      <c r="C536" s="43" t="s">
        <v>2800</v>
      </c>
      <c r="D536" s="44">
        <v>4.8800000000000003E-2</v>
      </c>
      <c r="E536" s="38">
        <v>30.837</v>
      </c>
      <c r="F536" s="41">
        <f>IF(ISNUMBER(E536),E536*$D536,"")</f>
        <v>1.5048456000000001</v>
      </c>
      <c r="G536" s="58"/>
      <c r="H536" s="59"/>
      <c r="I536" s="121">
        <v>0</v>
      </c>
    </row>
    <row r="537" spans="1:9" ht="15.75" hidden="1" thickBot="1" x14ac:dyDescent="0.3">
      <c r="A537" s="183"/>
      <c r="B537" s="92"/>
      <c r="C537" s="129"/>
      <c r="D537" s="123"/>
      <c r="E537" s="51" t="s">
        <v>13</v>
      </c>
      <c r="F537" s="51" t="str">
        <f>IF(ISNUMBER(E537),E537*$D537,"")</f>
        <v/>
      </c>
      <c r="G537" s="53"/>
      <c r="H537" s="38"/>
      <c r="I537" s="121">
        <v>0</v>
      </c>
    </row>
    <row r="538" spans="1:9" ht="15.75" hidden="1" thickBot="1" x14ac:dyDescent="0.3">
      <c r="A538" s="184" t="s">
        <v>10724</v>
      </c>
      <c r="B538" s="31" t="s">
        <v>13</v>
      </c>
      <c r="C538" s="32" t="s">
        <v>162</v>
      </c>
      <c r="D538" s="120"/>
      <c r="E538" s="34" t="s">
        <v>13</v>
      </c>
      <c r="F538" s="34" t="str">
        <f>IF(ISNUMBER(E538),E538*$D538,"")</f>
        <v/>
      </c>
      <c r="G538" s="35"/>
      <c r="H538" s="36"/>
      <c r="I538" s="121">
        <v>0</v>
      </c>
    </row>
    <row r="539" spans="1:9" hidden="1" x14ac:dyDescent="0.25">
      <c r="A539" s="182"/>
      <c r="B539" s="39" t="s">
        <v>13</v>
      </c>
      <c r="C539" s="39"/>
      <c r="D539" s="122"/>
      <c r="E539" s="38" t="s">
        <v>13</v>
      </c>
      <c r="F539" s="38" t="str">
        <f>IF(ISNUMBER(E539),E539*$D539,"")</f>
        <v/>
      </c>
      <c r="G539" s="42"/>
      <c r="H539" s="38"/>
      <c r="I539" s="121">
        <v>0</v>
      </c>
    </row>
    <row r="540" spans="1:9" hidden="1" x14ac:dyDescent="0.25">
      <c r="A540" s="182"/>
      <c r="B540" s="43" t="s">
        <v>10757</v>
      </c>
      <c r="C540" s="43" t="s">
        <v>2800</v>
      </c>
      <c r="D540" s="44">
        <v>5.0700000000000002E-2</v>
      </c>
      <c r="E540" s="38">
        <v>31.055499999999995</v>
      </c>
      <c r="F540" s="41">
        <f>IF(ISNUMBER(E540),E540*$D540,"")</f>
        <v>1.5745138499999998</v>
      </c>
      <c r="G540" s="46">
        <f>SUM(F540:F543)</f>
        <v>3.4731610499999999</v>
      </c>
      <c r="H540" s="59"/>
      <c r="I540" s="121">
        <v>0</v>
      </c>
    </row>
    <row r="541" spans="1:9" hidden="1" x14ac:dyDescent="0.25">
      <c r="A541" s="182"/>
      <c r="B541" s="43" t="s">
        <v>10614</v>
      </c>
      <c r="C541" s="43" t="s">
        <v>2800</v>
      </c>
      <c r="D541" s="44">
        <v>7.5999999999999998E-2</v>
      </c>
      <c r="E541" s="41">
        <v>23.693000000000001</v>
      </c>
      <c r="F541" s="41">
        <f>IF(ISNUMBER(E541),E541*$D541,"")</f>
        <v>1.8006680000000002</v>
      </c>
      <c r="G541" s="58"/>
      <c r="H541" s="59"/>
      <c r="I541" s="121">
        <v>0</v>
      </c>
    </row>
    <row r="542" spans="1:9" ht="38.25" hidden="1" x14ac:dyDescent="0.25">
      <c r="A542" s="182"/>
      <c r="B542" s="43" t="s">
        <v>10783</v>
      </c>
      <c r="C542" s="43" t="s">
        <v>1050</v>
      </c>
      <c r="D542" s="44">
        <v>1.6000000000000001E-3</v>
      </c>
      <c r="E542" s="38">
        <v>34.323500000000003</v>
      </c>
      <c r="F542" s="41">
        <f>IF(ISNUMBER(E542),E542*$D542,"")</f>
        <v>5.4917600000000004E-2</v>
      </c>
      <c r="G542" s="58"/>
      <c r="H542" s="59"/>
      <c r="I542" s="121">
        <v>0</v>
      </c>
    </row>
    <row r="543" spans="1:9" ht="38.25" hidden="1" x14ac:dyDescent="0.25">
      <c r="A543" s="182"/>
      <c r="B543" s="43" t="s">
        <v>10784</v>
      </c>
      <c r="C543" s="43" t="s">
        <v>10677</v>
      </c>
      <c r="D543" s="44">
        <v>1.6000000000000001E-3</v>
      </c>
      <c r="E543" s="38">
        <v>26.913499999999996</v>
      </c>
      <c r="F543" s="41">
        <f>IF(ISNUMBER(E543),E543*$D543,"")</f>
        <v>4.3061599999999992E-2</v>
      </c>
      <c r="G543" s="58"/>
      <c r="H543" s="59"/>
      <c r="I543" s="121">
        <v>0</v>
      </c>
    </row>
    <row r="544" spans="1:9" ht="15.75" hidden="1" thickBot="1" x14ac:dyDescent="0.3">
      <c r="A544" s="183"/>
      <c r="B544" s="49" t="s">
        <v>13</v>
      </c>
      <c r="C544" s="49"/>
      <c r="D544" s="123"/>
      <c r="E544" s="51" t="s">
        <v>13</v>
      </c>
      <c r="F544" s="52" t="str">
        <f>IF(ISNUMBER(E544),E544*$D544,"")</f>
        <v/>
      </c>
      <c r="G544" s="53"/>
      <c r="H544" s="38"/>
      <c r="I544" s="121">
        <v>0</v>
      </c>
    </row>
    <row r="545" spans="1:9" ht="26.25" hidden="1" customHeight="1" thickBot="1" x14ac:dyDescent="0.3">
      <c r="A545" s="184" t="s">
        <v>10725</v>
      </c>
      <c r="B545" s="31" t="s">
        <v>13</v>
      </c>
      <c r="C545" s="32" t="s">
        <v>2880</v>
      </c>
      <c r="D545" s="120"/>
      <c r="E545" s="54" t="s">
        <v>13</v>
      </c>
      <c r="F545" s="54" t="str">
        <f>IF(ISNUMBER(E545),E545*$D545,"")</f>
        <v/>
      </c>
      <c r="G545" s="35"/>
      <c r="H545" s="36"/>
      <c r="I545" s="121">
        <v>0</v>
      </c>
    </row>
    <row r="546" spans="1:9" hidden="1" x14ac:dyDescent="0.25">
      <c r="A546" s="182"/>
      <c r="B546" s="39" t="s">
        <v>13</v>
      </c>
      <c r="C546" s="128"/>
      <c r="D546" s="122"/>
      <c r="E546" s="55" t="s">
        <v>13</v>
      </c>
      <c r="F546" s="38" t="str">
        <f>IF(ISNUMBER(E546),E546*$D546,"")</f>
        <v/>
      </c>
      <c r="G546" s="42"/>
      <c r="H546" s="38"/>
      <c r="I546" s="121">
        <v>0</v>
      </c>
    </row>
    <row r="547" spans="1:9" ht="25.5" hidden="1" x14ac:dyDescent="0.25">
      <c r="A547" s="182"/>
      <c r="B547" s="43" t="s">
        <v>10647</v>
      </c>
      <c r="C547" s="43" t="s">
        <v>2880</v>
      </c>
      <c r="D547" s="44">
        <v>1.17</v>
      </c>
      <c r="E547" s="41">
        <v>199.71849999999998</v>
      </c>
      <c r="F547" s="41">
        <f>IF(ISNUMBER(E547),E547*$D547,"")</f>
        <v>233.67064499999995</v>
      </c>
      <c r="G547" s="46">
        <f>SUM(F547:F556)</f>
        <v>791.44413383749986</v>
      </c>
      <c r="H547" s="59"/>
      <c r="I547" s="121">
        <v>0</v>
      </c>
    </row>
    <row r="548" spans="1:9" hidden="1" x14ac:dyDescent="0.25">
      <c r="A548" s="182"/>
      <c r="B548" s="43" t="s">
        <v>10659</v>
      </c>
      <c r="C548" s="43" t="s">
        <v>1044</v>
      </c>
      <c r="D548" s="44">
        <v>117.22</v>
      </c>
      <c r="E548" s="38">
        <v>1.4724999999999999</v>
      </c>
      <c r="F548" s="41">
        <f>IF(ISNUMBER(E548),E548*$D548,"")</f>
        <v>172.60645</v>
      </c>
      <c r="G548" s="58"/>
      <c r="H548" s="59"/>
      <c r="I548" s="121">
        <v>0</v>
      </c>
    </row>
    <row r="549" spans="1:9" hidden="1" x14ac:dyDescent="0.25">
      <c r="A549" s="182"/>
      <c r="B549" s="43" t="s">
        <v>10648</v>
      </c>
      <c r="C549" s="43" t="s">
        <v>1044</v>
      </c>
      <c r="D549" s="44">
        <v>263.74</v>
      </c>
      <c r="E549" s="38">
        <v>0.64600000000000002</v>
      </c>
      <c r="F549" s="41">
        <f>IF(ISNUMBER(E549),E549*$D549,"")</f>
        <v>170.37604000000002</v>
      </c>
      <c r="G549" s="58"/>
      <c r="H549" s="59"/>
      <c r="I549" s="121">
        <v>0</v>
      </c>
    </row>
    <row r="550" spans="1:9" ht="25.5" hidden="1" x14ac:dyDescent="0.25">
      <c r="A550" s="182"/>
      <c r="B550" s="43" t="s">
        <v>10649</v>
      </c>
      <c r="C550" s="43" t="s">
        <v>2800</v>
      </c>
      <c r="D550" s="44">
        <v>5.16</v>
      </c>
      <c r="E550" s="38">
        <v>25.745000000000001</v>
      </c>
      <c r="F550" s="41">
        <f>IF(ISNUMBER(E550),E550*$D550,"")</f>
        <v>132.8442</v>
      </c>
      <c r="G550" s="58"/>
      <c r="H550" s="59"/>
      <c r="I550" s="121">
        <v>0</v>
      </c>
    </row>
    <row r="551" spans="1:9" ht="38.25" hidden="1" x14ac:dyDescent="0.25">
      <c r="A551" s="182"/>
      <c r="B551" s="43" t="s">
        <v>10650</v>
      </c>
      <c r="C551" s="43" t="s">
        <v>1050</v>
      </c>
      <c r="D551" s="44">
        <v>1.2</v>
      </c>
      <c r="E551" s="38">
        <v>1.6435</v>
      </c>
      <c r="F551" s="41">
        <f>IF(ISNUMBER(E551),E551*$D551,"")</f>
        <v>1.9722</v>
      </c>
      <c r="G551" s="58"/>
      <c r="H551" s="59"/>
      <c r="I551" s="121">
        <v>0</v>
      </c>
    </row>
    <row r="552" spans="1:9" ht="38.25" hidden="1" x14ac:dyDescent="0.25">
      <c r="A552" s="182"/>
      <c r="B552" s="43" t="s">
        <v>10651</v>
      </c>
      <c r="C552" s="43" t="s">
        <v>10677</v>
      </c>
      <c r="D552" s="44">
        <v>3.96</v>
      </c>
      <c r="E552" s="38">
        <v>0.41799999999999998</v>
      </c>
      <c r="F552" s="41">
        <f>IF(ISNUMBER(E552),E552*$D552,"")</f>
        <v>1.6552799999999999</v>
      </c>
      <c r="G552" s="58"/>
      <c r="H552" s="59"/>
      <c r="I552" s="121">
        <v>0</v>
      </c>
    </row>
    <row r="553" spans="1:9" ht="51" hidden="1" x14ac:dyDescent="0.25">
      <c r="A553" s="182"/>
      <c r="B553" s="43" t="s">
        <v>10624</v>
      </c>
      <c r="C553" s="43" t="s">
        <v>2880</v>
      </c>
      <c r="D553" s="44">
        <f>ROUND(1*(D547),4)</f>
        <v>1.17</v>
      </c>
      <c r="E553" s="38">
        <v>8.5522277500000001</v>
      </c>
      <c r="F553" s="41">
        <f>IF(ISNUMBER(E553),E553*$D553,"")</f>
        <v>10.006106467499999</v>
      </c>
      <c r="G553" s="58"/>
      <c r="H553" s="59"/>
      <c r="I553" s="121">
        <v>0</v>
      </c>
    </row>
    <row r="554" spans="1:9" ht="38.25" hidden="1" x14ac:dyDescent="0.25">
      <c r="A554" s="182"/>
      <c r="B554" s="43" t="s">
        <v>10622</v>
      </c>
      <c r="C554" s="62" t="s">
        <v>10676</v>
      </c>
      <c r="D554" s="44">
        <f>ROUND(D547*20,4)</f>
        <v>23.4</v>
      </c>
      <c r="E554" s="38">
        <v>2.9193680499999997</v>
      </c>
      <c r="F554" s="41">
        <f>IF(ISNUMBER(E554),E554*$D554,"")</f>
        <v>68.313212369999988</v>
      </c>
      <c r="G554" s="58"/>
      <c r="H554" s="59"/>
      <c r="I554" s="121">
        <v>0</v>
      </c>
    </row>
    <row r="555" spans="1:9" hidden="1" x14ac:dyDescent="0.25">
      <c r="A555" s="182"/>
      <c r="B555" s="61"/>
      <c r="C555" s="130"/>
      <c r="D555" s="44"/>
      <c r="E555" s="38" t="s">
        <v>13</v>
      </c>
      <c r="F555" s="41" t="str">
        <f>IF(ISNUMBER(E555),E555*$D555,"")</f>
        <v/>
      </c>
      <c r="G555" s="58"/>
      <c r="H555" s="59"/>
      <c r="I555" s="121">
        <v>0</v>
      </c>
    </row>
    <row r="556" spans="1:9" ht="24.95" hidden="1" customHeight="1" x14ac:dyDescent="0.25">
      <c r="A556" s="182"/>
      <c r="B556" s="4" t="s">
        <v>646</v>
      </c>
      <c r="C556" s="130"/>
      <c r="D556" s="44"/>
      <c r="E556" s="38" t="s">
        <v>13</v>
      </c>
      <c r="F556" s="41" t="str">
        <f>IF(ISNUMBER(E556),E556*$D556,"")</f>
        <v/>
      </c>
      <c r="G556" s="58"/>
      <c r="H556" s="59"/>
      <c r="I556" s="121">
        <v>0</v>
      </c>
    </row>
    <row r="557" spans="1:9" ht="15.75" hidden="1" thickBot="1" x14ac:dyDescent="0.3">
      <c r="A557" s="183"/>
      <c r="B557" s="92"/>
      <c r="C557" s="129"/>
      <c r="D557" s="123"/>
      <c r="E557" s="51" t="s">
        <v>13</v>
      </c>
      <c r="F557" s="51" t="str">
        <f>IF(ISNUMBER(E557),E557*$D557,"")</f>
        <v/>
      </c>
      <c r="G557" s="53"/>
      <c r="H557" s="38"/>
      <c r="I557" s="121">
        <v>0</v>
      </c>
    </row>
    <row r="558" spans="1:9" ht="26.25" hidden="1" customHeight="1" thickBot="1" x14ac:dyDescent="0.3">
      <c r="A558" s="184" t="s">
        <v>10634</v>
      </c>
      <c r="B558" s="31" t="s">
        <v>13</v>
      </c>
      <c r="C558" s="32" t="s">
        <v>1044</v>
      </c>
      <c r="D558" s="120"/>
      <c r="E558" s="54" t="s">
        <v>13</v>
      </c>
      <c r="F558" s="54" t="str">
        <f>IF(ISNUMBER(E558),E558*$D558,"")</f>
        <v/>
      </c>
      <c r="G558" s="35"/>
      <c r="H558" s="36"/>
      <c r="I558" s="121">
        <v>0</v>
      </c>
    </row>
    <row r="559" spans="1:9" hidden="1" x14ac:dyDescent="0.25">
      <c r="A559" s="182"/>
      <c r="B559" s="39" t="s">
        <v>13</v>
      </c>
      <c r="C559" s="128"/>
      <c r="D559" s="122"/>
      <c r="E559" s="55" t="s">
        <v>13</v>
      </c>
      <c r="F559" s="38" t="str">
        <f>IF(ISNUMBER(E559),E559*$D559,"")</f>
        <v/>
      </c>
      <c r="G559" s="42"/>
      <c r="H559" s="38"/>
      <c r="I559" s="121">
        <v>0</v>
      </c>
    </row>
    <row r="560" spans="1:9" hidden="1" x14ac:dyDescent="0.25">
      <c r="A560" s="182"/>
      <c r="B560" s="43" t="s">
        <v>10642</v>
      </c>
      <c r="C560" s="43" t="s">
        <v>1044</v>
      </c>
      <c r="D560" s="44">
        <v>1.07</v>
      </c>
      <c r="E560" s="41">
        <v>6.9729999999999999</v>
      </c>
      <c r="F560" s="41">
        <f>IF(ISNUMBER(E560),E560*$D560,"")</f>
        <v>7.4611100000000006</v>
      </c>
      <c r="G560" s="46">
        <f>SUM(F560:F562)</f>
        <v>9.4856749499999999</v>
      </c>
      <c r="H560" s="59"/>
      <c r="I560" s="121">
        <v>0</v>
      </c>
    </row>
    <row r="561" spans="1:9" hidden="1" x14ac:dyDescent="0.25">
      <c r="A561" s="182"/>
      <c r="B561" s="43" t="s">
        <v>10643</v>
      </c>
      <c r="C561" s="43" t="s">
        <v>2800</v>
      </c>
      <c r="D561" s="44">
        <v>9.4999999999999998E-3</v>
      </c>
      <c r="E561" s="41">
        <v>24.519499999999997</v>
      </c>
      <c r="F561" s="41">
        <f>IF(ISNUMBER(E561),E561*$D561,"")</f>
        <v>0.23293524999999995</v>
      </c>
      <c r="G561" s="58"/>
      <c r="H561" s="59"/>
      <c r="I561" s="121">
        <v>0</v>
      </c>
    </row>
    <row r="562" spans="1:9" hidden="1" x14ac:dyDescent="0.25">
      <c r="A562" s="182"/>
      <c r="B562" s="43" t="s">
        <v>10644</v>
      </c>
      <c r="C562" s="43" t="s">
        <v>2800</v>
      </c>
      <c r="D562" s="44">
        <v>5.8099999999999999E-2</v>
      </c>
      <c r="E562" s="38">
        <v>30.837</v>
      </c>
      <c r="F562" s="41">
        <f>IF(ISNUMBER(E562),E562*$D562,"")</f>
        <v>1.7916296999999999</v>
      </c>
      <c r="G562" s="58"/>
      <c r="H562" s="59"/>
      <c r="I562" s="121">
        <v>0</v>
      </c>
    </row>
    <row r="563" spans="1:9" ht="15.75" hidden="1" thickBot="1" x14ac:dyDescent="0.3">
      <c r="A563" s="183"/>
      <c r="B563" s="92"/>
      <c r="C563" s="129"/>
      <c r="D563" s="123"/>
      <c r="E563" s="51" t="s">
        <v>13</v>
      </c>
      <c r="F563" s="51" t="str">
        <f>IF(ISNUMBER(E563),E563*$D563,"")</f>
        <v/>
      </c>
      <c r="G563" s="53"/>
      <c r="H563" s="38"/>
      <c r="I563" s="121">
        <v>0</v>
      </c>
    </row>
    <row r="564" spans="1:9" ht="26.25" hidden="1" customHeight="1" thickBot="1" x14ac:dyDescent="0.3">
      <c r="A564" s="184" t="s">
        <v>10726</v>
      </c>
      <c r="B564" s="31" t="s">
        <v>13</v>
      </c>
      <c r="C564" s="32" t="s">
        <v>1044</v>
      </c>
      <c r="D564" s="120"/>
      <c r="E564" s="54" t="s">
        <v>13</v>
      </c>
      <c r="F564" s="54" t="str">
        <f>IF(ISNUMBER(E564),E564*$D564,"")</f>
        <v/>
      </c>
      <c r="G564" s="35"/>
      <c r="H564" s="36"/>
      <c r="I564" s="121">
        <v>0</v>
      </c>
    </row>
    <row r="565" spans="1:9" hidden="1" x14ac:dyDescent="0.25">
      <c r="A565" s="182"/>
      <c r="B565" s="39" t="s">
        <v>13</v>
      </c>
      <c r="C565" s="128"/>
      <c r="D565" s="122"/>
      <c r="E565" s="55" t="s">
        <v>13</v>
      </c>
      <c r="F565" s="38" t="str">
        <f>IF(ISNUMBER(E565),E565*$D565,"")</f>
        <v/>
      </c>
      <c r="G565" s="42"/>
      <c r="H565" s="38"/>
      <c r="I565" s="121">
        <v>0</v>
      </c>
    </row>
    <row r="566" spans="1:9" ht="25.5" hidden="1" x14ac:dyDescent="0.25">
      <c r="A566" s="182"/>
      <c r="B566" s="43" t="s">
        <v>10661</v>
      </c>
      <c r="C566" s="43" t="s">
        <v>1044</v>
      </c>
      <c r="D566" s="44">
        <v>0.02</v>
      </c>
      <c r="E566" s="41">
        <v>19</v>
      </c>
      <c r="F566" s="41">
        <f>IF(ISNUMBER(E566),E566*$D566,"")</f>
        <v>0.38</v>
      </c>
      <c r="G566" s="46">
        <f>SUM(F566:F569)</f>
        <v>7.9216956500000002</v>
      </c>
      <c r="H566" s="59"/>
      <c r="I566" s="121">
        <v>0</v>
      </c>
    </row>
    <row r="567" spans="1:9" hidden="1" x14ac:dyDescent="0.25">
      <c r="A567" s="182"/>
      <c r="B567" s="43" t="s">
        <v>10643</v>
      </c>
      <c r="C567" s="43" t="s">
        <v>2800</v>
      </c>
      <c r="D567" s="44">
        <v>2.0999999999999999E-3</v>
      </c>
      <c r="E567" s="41">
        <v>24.519499999999997</v>
      </c>
      <c r="F567" s="41">
        <f>IF(ISNUMBER(E567),E567*$D567,"")</f>
        <v>5.1490949999999994E-2</v>
      </c>
      <c r="G567" s="58"/>
      <c r="H567" s="59"/>
      <c r="I567" s="121">
        <v>0</v>
      </c>
    </row>
    <row r="568" spans="1:9" hidden="1" x14ac:dyDescent="0.25">
      <c r="A568" s="182"/>
      <c r="B568" s="43" t="s">
        <v>10644</v>
      </c>
      <c r="C568" s="43" t="s">
        <v>2800</v>
      </c>
      <c r="D568" s="44">
        <v>1.06E-2</v>
      </c>
      <c r="E568" s="41">
        <v>30.837</v>
      </c>
      <c r="F568" s="41">
        <f>IF(ISNUMBER(E568),E568*$D568,"")</f>
        <v>0.3268722</v>
      </c>
      <c r="G568" s="58"/>
      <c r="H568" s="59"/>
      <c r="I568" s="121">
        <v>0</v>
      </c>
    </row>
    <row r="569" spans="1:9" hidden="1" x14ac:dyDescent="0.25">
      <c r="A569" s="182"/>
      <c r="B569" s="43" t="s">
        <v>10635</v>
      </c>
      <c r="C569" s="6" t="s">
        <v>1044</v>
      </c>
      <c r="D569" s="44">
        <v>1</v>
      </c>
      <c r="E569" s="38">
        <v>7.1633325000000001</v>
      </c>
      <c r="F569" s="41">
        <f>IF(ISNUMBER(E569),E569*$D569,"")</f>
        <v>7.1633325000000001</v>
      </c>
      <c r="G569" s="58"/>
      <c r="H569" s="59"/>
      <c r="I569" s="121">
        <v>0</v>
      </c>
    </row>
    <row r="570" spans="1:9" ht="15.75" hidden="1" thickBot="1" x14ac:dyDescent="0.3">
      <c r="A570" s="183"/>
      <c r="B570" s="92"/>
      <c r="C570" s="129"/>
      <c r="D570" s="123"/>
      <c r="E570" s="51" t="s">
        <v>13</v>
      </c>
      <c r="F570" s="51" t="str">
        <f>IF(ISNUMBER(E570),E570*$D570,"")</f>
        <v/>
      </c>
      <c r="G570" s="53"/>
      <c r="H570" s="38"/>
      <c r="I570" s="121">
        <v>0</v>
      </c>
    </row>
    <row r="571" spans="1:9" ht="26.25" hidden="1" customHeight="1" thickBot="1" x14ac:dyDescent="0.3">
      <c r="A571" s="184" t="s">
        <v>10727</v>
      </c>
      <c r="B571" s="31" t="s">
        <v>13</v>
      </c>
      <c r="C571" s="32" t="s">
        <v>10676</v>
      </c>
      <c r="D571" s="120"/>
      <c r="E571" s="54" t="s">
        <v>13</v>
      </c>
      <c r="F571" s="54" t="str">
        <f>IF(ISNUMBER(E571),E571*$D571,"")</f>
        <v/>
      </c>
      <c r="G571" s="35"/>
      <c r="H571" s="36"/>
      <c r="I571" s="121">
        <v>0</v>
      </c>
    </row>
    <row r="572" spans="1:9" hidden="1" x14ac:dyDescent="0.25">
      <c r="A572" s="182"/>
      <c r="B572" s="39" t="s">
        <v>13</v>
      </c>
      <c r="C572" s="128"/>
      <c r="D572" s="122"/>
      <c r="E572" s="55" t="s">
        <v>13</v>
      </c>
      <c r="F572" s="38" t="str">
        <f>IF(ISNUMBER(E572),E572*$D572,"")</f>
        <v/>
      </c>
      <c r="G572" s="42"/>
      <c r="H572" s="38"/>
      <c r="I572" s="121">
        <v>0</v>
      </c>
    </row>
    <row r="573" spans="1:9" ht="51" hidden="1" x14ac:dyDescent="0.25">
      <c r="A573" s="182"/>
      <c r="B573" s="43" t="s">
        <v>10640</v>
      </c>
      <c r="C573" s="43" t="s">
        <v>1050</v>
      </c>
      <c r="D573" s="44">
        <v>1.52E-2</v>
      </c>
      <c r="E573" s="41">
        <v>182.21949999999998</v>
      </c>
      <c r="F573" s="41">
        <f>IF(ISNUMBER(E573),E573*$D573,"")</f>
        <v>2.7697363999999998</v>
      </c>
      <c r="G573" s="46">
        <f>SUM(F573:F574)</f>
        <v>3.1884631499999996</v>
      </c>
      <c r="H573" s="59"/>
      <c r="I573" s="121">
        <v>0</v>
      </c>
    </row>
    <row r="574" spans="1:9" ht="51" hidden="1" x14ac:dyDescent="0.25">
      <c r="A574" s="182"/>
      <c r="B574" s="43" t="s">
        <v>10641</v>
      </c>
      <c r="C574" s="43" t="s">
        <v>10677</v>
      </c>
      <c r="D574" s="44">
        <v>6.4999999999999997E-3</v>
      </c>
      <c r="E574" s="41">
        <v>64.419499999999999</v>
      </c>
      <c r="F574" s="41">
        <f>IF(ISNUMBER(E574),E574*$D574,"")</f>
        <v>0.41872674999999998</v>
      </c>
      <c r="G574" s="58"/>
      <c r="H574" s="59"/>
      <c r="I574" s="121">
        <v>0</v>
      </c>
    </row>
    <row r="575" spans="1:9" ht="15.75" hidden="1" thickBot="1" x14ac:dyDescent="0.3">
      <c r="A575" s="183"/>
      <c r="B575" s="92"/>
      <c r="C575" s="129"/>
      <c r="D575" s="123"/>
      <c r="E575" s="51" t="s">
        <v>13</v>
      </c>
      <c r="F575" s="51" t="str">
        <f>IF(ISNUMBER(E575),E575*$D575,"")</f>
        <v/>
      </c>
      <c r="G575" s="53"/>
      <c r="H575" s="38"/>
      <c r="I575" s="121">
        <v>0</v>
      </c>
    </row>
    <row r="576" spans="1:9" ht="26.25" hidden="1" customHeight="1" thickBot="1" x14ac:dyDescent="0.3">
      <c r="A576" s="184" t="s">
        <v>10728</v>
      </c>
      <c r="B576" s="31" t="s">
        <v>13</v>
      </c>
      <c r="C576" s="32" t="s">
        <v>2880</v>
      </c>
      <c r="D576" s="120"/>
      <c r="E576" s="54" t="s">
        <v>13</v>
      </c>
      <c r="F576" s="54" t="str">
        <f>IF(ISNUMBER(E576),E576*$D576,"")</f>
        <v/>
      </c>
      <c r="G576" s="35"/>
      <c r="H576" s="36"/>
      <c r="I576" s="121">
        <v>0</v>
      </c>
    </row>
    <row r="577" spans="1:9" hidden="1" x14ac:dyDescent="0.25">
      <c r="A577" s="182"/>
      <c r="B577" s="39" t="s">
        <v>13</v>
      </c>
      <c r="C577" s="128"/>
      <c r="D577" s="122"/>
      <c r="E577" s="55" t="s">
        <v>13</v>
      </c>
      <c r="F577" s="38" t="str">
        <f>IF(ISNUMBER(E577),E577*$D577,"")</f>
        <v/>
      </c>
      <c r="G577" s="42"/>
      <c r="H577" s="38"/>
      <c r="I577" s="121">
        <v>0</v>
      </c>
    </row>
    <row r="578" spans="1:9" ht="25.5" hidden="1" x14ac:dyDescent="0.25">
      <c r="A578" s="182"/>
      <c r="B578" s="43" t="s">
        <v>10647</v>
      </c>
      <c r="C578" s="43" t="s">
        <v>2880</v>
      </c>
      <c r="D578" s="44">
        <v>1.19</v>
      </c>
      <c r="E578" s="41">
        <v>199.71849999999998</v>
      </c>
      <c r="F578" s="41">
        <f>IF(ISNUMBER(E578),E578*$D578,"")</f>
        <v>237.66501499999995</v>
      </c>
      <c r="G578" s="46">
        <f>SUM(F578:F587)</f>
        <v>779.56234561249994</v>
      </c>
      <c r="H578" s="59"/>
      <c r="I578" s="121">
        <v>0</v>
      </c>
    </row>
    <row r="579" spans="1:9" hidden="1" x14ac:dyDescent="0.25">
      <c r="A579" s="182"/>
      <c r="B579" s="43" t="s">
        <v>10659</v>
      </c>
      <c r="C579" s="43" t="s">
        <v>1044</v>
      </c>
      <c r="D579" s="44">
        <v>158.94999999999999</v>
      </c>
      <c r="E579" s="38">
        <v>1.4724999999999999</v>
      </c>
      <c r="F579" s="41">
        <f>IF(ISNUMBER(E579),E579*$D579,"")</f>
        <v>234.05387499999998</v>
      </c>
      <c r="G579" s="58"/>
      <c r="H579" s="59"/>
      <c r="I579" s="121">
        <v>0</v>
      </c>
    </row>
    <row r="580" spans="1:9" hidden="1" x14ac:dyDescent="0.25">
      <c r="A580" s="182"/>
      <c r="B580" s="43" t="s">
        <v>10648</v>
      </c>
      <c r="C580" s="43" t="s">
        <v>1044</v>
      </c>
      <c r="D580" s="44">
        <v>178.82</v>
      </c>
      <c r="E580" s="38">
        <v>0.64600000000000002</v>
      </c>
      <c r="F580" s="41">
        <f>IF(ISNUMBER(E580),E580*$D580,"")</f>
        <v>115.51772</v>
      </c>
      <c r="G580" s="58"/>
      <c r="H580" s="59"/>
      <c r="I580" s="121">
        <v>0</v>
      </c>
    </row>
    <row r="581" spans="1:9" ht="25.5" hidden="1" x14ac:dyDescent="0.25">
      <c r="A581" s="182"/>
      <c r="B581" s="43" t="s">
        <v>10649</v>
      </c>
      <c r="C581" s="43" t="s">
        <v>2800</v>
      </c>
      <c r="D581" s="44">
        <v>4.26</v>
      </c>
      <c r="E581" s="38">
        <v>25.745000000000001</v>
      </c>
      <c r="F581" s="41">
        <f>IF(ISNUMBER(E581),E581*$D581,"")</f>
        <v>109.6737</v>
      </c>
      <c r="G581" s="58"/>
      <c r="H581" s="59"/>
      <c r="I581" s="121">
        <v>0</v>
      </c>
    </row>
    <row r="582" spans="1:9" ht="38.25" hidden="1" x14ac:dyDescent="0.25">
      <c r="A582" s="182"/>
      <c r="B582" s="43" t="s">
        <v>10650</v>
      </c>
      <c r="C582" s="43" t="s">
        <v>1050</v>
      </c>
      <c r="D582" s="44">
        <v>0.99</v>
      </c>
      <c r="E582" s="38">
        <v>1.6435</v>
      </c>
      <c r="F582" s="41">
        <f>IF(ISNUMBER(E582),E582*$D582,"")</f>
        <v>1.627065</v>
      </c>
      <c r="G582" s="58"/>
      <c r="H582" s="59"/>
      <c r="I582" s="121">
        <v>0</v>
      </c>
    </row>
    <row r="583" spans="1:9" ht="38.25" hidden="1" x14ac:dyDescent="0.25">
      <c r="A583" s="182"/>
      <c r="B583" s="43" t="s">
        <v>10651</v>
      </c>
      <c r="C583" s="43" t="s">
        <v>10677</v>
      </c>
      <c r="D583" s="44">
        <v>3.27</v>
      </c>
      <c r="E583" s="38">
        <v>0.41799999999999998</v>
      </c>
      <c r="F583" s="41">
        <f>IF(ISNUMBER(E583),E583*$D583,"")</f>
        <v>1.36686</v>
      </c>
      <c r="G583" s="58"/>
      <c r="H583" s="59"/>
      <c r="I583" s="121">
        <v>0</v>
      </c>
    </row>
    <row r="584" spans="1:9" ht="51" hidden="1" x14ac:dyDescent="0.25">
      <c r="A584" s="182"/>
      <c r="B584" s="43" t="s">
        <v>10624</v>
      </c>
      <c r="C584" s="43" t="s">
        <v>2880</v>
      </c>
      <c r="D584" s="44">
        <f>ROUND(1*(D578),4)</f>
        <v>1.19</v>
      </c>
      <c r="E584" s="38">
        <v>8.5522277500000001</v>
      </c>
      <c r="F584" s="41">
        <f>IF(ISNUMBER(E584),E584*$D584,"")</f>
        <v>10.1771510225</v>
      </c>
      <c r="G584" s="58"/>
      <c r="H584" s="59"/>
      <c r="I584" s="121">
        <v>0</v>
      </c>
    </row>
    <row r="585" spans="1:9" ht="38.25" hidden="1" x14ac:dyDescent="0.25">
      <c r="A585" s="182"/>
      <c r="B585" s="43" t="s">
        <v>10622</v>
      </c>
      <c r="C585" s="62" t="s">
        <v>10676</v>
      </c>
      <c r="D585" s="44">
        <f>ROUND(D578*20,4)</f>
        <v>23.8</v>
      </c>
      <c r="E585" s="38">
        <v>2.9193680499999997</v>
      </c>
      <c r="F585" s="41">
        <f>IF(ISNUMBER(E585),E585*$D585,"")</f>
        <v>69.480959589999998</v>
      </c>
      <c r="G585" s="58"/>
      <c r="H585" s="59"/>
      <c r="I585" s="121">
        <v>0</v>
      </c>
    </row>
    <row r="586" spans="1:9" hidden="1" x14ac:dyDescent="0.25">
      <c r="A586" s="182"/>
      <c r="B586" s="61"/>
      <c r="C586" s="130"/>
      <c r="D586" s="44"/>
      <c r="E586" s="38" t="s">
        <v>13</v>
      </c>
      <c r="F586" s="41" t="str">
        <f>IF(ISNUMBER(E586),E586*$D586,"")</f>
        <v/>
      </c>
      <c r="G586" s="58"/>
      <c r="H586" s="59"/>
      <c r="I586" s="121">
        <v>0</v>
      </c>
    </row>
    <row r="587" spans="1:9" ht="24.95" hidden="1" customHeight="1" x14ac:dyDescent="0.25">
      <c r="A587" s="182"/>
      <c r="B587" s="4" t="s">
        <v>646</v>
      </c>
      <c r="C587" s="130"/>
      <c r="D587" s="44"/>
      <c r="E587" s="38" t="s">
        <v>13</v>
      </c>
      <c r="F587" s="41" t="str">
        <f>IF(ISNUMBER(E587),E587*$D587,"")</f>
        <v/>
      </c>
      <c r="G587" s="58"/>
      <c r="H587" s="59"/>
      <c r="I587" s="121">
        <v>0</v>
      </c>
    </row>
    <row r="588" spans="1:9" ht="15.75" hidden="1" thickBot="1" x14ac:dyDescent="0.3">
      <c r="A588" s="183"/>
      <c r="B588" s="92"/>
      <c r="C588" s="129"/>
      <c r="D588" s="123"/>
      <c r="E588" s="51" t="s">
        <v>13</v>
      </c>
      <c r="F588" s="51" t="str">
        <f>IF(ISNUMBER(E588),E588*$D588,"")</f>
        <v/>
      </c>
      <c r="G588" s="53"/>
      <c r="H588" s="38"/>
      <c r="I588" s="121">
        <v>0</v>
      </c>
    </row>
    <row r="589" spans="1:9" ht="15.75" hidden="1" thickBot="1" x14ac:dyDescent="0.3">
      <c r="A589" s="184" t="s">
        <v>10633</v>
      </c>
      <c r="B589" s="31" t="s">
        <v>13</v>
      </c>
      <c r="C589" s="32" t="s">
        <v>1044</v>
      </c>
      <c r="D589" s="120"/>
      <c r="E589" s="54" t="s">
        <v>13</v>
      </c>
      <c r="F589" s="54" t="str">
        <f>IF(ISNUMBER(E589),E589*$D589,"")</f>
        <v/>
      </c>
      <c r="G589" s="35"/>
      <c r="H589" s="36"/>
      <c r="I589" s="121">
        <v>0</v>
      </c>
    </row>
    <row r="590" spans="1:9" hidden="1" x14ac:dyDescent="0.25">
      <c r="A590" s="182"/>
      <c r="B590" s="39" t="s">
        <v>13</v>
      </c>
      <c r="C590" s="39"/>
      <c r="D590" s="122"/>
      <c r="E590" s="55" t="s">
        <v>13</v>
      </c>
      <c r="F590" s="38" t="str">
        <f>IF(ISNUMBER(E590),E590*$D590,"")</f>
        <v/>
      </c>
      <c r="G590" s="42"/>
      <c r="H590" s="38"/>
      <c r="I590" s="121">
        <v>0</v>
      </c>
    </row>
    <row r="591" spans="1:9" ht="25.5" hidden="1" x14ac:dyDescent="0.25">
      <c r="A591" s="182"/>
      <c r="B591" s="43" t="s">
        <v>10666</v>
      </c>
      <c r="C591" s="43" t="s">
        <v>1044</v>
      </c>
      <c r="D591" s="44">
        <v>1.1100000000000001</v>
      </c>
      <c r="E591" s="41">
        <v>7.9135</v>
      </c>
      <c r="F591" s="41">
        <f>IF(ISNUMBER(E591),E591*$D591,"")</f>
        <v>8.7839850000000013</v>
      </c>
      <c r="G591" s="46">
        <f>SUM(F591:F592)</f>
        <v>8.8980819000000011</v>
      </c>
      <c r="H591" s="59"/>
      <c r="I591" s="121">
        <v>0</v>
      </c>
    </row>
    <row r="592" spans="1:9" hidden="1" x14ac:dyDescent="0.25">
      <c r="A592" s="182"/>
      <c r="B592" s="43" t="s">
        <v>10644</v>
      </c>
      <c r="C592" s="43" t="s">
        <v>2800</v>
      </c>
      <c r="D592" s="44">
        <v>3.7000000000000002E-3</v>
      </c>
      <c r="E592" s="41">
        <v>30.837</v>
      </c>
      <c r="F592" s="41">
        <f>IF(ISNUMBER(E592),E592*$D592,"")</f>
        <v>0.1140969</v>
      </c>
      <c r="G592" s="58"/>
      <c r="H592" s="59"/>
      <c r="I592" s="121">
        <v>0</v>
      </c>
    </row>
    <row r="593" spans="1:9" ht="15.75" hidden="1" thickBot="1" x14ac:dyDescent="0.3">
      <c r="A593" s="183"/>
      <c r="B593" s="49" t="s">
        <v>13</v>
      </c>
      <c r="C593" s="49"/>
      <c r="D593" s="123"/>
      <c r="E593" s="51" t="s">
        <v>13</v>
      </c>
      <c r="F593" s="51" t="str">
        <f>IF(ISNUMBER(E593),E593*$D593,"")</f>
        <v/>
      </c>
      <c r="G593" s="53"/>
      <c r="H593" s="38"/>
      <c r="I593" s="121">
        <v>0</v>
      </c>
    </row>
    <row r="594" spans="1:9" ht="15.75" hidden="1" thickBot="1" x14ac:dyDescent="0.3">
      <c r="A594" s="184" t="s">
        <v>10638</v>
      </c>
      <c r="B594" s="31" t="s">
        <v>13</v>
      </c>
      <c r="C594" s="32" t="s">
        <v>1044</v>
      </c>
      <c r="D594" s="120"/>
      <c r="E594" s="34" t="s">
        <v>13</v>
      </c>
      <c r="F594" s="34" t="str">
        <f>IF(ISNUMBER(E594),E594*$D594,"")</f>
        <v/>
      </c>
      <c r="G594" s="35"/>
      <c r="H594" s="36"/>
      <c r="I594" s="121">
        <v>0</v>
      </c>
    </row>
    <row r="595" spans="1:9" hidden="1" x14ac:dyDescent="0.25">
      <c r="A595" s="182"/>
      <c r="B595" s="39" t="s">
        <v>13</v>
      </c>
      <c r="C595" s="39"/>
      <c r="D595" s="122"/>
      <c r="E595" s="38" t="s">
        <v>13</v>
      </c>
      <c r="F595" s="38" t="str">
        <f>IF(ISNUMBER(E595),E595*$D595,"")</f>
        <v/>
      </c>
      <c r="G595" s="42"/>
      <c r="H595" s="38"/>
      <c r="I595" s="121">
        <v>0</v>
      </c>
    </row>
    <row r="596" spans="1:9" ht="38.25" hidden="1" x14ac:dyDescent="0.25">
      <c r="A596" s="182"/>
      <c r="B596" s="43" t="s">
        <v>10660</v>
      </c>
      <c r="C596" s="43" t="s">
        <v>83</v>
      </c>
      <c r="D596" s="44">
        <v>2.1179999999999999</v>
      </c>
      <c r="E596" s="38">
        <v>0.20899999999999999</v>
      </c>
      <c r="F596" s="41">
        <f>IF(ISNUMBER(E596),E596*$D596,"")</f>
        <v>0.44266199999999994</v>
      </c>
      <c r="G596" s="46">
        <f>SUM(F596:F600)</f>
        <v>13.2829</v>
      </c>
      <c r="H596" s="59"/>
      <c r="I596" s="121">
        <v>0</v>
      </c>
    </row>
    <row r="597" spans="1:9" ht="25.5" hidden="1" x14ac:dyDescent="0.25">
      <c r="A597" s="182"/>
      <c r="B597" s="43" t="s">
        <v>10661</v>
      </c>
      <c r="C597" s="43" t="s">
        <v>1044</v>
      </c>
      <c r="D597" s="44">
        <v>2.5000000000000001E-2</v>
      </c>
      <c r="E597" s="38">
        <v>19</v>
      </c>
      <c r="F597" s="41">
        <f>IF(ISNUMBER(E597),E597*$D597,"")</f>
        <v>0.47500000000000003</v>
      </c>
      <c r="G597" s="58"/>
      <c r="H597" s="59"/>
      <c r="I597" s="121">
        <v>0</v>
      </c>
    </row>
    <row r="598" spans="1:9" hidden="1" x14ac:dyDescent="0.25">
      <c r="A598" s="182"/>
      <c r="B598" s="43" t="s">
        <v>10643</v>
      </c>
      <c r="C598" s="43" t="s">
        <v>2800</v>
      </c>
      <c r="D598" s="44">
        <v>1.3599999999999999E-2</v>
      </c>
      <c r="E598" s="41">
        <v>24.519499999999997</v>
      </c>
      <c r="F598" s="41">
        <f>IF(ISNUMBER(E598),E598*$D598,"")</f>
        <v>0.33346519999999996</v>
      </c>
      <c r="G598" s="58"/>
      <c r="H598" s="59"/>
      <c r="I598" s="121">
        <v>0</v>
      </c>
    </row>
    <row r="599" spans="1:9" ht="15.75" hidden="1" customHeight="1" x14ac:dyDescent="0.25">
      <c r="A599" s="182"/>
      <c r="B599" s="43" t="s">
        <v>10644</v>
      </c>
      <c r="C599" s="43" t="s">
        <v>2800</v>
      </c>
      <c r="D599" s="44">
        <v>8.3599999999999994E-2</v>
      </c>
      <c r="E599" s="38">
        <v>30.837</v>
      </c>
      <c r="F599" s="41">
        <f>IF(ISNUMBER(E599),E599*$D599,"")</f>
        <v>2.5779731999999997</v>
      </c>
      <c r="G599" s="58"/>
      <c r="H599" s="59"/>
      <c r="I599" s="121">
        <v>0</v>
      </c>
    </row>
    <row r="600" spans="1:9" hidden="1" x14ac:dyDescent="0.25">
      <c r="A600" s="182"/>
      <c r="B600" s="43" t="s">
        <v>10634</v>
      </c>
      <c r="C600" s="62" t="s">
        <v>1044</v>
      </c>
      <c r="D600" s="44">
        <v>1</v>
      </c>
      <c r="E600" s="38">
        <v>9.4537996</v>
      </c>
      <c r="F600" s="41">
        <f>IF(ISNUMBER(E600),E600*$D600,"")</f>
        <v>9.4537996</v>
      </c>
      <c r="G600" s="58"/>
      <c r="H600" s="59"/>
      <c r="I600" s="121">
        <v>0</v>
      </c>
    </row>
    <row r="601" spans="1:9" ht="15.75" hidden="1" thickBot="1" x14ac:dyDescent="0.3">
      <c r="A601" s="183"/>
      <c r="B601" s="127"/>
      <c r="C601" s="63"/>
      <c r="D601" s="50"/>
      <c r="E601" s="51" t="s">
        <v>13</v>
      </c>
      <c r="F601" s="52" t="str">
        <f>IF(ISNUMBER(E601),E601*$D601,"")</f>
        <v/>
      </c>
      <c r="G601" s="64"/>
      <c r="H601" s="59"/>
      <c r="I601" s="121">
        <v>0</v>
      </c>
    </row>
    <row r="602" spans="1:9" ht="26.25" hidden="1" customHeight="1" thickBot="1" x14ac:dyDescent="0.3">
      <c r="A602" s="184" t="s">
        <v>10729</v>
      </c>
      <c r="B602" s="31" t="s">
        <v>13</v>
      </c>
      <c r="C602" s="32" t="s">
        <v>2885</v>
      </c>
      <c r="D602" s="120"/>
      <c r="E602" s="54" t="s">
        <v>13</v>
      </c>
      <c r="F602" s="54" t="str">
        <f>IF(ISNUMBER(E602),E602*$D602,"")</f>
        <v/>
      </c>
      <c r="G602" s="35"/>
      <c r="H602" s="36"/>
      <c r="I602" s="121">
        <v>0</v>
      </c>
    </row>
    <row r="603" spans="1:9" hidden="1" x14ac:dyDescent="0.25">
      <c r="A603" s="182"/>
      <c r="B603" s="39" t="s">
        <v>13</v>
      </c>
      <c r="C603" s="128"/>
      <c r="D603" s="122"/>
      <c r="E603" s="55" t="s">
        <v>13</v>
      </c>
      <c r="F603" s="38" t="str">
        <f>IF(ISNUMBER(E603),E603*$D603,"")</f>
        <v/>
      </c>
      <c r="G603" s="42"/>
      <c r="H603" s="38"/>
      <c r="I603" s="121">
        <v>0</v>
      </c>
    </row>
    <row r="604" spans="1:9" ht="51" hidden="1" x14ac:dyDescent="0.25">
      <c r="A604" s="182"/>
      <c r="B604" s="43" t="s">
        <v>10786</v>
      </c>
      <c r="C604" s="43" t="s">
        <v>1050</v>
      </c>
      <c r="D604" s="44">
        <v>0.1071</v>
      </c>
      <c r="E604" s="41">
        <v>266.43699999999995</v>
      </c>
      <c r="F604" s="41">
        <f>IF(ISNUMBER(E604),E604*$D604,"")</f>
        <v>28.535402699999995</v>
      </c>
      <c r="G604" s="46">
        <f>SUM(F604:F606)</f>
        <v>39.029483649999996</v>
      </c>
      <c r="H604" s="59"/>
      <c r="I604" s="121">
        <v>0</v>
      </c>
    </row>
    <row r="605" spans="1:9" ht="51" hidden="1" x14ac:dyDescent="0.25">
      <c r="A605" s="182"/>
      <c r="B605" s="43" t="s">
        <v>10787</v>
      </c>
      <c r="C605" s="43" t="s">
        <v>10677</v>
      </c>
      <c r="D605" s="44">
        <v>4.5900000000000003E-2</v>
      </c>
      <c r="E605" s="41">
        <v>70.727500000000006</v>
      </c>
      <c r="F605" s="41">
        <f>IF(ISNUMBER(E605),E605*$D605,"")</f>
        <v>3.2463922500000004</v>
      </c>
      <c r="G605" s="58"/>
      <c r="H605" s="59"/>
      <c r="I605" s="121">
        <v>0</v>
      </c>
    </row>
    <row r="606" spans="1:9" hidden="1" x14ac:dyDescent="0.25">
      <c r="A606" s="182"/>
      <c r="B606" s="43" t="s">
        <v>10614</v>
      </c>
      <c r="C606" s="43" t="s">
        <v>2800</v>
      </c>
      <c r="D606" s="44">
        <v>0.30590000000000001</v>
      </c>
      <c r="E606" s="38">
        <v>23.693000000000001</v>
      </c>
      <c r="F606" s="41">
        <f>IF(ISNUMBER(E606),E606*$D606,"")</f>
        <v>7.2476887000000003</v>
      </c>
      <c r="G606" s="58"/>
      <c r="H606" s="59"/>
      <c r="I606" s="121">
        <v>0</v>
      </c>
    </row>
    <row r="607" spans="1:9" ht="15.75" hidden="1" thickBot="1" x14ac:dyDescent="0.3">
      <c r="A607" s="183"/>
      <c r="B607" s="92"/>
      <c r="C607" s="129"/>
      <c r="D607" s="123"/>
      <c r="E607" s="51" t="s">
        <v>13</v>
      </c>
      <c r="F607" s="51" t="str">
        <f>IF(ISNUMBER(E607),E607*$D607,"")</f>
        <v/>
      </c>
      <c r="G607" s="53"/>
      <c r="H607" s="38"/>
      <c r="I607" s="121">
        <v>0</v>
      </c>
    </row>
    <row r="608" spans="1:9" ht="26.25" hidden="1" customHeight="1" thickBot="1" x14ac:dyDescent="0.3">
      <c r="A608" s="184" t="s">
        <v>10730</v>
      </c>
      <c r="B608" s="31" t="s">
        <v>13</v>
      </c>
      <c r="C608" s="32" t="s">
        <v>10816</v>
      </c>
      <c r="D608" s="120"/>
      <c r="E608" s="54" t="s">
        <v>13</v>
      </c>
      <c r="F608" s="54" t="str">
        <f>IF(ISNUMBER(E608),E608*$D608,"")</f>
        <v/>
      </c>
      <c r="G608" s="35"/>
      <c r="H608" s="36"/>
      <c r="I608" s="121">
        <v>0</v>
      </c>
    </row>
    <row r="609" spans="1:9" hidden="1" x14ac:dyDescent="0.25">
      <c r="A609" s="182"/>
      <c r="B609" s="39" t="s">
        <v>13</v>
      </c>
      <c r="C609" s="128"/>
      <c r="D609" s="122"/>
      <c r="E609" s="55" t="s">
        <v>13</v>
      </c>
      <c r="F609" s="38" t="str">
        <f>IF(ISNUMBER(E609),E609*$D609,"")</f>
        <v/>
      </c>
      <c r="G609" s="42"/>
      <c r="H609" s="38"/>
      <c r="I609" s="121">
        <v>0</v>
      </c>
    </row>
    <row r="610" spans="1:9" ht="51" hidden="1" x14ac:dyDescent="0.25">
      <c r="A610" s="182"/>
      <c r="B610" s="43" t="s">
        <v>10786</v>
      </c>
      <c r="C610" s="43" t="s">
        <v>1050</v>
      </c>
      <c r="D610" s="44">
        <v>9.2999999999999992E-3</v>
      </c>
      <c r="E610" s="41">
        <v>266.43699999999995</v>
      </c>
      <c r="F610" s="41">
        <f>IF(ISNUMBER(E610),E610*$D610,"")</f>
        <v>2.4778640999999992</v>
      </c>
      <c r="G610" s="46">
        <f>SUM(F610:F611)</f>
        <v>2.7607740999999995</v>
      </c>
      <c r="H610" s="59"/>
      <c r="I610" s="121">
        <v>0</v>
      </c>
    </row>
    <row r="611" spans="1:9" ht="51" hidden="1" x14ac:dyDescent="0.25">
      <c r="A611" s="182"/>
      <c r="B611" s="43" t="s">
        <v>10787</v>
      </c>
      <c r="C611" s="43" t="s">
        <v>10677</v>
      </c>
      <c r="D611" s="44">
        <v>4.0000000000000001E-3</v>
      </c>
      <c r="E611" s="41">
        <v>70.727500000000006</v>
      </c>
      <c r="F611" s="41">
        <f>IF(ISNUMBER(E611),E611*$D611,"")</f>
        <v>0.28291000000000005</v>
      </c>
      <c r="G611" s="58"/>
      <c r="H611" s="59"/>
      <c r="I611" s="121">
        <v>0</v>
      </c>
    </row>
    <row r="612" spans="1:9" ht="15.75" hidden="1" thickBot="1" x14ac:dyDescent="0.3">
      <c r="A612" s="183"/>
      <c r="B612" s="92"/>
      <c r="C612" s="129"/>
      <c r="D612" s="123"/>
      <c r="E612" s="51" t="s">
        <v>13</v>
      </c>
      <c r="F612" s="51" t="str">
        <f>IF(ISNUMBER(E612),E612*$D612,"")</f>
        <v/>
      </c>
      <c r="G612" s="53"/>
      <c r="H612" s="38"/>
      <c r="I612" s="121">
        <v>0</v>
      </c>
    </row>
    <row r="613" spans="1:9" ht="26.25" hidden="1" customHeight="1" thickBot="1" x14ac:dyDescent="0.3">
      <c r="A613" s="184" t="s">
        <v>10731</v>
      </c>
      <c r="B613" s="31" t="s">
        <v>13</v>
      </c>
      <c r="C613" s="32" t="s">
        <v>10816</v>
      </c>
      <c r="D613" s="120"/>
      <c r="E613" s="54" t="s">
        <v>13</v>
      </c>
      <c r="F613" s="54" t="str">
        <f>IF(ISNUMBER(E613),E613*$D613,"")</f>
        <v/>
      </c>
      <c r="G613" s="35"/>
      <c r="H613" s="36"/>
      <c r="I613" s="121">
        <v>0</v>
      </c>
    </row>
    <row r="614" spans="1:9" hidden="1" x14ac:dyDescent="0.25">
      <c r="A614" s="182"/>
      <c r="B614" s="39" t="s">
        <v>13</v>
      </c>
      <c r="C614" s="128"/>
      <c r="D614" s="122"/>
      <c r="E614" s="55" t="s">
        <v>13</v>
      </c>
      <c r="F614" s="38" t="str">
        <f>IF(ISNUMBER(E614),E614*$D614,"")</f>
        <v/>
      </c>
      <c r="G614" s="42"/>
      <c r="H614" s="38"/>
      <c r="I614" s="121">
        <v>0</v>
      </c>
    </row>
    <row r="615" spans="1:9" ht="51" hidden="1" x14ac:dyDescent="0.25">
      <c r="A615" s="182"/>
      <c r="B615" s="43" t="s">
        <v>10786</v>
      </c>
      <c r="C615" s="43" t="s">
        <v>1050</v>
      </c>
      <c r="D615" s="44">
        <v>3.7000000000000002E-3</v>
      </c>
      <c r="E615" s="41">
        <v>266.43699999999995</v>
      </c>
      <c r="F615" s="41">
        <f>IF(ISNUMBER(E615),E615*$D615,"")</f>
        <v>0.98581689999999988</v>
      </c>
      <c r="G615" s="46">
        <f>SUM(F615:F616)</f>
        <v>1.0989808999999999</v>
      </c>
      <c r="H615" s="59"/>
      <c r="I615" s="121">
        <v>0</v>
      </c>
    </row>
    <row r="616" spans="1:9" ht="51" hidden="1" x14ac:dyDescent="0.25">
      <c r="A616" s="182"/>
      <c r="B616" s="43" t="s">
        <v>10787</v>
      </c>
      <c r="C616" s="43" t="s">
        <v>10677</v>
      </c>
      <c r="D616" s="44">
        <v>1.6000000000000001E-3</v>
      </c>
      <c r="E616" s="41">
        <v>70.727500000000006</v>
      </c>
      <c r="F616" s="41">
        <f>IF(ISNUMBER(E616),E616*$D616,"")</f>
        <v>0.11316400000000001</v>
      </c>
      <c r="G616" s="58"/>
      <c r="H616" s="59"/>
      <c r="I616" s="121">
        <v>0</v>
      </c>
    </row>
    <row r="617" spans="1:9" ht="15.75" hidden="1" thickBot="1" x14ac:dyDescent="0.3">
      <c r="A617" s="183"/>
      <c r="B617" s="92"/>
      <c r="C617" s="129"/>
      <c r="D617" s="123"/>
      <c r="E617" s="51" t="s">
        <v>13</v>
      </c>
      <c r="F617" s="51" t="str">
        <f>IF(ISNUMBER(E617),E617*$D617,"")</f>
        <v/>
      </c>
      <c r="G617" s="53"/>
      <c r="H617" s="38"/>
      <c r="I617" s="121">
        <v>0</v>
      </c>
    </row>
    <row r="618" spans="1:9" ht="26.25" hidden="1" customHeight="1" thickBot="1" x14ac:dyDescent="0.3">
      <c r="A618" s="184" t="s">
        <v>10732</v>
      </c>
      <c r="B618" s="31" t="s">
        <v>13</v>
      </c>
      <c r="C618" s="32" t="s">
        <v>2885</v>
      </c>
      <c r="D618" s="120"/>
      <c r="E618" s="54" t="s">
        <v>13</v>
      </c>
      <c r="F618" s="54" t="str">
        <f>IF(ISNUMBER(E618),E618*$D618,"")</f>
        <v/>
      </c>
      <c r="G618" s="35"/>
      <c r="H618" s="36"/>
      <c r="I618" s="121">
        <v>0</v>
      </c>
    </row>
    <row r="619" spans="1:9" hidden="1" x14ac:dyDescent="0.25">
      <c r="A619" s="182"/>
      <c r="B619" s="39" t="s">
        <v>13</v>
      </c>
      <c r="C619" s="128"/>
      <c r="D619" s="122"/>
      <c r="E619" s="55" t="s">
        <v>13</v>
      </c>
      <c r="F619" s="38" t="str">
        <f>IF(ISNUMBER(E619),E619*$D619,"")</f>
        <v/>
      </c>
      <c r="G619" s="42"/>
      <c r="H619" s="38"/>
      <c r="I619" s="121">
        <v>0</v>
      </c>
    </row>
    <row r="620" spans="1:9" ht="51" hidden="1" x14ac:dyDescent="0.25">
      <c r="A620" s="182"/>
      <c r="B620" s="43" t="s">
        <v>10786</v>
      </c>
      <c r="C620" s="43" t="s">
        <v>1050</v>
      </c>
      <c r="D620" s="44">
        <v>8.1199999999999994E-2</v>
      </c>
      <c r="E620" s="41">
        <v>266.43699999999995</v>
      </c>
      <c r="F620" s="41">
        <f>IF(ISNUMBER(E620),E620*$D620,"")</f>
        <v>21.634684399999994</v>
      </c>
      <c r="G620" s="46">
        <f>SUM(F620:F622)</f>
        <v>29.595146699999994</v>
      </c>
      <c r="H620" s="59"/>
      <c r="I620" s="121">
        <v>0</v>
      </c>
    </row>
    <row r="621" spans="1:9" ht="51" hidden="1" x14ac:dyDescent="0.25">
      <c r="A621" s="182"/>
      <c r="B621" s="43" t="s">
        <v>10787</v>
      </c>
      <c r="C621" s="43" t="s">
        <v>10677</v>
      </c>
      <c r="D621" s="44">
        <v>3.4799999999999998E-2</v>
      </c>
      <c r="E621" s="41">
        <v>70.727500000000006</v>
      </c>
      <c r="F621" s="41">
        <f>IF(ISNUMBER(E621),E621*$D621,"")</f>
        <v>2.4613170000000002</v>
      </c>
      <c r="G621" s="58"/>
      <c r="H621" s="59"/>
      <c r="I621" s="121">
        <v>0</v>
      </c>
    </row>
    <row r="622" spans="1:9" hidden="1" x14ac:dyDescent="0.25">
      <c r="A622" s="182"/>
      <c r="B622" s="43" t="s">
        <v>10614</v>
      </c>
      <c r="C622" s="43" t="s">
        <v>2800</v>
      </c>
      <c r="D622" s="44">
        <v>0.2321</v>
      </c>
      <c r="E622" s="38">
        <v>23.693000000000001</v>
      </c>
      <c r="F622" s="41">
        <f>IF(ISNUMBER(E622),E622*$D622,"")</f>
        <v>5.4991453000000003</v>
      </c>
      <c r="G622" s="58"/>
      <c r="H622" s="59"/>
      <c r="I622" s="121">
        <v>0</v>
      </c>
    </row>
    <row r="623" spans="1:9" ht="15.75" hidden="1" thickBot="1" x14ac:dyDescent="0.3">
      <c r="A623" s="183"/>
      <c r="B623" s="92"/>
      <c r="C623" s="129"/>
      <c r="D623" s="123"/>
      <c r="E623" s="51" t="s">
        <v>13</v>
      </c>
      <c r="F623" s="51" t="str">
        <f>IF(ISNUMBER(E623),E623*$D623,"")</f>
        <v/>
      </c>
      <c r="G623" s="53"/>
      <c r="H623" s="38"/>
      <c r="I623" s="121">
        <v>0</v>
      </c>
    </row>
    <row r="624" spans="1:9" ht="15.75" hidden="1" thickBot="1" x14ac:dyDescent="0.3">
      <c r="A624" s="184" t="s">
        <v>10630</v>
      </c>
      <c r="B624" s="31" t="s">
        <v>13</v>
      </c>
      <c r="C624" s="32" t="s">
        <v>2880</v>
      </c>
      <c r="D624" s="120"/>
      <c r="E624" s="54" t="s">
        <v>13</v>
      </c>
      <c r="F624" s="54" t="str">
        <f>IF(ISNUMBER(E624),E624*$D624,"")</f>
        <v/>
      </c>
      <c r="G624" s="35"/>
      <c r="H624" s="36"/>
      <c r="I624" s="121">
        <v>0</v>
      </c>
    </row>
    <row r="625" spans="1:9" hidden="1" x14ac:dyDescent="0.25">
      <c r="A625" s="182"/>
      <c r="B625" s="39" t="s">
        <v>13</v>
      </c>
      <c r="C625" s="39"/>
      <c r="D625" s="122"/>
      <c r="E625" s="55" t="s">
        <v>13</v>
      </c>
      <c r="F625" s="38" t="str">
        <f>IF(ISNUMBER(E625),E625*$D625,"")</f>
        <v/>
      </c>
      <c r="G625" s="42"/>
      <c r="H625" s="38"/>
      <c r="I625" s="121">
        <v>0</v>
      </c>
    </row>
    <row r="626" spans="1:9" ht="25.5" hidden="1" x14ac:dyDescent="0.25">
      <c r="A626" s="182"/>
      <c r="B626" s="43" t="s">
        <v>10647</v>
      </c>
      <c r="C626" s="43" t="s">
        <v>2880</v>
      </c>
      <c r="D626" s="44">
        <v>0.71189999999999998</v>
      </c>
      <c r="E626" s="41">
        <v>199.71849999999998</v>
      </c>
      <c r="F626" s="41">
        <f>IF(ISNUMBER(E626),E626*$D626,"")</f>
        <v>142.17960014999997</v>
      </c>
      <c r="G626" s="46">
        <f>SUM(F626:F634)</f>
        <v>680.2916911832499</v>
      </c>
      <c r="H626" s="59"/>
      <c r="I626" s="121">
        <v>0</v>
      </c>
    </row>
    <row r="627" spans="1:9" hidden="1" x14ac:dyDescent="0.25">
      <c r="A627" s="182"/>
      <c r="B627" s="43" t="s">
        <v>10648</v>
      </c>
      <c r="C627" s="43" t="s">
        <v>1044</v>
      </c>
      <c r="D627" s="44">
        <v>391.16629999999998</v>
      </c>
      <c r="E627" s="41">
        <v>0.64600000000000002</v>
      </c>
      <c r="F627" s="41">
        <f>IF(ISNUMBER(E627),E627*$D627,"")</f>
        <v>252.69342979999999</v>
      </c>
      <c r="G627" s="58"/>
      <c r="H627" s="59"/>
      <c r="I627" s="121">
        <v>0</v>
      </c>
    </row>
    <row r="628" spans="1:9" ht="25.5" hidden="1" x14ac:dyDescent="0.25">
      <c r="A628" s="182"/>
      <c r="B628" s="43" t="s">
        <v>10662</v>
      </c>
      <c r="C628" s="43" t="s">
        <v>2880</v>
      </c>
      <c r="D628" s="44">
        <v>0.5927</v>
      </c>
      <c r="E628" s="41">
        <v>194.8355</v>
      </c>
      <c r="F628" s="41">
        <f>IF(ISNUMBER(E628),E628*$D628,"")</f>
        <v>115.47900085000001</v>
      </c>
      <c r="G628" s="58"/>
      <c r="H628" s="59"/>
      <c r="I628" s="121">
        <v>0</v>
      </c>
    </row>
    <row r="629" spans="1:9" hidden="1" x14ac:dyDescent="0.25">
      <c r="A629" s="182"/>
      <c r="B629" s="43" t="s">
        <v>10614</v>
      </c>
      <c r="C629" s="43" t="s">
        <v>2800</v>
      </c>
      <c r="D629" s="44">
        <v>1.9633</v>
      </c>
      <c r="E629" s="38">
        <v>23.693000000000001</v>
      </c>
      <c r="F629" s="41">
        <f>IF(ISNUMBER(E629),E629*$D629,"")</f>
        <v>46.516466900000005</v>
      </c>
      <c r="G629" s="58"/>
      <c r="H629" s="59"/>
      <c r="I629" s="121">
        <v>0</v>
      </c>
    </row>
    <row r="630" spans="1:9" ht="25.5" hidden="1" x14ac:dyDescent="0.25">
      <c r="A630" s="182"/>
      <c r="B630" s="43" t="s">
        <v>10649</v>
      </c>
      <c r="C630" s="43" t="s">
        <v>2800</v>
      </c>
      <c r="D630" s="44">
        <v>1.24</v>
      </c>
      <c r="E630" s="38">
        <v>25.745000000000001</v>
      </c>
      <c r="F630" s="41">
        <f>IF(ISNUMBER(E630),E630*$D630,"")</f>
        <v>31.9238</v>
      </c>
      <c r="G630" s="58"/>
      <c r="H630" s="59"/>
      <c r="I630" s="121">
        <v>0</v>
      </c>
    </row>
    <row r="631" spans="1:9" ht="38.25" hidden="1" x14ac:dyDescent="0.25">
      <c r="A631" s="182"/>
      <c r="B631" s="43" t="s">
        <v>10663</v>
      </c>
      <c r="C631" s="43" t="s">
        <v>1050</v>
      </c>
      <c r="D631" s="44">
        <v>0.63819999999999999</v>
      </c>
      <c r="E631" s="38">
        <v>4.9305000000000003</v>
      </c>
      <c r="F631" s="41">
        <f>IF(ISNUMBER(E631),E631*$D631,"")</f>
        <v>3.1466451000000002</v>
      </c>
      <c r="G631" s="58"/>
      <c r="H631" s="59"/>
      <c r="I631" s="121">
        <v>0</v>
      </c>
    </row>
    <row r="632" spans="1:9" ht="38.25" hidden="1" x14ac:dyDescent="0.25">
      <c r="A632" s="182"/>
      <c r="B632" s="43" t="s">
        <v>10664</v>
      </c>
      <c r="C632" s="43" t="s">
        <v>10677</v>
      </c>
      <c r="D632" s="44">
        <v>0.6018</v>
      </c>
      <c r="E632" s="38">
        <v>1.7004999999999999</v>
      </c>
      <c r="F632" s="41">
        <f>IF(ISNUMBER(E632),E632*$D632,"")</f>
        <v>1.0233608999999999</v>
      </c>
      <c r="G632" s="58"/>
      <c r="H632" s="59"/>
      <c r="I632" s="121">
        <v>0</v>
      </c>
    </row>
    <row r="633" spans="1:9" ht="51" hidden="1" x14ac:dyDescent="0.25">
      <c r="A633" s="182"/>
      <c r="B633" s="43" t="s">
        <v>10624</v>
      </c>
      <c r="C633" s="43" t="s">
        <v>2880</v>
      </c>
      <c r="D633" s="44">
        <f>ROUND(1*(D626+D628),4)</f>
        <v>1.3046</v>
      </c>
      <c r="E633" s="38">
        <v>8.5522277500000001</v>
      </c>
      <c r="F633" s="41">
        <f>IF(ISNUMBER(E633),E633*$D633,"")</f>
        <v>11.15723632265</v>
      </c>
      <c r="G633" s="58"/>
      <c r="H633" s="59"/>
      <c r="I633" s="121">
        <v>0</v>
      </c>
    </row>
    <row r="634" spans="1:9" ht="38.25" hidden="1" x14ac:dyDescent="0.25">
      <c r="A634" s="182"/>
      <c r="B634" s="43" t="s">
        <v>10622</v>
      </c>
      <c r="C634" s="62" t="s">
        <v>10676</v>
      </c>
      <c r="D634" s="44">
        <f>ROUND((D626+D628)*20,4)</f>
        <v>26.091999999999999</v>
      </c>
      <c r="E634" s="38">
        <v>2.9193680499999997</v>
      </c>
      <c r="F634" s="41">
        <f>IF(ISNUMBER(E634),E634*$D634,"")</f>
        <v>76.172151160599981</v>
      </c>
      <c r="G634" s="58"/>
      <c r="H634" s="59"/>
      <c r="I634" s="121">
        <v>0</v>
      </c>
    </row>
    <row r="635" spans="1:9" hidden="1" x14ac:dyDescent="0.25">
      <c r="A635" s="182"/>
      <c r="B635" s="61"/>
      <c r="C635" s="62"/>
      <c r="D635" s="44"/>
      <c r="E635" s="38" t="s">
        <v>13</v>
      </c>
      <c r="F635" s="41" t="str">
        <f>IF(ISNUMBER(E635),E635*$D635,"")</f>
        <v/>
      </c>
      <c r="G635" s="58"/>
      <c r="H635" s="59"/>
      <c r="I635" s="121">
        <v>0</v>
      </c>
    </row>
    <row r="636" spans="1:9" ht="25.5" hidden="1" x14ac:dyDescent="0.25">
      <c r="A636" s="182"/>
      <c r="B636" s="4" t="s">
        <v>78</v>
      </c>
      <c r="C636" s="62"/>
      <c r="D636" s="44"/>
      <c r="E636" s="38" t="s">
        <v>13</v>
      </c>
      <c r="F636" s="41" t="str">
        <f>IF(ISNUMBER(E636),E636*$D636,"")</f>
        <v/>
      </c>
      <c r="G636" s="58"/>
      <c r="H636" s="59"/>
      <c r="I636" s="121">
        <v>0</v>
      </c>
    </row>
    <row r="637" spans="1:9" ht="15.75" hidden="1" thickBot="1" x14ac:dyDescent="0.3">
      <c r="A637" s="183"/>
      <c r="B637" s="49" t="s">
        <v>13</v>
      </c>
      <c r="C637" s="49"/>
      <c r="D637" s="123"/>
      <c r="E637" s="51" t="s">
        <v>13</v>
      </c>
      <c r="F637" s="51" t="str">
        <f>IF(ISNUMBER(E637),E637*$D637,"")</f>
        <v/>
      </c>
      <c r="G637" s="53"/>
      <c r="H637" s="38"/>
      <c r="I637" s="121">
        <v>0</v>
      </c>
    </row>
    <row r="638" spans="1:9" ht="26.25" hidden="1" customHeight="1" thickBot="1" x14ac:dyDescent="0.3">
      <c r="A638" s="184" t="s">
        <v>10733</v>
      </c>
      <c r="B638" s="31" t="s">
        <v>13</v>
      </c>
      <c r="C638" s="32" t="s">
        <v>2880</v>
      </c>
      <c r="D638" s="120"/>
      <c r="E638" s="54" t="s">
        <v>13</v>
      </c>
      <c r="F638" s="54" t="str">
        <f>IF(ISNUMBER(E638),E638*$D638,"")</f>
        <v/>
      </c>
      <c r="G638" s="35"/>
      <c r="H638" s="36"/>
      <c r="I638" s="121">
        <v>0</v>
      </c>
    </row>
    <row r="639" spans="1:9" hidden="1" x14ac:dyDescent="0.25">
      <c r="A639" s="182"/>
      <c r="B639" s="39" t="s">
        <v>13</v>
      </c>
      <c r="C639" s="128"/>
      <c r="D639" s="122"/>
      <c r="E639" s="55" t="s">
        <v>13</v>
      </c>
      <c r="F639" s="38" t="str">
        <f>IF(ISNUMBER(E639),E639*$D639,"")</f>
        <v/>
      </c>
      <c r="G639" s="42"/>
      <c r="H639" s="38"/>
      <c r="I639" s="121">
        <v>0</v>
      </c>
    </row>
    <row r="640" spans="1:9" ht="38.25" hidden="1" x14ac:dyDescent="0.25">
      <c r="A640" s="182"/>
      <c r="B640" s="43" t="s">
        <v>10788</v>
      </c>
      <c r="C640" s="43" t="s">
        <v>70</v>
      </c>
      <c r="D640" s="44">
        <v>19.440000000000001</v>
      </c>
      <c r="E640" s="41">
        <v>8.8824999999999985</v>
      </c>
      <c r="F640" s="41">
        <f>IF(ISNUMBER(E640),E640*$D640,"")</f>
        <v>172.67579999999998</v>
      </c>
      <c r="G640" s="46">
        <f>SUM(F640:F649)</f>
        <v>873.79997085000002</v>
      </c>
      <c r="H640" s="59"/>
      <c r="I640" s="121">
        <v>0</v>
      </c>
    </row>
    <row r="641" spans="1:9" ht="25.5" hidden="1" x14ac:dyDescent="0.25">
      <c r="A641" s="182"/>
      <c r="B641" s="43" t="s">
        <v>10647</v>
      </c>
      <c r="C641" s="43" t="s">
        <v>2880</v>
      </c>
      <c r="D641" s="44">
        <v>1.08</v>
      </c>
      <c r="E641" s="41">
        <v>199.71849999999998</v>
      </c>
      <c r="F641" s="41">
        <f>IF(ISNUMBER(E641),E641*$D641,"")</f>
        <v>215.69597999999999</v>
      </c>
      <c r="G641" s="58"/>
      <c r="H641" s="59"/>
      <c r="I641" s="121">
        <v>0</v>
      </c>
    </row>
    <row r="642" spans="1:9" hidden="1" x14ac:dyDescent="0.25">
      <c r="A642" s="182"/>
      <c r="B642" s="43" t="s">
        <v>10648</v>
      </c>
      <c r="C642" s="43" t="s">
        <v>1044</v>
      </c>
      <c r="D642" s="44">
        <v>486</v>
      </c>
      <c r="E642" s="38">
        <v>0.64600000000000002</v>
      </c>
      <c r="F642" s="41">
        <f>IF(ISNUMBER(E642),E642*$D642,"")</f>
        <v>313.95600000000002</v>
      </c>
      <c r="G642" s="58"/>
      <c r="H642" s="59"/>
      <c r="I642" s="121">
        <v>0</v>
      </c>
    </row>
    <row r="643" spans="1:9" ht="25.5" hidden="1" x14ac:dyDescent="0.25">
      <c r="A643" s="182"/>
      <c r="B643" s="43" t="s">
        <v>10649</v>
      </c>
      <c r="C643" s="43" t="s">
        <v>2800</v>
      </c>
      <c r="D643" s="44">
        <v>3.75</v>
      </c>
      <c r="E643" s="38">
        <v>25.745000000000001</v>
      </c>
      <c r="F643" s="41">
        <f>IF(ISNUMBER(E643),E643*$D643,"")</f>
        <v>96.543750000000003</v>
      </c>
      <c r="G643" s="58"/>
      <c r="H643" s="59"/>
      <c r="I643" s="121">
        <v>0</v>
      </c>
    </row>
    <row r="644" spans="1:9" ht="38.25" hidden="1" x14ac:dyDescent="0.25">
      <c r="A644" s="182"/>
      <c r="B644" s="43" t="s">
        <v>10650</v>
      </c>
      <c r="C644" s="43" t="s">
        <v>1050</v>
      </c>
      <c r="D644" s="44">
        <v>0.87</v>
      </c>
      <c r="E644" s="38">
        <v>1.6435</v>
      </c>
      <c r="F644" s="41">
        <f>IF(ISNUMBER(E644),E644*$D644,"")</f>
        <v>1.429845</v>
      </c>
      <c r="G644" s="58"/>
      <c r="H644" s="59"/>
      <c r="I644" s="121">
        <v>0</v>
      </c>
    </row>
    <row r="645" spans="1:9" ht="38.25" hidden="1" x14ac:dyDescent="0.25">
      <c r="A645" s="182"/>
      <c r="B645" s="43" t="s">
        <v>10651</v>
      </c>
      <c r="C645" s="62" t="s">
        <v>10677</v>
      </c>
      <c r="D645" s="44">
        <v>2.88</v>
      </c>
      <c r="E645" s="38">
        <v>0.41799999999999998</v>
      </c>
      <c r="F645" s="41">
        <f>IF(ISNUMBER(E645),E645*$D645,"")</f>
        <v>1.2038399999999998</v>
      </c>
      <c r="G645" s="58"/>
      <c r="H645" s="59"/>
      <c r="I645" s="121">
        <v>0</v>
      </c>
    </row>
    <row r="646" spans="1:9" ht="51" hidden="1" x14ac:dyDescent="0.25">
      <c r="A646" s="182"/>
      <c r="B646" s="43" t="s">
        <v>10624</v>
      </c>
      <c r="C646" s="43" t="s">
        <v>2880</v>
      </c>
      <c r="D646" s="44">
        <f>ROUND(1*(D641),4)</f>
        <v>1.08</v>
      </c>
      <c r="E646" s="38">
        <v>8.5522277500000001</v>
      </c>
      <c r="F646" s="41">
        <f>IF(ISNUMBER(E646),E646*$D646,"")</f>
        <v>9.2364059700000016</v>
      </c>
      <c r="G646" s="58"/>
      <c r="H646" s="59"/>
      <c r="I646" s="121">
        <v>0</v>
      </c>
    </row>
    <row r="647" spans="1:9" ht="38.25" hidden="1" x14ac:dyDescent="0.25">
      <c r="A647" s="182"/>
      <c r="B647" s="43" t="s">
        <v>10622</v>
      </c>
      <c r="C647" s="62" t="s">
        <v>10676</v>
      </c>
      <c r="D647" s="44">
        <f>ROUND(D641*20,4)</f>
        <v>21.6</v>
      </c>
      <c r="E647" s="38">
        <v>2.9193680499999997</v>
      </c>
      <c r="F647" s="41">
        <f>IF(ISNUMBER(E647),E647*$D647,"")</f>
        <v>63.058349879999994</v>
      </c>
      <c r="G647" s="58"/>
      <c r="H647" s="59"/>
      <c r="I647" s="121">
        <v>0</v>
      </c>
    </row>
    <row r="648" spans="1:9" hidden="1" x14ac:dyDescent="0.25">
      <c r="A648" s="182"/>
      <c r="B648" s="61"/>
      <c r="C648" s="130"/>
      <c r="D648" s="44"/>
      <c r="E648" s="38" t="s">
        <v>13</v>
      </c>
      <c r="F648" s="41" t="str">
        <f>IF(ISNUMBER(E648),E648*$D648,"")</f>
        <v/>
      </c>
      <c r="G648" s="58"/>
      <c r="H648" s="59"/>
      <c r="I648" s="121">
        <v>0</v>
      </c>
    </row>
    <row r="649" spans="1:9" ht="24.95" hidden="1" customHeight="1" x14ac:dyDescent="0.25">
      <c r="A649" s="182"/>
      <c r="B649" s="4" t="s">
        <v>646</v>
      </c>
      <c r="C649" s="130"/>
      <c r="D649" s="44"/>
      <c r="E649" s="38" t="s">
        <v>13</v>
      </c>
      <c r="F649" s="41" t="str">
        <f>IF(ISNUMBER(E649),E649*$D649,"")</f>
        <v/>
      </c>
      <c r="G649" s="58"/>
      <c r="H649" s="59"/>
      <c r="I649" s="121">
        <v>0</v>
      </c>
    </row>
    <row r="650" spans="1:9" ht="15.75" hidden="1" thickBot="1" x14ac:dyDescent="0.3">
      <c r="A650" s="183"/>
      <c r="B650" s="92"/>
      <c r="C650" s="129"/>
      <c r="D650" s="123"/>
      <c r="E650" s="51" t="s">
        <v>13</v>
      </c>
      <c r="F650" s="51" t="str">
        <f>IF(ISNUMBER(E650),E650*$D650,"")</f>
        <v/>
      </c>
      <c r="G650" s="53"/>
      <c r="H650" s="38"/>
      <c r="I650" s="121">
        <v>0</v>
      </c>
    </row>
    <row r="651" spans="1:9" ht="15.75" hidden="1" thickBot="1" x14ac:dyDescent="0.3">
      <c r="A651" s="184" t="s">
        <v>10734</v>
      </c>
      <c r="B651" s="31" t="s">
        <v>13</v>
      </c>
      <c r="C651" s="32" t="s">
        <v>162</v>
      </c>
      <c r="D651" s="120"/>
      <c r="E651" s="34" t="s">
        <v>13</v>
      </c>
      <c r="F651" s="34" t="str">
        <f>IF(ISNUMBER(E651),E651*$D651,"")</f>
        <v/>
      </c>
      <c r="G651" s="35"/>
      <c r="H651" s="36"/>
      <c r="I651" s="121">
        <v>0</v>
      </c>
    </row>
    <row r="652" spans="1:9" hidden="1" x14ac:dyDescent="0.25">
      <c r="A652" s="182"/>
      <c r="B652" s="39" t="s">
        <v>13</v>
      </c>
      <c r="C652" s="39"/>
      <c r="D652" s="122"/>
      <c r="E652" s="38" t="s">
        <v>13</v>
      </c>
      <c r="F652" s="38" t="str">
        <f>IF(ISNUMBER(E652),E652*$D652,"")</f>
        <v/>
      </c>
      <c r="G652" s="42"/>
      <c r="H652" s="38"/>
      <c r="I652" s="121">
        <v>0</v>
      </c>
    </row>
    <row r="653" spans="1:9" hidden="1" x14ac:dyDescent="0.25">
      <c r="A653" s="182"/>
      <c r="B653" s="43" t="s">
        <v>10757</v>
      </c>
      <c r="C653" s="43" t="s">
        <v>2800</v>
      </c>
      <c r="D653" s="44">
        <v>0.10199999999999999</v>
      </c>
      <c r="E653" s="38">
        <v>31.055499999999995</v>
      </c>
      <c r="F653" s="41">
        <f>IF(ISNUMBER(E653),E653*$D653,"")</f>
        <v>3.1676609999999994</v>
      </c>
      <c r="G653" s="46">
        <f>SUM(F653:F656)</f>
        <v>7.0155124999999998</v>
      </c>
      <c r="H653" s="59"/>
      <c r="I653" s="121">
        <v>0</v>
      </c>
    </row>
    <row r="654" spans="1:9" hidden="1" x14ac:dyDescent="0.25">
      <c r="A654" s="182"/>
      <c r="B654" s="43" t="s">
        <v>10614</v>
      </c>
      <c r="C654" s="43" t="s">
        <v>2800</v>
      </c>
      <c r="D654" s="44">
        <v>0.15310000000000001</v>
      </c>
      <c r="E654" s="41">
        <v>23.693000000000001</v>
      </c>
      <c r="F654" s="41">
        <f>IF(ISNUMBER(E654),E654*$D654,"")</f>
        <v>3.6273983000000007</v>
      </c>
      <c r="G654" s="58"/>
      <c r="H654" s="59"/>
      <c r="I654" s="121">
        <v>0</v>
      </c>
    </row>
    <row r="655" spans="1:9" ht="38.25" hidden="1" x14ac:dyDescent="0.25">
      <c r="A655" s="182"/>
      <c r="B655" s="43" t="s">
        <v>10783</v>
      </c>
      <c r="C655" s="43" t="s">
        <v>1050</v>
      </c>
      <c r="D655" s="44">
        <v>3.5999999999999999E-3</v>
      </c>
      <c r="E655" s="38">
        <v>34.323500000000003</v>
      </c>
      <c r="F655" s="41">
        <f>IF(ISNUMBER(E655),E655*$D655,"")</f>
        <v>0.12356460000000001</v>
      </c>
      <c r="G655" s="58"/>
      <c r="H655" s="59"/>
      <c r="I655" s="121">
        <v>0</v>
      </c>
    </row>
    <row r="656" spans="1:9" ht="38.25" hidden="1" x14ac:dyDescent="0.25">
      <c r="A656" s="182"/>
      <c r="B656" s="43" t="s">
        <v>10784</v>
      </c>
      <c r="C656" s="43" t="s">
        <v>10677</v>
      </c>
      <c r="D656" s="44">
        <v>3.5999999999999999E-3</v>
      </c>
      <c r="E656" s="38">
        <v>26.913499999999996</v>
      </c>
      <c r="F656" s="41">
        <f>IF(ISNUMBER(E656),E656*$D656,"")</f>
        <v>9.6888599999999978E-2</v>
      </c>
      <c r="G656" s="58"/>
      <c r="H656" s="59"/>
      <c r="I656" s="121">
        <v>0</v>
      </c>
    </row>
    <row r="657" spans="1:9" ht="15.75" hidden="1" thickBot="1" x14ac:dyDescent="0.3">
      <c r="A657" s="183"/>
      <c r="B657" s="49" t="s">
        <v>13</v>
      </c>
      <c r="C657" s="49"/>
      <c r="D657" s="123"/>
      <c r="E657" s="51" t="s">
        <v>13</v>
      </c>
      <c r="F657" s="52" t="str">
        <f>IF(ISNUMBER(E657),E657*$D657,"")</f>
        <v/>
      </c>
      <c r="G657" s="53"/>
      <c r="H657" s="38"/>
      <c r="I657" s="121">
        <v>0</v>
      </c>
    </row>
    <row r="658" spans="1:9" ht="15.75" hidden="1" thickBot="1" x14ac:dyDescent="0.3">
      <c r="A658" s="184" t="s">
        <v>10735</v>
      </c>
      <c r="B658" s="31" t="s">
        <v>13</v>
      </c>
      <c r="C658" s="32" t="s">
        <v>1044</v>
      </c>
      <c r="D658" s="120"/>
      <c r="E658" s="34" t="s">
        <v>13</v>
      </c>
      <c r="F658" s="34" t="str">
        <f>IF(ISNUMBER(E658),E658*$D658,"")</f>
        <v/>
      </c>
      <c r="G658" s="35"/>
      <c r="H658" s="36"/>
      <c r="I658" s="121">
        <v>0</v>
      </c>
    </row>
    <row r="659" spans="1:9" hidden="1" x14ac:dyDescent="0.25">
      <c r="A659" s="182"/>
      <c r="B659" s="39" t="s">
        <v>13</v>
      </c>
      <c r="C659" s="39"/>
      <c r="D659" s="122"/>
      <c r="E659" s="38" t="s">
        <v>13</v>
      </c>
      <c r="F659" s="38" t="str">
        <f>IF(ISNUMBER(E659),E659*$D659,"")</f>
        <v/>
      </c>
      <c r="G659" s="42"/>
      <c r="H659" s="38"/>
      <c r="I659" s="121">
        <v>0</v>
      </c>
    </row>
    <row r="660" spans="1:9" ht="38.25" hidden="1" x14ac:dyDescent="0.25">
      <c r="A660" s="182"/>
      <c r="B660" s="43" t="s">
        <v>10789</v>
      </c>
      <c r="C660" s="43" t="s">
        <v>162</v>
      </c>
      <c r="D660" s="44">
        <v>0.82399999999999995</v>
      </c>
      <c r="E660" s="38">
        <v>10.573500000000001</v>
      </c>
      <c r="F660" s="41">
        <f>IF(ISNUMBER(E660),E660*$D660,"")</f>
        <v>8.7125640000000004</v>
      </c>
      <c r="G660" s="46">
        <f>SUM(F660:F664)</f>
        <v>14.0716565</v>
      </c>
      <c r="H660" s="59"/>
      <c r="I660" s="121">
        <v>0</v>
      </c>
    </row>
    <row r="661" spans="1:9" ht="38.25" hidden="1" x14ac:dyDescent="0.25">
      <c r="A661" s="182"/>
      <c r="B661" s="43" t="s">
        <v>10790</v>
      </c>
      <c r="C661" s="43" t="s">
        <v>1302</v>
      </c>
      <c r="D661" s="44">
        <v>0.67600000000000005</v>
      </c>
      <c r="E661" s="38">
        <v>5.1584999999999992</v>
      </c>
      <c r="F661" s="41">
        <f>IF(ISNUMBER(E661),E661*$D661,"")</f>
        <v>3.4871459999999996</v>
      </c>
      <c r="G661" s="58"/>
      <c r="H661" s="59"/>
      <c r="I661" s="121">
        <v>0</v>
      </c>
    </row>
    <row r="662" spans="1:9" ht="25.5" hidden="1" x14ac:dyDescent="0.25">
      <c r="A662" s="182"/>
      <c r="B662" s="43" t="s">
        <v>10661</v>
      </c>
      <c r="C662" s="43" t="s">
        <v>1044</v>
      </c>
      <c r="D662" s="44">
        <v>1.0999999999999999E-2</v>
      </c>
      <c r="E662" s="41">
        <v>19</v>
      </c>
      <c r="F662" s="41">
        <f>IF(ISNUMBER(E662),E662*$D662,"")</f>
        <v>0.20899999999999999</v>
      </c>
      <c r="G662" s="58"/>
      <c r="H662" s="59"/>
      <c r="I662" s="121">
        <v>0</v>
      </c>
    </row>
    <row r="663" spans="1:9" ht="15.75" hidden="1" customHeight="1" x14ac:dyDescent="0.25">
      <c r="A663" s="182"/>
      <c r="B663" s="43" t="s">
        <v>10643</v>
      </c>
      <c r="C663" s="43" t="s">
        <v>2800</v>
      </c>
      <c r="D663" s="44">
        <v>1.4999999999999999E-2</v>
      </c>
      <c r="E663" s="38">
        <v>24.519499999999997</v>
      </c>
      <c r="F663" s="41">
        <f>IF(ISNUMBER(E663),E663*$D663,"")</f>
        <v>0.36779249999999997</v>
      </c>
      <c r="G663" s="58"/>
      <c r="H663" s="59"/>
      <c r="I663" s="121">
        <v>0</v>
      </c>
    </row>
    <row r="664" spans="1:9" hidden="1" x14ac:dyDescent="0.25">
      <c r="A664" s="182"/>
      <c r="B664" s="43" t="s">
        <v>10644</v>
      </c>
      <c r="C664" s="43" t="s">
        <v>2800</v>
      </c>
      <c r="D664" s="44">
        <v>4.2000000000000003E-2</v>
      </c>
      <c r="E664" s="38">
        <v>30.837</v>
      </c>
      <c r="F664" s="41">
        <f>IF(ISNUMBER(E664),E664*$D664,"")</f>
        <v>1.2951540000000001</v>
      </c>
      <c r="G664" s="58"/>
      <c r="H664" s="59"/>
      <c r="I664" s="121">
        <v>0</v>
      </c>
    </row>
    <row r="665" spans="1:9" ht="15.75" hidden="1" thickBot="1" x14ac:dyDescent="0.3">
      <c r="A665" s="183"/>
      <c r="B665" s="127"/>
      <c r="C665" s="63"/>
      <c r="D665" s="50"/>
      <c r="E665" s="51" t="s">
        <v>13</v>
      </c>
      <c r="F665" s="52" t="str">
        <f>IF(ISNUMBER(E665),E665*$D665,"")</f>
        <v/>
      </c>
      <c r="G665" s="64"/>
      <c r="H665" s="59"/>
      <c r="I665" s="121">
        <v>0</v>
      </c>
    </row>
    <row r="666" spans="1:9" ht="15.75" hidden="1" thickBot="1" x14ac:dyDescent="0.3">
      <c r="A666" s="184" t="s">
        <v>10736</v>
      </c>
      <c r="B666" s="31" t="s">
        <v>13</v>
      </c>
      <c r="C666" s="32" t="s">
        <v>2880</v>
      </c>
      <c r="D666" s="120"/>
      <c r="E666" s="54" t="s">
        <v>13</v>
      </c>
      <c r="F666" s="54" t="str">
        <f>IF(ISNUMBER(E666),E666*$D666,"")</f>
        <v/>
      </c>
      <c r="G666" s="35"/>
      <c r="H666" s="36"/>
      <c r="I666" s="121">
        <v>0</v>
      </c>
    </row>
    <row r="667" spans="1:9" hidden="1" x14ac:dyDescent="0.25">
      <c r="A667" s="182"/>
      <c r="B667" s="39" t="s">
        <v>13</v>
      </c>
      <c r="C667" s="39"/>
      <c r="D667" s="122"/>
      <c r="E667" s="55" t="s">
        <v>13</v>
      </c>
      <c r="F667" s="38" t="str">
        <f>IF(ISNUMBER(E667),E667*$D667,"")</f>
        <v/>
      </c>
      <c r="G667" s="42"/>
      <c r="H667" s="38"/>
      <c r="I667" s="121">
        <v>0</v>
      </c>
    </row>
    <row r="668" spans="1:9" ht="25.5" hidden="1" x14ac:dyDescent="0.25">
      <c r="A668" s="182"/>
      <c r="B668" s="43" t="s">
        <v>10647</v>
      </c>
      <c r="C668" s="43" t="s">
        <v>2880</v>
      </c>
      <c r="D668" s="44">
        <v>0.75580000000000003</v>
      </c>
      <c r="E668" s="41">
        <v>199.71849999999998</v>
      </c>
      <c r="F668" s="41">
        <f>IF(ISNUMBER(E668),E668*$D668,"")</f>
        <v>150.9472423</v>
      </c>
      <c r="G668" s="46">
        <f>SUM(F668:F676)</f>
        <v>666.91287694125003</v>
      </c>
      <c r="H668" s="59"/>
      <c r="I668" s="121">
        <v>0</v>
      </c>
    </row>
    <row r="669" spans="1:9" hidden="1" x14ac:dyDescent="0.25">
      <c r="A669" s="182"/>
      <c r="B669" s="43" t="s">
        <v>10648</v>
      </c>
      <c r="C669" s="43" t="s">
        <v>1044</v>
      </c>
      <c r="D669" s="44">
        <v>322.97770000000003</v>
      </c>
      <c r="E669" s="41">
        <v>0.64600000000000002</v>
      </c>
      <c r="F669" s="41">
        <f>IF(ISNUMBER(E669),E669*$D669,"")</f>
        <v>208.64359420000002</v>
      </c>
      <c r="G669" s="58"/>
      <c r="H669" s="59"/>
      <c r="I669" s="121">
        <v>0</v>
      </c>
    </row>
    <row r="670" spans="1:9" ht="25.5" hidden="1" x14ac:dyDescent="0.25">
      <c r="A670" s="182"/>
      <c r="B670" s="43" t="s">
        <v>10662</v>
      </c>
      <c r="C670" s="43" t="s">
        <v>2880</v>
      </c>
      <c r="D670" s="44">
        <v>0.58720000000000006</v>
      </c>
      <c r="E670" s="41">
        <v>194.8355</v>
      </c>
      <c r="F670" s="41">
        <f>IF(ISNUMBER(E670),E670*$D670,"")</f>
        <v>114.4074056</v>
      </c>
      <c r="G670" s="58"/>
      <c r="H670" s="59"/>
      <c r="I670" s="121">
        <v>0</v>
      </c>
    </row>
    <row r="671" spans="1:9" hidden="1" x14ac:dyDescent="0.25">
      <c r="A671" s="182"/>
      <c r="B671" s="43" t="s">
        <v>10614</v>
      </c>
      <c r="C671" s="43" t="s">
        <v>2800</v>
      </c>
      <c r="D671" s="44">
        <v>2.5333000000000001</v>
      </c>
      <c r="E671" s="38">
        <v>23.693000000000001</v>
      </c>
      <c r="F671" s="41">
        <f>IF(ISNUMBER(E671),E671*$D671,"")</f>
        <v>60.021476900000003</v>
      </c>
      <c r="G671" s="58"/>
      <c r="H671" s="59"/>
      <c r="I671" s="121">
        <v>0</v>
      </c>
    </row>
    <row r="672" spans="1:9" ht="25.5" hidden="1" x14ac:dyDescent="0.25">
      <c r="A672" s="182"/>
      <c r="B672" s="43" t="s">
        <v>10649</v>
      </c>
      <c r="C672" s="43" t="s">
        <v>2800</v>
      </c>
      <c r="D672" s="44">
        <v>1.6046</v>
      </c>
      <c r="E672" s="38">
        <v>25.745000000000001</v>
      </c>
      <c r="F672" s="41">
        <f>IF(ISNUMBER(E672),E672*$D672,"")</f>
        <v>41.310427000000004</v>
      </c>
      <c r="G672" s="58"/>
      <c r="H672" s="59"/>
      <c r="I672" s="121">
        <v>0</v>
      </c>
    </row>
    <row r="673" spans="1:9" ht="38.25" hidden="1" x14ac:dyDescent="0.25">
      <c r="A673" s="182"/>
      <c r="B673" s="43" t="s">
        <v>10650</v>
      </c>
      <c r="C673" s="43" t="s">
        <v>1050</v>
      </c>
      <c r="D673" s="44">
        <v>0.82589999999999997</v>
      </c>
      <c r="E673" s="38">
        <v>1.6435</v>
      </c>
      <c r="F673" s="41">
        <f>IF(ISNUMBER(E673),E673*$D673,"")</f>
        <v>1.3573666499999999</v>
      </c>
      <c r="G673" s="58"/>
      <c r="H673" s="59"/>
      <c r="I673" s="121">
        <v>0</v>
      </c>
    </row>
    <row r="674" spans="1:9" ht="38.25" hidden="1" x14ac:dyDescent="0.25">
      <c r="A674" s="182"/>
      <c r="B674" s="43" t="s">
        <v>10651</v>
      </c>
      <c r="C674" s="43" t="s">
        <v>10677</v>
      </c>
      <c r="D674" s="44">
        <v>0.77869999999999995</v>
      </c>
      <c r="E674" s="38">
        <v>0.41799999999999998</v>
      </c>
      <c r="F674" s="41">
        <f>IF(ISNUMBER(E674),E674*$D674,"")</f>
        <v>0.32549659999999997</v>
      </c>
      <c r="G674" s="58"/>
      <c r="H674" s="59"/>
      <c r="I674" s="121">
        <v>0</v>
      </c>
    </row>
    <row r="675" spans="1:9" ht="51" hidden="1" x14ac:dyDescent="0.25">
      <c r="A675" s="182"/>
      <c r="B675" s="43" t="s">
        <v>10624</v>
      </c>
      <c r="C675" s="43" t="s">
        <v>2880</v>
      </c>
      <c r="D675" s="44">
        <f>ROUND(1*(D668+D670),4)</f>
        <v>1.343</v>
      </c>
      <c r="E675" s="38">
        <v>8.5522277500000001</v>
      </c>
      <c r="F675" s="41">
        <f>IF(ISNUMBER(E675),E675*$D675,"")</f>
        <v>11.485641868249999</v>
      </c>
      <c r="G675" s="58"/>
      <c r="H675" s="59"/>
      <c r="I675" s="121">
        <v>0</v>
      </c>
    </row>
    <row r="676" spans="1:9" ht="38.25" hidden="1" x14ac:dyDescent="0.25">
      <c r="A676" s="182"/>
      <c r="B676" s="43" t="s">
        <v>10622</v>
      </c>
      <c r="C676" s="62" t="s">
        <v>10676</v>
      </c>
      <c r="D676" s="44">
        <f>ROUND((D668+D670)*20,4)</f>
        <v>26.86</v>
      </c>
      <c r="E676" s="38">
        <v>2.9193680499999997</v>
      </c>
      <c r="F676" s="41">
        <f>IF(ISNUMBER(E676),E676*$D676,"")</f>
        <v>78.414225822999995</v>
      </c>
      <c r="G676" s="58"/>
      <c r="H676" s="59"/>
      <c r="I676" s="121">
        <v>0</v>
      </c>
    </row>
    <row r="677" spans="1:9" hidden="1" x14ac:dyDescent="0.25">
      <c r="A677" s="182"/>
      <c r="B677" s="61"/>
      <c r="C677" s="62"/>
      <c r="D677" s="44"/>
      <c r="E677" s="38" t="s">
        <v>13</v>
      </c>
      <c r="F677" s="41" t="str">
        <f>IF(ISNUMBER(E677),E677*$D677,"")</f>
        <v/>
      </c>
      <c r="G677" s="58"/>
      <c r="H677" s="59"/>
      <c r="I677" s="121">
        <v>0</v>
      </c>
    </row>
    <row r="678" spans="1:9" ht="25.5" hidden="1" x14ac:dyDescent="0.25">
      <c r="A678" s="182"/>
      <c r="B678" s="4" t="s">
        <v>78</v>
      </c>
      <c r="C678" s="62"/>
      <c r="D678" s="44"/>
      <c r="E678" s="38" t="s">
        <v>13</v>
      </c>
      <c r="F678" s="41" t="str">
        <f>IF(ISNUMBER(E678),E678*$D678,"")</f>
        <v/>
      </c>
      <c r="G678" s="58"/>
      <c r="H678" s="59"/>
      <c r="I678" s="121">
        <v>0</v>
      </c>
    </row>
    <row r="679" spans="1:9" ht="15.75" hidden="1" thickBot="1" x14ac:dyDescent="0.3">
      <c r="A679" s="183"/>
      <c r="B679" s="49" t="s">
        <v>13</v>
      </c>
      <c r="C679" s="49"/>
      <c r="D679" s="123"/>
      <c r="E679" s="51" t="s">
        <v>13</v>
      </c>
      <c r="F679" s="51" t="str">
        <f>IF(ISNUMBER(E679),E679*$D679,"")</f>
        <v/>
      </c>
      <c r="G679" s="53"/>
      <c r="H679" s="38"/>
      <c r="I679" s="121">
        <v>0</v>
      </c>
    </row>
    <row r="680" spans="1:9" ht="26.25" hidden="1" customHeight="1" thickBot="1" x14ac:dyDescent="0.3">
      <c r="A680" s="184" t="s">
        <v>10737</v>
      </c>
      <c r="B680" s="31" t="s">
        <v>13</v>
      </c>
      <c r="C680" s="32" t="s">
        <v>162</v>
      </c>
      <c r="D680" s="120"/>
      <c r="E680" s="54" t="s">
        <v>13</v>
      </c>
      <c r="F680" s="54" t="str">
        <f>IF(ISNUMBER(E680),E680*$D680,"")</f>
        <v/>
      </c>
      <c r="G680" s="35"/>
      <c r="H680" s="36"/>
      <c r="I680" s="121">
        <v>0</v>
      </c>
    </row>
    <row r="681" spans="1:9" hidden="1" x14ac:dyDescent="0.25">
      <c r="A681" s="182"/>
      <c r="B681" s="39" t="s">
        <v>13</v>
      </c>
      <c r="C681" s="128"/>
      <c r="D681" s="122"/>
      <c r="E681" s="55" t="s">
        <v>13</v>
      </c>
      <c r="F681" s="38" t="str">
        <f>IF(ISNUMBER(E681),E681*$D681,"")</f>
        <v/>
      </c>
      <c r="G681" s="42"/>
      <c r="H681" s="38"/>
      <c r="I681" s="121">
        <v>0</v>
      </c>
    </row>
    <row r="682" spans="1:9" ht="25.5" hidden="1" x14ac:dyDescent="0.25">
      <c r="A682" s="182"/>
      <c r="B682" s="43" t="s">
        <v>10775</v>
      </c>
      <c r="C682" s="43" t="s">
        <v>70</v>
      </c>
      <c r="D682" s="44">
        <v>1.67E-2</v>
      </c>
      <c r="E682" s="41">
        <v>8.5310000000000006</v>
      </c>
      <c r="F682" s="41">
        <f>IF(ISNUMBER(E682),E682*$D682,"")</f>
        <v>0.1424677</v>
      </c>
      <c r="G682" s="46">
        <f>SUM(F682:F691)</f>
        <v>91.681674700000002</v>
      </c>
      <c r="H682" s="59"/>
      <c r="I682" s="121">
        <v>0</v>
      </c>
    </row>
    <row r="683" spans="1:9" ht="25.5" hidden="1" x14ac:dyDescent="0.25">
      <c r="A683" s="182"/>
      <c r="B683" s="43" t="s">
        <v>10612</v>
      </c>
      <c r="C683" s="43" t="s">
        <v>1302</v>
      </c>
      <c r="D683" s="44">
        <v>1.1659999999999999</v>
      </c>
      <c r="E683" s="41">
        <v>7.3055000000000003</v>
      </c>
      <c r="F683" s="41">
        <f>IF(ISNUMBER(E683),E683*$D683,"")</f>
        <v>8.5182129999999994</v>
      </c>
      <c r="G683" s="58"/>
      <c r="H683" s="59"/>
      <c r="I683" s="121">
        <v>0</v>
      </c>
    </row>
    <row r="684" spans="1:9" ht="25.5" hidden="1" x14ac:dyDescent="0.25">
      <c r="A684" s="182"/>
      <c r="B684" s="43" t="s">
        <v>10652</v>
      </c>
      <c r="C684" s="43" t="s">
        <v>1302</v>
      </c>
      <c r="D684" s="44">
        <v>1.0529999999999999</v>
      </c>
      <c r="E684" s="38">
        <v>2.5554999999999999</v>
      </c>
      <c r="F684" s="41">
        <f>IF(ISNUMBER(E684),E684*$D684,"")</f>
        <v>2.6909414999999997</v>
      </c>
      <c r="G684" s="58"/>
      <c r="H684" s="59"/>
      <c r="I684" s="121">
        <v>0</v>
      </c>
    </row>
    <row r="685" spans="1:9" hidden="1" x14ac:dyDescent="0.25">
      <c r="A685" s="182"/>
      <c r="B685" s="43" t="s">
        <v>10791</v>
      </c>
      <c r="C685" s="43" t="s">
        <v>1044</v>
      </c>
      <c r="D685" s="44">
        <v>4.9000000000000002E-2</v>
      </c>
      <c r="E685" s="38">
        <v>18.752999999999997</v>
      </c>
      <c r="F685" s="41">
        <f>IF(ISNUMBER(E685),E685*$D685,"")</f>
        <v>0.91889699999999985</v>
      </c>
      <c r="G685" s="58"/>
      <c r="H685" s="59"/>
      <c r="I685" s="121">
        <v>0</v>
      </c>
    </row>
    <row r="686" spans="1:9" ht="25.5" hidden="1" x14ac:dyDescent="0.25">
      <c r="A686" s="182"/>
      <c r="B686" s="43" t="s">
        <v>10654</v>
      </c>
      <c r="C686" s="43" t="s">
        <v>1302</v>
      </c>
      <c r="D686" s="44">
        <v>2.1859999999999999</v>
      </c>
      <c r="E686" s="38">
        <v>12.112499999999999</v>
      </c>
      <c r="F686" s="41">
        <f>IF(ISNUMBER(E686),E686*$D686,"")</f>
        <v>26.477924999999995</v>
      </c>
      <c r="G686" s="58"/>
      <c r="H686" s="59"/>
      <c r="I686" s="121">
        <v>0</v>
      </c>
    </row>
    <row r="687" spans="1:9" hidden="1" x14ac:dyDescent="0.25">
      <c r="A687" s="182"/>
      <c r="B687" s="43" t="s">
        <v>10776</v>
      </c>
      <c r="C687" s="43" t="s">
        <v>1044</v>
      </c>
      <c r="D687" s="44">
        <v>5.2999999999999999E-2</v>
      </c>
      <c r="E687" s="38">
        <v>22.704999999999998</v>
      </c>
      <c r="F687" s="41">
        <f>IF(ISNUMBER(E687),E687*$D687,"")</f>
        <v>1.2033649999999998</v>
      </c>
      <c r="G687" s="58"/>
      <c r="H687" s="59"/>
      <c r="I687" s="121">
        <v>0</v>
      </c>
    </row>
    <row r="688" spans="1:9" hidden="1" x14ac:dyDescent="0.25">
      <c r="A688" s="182"/>
      <c r="B688" s="43" t="s">
        <v>10655</v>
      </c>
      <c r="C688" s="43" t="s">
        <v>2800</v>
      </c>
      <c r="D688" s="44">
        <v>0.503</v>
      </c>
      <c r="E688" s="38">
        <v>24.358000000000001</v>
      </c>
      <c r="F688" s="41">
        <f>IF(ISNUMBER(E688),E688*$D688,"")</f>
        <v>12.252074</v>
      </c>
      <c r="G688" s="58"/>
      <c r="H688" s="59"/>
      <c r="I688" s="121">
        <v>0</v>
      </c>
    </row>
    <row r="689" spans="1:9" hidden="1" x14ac:dyDescent="0.25">
      <c r="A689" s="182"/>
      <c r="B689" s="43" t="s">
        <v>10613</v>
      </c>
      <c r="C689" s="43" t="s">
        <v>2800</v>
      </c>
      <c r="D689" s="44">
        <v>1.179</v>
      </c>
      <c r="E689" s="38">
        <v>30.628</v>
      </c>
      <c r="F689" s="41">
        <f>IF(ISNUMBER(E689),E689*$D689,"")</f>
        <v>36.110412000000004</v>
      </c>
      <c r="G689" s="58"/>
      <c r="H689" s="59"/>
      <c r="I689" s="121">
        <v>0</v>
      </c>
    </row>
    <row r="690" spans="1:9" ht="25.5" hidden="1" x14ac:dyDescent="0.25">
      <c r="A690" s="182"/>
      <c r="B690" s="43" t="s">
        <v>10656</v>
      </c>
      <c r="C690" s="43" t="s">
        <v>1050</v>
      </c>
      <c r="D690" s="44">
        <v>2.5999999999999999E-2</v>
      </c>
      <c r="E690" s="38">
        <v>26.884999999999998</v>
      </c>
      <c r="F690" s="41">
        <f>IF(ISNUMBER(E690),E690*$D690,"")</f>
        <v>0.69900999999999991</v>
      </c>
      <c r="G690" s="58"/>
      <c r="H690" s="59"/>
      <c r="I690" s="121">
        <v>0</v>
      </c>
    </row>
    <row r="691" spans="1:9" ht="25.5" hidden="1" x14ac:dyDescent="0.25">
      <c r="A691" s="182"/>
      <c r="B691" s="43" t="s">
        <v>10657</v>
      </c>
      <c r="C691" s="43" t="s">
        <v>10677</v>
      </c>
      <c r="D691" s="44">
        <v>0.10299999999999999</v>
      </c>
      <c r="E691" s="38">
        <v>25.906499999999998</v>
      </c>
      <c r="F691" s="41">
        <f>IF(ISNUMBER(E691),E691*$D691,"")</f>
        <v>2.6683694999999994</v>
      </c>
      <c r="G691" s="58"/>
      <c r="H691" s="59"/>
      <c r="I691" s="121">
        <v>0</v>
      </c>
    </row>
    <row r="692" spans="1:9" ht="15.75" hidden="1" thickBot="1" x14ac:dyDescent="0.3">
      <c r="A692" s="183"/>
      <c r="B692" s="92"/>
      <c r="C692" s="129"/>
      <c r="D692" s="123"/>
      <c r="E692" s="51" t="s">
        <v>13</v>
      </c>
      <c r="F692" s="51" t="str">
        <f>IF(ISNUMBER(E692),E692*$D692,"")</f>
        <v/>
      </c>
      <c r="G692" s="53"/>
      <c r="H692" s="38"/>
      <c r="I692" s="121">
        <v>0</v>
      </c>
    </row>
    <row r="693" spans="1:9" ht="26.25" hidden="1" customHeight="1" thickBot="1" x14ac:dyDescent="0.3">
      <c r="A693" s="184" t="s">
        <v>10738</v>
      </c>
      <c r="B693" s="31" t="s">
        <v>13</v>
      </c>
      <c r="C693" s="32" t="s">
        <v>2880</v>
      </c>
      <c r="D693" s="120"/>
      <c r="E693" s="54" t="s">
        <v>13</v>
      </c>
      <c r="F693" s="54" t="str">
        <f>IF(ISNUMBER(E693),E693*$D693,"")</f>
        <v/>
      </c>
      <c r="G693" s="35"/>
      <c r="H693" s="36"/>
      <c r="I693" s="121">
        <v>0</v>
      </c>
    </row>
    <row r="694" spans="1:9" hidden="1" x14ac:dyDescent="0.25">
      <c r="A694" s="182"/>
      <c r="B694" s="39" t="s">
        <v>13</v>
      </c>
      <c r="C694" s="128"/>
      <c r="D694" s="122"/>
      <c r="E694" s="55" t="s">
        <v>13</v>
      </c>
      <c r="F694" s="38" t="str">
        <f>IF(ISNUMBER(E694),E694*$D694,"")</f>
        <v/>
      </c>
      <c r="G694" s="42"/>
      <c r="H694" s="38"/>
      <c r="I694" s="121">
        <v>0</v>
      </c>
    </row>
    <row r="695" spans="1:9" ht="25.5" hidden="1" x14ac:dyDescent="0.25">
      <c r="A695" s="182"/>
      <c r="B695" s="43" t="s">
        <v>10792</v>
      </c>
      <c r="C695" s="43" t="s">
        <v>2880</v>
      </c>
      <c r="D695" s="44">
        <v>0.59499999999999997</v>
      </c>
      <c r="E695" s="41">
        <v>195.86149999999998</v>
      </c>
      <c r="F695" s="41">
        <f>IF(ISNUMBER(E695),E695*$D695,"")</f>
        <v>116.53759249999999</v>
      </c>
      <c r="G695" s="46">
        <f>SUM(F695:F704)</f>
        <v>376.53319611249998</v>
      </c>
      <c r="H695" s="59"/>
      <c r="I695" s="121">
        <v>0</v>
      </c>
    </row>
    <row r="696" spans="1:9" ht="25.5" hidden="1" x14ac:dyDescent="0.25">
      <c r="A696" s="182"/>
      <c r="B696" s="43" t="s">
        <v>10662</v>
      </c>
      <c r="C696" s="43" t="s">
        <v>2880</v>
      </c>
      <c r="D696" s="44">
        <v>0.59499999999999997</v>
      </c>
      <c r="E696" s="38">
        <v>194.8355</v>
      </c>
      <c r="F696" s="41">
        <f>IF(ISNUMBER(E696),E696*$D696,"")</f>
        <v>115.9271225</v>
      </c>
      <c r="G696" s="58"/>
      <c r="H696" s="59"/>
      <c r="I696" s="121">
        <v>0</v>
      </c>
    </row>
    <row r="697" spans="1:9" hidden="1" x14ac:dyDescent="0.25">
      <c r="A697" s="182"/>
      <c r="B697" s="43" t="s">
        <v>10757</v>
      </c>
      <c r="C697" s="43" t="s">
        <v>2800</v>
      </c>
      <c r="D697" s="44">
        <v>1.579</v>
      </c>
      <c r="E697" s="38">
        <v>31.055499999999995</v>
      </c>
      <c r="F697" s="41">
        <f>IF(ISNUMBER(E697),E697*$D697,"")</f>
        <v>49.036634499999991</v>
      </c>
      <c r="G697" s="58"/>
      <c r="H697" s="59"/>
      <c r="I697" s="121">
        <v>0</v>
      </c>
    </row>
    <row r="698" spans="1:9" hidden="1" x14ac:dyDescent="0.25">
      <c r="A698" s="182"/>
      <c r="B698" s="43" t="s">
        <v>10614</v>
      </c>
      <c r="C698" s="43" t="s">
        <v>2800</v>
      </c>
      <c r="D698" s="44">
        <v>0.63400000000000001</v>
      </c>
      <c r="E698" s="38">
        <v>23.693000000000001</v>
      </c>
      <c r="F698" s="41">
        <f>IF(ISNUMBER(E698),E698*$D698,"")</f>
        <v>15.021362000000002</v>
      </c>
      <c r="G698" s="58"/>
      <c r="H698" s="59"/>
      <c r="I698" s="121">
        <v>0</v>
      </c>
    </row>
    <row r="699" spans="1:9" ht="38.25" hidden="1" x14ac:dyDescent="0.25">
      <c r="A699" s="182"/>
      <c r="B699" s="43" t="s">
        <v>10793</v>
      </c>
      <c r="C699" s="43" t="s">
        <v>1050</v>
      </c>
      <c r="D699" s="44">
        <v>3.2000000000000001E-2</v>
      </c>
      <c r="E699" s="38">
        <v>10.316999999999998</v>
      </c>
      <c r="F699" s="41">
        <f>IF(ISNUMBER(E699),E699*$D699,"")</f>
        <v>0.33014399999999994</v>
      </c>
      <c r="G699" s="58"/>
      <c r="H699" s="59"/>
      <c r="I699" s="121">
        <v>0</v>
      </c>
    </row>
    <row r="700" spans="1:9" ht="38.25" hidden="1" x14ac:dyDescent="0.25">
      <c r="A700" s="182"/>
      <c r="B700" s="43" t="s">
        <v>10794</v>
      </c>
      <c r="C700" s="43" t="s">
        <v>10677</v>
      </c>
      <c r="D700" s="44">
        <v>0.03</v>
      </c>
      <c r="E700" s="38">
        <v>0.74099999999999999</v>
      </c>
      <c r="F700" s="41">
        <f>IF(ISNUMBER(E700),E700*$D700,"")</f>
        <v>2.223E-2</v>
      </c>
      <c r="G700" s="58"/>
      <c r="H700" s="59"/>
      <c r="I700" s="121">
        <v>0</v>
      </c>
    </row>
    <row r="701" spans="1:9" ht="51" hidden="1" x14ac:dyDescent="0.25">
      <c r="A701" s="182"/>
      <c r="B701" s="43" t="s">
        <v>10624</v>
      </c>
      <c r="C701" s="43" t="s">
        <v>2880</v>
      </c>
      <c r="D701" s="44">
        <f>ROUND(1*(D695+D696),4)</f>
        <v>1.19</v>
      </c>
      <c r="E701" s="38">
        <v>8.5522277500000001</v>
      </c>
      <c r="F701" s="41">
        <f>IF(ISNUMBER(E701),E701*$D701,"")</f>
        <v>10.1771510225</v>
      </c>
      <c r="G701" s="58"/>
      <c r="H701" s="59"/>
      <c r="I701" s="121">
        <v>0</v>
      </c>
    </row>
    <row r="702" spans="1:9" ht="38.25" hidden="1" x14ac:dyDescent="0.25">
      <c r="A702" s="182"/>
      <c r="B702" s="43" t="s">
        <v>10622</v>
      </c>
      <c r="C702" s="62" t="s">
        <v>10676</v>
      </c>
      <c r="D702" s="44">
        <f>ROUND((D695+D696)*20,4)</f>
        <v>23.8</v>
      </c>
      <c r="E702" s="38">
        <v>2.9193680499999997</v>
      </c>
      <c r="F702" s="41">
        <f>IF(ISNUMBER(E702),E702*$D702,"")</f>
        <v>69.480959589999998</v>
      </c>
      <c r="G702" s="58"/>
      <c r="H702" s="59"/>
      <c r="I702" s="121">
        <v>0</v>
      </c>
    </row>
    <row r="703" spans="1:9" hidden="1" x14ac:dyDescent="0.25">
      <c r="A703" s="182"/>
      <c r="B703" s="61"/>
      <c r="C703" s="130"/>
      <c r="D703" s="44"/>
      <c r="E703" s="38" t="s">
        <v>13</v>
      </c>
      <c r="F703" s="41" t="str">
        <f>IF(ISNUMBER(E703),E703*$D703,"")</f>
        <v/>
      </c>
      <c r="G703" s="58"/>
      <c r="H703" s="59"/>
      <c r="I703" s="121">
        <v>0</v>
      </c>
    </row>
    <row r="704" spans="1:9" ht="24.95" hidden="1" customHeight="1" x14ac:dyDescent="0.25">
      <c r="A704" s="182"/>
      <c r="B704" s="4" t="s">
        <v>646</v>
      </c>
      <c r="C704" s="130"/>
      <c r="D704" s="44"/>
      <c r="E704" s="38" t="s">
        <v>13</v>
      </c>
      <c r="F704" s="41" t="str">
        <f>IF(ISNUMBER(E704),E704*$D704,"")</f>
        <v/>
      </c>
      <c r="G704" s="58"/>
      <c r="H704" s="59"/>
      <c r="I704" s="121">
        <v>0</v>
      </c>
    </row>
    <row r="705" spans="1:9" ht="15.75" hidden="1" thickBot="1" x14ac:dyDescent="0.3">
      <c r="A705" s="183"/>
      <c r="B705" s="92"/>
      <c r="C705" s="129"/>
      <c r="D705" s="123"/>
      <c r="E705" s="51" t="s">
        <v>13</v>
      </c>
      <c r="F705" s="51" t="str">
        <f>IF(ISNUMBER(E705),E705*$D705,"")</f>
        <v/>
      </c>
      <c r="G705" s="53"/>
      <c r="H705" s="38"/>
      <c r="I705" s="121">
        <v>0</v>
      </c>
    </row>
    <row r="706" spans="1:9" ht="26.25" hidden="1" customHeight="1" thickBot="1" x14ac:dyDescent="0.3">
      <c r="A706" s="184" t="s">
        <v>10739</v>
      </c>
      <c r="B706" s="31" t="s">
        <v>13</v>
      </c>
      <c r="C706" s="32" t="s">
        <v>2880</v>
      </c>
      <c r="D706" s="120"/>
      <c r="E706" s="54" t="s">
        <v>13</v>
      </c>
      <c r="F706" s="54" t="str">
        <f>IF(ISNUMBER(E706),E706*$D706,"")</f>
        <v/>
      </c>
      <c r="G706" s="35"/>
      <c r="H706" s="36"/>
      <c r="I706" s="121">
        <v>0</v>
      </c>
    </row>
    <row r="707" spans="1:9" hidden="1" x14ac:dyDescent="0.25">
      <c r="A707" s="182"/>
      <c r="B707" s="39" t="s">
        <v>13</v>
      </c>
      <c r="C707" s="128"/>
      <c r="D707" s="122"/>
      <c r="E707" s="55" t="s">
        <v>13</v>
      </c>
      <c r="F707" s="38" t="str">
        <f>IF(ISNUMBER(E707),E707*$D707,"")</f>
        <v/>
      </c>
      <c r="G707" s="42"/>
      <c r="H707" s="38"/>
      <c r="I707" s="121">
        <v>0</v>
      </c>
    </row>
    <row r="708" spans="1:9" ht="25.5" hidden="1" x14ac:dyDescent="0.25">
      <c r="A708" s="182"/>
      <c r="B708" s="43" t="s">
        <v>10647</v>
      </c>
      <c r="C708" s="43" t="s">
        <v>2880</v>
      </c>
      <c r="D708" s="44">
        <v>1.1000000000000001</v>
      </c>
      <c r="E708" s="41">
        <v>199.71849999999998</v>
      </c>
      <c r="F708" s="41">
        <f>IF(ISNUMBER(E708),E708*$D708,"")</f>
        <v>219.69035</v>
      </c>
      <c r="G708" s="46">
        <f>SUM(F708:F716)</f>
        <v>432.23037917500005</v>
      </c>
      <c r="H708" s="59"/>
      <c r="I708" s="121">
        <v>0</v>
      </c>
    </row>
    <row r="709" spans="1:9" hidden="1" x14ac:dyDescent="0.25">
      <c r="A709" s="182"/>
      <c r="B709" s="43" t="s">
        <v>10757</v>
      </c>
      <c r="C709" s="43" t="s">
        <v>2800</v>
      </c>
      <c r="D709" s="44">
        <v>2.0219</v>
      </c>
      <c r="E709" s="38">
        <v>31.055499999999995</v>
      </c>
      <c r="F709" s="41">
        <f>IF(ISNUMBER(E709),E709*$D709,"")</f>
        <v>62.791115449999992</v>
      </c>
      <c r="G709" s="58"/>
      <c r="H709" s="59"/>
      <c r="I709" s="121">
        <v>0</v>
      </c>
    </row>
    <row r="710" spans="1:9" hidden="1" x14ac:dyDescent="0.25">
      <c r="A710" s="182"/>
      <c r="B710" s="43" t="s">
        <v>10614</v>
      </c>
      <c r="C710" s="43" t="s">
        <v>2800</v>
      </c>
      <c r="D710" s="44">
        <v>3.0329000000000002</v>
      </c>
      <c r="E710" s="38">
        <v>23.693000000000001</v>
      </c>
      <c r="F710" s="41">
        <f>IF(ISNUMBER(E710),E710*$D710,"")</f>
        <v>71.85849970000001</v>
      </c>
      <c r="G710" s="58"/>
      <c r="H710" s="59"/>
      <c r="I710" s="121">
        <v>0</v>
      </c>
    </row>
    <row r="711" spans="1:9" ht="38.25" hidden="1" x14ac:dyDescent="0.25">
      <c r="A711" s="182"/>
      <c r="B711" s="43" t="s">
        <v>10783</v>
      </c>
      <c r="C711" s="43" t="s">
        <v>1050</v>
      </c>
      <c r="D711" s="44">
        <v>7.1800000000000003E-2</v>
      </c>
      <c r="E711" s="38">
        <v>34.323500000000003</v>
      </c>
      <c r="F711" s="41">
        <f>IF(ISNUMBER(E711),E711*$D711,"")</f>
        <v>2.4644273000000001</v>
      </c>
      <c r="G711" s="58"/>
      <c r="H711" s="59"/>
      <c r="I711" s="121">
        <v>0</v>
      </c>
    </row>
    <row r="712" spans="1:9" ht="38.25" hidden="1" x14ac:dyDescent="0.25">
      <c r="A712" s="182"/>
      <c r="B712" s="43" t="s">
        <v>10784</v>
      </c>
      <c r="C712" s="43" t="s">
        <v>10677</v>
      </c>
      <c r="D712" s="44">
        <v>6.6600000000000006E-2</v>
      </c>
      <c r="E712" s="38">
        <v>26.913499999999996</v>
      </c>
      <c r="F712" s="41">
        <f>IF(ISNUMBER(E712),E712*$D712,"")</f>
        <v>1.7924391</v>
      </c>
      <c r="G712" s="58"/>
      <c r="H712" s="59"/>
      <c r="I712" s="121">
        <v>0</v>
      </c>
    </row>
    <row r="713" spans="1:9" ht="51" hidden="1" x14ac:dyDescent="0.25">
      <c r="A713" s="182"/>
      <c r="B713" s="43" t="s">
        <v>10624</v>
      </c>
      <c r="C713" s="43" t="s">
        <v>2880</v>
      </c>
      <c r="D713" s="44">
        <f>ROUND(1*(D708),4)</f>
        <v>1.1000000000000001</v>
      </c>
      <c r="E713" s="38">
        <v>8.5522277500000001</v>
      </c>
      <c r="F713" s="41">
        <f>IF(ISNUMBER(E713),E713*$D713,"")</f>
        <v>9.4074505250000016</v>
      </c>
      <c r="G713" s="58"/>
      <c r="H713" s="59"/>
      <c r="I713" s="121">
        <v>0</v>
      </c>
    </row>
    <row r="714" spans="1:9" ht="38.25" hidden="1" x14ac:dyDescent="0.25">
      <c r="A714" s="182"/>
      <c r="B714" s="43" t="s">
        <v>10622</v>
      </c>
      <c r="C714" s="62" t="s">
        <v>10676</v>
      </c>
      <c r="D714" s="44">
        <f>ROUND((D708)*20,4)</f>
        <v>22</v>
      </c>
      <c r="E714" s="38">
        <v>2.9193680499999997</v>
      </c>
      <c r="F714" s="41">
        <f>IF(ISNUMBER(E714),E714*$D714,"")</f>
        <v>64.22609709999999</v>
      </c>
      <c r="G714" s="58"/>
      <c r="H714" s="59"/>
      <c r="I714" s="121">
        <v>0</v>
      </c>
    </row>
    <row r="715" spans="1:9" hidden="1" x14ac:dyDescent="0.25">
      <c r="A715" s="182"/>
      <c r="B715" s="61"/>
      <c r="C715" s="130"/>
      <c r="D715" s="44"/>
      <c r="E715" s="38" t="s">
        <v>13</v>
      </c>
      <c r="F715" s="41" t="str">
        <f>IF(ISNUMBER(E715),E715*$D715,"")</f>
        <v/>
      </c>
      <c r="G715" s="58"/>
      <c r="H715" s="59"/>
      <c r="I715" s="121">
        <v>0</v>
      </c>
    </row>
    <row r="716" spans="1:9" ht="24.95" hidden="1" customHeight="1" x14ac:dyDescent="0.25">
      <c r="A716" s="182"/>
      <c r="B716" s="4" t="s">
        <v>646</v>
      </c>
      <c r="C716" s="130"/>
      <c r="D716" s="44"/>
      <c r="E716" s="38" t="s">
        <v>13</v>
      </c>
      <c r="F716" s="41" t="str">
        <f>IF(ISNUMBER(E716),E716*$D716,"")</f>
        <v/>
      </c>
      <c r="G716" s="58"/>
      <c r="H716" s="59"/>
      <c r="I716" s="121">
        <v>0</v>
      </c>
    </row>
    <row r="717" spans="1:9" ht="15.75" hidden="1" thickBot="1" x14ac:dyDescent="0.3">
      <c r="A717" s="183"/>
      <c r="B717" s="92"/>
      <c r="C717" s="129"/>
      <c r="D717" s="123"/>
      <c r="E717" s="51" t="s">
        <v>13</v>
      </c>
      <c r="F717" s="51" t="str">
        <f>IF(ISNUMBER(E717),E717*$D717,"")</f>
        <v/>
      </c>
      <c r="G717" s="53"/>
      <c r="H717" s="38"/>
      <c r="I717" s="121">
        <v>0</v>
      </c>
    </row>
    <row r="718" spans="1:9" ht="26.25" hidden="1" customHeight="1" thickBot="1" x14ac:dyDescent="0.3">
      <c r="A718" s="184" t="s">
        <v>10740</v>
      </c>
      <c r="B718" s="31" t="s">
        <v>13</v>
      </c>
      <c r="C718" s="32" t="s">
        <v>2880</v>
      </c>
      <c r="D718" s="120"/>
      <c r="E718" s="54" t="s">
        <v>13</v>
      </c>
      <c r="F718" s="54" t="str">
        <f>IF(ISNUMBER(E718),E718*$D718,"")</f>
        <v/>
      </c>
      <c r="G718" s="35"/>
      <c r="H718" s="36"/>
      <c r="I718" s="121">
        <v>0</v>
      </c>
    </row>
    <row r="719" spans="1:9" hidden="1" x14ac:dyDescent="0.25">
      <c r="A719" s="182"/>
      <c r="B719" s="39" t="s">
        <v>13</v>
      </c>
      <c r="C719" s="128"/>
      <c r="D719" s="122"/>
      <c r="E719" s="55" t="s">
        <v>13</v>
      </c>
      <c r="F719" s="38" t="str">
        <f>IF(ISNUMBER(E719),E719*$D719,"")</f>
        <v/>
      </c>
      <c r="G719" s="42"/>
      <c r="H719" s="38"/>
      <c r="I719" s="121">
        <v>0</v>
      </c>
    </row>
    <row r="720" spans="1:9" ht="25.5" hidden="1" x14ac:dyDescent="0.25">
      <c r="A720" s="182"/>
      <c r="B720" s="43" t="s">
        <v>10647</v>
      </c>
      <c r="C720" s="43" t="s">
        <v>2880</v>
      </c>
      <c r="D720" s="44">
        <v>0.83479999999999999</v>
      </c>
      <c r="E720" s="41">
        <v>199.71849999999998</v>
      </c>
      <c r="F720" s="41">
        <f>IF(ISNUMBER(E720),E720*$D720,"")</f>
        <v>166.72500379999997</v>
      </c>
      <c r="G720" s="46">
        <f>SUM(F720:F727)</f>
        <v>974.05994235924993</v>
      </c>
      <c r="H720" s="59"/>
      <c r="I720" s="121">
        <v>0</v>
      </c>
    </row>
    <row r="721" spans="1:9" hidden="1" x14ac:dyDescent="0.25">
      <c r="A721" s="182"/>
      <c r="B721" s="43" t="s">
        <v>10648</v>
      </c>
      <c r="C721" s="43" t="s">
        <v>1044</v>
      </c>
      <c r="D721" s="44">
        <v>283.30919999999998</v>
      </c>
      <c r="E721" s="41">
        <v>0.64600000000000002</v>
      </c>
      <c r="F721" s="41">
        <f>IF(ISNUMBER(E721),E721*$D721,"")</f>
        <v>183.01774319999998</v>
      </c>
      <c r="G721" s="58"/>
      <c r="H721" s="59"/>
      <c r="I721" s="121">
        <v>0</v>
      </c>
    </row>
    <row r="722" spans="1:9" ht="25.5" hidden="1" x14ac:dyDescent="0.25">
      <c r="A722" s="182"/>
      <c r="B722" s="43" t="s">
        <v>10795</v>
      </c>
      <c r="C722" s="43" t="s">
        <v>2880</v>
      </c>
      <c r="D722" s="44">
        <v>0.59460000000000002</v>
      </c>
      <c r="E722" s="38">
        <v>640.48050000000001</v>
      </c>
      <c r="F722" s="41">
        <f>IF(ISNUMBER(E722),E722*$D722,"")</f>
        <v>380.8297053</v>
      </c>
      <c r="G722" s="58"/>
      <c r="H722" s="59"/>
      <c r="I722" s="121">
        <v>0</v>
      </c>
    </row>
    <row r="723" spans="1:9" hidden="1" x14ac:dyDescent="0.25">
      <c r="A723" s="182"/>
      <c r="B723" s="43" t="s">
        <v>10614</v>
      </c>
      <c r="C723" s="43" t="s">
        <v>2800</v>
      </c>
      <c r="D723" s="44">
        <v>6.2382999999999997</v>
      </c>
      <c r="E723" s="38">
        <v>23.693000000000001</v>
      </c>
      <c r="F723" s="41">
        <f>IF(ISNUMBER(E723),E723*$D723,"")</f>
        <v>147.80404190000002</v>
      </c>
      <c r="G723" s="58"/>
      <c r="H723" s="59"/>
      <c r="I723" s="121">
        <v>0</v>
      </c>
    </row>
    <row r="724" spans="1:9" ht="51" hidden="1" x14ac:dyDescent="0.25">
      <c r="A724" s="182"/>
      <c r="B724" s="43" t="s">
        <v>10624</v>
      </c>
      <c r="C724" s="43" t="s">
        <v>2880</v>
      </c>
      <c r="D724" s="44">
        <f>ROUND(1*(D720+D722),4)</f>
        <v>1.4294</v>
      </c>
      <c r="E724" s="38">
        <v>8.5522277500000001</v>
      </c>
      <c r="F724" s="41">
        <f>IF(ISNUMBER(E724),E724*$D724,"")</f>
        <v>12.224554345850001</v>
      </c>
      <c r="G724" s="58"/>
      <c r="H724" s="59"/>
      <c r="I724" s="121">
        <v>0</v>
      </c>
    </row>
    <row r="725" spans="1:9" ht="38.25" hidden="1" x14ac:dyDescent="0.25">
      <c r="A725" s="182"/>
      <c r="B725" s="43" t="s">
        <v>10622</v>
      </c>
      <c r="C725" s="62" t="s">
        <v>10676</v>
      </c>
      <c r="D725" s="44">
        <f>ROUND((D720+D722)*20,4)</f>
        <v>28.588000000000001</v>
      </c>
      <c r="E725" s="38">
        <v>2.9193680499999997</v>
      </c>
      <c r="F725" s="41">
        <f>IF(ISNUMBER(E725),E725*$D725,"")</f>
        <v>83.458893813399996</v>
      </c>
      <c r="G725" s="58"/>
      <c r="H725" s="59"/>
      <c r="I725" s="121">
        <v>0</v>
      </c>
    </row>
    <row r="726" spans="1:9" hidden="1" x14ac:dyDescent="0.25">
      <c r="A726" s="182"/>
      <c r="B726" s="61"/>
      <c r="C726" s="130"/>
      <c r="D726" s="44"/>
      <c r="E726" s="38" t="s">
        <v>13</v>
      </c>
      <c r="F726" s="41" t="str">
        <f>IF(ISNUMBER(E726),E726*$D726,"")</f>
        <v/>
      </c>
      <c r="G726" s="58"/>
      <c r="H726" s="59"/>
      <c r="I726" s="121">
        <v>0</v>
      </c>
    </row>
    <row r="727" spans="1:9" ht="24.95" hidden="1" customHeight="1" x14ac:dyDescent="0.25">
      <c r="A727" s="182"/>
      <c r="B727" s="4" t="s">
        <v>78</v>
      </c>
      <c r="C727" s="130"/>
      <c r="D727" s="44"/>
      <c r="E727" s="38" t="s">
        <v>13</v>
      </c>
      <c r="F727" s="41" t="str">
        <f>IF(ISNUMBER(E727),E727*$D727,"")</f>
        <v/>
      </c>
      <c r="G727" s="58"/>
      <c r="H727" s="59"/>
      <c r="I727" s="121">
        <v>0</v>
      </c>
    </row>
    <row r="728" spans="1:9" ht="15.75" hidden="1" thickBot="1" x14ac:dyDescent="0.3">
      <c r="A728" s="183"/>
      <c r="B728" s="92"/>
      <c r="C728" s="129"/>
      <c r="D728" s="123"/>
      <c r="E728" s="51" t="s">
        <v>13</v>
      </c>
      <c r="F728" s="51" t="str">
        <f>IF(ISNUMBER(E728),E728*$D728,"")</f>
        <v/>
      </c>
      <c r="G728" s="53"/>
      <c r="H728" s="38"/>
      <c r="I728" s="121">
        <v>0</v>
      </c>
    </row>
    <row r="729" spans="1:9" ht="26.25" hidden="1" customHeight="1" thickBot="1" x14ac:dyDescent="0.3">
      <c r="A729" s="184" t="s">
        <v>10637</v>
      </c>
      <c r="B729" s="31" t="s">
        <v>13</v>
      </c>
      <c r="C729" s="32" t="s">
        <v>162</v>
      </c>
      <c r="D729" s="120"/>
      <c r="E729" s="54" t="s">
        <v>13</v>
      </c>
      <c r="F729" s="54" t="str">
        <f>IF(ISNUMBER(E729),E729*$D729,"")</f>
        <v/>
      </c>
      <c r="G729" s="35"/>
      <c r="H729" s="36"/>
      <c r="I729" s="121">
        <v>0</v>
      </c>
    </row>
    <row r="730" spans="1:9" hidden="1" x14ac:dyDescent="0.25">
      <c r="A730" s="182"/>
      <c r="B730" s="39" t="s">
        <v>13</v>
      </c>
      <c r="C730" s="128"/>
      <c r="D730" s="122"/>
      <c r="E730" s="55" t="s">
        <v>13</v>
      </c>
      <c r="F730" s="38" t="str">
        <f>IF(ISNUMBER(E730),E730*$D730,"")</f>
        <v/>
      </c>
      <c r="G730" s="42"/>
      <c r="H730" s="38"/>
      <c r="I730" s="121">
        <v>0</v>
      </c>
    </row>
    <row r="731" spans="1:9" hidden="1" x14ac:dyDescent="0.25">
      <c r="A731" s="182"/>
      <c r="B731" s="43" t="s">
        <v>10672</v>
      </c>
      <c r="C731" s="43" t="s">
        <v>70</v>
      </c>
      <c r="D731" s="44">
        <v>5.7500000000000002E-2</v>
      </c>
      <c r="E731" s="41">
        <v>17.081</v>
      </c>
      <c r="F731" s="41">
        <f>IF(ISNUMBER(E731),E731*$D731,"")</f>
        <v>0.98215750000000002</v>
      </c>
      <c r="G731" s="46">
        <f>SUM(F731:F733)</f>
        <v>12.255078849999999</v>
      </c>
      <c r="H731" s="59"/>
      <c r="I731" s="121">
        <v>0</v>
      </c>
    </row>
    <row r="732" spans="1:9" hidden="1" x14ac:dyDescent="0.25">
      <c r="A732" s="182"/>
      <c r="B732" s="43" t="s">
        <v>10673</v>
      </c>
      <c r="C732" s="43" t="s">
        <v>70</v>
      </c>
      <c r="D732" s="44">
        <v>0.1908</v>
      </c>
      <c r="E732" s="41">
        <v>48.221999999999994</v>
      </c>
      <c r="F732" s="41">
        <f>IF(ISNUMBER(E732),E732*$D732,"")</f>
        <v>9.2007575999999993</v>
      </c>
      <c r="G732" s="58"/>
      <c r="H732" s="59"/>
      <c r="I732" s="121">
        <v>0</v>
      </c>
    </row>
    <row r="733" spans="1:9" hidden="1" x14ac:dyDescent="0.25">
      <c r="A733" s="182"/>
      <c r="B733" s="43" t="s">
        <v>10674</v>
      </c>
      <c r="C733" s="43" t="s">
        <v>2800</v>
      </c>
      <c r="D733" s="44">
        <v>6.3500000000000001E-2</v>
      </c>
      <c r="E733" s="38">
        <v>32.6325</v>
      </c>
      <c r="F733" s="41">
        <f>IF(ISNUMBER(E733),E733*$D733,"")</f>
        <v>2.0721637500000001</v>
      </c>
      <c r="G733" s="58"/>
      <c r="H733" s="59"/>
      <c r="I733" s="121">
        <v>0</v>
      </c>
    </row>
    <row r="734" spans="1:9" ht="15.75" hidden="1" thickBot="1" x14ac:dyDescent="0.3">
      <c r="A734" s="183"/>
      <c r="B734" s="92"/>
      <c r="C734" s="129"/>
      <c r="D734" s="123"/>
      <c r="E734" s="51" t="s">
        <v>13</v>
      </c>
      <c r="F734" s="51" t="str">
        <f>IF(ISNUMBER(E734),E734*$D734,"")</f>
        <v/>
      </c>
      <c r="G734" s="53"/>
      <c r="H734" s="38"/>
      <c r="I734" s="121">
        <v>0</v>
      </c>
    </row>
    <row r="735" spans="1:9" ht="26.25" hidden="1" customHeight="1" thickBot="1" x14ac:dyDescent="0.3">
      <c r="A735" s="184" t="s">
        <v>10741</v>
      </c>
      <c r="B735" s="31" t="s">
        <v>13</v>
      </c>
      <c r="C735" s="32" t="s">
        <v>162</v>
      </c>
      <c r="D735" s="120"/>
      <c r="E735" s="54" t="s">
        <v>13</v>
      </c>
      <c r="F735" s="54" t="str">
        <f>IF(ISNUMBER(E735),E735*$D735,"")</f>
        <v/>
      </c>
      <c r="G735" s="35"/>
      <c r="H735" s="36"/>
      <c r="I735" s="121">
        <v>0</v>
      </c>
    </row>
    <row r="736" spans="1:9" hidden="1" x14ac:dyDescent="0.25">
      <c r="A736" s="182"/>
      <c r="B736" s="39" t="s">
        <v>13</v>
      </c>
      <c r="C736" s="128"/>
      <c r="D736" s="122"/>
      <c r="E736" s="55" t="s">
        <v>13</v>
      </c>
      <c r="F736" s="38" t="str">
        <f>IF(ISNUMBER(E736),E736*$D736,"")</f>
        <v/>
      </c>
      <c r="G736" s="42"/>
      <c r="H736" s="38"/>
      <c r="I736" s="121">
        <v>0</v>
      </c>
    </row>
    <row r="737" spans="1:9" hidden="1" x14ac:dyDescent="0.25">
      <c r="A737" s="182"/>
      <c r="B737" s="43" t="s">
        <v>10672</v>
      </c>
      <c r="C737" s="43" t="s">
        <v>70</v>
      </c>
      <c r="D737" s="44">
        <v>5.8400000000000001E-2</v>
      </c>
      <c r="E737" s="41">
        <v>17.081</v>
      </c>
      <c r="F737" s="41">
        <f>IF(ISNUMBER(E737),E737*$D737,"")</f>
        <v>0.99753039999999993</v>
      </c>
      <c r="G737" s="46">
        <f>SUM(F737:F739)</f>
        <v>12.051606899999999</v>
      </c>
      <c r="H737" s="59"/>
      <c r="I737" s="121">
        <v>0</v>
      </c>
    </row>
    <row r="738" spans="1:9" hidden="1" x14ac:dyDescent="0.25">
      <c r="A738" s="182"/>
      <c r="B738" s="43" t="s">
        <v>10796</v>
      </c>
      <c r="C738" s="43" t="s">
        <v>70</v>
      </c>
      <c r="D738" s="44">
        <v>0.19450000000000001</v>
      </c>
      <c r="E738" s="41">
        <v>46.179499999999997</v>
      </c>
      <c r="F738" s="41">
        <f>IF(ISNUMBER(E738),E738*$D738,"")</f>
        <v>8.9819127499999993</v>
      </c>
      <c r="G738" s="58"/>
      <c r="H738" s="59"/>
      <c r="I738" s="121">
        <v>0</v>
      </c>
    </row>
    <row r="739" spans="1:9" hidden="1" x14ac:dyDescent="0.25">
      <c r="A739" s="182"/>
      <c r="B739" s="43" t="s">
        <v>10674</v>
      </c>
      <c r="C739" s="43" t="s">
        <v>2800</v>
      </c>
      <c r="D739" s="44">
        <v>6.3500000000000001E-2</v>
      </c>
      <c r="E739" s="38">
        <v>32.6325</v>
      </c>
      <c r="F739" s="41">
        <f>IF(ISNUMBER(E739),E739*$D739,"")</f>
        <v>2.0721637500000001</v>
      </c>
      <c r="G739" s="58"/>
      <c r="H739" s="59"/>
      <c r="I739" s="121">
        <v>0</v>
      </c>
    </row>
    <row r="740" spans="1:9" ht="15.75" hidden="1" thickBot="1" x14ac:dyDescent="0.3">
      <c r="A740" s="183"/>
      <c r="B740" s="92"/>
      <c r="C740" s="129"/>
      <c r="D740" s="123"/>
      <c r="E740" s="51" t="s">
        <v>13</v>
      </c>
      <c r="F740" s="51" t="str">
        <f>IF(ISNUMBER(E740),E740*$D740,"")</f>
        <v/>
      </c>
      <c r="G740" s="53"/>
      <c r="H740" s="38"/>
      <c r="I740" s="121">
        <v>0</v>
      </c>
    </row>
    <row r="741" spans="1:9" ht="26.25" hidden="1" customHeight="1" thickBot="1" x14ac:dyDescent="0.3">
      <c r="A741" s="184" t="s">
        <v>10742</v>
      </c>
      <c r="B741" s="31" t="s">
        <v>13</v>
      </c>
      <c r="C741" s="32" t="s">
        <v>162</v>
      </c>
      <c r="D741" s="120"/>
      <c r="E741" s="54" t="s">
        <v>13</v>
      </c>
      <c r="F741" s="54" t="str">
        <f>IF(ISNUMBER(E741),E741*$D741,"")</f>
        <v/>
      </c>
      <c r="G741" s="35"/>
      <c r="H741" s="36"/>
      <c r="I741" s="121">
        <v>0</v>
      </c>
    </row>
    <row r="742" spans="1:9" hidden="1" x14ac:dyDescent="0.25">
      <c r="A742" s="182"/>
      <c r="B742" s="39" t="s">
        <v>13</v>
      </c>
      <c r="C742" s="128"/>
      <c r="D742" s="122"/>
      <c r="E742" s="55" t="s">
        <v>13</v>
      </c>
      <c r="F742" s="38" t="str">
        <f>IF(ISNUMBER(E742),E742*$D742,"")</f>
        <v/>
      </c>
      <c r="G742" s="42"/>
      <c r="H742" s="38"/>
      <c r="I742" s="121">
        <v>0</v>
      </c>
    </row>
    <row r="743" spans="1:9" ht="38.25" hidden="1" x14ac:dyDescent="0.25">
      <c r="A743" s="182"/>
      <c r="B743" s="43" t="s">
        <v>10797</v>
      </c>
      <c r="C743" s="43" t="s">
        <v>10819</v>
      </c>
      <c r="D743" s="44">
        <v>1.27</v>
      </c>
      <c r="E743" s="41">
        <v>0.26600000000000001</v>
      </c>
      <c r="F743" s="41">
        <f>IF(ISNUMBER(E743),E743*$D743,"")</f>
        <v>0.33782000000000001</v>
      </c>
      <c r="G743" s="46">
        <f>SUM(F743:F749)</f>
        <v>38.975509400000007</v>
      </c>
      <c r="H743" s="59"/>
      <c r="I743" s="121">
        <v>0</v>
      </c>
    </row>
    <row r="744" spans="1:9" ht="25.5" hidden="1" x14ac:dyDescent="0.25">
      <c r="A744" s="182"/>
      <c r="B744" s="43" t="s">
        <v>10798</v>
      </c>
      <c r="C744" s="43" t="s">
        <v>83</v>
      </c>
      <c r="D744" s="44">
        <v>1.27</v>
      </c>
      <c r="E744" s="41">
        <v>4.0089999999999995</v>
      </c>
      <c r="F744" s="41">
        <f>IF(ISNUMBER(E744),E744*$D744,"")</f>
        <v>5.091429999999999</v>
      </c>
      <c r="G744" s="58"/>
      <c r="H744" s="59"/>
      <c r="I744" s="121">
        <v>0</v>
      </c>
    </row>
    <row r="745" spans="1:9" ht="25.5" hidden="1" x14ac:dyDescent="0.25">
      <c r="A745" s="182"/>
      <c r="B745" s="43" t="s">
        <v>10799</v>
      </c>
      <c r="C745" s="43" t="s">
        <v>162</v>
      </c>
      <c r="D745" s="44">
        <v>1.2749999999999999</v>
      </c>
      <c r="E745" s="38">
        <v>20.539000000000001</v>
      </c>
      <c r="F745" s="41">
        <f>IF(ISNUMBER(E745),E745*$D745,"")</f>
        <v>26.187225000000002</v>
      </c>
      <c r="G745" s="58"/>
      <c r="H745" s="59"/>
      <c r="I745" s="121">
        <v>0</v>
      </c>
    </row>
    <row r="746" spans="1:9" hidden="1" x14ac:dyDescent="0.25">
      <c r="A746" s="182"/>
      <c r="B746" s="43" t="s">
        <v>10614</v>
      </c>
      <c r="C746" s="43" t="s">
        <v>2800</v>
      </c>
      <c r="D746" s="44">
        <v>0.15</v>
      </c>
      <c r="E746" s="38">
        <v>23.693000000000001</v>
      </c>
      <c r="F746" s="41">
        <f>IF(ISNUMBER(E746),E746*$D746,"")</f>
        <v>3.5539499999999999</v>
      </c>
      <c r="G746" s="58"/>
      <c r="H746" s="59"/>
      <c r="I746" s="121">
        <v>0</v>
      </c>
    </row>
    <row r="747" spans="1:9" hidden="1" x14ac:dyDescent="0.25">
      <c r="A747" s="182"/>
      <c r="B747" s="43" t="s">
        <v>10800</v>
      </c>
      <c r="C747" s="43" t="s">
        <v>2800</v>
      </c>
      <c r="D747" s="44">
        <v>0.115</v>
      </c>
      <c r="E747" s="38">
        <v>30.343</v>
      </c>
      <c r="F747" s="41">
        <f>IF(ISNUMBER(E747),E747*$D747,"")</f>
        <v>3.4894450000000004</v>
      </c>
      <c r="G747" s="58"/>
      <c r="H747" s="59"/>
      <c r="I747" s="121">
        <v>0</v>
      </c>
    </row>
    <row r="748" spans="1:9" ht="25.5" hidden="1" x14ac:dyDescent="0.25">
      <c r="A748" s="182"/>
      <c r="B748" s="43" t="s">
        <v>10801</v>
      </c>
      <c r="C748" s="43" t="s">
        <v>1050</v>
      </c>
      <c r="D748" s="44">
        <v>5.0000000000000001E-3</v>
      </c>
      <c r="E748" s="38">
        <v>26.970499999999998</v>
      </c>
      <c r="F748" s="41">
        <f>IF(ISNUMBER(E748),E748*$D748,"")</f>
        <v>0.13485249999999999</v>
      </c>
      <c r="G748" s="58"/>
      <c r="H748" s="59"/>
      <c r="I748" s="121">
        <v>0</v>
      </c>
    </row>
    <row r="749" spans="1:9" ht="25.5" hidden="1" x14ac:dyDescent="0.25">
      <c r="A749" s="182"/>
      <c r="B749" s="43" t="s">
        <v>10802</v>
      </c>
      <c r="C749" s="43" t="s">
        <v>10677</v>
      </c>
      <c r="D749" s="44">
        <v>6.8999999999999999E-3</v>
      </c>
      <c r="E749" s="38">
        <v>26.200999999999997</v>
      </c>
      <c r="F749" s="41">
        <f>IF(ISNUMBER(E749),E749*$D749,"")</f>
        <v>0.18078689999999997</v>
      </c>
      <c r="G749" s="58"/>
      <c r="H749" s="59"/>
      <c r="I749" s="121">
        <v>0</v>
      </c>
    </row>
    <row r="750" spans="1:9" ht="15.75" hidden="1" thickBot="1" x14ac:dyDescent="0.3">
      <c r="A750" s="183"/>
      <c r="B750" s="92"/>
      <c r="C750" s="129"/>
      <c r="D750" s="123"/>
      <c r="E750" s="51" t="s">
        <v>13</v>
      </c>
      <c r="F750" s="51" t="str">
        <f>IF(ISNUMBER(E750),E750*$D750,"")</f>
        <v/>
      </c>
      <c r="G750" s="53"/>
      <c r="H750" s="38"/>
      <c r="I750" s="121">
        <v>0</v>
      </c>
    </row>
    <row r="751" spans="1:9" ht="26.25" hidden="1" customHeight="1" thickBot="1" x14ac:dyDescent="0.3">
      <c r="A751" s="184" t="s">
        <v>10743</v>
      </c>
      <c r="B751" s="31" t="s">
        <v>13</v>
      </c>
      <c r="C751" s="32" t="s">
        <v>1302</v>
      </c>
      <c r="D751" s="120"/>
      <c r="E751" s="54" t="s">
        <v>13</v>
      </c>
      <c r="F751" s="54" t="str">
        <f>IF(ISNUMBER(E751),E751*$D751,"")</f>
        <v/>
      </c>
      <c r="G751" s="35"/>
      <c r="H751" s="36"/>
      <c r="I751" s="121">
        <v>0</v>
      </c>
    </row>
    <row r="752" spans="1:9" hidden="1" x14ac:dyDescent="0.25">
      <c r="A752" s="182"/>
      <c r="B752" s="39" t="s">
        <v>13</v>
      </c>
      <c r="C752" s="128"/>
      <c r="D752" s="122"/>
      <c r="E752" s="55" t="s">
        <v>13</v>
      </c>
      <c r="F752" s="38" t="str">
        <f>IF(ISNUMBER(E752),E752*$D752,"")</f>
        <v/>
      </c>
      <c r="G752" s="42"/>
      <c r="H752" s="38"/>
      <c r="I752" s="121">
        <v>0</v>
      </c>
    </row>
    <row r="753" spans="1:9" ht="25.5" hidden="1" x14ac:dyDescent="0.25">
      <c r="A753" s="182"/>
      <c r="B753" s="43" t="s">
        <v>10803</v>
      </c>
      <c r="C753" s="43" t="s">
        <v>10820</v>
      </c>
      <c r="D753" s="44">
        <v>0.161</v>
      </c>
      <c r="E753" s="41">
        <v>42.597999999999999</v>
      </c>
      <c r="F753" s="41">
        <f>IF(ISNUMBER(E753),E753*$D753,"")</f>
        <v>6.8582780000000003</v>
      </c>
      <c r="G753" s="46">
        <f>SUM(F753:F761)</f>
        <v>164.34030525</v>
      </c>
      <c r="H753" s="59"/>
      <c r="I753" s="121">
        <v>0</v>
      </c>
    </row>
    <row r="754" spans="1:9" hidden="1" x14ac:dyDescent="0.25">
      <c r="A754" s="182"/>
      <c r="B754" s="43" t="s">
        <v>10618</v>
      </c>
      <c r="C754" s="43" t="s">
        <v>1044</v>
      </c>
      <c r="D754" s="44">
        <v>2.5000000000000001E-2</v>
      </c>
      <c r="E754" s="41">
        <v>18.087999999999997</v>
      </c>
      <c r="F754" s="41">
        <f>IF(ISNUMBER(E754),E754*$D754,"")</f>
        <v>0.45219999999999994</v>
      </c>
      <c r="G754" s="58"/>
      <c r="H754" s="59"/>
      <c r="I754" s="121">
        <v>0</v>
      </c>
    </row>
    <row r="755" spans="1:9" ht="25.5" hidden="1" x14ac:dyDescent="0.25">
      <c r="A755" s="182"/>
      <c r="B755" s="43" t="s">
        <v>10804</v>
      </c>
      <c r="C755" s="43" t="s">
        <v>1044</v>
      </c>
      <c r="D755" s="44">
        <v>4.8999999999999998E-3</v>
      </c>
      <c r="E755" s="38">
        <v>66.851500000000001</v>
      </c>
      <c r="F755" s="41">
        <f>IF(ISNUMBER(E755),E755*$D755,"")</f>
        <v>0.32757235000000001</v>
      </c>
      <c r="G755" s="58"/>
      <c r="H755" s="59"/>
      <c r="I755" s="121">
        <v>0</v>
      </c>
    </row>
    <row r="756" spans="1:9" hidden="1" x14ac:dyDescent="0.25">
      <c r="A756" s="182"/>
      <c r="B756" s="43" t="s">
        <v>10805</v>
      </c>
      <c r="C756" s="43" t="s">
        <v>1044</v>
      </c>
      <c r="D756" s="44">
        <v>0.18</v>
      </c>
      <c r="E756" s="38">
        <v>203.41399999999999</v>
      </c>
      <c r="F756" s="41">
        <f>IF(ISNUMBER(E756),E756*$D756,"")</f>
        <v>36.614519999999999</v>
      </c>
      <c r="G756" s="58"/>
      <c r="H756" s="59"/>
      <c r="I756" s="121">
        <v>0</v>
      </c>
    </row>
    <row r="757" spans="1:9" ht="25.5" hidden="1" x14ac:dyDescent="0.25">
      <c r="A757" s="182"/>
      <c r="B757" s="43" t="s">
        <v>10806</v>
      </c>
      <c r="C757" s="43" t="s">
        <v>1302</v>
      </c>
      <c r="D757" s="44">
        <v>1.05</v>
      </c>
      <c r="E757" s="38">
        <v>83.713999999999999</v>
      </c>
      <c r="F757" s="41">
        <f>IF(ISNUMBER(E757),E757*$D757,"")</f>
        <v>87.899699999999996</v>
      </c>
      <c r="G757" s="58"/>
      <c r="H757" s="59"/>
      <c r="I757" s="121">
        <v>0</v>
      </c>
    </row>
    <row r="758" spans="1:9" hidden="1" x14ac:dyDescent="0.25">
      <c r="A758" s="182"/>
      <c r="B758" s="43" t="s">
        <v>10614</v>
      </c>
      <c r="C758" s="43" t="s">
        <v>2800</v>
      </c>
      <c r="D758" s="44">
        <v>0.63300000000000001</v>
      </c>
      <c r="E758" s="38">
        <v>23.693000000000001</v>
      </c>
      <c r="F758" s="41">
        <f>IF(ISNUMBER(E758),E758*$D758,"")</f>
        <v>14.997669000000002</v>
      </c>
      <c r="G758" s="58"/>
      <c r="H758" s="59"/>
      <c r="I758" s="121">
        <v>0</v>
      </c>
    </row>
    <row r="759" spans="1:9" hidden="1" x14ac:dyDescent="0.25">
      <c r="A759" s="182"/>
      <c r="B759" s="43" t="s">
        <v>10800</v>
      </c>
      <c r="C759" s="43" t="s">
        <v>2800</v>
      </c>
      <c r="D759" s="44">
        <v>0.53900000000000003</v>
      </c>
      <c r="E759" s="38">
        <v>30.343</v>
      </c>
      <c r="F759" s="41">
        <f>IF(ISNUMBER(E759),E759*$D759,"")</f>
        <v>16.354877000000002</v>
      </c>
      <c r="G759" s="58"/>
      <c r="H759" s="59"/>
      <c r="I759" s="121">
        <v>0</v>
      </c>
    </row>
    <row r="760" spans="1:9" ht="25.5" hidden="1" x14ac:dyDescent="0.25">
      <c r="A760" s="182"/>
      <c r="B760" s="43" t="s">
        <v>10801</v>
      </c>
      <c r="C760" s="43" t="s">
        <v>1050</v>
      </c>
      <c r="D760" s="44">
        <v>1.32E-2</v>
      </c>
      <c r="E760" s="38">
        <v>26.970499999999998</v>
      </c>
      <c r="F760" s="41">
        <f>IF(ISNUMBER(E760),E760*$D760,"")</f>
        <v>0.35601059999999995</v>
      </c>
      <c r="G760" s="58"/>
      <c r="H760" s="59"/>
      <c r="I760" s="121">
        <v>0</v>
      </c>
    </row>
    <row r="761" spans="1:9" ht="25.5" hidden="1" x14ac:dyDescent="0.25">
      <c r="A761" s="182"/>
      <c r="B761" s="43" t="s">
        <v>10802</v>
      </c>
      <c r="C761" s="43" t="s">
        <v>10677</v>
      </c>
      <c r="D761" s="44">
        <v>1.83E-2</v>
      </c>
      <c r="E761" s="38">
        <v>26.200999999999997</v>
      </c>
      <c r="F761" s="41">
        <f>IF(ISNUMBER(E761),E761*$D761,"")</f>
        <v>0.47947829999999997</v>
      </c>
      <c r="G761" s="58"/>
      <c r="H761" s="59"/>
      <c r="I761" s="121">
        <v>0</v>
      </c>
    </row>
    <row r="762" spans="1:9" ht="15.75" hidden="1" thickBot="1" x14ac:dyDescent="0.3">
      <c r="A762" s="183"/>
      <c r="B762" s="92"/>
      <c r="C762" s="129"/>
      <c r="D762" s="123"/>
      <c r="E762" s="51" t="s">
        <v>13</v>
      </c>
      <c r="F762" s="51" t="str">
        <f>IF(ISNUMBER(E762),E762*$D762,"")</f>
        <v/>
      </c>
      <c r="G762" s="53"/>
      <c r="H762" s="38"/>
      <c r="I762" s="121">
        <v>0</v>
      </c>
    </row>
    <row r="763" spans="1:9" ht="15.75" hidden="1" thickBot="1" x14ac:dyDescent="0.3">
      <c r="A763" s="184" t="s">
        <v>10744</v>
      </c>
      <c r="B763" s="31" t="s">
        <v>13</v>
      </c>
      <c r="C763" s="32" t="s">
        <v>1302</v>
      </c>
      <c r="D763" s="120"/>
      <c r="E763" s="54" t="s">
        <v>13</v>
      </c>
      <c r="F763" s="54" t="str">
        <f>IF(ISNUMBER(E763),E763*$D763,"")</f>
        <v/>
      </c>
      <c r="G763" s="35"/>
      <c r="H763" s="36"/>
      <c r="I763" s="121">
        <v>0</v>
      </c>
    </row>
    <row r="764" spans="1:9" hidden="1" x14ac:dyDescent="0.25">
      <c r="A764" s="182"/>
      <c r="B764" s="39" t="s">
        <v>13</v>
      </c>
      <c r="C764" s="39"/>
      <c r="D764" s="122"/>
      <c r="E764" s="55" t="s">
        <v>13</v>
      </c>
      <c r="F764" s="38" t="str">
        <f>IF(ISNUMBER(E764),E764*$D764,"")</f>
        <v/>
      </c>
      <c r="G764" s="42"/>
      <c r="H764" s="38"/>
      <c r="I764" s="121">
        <v>0</v>
      </c>
    </row>
    <row r="765" spans="1:9" hidden="1" x14ac:dyDescent="0.25">
      <c r="A765" s="182"/>
      <c r="B765" s="43" t="s">
        <v>10807</v>
      </c>
      <c r="C765" s="43" t="s">
        <v>1044</v>
      </c>
      <c r="D765" s="44">
        <v>0.59</v>
      </c>
      <c r="E765" s="41">
        <v>43.813999999999993</v>
      </c>
      <c r="F765" s="41">
        <f>IF(ISNUMBER(E765),E765*$D765,"")</f>
        <v>25.850259999999995</v>
      </c>
      <c r="G765" s="46">
        <f>SUM(F765:F766)</f>
        <v>75.349059999999994</v>
      </c>
      <c r="H765" s="59"/>
      <c r="I765" s="121">
        <v>0</v>
      </c>
    </row>
    <row r="766" spans="1:9" hidden="1" x14ac:dyDescent="0.25">
      <c r="A766" s="182"/>
      <c r="B766" s="43" t="s">
        <v>10808</v>
      </c>
      <c r="C766" s="43" t="s">
        <v>2800</v>
      </c>
      <c r="D766" s="44">
        <v>1.56</v>
      </c>
      <c r="E766" s="41">
        <v>31.729999999999997</v>
      </c>
      <c r="F766" s="41">
        <f>IF(ISNUMBER(E766),E766*$D766,"")</f>
        <v>49.498799999999996</v>
      </c>
      <c r="G766" s="58"/>
      <c r="H766" s="59"/>
      <c r="I766" s="121">
        <v>0</v>
      </c>
    </row>
    <row r="767" spans="1:9" ht="15.75" hidden="1" thickBot="1" x14ac:dyDescent="0.3">
      <c r="A767" s="183"/>
      <c r="B767" s="49" t="s">
        <v>13</v>
      </c>
      <c r="C767" s="49"/>
      <c r="D767" s="123"/>
      <c r="E767" s="51" t="s">
        <v>13</v>
      </c>
      <c r="F767" s="51" t="str">
        <f>IF(ISNUMBER(E767),E767*$D767,"")</f>
        <v/>
      </c>
      <c r="G767" s="53"/>
      <c r="H767" s="38"/>
      <c r="I767" s="121">
        <v>0</v>
      </c>
    </row>
    <row r="768" spans="1:9" ht="15.75" hidden="1" thickBot="1" x14ac:dyDescent="0.3">
      <c r="A768" s="184" t="s">
        <v>10745</v>
      </c>
      <c r="B768" s="31" t="s">
        <v>13</v>
      </c>
      <c r="C768" s="32" t="s">
        <v>162</v>
      </c>
      <c r="D768" s="120"/>
      <c r="E768" s="54" t="s">
        <v>13</v>
      </c>
      <c r="F768" s="54" t="str">
        <f>IF(ISNUMBER(E768),E768*$D768,"")</f>
        <v/>
      </c>
      <c r="G768" s="35"/>
      <c r="H768" s="36"/>
      <c r="I768" s="121">
        <v>0</v>
      </c>
    </row>
    <row r="769" spans="1:9" hidden="1" x14ac:dyDescent="0.25">
      <c r="A769" s="182"/>
      <c r="B769" s="39" t="s">
        <v>13</v>
      </c>
      <c r="C769" s="39"/>
      <c r="D769" s="122"/>
      <c r="E769" s="55" t="s">
        <v>13</v>
      </c>
      <c r="F769" s="38" t="str">
        <f>IF(ISNUMBER(E769),E769*$D769,"")</f>
        <v/>
      </c>
      <c r="G769" s="42"/>
      <c r="H769" s="38"/>
      <c r="I769" s="121">
        <v>0</v>
      </c>
    </row>
    <row r="770" spans="1:9" hidden="1" x14ac:dyDescent="0.25">
      <c r="A770" s="182"/>
      <c r="B770" s="43" t="s">
        <v>10809</v>
      </c>
      <c r="C770" s="43" t="s">
        <v>83</v>
      </c>
      <c r="D770" s="44">
        <v>0.3</v>
      </c>
      <c r="E770" s="41">
        <v>3.61</v>
      </c>
      <c r="F770" s="41">
        <f>IF(ISNUMBER(E770),E770*$D770,"")</f>
        <v>1.083</v>
      </c>
      <c r="G770" s="46">
        <f>SUM(F770:F771)</f>
        <v>10.827064499999999</v>
      </c>
      <c r="H770" s="59"/>
      <c r="I770" s="121">
        <v>0</v>
      </c>
    </row>
    <row r="771" spans="1:9" hidden="1" x14ac:dyDescent="0.25">
      <c r="A771" s="182"/>
      <c r="B771" s="43" t="s">
        <v>10674</v>
      </c>
      <c r="C771" s="43" t="s">
        <v>2800</v>
      </c>
      <c r="D771" s="44">
        <v>0.29859999999999998</v>
      </c>
      <c r="E771" s="41">
        <v>32.6325</v>
      </c>
      <c r="F771" s="41">
        <f>IF(ISNUMBER(E771),E771*$D771,"")</f>
        <v>9.7440644999999986</v>
      </c>
      <c r="G771" s="58"/>
      <c r="H771" s="59"/>
      <c r="I771" s="121">
        <v>0</v>
      </c>
    </row>
    <row r="772" spans="1:9" ht="15.75" hidden="1" thickBot="1" x14ac:dyDescent="0.3">
      <c r="A772" s="183"/>
      <c r="B772" s="49" t="s">
        <v>13</v>
      </c>
      <c r="C772" s="49"/>
      <c r="D772" s="123"/>
      <c r="E772" s="51" t="s">
        <v>13</v>
      </c>
      <c r="F772" s="51" t="str">
        <f>IF(ISNUMBER(E772),E772*$D772,"")</f>
        <v/>
      </c>
      <c r="G772" s="53"/>
      <c r="H772" s="38"/>
      <c r="I772" s="121">
        <v>0</v>
      </c>
    </row>
    <row r="773" spans="1:9" ht="26.25" hidden="1" customHeight="1" thickBot="1" x14ac:dyDescent="0.3">
      <c r="A773" s="184" t="s">
        <v>10746</v>
      </c>
      <c r="B773" s="31" t="s">
        <v>13</v>
      </c>
      <c r="C773" s="32" t="s">
        <v>2880</v>
      </c>
      <c r="D773" s="120"/>
      <c r="E773" s="54" t="s">
        <v>13</v>
      </c>
      <c r="F773" s="54" t="str">
        <f>IF(ISNUMBER(E773),E773*$D773,"")</f>
        <v/>
      </c>
      <c r="G773" s="35"/>
      <c r="H773" s="36"/>
      <c r="I773" s="121">
        <v>0</v>
      </c>
    </row>
    <row r="774" spans="1:9" hidden="1" x14ac:dyDescent="0.25">
      <c r="A774" s="182"/>
      <c r="B774" s="39" t="s">
        <v>13</v>
      </c>
      <c r="C774" s="128"/>
      <c r="D774" s="122"/>
      <c r="E774" s="55" t="s">
        <v>13</v>
      </c>
      <c r="F774" s="38" t="str">
        <f>IF(ISNUMBER(E774),E774*$D774,"")</f>
        <v/>
      </c>
      <c r="G774" s="42"/>
      <c r="H774" s="38"/>
      <c r="I774" s="121">
        <v>0</v>
      </c>
    </row>
    <row r="775" spans="1:9" ht="38.25" hidden="1" x14ac:dyDescent="0.25">
      <c r="A775" s="182"/>
      <c r="B775" s="43" t="s">
        <v>10675</v>
      </c>
      <c r="C775" s="43" t="s">
        <v>162</v>
      </c>
      <c r="D775" s="44">
        <v>0.75829999999999997</v>
      </c>
      <c r="E775" s="41">
        <v>36.755499999999998</v>
      </c>
      <c r="F775" s="41">
        <f>IF(ISNUMBER(E775),E775*$D775,"")</f>
        <v>27.871695649999996</v>
      </c>
      <c r="G775" s="46">
        <f>SUM(F775:F789)</f>
        <v>1670.6946504951247</v>
      </c>
      <c r="H775" s="59"/>
      <c r="I775" s="121">
        <v>0</v>
      </c>
    </row>
    <row r="776" spans="1:9" ht="25.5" hidden="1" x14ac:dyDescent="0.25">
      <c r="A776" s="182"/>
      <c r="B776" s="43" t="s">
        <v>10775</v>
      </c>
      <c r="C776" s="43" t="s">
        <v>70</v>
      </c>
      <c r="D776" s="44">
        <v>3.3399999999999999E-2</v>
      </c>
      <c r="E776" s="41">
        <v>8.5310000000000006</v>
      </c>
      <c r="F776" s="41">
        <f>IF(ISNUMBER(E776),E776*$D776,"")</f>
        <v>0.28493540000000001</v>
      </c>
      <c r="G776" s="58"/>
      <c r="H776" s="59"/>
      <c r="I776" s="121">
        <v>0</v>
      </c>
    </row>
    <row r="777" spans="1:9" ht="25.5" hidden="1" x14ac:dyDescent="0.25">
      <c r="A777" s="182"/>
      <c r="B777" s="43" t="s">
        <v>10652</v>
      </c>
      <c r="C777" s="43" t="s">
        <v>1302</v>
      </c>
      <c r="D777" s="44">
        <v>2.8315999999999999</v>
      </c>
      <c r="E777" s="38">
        <v>2.5554999999999999</v>
      </c>
      <c r="F777" s="41">
        <f>IF(ISNUMBER(E777),E777*$D777,"")</f>
        <v>7.2361537999999994</v>
      </c>
      <c r="G777" s="58"/>
      <c r="H777" s="59"/>
      <c r="I777" s="121">
        <v>0</v>
      </c>
    </row>
    <row r="778" spans="1:9" hidden="1" x14ac:dyDescent="0.25">
      <c r="A778" s="182"/>
      <c r="B778" s="43" t="s">
        <v>10780</v>
      </c>
      <c r="C778" s="43" t="s">
        <v>1044</v>
      </c>
      <c r="D778" s="44">
        <v>6.0100000000000001E-2</v>
      </c>
      <c r="E778" s="38">
        <v>20.367999999999999</v>
      </c>
      <c r="F778" s="41">
        <f>IF(ISNUMBER(E778),E778*$D778,"")</f>
        <v>1.2241168</v>
      </c>
      <c r="G778" s="58"/>
      <c r="H778" s="59"/>
      <c r="I778" s="121">
        <v>0</v>
      </c>
    </row>
    <row r="779" spans="1:9" hidden="1" x14ac:dyDescent="0.25">
      <c r="A779" s="182"/>
      <c r="B779" s="43" t="s">
        <v>10810</v>
      </c>
      <c r="C779" s="43" t="s">
        <v>2880</v>
      </c>
      <c r="D779" s="44">
        <v>0.18540000000000001</v>
      </c>
      <c r="E779" s="38">
        <v>417.92399999999998</v>
      </c>
      <c r="F779" s="41">
        <f>IF(ISNUMBER(E779),E779*$D779,"")</f>
        <v>77.483109600000006</v>
      </c>
      <c r="G779" s="58"/>
      <c r="H779" s="59"/>
      <c r="I779" s="121">
        <v>0</v>
      </c>
    </row>
    <row r="780" spans="1:9" hidden="1" x14ac:dyDescent="0.25">
      <c r="A780" s="182"/>
      <c r="B780" s="43" t="s">
        <v>10655</v>
      </c>
      <c r="C780" s="43" t="s">
        <v>2800</v>
      </c>
      <c r="D780" s="44">
        <v>0.1865</v>
      </c>
      <c r="E780" s="38">
        <v>24.358000000000001</v>
      </c>
      <c r="F780" s="41">
        <f>IF(ISNUMBER(E780),E780*$D780,"")</f>
        <v>4.5427670000000004</v>
      </c>
      <c r="G780" s="58"/>
      <c r="H780" s="59"/>
      <c r="I780" s="121">
        <v>0</v>
      </c>
    </row>
    <row r="781" spans="1:9" ht="25.5" hidden="1" x14ac:dyDescent="0.25">
      <c r="A781" s="182"/>
      <c r="B781" s="43" t="s">
        <v>10774</v>
      </c>
      <c r="C781" s="43" t="s">
        <v>2800</v>
      </c>
      <c r="D781" s="44">
        <v>0.93259999999999998</v>
      </c>
      <c r="E781" s="38">
        <v>29.383499999999998</v>
      </c>
      <c r="F781" s="41">
        <f>IF(ISNUMBER(E781),E781*$D781,"")</f>
        <v>27.403052099999996</v>
      </c>
      <c r="G781" s="58"/>
      <c r="H781" s="59"/>
      <c r="I781" s="121">
        <v>0</v>
      </c>
    </row>
    <row r="782" spans="1:9" hidden="1" x14ac:dyDescent="0.25">
      <c r="A782" s="182"/>
      <c r="B782" s="43" t="s">
        <v>10757</v>
      </c>
      <c r="C782" s="43" t="s">
        <v>2800</v>
      </c>
      <c r="D782" s="44">
        <v>6.3167999999999997</v>
      </c>
      <c r="E782" s="38">
        <v>31.055499999999995</v>
      </c>
      <c r="F782" s="41">
        <f>IF(ISNUMBER(E782),E782*$D782,"")</f>
        <v>196.17138239999997</v>
      </c>
      <c r="G782" s="58"/>
      <c r="H782" s="59"/>
      <c r="I782" s="121">
        <v>0</v>
      </c>
    </row>
    <row r="783" spans="1:9" hidden="1" x14ac:dyDescent="0.25">
      <c r="A783" s="182"/>
      <c r="B783" s="43" t="s">
        <v>10614</v>
      </c>
      <c r="C783" s="43" t="s">
        <v>2800</v>
      </c>
      <c r="D783" s="44">
        <v>6.3167999999999997</v>
      </c>
      <c r="E783" s="38">
        <v>23.693000000000001</v>
      </c>
      <c r="F783" s="41">
        <f t="shared" ref="F783:F798" si="0">IF(ISNUMBER(E783),E783*$D783,"")</f>
        <v>149.6639424</v>
      </c>
      <c r="G783" s="58"/>
      <c r="H783" s="59"/>
      <c r="I783" s="121">
        <v>0</v>
      </c>
    </row>
    <row r="784" spans="1:9" ht="25.5" hidden="1" x14ac:dyDescent="0.25">
      <c r="A784" s="182"/>
      <c r="B784" s="43" t="s">
        <v>10769</v>
      </c>
      <c r="C784" s="43" t="s">
        <v>1050</v>
      </c>
      <c r="D784" s="44">
        <v>0.76319999999999999</v>
      </c>
      <c r="E784" s="38">
        <v>1.2255</v>
      </c>
      <c r="F784" s="41">
        <f t="shared" si="0"/>
        <v>0.93530160000000007</v>
      </c>
      <c r="G784" s="58"/>
      <c r="H784" s="59"/>
      <c r="I784" s="121">
        <v>0</v>
      </c>
    </row>
    <row r="785" spans="1:9" ht="25.5" hidden="1" x14ac:dyDescent="0.25">
      <c r="A785" s="182"/>
      <c r="B785" s="43" t="s">
        <v>10770</v>
      </c>
      <c r="C785" s="43" t="s">
        <v>10677</v>
      </c>
      <c r="D785" s="44">
        <v>2.081</v>
      </c>
      <c r="E785" s="38">
        <v>0.53200000000000003</v>
      </c>
      <c r="F785" s="41">
        <f t="shared" si="0"/>
        <v>1.107092</v>
      </c>
      <c r="G785" s="58"/>
      <c r="H785" s="59"/>
      <c r="I785" s="121">
        <v>0</v>
      </c>
    </row>
    <row r="786" spans="1:9" ht="25.5" hidden="1" x14ac:dyDescent="0.25">
      <c r="A786" s="182"/>
      <c r="B786" s="43" t="s">
        <v>10656</v>
      </c>
      <c r="C786" s="43" t="s">
        <v>1050</v>
      </c>
      <c r="D786" s="44">
        <v>8.9399999999999993E-2</v>
      </c>
      <c r="E786" s="38">
        <v>26.884999999999998</v>
      </c>
      <c r="F786" s="41">
        <f t="shared" si="0"/>
        <v>2.4035189999999997</v>
      </c>
      <c r="G786" s="58"/>
      <c r="H786" s="59"/>
      <c r="I786" s="121">
        <v>0</v>
      </c>
    </row>
    <row r="787" spans="1:9" ht="25.5" hidden="1" x14ac:dyDescent="0.25">
      <c r="A787" s="182"/>
      <c r="B787" s="43" t="s">
        <v>10657</v>
      </c>
      <c r="C787" s="43" t="s">
        <v>10677</v>
      </c>
      <c r="D787" s="44">
        <v>9.7100000000000006E-2</v>
      </c>
      <c r="E787" s="38">
        <v>25.906499999999998</v>
      </c>
      <c r="F787" s="41">
        <f t="shared" si="0"/>
        <v>2.5155211500000001</v>
      </c>
      <c r="G787" s="58"/>
      <c r="H787" s="59"/>
      <c r="I787" s="121">
        <v>0</v>
      </c>
    </row>
    <row r="788" spans="1:9" ht="38.25" hidden="1" x14ac:dyDescent="0.25">
      <c r="A788" s="182"/>
      <c r="B788" s="43" t="s">
        <v>10638</v>
      </c>
      <c r="C788" s="43" t="s">
        <v>1044</v>
      </c>
      <c r="D788" s="44">
        <v>31.7318</v>
      </c>
      <c r="E788" s="38">
        <v>13.282899999999998</v>
      </c>
      <c r="F788" s="41">
        <f t="shared" si="0"/>
        <v>421.49032621999993</v>
      </c>
      <c r="G788" s="58"/>
      <c r="H788" s="59"/>
      <c r="I788" s="121">
        <v>0</v>
      </c>
    </row>
    <row r="789" spans="1:9" ht="38.25" hidden="1" x14ac:dyDescent="0.25">
      <c r="A789" s="182"/>
      <c r="B789" s="43" t="s">
        <v>10630</v>
      </c>
      <c r="C789" s="43" t="s">
        <v>2880</v>
      </c>
      <c r="D789" s="44">
        <v>1.103</v>
      </c>
      <c r="E789" s="38">
        <v>680.29169118325012</v>
      </c>
      <c r="F789" s="41">
        <f t="shared" si="0"/>
        <v>750.36173537512491</v>
      </c>
      <c r="G789" s="58"/>
      <c r="H789" s="59"/>
      <c r="I789" s="121">
        <v>0</v>
      </c>
    </row>
    <row r="790" spans="1:9" ht="15.75" hidden="1" thickBot="1" x14ac:dyDescent="0.3">
      <c r="A790" s="183"/>
      <c r="B790" s="92"/>
      <c r="C790" s="129"/>
      <c r="D790" s="123"/>
      <c r="E790" s="51" t="s">
        <v>13</v>
      </c>
      <c r="F790" s="51" t="str">
        <f t="shared" si="0"/>
        <v/>
      </c>
      <c r="G790" s="53"/>
      <c r="H790" s="38"/>
      <c r="I790" s="121">
        <v>0</v>
      </c>
    </row>
    <row r="791" spans="1:9" ht="15.75" hidden="1" thickBot="1" x14ac:dyDescent="0.3">
      <c r="A791" s="184" t="s">
        <v>10747</v>
      </c>
      <c r="B791" s="31" t="s">
        <v>13</v>
      </c>
      <c r="C791" s="32" t="s">
        <v>1044</v>
      </c>
      <c r="D791" s="120"/>
      <c r="E791" s="54" t="s">
        <v>13</v>
      </c>
      <c r="F791" s="54" t="str">
        <f t="shared" si="0"/>
        <v/>
      </c>
      <c r="G791" s="35"/>
      <c r="H791" s="36"/>
      <c r="I791" s="121">
        <v>0</v>
      </c>
    </row>
    <row r="792" spans="1:9" hidden="1" x14ac:dyDescent="0.25">
      <c r="A792" s="182"/>
      <c r="B792" s="39" t="s">
        <v>13</v>
      </c>
      <c r="C792" s="39"/>
      <c r="D792" s="122"/>
      <c r="E792" s="55" t="s">
        <v>13</v>
      </c>
      <c r="F792" s="38" t="str">
        <f t="shared" si="0"/>
        <v/>
      </c>
      <c r="G792" s="42"/>
      <c r="H792" s="38"/>
      <c r="I792" s="121">
        <v>0</v>
      </c>
    </row>
    <row r="793" spans="1:9" hidden="1" x14ac:dyDescent="0.25">
      <c r="A793" s="182"/>
      <c r="B793" s="43" t="s">
        <v>10643</v>
      </c>
      <c r="C793" s="43" t="s">
        <v>2800</v>
      </c>
      <c r="D793" s="44">
        <v>3.2000000000000002E-3</v>
      </c>
      <c r="E793" s="41">
        <v>24.519499999999997</v>
      </c>
      <c r="F793" s="41">
        <f t="shared" si="0"/>
        <v>7.8462400000000002E-2</v>
      </c>
      <c r="G793" s="46">
        <f>SUM(F793:F795)</f>
        <v>8.6146911999999993</v>
      </c>
      <c r="H793" s="59"/>
      <c r="I793" s="121">
        <v>0</v>
      </c>
    </row>
    <row r="794" spans="1:9" hidden="1" x14ac:dyDescent="0.25">
      <c r="A794" s="182"/>
      <c r="B794" s="43" t="s">
        <v>10644</v>
      </c>
      <c r="C794" s="43" t="s">
        <v>2800</v>
      </c>
      <c r="D794" s="44">
        <v>2.24E-2</v>
      </c>
      <c r="E794" s="41">
        <v>30.837</v>
      </c>
      <c r="F794" s="41">
        <f t="shared" si="0"/>
        <v>0.69074879999999994</v>
      </c>
      <c r="G794" s="58"/>
      <c r="H794" s="59"/>
      <c r="I794" s="121">
        <v>0</v>
      </c>
    </row>
    <row r="795" spans="1:9" hidden="1" x14ac:dyDescent="0.25">
      <c r="A795" s="182"/>
      <c r="B795" s="43" t="s">
        <v>10811</v>
      </c>
      <c r="C795" s="43" t="s">
        <v>1044</v>
      </c>
      <c r="D795" s="44">
        <v>1.1100000000000001</v>
      </c>
      <c r="E795" s="41">
        <v>7.0679999999999996</v>
      </c>
      <c r="F795" s="41">
        <f t="shared" si="0"/>
        <v>7.8454800000000002</v>
      </c>
      <c r="G795" s="58"/>
      <c r="H795" s="59"/>
      <c r="I795" s="121">
        <v>0</v>
      </c>
    </row>
    <row r="796" spans="1:9" ht="15.75" hidden="1" thickBot="1" x14ac:dyDescent="0.3">
      <c r="A796" s="183"/>
      <c r="B796" s="49" t="s">
        <v>13</v>
      </c>
      <c r="C796" s="49"/>
      <c r="D796" s="123"/>
      <c r="E796" s="51" t="s">
        <v>13</v>
      </c>
      <c r="F796" s="51" t="str">
        <f t="shared" si="0"/>
        <v/>
      </c>
      <c r="G796" s="53"/>
      <c r="H796" s="38"/>
      <c r="I796" s="121">
        <v>0</v>
      </c>
    </row>
    <row r="797" spans="1:9" ht="15.75" hidden="1" thickBot="1" x14ac:dyDescent="0.3">
      <c r="A797" s="184" t="s">
        <v>10748</v>
      </c>
      <c r="B797" s="31" t="s">
        <v>13</v>
      </c>
      <c r="C797" s="32" t="s">
        <v>1044</v>
      </c>
      <c r="D797" s="120"/>
      <c r="E797" s="54" t="s">
        <v>13</v>
      </c>
      <c r="F797" s="54" t="str">
        <f t="shared" si="0"/>
        <v/>
      </c>
      <c r="G797" s="35"/>
      <c r="H797" s="36"/>
      <c r="I797" s="121">
        <v>0</v>
      </c>
    </row>
    <row r="798" spans="1:9" hidden="1" x14ac:dyDescent="0.25">
      <c r="A798" s="182"/>
      <c r="B798" s="39" t="s">
        <v>13</v>
      </c>
      <c r="C798" s="39"/>
      <c r="D798" s="122"/>
      <c r="E798" s="55" t="s">
        <v>13</v>
      </c>
      <c r="F798" s="38" t="str">
        <f t="shared" si="0"/>
        <v/>
      </c>
      <c r="G798" s="42"/>
      <c r="H798" s="38"/>
      <c r="I798" s="121">
        <v>0</v>
      </c>
    </row>
    <row r="799" spans="1:9" hidden="1" x14ac:dyDescent="0.25">
      <c r="A799" s="182"/>
      <c r="B799" s="43" t="s">
        <v>10643</v>
      </c>
      <c r="C799" s="43" t="s">
        <v>2800</v>
      </c>
      <c r="D799" s="44">
        <v>1E-3</v>
      </c>
      <c r="E799" s="41">
        <v>24.519499999999997</v>
      </c>
      <c r="F799" s="41">
        <f t="shared" ref="F799:F813" si="1">IF(ISNUMBER(E799),E799*$D799,"")</f>
        <v>2.4519499999999996E-2</v>
      </c>
      <c r="G799" s="46">
        <f>SUM(F799:F801)</f>
        <v>9.0243635000000015</v>
      </c>
      <c r="H799" s="59"/>
      <c r="I799" s="121">
        <v>0</v>
      </c>
    </row>
    <row r="800" spans="1:9" hidden="1" x14ac:dyDescent="0.25">
      <c r="A800" s="182"/>
      <c r="B800" s="43" t="s">
        <v>10644</v>
      </c>
      <c r="C800" s="43" t="s">
        <v>2800</v>
      </c>
      <c r="D800" s="44">
        <v>7.0000000000000001E-3</v>
      </c>
      <c r="E800" s="41">
        <v>30.837</v>
      </c>
      <c r="F800" s="41">
        <f t="shared" si="1"/>
        <v>0.215859</v>
      </c>
      <c r="G800" s="58"/>
      <c r="H800" s="59"/>
      <c r="I800" s="121">
        <v>0</v>
      </c>
    </row>
    <row r="801" spans="1:9" ht="25.5" hidden="1" x14ac:dyDescent="0.25">
      <c r="A801" s="182"/>
      <c r="B801" s="43" t="s">
        <v>10666</v>
      </c>
      <c r="C801" s="43" t="s">
        <v>1044</v>
      </c>
      <c r="D801" s="44">
        <v>1.1100000000000001</v>
      </c>
      <c r="E801" s="41">
        <v>7.9135</v>
      </c>
      <c r="F801" s="41">
        <f t="shared" si="1"/>
        <v>8.7839850000000013</v>
      </c>
      <c r="G801" s="58"/>
      <c r="H801" s="59"/>
      <c r="I801" s="121">
        <v>0</v>
      </c>
    </row>
    <row r="802" spans="1:9" ht="15.75" hidden="1" thickBot="1" x14ac:dyDescent="0.3">
      <c r="A802" s="183"/>
      <c r="B802" s="49" t="s">
        <v>13</v>
      </c>
      <c r="C802" s="49"/>
      <c r="D802" s="123"/>
      <c r="E802" s="51" t="s">
        <v>13</v>
      </c>
      <c r="F802" s="51" t="str">
        <f t="shared" si="1"/>
        <v/>
      </c>
      <c r="G802" s="53"/>
      <c r="H802" s="38"/>
      <c r="I802" s="121">
        <v>0</v>
      </c>
    </row>
    <row r="803" spans="1:9" ht="26.25" hidden="1" customHeight="1" thickBot="1" x14ac:dyDescent="0.3">
      <c r="A803" s="184" t="s">
        <v>10749</v>
      </c>
      <c r="B803" s="31" t="s">
        <v>13</v>
      </c>
      <c r="C803" s="32" t="s">
        <v>162</v>
      </c>
      <c r="D803" s="120"/>
      <c r="E803" s="54" t="s">
        <v>13</v>
      </c>
      <c r="F803" s="54" t="str">
        <f t="shared" si="1"/>
        <v/>
      </c>
      <c r="G803" s="35"/>
      <c r="H803" s="36"/>
      <c r="I803" s="121">
        <v>0</v>
      </c>
    </row>
    <row r="804" spans="1:9" hidden="1" x14ac:dyDescent="0.25">
      <c r="A804" s="182"/>
      <c r="B804" s="39" t="s">
        <v>13</v>
      </c>
      <c r="C804" s="128"/>
      <c r="D804" s="122"/>
      <c r="E804" s="55" t="s">
        <v>13</v>
      </c>
      <c r="F804" s="38" t="str">
        <f t="shared" si="1"/>
        <v/>
      </c>
      <c r="G804" s="42"/>
      <c r="H804" s="38"/>
      <c r="I804" s="121">
        <v>0</v>
      </c>
    </row>
    <row r="805" spans="1:9" ht="38.25" hidden="1" x14ac:dyDescent="0.25">
      <c r="A805" s="182"/>
      <c r="B805" s="43" t="s">
        <v>10639</v>
      </c>
      <c r="C805" s="43" t="s">
        <v>162</v>
      </c>
      <c r="D805" s="44">
        <v>0.52500000000000002</v>
      </c>
      <c r="E805" s="41">
        <v>143.92955999999998</v>
      </c>
      <c r="F805" s="41">
        <f t="shared" si="1"/>
        <v>75.563018999999997</v>
      </c>
      <c r="G805" s="46">
        <f>SUM(F805:F812)</f>
        <v>160.91248199999998</v>
      </c>
      <c r="H805" s="59"/>
      <c r="I805" s="121">
        <v>0</v>
      </c>
    </row>
    <row r="806" spans="1:9" hidden="1" x14ac:dyDescent="0.25">
      <c r="A806" s="182"/>
      <c r="B806" s="43" t="s">
        <v>10613</v>
      </c>
      <c r="C806" s="43" t="s">
        <v>2800</v>
      </c>
      <c r="D806" s="44">
        <v>1.8520000000000001</v>
      </c>
      <c r="E806" s="41">
        <v>30.628</v>
      </c>
      <c r="F806" s="41">
        <f t="shared" si="1"/>
        <v>56.723056</v>
      </c>
      <c r="G806" s="58"/>
      <c r="H806" s="59"/>
      <c r="I806" s="121">
        <v>0</v>
      </c>
    </row>
    <row r="807" spans="1:9" hidden="1" x14ac:dyDescent="0.25">
      <c r="A807" s="182"/>
      <c r="B807" s="43" t="s">
        <v>10655</v>
      </c>
      <c r="C807" s="43" t="s">
        <v>2800</v>
      </c>
      <c r="D807" s="44">
        <v>0.34</v>
      </c>
      <c r="E807" s="38">
        <v>24.358000000000001</v>
      </c>
      <c r="F807" s="41">
        <f t="shared" si="1"/>
        <v>8.28172</v>
      </c>
      <c r="G807" s="58"/>
      <c r="H807" s="59"/>
      <c r="I807" s="121">
        <v>0</v>
      </c>
    </row>
    <row r="808" spans="1:9" hidden="1" x14ac:dyDescent="0.25">
      <c r="A808" s="182"/>
      <c r="B808" s="43" t="s">
        <v>10776</v>
      </c>
      <c r="C808" s="43" t="s">
        <v>1044</v>
      </c>
      <c r="D808" s="44">
        <v>1.9E-2</v>
      </c>
      <c r="E808" s="38">
        <v>22.704999999999998</v>
      </c>
      <c r="F808" s="41">
        <f t="shared" si="1"/>
        <v>0.43139499999999997</v>
      </c>
      <c r="G808" s="58"/>
      <c r="H808" s="59"/>
      <c r="I808" s="121">
        <v>0</v>
      </c>
    </row>
    <row r="809" spans="1:9" ht="25.5" hidden="1" x14ac:dyDescent="0.25">
      <c r="A809" s="182"/>
      <c r="B809" s="43" t="s">
        <v>10812</v>
      </c>
      <c r="C809" s="43" t="s">
        <v>10821</v>
      </c>
      <c r="D809" s="44">
        <v>0.78500000000000003</v>
      </c>
      <c r="E809" s="38">
        <v>8.3979999999999997</v>
      </c>
      <c r="F809" s="41">
        <f t="shared" si="1"/>
        <v>6.5924300000000002</v>
      </c>
      <c r="G809" s="58"/>
      <c r="H809" s="59"/>
      <c r="I809" s="121">
        <v>0</v>
      </c>
    </row>
    <row r="810" spans="1:9" ht="38.25" hidden="1" x14ac:dyDescent="0.25">
      <c r="A810" s="182"/>
      <c r="B810" s="43" t="s">
        <v>10813</v>
      </c>
      <c r="C810" s="43" t="s">
        <v>10822</v>
      </c>
      <c r="D810" s="44">
        <v>0.39300000000000002</v>
      </c>
      <c r="E810" s="38">
        <v>22.799999999999997</v>
      </c>
      <c r="F810" s="41">
        <f t="shared" si="1"/>
        <v>8.9603999999999999</v>
      </c>
      <c r="G810" s="58"/>
      <c r="H810" s="59"/>
      <c r="I810" s="121">
        <v>0</v>
      </c>
    </row>
    <row r="811" spans="1:9" ht="25.5" hidden="1" x14ac:dyDescent="0.25">
      <c r="A811" s="182"/>
      <c r="B811" s="43" t="s">
        <v>10814</v>
      </c>
      <c r="C811" s="43" t="s">
        <v>10822</v>
      </c>
      <c r="D811" s="44">
        <v>0.19600000000000001</v>
      </c>
      <c r="E811" s="38">
        <v>21.812000000000001</v>
      </c>
      <c r="F811" s="41">
        <f t="shared" si="1"/>
        <v>4.2751520000000003</v>
      </c>
      <c r="G811" s="58"/>
      <c r="H811" s="59"/>
      <c r="I811" s="121">
        <v>0</v>
      </c>
    </row>
    <row r="812" spans="1:9" ht="25.5" hidden="1" x14ac:dyDescent="0.25">
      <c r="A812" s="182"/>
      <c r="B812" s="43" t="s">
        <v>10775</v>
      </c>
      <c r="C812" s="43" t="s">
        <v>70</v>
      </c>
      <c r="D812" s="44">
        <v>0.01</v>
      </c>
      <c r="E812" s="38">
        <v>8.5310000000000006</v>
      </c>
      <c r="F812" s="41">
        <f t="shared" si="1"/>
        <v>8.5310000000000011E-2</v>
      </c>
      <c r="G812" s="58"/>
      <c r="H812" s="59"/>
      <c r="I812" s="121">
        <v>0</v>
      </c>
    </row>
    <row r="813" spans="1:9" ht="15.75" hidden="1" thickBot="1" x14ac:dyDescent="0.3">
      <c r="A813" s="183"/>
      <c r="B813" s="92"/>
      <c r="C813" s="129"/>
      <c r="D813" s="123"/>
      <c r="E813" s="51" t="s">
        <v>13</v>
      </c>
      <c r="F813" s="51" t="str">
        <f t="shared" si="1"/>
        <v/>
      </c>
      <c r="G813" s="53"/>
      <c r="H813" s="38"/>
      <c r="I813" s="121">
        <v>0</v>
      </c>
    </row>
  </sheetData>
  <sheetProtection algorithmName="SHA-512" hashValue="UxgzxvTXmGbPV3EPQX8v0J/Eum5nilUIijLz8TGa2OSR1HSbX03LPCCO5m/4GNc1gp5x/6WiqryB0AYu+HKzHg==" saltValue="A0EJpd5HEgaDCIY9WyM6iw==" spinCount="100000" sheet="1" objects="1" scenarios="1"/>
  <autoFilter ref="A5:I813" xr:uid="{8519B0BA-2739-4196-BEB2-655DE94F0C98}">
    <filterColumn colId="8">
      <customFilters>
        <customFilter operator="notEqual" val="0"/>
      </customFilters>
    </filterColumn>
  </autoFilter>
  <mergeCells count="89">
    <mergeCell ref="A106:A111"/>
    <mergeCell ref="A6:A15"/>
    <mergeCell ref="A16:A20"/>
    <mergeCell ref="A21:A26"/>
    <mergeCell ref="A27:A37"/>
    <mergeCell ref="A38:A47"/>
    <mergeCell ref="A48:A60"/>
    <mergeCell ref="A61:A68"/>
    <mergeCell ref="A69:A78"/>
    <mergeCell ref="A79:A85"/>
    <mergeCell ref="A86:A95"/>
    <mergeCell ref="A96:A105"/>
    <mergeCell ref="A189:A196"/>
    <mergeCell ref="A112:A117"/>
    <mergeCell ref="A118:A123"/>
    <mergeCell ref="A124:A129"/>
    <mergeCell ref="A130:A135"/>
    <mergeCell ref="A136:A141"/>
    <mergeCell ref="A142:A155"/>
    <mergeCell ref="A156:A167"/>
    <mergeCell ref="A168:A173"/>
    <mergeCell ref="A174:A179"/>
    <mergeCell ref="A180:A184"/>
    <mergeCell ref="A185:A188"/>
    <mergeCell ref="A307:A320"/>
    <mergeCell ref="A197:A201"/>
    <mergeCell ref="A202:A206"/>
    <mergeCell ref="A207:A220"/>
    <mergeCell ref="A221:A234"/>
    <mergeCell ref="A235:A249"/>
    <mergeCell ref="A250:A259"/>
    <mergeCell ref="A260:A267"/>
    <mergeCell ref="A268:A278"/>
    <mergeCell ref="A279:A286"/>
    <mergeCell ref="A287:A292"/>
    <mergeCell ref="A293:A306"/>
    <mergeCell ref="A421:A432"/>
    <mergeCell ref="A321:A332"/>
    <mergeCell ref="A333:A339"/>
    <mergeCell ref="A340:A346"/>
    <mergeCell ref="A347:A354"/>
    <mergeCell ref="A355:A360"/>
    <mergeCell ref="A361:A366"/>
    <mergeCell ref="A367:A375"/>
    <mergeCell ref="A376:A385"/>
    <mergeCell ref="A386:A397"/>
    <mergeCell ref="A398:A409"/>
    <mergeCell ref="A410:A420"/>
    <mergeCell ref="A545:A557"/>
    <mergeCell ref="A433:A451"/>
    <mergeCell ref="A452:A465"/>
    <mergeCell ref="A466:A484"/>
    <mergeCell ref="A485:A496"/>
    <mergeCell ref="A497:A507"/>
    <mergeCell ref="A508:A513"/>
    <mergeCell ref="A514:A519"/>
    <mergeCell ref="A520:A525"/>
    <mergeCell ref="A526:A531"/>
    <mergeCell ref="A532:A537"/>
    <mergeCell ref="A538:A544"/>
    <mergeCell ref="A638:A650"/>
    <mergeCell ref="A558:A563"/>
    <mergeCell ref="A564:A570"/>
    <mergeCell ref="A571:A575"/>
    <mergeCell ref="A576:A588"/>
    <mergeCell ref="A589:A593"/>
    <mergeCell ref="A594:A601"/>
    <mergeCell ref="A602:A607"/>
    <mergeCell ref="A608:A612"/>
    <mergeCell ref="A613:A617"/>
    <mergeCell ref="A618:A623"/>
    <mergeCell ref="A624:A637"/>
    <mergeCell ref="A763:A767"/>
    <mergeCell ref="A651:A657"/>
    <mergeCell ref="A658:A665"/>
    <mergeCell ref="A666:A679"/>
    <mergeCell ref="A680:A692"/>
    <mergeCell ref="A693:A705"/>
    <mergeCell ref="A706:A717"/>
    <mergeCell ref="A718:A728"/>
    <mergeCell ref="A729:A734"/>
    <mergeCell ref="A735:A740"/>
    <mergeCell ref="A741:A750"/>
    <mergeCell ref="A751:A762"/>
    <mergeCell ref="A768:A772"/>
    <mergeCell ref="A773:A790"/>
    <mergeCell ref="A791:A796"/>
    <mergeCell ref="A797:A802"/>
    <mergeCell ref="A803:A813"/>
  </mergeCells>
  <conditionalFormatting sqref="F4">
    <cfRule type="containsText" dxfId="202" priority="550" operator="containsText" text="Pesquisa">
      <formula>NOT(ISERROR(SEARCH("Pesquisa",F4)))</formula>
    </cfRule>
  </conditionalFormatting>
  <conditionalFormatting sqref="C15:D15">
    <cfRule type="containsText" dxfId="201" priority="579" operator="containsText" text="Pesquisa de Preços">
      <formula>NOT(ISERROR(SEARCH("Pesquisa de Preços",C15)))</formula>
    </cfRule>
  </conditionalFormatting>
  <conditionalFormatting sqref="C7:D7">
    <cfRule type="containsText" dxfId="200" priority="578" operator="containsText" text="Pesquisa de Preços">
      <formula>NOT(ISERROR(SEARCH("Pesquisa de Preços",C7)))</formula>
    </cfRule>
  </conditionalFormatting>
  <conditionalFormatting sqref="C6:D6">
    <cfRule type="containsText" dxfId="199" priority="577" operator="containsText" text="Pesquisa de Preços">
      <formula>NOT(ISERROR(SEARCH("Pesquisa de Preços",C6)))</formula>
    </cfRule>
  </conditionalFormatting>
  <conditionalFormatting sqref="D8:D10">
    <cfRule type="containsText" dxfId="198" priority="576" operator="containsText" text="Pesquisa de Preços">
      <formula>NOT(ISERROR(SEARCH("Pesquisa de Preços",D8)))</formula>
    </cfRule>
  </conditionalFormatting>
  <conditionalFormatting sqref="D29:D36">
    <cfRule type="containsText" dxfId="197" priority="575" operator="containsText" text="Pesquisa de Preços">
      <formula>NOT(ISERROR(SEARCH("Pesquisa de Preços",D29)))</formula>
    </cfRule>
  </conditionalFormatting>
  <conditionalFormatting sqref="D27">
    <cfRule type="containsText" dxfId="196" priority="572" operator="containsText" text="Pesquisa de Preços">
      <formula>NOT(ISERROR(SEARCH("Pesquisa de Preços",D27)))</formula>
    </cfRule>
  </conditionalFormatting>
  <conditionalFormatting sqref="C37:D37">
    <cfRule type="containsText" dxfId="195" priority="574" operator="containsText" text="Pesquisa de Preços">
      <formula>NOT(ISERROR(SEARCH("Pesquisa de Preços",C37)))</formula>
    </cfRule>
  </conditionalFormatting>
  <conditionalFormatting sqref="C28:D28">
    <cfRule type="containsText" dxfId="194" priority="573" operator="containsText" text="Pesquisa de Preços">
      <formula>NOT(ISERROR(SEARCH("Pesquisa de Preços",C28)))</formula>
    </cfRule>
  </conditionalFormatting>
  <conditionalFormatting sqref="C626:C628 C596:C597 C591 C578:C580 C566 C560 C547:C549 C534 C528 C510 C499:C501 C487 C468:C471 C454 C435:C438 C423:C424 C412:C414 C400:C401 C388:C389 C378:C380 C369:C371 C349:C350 C323:C324 C309:C311 C295:C297 C289 C281:C282 C270:C272 C262:C264 C252:C253 C237:C240 C223:C225 C209:C211 C182 C176 C170 C158:C159 C144:C146 C138 C132 C126 C120 C114 C108 C98:C99 C88:C89 C81 C71:C72">
    <cfRule type="containsText" dxfId="193" priority="246" operator="containsText" text="Pesquisa de Preços">
      <formula>NOT(ISERROR(SEARCH("Pesquisa de Preços",C71)))</formula>
    </cfRule>
  </conditionalFormatting>
  <conditionalFormatting sqref="C629:C632 C620:C622 C615:C616 C610:C611 C604:C606 C598:C599 C592 C581:C583 C573:C574 C567:C568 C561:C562 C550:C552 C540:C543 C535:C536 C529:C530 C522:C523 C516:C517 C511:C512 C502 C488:C491 C472:C479 C455:C460 C439:C446 C425:C427 C415 C402:C404 C390:C392 C381:C384 C373:C374 C364:C365 C358:C359 C351:C352 C342:C345 C335:C338 C325:C327 C312:C315 C298:C301 C290:C291 C283:C284 C273 C265:C266 C254 C241:C244 C226:C229 C212:C215 C204:C205 C199:C200 C191:C195 C187 C183 C177:C178 C171:C172 C160:C162 C147:C150 C139:C140 C133:C134 C127:C128 C121:C122 C115:C116 C109:C110 C100 C90 C82:C84 C73">
    <cfRule type="containsText" dxfId="192" priority="245" operator="containsText" text="Pesquisa de Preços">
      <formula>NOT(ISERROR(SEARCH("Pesquisa de Preços",C73)))</formula>
    </cfRule>
  </conditionalFormatting>
  <conditionalFormatting sqref="C640:C642">
    <cfRule type="containsText" dxfId="191" priority="233" operator="containsText" text="Pesquisa de Preços">
      <formula>NOT(ISERROR(SEARCH("Pesquisa de Preços",C640)))</formula>
    </cfRule>
  </conditionalFormatting>
  <conditionalFormatting sqref="C643">
    <cfRule type="containsText" dxfId="190" priority="232" operator="containsText" text="Pesquisa de Preços">
      <formula>NOT(ISERROR(SEARCH("Pesquisa de Preços",C643)))</formula>
    </cfRule>
  </conditionalFormatting>
  <conditionalFormatting sqref="C653:C656">
    <cfRule type="containsText" dxfId="189" priority="228" operator="containsText" text="Pesquisa de Preços">
      <formula>NOT(ISERROR(SEARCH("Pesquisa de Preços",C653)))</formula>
    </cfRule>
  </conditionalFormatting>
  <conditionalFormatting sqref="C660:C664">
    <cfRule type="containsText" dxfId="188" priority="223" operator="containsText" text="Pesquisa de Preços">
      <formula>NOT(ISERROR(SEARCH("Pesquisa de Preços",C660)))</formula>
    </cfRule>
  </conditionalFormatting>
  <conditionalFormatting sqref="C8:C12">
    <cfRule type="containsText" dxfId="187" priority="222" operator="containsText" text="Pesquisa de Preços">
      <formula>NOT(ISERROR(SEARCH("Pesquisa de Preços",C8)))</formula>
    </cfRule>
  </conditionalFormatting>
  <conditionalFormatting sqref="C18:C19">
    <cfRule type="containsText" dxfId="186" priority="221" operator="containsText" text="Pesquisa de Preços">
      <formula>NOT(ISERROR(SEARCH("Pesquisa de Preços",C18)))</formula>
    </cfRule>
  </conditionalFormatting>
  <conditionalFormatting sqref="C23:C25">
    <cfRule type="containsText" dxfId="185" priority="220" operator="containsText" text="Pesquisa de Preços">
      <formula>NOT(ISERROR(SEARCH("Pesquisa de Preços",C23)))</formula>
    </cfRule>
  </conditionalFormatting>
  <conditionalFormatting sqref="C29:C36">
    <cfRule type="containsText" dxfId="184" priority="219" operator="containsText" text="Pesquisa de Preços">
      <formula>NOT(ISERROR(SEARCH("Pesquisa de Preços",C29)))</formula>
    </cfRule>
  </conditionalFormatting>
  <conditionalFormatting sqref="C40:C46">
    <cfRule type="containsText" dxfId="183" priority="218" operator="containsText" text="Pesquisa de Preços">
      <formula>NOT(ISERROR(SEARCH("Pesquisa de Preços",C40)))</formula>
    </cfRule>
  </conditionalFormatting>
  <conditionalFormatting sqref="C50:C57">
    <cfRule type="containsText" dxfId="182" priority="217" operator="containsText" text="Pesquisa de Preços">
      <formula>NOT(ISERROR(SEARCH("Pesquisa de Preços",C50)))</formula>
    </cfRule>
  </conditionalFormatting>
  <conditionalFormatting sqref="C63:C67">
    <cfRule type="containsText" dxfId="181" priority="216" operator="containsText" text="Pesquisa de Preços">
      <formula>NOT(ISERROR(SEARCH("Pesquisa de Preços",C63)))</formula>
    </cfRule>
  </conditionalFormatting>
  <conditionalFormatting sqref="C16">
    <cfRule type="containsText" dxfId="180" priority="215" operator="containsText" text="Pesquisa de Preços">
      <formula>NOT(ISERROR(SEARCH("Pesquisa de Preços",C16)))</formula>
    </cfRule>
  </conditionalFormatting>
  <conditionalFormatting sqref="C21">
    <cfRule type="containsText" dxfId="179" priority="214" operator="containsText" text="Pesquisa de Preços">
      <formula>NOT(ISERROR(SEARCH("Pesquisa de Preços",C21)))</formula>
    </cfRule>
  </conditionalFormatting>
  <conditionalFormatting sqref="C27">
    <cfRule type="containsText" dxfId="178" priority="213" operator="containsText" text="Pesquisa de Preços">
      <formula>NOT(ISERROR(SEARCH("Pesquisa de Preços",C27)))</formula>
    </cfRule>
  </conditionalFormatting>
  <conditionalFormatting sqref="C38">
    <cfRule type="containsText" dxfId="177" priority="212" operator="containsText" text="Pesquisa de Preços">
      <formula>NOT(ISERROR(SEARCH("Pesquisa de Preços",C38)))</formula>
    </cfRule>
  </conditionalFormatting>
  <conditionalFormatting sqref="C48">
    <cfRule type="containsText" dxfId="176" priority="211" operator="containsText" text="Pesquisa de Preços">
      <formula>NOT(ISERROR(SEARCH("Pesquisa de Preços",C48)))</formula>
    </cfRule>
  </conditionalFormatting>
  <conditionalFormatting sqref="C61">
    <cfRule type="containsText" dxfId="175" priority="210" operator="containsText" text="Pesquisa de Preços">
      <formula>NOT(ISERROR(SEARCH("Pesquisa de Preços",C61)))</formula>
    </cfRule>
  </conditionalFormatting>
  <conditionalFormatting sqref="C69">
    <cfRule type="containsText" dxfId="174" priority="209" operator="containsText" text="Pesquisa de Preços">
      <formula>NOT(ISERROR(SEARCH("Pesquisa de Preços",C69)))</formula>
    </cfRule>
  </conditionalFormatting>
  <conditionalFormatting sqref="C79">
    <cfRule type="containsText" dxfId="173" priority="208" operator="containsText" text="Pesquisa de Preços">
      <formula>NOT(ISERROR(SEARCH("Pesquisa de Preços",C79)))</formula>
    </cfRule>
  </conditionalFormatting>
  <conditionalFormatting sqref="C86">
    <cfRule type="containsText" dxfId="172" priority="207" operator="containsText" text="Pesquisa de Preços">
      <formula>NOT(ISERROR(SEARCH("Pesquisa de Preços",C86)))</formula>
    </cfRule>
  </conditionalFormatting>
  <conditionalFormatting sqref="C96">
    <cfRule type="containsText" dxfId="171" priority="206" operator="containsText" text="Pesquisa de Preços">
      <formula>NOT(ISERROR(SEARCH("Pesquisa de Preços",C96)))</formula>
    </cfRule>
  </conditionalFormatting>
  <conditionalFormatting sqref="C106">
    <cfRule type="containsText" dxfId="170" priority="205" operator="containsText" text="Pesquisa de Preços">
      <formula>NOT(ISERROR(SEARCH("Pesquisa de Preços",C106)))</formula>
    </cfRule>
  </conditionalFormatting>
  <conditionalFormatting sqref="C136">
    <cfRule type="containsText" dxfId="169" priority="204" operator="containsText" text="Pesquisa de Preços">
      <formula>NOT(ISERROR(SEARCH("Pesquisa de Preços",C136)))</formula>
    </cfRule>
  </conditionalFormatting>
  <conditionalFormatting sqref="C142">
    <cfRule type="containsText" dxfId="168" priority="203" operator="containsText" text="Pesquisa de Preços">
      <formula>NOT(ISERROR(SEARCH("Pesquisa de Preços",C142)))</formula>
    </cfRule>
  </conditionalFormatting>
  <conditionalFormatting sqref="C156">
    <cfRule type="containsText" dxfId="167" priority="202" operator="containsText" text="Pesquisa de Preços">
      <formula>NOT(ISERROR(SEARCH("Pesquisa de Preços",C156)))</formula>
    </cfRule>
  </conditionalFormatting>
  <conditionalFormatting sqref="C168">
    <cfRule type="containsText" dxfId="166" priority="201" operator="containsText" text="Pesquisa de Preços">
      <formula>NOT(ISERROR(SEARCH("Pesquisa de Preços",C168)))</formula>
    </cfRule>
  </conditionalFormatting>
  <conditionalFormatting sqref="C174">
    <cfRule type="containsText" dxfId="165" priority="200" operator="containsText" text="Pesquisa de Preços">
      <formula>NOT(ISERROR(SEARCH("Pesquisa de Preços",C174)))</formula>
    </cfRule>
  </conditionalFormatting>
  <conditionalFormatting sqref="C180">
    <cfRule type="containsText" dxfId="164" priority="199" operator="containsText" text="Pesquisa de Preços">
      <formula>NOT(ISERROR(SEARCH("Pesquisa de Preços",C180)))</formula>
    </cfRule>
  </conditionalFormatting>
  <conditionalFormatting sqref="C185">
    <cfRule type="containsText" dxfId="163" priority="198" operator="containsText" text="Pesquisa de Preços">
      <formula>NOT(ISERROR(SEARCH("Pesquisa de Preços",C185)))</formula>
    </cfRule>
  </conditionalFormatting>
  <conditionalFormatting sqref="C189">
    <cfRule type="containsText" dxfId="162" priority="197" operator="containsText" text="Pesquisa de Preços">
      <formula>NOT(ISERROR(SEARCH("Pesquisa de Preços",C189)))</formula>
    </cfRule>
  </conditionalFormatting>
  <conditionalFormatting sqref="C197">
    <cfRule type="containsText" dxfId="161" priority="196" operator="containsText" text="Pesquisa de Preços">
      <formula>NOT(ISERROR(SEARCH("Pesquisa de Preços",C197)))</formula>
    </cfRule>
  </conditionalFormatting>
  <conditionalFormatting sqref="C202">
    <cfRule type="containsText" dxfId="160" priority="195" operator="containsText" text="Pesquisa de Preços">
      <formula>NOT(ISERROR(SEARCH("Pesquisa de Preços",C202)))</formula>
    </cfRule>
  </conditionalFormatting>
  <conditionalFormatting sqref="C207">
    <cfRule type="containsText" dxfId="159" priority="194" operator="containsText" text="Pesquisa de Preços">
      <formula>NOT(ISERROR(SEARCH("Pesquisa de Preços",C207)))</formula>
    </cfRule>
  </conditionalFormatting>
  <conditionalFormatting sqref="C221">
    <cfRule type="containsText" dxfId="158" priority="193" operator="containsText" text="Pesquisa de Preços">
      <formula>NOT(ISERROR(SEARCH("Pesquisa de Preços",C221)))</formula>
    </cfRule>
  </conditionalFormatting>
  <conditionalFormatting sqref="C235">
    <cfRule type="containsText" dxfId="157" priority="192" operator="containsText" text="Pesquisa de Preços">
      <formula>NOT(ISERROR(SEARCH("Pesquisa de Preços",C235)))</formula>
    </cfRule>
  </conditionalFormatting>
  <conditionalFormatting sqref="C250">
    <cfRule type="containsText" dxfId="156" priority="191" operator="containsText" text="Pesquisa de Preços">
      <formula>NOT(ISERROR(SEARCH("Pesquisa de Preços",C250)))</formula>
    </cfRule>
  </conditionalFormatting>
  <conditionalFormatting sqref="C260">
    <cfRule type="containsText" dxfId="155" priority="190" operator="containsText" text="Pesquisa de Preços">
      <formula>NOT(ISERROR(SEARCH("Pesquisa de Preços",C260)))</formula>
    </cfRule>
  </conditionalFormatting>
  <conditionalFormatting sqref="C268">
    <cfRule type="containsText" dxfId="154" priority="189" operator="containsText" text="Pesquisa de Preços">
      <formula>NOT(ISERROR(SEARCH("Pesquisa de Preços",C268)))</formula>
    </cfRule>
  </conditionalFormatting>
  <conditionalFormatting sqref="C279">
    <cfRule type="containsText" dxfId="153" priority="188" operator="containsText" text="Pesquisa de Preços">
      <formula>NOT(ISERROR(SEARCH("Pesquisa de Preços",C279)))</formula>
    </cfRule>
  </conditionalFormatting>
  <conditionalFormatting sqref="C287">
    <cfRule type="containsText" dxfId="152" priority="187" operator="containsText" text="Pesquisa de Preços">
      <formula>NOT(ISERROR(SEARCH("Pesquisa de Preços",C287)))</formula>
    </cfRule>
  </conditionalFormatting>
  <conditionalFormatting sqref="C293">
    <cfRule type="containsText" dxfId="151" priority="186" operator="containsText" text="Pesquisa de Preços">
      <formula>NOT(ISERROR(SEARCH("Pesquisa de Preços",C293)))</formula>
    </cfRule>
  </conditionalFormatting>
  <conditionalFormatting sqref="C307">
    <cfRule type="containsText" dxfId="150" priority="185" operator="containsText" text="Pesquisa de Preços">
      <formula>NOT(ISERROR(SEARCH("Pesquisa de Preços",C307)))</formula>
    </cfRule>
  </conditionalFormatting>
  <conditionalFormatting sqref="C321">
    <cfRule type="containsText" dxfId="149" priority="184" operator="containsText" text="Pesquisa de Preços">
      <formula>NOT(ISERROR(SEARCH("Pesquisa de Preços",C321)))</formula>
    </cfRule>
  </conditionalFormatting>
  <conditionalFormatting sqref="C333">
    <cfRule type="containsText" dxfId="148" priority="183" operator="containsText" text="Pesquisa de Preços">
      <formula>NOT(ISERROR(SEARCH("Pesquisa de Preços",C333)))</formula>
    </cfRule>
  </conditionalFormatting>
  <conditionalFormatting sqref="C340">
    <cfRule type="containsText" dxfId="147" priority="182" operator="containsText" text="Pesquisa de Preços">
      <formula>NOT(ISERROR(SEARCH("Pesquisa de Preços",C340)))</formula>
    </cfRule>
  </conditionalFormatting>
  <conditionalFormatting sqref="C347">
    <cfRule type="containsText" dxfId="146" priority="181" operator="containsText" text="Pesquisa de Preços">
      <formula>NOT(ISERROR(SEARCH("Pesquisa de Preços",C347)))</formula>
    </cfRule>
  </conditionalFormatting>
  <conditionalFormatting sqref="C355">
    <cfRule type="containsText" dxfId="145" priority="180" operator="containsText" text="Pesquisa de Preços">
      <formula>NOT(ISERROR(SEARCH("Pesquisa de Preços",C355)))</formula>
    </cfRule>
  </conditionalFormatting>
  <conditionalFormatting sqref="C361">
    <cfRule type="containsText" dxfId="144" priority="179" operator="containsText" text="Pesquisa de Preços">
      <formula>NOT(ISERROR(SEARCH("Pesquisa de Preços",C361)))</formula>
    </cfRule>
  </conditionalFormatting>
  <conditionalFormatting sqref="C367">
    <cfRule type="containsText" dxfId="143" priority="178" operator="containsText" text="Pesquisa de Preços">
      <formula>NOT(ISERROR(SEARCH("Pesquisa de Preços",C367)))</formula>
    </cfRule>
  </conditionalFormatting>
  <conditionalFormatting sqref="C376">
    <cfRule type="containsText" dxfId="142" priority="177" operator="containsText" text="Pesquisa de Preços">
      <formula>NOT(ISERROR(SEARCH("Pesquisa de Preços",C376)))</formula>
    </cfRule>
  </conditionalFormatting>
  <conditionalFormatting sqref="C386">
    <cfRule type="containsText" dxfId="141" priority="176" operator="containsText" text="Pesquisa de Preços">
      <formula>NOT(ISERROR(SEARCH("Pesquisa de Preços",C386)))</formula>
    </cfRule>
  </conditionalFormatting>
  <conditionalFormatting sqref="C398">
    <cfRule type="containsText" dxfId="140" priority="175" operator="containsText" text="Pesquisa de Preços">
      <formula>NOT(ISERROR(SEARCH("Pesquisa de Preços",C398)))</formula>
    </cfRule>
  </conditionalFormatting>
  <conditionalFormatting sqref="C410">
    <cfRule type="containsText" dxfId="139" priority="174" operator="containsText" text="Pesquisa de Preços">
      <formula>NOT(ISERROR(SEARCH("Pesquisa de Preços",C410)))</formula>
    </cfRule>
  </conditionalFormatting>
  <conditionalFormatting sqref="C421">
    <cfRule type="containsText" dxfId="138" priority="173" operator="containsText" text="Pesquisa de Preços">
      <formula>NOT(ISERROR(SEARCH("Pesquisa de Preços",C421)))</formula>
    </cfRule>
  </conditionalFormatting>
  <conditionalFormatting sqref="C433">
    <cfRule type="containsText" dxfId="137" priority="172" operator="containsText" text="Pesquisa de Preços">
      <formula>NOT(ISERROR(SEARCH("Pesquisa de Preços",C433)))</formula>
    </cfRule>
  </conditionalFormatting>
  <conditionalFormatting sqref="C452">
    <cfRule type="containsText" dxfId="136" priority="171" operator="containsText" text="Pesquisa de Preços">
      <formula>NOT(ISERROR(SEARCH("Pesquisa de Preços",C452)))</formula>
    </cfRule>
  </conditionalFormatting>
  <conditionalFormatting sqref="C466">
    <cfRule type="containsText" dxfId="135" priority="170" operator="containsText" text="Pesquisa de Preços">
      <formula>NOT(ISERROR(SEARCH("Pesquisa de Preços",C466)))</formula>
    </cfRule>
  </conditionalFormatting>
  <conditionalFormatting sqref="C485">
    <cfRule type="containsText" dxfId="134" priority="169" operator="containsText" text="Pesquisa de Preços">
      <formula>NOT(ISERROR(SEARCH("Pesquisa de Preços",C485)))</formula>
    </cfRule>
  </conditionalFormatting>
  <conditionalFormatting sqref="C497">
    <cfRule type="containsText" dxfId="133" priority="168" operator="containsText" text="Pesquisa de Preços">
      <formula>NOT(ISERROR(SEARCH("Pesquisa de Preços",C497)))</formula>
    </cfRule>
  </conditionalFormatting>
  <conditionalFormatting sqref="C508">
    <cfRule type="containsText" dxfId="132" priority="167" operator="containsText" text="Pesquisa de Preços">
      <formula>NOT(ISERROR(SEARCH("Pesquisa de Preços",C508)))</formula>
    </cfRule>
  </conditionalFormatting>
  <conditionalFormatting sqref="C514">
    <cfRule type="containsText" dxfId="131" priority="166" operator="containsText" text="Pesquisa de Preços">
      <formula>NOT(ISERROR(SEARCH("Pesquisa de Preços",C514)))</formula>
    </cfRule>
  </conditionalFormatting>
  <conditionalFormatting sqref="C520">
    <cfRule type="containsText" dxfId="130" priority="165" operator="containsText" text="Pesquisa de Preços">
      <formula>NOT(ISERROR(SEARCH("Pesquisa de Preços",C520)))</formula>
    </cfRule>
  </conditionalFormatting>
  <conditionalFormatting sqref="C526">
    <cfRule type="containsText" dxfId="129" priority="164" operator="containsText" text="Pesquisa de Preços">
      <formula>NOT(ISERROR(SEARCH("Pesquisa de Preços",C526)))</formula>
    </cfRule>
  </conditionalFormatting>
  <conditionalFormatting sqref="C532">
    <cfRule type="containsText" dxfId="128" priority="163" operator="containsText" text="Pesquisa de Preços">
      <formula>NOT(ISERROR(SEARCH("Pesquisa de Preços",C532)))</formula>
    </cfRule>
  </conditionalFormatting>
  <conditionalFormatting sqref="C538">
    <cfRule type="containsText" dxfId="127" priority="162" operator="containsText" text="Pesquisa de Preços">
      <formula>NOT(ISERROR(SEARCH("Pesquisa de Preços",C538)))</formula>
    </cfRule>
  </conditionalFormatting>
  <conditionalFormatting sqref="C545">
    <cfRule type="containsText" dxfId="126" priority="161" operator="containsText" text="Pesquisa de Preços">
      <formula>NOT(ISERROR(SEARCH("Pesquisa de Preços",C545)))</formula>
    </cfRule>
  </conditionalFormatting>
  <conditionalFormatting sqref="C558">
    <cfRule type="containsText" dxfId="125" priority="160" operator="containsText" text="Pesquisa de Preços">
      <formula>NOT(ISERROR(SEARCH("Pesquisa de Preços",C558)))</formula>
    </cfRule>
  </conditionalFormatting>
  <conditionalFormatting sqref="C564">
    <cfRule type="containsText" dxfId="124" priority="159" operator="containsText" text="Pesquisa de Preços">
      <formula>NOT(ISERROR(SEARCH("Pesquisa de Preços",C564)))</formula>
    </cfRule>
  </conditionalFormatting>
  <conditionalFormatting sqref="C571">
    <cfRule type="containsText" dxfId="123" priority="158" operator="containsText" text="Pesquisa de Preços">
      <formula>NOT(ISERROR(SEARCH("Pesquisa de Preços",C571)))</formula>
    </cfRule>
  </conditionalFormatting>
  <conditionalFormatting sqref="C576">
    <cfRule type="containsText" dxfId="122" priority="157" operator="containsText" text="Pesquisa de Preços">
      <formula>NOT(ISERROR(SEARCH("Pesquisa de Preços",C576)))</formula>
    </cfRule>
  </conditionalFormatting>
  <conditionalFormatting sqref="C589">
    <cfRule type="containsText" dxfId="121" priority="156" operator="containsText" text="Pesquisa de Preços">
      <formula>NOT(ISERROR(SEARCH("Pesquisa de Preços",C589)))</formula>
    </cfRule>
  </conditionalFormatting>
  <conditionalFormatting sqref="C594">
    <cfRule type="containsText" dxfId="120" priority="155" operator="containsText" text="Pesquisa de Preços">
      <formula>NOT(ISERROR(SEARCH("Pesquisa de Preços",C594)))</formula>
    </cfRule>
  </conditionalFormatting>
  <conditionalFormatting sqref="C602">
    <cfRule type="containsText" dxfId="119" priority="154" operator="containsText" text="Pesquisa de Preços">
      <formula>NOT(ISERROR(SEARCH("Pesquisa de Preços",C602)))</formula>
    </cfRule>
  </conditionalFormatting>
  <conditionalFormatting sqref="C608">
    <cfRule type="containsText" dxfId="118" priority="153" operator="containsText" text="Pesquisa de Preços">
      <formula>NOT(ISERROR(SEARCH("Pesquisa de Preços",C608)))</formula>
    </cfRule>
  </conditionalFormatting>
  <conditionalFormatting sqref="C613">
    <cfRule type="containsText" dxfId="117" priority="152" operator="containsText" text="Pesquisa de Preços">
      <formula>NOT(ISERROR(SEARCH("Pesquisa de Preços",C613)))</formula>
    </cfRule>
  </conditionalFormatting>
  <conditionalFormatting sqref="C618">
    <cfRule type="containsText" dxfId="116" priority="151" operator="containsText" text="Pesquisa de Preços">
      <formula>NOT(ISERROR(SEARCH("Pesquisa de Preços",C618)))</formula>
    </cfRule>
  </conditionalFormatting>
  <conditionalFormatting sqref="C624">
    <cfRule type="containsText" dxfId="115" priority="150" operator="containsText" text="Pesquisa de Preços">
      <formula>NOT(ISERROR(SEARCH("Pesquisa de Preços",C624)))</formula>
    </cfRule>
  </conditionalFormatting>
  <conditionalFormatting sqref="C638">
    <cfRule type="containsText" dxfId="114" priority="149" operator="containsText" text="Pesquisa de Preços">
      <formula>NOT(ISERROR(SEARCH("Pesquisa de Preços",C638)))</formula>
    </cfRule>
  </conditionalFormatting>
  <conditionalFormatting sqref="C651">
    <cfRule type="containsText" dxfId="113" priority="148" operator="containsText" text="Pesquisa de Preços">
      <formula>NOT(ISERROR(SEARCH("Pesquisa de Preços",C651)))</formula>
    </cfRule>
  </conditionalFormatting>
  <conditionalFormatting sqref="C658">
    <cfRule type="containsText" dxfId="112" priority="147" operator="containsText" text="Pesquisa de Preços">
      <formula>NOT(ISERROR(SEARCH("Pesquisa de Preços",C658)))</formula>
    </cfRule>
  </conditionalFormatting>
  <conditionalFormatting sqref="C666">
    <cfRule type="containsText" dxfId="111" priority="142" operator="containsText" text="Pesquisa de Preços">
      <formula>NOT(ISERROR(SEARCH("Pesquisa de Preços",C666)))</formula>
    </cfRule>
  </conditionalFormatting>
  <conditionalFormatting sqref="C668:C674">
    <cfRule type="containsText" dxfId="110" priority="141" operator="containsText" text="Pesquisa de Preços">
      <formula>NOT(ISERROR(SEARCH("Pesquisa de Preços",C668)))</formula>
    </cfRule>
  </conditionalFormatting>
  <conditionalFormatting sqref="C682:C685">
    <cfRule type="containsText" dxfId="109" priority="131" operator="containsText" text="Pesquisa de Preços">
      <formula>NOT(ISERROR(SEARCH("Pesquisa de Preços",C682)))</formula>
    </cfRule>
  </conditionalFormatting>
  <conditionalFormatting sqref="C686:C691">
    <cfRule type="containsText" dxfId="108" priority="130" operator="containsText" text="Pesquisa de Preços">
      <formula>NOT(ISERROR(SEARCH("Pesquisa de Preços",C686)))</formula>
    </cfRule>
  </conditionalFormatting>
  <conditionalFormatting sqref="C680">
    <cfRule type="containsText" dxfId="107" priority="129" operator="containsText" text="Pesquisa de Preços">
      <formula>NOT(ISERROR(SEARCH("Pesquisa de Preços",C680)))</formula>
    </cfRule>
  </conditionalFormatting>
  <conditionalFormatting sqref="C695">
    <cfRule type="containsText" dxfId="106" priority="118" operator="containsText" text="Pesquisa de Preços">
      <formula>NOT(ISERROR(SEARCH("Pesquisa de Preços",C695)))</formula>
    </cfRule>
  </conditionalFormatting>
  <conditionalFormatting sqref="C696:C699">
    <cfRule type="containsText" dxfId="105" priority="117" operator="containsText" text="Pesquisa de Preços">
      <formula>NOT(ISERROR(SEARCH("Pesquisa de Preços",C696)))</formula>
    </cfRule>
  </conditionalFormatting>
  <conditionalFormatting sqref="C693">
    <cfRule type="containsText" dxfId="104" priority="116" operator="containsText" text="Pesquisa de Preços">
      <formula>NOT(ISERROR(SEARCH("Pesquisa de Preços",C693)))</formula>
    </cfRule>
  </conditionalFormatting>
  <conditionalFormatting sqref="C708">
    <cfRule type="containsText" dxfId="103" priority="105" operator="containsText" text="Pesquisa de Preços">
      <formula>NOT(ISERROR(SEARCH("Pesquisa de Preços",C708)))</formula>
    </cfRule>
  </conditionalFormatting>
  <conditionalFormatting sqref="C709:C712">
    <cfRule type="containsText" dxfId="102" priority="104" operator="containsText" text="Pesquisa de Preços">
      <formula>NOT(ISERROR(SEARCH("Pesquisa de Preços",C709)))</formula>
    </cfRule>
  </conditionalFormatting>
  <conditionalFormatting sqref="C706">
    <cfRule type="containsText" dxfId="101" priority="103" operator="containsText" text="Pesquisa de Preços">
      <formula>NOT(ISERROR(SEARCH("Pesquisa de Preços",C706)))</formula>
    </cfRule>
  </conditionalFormatting>
  <conditionalFormatting sqref="C720:C722">
    <cfRule type="containsText" dxfId="100" priority="90" operator="containsText" text="Pesquisa de Preços">
      <formula>NOT(ISERROR(SEARCH("Pesquisa de Preços",C720)))</formula>
    </cfRule>
  </conditionalFormatting>
  <conditionalFormatting sqref="C723">
    <cfRule type="containsText" dxfId="99" priority="89" operator="containsText" text="Pesquisa de Preços">
      <formula>NOT(ISERROR(SEARCH("Pesquisa de Preços",C723)))</formula>
    </cfRule>
  </conditionalFormatting>
  <conditionalFormatting sqref="C718">
    <cfRule type="containsText" dxfId="98" priority="88" operator="containsText" text="Pesquisa de Preços">
      <formula>NOT(ISERROR(SEARCH("Pesquisa de Preços",C718)))</formula>
    </cfRule>
  </conditionalFormatting>
  <conditionalFormatting sqref="C731">
    <cfRule type="containsText" dxfId="97" priority="81" operator="containsText" text="Pesquisa de Preços">
      <formula>NOT(ISERROR(SEARCH("Pesquisa de Preços",C731)))</formula>
    </cfRule>
  </conditionalFormatting>
  <conditionalFormatting sqref="C732:C733">
    <cfRule type="containsText" dxfId="96" priority="80" operator="containsText" text="Pesquisa de Preços">
      <formula>NOT(ISERROR(SEARCH("Pesquisa de Preços",C732)))</formula>
    </cfRule>
  </conditionalFormatting>
  <conditionalFormatting sqref="C729">
    <cfRule type="containsText" dxfId="95" priority="79" operator="containsText" text="Pesquisa de Preços">
      <formula>NOT(ISERROR(SEARCH("Pesquisa de Preços",C729)))</formula>
    </cfRule>
  </conditionalFormatting>
  <conditionalFormatting sqref="C737">
    <cfRule type="containsText" dxfId="94" priority="72" operator="containsText" text="Pesquisa de Preços">
      <formula>NOT(ISERROR(SEARCH("Pesquisa de Preços",C737)))</formula>
    </cfRule>
  </conditionalFormatting>
  <conditionalFormatting sqref="C738:C739">
    <cfRule type="containsText" dxfId="93" priority="71" operator="containsText" text="Pesquisa de Preços">
      <formula>NOT(ISERROR(SEARCH("Pesquisa de Preços",C738)))</formula>
    </cfRule>
  </conditionalFormatting>
  <conditionalFormatting sqref="C735">
    <cfRule type="containsText" dxfId="92" priority="70" operator="containsText" text="Pesquisa de Preços">
      <formula>NOT(ISERROR(SEARCH("Pesquisa de Preços",C735)))</formula>
    </cfRule>
  </conditionalFormatting>
  <conditionalFormatting sqref="C743:C746">
    <cfRule type="containsText" dxfId="91" priority="63" operator="containsText" text="Pesquisa de Preços">
      <formula>NOT(ISERROR(SEARCH("Pesquisa de Preços",C743)))</formula>
    </cfRule>
  </conditionalFormatting>
  <conditionalFormatting sqref="C747:C749">
    <cfRule type="containsText" dxfId="90" priority="62" operator="containsText" text="Pesquisa de Preços">
      <formula>NOT(ISERROR(SEARCH("Pesquisa de Preços",C747)))</formula>
    </cfRule>
  </conditionalFormatting>
  <conditionalFormatting sqref="C741">
    <cfRule type="containsText" dxfId="89" priority="61" operator="containsText" text="Pesquisa de Preços">
      <formula>NOT(ISERROR(SEARCH("Pesquisa de Preços",C741)))</formula>
    </cfRule>
  </conditionalFormatting>
  <conditionalFormatting sqref="C753:C756">
    <cfRule type="containsText" dxfId="88" priority="54" operator="containsText" text="Pesquisa de Preços">
      <formula>NOT(ISERROR(SEARCH("Pesquisa de Preços",C753)))</formula>
    </cfRule>
  </conditionalFormatting>
  <conditionalFormatting sqref="C757:C761">
    <cfRule type="containsText" dxfId="87" priority="53" operator="containsText" text="Pesquisa de Preços">
      <formula>NOT(ISERROR(SEARCH("Pesquisa de Preços",C757)))</formula>
    </cfRule>
  </conditionalFormatting>
  <conditionalFormatting sqref="C751">
    <cfRule type="containsText" dxfId="86" priority="52" operator="containsText" text="Pesquisa de Preços">
      <formula>NOT(ISERROR(SEARCH("Pesquisa de Preços",C751)))</formula>
    </cfRule>
  </conditionalFormatting>
  <conditionalFormatting sqref="C765">
    <cfRule type="containsText" dxfId="85" priority="44" operator="containsText" text="Pesquisa de Preços">
      <formula>NOT(ISERROR(SEARCH("Pesquisa de Preços",C765)))</formula>
    </cfRule>
  </conditionalFormatting>
  <conditionalFormatting sqref="C766">
    <cfRule type="containsText" dxfId="84" priority="43" operator="containsText" text="Pesquisa de Preços">
      <formula>NOT(ISERROR(SEARCH("Pesquisa de Preços",C766)))</formula>
    </cfRule>
  </conditionalFormatting>
  <conditionalFormatting sqref="C763">
    <cfRule type="containsText" dxfId="83" priority="42" operator="containsText" text="Pesquisa de Preços">
      <formula>NOT(ISERROR(SEARCH("Pesquisa de Preços",C763)))</formula>
    </cfRule>
  </conditionalFormatting>
  <conditionalFormatting sqref="C770">
    <cfRule type="containsText" dxfId="82" priority="38" operator="containsText" text="Pesquisa de Preços">
      <formula>NOT(ISERROR(SEARCH("Pesquisa de Preços",C770)))</formula>
    </cfRule>
  </conditionalFormatting>
  <conditionalFormatting sqref="C771">
    <cfRule type="containsText" dxfId="81" priority="37" operator="containsText" text="Pesquisa de Preços">
      <formula>NOT(ISERROR(SEARCH("Pesquisa de Preços",C771)))</formula>
    </cfRule>
  </conditionalFormatting>
  <conditionalFormatting sqref="C768">
    <cfRule type="containsText" dxfId="80" priority="36" operator="containsText" text="Pesquisa de Preços">
      <formula>NOT(ISERROR(SEARCH("Pesquisa de Preços",C768)))</formula>
    </cfRule>
  </conditionalFormatting>
  <conditionalFormatting sqref="C775:C778">
    <cfRule type="containsText" dxfId="79" priority="29" operator="containsText" text="Pesquisa de Preços">
      <formula>NOT(ISERROR(SEARCH("Pesquisa de Preços",C775)))</formula>
    </cfRule>
  </conditionalFormatting>
  <conditionalFormatting sqref="C779:C782">
    <cfRule type="containsText" dxfId="78" priority="28" operator="containsText" text="Pesquisa de Preços">
      <formula>NOT(ISERROR(SEARCH("Pesquisa de Preços",C779)))</formula>
    </cfRule>
  </conditionalFormatting>
  <conditionalFormatting sqref="C773">
    <cfRule type="containsText" dxfId="77" priority="27" operator="containsText" text="Pesquisa de Preços">
      <formula>NOT(ISERROR(SEARCH("Pesquisa de Preços",C773)))</formula>
    </cfRule>
  </conditionalFormatting>
  <conditionalFormatting sqref="C783:C789">
    <cfRule type="containsText" dxfId="76" priority="24" operator="containsText" text="Pesquisa de Preços">
      <formula>NOT(ISERROR(SEARCH("Pesquisa de Preços",C783)))</formula>
    </cfRule>
  </conditionalFormatting>
  <conditionalFormatting sqref="C793">
    <cfRule type="containsText" dxfId="75" priority="19" operator="containsText" text="Pesquisa de Preços">
      <formula>NOT(ISERROR(SEARCH("Pesquisa de Preços",C793)))</formula>
    </cfRule>
  </conditionalFormatting>
  <conditionalFormatting sqref="C794:C795">
    <cfRule type="containsText" dxfId="74" priority="18" operator="containsText" text="Pesquisa de Preços">
      <formula>NOT(ISERROR(SEARCH("Pesquisa de Preços",C794)))</formula>
    </cfRule>
  </conditionalFormatting>
  <conditionalFormatting sqref="C791">
    <cfRule type="containsText" dxfId="73" priority="17" operator="containsText" text="Pesquisa de Preços">
      <formula>NOT(ISERROR(SEARCH("Pesquisa de Preços",C791)))</formula>
    </cfRule>
  </conditionalFormatting>
  <conditionalFormatting sqref="C799">
    <cfRule type="containsText" dxfId="72" priority="14" operator="containsText" text="Pesquisa de Preços">
      <formula>NOT(ISERROR(SEARCH("Pesquisa de Preços",C799)))</formula>
    </cfRule>
  </conditionalFormatting>
  <conditionalFormatting sqref="C800:C801">
    <cfRule type="containsText" dxfId="71" priority="13" operator="containsText" text="Pesquisa de Preços">
      <formula>NOT(ISERROR(SEARCH("Pesquisa de Preços",C800)))</formula>
    </cfRule>
  </conditionalFormatting>
  <conditionalFormatting sqref="C797">
    <cfRule type="containsText" dxfId="70" priority="12" operator="containsText" text="Pesquisa de Preços">
      <formula>NOT(ISERROR(SEARCH("Pesquisa de Preços",C797)))</formula>
    </cfRule>
  </conditionalFormatting>
  <conditionalFormatting sqref="C805:C808">
    <cfRule type="containsText" dxfId="69" priority="3" operator="containsText" text="Pesquisa de Preços">
      <formula>NOT(ISERROR(SEARCH("Pesquisa de Preços",C805)))</formula>
    </cfRule>
  </conditionalFormatting>
  <conditionalFormatting sqref="C809:C812">
    <cfRule type="containsText" dxfId="68" priority="2" operator="containsText" text="Pesquisa de Preços">
      <formula>NOT(ISERROR(SEARCH("Pesquisa de Preços",C809)))</formula>
    </cfRule>
  </conditionalFormatting>
  <conditionalFormatting sqref="C803">
    <cfRule type="containsText" dxfId="67" priority="1" operator="containsText" text="Pesquisa de Preços">
      <formula>NOT(ISERROR(SEARCH("Pesquisa de Preços",C803)))</formula>
    </cfRule>
  </conditionalFormatting>
  <printOptions horizontalCentered="1"/>
  <pageMargins left="0.19685039370078741" right="0.19685039370078741" top="0.98425196850393704" bottom="0.59055118110236227" header="0.19685039370078741" footer="0.19685039370078741"/>
  <pageSetup paperSize="9" scale="60" fitToHeight="0"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7CA978-4E5E-4124-8A31-8F42D7AA9C44}">
  <sheetPr codeName="Planilha6" filterMode="1">
    <pageSetUpPr fitToPage="1"/>
  </sheetPr>
  <dimension ref="A1:I172"/>
  <sheetViews>
    <sheetView zoomScale="80" zoomScaleNormal="80" workbookViewId="0">
      <pane ySplit="5" topLeftCell="A6" activePane="bottomLeft" state="frozen"/>
      <selection activeCell="Q42" sqref="Q42"/>
      <selection pane="bottomLeft"/>
    </sheetView>
  </sheetViews>
  <sheetFormatPr defaultRowHeight="15" x14ac:dyDescent="0.25"/>
  <cols>
    <col min="1" max="1" width="46.85546875" customWidth="1"/>
    <col min="2" max="2" width="65.7109375" style="2" customWidth="1"/>
    <col min="3" max="3" width="15.7109375" customWidth="1"/>
    <col min="4" max="4" width="20.7109375" customWidth="1"/>
    <col min="5" max="5" width="15.7109375" customWidth="1"/>
    <col min="6" max="7" width="17.7109375" customWidth="1"/>
    <col min="8" max="8" width="5.7109375" customWidth="1"/>
    <col min="9" max="9" width="14.42578125" customWidth="1"/>
  </cols>
  <sheetData>
    <row r="1" spans="1:9" ht="24.95" customHeight="1" x14ac:dyDescent="0.25">
      <c r="A1" s="110" t="s">
        <v>10621</v>
      </c>
      <c r="B1" s="111"/>
      <c r="C1" s="110"/>
      <c r="D1" s="110"/>
      <c r="E1" s="110"/>
      <c r="F1" s="110"/>
      <c r="G1" s="110"/>
      <c r="H1" s="112"/>
      <c r="I1" s="114"/>
    </row>
    <row r="2" spans="1:9" ht="24.95" customHeight="1" x14ac:dyDescent="0.25">
      <c r="A2" s="11" t="s">
        <v>2959</v>
      </c>
      <c r="B2" s="12"/>
      <c r="C2" s="13"/>
      <c r="D2" s="12"/>
      <c r="E2" s="12"/>
      <c r="F2" s="12"/>
      <c r="G2" s="12"/>
      <c r="H2" s="15"/>
      <c r="I2" s="114"/>
    </row>
    <row r="3" spans="1:9" ht="20.100000000000001" customHeight="1" x14ac:dyDescent="0.25">
      <c r="A3" s="16" t="s">
        <v>0</v>
      </c>
      <c r="B3" s="16"/>
      <c r="C3" s="17"/>
      <c r="D3" s="16"/>
      <c r="E3" s="16"/>
      <c r="F3" s="16"/>
      <c r="G3" s="16"/>
      <c r="H3" s="16"/>
      <c r="I3" s="114"/>
    </row>
    <row r="4" spans="1:9" ht="20.100000000000001" customHeight="1" thickBot="1" x14ac:dyDescent="0.3">
      <c r="A4" s="115"/>
      <c r="B4" s="116"/>
      <c r="C4" s="131"/>
      <c r="D4" s="116"/>
      <c r="E4" s="116"/>
      <c r="F4" s="116"/>
      <c r="G4" s="116"/>
      <c r="H4" s="117"/>
      <c r="I4" s="118"/>
    </row>
    <row r="5" spans="1:9" ht="65.099999999999994" customHeight="1" thickBot="1" x14ac:dyDescent="0.3">
      <c r="A5" s="132" t="s">
        <v>3</v>
      </c>
      <c r="B5" s="133" t="s">
        <v>4</v>
      </c>
      <c r="C5" s="134" t="s">
        <v>5</v>
      </c>
      <c r="D5" s="133" t="s">
        <v>6</v>
      </c>
      <c r="E5" s="133" t="s">
        <v>7</v>
      </c>
      <c r="F5" s="25" t="s">
        <v>8</v>
      </c>
      <c r="G5" s="28" t="s">
        <v>2954</v>
      </c>
      <c r="H5" s="135"/>
      <c r="I5" s="119" t="s">
        <v>11</v>
      </c>
    </row>
    <row r="6" spans="1:9" ht="15.75" hidden="1" thickBot="1" x14ac:dyDescent="0.3">
      <c r="A6" s="184" t="s">
        <v>10622</v>
      </c>
      <c r="B6" s="31" t="s">
        <v>13</v>
      </c>
      <c r="C6" s="32" t="s">
        <v>10676</v>
      </c>
      <c r="D6" s="120"/>
      <c r="E6" s="54" t="s">
        <v>13</v>
      </c>
      <c r="F6" s="54" t="str">
        <f>IF(ISNUMBER(E6),E6*$D6,"")</f>
        <v/>
      </c>
      <c r="G6" s="35"/>
      <c r="H6" s="36"/>
      <c r="I6" s="121">
        <v>0</v>
      </c>
    </row>
    <row r="7" spans="1:9" hidden="1" x14ac:dyDescent="0.25">
      <c r="A7" s="182"/>
      <c r="B7" s="39" t="s">
        <v>13</v>
      </c>
      <c r="C7" s="128"/>
      <c r="D7" s="122"/>
      <c r="E7" s="55" t="s">
        <v>13</v>
      </c>
      <c r="F7" s="38" t="str">
        <f>IF(ISNUMBER(E7),E7*$D7,"")</f>
        <v/>
      </c>
      <c r="G7" s="42"/>
      <c r="H7" s="38"/>
      <c r="I7" s="121">
        <v>0</v>
      </c>
    </row>
    <row r="8" spans="1:9" ht="51" hidden="1" x14ac:dyDescent="0.25">
      <c r="A8" s="182"/>
      <c r="B8" s="43" t="s">
        <v>10640</v>
      </c>
      <c r="C8" s="43" t="s">
        <v>1050</v>
      </c>
      <c r="D8" s="44">
        <v>1.3899999999999999E-2</v>
      </c>
      <c r="E8" s="41">
        <v>182.21949999999998</v>
      </c>
      <c r="F8" s="41">
        <f>IF(ISNUMBER(E8),E8*$D8,"")</f>
        <v>2.5328510499999997</v>
      </c>
      <c r="G8" s="46">
        <f>SUM(F8:F9)</f>
        <v>2.9193680499999997</v>
      </c>
      <c r="H8" s="59"/>
      <c r="I8" s="121">
        <v>0</v>
      </c>
    </row>
    <row r="9" spans="1:9" ht="51" hidden="1" x14ac:dyDescent="0.25">
      <c r="A9" s="182"/>
      <c r="B9" s="43" t="s">
        <v>10641</v>
      </c>
      <c r="C9" s="43" t="s">
        <v>10677</v>
      </c>
      <c r="D9" s="44">
        <v>6.0000000000000001E-3</v>
      </c>
      <c r="E9" s="41">
        <v>64.419499999999999</v>
      </c>
      <c r="F9" s="41">
        <f>IF(ISNUMBER(E9),E9*$D9,"")</f>
        <v>0.386517</v>
      </c>
      <c r="G9" s="58"/>
      <c r="H9" s="59"/>
      <c r="I9" s="121">
        <v>0</v>
      </c>
    </row>
    <row r="10" spans="1:9" ht="15.75" hidden="1" thickBot="1" x14ac:dyDescent="0.3">
      <c r="A10" s="183"/>
      <c r="B10" s="49" t="s">
        <v>13</v>
      </c>
      <c r="C10" s="129"/>
      <c r="D10" s="123"/>
      <c r="E10" s="51" t="s">
        <v>13</v>
      </c>
      <c r="F10" s="51" t="str">
        <f>IF(ISNUMBER(E10),E10*$D10,"")</f>
        <v/>
      </c>
      <c r="G10" s="53"/>
      <c r="H10" s="38"/>
      <c r="I10" s="121">
        <v>0</v>
      </c>
    </row>
    <row r="11" spans="1:9" ht="15.75" hidden="1" thickBot="1" x14ac:dyDescent="0.3">
      <c r="A11" s="184" t="s">
        <v>10623</v>
      </c>
      <c r="B11" s="31" t="s">
        <v>13</v>
      </c>
      <c r="C11" s="32" t="s">
        <v>1044</v>
      </c>
      <c r="D11" s="120"/>
      <c r="E11" s="34" t="s">
        <v>13</v>
      </c>
      <c r="F11" s="32" t="str">
        <f>IF(ISNUMBER(E11),E11*$D11,"")</f>
        <v/>
      </c>
      <c r="G11" s="35"/>
      <c r="H11" s="36"/>
      <c r="I11" s="121">
        <v>0</v>
      </c>
    </row>
    <row r="12" spans="1:9" hidden="1" x14ac:dyDescent="0.25">
      <c r="A12" s="182"/>
      <c r="B12" s="39" t="s">
        <v>13</v>
      </c>
      <c r="C12" s="128"/>
      <c r="D12" s="122"/>
      <c r="E12" s="38" t="s">
        <v>13</v>
      </c>
      <c r="F12" s="38" t="str">
        <f>IF(ISNUMBER(E12),E12*$D12,"")</f>
        <v/>
      </c>
      <c r="G12" s="42"/>
      <c r="H12" s="38"/>
      <c r="I12" s="121">
        <v>0</v>
      </c>
    </row>
    <row r="13" spans="1:9" hidden="1" x14ac:dyDescent="0.25">
      <c r="A13" s="182"/>
      <c r="B13" s="43" t="s">
        <v>10642</v>
      </c>
      <c r="C13" s="43" t="s">
        <v>1044</v>
      </c>
      <c r="D13" s="44">
        <v>1.07</v>
      </c>
      <c r="E13" s="38">
        <v>6.9729999999999999</v>
      </c>
      <c r="F13" s="41">
        <f>IF(ISNUMBER(E13),E13*$D13,"")</f>
        <v>7.4611100000000006</v>
      </c>
      <c r="G13" s="46">
        <f>SUM(F13:F15)</f>
        <v>10.659407550000001</v>
      </c>
      <c r="H13" s="59"/>
      <c r="I13" s="121">
        <v>0</v>
      </c>
    </row>
    <row r="14" spans="1:9" hidden="1" x14ac:dyDescent="0.25">
      <c r="A14" s="182"/>
      <c r="B14" s="43" t="s">
        <v>10643</v>
      </c>
      <c r="C14" s="43" t="s">
        <v>2800</v>
      </c>
      <c r="D14" s="44">
        <v>1.3100000000000001E-2</v>
      </c>
      <c r="E14" s="41">
        <v>24.519499999999997</v>
      </c>
      <c r="F14" s="41">
        <f>IF(ISNUMBER(E14),E14*$D14,"")</f>
        <v>0.32120545</v>
      </c>
      <c r="G14" s="58"/>
      <c r="H14" s="59"/>
      <c r="I14" s="121">
        <v>0</v>
      </c>
    </row>
    <row r="15" spans="1:9" hidden="1" x14ac:dyDescent="0.25">
      <c r="A15" s="182"/>
      <c r="B15" s="43" t="s">
        <v>10644</v>
      </c>
      <c r="C15" s="43" t="s">
        <v>2800</v>
      </c>
      <c r="D15" s="44">
        <v>9.3299999999999994E-2</v>
      </c>
      <c r="E15" s="38">
        <v>30.837</v>
      </c>
      <c r="F15" s="41">
        <f>IF(ISNUMBER(E15),E15*$D15,"")</f>
        <v>2.8770920999999996</v>
      </c>
      <c r="G15" s="58"/>
      <c r="H15" s="59"/>
      <c r="I15" s="121">
        <v>0</v>
      </c>
    </row>
    <row r="16" spans="1:9" ht="15.75" hidden="1" thickBot="1" x14ac:dyDescent="0.3">
      <c r="A16" s="183"/>
      <c r="B16" s="49" t="s">
        <v>13</v>
      </c>
      <c r="C16" s="129"/>
      <c r="D16" s="123"/>
      <c r="E16" s="51" t="s">
        <v>13</v>
      </c>
      <c r="F16" s="52" t="str">
        <f>IF(ISNUMBER(E16),E16*$D16,"")</f>
        <v/>
      </c>
      <c r="G16" s="53"/>
      <c r="H16" s="38"/>
      <c r="I16" s="121">
        <v>0</v>
      </c>
    </row>
    <row r="17" spans="1:9" ht="15.75" hidden="1" thickBot="1" x14ac:dyDescent="0.3">
      <c r="A17" s="184" t="s">
        <v>10624</v>
      </c>
      <c r="B17" s="31" t="s">
        <v>13</v>
      </c>
      <c r="C17" s="32" t="s">
        <v>2880</v>
      </c>
      <c r="D17" s="120"/>
      <c r="E17" s="34" t="s">
        <v>13</v>
      </c>
      <c r="F17" s="32" t="str">
        <f>IF(ISNUMBER(E17),E17*$D17,"")</f>
        <v/>
      </c>
      <c r="G17" s="35"/>
      <c r="H17" s="36"/>
      <c r="I17" s="121">
        <v>0</v>
      </c>
    </row>
    <row r="18" spans="1:9" hidden="1" x14ac:dyDescent="0.25">
      <c r="A18" s="182"/>
      <c r="B18" s="39" t="s">
        <v>13</v>
      </c>
      <c r="C18" s="128"/>
      <c r="D18" s="122"/>
      <c r="E18" s="38" t="s">
        <v>13</v>
      </c>
      <c r="F18" s="38" t="str">
        <f>IF(ISNUMBER(E18),E18*$D18,"")</f>
        <v/>
      </c>
      <c r="G18" s="42"/>
      <c r="H18" s="38"/>
      <c r="I18" s="121">
        <v>0</v>
      </c>
    </row>
    <row r="19" spans="1:9" ht="38.25" hidden="1" x14ac:dyDescent="0.25">
      <c r="A19" s="182"/>
      <c r="B19" s="43" t="s">
        <v>10645</v>
      </c>
      <c r="C19" s="43" t="s">
        <v>1050</v>
      </c>
      <c r="D19" s="44">
        <v>8.3000000000000001E-3</v>
      </c>
      <c r="E19" s="38">
        <v>158.45049999999998</v>
      </c>
      <c r="F19" s="41">
        <f>IF(ISNUMBER(E19),E19*$D19,"")</f>
        <v>1.3151391499999998</v>
      </c>
      <c r="G19" s="46">
        <f>SUM(F19:F22)</f>
        <v>8.5522277499999984</v>
      </c>
      <c r="H19" s="59"/>
      <c r="I19" s="121">
        <v>0</v>
      </c>
    </row>
    <row r="20" spans="1:9" ht="38.25" hidden="1" x14ac:dyDescent="0.25">
      <c r="A20" s="182"/>
      <c r="B20" s="43" t="s">
        <v>10646</v>
      </c>
      <c r="C20" s="43" t="s">
        <v>10677</v>
      </c>
      <c r="D20" s="44">
        <v>1.5100000000000001E-2</v>
      </c>
      <c r="E20" s="38">
        <v>70.471000000000004</v>
      </c>
      <c r="F20" s="41">
        <f>IF(ISNUMBER(E20),E20*$D20,"")</f>
        <v>1.0641121</v>
      </c>
      <c r="G20" s="58"/>
      <c r="H20" s="59"/>
      <c r="I20" s="121">
        <v>0</v>
      </c>
    </row>
    <row r="21" spans="1:9" ht="51" hidden="1" x14ac:dyDescent="0.25">
      <c r="A21" s="182"/>
      <c r="B21" s="43" t="s">
        <v>10640</v>
      </c>
      <c r="C21" s="43" t="s">
        <v>1050</v>
      </c>
      <c r="D21" s="44">
        <v>2.6700000000000002E-2</v>
      </c>
      <c r="E21" s="38">
        <v>182.21949999999998</v>
      </c>
      <c r="F21" s="41">
        <f>IF(ISNUMBER(E21),E21*$D21,"")</f>
        <v>4.8652606499999997</v>
      </c>
      <c r="G21" s="58"/>
      <c r="H21" s="59"/>
      <c r="I21" s="121">
        <v>0</v>
      </c>
    </row>
    <row r="22" spans="1:9" ht="51" hidden="1" x14ac:dyDescent="0.25">
      <c r="A22" s="182"/>
      <c r="B22" s="43" t="s">
        <v>10641</v>
      </c>
      <c r="C22" s="43" t="s">
        <v>10677</v>
      </c>
      <c r="D22" s="44">
        <v>2.0299999999999999E-2</v>
      </c>
      <c r="E22" s="38">
        <v>64.419499999999999</v>
      </c>
      <c r="F22" s="41">
        <f>IF(ISNUMBER(E22),E22*$D22,"")</f>
        <v>1.3077158499999999</v>
      </c>
      <c r="G22" s="58"/>
      <c r="H22" s="59"/>
      <c r="I22" s="121">
        <v>0</v>
      </c>
    </row>
    <row r="23" spans="1:9" ht="15.75" hidden="1" thickBot="1" x14ac:dyDescent="0.3">
      <c r="A23" s="183"/>
      <c r="B23" s="49" t="s">
        <v>13</v>
      </c>
      <c r="C23" s="129"/>
      <c r="D23" s="123"/>
      <c r="E23" s="51" t="s">
        <v>13</v>
      </c>
      <c r="F23" s="52" t="str">
        <f>IF(ISNUMBER(E23),E23*$D23,"")</f>
        <v/>
      </c>
      <c r="G23" s="53"/>
      <c r="H23" s="38"/>
      <c r="I23" s="121">
        <v>0</v>
      </c>
    </row>
    <row r="24" spans="1:9" ht="15.75" hidden="1" thickBot="1" x14ac:dyDescent="0.3">
      <c r="A24" s="184" t="s">
        <v>10625</v>
      </c>
      <c r="B24" s="31" t="s">
        <v>13</v>
      </c>
      <c r="C24" s="32" t="s">
        <v>2880</v>
      </c>
      <c r="D24" s="120"/>
      <c r="E24" s="54" t="s">
        <v>13</v>
      </c>
      <c r="F24" s="54" t="str">
        <f>IF(ISNUMBER(E24),E24*$D24,"")</f>
        <v/>
      </c>
      <c r="G24" s="35"/>
      <c r="H24" s="36"/>
      <c r="I24" s="121">
        <v>0</v>
      </c>
    </row>
    <row r="25" spans="1:9" hidden="1" x14ac:dyDescent="0.25">
      <c r="A25" s="182"/>
      <c r="B25" s="39" t="s">
        <v>13</v>
      </c>
      <c r="C25" s="128"/>
      <c r="D25" s="122"/>
      <c r="E25" s="136" t="s">
        <v>13</v>
      </c>
      <c r="F25" s="137" t="str">
        <f>IF(ISNUMBER(E25),E25*$D25,"")</f>
        <v/>
      </c>
      <c r="G25" s="42"/>
      <c r="H25" s="38"/>
      <c r="I25" s="121">
        <v>0</v>
      </c>
    </row>
    <row r="26" spans="1:9" ht="25.5" hidden="1" x14ac:dyDescent="0.25">
      <c r="A26" s="182"/>
      <c r="B26" s="43" t="s">
        <v>10647</v>
      </c>
      <c r="C26" s="43" t="s">
        <v>2880</v>
      </c>
      <c r="D26" s="44">
        <v>1.36</v>
      </c>
      <c r="E26" s="41">
        <v>199.71849999999998</v>
      </c>
      <c r="F26" s="41">
        <f>IF(ISNUMBER(E26),E26*$D26,"")</f>
        <v>271.61716000000001</v>
      </c>
      <c r="G26" s="46">
        <f>SUM(F26:F32)</f>
        <v>787.99346570000023</v>
      </c>
      <c r="H26" s="59"/>
      <c r="I26" s="121">
        <v>0</v>
      </c>
    </row>
    <row r="27" spans="1:9" hidden="1" x14ac:dyDescent="0.25">
      <c r="A27" s="182"/>
      <c r="B27" s="43" t="s">
        <v>10648</v>
      </c>
      <c r="C27" s="43" t="s">
        <v>1044</v>
      </c>
      <c r="D27" s="44">
        <v>459.85</v>
      </c>
      <c r="E27" s="41">
        <v>0.64600000000000002</v>
      </c>
      <c r="F27" s="41">
        <f>IF(ISNUMBER(E27),E27*$D27,"")</f>
        <v>297.06310000000002</v>
      </c>
      <c r="G27" s="58"/>
      <c r="H27" s="59"/>
      <c r="I27" s="121">
        <v>0</v>
      </c>
    </row>
    <row r="28" spans="1:9" ht="25.5" hidden="1" x14ac:dyDescent="0.25">
      <c r="A28" s="182"/>
      <c r="B28" s="43" t="s">
        <v>10649</v>
      </c>
      <c r="C28" s="43" t="s">
        <v>2800</v>
      </c>
      <c r="D28" s="44">
        <v>4.8499999999999996</v>
      </c>
      <c r="E28" s="38">
        <v>25.745000000000001</v>
      </c>
      <c r="F28" s="41">
        <f>IF(ISNUMBER(E28),E28*$D28,"")</f>
        <v>124.86324999999999</v>
      </c>
      <c r="G28" s="58"/>
      <c r="H28" s="59"/>
      <c r="I28" s="121">
        <v>0</v>
      </c>
    </row>
    <row r="29" spans="1:9" ht="38.25" hidden="1" x14ac:dyDescent="0.25">
      <c r="A29" s="182"/>
      <c r="B29" s="43" t="s">
        <v>10650</v>
      </c>
      <c r="C29" s="43" t="s">
        <v>1050</v>
      </c>
      <c r="D29" s="44">
        <v>1.1299999999999999</v>
      </c>
      <c r="E29" s="38">
        <v>1.6435</v>
      </c>
      <c r="F29" s="41">
        <f>IF(ISNUMBER(E29),E29*$D29,"")</f>
        <v>1.8571549999999999</v>
      </c>
      <c r="G29" s="58"/>
      <c r="H29" s="59"/>
      <c r="I29" s="121">
        <v>0</v>
      </c>
    </row>
    <row r="30" spans="1:9" ht="38.25" hidden="1" x14ac:dyDescent="0.25">
      <c r="A30" s="182"/>
      <c r="B30" s="43" t="s">
        <v>10651</v>
      </c>
      <c r="C30" s="43" t="s">
        <v>10677</v>
      </c>
      <c r="D30" s="44">
        <v>3.72</v>
      </c>
      <c r="E30" s="38">
        <v>0.41799999999999998</v>
      </c>
      <c r="F30" s="41">
        <f>IF(ISNUMBER(E30),E30*$D30,"")</f>
        <v>1.5549600000000001</v>
      </c>
      <c r="G30" s="58"/>
      <c r="H30" s="59"/>
      <c r="I30" s="121">
        <v>0</v>
      </c>
    </row>
    <row r="31" spans="1:9" ht="51" hidden="1" x14ac:dyDescent="0.25">
      <c r="A31" s="182"/>
      <c r="B31" s="43" t="s">
        <v>10624</v>
      </c>
      <c r="C31" s="43" t="s">
        <v>2880</v>
      </c>
      <c r="D31" s="44">
        <f>D26</f>
        <v>1.36</v>
      </c>
      <c r="E31" s="38">
        <v>8.5522277500000001</v>
      </c>
      <c r="F31" s="41">
        <f>IF(ISNUMBER(E31),E31*$D31,"")</f>
        <v>11.631029740000001</v>
      </c>
      <c r="G31" s="58"/>
      <c r="H31" s="59"/>
      <c r="I31" s="121">
        <v>0</v>
      </c>
    </row>
    <row r="32" spans="1:9" ht="38.25" hidden="1" x14ac:dyDescent="0.25">
      <c r="A32" s="182"/>
      <c r="B32" s="43" t="s">
        <v>10622</v>
      </c>
      <c r="C32" s="43" t="s">
        <v>10676</v>
      </c>
      <c r="D32" s="44">
        <f>20*D26</f>
        <v>27.200000000000003</v>
      </c>
      <c r="E32" s="41">
        <v>2.9193680499999997</v>
      </c>
      <c r="F32" s="41">
        <f>IF(ISNUMBER(E32),E32*$D32,"")</f>
        <v>79.406810960000001</v>
      </c>
      <c r="G32" s="58"/>
      <c r="H32" s="59"/>
      <c r="I32" s="121">
        <v>0</v>
      </c>
    </row>
    <row r="33" spans="1:9" hidden="1" x14ac:dyDescent="0.25">
      <c r="A33" s="182"/>
      <c r="B33" s="61"/>
      <c r="C33" s="130"/>
      <c r="D33" s="44"/>
      <c r="E33" s="38" t="s">
        <v>13</v>
      </c>
      <c r="F33" s="41" t="str">
        <f>IF(ISNUMBER(E33),E33*$D33,"")</f>
        <v/>
      </c>
      <c r="G33" s="58"/>
      <c r="H33" s="59"/>
      <c r="I33" s="121">
        <v>0</v>
      </c>
    </row>
    <row r="34" spans="1:9" hidden="1" x14ac:dyDescent="0.25">
      <c r="A34" s="182"/>
      <c r="B34" s="4" t="s">
        <v>646</v>
      </c>
      <c r="C34" s="130"/>
      <c r="D34" s="44"/>
      <c r="E34" s="38" t="s">
        <v>13</v>
      </c>
      <c r="F34" s="41" t="str">
        <f>IF(ISNUMBER(E34),E34*$D34,"")</f>
        <v/>
      </c>
      <c r="G34" s="58"/>
      <c r="H34" s="59"/>
      <c r="I34" s="121">
        <v>0</v>
      </c>
    </row>
    <row r="35" spans="1:9" ht="15.75" hidden="1" thickBot="1" x14ac:dyDescent="0.3">
      <c r="A35" s="183"/>
      <c r="B35" s="92" t="s">
        <v>2960</v>
      </c>
      <c r="C35" s="129"/>
      <c r="D35" s="123"/>
      <c r="E35" s="51" t="s">
        <v>13</v>
      </c>
      <c r="F35" s="51" t="str">
        <f>IF(ISNUMBER(E35),E35*$D35,"")</f>
        <v/>
      </c>
      <c r="G35" s="53"/>
      <c r="H35" s="38"/>
      <c r="I35" s="121">
        <v>0</v>
      </c>
    </row>
    <row r="36" spans="1:9" ht="15.75" hidden="1" thickBot="1" x14ac:dyDescent="0.3">
      <c r="A36" s="184" t="s">
        <v>10626</v>
      </c>
      <c r="B36" s="31" t="s">
        <v>13</v>
      </c>
      <c r="C36" s="32" t="s">
        <v>162</v>
      </c>
      <c r="D36" s="120"/>
      <c r="E36" s="54" t="s">
        <v>13</v>
      </c>
      <c r="F36" s="54" t="str">
        <f>IF(ISNUMBER(E36),E36*$D36,"")</f>
        <v/>
      </c>
      <c r="G36" s="35"/>
      <c r="H36" s="36"/>
      <c r="I36" s="121">
        <v>0</v>
      </c>
    </row>
    <row r="37" spans="1:9" hidden="1" x14ac:dyDescent="0.25">
      <c r="A37" s="182"/>
      <c r="B37" s="39" t="s">
        <v>13</v>
      </c>
      <c r="C37" s="128"/>
      <c r="D37" s="122"/>
      <c r="E37" s="136" t="s">
        <v>13</v>
      </c>
      <c r="F37" s="137" t="str">
        <f>IF(ISNUMBER(E37),E37*$D37,"")</f>
        <v/>
      </c>
      <c r="G37" s="42"/>
      <c r="H37" s="38"/>
      <c r="I37" s="121">
        <v>0</v>
      </c>
    </row>
    <row r="38" spans="1:9" ht="25.5" hidden="1" x14ac:dyDescent="0.25">
      <c r="A38" s="182"/>
      <c r="B38" s="43" t="s">
        <v>10652</v>
      </c>
      <c r="C38" s="43" t="s">
        <v>1302</v>
      </c>
      <c r="D38" s="44">
        <v>4.4320000000000004</v>
      </c>
      <c r="E38" s="41">
        <v>2.5554999999999999</v>
      </c>
      <c r="F38" s="41">
        <f>IF(ISNUMBER(E38),E38*$D38,"")</f>
        <v>11.325976000000001</v>
      </c>
      <c r="G38" s="46">
        <f>SUM(F38:F44)</f>
        <v>120.62897649999999</v>
      </c>
      <c r="H38" s="59"/>
      <c r="I38" s="121">
        <v>0</v>
      </c>
    </row>
    <row r="39" spans="1:9" hidden="1" x14ac:dyDescent="0.25">
      <c r="A39" s="182"/>
      <c r="B39" s="43" t="s">
        <v>10653</v>
      </c>
      <c r="C39" s="43" t="s">
        <v>1044</v>
      </c>
      <c r="D39" s="44">
        <v>8.5999999999999993E-2</v>
      </c>
      <c r="E39" s="41">
        <v>18.401499999999999</v>
      </c>
      <c r="F39" s="41">
        <f>IF(ISNUMBER(E39),E39*$D39,"")</f>
        <v>1.5825289999999999</v>
      </c>
      <c r="G39" s="58"/>
      <c r="H39" s="59"/>
      <c r="I39" s="121">
        <v>0</v>
      </c>
    </row>
    <row r="40" spans="1:9" ht="25.5" hidden="1" x14ac:dyDescent="0.25">
      <c r="A40" s="182"/>
      <c r="B40" s="43" t="s">
        <v>10654</v>
      </c>
      <c r="C40" s="43" t="s">
        <v>1302</v>
      </c>
      <c r="D40" s="44">
        <v>6.53</v>
      </c>
      <c r="E40" s="38">
        <v>12.112499999999999</v>
      </c>
      <c r="F40" s="41">
        <f>IF(ISNUMBER(E40),E40*$D40,"")</f>
        <v>79.094624999999994</v>
      </c>
      <c r="G40" s="58"/>
      <c r="H40" s="59"/>
      <c r="I40" s="121">
        <v>0</v>
      </c>
    </row>
    <row r="41" spans="1:9" hidden="1" x14ac:dyDescent="0.25">
      <c r="A41" s="182"/>
      <c r="B41" s="43" t="s">
        <v>10655</v>
      </c>
      <c r="C41" s="43" t="s">
        <v>2800</v>
      </c>
      <c r="D41" s="44">
        <v>0.14299999999999999</v>
      </c>
      <c r="E41" s="38">
        <v>24.358000000000001</v>
      </c>
      <c r="F41" s="41">
        <f>IF(ISNUMBER(E41),E41*$D41,"")</f>
        <v>3.4831939999999997</v>
      </c>
      <c r="G41" s="58"/>
      <c r="H41" s="59"/>
      <c r="I41" s="121">
        <v>0</v>
      </c>
    </row>
    <row r="42" spans="1:9" hidden="1" x14ac:dyDescent="0.25">
      <c r="A42" s="182"/>
      <c r="B42" s="43" t="s">
        <v>10613</v>
      </c>
      <c r="C42" s="43" t="s">
        <v>2800</v>
      </c>
      <c r="D42" s="44">
        <v>0.60699999999999998</v>
      </c>
      <c r="E42" s="38">
        <v>30.628</v>
      </c>
      <c r="F42" s="41">
        <f>IF(ISNUMBER(E42),E42*$D42,"")</f>
        <v>18.591196</v>
      </c>
      <c r="G42" s="58"/>
      <c r="H42" s="59"/>
      <c r="I42" s="121">
        <v>0</v>
      </c>
    </row>
    <row r="43" spans="1:9" ht="25.5" hidden="1" x14ac:dyDescent="0.25">
      <c r="A43" s="182"/>
      <c r="B43" s="43" t="s">
        <v>10656</v>
      </c>
      <c r="C43" s="43" t="s">
        <v>1050</v>
      </c>
      <c r="D43" s="44">
        <v>0.05</v>
      </c>
      <c r="E43" s="38">
        <v>26.884999999999998</v>
      </c>
      <c r="F43" s="41">
        <f>IF(ISNUMBER(E43),E43*$D43,"")</f>
        <v>1.3442499999999999</v>
      </c>
      <c r="G43" s="58"/>
      <c r="H43" s="59"/>
      <c r="I43" s="121">
        <v>0</v>
      </c>
    </row>
    <row r="44" spans="1:9" ht="25.5" hidden="1" x14ac:dyDescent="0.25">
      <c r="A44" s="182"/>
      <c r="B44" s="43" t="s">
        <v>10657</v>
      </c>
      <c r="C44" s="43" t="s">
        <v>10677</v>
      </c>
      <c r="D44" s="44">
        <v>0.20100000000000001</v>
      </c>
      <c r="E44" s="41">
        <v>25.906499999999998</v>
      </c>
      <c r="F44" s="41">
        <f>IF(ISNUMBER(E44),E44*$D44,"")</f>
        <v>5.2072064999999998</v>
      </c>
      <c r="G44" s="58"/>
      <c r="H44" s="59"/>
      <c r="I44" s="121">
        <v>0</v>
      </c>
    </row>
    <row r="45" spans="1:9" ht="15.75" hidden="1" thickBot="1" x14ac:dyDescent="0.3">
      <c r="A45" s="183"/>
      <c r="B45" s="92"/>
      <c r="C45" s="129"/>
      <c r="D45" s="123"/>
      <c r="E45" s="51" t="s">
        <v>13</v>
      </c>
      <c r="F45" s="51" t="str">
        <f>IF(ISNUMBER(E45),E45*$D45,"")</f>
        <v/>
      </c>
      <c r="G45" s="53"/>
      <c r="H45" s="38"/>
      <c r="I45" s="121">
        <v>0</v>
      </c>
    </row>
    <row r="46" spans="1:9" ht="15.75" hidden="1" thickBot="1" x14ac:dyDescent="0.3">
      <c r="A46" s="184" t="s">
        <v>10627</v>
      </c>
      <c r="B46" s="31" t="s">
        <v>13</v>
      </c>
      <c r="C46" s="32" t="s">
        <v>2880</v>
      </c>
      <c r="D46" s="120"/>
      <c r="E46" s="54" t="s">
        <v>13</v>
      </c>
      <c r="F46" s="54" t="str">
        <f>IF(ISNUMBER(E46),E46*$D46,"")</f>
        <v/>
      </c>
      <c r="G46" s="35"/>
      <c r="H46" s="36"/>
      <c r="I46" s="121">
        <v>0</v>
      </c>
    </row>
    <row r="47" spans="1:9" hidden="1" x14ac:dyDescent="0.25">
      <c r="A47" s="182"/>
      <c r="B47" s="39" t="s">
        <v>13</v>
      </c>
      <c r="C47" s="128"/>
      <c r="D47" s="122"/>
      <c r="E47" s="136" t="s">
        <v>13</v>
      </c>
      <c r="F47" s="137" t="str">
        <f>IF(ISNUMBER(E47),E47*$D47,"")</f>
        <v/>
      </c>
      <c r="G47" s="42"/>
      <c r="H47" s="38"/>
      <c r="I47" s="121">
        <v>0</v>
      </c>
    </row>
    <row r="48" spans="1:9" ht="25.5" hidden="1" x14ac:dyDescent="0.25">
      <c r="A48" s="182"/>
      <c r="B48" s="43" t="s">
        <v>10658</v>
      </c>
      <c r="C48" s="43" t="s">
        <v>2880</v>
      </c>
      <c r="D48" s="44">
        <v>0.95</v>
      </c>
      <c r="E48" s="41">
        <v>202.32149999999999</v>
      </c>
      <c r="F48" s="41">
        <f>IF(ISNUMBER(E48),E48*$D48,"")</f>
        <v>192.20542499999999</v>
      </c>
      <c r="G48" s="46">
        <f>SUM(F48:F57)</f>
        <v>645.57248931250001</v>
      </c>
      <c r="H48" s="59"/>
      <c r="I48" s="121">
        <v>0</v>
      </c>
    </row>
    <row r="49" spans="1:9" hidden="1" x14ac:dyDescent="0.25">
      <c r="A49" s="182"/>
      <c r="B49" s="43" t="s">
        <v>10648</v>
      </c>
      <c r="C49" s="43" t="s">
        <v>1044</v>
      </c>
      <c r="D49" s="44">
        <v>426.49</v>
      </c>
      <c r="E49" s="41">
        <v>0.64600000000000002</v>
      </c>
      <c r="F49" s="41">
        <f>IF(ISNUMBER(E49),E49*$D49,"")</f>
        <v>275.51254</v>
      </c>
      <c r="G49" s="58"/>
      <c r="H49" s="59"/>
      <c r="I49" s="121">
        <v>0</v>
      </c>
    </row>
    <row r="50" spans="1:9" ht="25.5" hidden="1" x14ac:dyDescent="0.25">
      <c r="A50" s="182"/>
      <c r="B50" s="43" t="s">
        <v>10649</v>
      </c>
      <c r="C50" s="43" t="s">
        <v>2800</v>
      </c>
      <c r="D50" s="44">
        <v>4.32</v>
      </c>
      <c r="E50" s="38">
        <v>25.745000000000001</v>
      </c>
      <c r="F50" s="41">
        <f>IF(ISNUMBER(E50),E50*$D50,"")</f>
        <v>111.21840000000002</v>
      </c>
      <c r="G50" s="58"/>
      <c r="H50" s="59"/>
      <c r="I50" s="121">
        <v>0</v>
      </c>
    </row>
    <row r="51" spans="1:9" ht="38.25" hidden="1" x14ac:dyDescent="0.25">
      <c r="A51" s="182"/>
      <c r="B51" s="43" t="s">
        <v>10650</v>
      </c>
      <c r="C51" s="43" t="s">
        <v>1050</v>
      </c>
      <c r="D51" s="44">
        <v>1.01</v>
      </c>
      <c r="E51" s="38">
        <v>1.6435</v>
      </c>
      <c r="F51" s="41">
        <f>IF(ISNUMBER(E51),E51*$D51,"")</f>
        <v>1.6599349999999999</v>
      </c>
      <c r="G51" s="58"/>
      <c r="H51" s="59"/>
      <c r="I51" s="121">
        <v>0</v>
      </c>
    </row>
    <row r="52" spans="1:9" ht="38.25" hidden="1" x14ac:dyDescent="0.25">
      <c r="A52" s="182"/>
      <c r="B52" s="43" t="s">
        <v>10651</v>
      </c>
      <c r="C52" s="43" t="s">
        <v>10677</v>
      </c>
      <c r="D52" s="44">
        <v>3.31</v>
      </c>
      <c r="E52" s="38">
        <v>0.41799999999999998</v>
      </c>
      <c r="F52" s="41">
        <f>IF(ISNUMBER(E52),E52*$D52,"")</f>
        <v>1.38358</v>
      </c>
      <c r="G52" s="58"/>
      <c r="H52" s="59"/>
      <c r="I52" s="121">
        <v>0</v>
      </c>
    </row>
    <row r="53" spans="1:9" ht="51" hidden="1" x14ac:dyDescent="0.25">
      <c r="A53" s="182"/>
      <c r="B53" s="43" t="s">
        <v>10624</v>
      </c>
      <c r="C53" s="43" t="s">
        <v>2880</v>
      </c>
      <c r="D53" s="44">
        <f>D48</f>
        <v>0.95</v>
      </c>
      <c r="E53" s="38">
        <v>8.5522277500000001</v>
      </c>
      <c r="F53" s="41">
        <f>IF(ISNUMBER(E53),E53*$D53,"")</f>
        <v>8.1246163624999994</v>
      </c>
      <c r="G53" s="58"/>
      <c r="H53" s="59"/>
      <c r="I53" s="121">
        <v>0</v>
      </c>
    </row>
    <row r="54" spans="1:9" ht="38.25" hidden="1" x14ac:dyDescent="0.25">
      <c r="A54" s="182"/>
      <c r="B54" s="43" t="s">
        <v>10622</v>
      </c>
      <c r="C54" s="43" t="s">
        <v>10676</v>
      </c>
      <c r="D54" s="44">
        <f>20*D48</f>
        <v>19</v>
      </c>
      <c r="E54" s="41">
        <v>2.9193680499999997</v>
      </c>
      <c r="F54" s="41">
        <f>IF(ISNUMBER(E54),E54*$D54,"")</f>
        <v>55.467992949999996</v>
      </c>
      <c r="G54" s="58"/>
      <c r="H54" s="59"/>
      <c r="I54" s="121">
        <v>0</v>
      </c>
    </row>
    <row r="55" spans="1:9" hidden="1" x14ac:dyDescent="0.25">
      <c r="A55" s="182"/>
      <c r="B55" s="61"/>
      <c r="C55" s="130"/>
      <c r="D55" s="44"/>
      <c r="E55" s="38" t="s">
        <v>13</v>
      </c>
      <c r="F55" s="41" t="str">
        <f>IF(ISNUMBER(E55),E55*$D55,"")</f>
        <v/>
      </c>
      <c r="G55" s="58"/>
      <c r="H55" s="59"/>
      <c r="I55" s="121">
        <v>0</v>
      </c>
    </row>
    <row r="56" spans="1:9" hidden="1" x14ac:dyDescent="0.25">
      <c r="A56" s="182"/>
      <c r="B56" s="4" t="s">
        <v>646</v>
      </c>
      <c r="C56" s="130"/>
      <c r="D56" s="44"/>
      <c r="E56" s="38" t="s">
        <v>13</v>
      </c>
      <c r="F56" s="41" t="str">
        <f>IF(ISNUMBER(E56),E56*$D56,"")</f>
        <v/>
      </c>
      <c r="G56" s="58"/>
      <c r="H56" s="59"/>
      <c r="I56" s="121">
        <v>0</v>
      </c>
    </row>
    <row r="57" spans="1:9" hidden="1" x14ac:dyDescent="0.25">
      <c r="A57" s="182"/>
      <c r="B57" s="4" t="s">
        <v>2961</v>
      </c>
      <c r="C57" s="6"/>
      <c r="D57" s="138"/>
      <c r="E57" s="38" t="s">
        <v>13</v>
      </c>
      <c r="F57" s="38" t="str">
        <f>IF(ISNUMBER(E57),E57*$D57,"")</f>
        <v/>
      </c>
      <c r="G57" s="58"/>
      <c r="H57" s="59"/>
      <c r="I57" s="121">
        <v>0</v>
      </c>
    </row>
    <row r="58" spans="1:9" ht="15.75" hidden="1" thickBot="1" x14ac:dyDescent="0.3">
      <c r="A58" s="183"/>
      <c r="B58" s="92"/>
      <c r="C58" s="129"/>
      <c r="D58" s="123"/>
      <c r="E58" s="51" t="s">
        <v>13</v>
      </c>
      <c r="F58" s="51" t="str">
        <f>IF(ISNUMBER(E58),E58*$D58,"")</f>
        <v/>
      </c>
      <c r="G58" s="53"/>
      <c r="H58" s="38"/>
      <c r="I58" s="121">
        <v>0</v>
      </c>
    </row>
    <row r="59" spans="1:9" ht="15.75" hidden="1" thickBot="1" x14ac:dyDescent="0.3">
      <c r="A59" s="184" t="s">
        <v>10628</v>
      </c>
      <c r="B59" s="31" t="s">
        <v>13</v>
      </c>
      <c r="C59" s="32" t="s">
        <v>2880</v>
      </c>
      <c r="D59" s="120"/>
      <c r="E59" s="54" t="s">
        <v>13</v>
      </c>
      <c r="F59" s="54" t="str">
        <f>IF(ISNUMBER(E59),E59*$D59,"")</f>
        <v/>
      </c>
      <c r="G59" s="35"/>
      <c r="H59" s="36"/>
      <c r="I59" s="121">
        <v>0</v>
      </c>
    </row>
    <row r="60" spans="1:9" hidden="1" x14ac:dyDescent="0.25">
      <c r="A60" s="182"/>
      <c r="B60" s="39" t="s">
        <v>13</v>
      </c>
      <c r="C60" s="128"/>
      <c r="D60" s="122"/>
      <c r="E60" s="136" t="s">
        <v>13</v>
      </c>
      <c r="F60" s="137" t="str">
        <f>IF(ISNUMBER(E60),E60*$D60,"")</f>
        <v/>
      </c>
      <c r="G60" s="42"/>
      <c r="H60" s="38"/>
      <c r="I60" s="121">
        <v>0</v>
      </c>
    </row>
    <row r="61" spans="1:9" ht="25.5" hidden="1" x14ac:dyDescent="0.25">
      <c r="A61" s="182"/>
      <c r="B61" s="43" t="s">
        <v>10647</v>
      </c>
      <c r="C61" s="43" t="s">
        <v>2880</v>
      </c>
      <c r="D61" s="44">
        <v>1.1599999999999999</v>
      </c>
      <c r="E61" s="41">
        <v>199.71849999999998</v>
      </c>
      <c r="F61" s="41">
        <f>IF(ISNUMBER(E61),E61*$D61,"")</f>
        <v>231.67345999999995</v>
      </c>
      <c r="G61" s="46">
        <f>SUM(F61:F71)</f>
        <v>811.23146794999991</v>
      </c>
      <c r="H61" s="59"/>
      <c r="I61" s="121">
        <v>0</v>
      </c>
    </row>
    <row r="62" spans="1:9" hidden="1" x14ac:dyDescent="0.25">
      <c r="A62" s="182"/>
      <c r="B62" s="43" t="s">
        <v>10659</v>
      </c>
      <c r="C62" s="43" t="s">
        <v>1044</v>
      </c>
      <c r="D62" s="44">
        <v>174.1</v>
      </c>
      <c r="E62" s="41">
        <v>1.4724999999999999</v>
      </c>
      <c r="F62" s="41">
        <f>IF(ISNUMBER(E62),E62*$D62,"")</f>
        <v>256.36224999999996</v>
      </c>
      <c r="G62" s="58"/>
      <c r="H62" s="59"/>
      <c r="I62" s="121">
        <v>0</v>
      </c>
    </row>
    <row r="63" spans="1:9" hidden="1" x14ac:dyDescent="0.25">
      <c r="A63" s="182"/>
      <c r="B63" s="43" t="s">
        <v>10648</v>
      </c>
      <c r="C63" s="43" t="s">
        <v>1044</v>
      </c>
      <c r="D63" s="44">
        <v>195.86</v>
      </c>
      <c r="E63" s="38">
        <v>0.64600000000000002</v>
      </c>
      <c r="F63" s="41">
        <f>IF(ISNUMBER(E63),E63*$D63,"")</f>
        <v>126.52556000000001</v>
      </c>
      <c r="G63" s="58"/>
      <c r="H63" s="59"/>
      <c r="I63" s="121">
        <v>0</v>
      </c>
    </row>
    <row r="64" spans="1:9" ht="25.5" hidden="1" x14ac:dyDescent="0.25">
      <c r="A64" s="182"/>
      <c r="B64" s="43" t="s">
        <v>10649</v>
      </c>
      <c r="C64" s="43" t="s">
        <v>2800</v>
      </c>
      <c r="D64" s="44">
        <v>4.5</v>
      </c>
      <c r="E64" s="38">
        <v>25.745000000000001</v>
      </c>
      <c r="F64" s="41">
        <f>IF(ISNUMBER(E64),E64*$D64,"")</f>
        <v>115.85250000000001</v>
      </c>
      <c r="G64" s="58"/>
      <c r="H64" s="59"/>
      <c r="I64" s="121">
        <v>0</v>
      </c>
    </row>
    <row r="65" spans="1:9" ht="38.25" hidden="1" x14ac:dyDescent="0.25">
      <c r="A65" s="182"/>
      <c r="B65" s="43" t="s">
        <v>10650</v>
      </c>
      <c r="C65" s="43" t="s">
        <v>1050</v>
      </c>
      <c r="D65" s="44">
        <v>1.05</v>
      </c>
      <c r="E65" s="38">
        <v>1.6435</v>
      </c>
      <c r="F65" s="41">
        <f>IF(ISNUMBER(E65),E65*$D65,"")</f>
        <v>1.7256750000000001</v>
      </c>
      <c r="G65" s="58"/>
      <c r="H65" s="59"/>
      <c r="I65" s="121">
        <v>0</v>
      </c>
    </row>
    <row r="66" spans="1:9" ht="38.25" hidden="1" x14ac:dyDescent="0.25">
      <c r="A66" s="182"/>
      <c r="B66" s="43" t="s">
        <v>10651</v>
      </c>
      <c r="C66" s="43" t="s">
        <v>10677</v>
      </c>
      <c r="D66" s="44">
        <v>3.45</v>
      </c>
      <c r="E66" s="38">
        <v>0.41799999999999998</v>
      </c>
      <c r="F66" s="41">
        <f>IF(ISNUMBER(E66),E66*$D66,"")</f>
        <v>1.4420999999999999</v>
      </c>
      <c r="G66" s="58"/>
      <c r="H66" s="59"/>
      <c r="I66" s="121">
        <v>0</v>
      </c>
    </row>
    <row r="67" spans="1:9" ht="51" hidden="1" x14ac:dyDescent="0.25">
      <c r="A67" s="182"/>
      <c r="B67" s="43" t="s">
        <v>10624</v>
      </c>
      <c r="C67" s="43" t="s">
        <v>2880</v>
      </c>
      <c r="D67" s="44">
        <f>D61</f>
        <v>1.1599999999999999</v>
      </c>
      <c r="E67" s="38">
        <v>8.5522277500000001</v>
      </c>
      <c r="F67" s="41">
        <f>IF(ISNUMBER(E67),E67*$D67,"")</f>
        <v>9.9205841899999996</v>
      </c>
      <c r="G67" s="58"/>
      <c r="H67" s="59"/>
      <c r="I67" s="121">
        <v>0</v>
      </c>
    </row>
    <row r="68" spans="1:9" ht="38.25" hidden="1" x14ac:dyDescent="0.25">
      <c r="A68" s="182"/>
      <c r="B68" s="43" t="s">
        <v>10622</v>
      </c>
      <c r="C68" s="43" t="s">
        <v>10676</v>
      </c>
      <c r="D68" s="44">
        <f>20*D61</f>
        <v>23.2</v>
      </c>
      <c r="E68" s="41">
        <v>2.9193680499999997</v>
      </c>
      <c r="F68" s="41">
        <f>IF(ISNUMBER(E68),E68*$D68,"")</f>
        <v>67.72933875999999</v>
      </c>
      <c r="G68" s="58"/>
      <c r="H68" s="59"/>
      <c r="I68" s="121">
        <v>0</v>
      </c>
    </row>
    <row r="69" spans="1:9" hidden="1" x14ac:dyDescent="0.25">
      <c r="A69" s="182"/>
      <c r="B69" s="61"/>
      <c r="C69" s="130"/>
      <c r="D69" s="44"/>
      <c r="E69" s="38" t="s">
        <v>13</v>
      </c>
      <c r="F69" s="41" t="str">
        <f>IF(ISNUMBER(E69),E69*$D69,"")</f>
        <v/>
      </c>
      <c r="G69" s="58"/>
      <c r="H69" s="59"/>
      <c r="I69" s="121">
        <v>0</v>
      </c>
    </row>
    <row r="70" spans="1:9" hidden="1" x14ac:dyDescent="0.25">
      <c r="A70" s="182"/>
      <c r="B70" s="4" t="s">
        <v>646</v>
      </c>
      <c r="C70" s="130"/>
      <c r="D70" s="44"/>
      <c r="E70" s="38" t="s">
        <v>13</v>
      </c>
      <c r="F70" s="41" t="str">
        <f>IF(ISNUMBER(E70),E70*$D70,"")</f>
        <v/>
      </c>
      <c r="G70" s="58"/>
      <c r="H70" s="59"/>
      <c r="I70" s="121">
        <v>0</v>
      </c>
    </row>
    <row r="71" spans="1:9" hidden="1" x14ac:dyDescent="0.25">
      <c r="A71" s="182"/>
      <c r="B71" s="4" t="s">
        <v>2961</v>
      </c>
      <c r="C71" s="6"/>
      <c r="D71" s="138"/>
      <c r="E71" s="38" t="s">
        <v>13</v>
      </c>
      <c r="F71" s="38" t="str">
        <f>IF(ISNUMBER(E71),E71*$D71,"")</f>
        <v/>
      </c>
      <c r="G71" s="58"/>
      <c r="H71" s="59"/>
      <c r="I71" s="121">
        <v>0</v>
      </c>
    </row>
    <row r="72" spans="1:9" ht="15.75" hidden="1" thickBot="1" x14ac:dyDescent="0.3">
      <c r="A72" s="183"/>
      <c r="B72" s="92"/>
      <c r="C72" s="129"/>
      <c r="D72" s="123"/>
      <c r="E72" s="51" t="s">
        <v>13</v>
      </c>
      <c r="F72" s="51" t="str">
        <f>IF(ISNUMBER(E72),E72*$D72,"")</f>
        <v/>
      </c>
      <c r="G72" s="53"/>
      <c r="H72" s="38"/>
      <c r="I72" s="121">
        <v>0</v>
      </c>
    </row>
    <row r="73" spans="1:9" ht="15.75" hidden="1" thickBot="1" x14ac:dyDescent="0.3">
      <c r="A73" s="184" t="s">
        <v>10629</v>
      </c>
      <c r="B73" s="31" t="s">
        <v>13</v>
      </c>
      <c r="C73" s="32" t="s">
        <v>1044</v>
      </c>
      <c r="D73" s="120"/>
      <c r="E73" s="54" t="s">
        <v>13</v>
      </c>
      <c r="F73" s="54" t="str">
        <f>IF(ISNUMBER(E73),E73*$D73,"")</f>
        <v/>
      </c>
      <c r="G73" s="35"/>
      <c r="H73" s="36"/>
      <c r="I73" s="121">
        <v>0</v>
      </c>
    </row>
    <row r="74" spans="1:9" hidden="1" x14ac:dyDescent="0.25">
      <c r="A74" s="182"/>
      <c r="B74" s="39" t="s">
        <v>13</v>
      </c>
      <c r="C74" s="128"/>
      <c r="D74" s="122"/>
      <c r="E74" s="136" t="s">
        <v>13</v>
      </c>
      <c r="F74" s="137" t="str">
        <f>IF(ISNUMBER(E74),E74*$D74,"")</f>
        <v/>
      </c>
      <c r="G74" s="42"/>
      <c r="H74" s="38"/>
      <c r="I74" s="121">
        <v>0</v>
      </c>
    </row>
    <row r="75" spans="1:9" ht="38.25" hidden="1" x14ac:dyDescent="0.25">
      <c r="A75" s="182"/>
      <c r="B75" s="43" t="s">
        <v>10660</v>
      </c>
      <c r="C75" s="43" t="s">
        <v>83</v>
      </c>
      <c r="D75" s="44">
        <v>2.8159999999999998</v>
      </c>
      <c r="E75" s="41">
        <v>0.20899999999999999</v>
      </c>
      <c r="F75" s="41">
        <f>IF(ISNUMBER(E75),E75*$D75,"")</f>
        <v>0.58854399999999996</v>
      </c>
      <c r="G75" s="46">
        <f>SUM(F75:F79)</f>
        <v>15.397990450000002</v>
      </c>
      <c r="H75" s="59"/>
      <c r="I75" s="121">
        <v>0</v>
      </c>
    </row>
    <row r="76" spans="1:9" ht="25.5" hidden="1" x14ac:dyDescent="0.25">
      <c r="A76" s="182"/>
      <c r="B76" s="43" t="s">
        <v>10661</v>
      </c>
      <c r="C76" s="43" t="s">
        <v>1044</v>
      </c>
      <c r="D76" s="44">
        <v>2.5000000000000001E-2</v>
      </c>
      <c r="E76" s="41">
        <v>19</v>
      </c>
      <c r="F76" s="41">
        <f>IF(ISNUMBER(E76),E76*$D76,"")</f>
        <v>0.47500000000000003</v>
      </c>
      <c r="G76" s="58"/>
      <c r="H76" s="59"/>
      <c r="I76" s="121">
        <v>0</v>
      </c>
    </row>
    <row r="77" spans="1:9" hidden="1" x14ac:dyDescent="0.25">
      <c r="A77" s="182"/>
      <c r="B77" s="43" t="s">
        <v>10643</v>
      </c>
      <c r="C77" s="43" t="s">
        <v>2800</v>
      </c>
      <c r="D77" s="44">
        <v>1.72E-2</v>
      </c>
      <c r="E77" s="38">
        <v>24.519499999999997</v>
      </c>
      <c r="F77" s="41">
        <f>IF(ISNUMBER(E77),E77*$D77,"")</f>
        <v>0.42173539999999993</v>
      </c>
      <c r="G77" s="58"/>
      <c r="H77" s="59"/>
      <c r="I77" s="121">
        <v>0</v>
      </c>
    </row>
    <row r="78" spans="1:9" hidden="1" x14ac:dyDescent="0.25">
      <c r="A78" s="182"/>
      <c r="B78" s="43" t="s">
        <v>10644</v>
      </c>
      <c r="C78" s="43" t="s">
        <v>2800</v>
      </c>
      <c r="D78" s="44">
        <v>0.1055</v>
      </c>
      <c r="E78" s="38">
        <v>30.837</v>
      </c>
      <c r="F78" s="41">
        <f>IF(ISNUMBER(E78),E78*$D78,"")</f>
        <v>3.2533034999999999</v>
      </c>
      <c r="G78" s="58"/>
      <c r="H78" s="59"/>
      <c r="I78" s="121">
        <v>0</v>
      </c>
    </row>
    <row r="79" spans="1:9" hidden="1" x14ac:dyDescent="0.25">
      <c r="A79" s="182"/>
      <c r="B79" s="43" t="s">
        <v>10623</v>
      </c>
      <c r="C79" s="43" t="s">
        <v>1044</v>
      </c>
      <c r="D79" s="44">
        <v>1</v>
      </c>
      <c r="E79" s="38">
        <v>10.659407550000001</v>
      </c>
      <c r="F79" s="41">
        <f>IF(ISNUMBER(E79),E79*$D79,"")</f>
        <v>10.659407550000001</v>
      </c>
      <c r="G79" s="58"/>
      <c r="H79" s="59"/>
      <c r="I79" s="121">
        <v>0</v>
      </c>
    </row>
    <row r="80" spans="1:9" ht="15.75" hidden="1" thickBot="1" x14ac:dyDescent="0.3">
      <c r="A80" s="183"/>
      <c r="B80" s="92"/>
      <c r="C80" s="129"/>
      <c r="D80" s="123"/>
      <c r="E80" s="51" t="s">
        <v>13</v>
      </c>
      <c r="F80" s="51" t="str">
        <f>IF(ISNUMBER(E80),E80*$D80,"")</f>
        <v/>
      </c>
      <c r="G80" s="53"/>
      <c r="H80" s="38"/>
      <c r="I80" s="121">
        <v>0</v>
      </c>
    </row>
    <row r="81" spans="1:9" ht="15.75" hidden="1" thickBot="1" x14ac:dyDescent="0.3">
      <c r="A81" s="184" t="s">
        <v>10630</v>
      </c>
      <c r="B81" s="31" t="s">
        <v>13</v>
      </c>
      <c r="C81" s="32" t="s">
        <v>2880</v>
      </c>
      <c r="D81" s="120"/>
      <c r="E81" s="54" t="s">
        <v>13</v>
      </c>
      <c r="F81" s="54" t="str">
        <f>IF(ISNUMBER(E81),E81*$D81,"")</f>
        <v/>
      </c>
      <c r="G81" s="35"/>
      <c r="H81" s="36"/>
      <c r="I81" s="121">
        <v>0</v>
      </c>
    </row>
    <row r="82" spans="1:9" hidden="1" x14ac:dyDescent="0.25">
      <c r="A82" s="182"/>
      <c r="B82" s="39" t="s">
        <v>13</v>
      </c>
      <c r="C82" s="128"/>
      <c r="D82" s="122"/>
      <c r="E82" s="136" t="s">
        <v>13</v>
      </c>
      <c r="F82" s="137" t="str">
        <f>IF(ISNUMBER(E82),E82*$D82,"")</f>
        <v/>
      </c>
      <c r="G82" s="42"/>
      <c r="H82" s="38"/>
      <c r="I82" s="121">
        <v>0</v>
      </c>
    </row>
    <row r="83" spans="1:9" ht="25.5" hidden="1" x14ac:dyDescent="0.25">
      <c r="A83" s="182"/>
      <c r="B83" s="43" t="s">
        <v>10647</v>
      </c>
      <c r="C83" s="43" t="s">
        <v>2880</v>
      </c>
      <c r="D83" s="44">
        <v>0.71189999999999998</v>
      </c>
      <c r="E83" s="41">
        <v>199.71849999999998</v>
      </c>
      <c r="F83" s="41">
        <f>IF(ISNUMBER(E83),E83*$D83,"")</f>
        <v>142.17960014999997</v>
      </c>
      <c r="G83" s="46">
        <f>SUM(F83:F91)</f>
        <v>680.2916911832499</v>
      </c>
      <c r="H83" s="59"/>
      <c r="I83" s="121">
        <v>0</v>
      </c>
    </row>
    <row r="84" spans="1:9" hidden="1" x14ac:dyDescent="0.25">
      <c r="A84" s="182"/>
      <c r="B84" s="43" t="s">
        <v>10648</v>
      </c>
      <c r="C84" s="43" t="s">
        <v>1044</v>
      </c>
      <c r="D84" s="44">
        <v>391.16629999999998</v>
      </c>
      <c r="E84" s="41">
        <v>0.64600000000000002</v>
      </c>
      <c r="F84" s="41">
        <f>IF(ISNUMBER(E84),E84*$D84,"")</f>
        <v>252.69342979999999</v>
      </c>
      <c r="G84" s="58"/>
      <c r="H84" s="59"/>
      <c r="I84" s="121">
        <v>0</v>
      </c>
    </row>
    <row r="85" spans="1:9" ht="25.5" hidden="1" x14ac:dyDescent="0.25">
      <c r="A85" s="182"/>
      <c r="B85" s="43" t="s">
        <v>10662</v>
      </c>
      <c r="C85" s="43" t="s">
        <v>2880</v>
      </c>
      <c r="D85" s="44">
        <v>0.5927</v>
      </c>
      <c r="E85" s="38">
        <v>194.8355</v>
      </c>
      <c r="F85" s="41">
        <f>IF(ISNUMBER(E85),E85*$D85,"")</f>
        <v>115.47900085000001</v>
      </c>
      <c r="G85" s="58"/>
      <c r="H85" s="59"/>
      <c r="I85" s="121">
        <v>0</v>
      </c>
    </row>
    <row r="86" spans="1:9" hidden="1" x14ac:dyDescent="0.25">
      <c r="A86" s="182"/>
      <c r="B86" s="43" t="s">
        <v>10614</v>
      </c>
      <c r="C86" s="43" t="s">
        <v>2800</v>
      </c>
      <c r="D86" s="44">
        <v>1.9633</v>
      </c>
      <c r="E86" s="38">
        <v>23.693000000000001</v>
      </c>
      <c r="F86" s="41">
        <f>IF(ISNUMBER(E86),E86*$D86,"")</f>
        <v>46.516466900000005</v>
      </c>
      <c r="G86" s="58"/>
      <c r="H86" s="59"/>
      <c r="I86" s="121">
        <v>0</v>
      </c>
    </row>
    <row r="87" spans="1:9" ht="25.5" hidden="1" x14ac:dyDescent="0.25">
      <c r="A87" s="182"/>
      <c r="B87" s="43" t="s">
        <v>10649</v>
      </c>
      <c r="C87" s="43" t="s">
        <v>2800</v>
      </c>
      <c r="D87" s="44">
        <v>1.24</v>
      </c>
      <c r="E87" s="38">
        <v>25.745000000000001</v>
      </c>
      <c r="F87" s="41">
        <f>IF(ISNUMBER(E87),E87*$D87,"")</f>
        <v>31.9238</v>
      </c>
      <c r="G87" s="58"/>
      <c r="H87" s="59"/>
      <c r="I87" s="121">
        <v>0</v>
      </c>
    </row>
    <row r="88" spans="1:9" ht="38.25" hidden="1" x14ac:dyDescent="0.25">
      <c r="A88" s="182"/>
      <c r="B88" s="43" t="s">
        <v>10663</v>
      </c>
      <c r="C88" s="43" t="s">
        <v>1050</v>
      </c>
      <c r="D88" s="44">
        <v>0.63819999999999999</v>
      </c>
      <c r="E88" s="38">
        <v>4.9305000000000003</v>
      </c>
      <c r="F88" s="41">
        <f>IF(ISNUMBER(E88),E88*$D88,"")</f>
        <v>3.1466451000000002</v>
      </c>
      <c r="G88" s="58"/>
      <c r="H88" s="59"/>
      <c r="I88" s="121">
        <v>0</v>
      </c>
    </row>
    <row r="89" spans="1:9" ht="38.25" hidden="1" x14ac:dyDescent="0.25">
      <c r="A89" s="182"/>
      <c r="B89" s="43" t="s">
        <v>10664</v>
      </c>
      <c r="C89" s="43" t="s">
        <v>10677</v>
      </c>
      <c r="D89" s="44">
        <v>0.6018</v>
      </c>
      <c r="E89" s="38">
        <v>1.7004999999999999</v>
      </c>
      <c r="F89" s="41">
        <f>IF(ISNUMBER(E89),E89*$D89,"")</f>
        <v>1.0233608999999999</v>
      </c>
      <c r="G89" s="58"/>
      <c r="H89" s="59"/>
      <c r="I89" s="121">
        <v>0</v>
      </c>
    </row>
    <row r="90" spans="1:9" ht="51" hidden="1" x14ac:dyDescent="0.25">
      <c r="A90" s="182"/>
      <c r="B90" s="43" t="s">
        <v>10624</v>
      </c>
      <c r="C90" s="43" t="s">
        <v>2880</v>
      </c>
      <c r="D90" s="44">
        <f>D83+D85</f>
        <v>1.3046</v>
      </c>
      <c r="E90" s="38">
        <v>8.5522277500000001</v>
      </c>
      <c r="F90" s="41">
        <f>IF(ISNUMBER(E90),E90*$D90,"")</f>
        <v>11.15723632265</v>
      </c>
      <c r="G90" s="58"/>
      <c r="H90" s="59"/>
      <c r="I90" s="121">
        <v>0</v>
      </c>
    </row>
    <row r="91" spans="1:9" ht="38.25" hidden="1" x14ac:dyDescent="0.25">
      <c r="A91" s="182"/>
      <c r="B91" s="43" t="s">
        <v>10622</v>
      </c>
      <c r="C91" s="43" t="s">
        <v>10676</v>
      </c>
      <c r="D91" s="44">
        <f>20*(D83+D85)</f>
        <v>26.091999999999999</v>
      </c>
      <c r="E91" s="41">
        <v>2.9193680499999997</v>
      </c>
      <c r="F91" s="41">
        <f>IF(ISNUMBER(E91),E91*$D91,"")</f>
        <v>76.172151160599981</v>
      </c>
      <c r="G91" s="58"/>
      <c r="H91" s="59"/>
      <c r="I91" s="121">
        <v>0</v>
      </c>
    </row>
    <row r="92" spans="1:9" hidden="1" x14ac:dyDescent="0.25">
      <c r="A92" s="182"/>
      <c r="B92" s="61"/>
      <c r="C92" s="130"/>
      <c r="D92" s="44"/>
      <c r="E92" s="38" t="s">
        <v>13</v>
      </c>
      <c r="F92" s="41" t="str">
        <f>IF(ISNUMBER(E92),E92*$D92,"")</f>
        <v/>
      </c>
      <c r="G92" s="58"/>
      <c r="H92" s="59"/>
      <c r="I92" s="121">
        <v>0</v>
      </c>
    </row>
    <row r="93" spans="1:9" hidden="1" x14ac:dyDescent="0.25">
      <c r="A93" s="182"/>
      <c r="B93" s="4" t="s">
        <v>646</v>
      </c>
      <c r="C93" s="130"/>
      <c r="D93" s="44"/>
      <c r="E93" s="38" t="s">
        <v>13</v>
      </c>
      <c r="F93" s="41" t="str">
        <f>IF(ISNUMBER(E93),E93*$D93,"")</f>
        <v/>
      </c>
      <c r="G93" s="58"/>
      <c r="H93" s="59"/>
      <c r="I93" s="121">
        <v>0</v>
      </c>
    </row>
    <row r="94" spans="1:9" ht="15.75" hidden="1" thickBot="1" x14ac:dyDescent="0.3">
      <c r="A94" s="183"/>
      <c r="B94" s="92"/>
      <c r="C94" s="129"/>
      <c r="D94" s="123"/>
      <c r="E94" s="51" t="s">
        <v>13</v>
      </c>
      <c r="F94" s="51" t="str">
        <f>IF(ISNUMBER(E94),E94*$D94,"")</f>
        <v/>
      </c>
      <c r="G94" s="53"/>
      <c r="H94" s="38"/>
      <c r="I94" s="121">
        <v>0</v>
      </c>
    </row>
    <row r="95" spans="1:9" ht="15.75" hidden="1" thickBot="1" x14ac:dyDescent="0.3">
      <c r="A95" s="184" t="s">
        <v>10631</v>
      </c>
      <c r="B95" s="31" t="s">
        <v>13</v>
      </c>
      <c r="C95" s="32" t="s">
        <v>2880</v>
      </c>
      <c r="D95" s="120"/>
      <c r="E95" s="54" t="s">
        <v>13</v>
      </c>
      <c r="F95" s="54" t="str">
        <f>IF(ISNUMBER(E95),E95*$D95,"")</f>
        <v/>
      </c>
      <c r="G95" s="35"/>
      <c r="H95" s="36"/>
      <c r="I95" s="121">
        <v>0</v>
      </c>
    </row>
    <row r="96" spans="1:9" hidden="1" x14ac:dyDescent="0.25">
      <c r="A96" s="182"/>
      <c r="B96" s="39" t="s">
        <v>13</v>
      </c>
      <c r="C96" s="128"/>
      <c r="D96" s="122"/>
      <c r="E96" s="136" t="s">
        <v>13</v>
      </c>
      <c r="F96" s="137" t="str">
        <f>IF(ISNUMBER(E96),E96*$D96,"")</f>
        <v/>
      </c>
      <c r="G96" s="42"/>
      <c r="H96" s="38"/>
      <c r="I96" s="121">
        <v>0</v>
      </c>
    </row>
    <row r="97" spans="1:9" ht="25.5" hidden="1" x14ac:dyDescent="0.25">
      <c r="A97" s="182"/>
      <c r="B97" s="43" t="s">
        <v>10647</v>
      </c>
      <c r="C97" s="43" t="s">
        <v>2880</v>
      </c>
      <c r="D97" s="44">
        <v>0.72750000000000004</v>
      </c>
      <c r="E97" s="41">
        <v>199.71849999999998</v>
      </c>
      <c r="F97" s="41">
        <f>IF(ISNUMBER(E97),E97*$D97,"")</f>
        <v>145.29520875</v>
      </c>
      <c r="G97" s="46">
        <f>SUM(F97:F105)</f>
        <v>669.36020151712489</v>
      </c>
      <c r="H97" s="59"/>
      <c r="I97" s="121">
        <v>0</v>
      </c>
    </row>
    <row r="98" spans="1:9" hidden="1" x14ac:dyDescent="0.25">
      <c r="A98" s="182"/>
      <c r="B98" s="43" t="s">
        <v>10648</v>
      </c>
      <c r="C98" s="43" t="s">
        <v>1044</v>
      </c>
      <c r="D98" s="44">
        <v>364.94330000000002</v>
      </c>
      <c r="E98" s="41">
        <v>0.64600000000000002</v>
      </c>
      <c r="F98" s="41">
        <f>IF(ISNUMBER(E98),E98*$D98,"")</f>
        <v>235.75337180000002</v>
      </c>
      <c r="G98" s="58"/>
      <c r="H98" s="59"/>
      <c r="I98" s="121">
        <v>0</v>
      </c>
    </row>
    <row r="99" spans="1:9" ht="25.5" hidden="1" x14ac:dyDescent="0.25">
      <c r="A99" s="182"/>
      <c r="B99" s="43" t="s">
        <v>10662</v>
      </c>
      <c r="C99" s="43" t="s">
        <v>2880</v>
      </c>
      <c r="D99" s="44">
        <v>0.59719999999999995</v>
      </c>
      <c r="E99" s="38">
        <v>194.8355</v>
      </c>
      <c r="F99" s="41">
        <f>IF(ISNUMBER(E99),E99*$D99,"")</f>
        <v>116.35576059999998</v>
      </c>
      <c r="G99" s="58"/>
      <c r="H99" s="59"/>
      <c r="I99" s="121">
        <v>0</v>
      </c>
    </row>
    <row r="100" spans="1:9" hidden="1" x14ac:dyDescent="0.25">
      <c r="A100" s="182"/>
      <c r="B100" s="43" t="s">
        <v>10614</v>
      </c>
      <c r="C100" s="43" t="s">
        <v>2800</v>
      </c>
      <c r="D100" s="44">
        <v>1.9792000000000001</v>
      </c>
      <c r="E100" s="38">
        <v>23.693000000000001</v>
      </c>
      <c r="F100" s="41">
        <f>IF(ISNUMBER(E100),E100*$D100,"")</f>
        <v>46.893185600000002</v>
      </c>
      <c r="G100" s="58"/>
      <c r="H100" s="59"/>
      <c r="I100" s="121">
        <v>0</v>
      </c>
    </row>
    <row r="101" spans="1:9" ht="25.5" hidden="1" x14ac:dyDescent="0.25">
      <c r="A101" s="182"/>
      <c r="B101" s="43" t="s">
        <v>10649</v>
      </c>
      <c r="C101" s="43" t="s">
        <v>2800</v>
      </c>
      <c r="D101" s="44">
        <v>1.2501</v>
      </c>
      <c r="E101" s="38">
        <v>25.745000000000001</v>
      </c>
      <c r="F101" s="41">
        <f>IF(ISNUMBER(E101),E101*$D101,"")</f>
        <v>32.1838245</v>
      </c>
      <c r="G101" s="58"/>
      <c r="H101" s="59"/>
      <c r="I101" s="121">
        <v>0</v>
      </c>
    </row>
    <row r="102" spans="1:9" ht="38.25" hidden="1" x14ac:dyDescent="0.25">
      <c r="A102" s="182"/>
      <c r="B102" s="43" t="s">
        <v>10663</v>
      </c>
      <c r="C102" s="43" t="s">
        <v>1050</v>
      </c>
      <c r="D102" s="44">
        <v>0.64339999999999997</v>
      </c>
      <c r="E102" s="38">
        <v>4.9305000000000003</v>
      </c>
      <c r="F102" s="41">
        <f>IF(ISNUMBER(E102),E102*$D102,"")</f>
        <v>3.1722836999999999</v>
      </c>
      <c r="G102" s="58"/>
      <c r="H102" s="59"/>
      <c r="I102" s="121">
        <v>0</v>
      </c>
    </row>
    <row r="103" spans="1:9" ht="38.25" hidden="1" x14ac:dyDescent="0.25">
      <c r="A103" s="182"/>
      <c r="B103" s="43" t="s">
        <v>10664</v>
      </c>
      <c r="C103" s="43" t="s">
        <v>10677</v>
      </c>
      <c r="D103" s="44">
        <v>0.60670000000000002</v>
      </c>
      <c r="E103" s="38">
        <v>1.7004999999999999</v>
      </c>
      <c r="F103" s="41">
        <f>IF(ISNUMBER(E103),E103*$D103,"")</f>
        <v>1.0316933500000001</v>
      </c>
      <c r="G103" s="58"/>
      <c r="H103" s="59"/>
      <c r="I103" s="121">
        <v>0</v>
      </c>
    </row>
    <row r="104" spans="1:9" ht="51" hidden="1" x14ac:dyDescent="0.25">
      <c r="A104" s="182"/>
      <c r="B104" s="43" t="s">
        <v>10624</v>
      </c>
      <c r="C104" s="43" t="s">
        <v>2880</v>
      </c>
      <c r="D104" s="44">
        <f>D97+D99</f>
        <v>1.3247</v>
      </c>
      <c r="E104" s="38">
        <v>8.5522277500000001</v>
      </c>
      <c r="F104" s="41">
        <f>IF(ISNUMBER(E104),E104*$D104,"")</f>
        <v>11.329136100425</v>
      </c>
      <c r="G104" s="58"/>
      <c r="H104" s="59"/>
      <c r="I104" s="121">
        <v>0</v>
      </c>
    </row>
    <row r="105" spans="1:9" ht="38.25" hidden="1" x14ac:dyDescent="0.25">
      <c r="A105" s="182"/>
      <c r="B105" s="43" t="s">
        <v>10622</v>
      </c>
      <c r="C105" s="43" t="s">
        <v>10676</v>
      </c>
      <c r="D105" s="44">
        <f>20*(D97+D99)</f>
        <v>26.494</v>
      </c>
      <c r="E105" s="41">
        <v>2.9193680499999997</v>
      </c>
      <c r="F105" s="41">
        <f>IF(ISNUMBER(E105),E105*$D105,"")</f>
        <v>77.345737116699993</v>
      </c>
      <c r="G105" s="58"/>
      <c r="H105" s="59"/>
      <c r="I105" s="121">
        <v>0</v>
      </c>
    </row>
    <row r="106" spans="1:9" hidden="1" x14ac:dyDescent="0.25">
      <c r="A106" s="182"/>
      <c r="B106" s="61"/>
      <c r="C106" s="130"/>
      <c r="D106" s="44"/>
      <c r="E106" s="38" t="s">
        <v>13</v>
      </c>
      <c r="F106" s="41" t="str">
        <f>IF(ISNUMBER(E106),E106*$D106,"")</f>
        <v/>
      </c>
      <c r="G106" s="58"/>
      <c r="H106" s="59"/>
      <c r="I106" s="121">
        <v>0</v>
      </c>
    </row>
    <row r="107" spans="1:9" hidden="1" x14ac:dyDescent="0.25">
      <c r="A107" s="182"/>
      <c r="B107" s="4" t="s">
        <v>646</v>
      </c>
      <c r="C107" s="130"/>
      <c r="D107" s="44"/>
      <c r="E107" s="38" t="s">
        <v>13</v>
      </c>
      <c r="F107" s="41" t="str">
        <f>IF(ISNUMBER(E107),E107*$D107,"")</f>
        <v/>
      </c>
      <c r="G107" s="58"/>
      <c r="H107" s="59"/>
      <c r="I107" s="121">
        <v>0</v>
      </c>
    </row>
    <row r="108" spans="1:9" ht="15.75" hidden="1" thickBot="1" x14ac:dyDescent="0.3">
      <c r="A108" s="183"/>
      <c r="B108" s="92"/>
      <c r="C108" s="129"/>
      <c r="D108" s="123"/>
      <c r="E108" s="51" t="s">
        <v>13</v>
      </c>
      <c r="F108" s="51" t="str">
        <f>IF(ISNUMBER(E108),E108*$D108,"")</f>
        <v/>
      </c>
      <c r="G108" s="53"/>
      <c r="H108" s="38"/>
      <c r="I108" s="121">
        <v>0</v>
      </c>
    </row>
    <row r="109" spans="1:9" ht="15.75" hidden="1" thickBot="1" x14ac:dyDescent="0.3">
      <c r="A109" s="184" t="s">
        <v>10632</v>
      </c>
      <c r="B109" s="31" t="s">
        <v>13</v>
      </c>
      <c r="C109" s="32" t="s">
        <v>2880</v>
      </c>
      <c r="D109" s="120"/>
      <c r="E109" s="54" t="s">
        <v>13</v>
      </c>
      <c r="F109" s="54" t="str">
        <f>IF(ISNUMBER(E109),E109*$D109,"")</f>
        <v/>
      </c>
      <c r="G109" s="35"/>
      <c r="H109" s="36"/>
      <c r="I109" s="121">
        <v>0</v>
      </c>
    </row>
    <row r="110" spans="1:9" hidden="1" x14ac:dyDescent="0.25">
      <c r="A110" s="182"/>
      <c r="B110" s="39" t="s">
        <v>13</v>
      </c>
      <c r="C110" s="128"/>
      <c r="D110" s="122"/>
      <c r="E110" s="136" t="s">
        <v>13</v>
      </c>
      <c r="F110" s="137" t="str">
        <f>IF(ISNUMBER(E110),E110*$D110,"")</f>
        <v/>
      </c>
      <c r="G110" s="42"/>
      <c r="H110" s="38"/>
      <c r="I110" s="121">
        <v>0</v>
      </c>
    </row>
    <row r="111" spans="1:9" ht="25.5" hidden="1" x14ac:dyDescent="0.25">
      <c r="A111" s="182"/>
      <c r="B111" s="43" t="s">
        <v>10658</v>
      </c>
      <c r="C111" s="43" t="s">
        <v>2880</v>
      </c>
      <c r="D111" s="44">
        <v>0.63019999999999998</v>
      </c>
      <c r="E111" s="41">
        <v>202.32149999999999</v>
      </c>
      <c r="F111" s="41">
        <f>IF(ISNUMBER(E111),E111*$D111,"")</f>
        <v>127.50300929999999</v>
      </c>
      <c r="G111" s="46">
        <f>SUM(F111:F120)</f>
        <v>738.86792558299999</v>
      </c>
      <c r="H111" s="59"/>
      <c r="I111" s="121">
        <v>0</v>
      </c>
    </row>
    <row r="112" spans="1:9" hidden="1" x14ac:dyDescent="0.25">
      <c r="A112" s="182"/>
      <c r="B112" s="43" t="s">
        <v>10659</v>
      </c>
      <c r="C112" s="43" t="s">
        <v>1044</v>
      </c>
      <c r="D112" s="44">
        <v>15.125500000000001</v>
      </c>
      <c r="E112" s="41">
        <v>1.4724999999999999</v>
      </c>
      <c r="F112" s="41">
        <f>IF(ISNUMBER(E112),E112*$D112,"")</f>
        <v>22.272298750000001</v>
      </c>
      <c r="G112" s="58"/>
      <c r="H112" s="59"/>
      <c r="I112" s="121">
        <v>0</v>
      </c>
    </row>
    <row r="113" spans="1:9" hidden="1" x14ac:dyDescent="0.25">
      <c r="A113" s="182"/>
      <c r="B113" s="43" t="s">
        <v>10648</v>
      </c>
      <c r="C113" s="43" t="s">
        <v>1044</v>
      </c>
      <c r="D113" s="44">
        <v>420.15269999999998</v>
      </c>
      <c r="E113" s="38">
        <v>0.64600000000000002</v>
      </c>
      <c r="F113" s="41">
        <f>IF(ISNUMBER(E113),E113*$D113,"")</f>
        <v>271.41864420000002</v>
      </c>
      <c r="G113" s="58"/>
      <c r="H113" s="59"/>
      <c r="I113" s="121">
        <v>0</v>
      </c>
    </row>
    <row r="114" spans="1:9" ht="25.5" hidden="1" x14ac:dyDescent="0.25">
      <c r="A114" s="182"/>
      <c r="B114" s="43" t="s">
        <v>10665</v>
      </c>
      <c r="C114" s="43" t="s">
        <v>2880</v>
      </c>
      <c r="D114" s="44">
        <v>0.58819999999999995</v>
      </c>
      <c r="E114" s="38">
        <v>224.941</v>
      </c>
      <c r="F114" s="41">
        <f>IF(ISNUMBER(E114),E114*$D114,"")</f>
        <v>132.31029619999998</v>
      </c>
      <c r="G114" s="58"/>
      <c r="H114" s="59"/>
      <c r="I114" s="121">
        <v>0</v>
      </c>
    </row>
    <row r="115" spans="1:9" hidden="1" x14ac:dyDescent="0.25">
      <c r="A115" s="182"/>
      <c r="B115" s="43" t="s">
        <v>10614</v>
      </c>
      <c r="C115" s="43" t="s">
        <v>2800</v>
      </c>
      <c r="D115" s="44">
        <v>2.5491999999999999</v>
      </c>
      <c r="E115" s="38">
        <v>23.693000000000001</v>
      </c>
      <c r="F115" s="41">
        <f>IF(ISNUMBER(E115),E115*$D115,"")</f>
        <v>60.398195600000001</v>
      </c>
      <c r="G115" s="58"/>
      <c r="H115" s="59"/>
      <c r="I115" s="121">
        <v>0</v>
      </c>
    </row>
    <row r="116" spans="1:9" ht="25.5" hidden="1" x14ac:dyDescent="0.25">
      <c r="A116" s="182"/>
      <c r="B116" s="43" t="s">
        <v>10649</v>
      </c>
      <c r="C116" s="43" t="s">
        <v>2800</v>
      </c>
      <c r="D116" s="44">
        <v>1.6069</v>
      </c>
      <c r="E116" s="38">
        <v>25.745000000000001</v>
      </c>
      <c r="F116" s="41">
        <f>IF(ISNUMBER(E116),E116*$D116,"")</f>
        <v>41.369640500000003</v>
      </c>
      <c r="G116" s="58"/>
      <c r="H116" s="59"/>
      <c r="I116" s="121">
        <v>0</v>
      </c>
    </row>
    <row r="117" spans="1:9" ht="38.25" hidden="1" x14ac:dyDescent="0.25">
      <c r="A117" s="182"/>
      <c r="B117" s="43" t="s">
        <v>10650</v>
      </c>
      <c r="C117" s="43" t="s">
        <v>1050</v>
      </c>
      <c r="D117" s="44">
        <v>1.1137999999999999</v>
      </c>
      <c r="E117" s="38">
        <v>1.6435</v>
      </c>
      <c r="F117" s="41">
        <f>IF(ISNUMBER(E117),E117*$D117,"")</f>
        <v>1.8305302999999997</v>
      </c>
      <c r="G117" s="58"/>
      <c r="H117" s="59"/>
      <c r="I117" s="121">
        <v>0</v>
      </c>
    </row>
    <row r="118" spans="1:9" ht="38.25" hidden="1" x14ac:dyDescent="0.25">
      <c r="A118" s="182"/>
      <c r="B118" s="43" t="s">
        <v>10651</v>
      </c>
      <c r="C118" s="43" t="s">
        <v>10677</v>
      </c>
      <c r="D118" s="44">
        <v>0.49309999999999998</v>
      </c>
      <c r="E118" s="38">
        <v>0.41799999999999998</v>
      </c>
      <c r="F118" s="41">
        <f>IF(ISNUMBER(E118),E118*$D118,"")</f>
        <v>0.20611579999999999</v>
      </c>
      <c r="G118" s="58"/>
      <c r="H118" s="59"/>
      <c r="I118" s="121">
        <v>0</v>
      </c>
    </row>
    <row r="119" spans="1:9" ht="51" hidden="1" x14ac:dyDescent="0.25">
      <c r="A119" s="182"/>
      <c r="B119" s="43" t="s">
        <v>10624</v>
      </c>
      <c r="C119" s="43" t="s">
        <v>2880</v>
      </c>
      <c r="D119" s="44">
        <f>D111+D114</f>
        <v>1.2183999999999999</v>
      </c>
      <c r="E119" s="38">
        <v>8.5522277500000001</v>
      </c>
      <c r="F119" s="41">
        <f>IF(ISNUMBER(E119),E119*$D119,"")</f>
        <v>10.4200342906</v>
      </c>
      <c r="G119" s="58"/>
      <c r="H119" s="59"/>
      <c r="I119" s="121">
        <v>0</v>
      </c>
    </row>
    <row r="120" spans="1:9" ht="38.25" hidden="1" x14ac:dyDescent="0.25">
      <c r="A120" s="182"/>
      <c r="B120" s="43" t="s">
        <v>10622</v>
      </c>
      <c r="C120" s="43" t="s">
        <v>10676</v>
      </c>
      <c r="D120" s="44">
        <f>20*(D111+D114)</f>
        <v>24.367999999999999</v>
      </c>
      <c r="E120" s="41">
        <v>2.9193680499999997</v>
      </c>
      <c r="F120" s="41">
        <f>IF(ISNUMBER(E120),E120*$D120,"")</f>
        <v>71.139160642399986</v>
      </c>
      <c r="G120" s="58"/>
      <c r="H120" s="59"/>
      <c r="I120" s="121">
        <v>0</v>
      </c>
    </row>
    <row r="121" spans="1:9" hidden="1" x14ac:dyDescent="0.25">
      <c r="A121" s="182"/>
      <c r="B121" s="61"/>
      <c r="C121" s="130"/>
      <c r="D121" s="44"/>
      <c r="E121" s="38" t="s">
        <v>13</v>
      </c>
      <c r="F121" s="41" t="str">
        <f>IF(ISNUMBER(E121),E121*$D121,"")</f>
        <v/>
      </c>
      <c r="G121" s="58"/>
      <c r="H121" s="59"/>
      <c r="I121" s="121">
        <v>0</v>
      </c>
    </row>
    <row r="122" spans="1:9" hidden="1" x14ac:dyDescent="0.25">
      <c r="A122" s="182"/>
      <c r="B122" s="4" t="s">
        <v>646</v>
      </c>
      <c r="C122" s="130"/>
      <c r="D122" s="44"/>
      <c r="E122" s="38" t="s">
        <v>13</v>
      </c>
      <c r="F122" s="41" t="str">
        <f>IF(ISNUMBER(E122),E122*$D122,"")</f>
        <v/>
      </c>
      <c r="G122" s="58"/>
      <c r="H122" s="59"/>
      <c r="I122" s="121">
        <v>0</v>
      </c>
    </row>
    <row r="123" spans="1:9" ht="15.75" hidden="1" thickBot="1" x14ac:dyDescent="0.3">
      <c r="A123" s="183"/>
      <c r="B123" s="92"/>
      <c r="C123" s="129"/>
      <c r="D123" s="123"/>
      <c r="E123" s="51" t="s">
        <v>13</v>
      </c>
      <c r="F123" s="51" t="str">
        <f>IF(ISNUMBER(E123),E123*$D123,"")</f>
        <v/>
      </c>
      <c r="G123" s="53"/>
      <c r="H123" s="38"/>
      <c r="I123" s="121">
        <v>0</v>
      </c>
    </row>
    <row r="124" spans="1:9" ht="15.75" hidden="1" thickBot="1" x14ac:dyDescent="0.3">
      <c r="A124" s="184" t="s">
        <v>10633</v>
      </c>
      <c r="B124" s="31" t="s">
        <v>13</v>
      </c>
      <c r="C124" s="32" t="s">
        <v>1044</v>
      </c>
      <c r="D124" s="120"/>
      <c r="E124" s="34" t="s">
        <v>13</v>
      </c>
      <c r="F124" s="32" t="str">
        <f>IF(ISNUMBER(E124),E124*$D124,"")</f>
        <v/>
      </c>
      <c r="G124" s="35"/>
      <c r="H124" s="36"/>
      <c r="I124" s="121">
        <v>0</v>
      </c>
    </row>
    <row r="125" spans="1:9" hidden="1" x14ac:dyDescent="0.25">
      <c r="A125" s="182"/>
      <c r="B125" s="39" t="s">
        <v>13</v>
      </c>
      <c r="C125" s="128"/>
      <c r="D125" s="122"/>
      <c r="E125" s="38" t="s">
        <v>13</v>
      </c>
      <c r="F125" s="38" t="str">
        <f>IF(ISNUMBER(E125),E125*$D125,"")</f>
        <v/>
      </c>
      <c r="G125" s="42"/>
      <c r="H125" s="38"/>
      <c r="I125" s="121">
        <v>0</v>
      </c>
    </row>
    <row r="126" spans="1:9" ht="25.5" hidden="1" x14ac:dyDescent="0.25">
      <c r="A126" s="182"/>
      <c r="B126" s="43" t="s">
        <v>10666</v>
      </c>
      <c r="C126" s="43" t="s">
        <v>1044</v>
      </c>
      <c r="D126" s="44">
        <v>1.1100000000000001</v>
      </c>
      <c r="E126" s="38">
        <v>7.9135</v>
      </c>
      <c r="F126" s="41">
        <f>IF(ISNUMBER(E126),E126*$D126,"")</f>
        <v>8.7839850000000013</v>
      </c>
      <c r="G126" s="46">
        <f>SUM(F126:F127)</f>
        <v>8.8980819000000011</v>
      </c>
      <c r="H126" s="59"/>
      <c r="I126" s="121">
        <v>0</v>
      </c>
    </row>
    <row r="127" spans="1:9" hidden="1" x14ac:dyDescent="0.25">
      <c r="A127" s="182"/>
      <c r="B127" s="43" t="s">
        <v>10644</v>
      </c>
      <c r="C127" s="43" t="s">
        <v>2800</v>
      </c>
      <c r="D127" s="44">
        <v>3.7000000000000002E-3</v>
      </c>
      <c r="E127" s="38">
        <v>30.837</v>
      </c>
      <c r="F127" s="41">
        <f>IF(ISNUMBER(E127),E127*$D127,"")</f>
        <v>0.1140969</v>
      </c>
      <c r="G127" s="58"/>
      <c r="H127" s="59"/>
      <c r="I127" s="121">
        <v>0</v>
      </c>
    </row>
    <row r="128" spans="1:9" ht="15.75" hidden="1" thickBot="1" x14ac:dyDescent="0.3">
      <c r="A128" s="183"/>
      <c r="B128" s="49" t="s">
        <v>13</v>
      </c>
      <c r="C128" s="129"/>
      <c r="D128" s="123"/>
      <c r="E128" s="51" t="s">
        <v>13</v>
      </c>
      <c r="F128" s="52" t="str">
        <f>IF(ISNUMBER(E128),E128*$D128,"")</f>
        <v/>
      </c>
      <c r="G128" s="53"/>
      <c r="H128" s="38"/>
      <c r="I128" s="121">
        <v>0</v>
      </c>
    </row>
    <row r="129" spans="1:9" ht="15.75" hidden="1" thickBot="1" x14ac:dyDescent="0.3">
      <c r="A129" s="184" t="s">
        <v>10634</v>
      </c>
      <c r="B129" s="31" t="s">
        <v>13</v>
      </c>
      <c r="C129" s="32" t="s">
        <v>1044</v>
      </c>
      <c r="D129" s="120"/>
      <c r="E129" s="34" t="s">
        <v>13</v>
      </c>
      <c r="F129" s="32" t="str">
        <f>IF(ISNUMBER(E129),E129*$D129,"")</f>
        <v/>
      </c>
      <c r="G129" s="35"/>
      <c r="H129" s="36"/>
      <c r="I129" s="121">
        <v>0</v>
      </c>
    </row>
    <row r="130" spans="1:9" hidden="1" x14ac:dyDescent="0.25">
      <c r="A130" s="182"/>
      <c r="B130" s="39" t="s">
        <v>13</v>
      </c>
      <c r="C130" s="128"/>
      <c r="D130" s="122"/>
      <c r="E130" s="38" t="s">
        <v>13</v>
      </c>
      <c r="F130" s="38" t="str">
        <f>IF(ISNUMBER(E130),E130*$D130,"")</f>
        <v/>
      </c>
      <c r="G130" s="42"/>
      <c r="H130" s="38"/>
      <c r="I130" s="121">
        <v>0</v>
      </c>
    </row>
    <row r="131" spans="1:9" hidden="1" x14ac:dyDescent="0.25">
      <c r="A131" s="182"/>
      <c r="B131" s="43" t="s">
        <v>10642</v>
      </c>
      <c r="C131" s="43" t="s">
        <v>1044</v>
      </c>
      <c r="D131" s="44">
        <v>1.07</v>
      </c>
      <c r="E131" s="38">
        <v>6.9729999999999999</v>
      </c>
      <c r="F131" s="41">
        <f>IF(ISNUMBER(E131),E131*$D131,"")</f>
        <v>7.4611100000000006</v>
      </c>
      <c r="G131" s="46">
        <f>SUM(F131:F133)</f>
        <v>9.4537996</v>
      </c>
      <c r="H131" s="59"/>
      <c r="I131" s="121">
        <v>0</v>
      </c>
    </row>
    <row r="132" spans="1:9" hidden="1" x14ac:dyDescent="0.25">
      <c r="A132" s="182"/>
      <c r="B132" s="43" t="s">
        <v>10643</v>
      </c>
      <c r="C132" s="43" t="s">
        <v>2800</v>
      </c>
      <c r="D132" s="44">
        <v>8.2000000000000007E-3</v>
      </c>
      <c r="E132" s="41">
        <v>24.519499999999997</v>
      </c>
      <c r="F132" s="41">
        <f>IF(ISNUMBER(E132),E132*$D132,"")</f>
        <v>0.20105989999999999</v>
      </c>
      <c r="G132" s="58"/>
      <c r="H132" s="59"/>
      <c r="I132" s="121">
        <v>0</v>
      </c>
    </row>
    <row r="133" spans="1:9" hidden="1" x14ac:dyDescent="0.25">
      <c r="A133" s="182"/>
      <c r="B133" s="43" t="s">
        <v>10644</v>
      </c>
      <c r="C133" s="43" t="s">
        <v>2800</v>
      </c>
      <c r="D133" s="44">
        <v>5.8099999999999999E-2</v>
      </c>
      <c r="E133" s="38">
        <v>30.837</v>
      </c>
      <c r="F133" s="41">
        <f>IF(ISNUMBER(E133),E133*$D133,"")</f>
        <v>1.7916296999999999</v>
      </c>
      <c r="G133" s="58"/>
      <c r="H133" s="59"/>
      <c r="I133" s="121">
        <v>0</v>
      </c>
    </row>
    <row r="134" spans="1:9" ht="15.75" hidden="1" thickBot="1" x14ac:dyDescent="0.3">
      <c r="A134" s="183"/>
      <c r="B134" s="49" t="s">
        <v>13</v>
      </c>
      <c r="C134" s="129"/>
      <c r="D134" s="123"/>
      <c r="E134" s="51" t="s">
        <v>13</v>
      </c>
      <c r="F134" s="52" t="str">
        <f>IF(ISNUMBER(E134),E134*$D134,"")</f>
        <v/>
      </c>
      <c r="G134" s="53"/>
      <c r="H134" s="38"/>
      <c r="I134" s="121">
        <v>0</v>
      </c>
    </row>
    <row r="135" spans="1:9" ht="15.75" hidden="1" thickBot="1" x14ac:dyDescent="0.3">
      <c r="A135" s="184" t="s">
        <v>10635</v>
      </c>
      <c r="B135" s="31" t="s">
        <v>13</v>
      </c>
      <c r="C135" s="32" t="s">
        <v>1044</v>
      </c>
      <c r="D135" s="120"/>
      <c r="E135" s="34" t="s">
        <v>13</v>
      </c>
      <c r="F135" s="32" t="str">
        <f>IF(ISNUMBER(E135),E135*$D135,"")</f>
        <v/>
      </c>
      <c r="G135" s="35"/>
      <c r="H135" s="36"/>
      <c r="I135" s="121">
        <v>0</v>
      </c>
    </row>
    <row r="136" spans="1:9" hidden="1" x14ac:dyDescent="0.25">
      <c r="A136" s="182"/>
      <c r="B136" s="39" t="s">
        <v>13</v>
      </c>
      <c r="C136" s="128"/>
      <c r="D136" s="122"/>
      <c r="E136" s="38" t="s">
        <v>13</v>
      </c>
      <c r="F136" s="38" t="str">
        <f>IF(ISNUMBER(E136),E136*$D136,"")</f>
        <v/>
      </c>
      <c r="G136" s="42"/>
      <c r="H136" s="38"/>
      <c r="I136" s="121">
        <v>0</v>
      </c>
    </row>
    <row r="137" spans="1:9" hidden="1" x14ac:dyDescent="0.25">
      <c r="A137" s="182"/>
      <c r="B137" s="43" t="s">
        <v>10667</v>
      </c>
      <c r="C137" s="43" t="s">
        <v>1044</v>
      </c>
      <c r="D137" s="44">
        <v>1.1100000000000001</v>
      </c>
      <c r="E137" s="38">
        <v>6.3839999999999995</v>
      </c>
      <c r="F137" s="41">
        <f t="shared" ref="F137:F155" si="0">IF(ISNUMBER(E137),E137*$D137,"")</f>
        <v>7.0862400000000001</v>
      </c>
      <c r="G137" s="46">
        <f>SUM(F137:F138)</f>
        <v>7.1633325000000001</v>
      </c>
      <c r="H137" s="59"/>
      <c r="I137" s="121">
        <v>0</v>
      </c>
    </row>
    <row r="138" spans="1:9" hidden="1" x14ac:dyDescent="0.25">
      <c r="A138" s="182"/>
      <c r="B138" s="43" t="s">
        <v>10644</v>
      </c>
      <c r="C138" s="43" t="s">
        <v>2800</v>
      </c>
      <c r="D138" s="44">
        <v>2.5000000000000001E-3</v>
      </c>
      <c r="E138" s="38">
        <v>30.837</v>
      </c>
      <c r="F138" s="41">
        <f t="shared" si="0"/>
        <v>7.7092499999999994E-2</v>
      </c>
      <c r="G138" s="58"/>
      <c r="H138" s="59"/>
      <c r="I138" s="121">
        <v>0</v>
      </c>
    </row>
    <row r="139" spans="1:9" ht="15.75" hidden="1" thickBot="1" x14ac:dyDescent="0.3">
      <c r="A139" s="183"/>
      <c r="B139" s="49" t="s">
        <v>13</v>
      </c>
      <c r="C139" s="129"/>
      <c r="D139" s="123"/>
      <c r="E139" s="51" t="s">
        <v>13</v>
      </c>
      <c r="F139" s="52" t="str">
        <f t="shared" si="0"/>
        <v/>
      </c>
      <c r="G139" s="53"/>
      <c r="H139" s="38"/>
      <c r="I139" s="121">
        <v>0</v>
      </c>
    </row>
    <row r="140" spans="1:9" ht="15.75" hidden="1" thickBot="1" x14ac:dyDescent="0.3">
      <c r="A140" s="184" t="s">
        <v>10636</v>
      </c>
      <c r="B140" s="31" t="s">
        <v>13</v>
      </c>
      <c r="C140" s="32" t="s">
        <v>162</v>
      </c>
      <c r="D140" s="120"/>
      <c r="E140" s="54" t="s">
        <v>13</v>
      </c>
      <c r="F140" s="54" t="str">
        <f t="shared" si="0"/>
        <v/>
      </c>
      <c r="G140" s="35"/>
      <c r="H140" s="36"/>
      <c r="I140" s="121">
        <v>0</v>
      </c>
    </row>
    <row r="141" spans="1:9" hidden="1" x14ac:dyDescent="0.25">
      <c r="A141" s="182"/>
      <c r="B141" s="39" t="s">
        <v>13</v>
      </c>
      <c r="C141" s="128"/>
      <c r="D141" s="122"/>
      <c r="E141" s="136" t="s">
        <v>13</v>
      </c>
      <c r="F141" s="137" t="str">
        <f t="shared" si="0"/>
        <v/>
      </c>
      <c r="G141" s="42"/>
      <c r="H141" s="38"/>
      <c r="I141" s="121">
        <v>0</v>
      </c>
    </row>
    <row r="142" spans="1:9" ht="25.5" hidden="1" x14ac:dyDescent="0.25">
      <c r="A142" s="182"/>
      <c r="B142" s="43" t="s">
        <v>10668</v>
      </c>
      <c r="C142" s="43" t="s">
        <v>10678</v>
      </c>
      <c r="D142" s="44">
        <v>0.16</v>
      </c>
      <c r="E142" s="41">
        <v>113.8005</v>
      </c>
      <c r="F142" s="41">
        <f t="shared" si="0"/>
        <v>18.208079999999999</v>
      </c>
      <c r="G142" s="46">
        <f>SUM(F142:F146)</f>
        <v>23.373258499999999</v>
      </c>
      <c r="H142" s="59"/>
      <c r="I142" s="121">
        <v>0</v>
      </c>
    </row>
    <row r="143" spans="1:9" ht="25.5" hidden="1" x14ac:dyDescent="0.25">
      <c r="A143" s="182"/>
      <c r="B143" s="43" t="s">
        <v>10669</v>
      </c>
      <c r="C143" s="43" t="s">
        <v>2800</v>
      </c>
      <c r="D143" s="44">
        <v>5.3900000000000003E-2</v>
      </c>
      <c r="E143" s="41">
        <v>23.673999999999999</v>
      </c>
      <c r="F143" s="41">
        <f t="shared" si="0"/>
        <v>1.2760286000000001</v>
      </c>
      <c r="G143" s="58"/>
      <c r="H143" s="59"/>
      <c r="I143" s="121">
        <v>0</v>
      </c>
    </row>
    <row r="144" spans="1:9" hidden="1" x14ac:dyDescent="0.25">
      <c r="A144" s="182"/>
      <c r="B144" s="43" t="s">
        <v>10614</v>
      </c>
      <c r="C144" s="43" t="s">
        <v>2800</v>
      </c>
      <c r="D144" s="44">
        <v>5.3499999999999999E-2</v>
      </c>
      <c r="E144" s="38">
        <v>23.693000000000001</v>
      </c>
      <c r="F144" s="41">
        <f t="shared" si="0"/>
        <v>1.2675755</v>
      </c>
      <c r="G144" s="58"/>
      <c r="H144" s="59"/>
      <c r="I144" s="121">
        <v>0</v>
      </c>
    </row>
    <row r="145" spans="1:9" ht="63.75" hidden="1" x14ac:dyDescent="0.25">
      <c r="A145" s="182"/>
      <c r="B145" s="43" t="s">
        <v>10670</v>
      </c>
      <c r="C145" s="43" t="s">
        <v>1050</v>
      </c>
      <c r="D145" s="44">
        <v>1.5699999999999999E-2</v>
      </c>
      <c r="E145" s="38">
        <v>86.886999999999986</v>
      </c>
      <c r="F145" s="41">
        <f t="shared" si="0"/>
        <v>1.3641258999999997</v>
      </c>
      <c r="G145" s="58"/>
      <c r="H145" s="59"/>
      <c r="I145" s="121">
        <v>0</v>
      </c>
    </row>
    <row r="146" spans="1:9" ht="63.75" hidden="1" x14ac:dyDescent="0.25">
      <c r="A146" s="182"/>
      <c r="B146" s="43" t="s">
        <v>10671</v>
      </c>
      <c r="C146" s="43" t="s">
        <v>10677</v>
      </c>
      <c r="D146" s="44">
        <v>3.8199999999999998E-2</v>
      </c>
      <c r="E146" s="38">
        <v>32.917499999999997</v>
      </c>
      <c r="F146" s="41">
        <f t="shared" si="0"/>
        <v>1.2574484999999997</v>
      </c>
      <c r="G146" s="58"/>
      <c r="H146" s="59"/>
      <c r="I146" s="121">
        <v>0</v>
      </c>
    </row>
    <row r="147" spans="1:9" ht="15.75" hidden="1" thickBot="1" x14ac:dyDescent="0.3">
      <c r="A147" s="183"/>
      <c r="B147" s="92"/>
      <c r="C147" s="129"/>
      <c r="D147" s="123"/>
      <c r="E147" s="51" t="s">
        <v>13</v>
      </c>
      <c r="F147" s="51" t="str">
        <f t="shared" si="0"/>
        <v/>
      </c>
      <c r="G147" s="53"/>
      <c r="H147" s="38"/>
      <c r="I147" s="121">
        <v>0</v>
      </c>
    </row>
    <row r="148" spans="1:9" ht="15.75" hidden="1" thickBot="1" x14ac:dyDescent="0.3">
      <c r="A148" s="184" t="s">
        <v>10637</v>
      </c>
      <c r="B148" s="31" t="s">
        <v>13</v>
      </c>
      <c r="C148" s="32" t="s">
        <v>162</v>
      </c>
      <c r="D148" s="120"/>
      <c r="E148" s="34" t="s">
        <v>13</v>
      </c>
      <c r="F148" s="32" t="str">
        <f t="shared" si="0"/>
        <v/>
      </c>
      <c r="G148" s="35"/>
      <c r="H148" s="36"/>
      <c r="I148" s="121">
        <v>0</v>
      </c>
    </row>
    <row r="149" spans="1:9" hidden="1" x14ac:dyDescent="0.25">
      <c r="A149" s="182"/>
      <c r="B149" s="39" t="s">
        <v>13</v>
      </c>
      <c r="C149" s="128"/>
      <c r="D149" s="122"/>
      <c r="E149" s="38" t="s">
        <v>13</v>
      </c>
      <c r="F149" s="38" t="str">
        <f t="shared" si="0"/>
        <v/>
      </c>
      <c r="G149" s="42"/>
      <c r="H149" s="38"/>
      <c r="I149" s="121">
        <v>0</v>
      </c>
    </row>
    <row r="150" spans="1:9" hidden="1" x14ac:dyDescent="0.25">
      <c r="A150" s="182"/>
      <c r="B150" s="43" t="s">
        <v>10672</v>
      </c>
      <c r="C150" s="43" t="s">
        <v>70</v>
      </c>
      <c r="D150" s="44">
        <v>5.7500000000000002E-2</v>
      </c>
      <c r="E150" s="38">
        <v>17.081</v>
      </c>
      <c r="F150" s="41">
        <f t="shared" si="0"/>
        <v>0.98215750000000002</v>
      </c>
      <c r="G150" s="46">
        <f>SUM(F150:F152)</f>
        <v>12.255078849999999</v>
      </c>
      <c r="H150" s="59"/>
      <c r="I150" s="121">
        <v>0</v>
      </c>
    </row>
    <row r="151" spans="1:9" hidden="1" x14ac:dyDescent="0.25">
      <c r="A151" s="182"/>
      <c r="B151" s="43" t="s">
        <v>10673</v>
      </c>
      <c r="C151" s="43" t="s">
        <v>70</v>
      </c>
      <c r="D151" s="44">
        <v>0.1908</v>
      </c>
      <c r="E151" s="41">
        <v>48.221999999999994</v>
      </c>
      <c r="F151" s="41">
        <f t="shared" si="0"/>
        <v>9.2007575999999993</v>
      </c>
      <c r="G151" s="58"/>
      <c r="H151" s="59"/>
      <c r="I151" s="121">
        <v>0</v>
      </c>
    </row>
    <row r="152" spans="1:9" hidden="1" x14ac:dyDescent="0.25">
      <c r="A152" s="182"/>
      <c r="B152" s="43" t="s">
        <v>10674</v>
      </c>
      <c r="C152" s="43" t="s">
        <v>2800</v>
      </c>
      <c r="D152" s="44">
        <v>6.3500000000000001E-2</v>
      </c>
      <c r="E152" s="38">
        <v>32.6325</v>
      </c>
      <c r="F152" s="41">
        <f t="shared" si="0"/>
        <v>2.0721637500000001</v>
      </c>
      <c r="G152" s="58"/>
      <c r="H152" s="59"/>
      <c r="I152" s="121">
        <v>0</v>
      </c>
    </row>
    <row r="153" spans="1:9" ht="15.75" hidden="1" thickBot="1" x14ac:dyDescent="0.3">
      <c r="A153" s="183"/>
      <c r="B153" s="49" t="s">
        <v>13</v>
      </c>
      <c r="C153" s="129"/>
      <c r="D153" s="123"/>
      <c r="E153" s="51" t="s">
        <v>13</v>
      </c>
      <c r="F153" s="52" t="str">
        <f t="shared" si="0"/>
        <v/>
      </c>
      <c r="G153" s="53"/>
      <c r="H153" s="38"/>
      <c r="I153" s="121">
        <v>0</v>
      </c>
    </row>
    <row r="154" spans="1:9" ht="15.75" hidden="1" thickBot="1" x14ac:dyDescent="0.3">
      <c r="A154" s="184" t="s">
        <v>10638</v>
      </c>
      <c r="B154" s="31" t="s">
        <v>13</v>
      </c>
      <c r="C154" s="32" t="s">
        <v>1044</v>
      </c>
      <c r="D154" s="120"/>
      <c r="E154" s="54" t="s">
        <v>13</v>
      </c>
      <c r="F154" s="54" t="str">
        <f t="shared" si="0"/>
        <v/>
      </c>
      <c r="G154" s="35"/>
      <c r="H154" s="36"/>
      <c r="I154" s="121">
        <v>0</v>
      </c>
    </row>
    <row r="155" spans="1:9" hidden="1" x14ac:dyDescent="0.25">
      <c r="A155" s="182"/>
      <c r="B155" s="39" t="s">
        <v>13</v>
      </c>
      <c r="C155" s="128"/>
      <c r="D155" s="122"/>
      <c r="E155" s="136" t="s">
        <v>13</v>
      </c>
      <c r="F155" s="137" t="str">
        <f t="shared" si="0"/>
        <v/>
      </c>
      <c r="G155" s="42"/>
      <c r="H155" s="38"/>
      <c r="I155" s="121">
        <v>0</v>
      </c>
    </row>
    <row r="156" spans="1:9" ht="38.25" hidden="1" x14ac:dyDescent="0.25">
      <c r="A156" s="182"/>
      <c r="B156" s="43" t="s">
        <v>10660</v>
      </c>
      <c r="C156" s="43" t="s">
        <v>83</v>
      </c>
      <c r="D156" s="44">
        <v>2.1179999999999999</v>
      </c>
      <c r="E156" s="41">
        <v>0.20899999999999999</v>
      </c>
      <c r="F156" s="41">
        <f t="shared" ref="F156:F171" si="1">IF(ISNUMBER(E156),E156*$D156,"")</f>
        <v>0.44266199999999994</v>
      </c>
      <c r="G156" s="46">
        <f>SUM(F156:F160)</f>
        <v>13.2829</v>
      </c>
      <c r="H156" s="59"/>
      <c r="I156" s="121">
        <v>0</v>
      </c>
    </row>
    <row r="157" spans="1:9" ht="25.5" hidden="1" x14ac:dyDescent="0.25">
      <c r="A157" s="182"/>
      <c r="B157" s="43" t="s">
        <v>10661</v>
      </c>
      <c r="C157" s="43" t="s">
        <v>1044</v>
      </c>
      <c r="D157" s="44">
        <v>2.5000000000000001E-2</v>
      </c>
      <c r="E157" s="41">
        <v>19</v>
      </c>
      <c r="F157" s="41">
        <f t="shared" si="1"/>
        <v>0.47500000000000003</v>
      </c>
      <c r="G157" s="58"/>
      <c r="H157" s="59"/>
      <c r="I157" s="121">
        <v>0</v>
      </c>
    </row>
    <row r="158" spans="1:9" hidden="1" x14ac:dyDescent="0.25">
      <c r="A158" s="182"/>
      <c r="B158" s="43" t="s">
        <v>10643</v>
      </c>
      <c r="C158" s="43" t="s">
        <v>2800</v>
      </c>
      <c r="D158" s="44">
        <v>1.3599999999999999E-2</v>
      </c>
      <c r="E158" s="38">
        <v>24.519499999999997</v>
      </c>
      <c r="F158" s="41">
        <f t="shared" si="1"/>
        <v>0.33346519999999996</v>
      </c>
      <c r="G158" s="58"/>
      <c r="H158" s="59"/>
      <c r="I158" s="121">
        <v>0</v>
      </c>
    </row>
    <row r="159" spans="1:9" hidden="1" x14ac:dyDescent="0.25">
      <c r="A159" s="182"/>
      <c r="B159" s="43" t="s">
        <v>10644</v>
      </c>
      <c r="C159" s="43" t="s">
        <v>2800</v>
      </c>
      <c r="D159" s="44">
        <v>8.3599999999999994E-2</v>
      </c>
      <c r="E159" s="38">
        <v>30.837</v>
      </c>
      <c r="F159" s="41">
        <f t="shared" si="1"/>
        <v>2.5779731999999997</v>
      </c>
      <c r="G159" s="58"/>
      <c r="H159" s="59"/>
      <c r="I159" s="121">
        <v>0</v>
      </c>
    </row>
    <row r="160" spans="1:9" hidden="1" x14ac:dyDescent="0.25">
      <c r="A160" s="182"/>
      <c r="B160" s="43" t="s">
        <v>10634</v>
      </c>
      <c r="C160" s="43" t="s">
        <v>1044</v>
      </c>
      <c r="D160" s="44">
        <v>1</v>
      </c>
      <c r="E160" s="38">
        <v>9.4537996</v>
      </c>
      <c r="F160" s="41">
        <f t="shared" si="1"/>
        <v>9.4537996</v>
      </c>
      <c r="G160" s="58"/>
      <c r="H160" s="59"/>
      <c r="I160" s="121">
        <v>0</v>
      </c>
    </row>
    <row r="161" spans="1:9" ht="15.75" hidden="1" thickBot="1" x14ac:dyDescent="0.3">
      <c r="A161" s="183"/>
      <c r="B161" s="92"/>
      <c r="C161" s="129"/>
      <c r="D161" s="123"/>
      <c r="E161" s="51" t="s">
        <v>13</v>
      </c>
      <c r="F161" s="51" t="str">
        <f t="shared" si="1"/>
        <v/>
      </c>
      <c r="G161" s="53"/>
      <c r="H161" s="38"/>
      <c r="I161" s="121">
        <v>0</v>
      </c>
    </row>
    <row r="162" spans="1:9" ht="15.75" hidden="1" thickBot="1" x14ac:dyDescent="0.3">
      <c r="A162" s="184" t="s">
        <v>10639</v>
      </c>
      <c r="B162" s="31" t="s">
        <v>13</v>
      </c>
      <c r="C162" s="32" t="s">
        <v>162</v>
      </c>
      <c r="D162" s="120"/>
      <c r="E162" s="54" t="s">
        <v>13</v>
      </c>
      <c r="F162" s="54" t="str">
        <f t="shared" si="1"/>
        <v/>
      </c>
      <c r="G162" s="35"/>
      <c r="H162" s="36"/>
      <c r="I162" s="121">
        <v>0</v>
      </c>
    </row>
    <row r="163" spans="1:9" hidden="1" x14ac:dyDescent="0.25">
      <c r="A163" s="182"/>
      <c r="B163" s="39" t="s">
        <v>13</v>
      </c>
      <c r="C163" s="128"/>
      <c r="D163" s="122"/>
      <c r="E163" s="136" t="s">
        <v>13</v>
      </c>
      <c r="F163" s="137" t="str">
        <f t="shared" si="1"/>
        <v/>
      </c>
      <c r="G163" s="42"/>
      <c r="H163" s="38"/>
      <c r="I163" s="121">
        <v>0</v>
      </c>
    </row>
    <row r="164" spans="1:9" ht="25.5" hidden="1" x14ac:dyDescent="0.25">
      <c r="A164" s="182"/>
      <c r="B164" s="43" t="s">
        <v>10657</v>
      </c>
      <c r="C164" s="43" t="s">
        <v>10677</v>
      </c>
      <c r="D164" s="44">
        <v>0.255</v>
      </c>
      <c r="E164" s="41">
        <v>25.906499999999998</v>
      </c>
      <c r="F164" s="41">
        <f t="shared" si="1"/>
        <v>6.6061574999999992</v>
      </c>
      <c r="G164" s="46">
        <f>SUM(F164:F171)</f>
        <v>143.92955999999998</v>
      </c>
      <c r="H164" s="59"/>
      <c r="I164" s="121">
        <v>0</v>
      </c>
    </row>
    <row r="165" spans="1:9" ht="25.5" hidden="1" x14ac:dyDescent="0.25">
      <c r="A165" s="182"/>
      <c r="B165" s="43" t="s">
        <v>10656</v>
      </c>
      <c r="C165" s="43" t="s">
        <v>1050</v>
      </c>
      <c r="D165" s="44">
        <v>6.3E-2</v>
      </c>
      <c r="E165" s="41">
        <v>26.884999999999998</v>
      </c>
      <c r="F165" s="41">
        <f t="shared" si="1"/>
        <v>1.6937549999999999</v>
      </c>
      <c r="G165" s="58"/>
      <c r="H165" s="59"/>
      <c r="I165" s="121">
        <v>0</v>
      </c>
    </row>
    <row r="166" spans="1:9" hidden="1" x14ac:dyDescent="0.25">
      <c r="A166" s="182"/>
      <c r="B166" s="43" t="s">
        <v>10613</v>
      </c>
      <c r="C166" s="43" t="s">
        <v>2800</v>
      </c>
      <c r="D166" s="44">
        <v>1.18</v>
      </c>
      <c r="E166" s="38">
        <v>30.628</v>
      </c>
      <c r="F166" s="41">
        <f t="shared" si="1"/>
        <v>36.141039999999997</v>
      </c>
      <c r="G166" s="58"/>
      <c r="H166" s="59"/>
      <c r="I166" s="121">
        <v>0</v>
      </c>
    </row>
    <row r="167" spans="1:9" hidden="1" x14ac:dyDescent="0.25">
      <c r="A167" s="182"/>
      <c r="B167" s="43" t="s">
        <v>10655</v>
      </c>
      <c r="C167" s="43" t="s">
        <v>2800</v>
      </c>
      <c r="D167" s="44">
        <v>0.25</v>
      </c>
      <c r="E167" s="38">
        <v>24.358000000000001</v>
      </c>
      <c r="F167" s="41">
        <f t="shared" si="1"/>
        <v>6.0895000000000001</v>
      </c>
      <c r="G167" s="58"/>
      <c r="H167" s="59"/>
      <c r="I167" s="121">
        <v>0</v>
      </c>
    </row>
    <row r="168" spans="1:9" hidden="1" x14ac:dyDescent="0.25">
      <c r="A168" s="182"/>
      <c r="B168" s="43" t="s">
        <v>10653</v>
      </c>
      <c r="C168" s="43" t="s">
        <v>1044</v>
      </c>
      <c r="D168" s="44">
        <v>0.20799999999999999</v>
      </c>
      <c r="E168" s="38">
        <v>18.401499999999999</v>
      </c>
      <c r="F168" s="41">
        <f t="shared" si="1"/>
        <v>3.8275119999999996</v>
      </c>
      <c r="G168" s="58"/>
      <c r="H168" s="59"/>
      <c r="I168" s="121">
        <v>0</v>
      </c>
    </row>
    <row r="169" spans="1:9" ht="25.5" hidden="1" x14ac:dyDescent="0.25">
      <c r="A169" s="182"/>
      <c r="B169" s="43" t="s">
        <v>10652</v>
      </c>
      <c r="C169" s="43" t="s">
        <v>1302</v>
      </c>
      <c r="D169" s="44">
        <v>9.2370000000000001</v>
      </c>
      <c r="E169" s="38">
        <v>2.5554999999999999</v>
      </c>
      <c r="F169" s="41">
        <f t="shared" si="1"/>
        <v>23.6051535</v>
      </c>
      <c r="G169" s="58"/>
      <c r="H169" s="59"/>
      <c r="I169" s="121">
        <v>0</v>
      </c>
    </row>
    <row r="170" spans="1:9" ht="25.5" hidden="1" x14ac:dyDescent="0.25">
      <c r="A170" s="182"/>
      <c r="B170" s="43" t="s">
        <v>10612</v>
      </c>
      <c r="C170" s="43" t="s">
        <v>1302</v>
      </c>
      <c r="D170" s="44">
        <v>2.3079999999999998</v>
      </c>
      <c r="E170" s="38">
        <v>7.3055000000000003</v>
      </c>
      <c r="F170" s="41">
        <f t="shared" si="1"/>
        <v>16.861093999999998</v>
      </c>
      <c r="G170" s="58"/>
      <c r="H170" s="59"/>
      <c r="I170" s="121">
        <v>0</v>
      </c>
    </row>
    <row r="171" spans="1:9" ht="38.25" hidden="1" x14ac:dyDescent="0.25">
      <c r="A171" s="182"/>
      <c r="B171" s="43" t="s">
        <v>10675</v>
      </c>
      <c r="C171" s="43" t="s">
        <v>162</v>
      </c>
      <c r="D171" s="44">
        <v>1.3360000000000001</v>
      </c>
      <c r="E171" s="38">
        <v>36.755499999999998</v>
      </c>
      <c r="F171" s="41">
        <f t="shared" si="1"/>
        <v>49.105347999999999</v>
      </c>
      <c r="G171" s="58"/>
      <c r="H171" s="59"/>
      <c r="I171" s="121">
        <v>0</v>
      </c>
    </row>
    <row r="172" spans="1:9" ht="15.75" hidden="1" thickBot="1" x14ac:dyDescent="0.3">
      <c r="A172" s="183"/>
      <c r="B172" s="92"/>
      <c r="C172" s="129"/>
      <c r="D172" s="123"/>
      <c r="E172" s="51" t="s">
        <v>13</v>
      </c>
      <c r="F172" s="51" t="str">
        <f t="shared" ref="F172" si="2">IF(ISNUMBER(E172),E172*$D172,"")</f>
        <v/>
      </c>
      <c r="G172" s="53"/>
      <c r="H172" s="38"/>
      <c r="I172" s="121">
        <v>0</v>
      </c>
    </row>
  </sheetData>
  <sheetProtection formatColumns="0" formatRows="0" sort="0" autoFilter="0"/>
  <autoFilter ref="A5:I172" xr:uid="{C47CA978-4E5E-4124-8A31-8F42D7AA9C44}">
    <filterColumn colId="8">
      <customFilters>
        <customFilter operator="notEqual" val="0"/>
      </customFilters>
    </filterColumn>
  </autoFilter>
  <mergeCells count="18">
    <mergeCell ref="A46:A58"/>
    <mergeCell ref="A6:A10"/>
    <mergeCell ref="A11:A16"/>
    <mergeCell ref="A17:A23"/>
    <mergeCell ref="A24:A35"/>
    <mergeCell ref="A36:A45"/>
    <mergeCell ref="A162:A172"/>
    <mergeCell ref="A59:A72"/>
    <mergeCell ref="A73:A80"/>
    <mergeCell ref="A81:A94"/>
    <mergeCell ref="A95:A108"/>
    <mergeCell ref="A109:A123"/>
    <mergeCell ref="A124:A128"/>
    <mergeCell ref="A129:A134"/>
    <mergeCell ref="A135:A139"/>
    <mergeCell ref="A140:A147"/>
    <mergeCell ref="A148:A153"/>
    <mergeCell ref="A154:A161"/>
  </mergeCells>
  <conditionalFormatting sqref="F4">
    <cfRule type="containsText" dxfId="66" priority="179" operator="containsText" text="Pesquisa">
      <formula>NOT(ISERROR(SEARCH("Pesquisa",F4)))</formula>
    </cfRule>
  </conditionalFormatting>
  <conditionalFormatting sqref="C8">
    <cfRule type="containsText" dxfId="65" priority="63" operator="containsText" text="Pesquisa de Preços">
      <formula>NOT(ISERROR(SEARCH("Pesquisa de Preços",C8)))</formula>
    </cfRule>
  </conditionalFormatting>
  <conditionalFormatting sqref="C9">
    <cfRule type="containsText" dxfId="64" priority="62" operator="containsText" text="Pesquisa de Preços">
      <formula>NOT(ISERROR(SEARCH("Pesquisa de Preços",C9)))</formula>
    </cfRule>
  </conditionalFormatting>
  <conditionalFormatting sqref="C13:C15">
    <cfRule type="containsText" dxfId="63" priority="61" operator="containsText" text="Pesquisa de Preços">
      <formula>NOT(ISERROR(SEARCH("Pesquisa de Preços",C13)))</formula>
    </cfRule>
  </conditionalFormatting>
  <conditionalFormatting sqref="C19:C22">
    <cfRule type="containsText" dxfId="62" priority="60" operator="containsText" text="Pesquisa de Preços">
      <formula>NOT(ISERROR(SEARCH("Pesquisa de Preços",C19)))</formula>
    </cfRule>
  </conditionalFormatting>
  <conditionalFormatting sqref="C26:C32">
    <cfRule type="containsText" dxfId="61" priority="59" operator="containsText" text="Pesquisa de Preços">
      <formula>NOT(ISERROR(SEARCH("Pesquisa de Preços",C26)))</formula>
    </cfRule>
  </conditionalFormatting>
  <conditionalFormatting sqref="C38:C44">
    <cfRule type="containsText" dxfId="60" priority="58" operator="containsText" text="Pesquisa de Preços">
      <formula>NOT(ISERROR(SEARCH("Pesquisa de Preços",C38)))</formula>
    </cfRule>
  </conditionalFormatting>
  <conditionalFormatting sqref="C48:C54">
    <cfRule type="containsText" dxfId="59" priority="57" operator="containsText" text="Pesquisa de Preços">
      <formula>NOT(ISERROR(SEARCH("Pesquisa de Preços",C48)))</formula>
    </cfRule>
  </conditionalFormatting>
  <conditionalFormatting sqref="C61:C68">
    <cfRule type="containsText" dxfId="58" priority="56" operator="containsText" text="Pesquisa de Preços">
      <formula>NOT(ISERROR(SEARCH("Pesquisa de Preços",C61)))</formula>
    </cfRule>
  </conditionalFormatting>
  <conditionalFormatting sqref="C75:C79">
    <cfRule type="containsText" dxfId="57" priority="55" operator="containsText" text="Pesquisa de Preços">
      <formula>NOT(ISERROR(SEARCH("Pesquisa de Preços",C75)))</formula>
    </cfRule>
  </conditionalFormatting>
  <conditionalFormatting sqref="C83:C91">
    <cfRule type="containsText" dxfId="56" priority="54" operator="containsText" text="Pesquisa de Preços">
      <formula>NOT(ISERROR(SEARCH("Pesquisa de Preços",C83)))</formula>
    </cfRule>
  </conditionalFormatting>
  <conditionalFormatting sqref="C97:C105">
    <cfRule type="containsText" dxfId="55" priority="53" operator="containsText" text="Pesquisa de Preços">
      <formula>NOT(ISERROR(SEARCH("Pesquisa de Preços",C97)))</formula>
    </cfRule>
  </conditionalFormatting>
  <conditionalFormatting sqref="C111:C120">
    <cfRule type="containsText" dxfId="54" priority="52" operator="containsText" text="Pesquisa de Preços">
      <formula>NOT(ISERROR(SEARCH("Pesquisa de Preços",C111)))</formula>
    </cfRule>
  </conditionalFormatting>
  <conditionalFormatting sqref="C126:C127">
    <cfRule type="containsText" dxfId="53" priority="51" operator="containsText" text="Pesquisa de Preços">
      <formula>NOT(ISERROR(SEARCH("Pesquisa de Preços",C126)))</formula>
    </cfRule>
  </conditionalFormatting>
  <conditionalFormatting sqref="C131:C133">
    <cfRule type="containsText" dxfId="52" priority="50" operator="containsText" text="Pesquisa de Preços">
      <formula>NOT(ISERROR(SEARCH("Pesquisa de Preços",C131)))</formula>
    </cfRule>
  </conditionalFormatting>
  <conditionalFormatting sqref="C137:C138">
    <cfRule type="containsText" dxfId="51" priority="49" operator="containsText" text="Pesquisa de Preços">
      <formula>NOT(ISERROR(SEARCH("Pesquisa de Preços",C137)))</formula>
    </cfRule>
  </conditionalFormatting>
  <conditionalFormatting sqref="C11">
    <cfRule type="containsText" dxfId="50" priority="48" operator="containsText" text="Pesquisa de Preços">
      <formula>NOT(ISERROR(SEARCH("Pesquisa de Preços",C11)))</formula>
    </cfRule>
  </conditionalFormatting>
  <conditionalFormatting sqref="C17">
    <cfRule type="containsText" dxfId="49" priority="47" operator="containsText" text="Pesquisa de Preços">
      <formula>NOT(ISERROR(SEARCH("Pesquisa de Preços",C17)))</formula>
    </cfRule>
  </conditionalFormatting>
  <conditionalFormatting sqref="C24">
    <cfRule type="containsText" dxfId="48" priority="46" operator="containsText" text="Pesquisa de Preços">
      <formula>NOT(ISERROR(SEARCH("Pesquisa de Preços",C24)))</formula>
    </cfRule>
  </conditionalFormatting>
  <conditionalFormatting sqref="C36">
    <cfRule type="containsText" dxfId="47" priority="45" operator="containsText" text="Pesquisa de Preços">
      <formula>NOT(ISERROR(SEARCH("Pesquisa de Preços",C36)))</formula>
    </cfRule>
  </conditionalFormatting>
  <conditionalFormatting sqref="C46">
    <cfRule type="containsText" dxfId="46" priority="44" operator="containsText" text="Pesquisa de Preços">
      <formula>NOT(ISERROR(SEARCH("Pesquisa de Preços",C46)))</formula>
    </cfRule>
  </conditionalFormatting>
  <conditionalFormatting sqref="C59">
    <cfRule type="containsText" dxfId="45" priority="43" operator="containsText" text="Pesquisa de Preços">
      <formula>NOT(ISERROR(SEARCH("Pesquisa de Preços",C59)))</formula>
    </cfRule>
  </conditionalFormatting>
  <conditionalFormatting sqref="C73">
    <cfRule type="containsText" dxfId="44" priority="42" operator="containsText" text="Pesquisa de Preços">
      <formula>NOT(ISERROR(SEARCH("Pesquisa de Preços",C73)))</formula>
    </cfRule>
  </conditionalFormatting>
  <conditionalFormatting sqref="C81">
    <cfRule type="containsText" dxfId="43" priority="41" operator="containsText" text="Pesquisa de Preços">
      <formula>NOT(ISERROR(SEARCH("Pesquisa de Preços",C81)))</formula>
    </cfRule>
  </conditionalFormatting>
  <conditionalFormatting sqref="C95">
    <cfRule type="containsText" dxfId="42" priority="40" operator="containsText" text="Pesquisa de Preços">
      <formula>NOT(ISERROR(SEARCH("Pesquisa de Preços",C95)))</formula>
    </cfRule>
  </conditionalFormatting>
  <conditionalFormatting sqref="C109">
    <cfRule type="containsText" dxfId="41" priority="39" operator="containsText" text="Pesquisa de Preços">
      <formula>NOT(ISERROR(SEARCH("Pesquisa de Preços",C109)))</formula>
    </cfRule>
  </conditionalFormatting>
  <conditionalFormatting sqref="C124">
    <cfRule type="containsText" dxfId="40" priority="38" operator="containsText" text="Pesquisa de Preços">
      <formula>NOT(ISERROR(SEARCH("Pesquisa de Preços",C124)))</formula>
    </cfRule>
  </conditionalFormatting>
  <conditionalFormatting sqref="C129">
    <cfRule type="containsText" dxfId="39" priority="37" operator="containsText" text="Pesquisa de Preços">
      <formula>NOT(ISERROR(SEARCH("Pesquisa de Preços",C129)))</formula>
    </cfRule>
  </conditionalFormatting>
  <conditionalFormatting sqref="C135">
    <cfRule type="containsText" dxfId="38" priority="36" operator="containsText" text="Pesquisa de Preços">
      <formula>NOT(ISERROR(SEARCH("Pesquisa de Preços",C135)))</formula>
    </cfRule>
  </conditionalFormatting>
  <conditionalFormatting sqref="C142:C146">
    <cfRule type="containsText" dxfId="37" priority="28" operator="containsText" text="Pesquisa de Preços">
      <formula>NOT(ISERROR(SEARCH("Pesquisa de Preços",C142)))</formula>
    </cfRule>
  </conditionalFormatting>
  <conditionalFormatting sqref="C140">
    <cfRule type="containsText" dxfId="36" priority="27" operator="containsText" text="Pesquisa de Preços">
      <formula>NOT(ISERROR(SEARCH("Pesquisa de Preços",C140)))</formula>
    </cfRule>
  </conditionalFormatting>
  <conditionalFormatting sqref="C150:C152">
    <cfRule type="containsText" dxfId="35" priority="22" operator="containsText" text="Pesquisa de Preços">
      <formula>NOT(ISERROR(SEARCH("Pesquisa de Preços",C150)))</formula>
    </cfRule>
  </conditionalFormatting>
  <conditionalFormatting sqref="C148">
    <cfRule type="containsText" dxfId="34" priority="21" operator="containsText" text="Pesquisa de Preços">
      <formula>NOT(ISERROR(SEARCH("Pesquisa de Preços",C148)))</formula>
    </cfRule>
  </conditionalFormatting>
  <conditionalFormatting sqref="C156:C160">
    <cfRule type="containsText" dxfId="33" priority="13" operator="containsText" text="Pesquisa de Preços">
      <formula>NOT(ISERROR(SEARCH("Pesquisa de Preços",C156)))</formula>
    </cfRule>
  </conditionalFormatting>
  <conditionalFormatting sqref="C154">
    <cfRule type="containsText" dxfId="32" priority="12" operator="containsText" text="Pesquisa de Preços">
      <formula>NOT(ISERROR(SEARCH("Pesquisa de Preços",C154)))</formula>
    </cfRule>
  </conditionalFormatting>
  <conditionalFormatting sqref="C6">
    <cfRule type="containsText" dxfId="31" priority="10" operator="containsText" text="Pesquisa de Preços">
      <formula>NOT(ISERROR(SEARCH("Pesquisa de Preços",C6)))</formula>
    </cfRule>
  </conditionalFormatting>
  <conditionalFormatting sqref="C164:C171">
    <cfRule type="containsText" dxfId="30" priority="2" operator="containsText" text="Pesquisa de Preços">
      <formula>NOT(ISERROR(SEARCH("Pesquisa de Preços",C164)))</formula>
    </cfRule>
  </conditionalFormatting>
  <conditionalFormatting sqref="C162">
    <cfRule type="containsText" dxfId="29" priority="1" operator="containsText" text="Pesquisa de Preços">
      <formula>NOT(ISERROR(SEARCH("Pesquisa de Preços",C162)))</formula>
    </cfRule>
  </conditionalFormatting>
  <printOptions horizontalCentered="1"/>
  <pageMargins left="0.19685039370078741" right="0.19685039370078741" top="0.98425196850393704" bottom="0.59055118110236227" header="0.19685039370078741" footer="0.19685039370078741"/>
  <pageSetup paperSize="9" scale="60" fitToHeight="0"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A9926-566F-44B8-AA71-D954D9C34C1D}">
  <sheetPr codeName="Planilha7" filterMode="1">
    <pageSetUpPr fitToPage="1"/>
  </sheetPr>
  <dimension ref="A1:L4886"/>
  <sheetViews>
    <sheetView tabSelected="1" zoomScale="80" zoomScaleNormal="80" zoomScaleSheetLayoutView="70" workbookViewId="0">
      <pane ySplit="5" topLeftCell="A8" activePane="bottomLeft" state="frozen"/>
      <selection activeCell="F14" sqref="F14"/>
      <selection pane="bottomLeft"/>
    </sheetView>
  </sheetViews>
  <sheetFormatPr defaultColWidth="9.140625" defaultRowHeight="15" x14ac:dyDescent="0.25"/>
  <cols>
    <col min="1" max="1" width="14.7109375" style="3" customWidth="1"/>
    <col min="2" max="2" width="80.7109375" style="170" customWidth="1"/>
    <col min="3" max="4" width="15.7109375" style="3" customWidth="1"/>
    <col min="5" max="6" width="20.7109375" style="3" customWidth="1"/>
    <col min="7" max="7" width="15.7109375" style="3" customWidth="1"/>
    <col min="8" max="9" width="20.7109375" style="3" customWidth="1"/>
    <col min="10" max="10" width="3.7109375" style="3" customWidth="1"/>
    <col min="11" max="11" width="21.42578125" style="3" customWidth="1"/>
    <col min="12" max="12" width="9.140625" style="3" customWidth="1"/>
    <col min="13" max="16384" width="9.140625" style="3"/>
  </cols>
  <sheetData>
    <row r="1" spans="1:12" ht="24.95" customHeight="1" x14ac:dyDescent="0.25">
      <c r="A1" s="110" t="s">
        <v>10621</v>
      </c>
      <c r="B1" s="111"/>
      <c r="C1" s="110"/>
      <c r="D1" s="110"/>
      <c r="E1" s="110"/>
      <c r="F1" s="110"/>
      <c r="G1" s="110"/>
      <c r="H1" s="110"/>
      <c r="I1" s="110"/>
      <c r="J1" s="139" t="s">
        <v>2962</v>
      </c>
      <c r="K1" s="140"/>
      <c r="L1"/>
    </row>
    <row r="2" spans="1:12" ht="24.95" customHeight="1" x14ac:dyDescent="0.25">
      <c r="A2" s="141" t="s">
        <v>2963</v>
      </c>
      <c r="B2" s="11"/>
      <c r="C2" s="141"/>
      <c r="D2" s="141"/>
      <c r="E2" s="141"/>
      <c r="F2" s="141"/>
      <c r="G2" s="141"/>
      <c r="H2" s="141"/>
      <c r="I2" s="141"/>
      <c r="J2" s="139" t="s">
        <v>2964</v>
      </c>
      <c r="K2" s="142" t="s">
        <v>2965</v>
      </c>
      <c r="L2"/>
    </row>
    <row r="3" spans="1:12" ht="20.100000000000001" customHeight="1" x14ac:dyDescent="0.25">
      <c r="A3" s="143" t="s">
        <v>0</v>
      </c>
      <c r="B3" s="143"/>
      <c r="C3" s="143"/>
      <c r="D3" s="143"/>
      <c r="E3" s="143"/>
      <c r="F3" s="143"/>
      <c r="G3" s="143"/>
      <c r="H3" s="143"/>
      <c r="I3" s="143"/>
      <c r="J3" s="139" t="s">
        <v>2966</v>
      </c>
      <c r="K3" s="142" t="s">
        <v>2967</v>
      </c>
      <c r="L3"/>
    </row>
    <row r="4" spans="1:12" ht="20.100000000000001" customHeight="1" thickBot="1" x14ac:dyDescent="0.3">
      <c r="A4" s="198"/>
      <c r="B4" s="199"/>
      <c r="C4" s="200"/>
      <c r="D4" s="200"/>
      <c r="E4" s="201"/>
      <c r="F4" s="201"/>
      <c r="G4" s="199"/>
      <c r="H4" s="202"/>
      <c r="I4" s="203"/>
      <c r="J4" s="204"/>
      <c r="K4" s="205"/>
      <c r="L4" s="206"/>
    </row>
    <row r="5" spans="1:12" ht="45" customHeight="1" x14ac:dyDescent="0.25">
      <c r="A5" s="132" t="s">
        <v>2</v>
      </c>
      <c r="B5" s="133" t="s">
        <v>3</v>
      </c>
      <c r="C5" s="133" t="s">
        <v>5</v>
      </c>
      <c r="D5" s="144" t="s">
        <v>2968</v>
      </c>
      <c r="E5" s="145" t="s">
        <v>7</v>
      </c>
      <c r="F5" s="145" t="s">
        <v>2969</v>
      </c>
      <c r="G5" s="145" t="s">
        <v>2970</v>
      </c>
      <c r="H5" s="145" t="s">
        <v>2971</v>
      </c>
      <c r="I5" s="145" t="s">
        <v>2972</v>
      </c>
      <c r="J5" s="146"/>
      <c r="K5" s="147" t="s">
        <v>2973</v>
      </c>
    </row>
    <row r="6" spans="1:12" hidden="1" x14ac:dyDescent="0.25">
      <c r="A6" s="148" t="s">
        <v>12</v>
      </c>
      <c r="B6" s="149" t="s">
        <v>2974</v>
      </c>
      <c r="C6" s="150" t="s">
        <v>2975</v>
      </c>
      <c r="D6" s="150">
        <v>0</v>
      </c>
      <c r="E6" s="151">
        <f ca="1">OFFSET(INDEX(Composições!A:H,MATCH(Orçamentária!A6,Composições!A:A,0),8),2,0)</f>
        <v>120.95399999999999</v>
      </c>
      <c r="F6" s="152">
        <f ca="1">IF(ISNUMBER(E6),D6*E6,"")</f>
        <v>0</v>
      </c>
      <c r="G6" s="153">
        <f>IF($K6="Padrão",BDI!$B$17,IF($K6="Diferenciado",BDI!$E$17,0))</f>
        <v>0.2039</v>
      </c>
      <c r="H6" s="151">
        <f t="shared" ref="H6:H69" ca="1" si="0">IF(ISNUMBER(E6),ROUND(E6*(1+G6),2),"")</f>
        <v>145.62</v>
      </c>
      <c r="I6" s="152">
        <f t="shared" ref="I6:I69" ca="1" si="1">IF(ISNUMBER(E6),ROUND(H6*D6,2),"")</f>
        <v>0</v>
      </c>
      <c r="J6" s="154"/>
      <c r="K6" s="155" t="s">
        <v>2966</v>
      </c>
    </row>
    <row r="7" spans="1:12" hidden="1" x14ac:dyDescent="0.25">
      <c r="A7" s="148" t="s">
        <v>14</v>
      </c>
      <c r="B7" s="149" t="s">
        <v>2976</v>
      </c>
      <c r="C7" s="150" t="s">
        <v>2975</v>
      </c>
      <c r="D7" s="150">
        <v>0</v>
      </c>
      <c r="E7" s="151">
        <f ca="1">OFFSET(INDEX(Composições!A:H,MATCH(Orçamentária!A7,Composições!A:A,0),8),2,0)</f>
        <v>51.186</v>
      </c>
      <c r="F7" s="152">
        <f t="shared" ref="F7:F70" ca="1" si="2">IF(ISNUMBER(E7),D7*E7,"")</f>
        <v>0</v>
      </c>
      <c r="G7" s="153">
        <f>IF($K7="Padrão",BDI!$B$17,IF($K7="Diferenciado",BDI!$E$17,0))</f>
        <v>0.2039</v>
      </c>
      <c r="H7" s="151">
        <f t="shared" ca="1" si="0"/>
        <v>61.62</v>
      </c>
      <c r="I7" s="152">
        <f t="shared" ca="1" si="1"/>
        <v>0</v>
      </c>
      <c r="J7" s="154"/>
      <c r="K7" s="155" t="s">
        <v>2966</v>
      </c>
    </row>
    <row r="8" spans="1:12" x14ac:dyDescent="0.25">
      <c r="A8" s="148" t="s">
        <v>15</v>
      </c>
      <c r="B8" s="149" t="s">
        <v>2977</v>
      </c>
      <c r="C8" s="150" t="s">
        <v>18</v>
      </c>
      <c r="D8" s="150">
        <v>1</v>
      </c>
      <c r="E8" s="151">
        <f ca="1">OFFSET(INDEX(Composições!A:H,MATCH(Orçamentária!A8,Composições!A:A,0),8),2,0)</f>
        <v>2284.1040000000003</v>
      </c>
      <c r="F8" s="152">
        <f t="shared" ca="1" si="2"/>
        <v>2284.1040000000003</v>
      </c>
      <c r="G8" s="153">
        <f>IF($K8="Padrão",BDI!$B$17,IF($K8="Diferenciado",BDI!$E$17,0))</f>
        <v>0.2039</v>
      </c>
      <c r="H8" s="151">
        <f t="shared" ca="1" si="0"/>
        <v>2749.83</v>
      </c>
      <c r="I8" s="152">
        <f t="shared" ca="1" si="1"/>
        <v>2749.83</v>
      </c>
      <c r="J8" s="154"/>
      <c r="K8" s="155" t="s">
        <v>2966</v>
      </c>
    </row>
    <row r="9" spans="1:12" x14ac:dyDescent="0.25">
      <c r="A9" s="148" t="s">
        <v>16</v>
      </c>
      <c r="B9" s="149" t="s">
        <v>2978</v>
      </c>
      <c r="C9" s="150" t="s">
        <v>18</v>
      </c>
      <c r="D9" s="150">
        <v>1</v>
      </c>
      <c r="E9" s="151">
        <f ca="1">OFFSET(INDEX(Composições!A:H,MATCH(Orçamentária!A9,Composições!A:A,0),8),2,0)</f>
        <v>3126.6000000000004</v>
      </c>
      <c r="F9" s="152">
        <f t="shared" ca="1" si="2"/>
        <v>3126.6000000000004</v>
      </c>
      <c r="G9" s="153">
        <f>IF($K9="Padrão",BDI!$B$17,IF($K9="Diferenciado",BDI!$E$17,0))</f>
        <v>0.2039</v>
      </c>
      <c r="H9" s="151">
        <f t="shared" ca="1" si="0"/>
        <v>3764.11</v>
      </c>
      <c r="I9" s="152">
        <f t="shared" ca="1" si="1"/>
        <v>3764.11</v>
      </c>
      <c r="J9" s="43"/>
      <c r="K9" s="155" t="s">
        <v>2966</v>
      </c>
    </row>
    <row r="10" spans="1:12" hidden="1" x14ac:dyDescent="0.25">
      <c r="A10" s="148" t="s">
        <v>19</v>
      </c>
      <c r="B10" s="149" t="s">
        <v>2979</v>
      </c>
      <c r="C10" s="150" t="s">
        <v>1788</v>
      </c>
      <c r="D10" s="150">
        <v>0</v>
      </c>
      <c r="E10" s="151">
        <f ca="1">OFFSET(INDEX(Composições!A:H,MATCH(Orçamentária!A10,Composições!A:A,0),8),2,0)</f>
        <v>63.019472649999997</v>
      </c>
      <c r="F10" s="152">
        <f t="shared" ca="1" si="2"/>
        <v>0</v>
      </c>
      <c r="G10" s="153">
        <f>IF($K10="Padrão",BDI!$B$17,IF($K10="Diferenciado",BDI!$E$17,0))</f>
        <v>0.2039</v>
      </c>
      <c r="H10" s="151">
        <f t="shared" ca="1" si="0"/>
        <v>75.87</v>
      </c>
      <c r="I10" s="152">
        <f t="shared" ca="1" si="1"/>
        <v>0</v>
      </c>
      <c r="J10" s="43"/>
      <c r="K10" s="155" t="s">
        <v>2966</v>
      </c>
    </row>
    <row r="11" spans="1:12" hidden="1" x14ac:dyDescent="0.25">
      <c r="A11" s="148" t="s">
        <v>20</v>
      </c>
      <c r="B11" s="149" t="s">
        <v>2980</v>
      </c>
      <c r="C11" s="150" t="s">
        <v>1788</v>
      </c>
      <c r="D11" s="150">
        <v>0</v>
      </c>
      <c r="E11" s="151">
        <f ca="1">OFFSET(INDEX(Composições!A:H,MATCH(Orçamentária!A11,Composições!A:A,0),8),2,0)</f>
        <v>348.38114999999999</v>
      </c>
      <c r="F11" s="152">
        <f t="shared" ca="1" si="2"/>
        <v>0</v>
      </c>
      <c r="G11" s="153">
        <f>IF($K11="Padrão",BDI!$B$17,IF($K11="Diferenciado",BDI!$E$17,0))</f>
        <v>0.2039</v>
      </c>
      <c r="H11" s="151">
        <f t="shared" ca="1" si="0"/>
        <v>419.42</v>
      </c>
      <c r="I11" s="152">
        <f t="shared" ca="1" si="1"/>
        <v>0</v>
      </c>
      <c r="J11" s="43"/>
      <c r="K11" s="155" t="s">
        <v>2966</v>
      </c>
    </row>
    <row r="12" spans="1:12" hidden="1" x14ac:dyDescent="0.25">
      <c r="A12" s="148" t="s">
        <v>21</v>
      </c>
      <c r="B12" s="149" t="s">
        <v>2981</v>
      </c>
      <c r="C12" s="150" t="s">
        <v>68</v>
      </c>
      <c r="D12" s="150">
        <v>0</v>
      </c>
      <c r="E12" s="151">
        <f ca="1">OFFSET(INDEX(Composições!A:H,MATCH(Orçamentária!A12,Composições!A:A,0),8),2,0)</f>
        <v>23.693000000000001</v>
      </c>
      <c r="F12" s="152">
        <f t="shared" ca="1" si="2"/>
        <v>0</v>
      </c>
      <c r="G12" s="153">
        <f>IF($K12="Padrão",BDI!$B$17,IF($K12="Diferenciado",BDI!$E$17,0))</f>
        <v>0.2039</v>
      </c>
      <c r="H12" s="151">
        <f t="shared" ca="1" si="0"/>
        <v>28.52</v>
      </c>
      <c r="I12" s="152">
        <f t="shared" ca="1" si="1"/>
        <v>0</v>
      </c>
      <c r="J12" s="43"/>
      <c r="K12" s="155" t="s">
        <v>2966</v>
      </c>
    </row>
    <row r="13" spans="1:12" hidden="1" x14ac:dyDescent="0.25">
      <c r="A13" s="148" t="s">
        <v>22</v>
      </c>
      <c r="B13" s="149" t="s">
        <v>2982</v>
      </c>
      <c r="C13" s="150" t="s">
        <v>68</v>
      </c>
      <c r="D13" s="150">
        <v>0</v>
      </c>
      <c r="E13" s="151">
        <f ca="1">OFFSET(INDEX(Composições!A:H,MATCH(Orçamentária!A13,Composições!A:A,0),8),2,0)</f>
        <v>9.0384083000000004</v>
      </c>
      <c r="F13" s="152">
        <f t="shared" ca="1" si="2"/>
        <v>0</v>
      </c>
      <c r="G13" s="153">
        <f>IF($K13="Padrão",BDI!$B$17,IF($K13="Diferenciado",BDI!$E$17,0))</f>
        <v>0.2039</v>
      </c>
      <c r="H13" s="151">
        <f t="shared" ca="1" si="0"/>
        <v>10.88</v>
      </c>
      <c r="I13" s="152">
        <f t="shared" ca="1" si="1"/>
        <v>0</v>
      </c>
      <c r="J13" s="43"/>
      <c r="K13" s="155" t="s">
        <v>2966</v>
      </c>
    </row>
    <row r="14" spans="1:12" hidden="1" x14ac:dyDescent="0.25">
      <c r="A14" s="148" t="s">
        <v>23</v>
      </c>
      <c r="B14" s="149" t="s">
        <v>2983</v>
      </c>
      <c r="C14" s="150" t="s">
        <v>68</v>
      </c>
      <c r="D14" s="150">
        <v>0</v>
      </c>
      <c r="E14" s="151">
        <f ca="1">OFFSET(INDEX(Composições!A:H,MATCH(Orçamentária!A14,Composições!A:A,0),8),2,0)</f>
        <v>2.1142306999999998</v>
      </c>
      <c r="F14" s="152">
        <f t="shared" ca="1" si="2"/>
        <v>0</v>
      </c>
      <c r="G14" s="153">
        <f>IF($K14="Padrão",BDI!$B$17,IF($K14="Diferenciado",BDI!$E$17,0))</f>
        <v>0.2039</v>
      </c>
      <c r="H14" s="151">
        <f t="shared" ca="1" si="0"/>
        <v>2.5499999999999998</v>
      </c>
      <c r="I14" s="152">
        <f t="shared" ca="1" si="1"/>
        <v>0</v>
      </c>
      <c r="J14" s="43"/>
      <c r="K14" s="155" t="s">
        <v>2966</v>
      </c>
    </row>
    <row r="15" spans="1:12" hidden="1" x14ac:dyDescent="0.25">
      <c r="A15" s="148" t="s">
        <v>24</v>
      </c>
      <c r="B15" s="149" t="s">
        <v>2984</v>
      </c>
      <c r="C15" s="150" t="s">
        <v>106</v>
      </c>
      <c r="D15" s="150">
        <v>0</v>
      </c>
      <c r="E15" s="151">
        <f ca="1">OFFSET(INDEX(Composições!A:H,MATCH(Orçamentária!A15,Composições!A:A,0),8),2,0)</f>
        <v>3.9978327500000002</v>
      </c>
      <c r="F15" s="152">
        <f t="shared" ca="1" si="2"/>
        <v>0</v>
      </c>
      <c r="G15" s="153">
        <f>IF($K15="Padrão",BDI!$B$17,IF($K15="Diferenciado",BDI!$E$17,0))</f>
        <v>0.2039</v>
      </c>
      <c r="H15" s="151">
        <f t="shared" ca="1" si="0"/>
        <v>4.8099999999999996</v>
      </c>
      <c r="I15" s="152">
        <f t="shared" ca="1" si="1"/>
        <v>0</v>
      </c>
      <c r="J15" s="43"/>
      <c r="K15" s="155" t="s">
        <v>2966</v>
      </c>
    </row>
    <row r="16" spans="1:12" hidden="1" x14ac:dyDescent="0.25">
      <c r="A16" s="148" t="s">
        <v>25</v>
      </c>
      <c r="B16" s="149" t="s">
        <v>2985</v>
      </c>
      <c r="C16" s="150" t="s">
        <v>68</v>
      </c>
      <c r="D16" s="150">
        <v>0</v>
      </c>
      <c r="E16" s="151">
        <f ca="1">OFFSET(INDEX(Composições!A:H,MATCH(Orçamentária!A16,Composições!A:A,0),8),2,0)</f>
        <v>7.4170204999999996</v>
      </c>
      <c r="F16" s="152">
        <f t="shared" ca="1" si="2"/>
        <v>0</v>
      </c>
      <c r="G16" s="153">
        <f>IF($K16="Padrão",BDI!$B$17,IF($K16="Diferenciado",BDI!$E$17,0))</f>
        <v>0.2039</v>
      </c>
      <c r="H16" s="151">
        <f t="shared" ca="1" si="0"/>
        <v>8.93</v>
      </c>
      <c r="I16" s="152">
        <f t="shared" ca="1" si="1"/>
        <v>0</v>
      </c>
      <c r="J16" s="43"/>
      <c r="K16" s="155" t="s">
        <v>2966</v>
      </c>
    </row>
    <row r="17" spans="1:11" hidden="1" x14ac:dyDescent="0.25">
      <c r="A17" s="148" t="s">
        <v>26</v>
      </c>
      <c r="B17" s="149" t="s">
        <v>2986</v>
      </c>
      <c r="C17" s="150" t="s">
        <v>68</v>
      </c>
      <c r="D17" s="150">
        <v>0</v>
      </c>
      <c r="E17" s="151">
        <f ca="1">OFFSET(INDEX(Composições!A:H,MATCH(Orçamentária!A17,Composições!A:A,0),8),2,0)</f>
        <v>6.5870016999999992</v>
      </c>
      <c r="F17" s="152">
        <f t="shared" ca="1" si="2"/>
        <v>0</v>
      </c>
      <c r="G17" s="153">
        <f>IF($K17="Padrão",BDI!$B$17,IF($K17="Diferenciado",BDI!$E$17,0))</f>
        <v>0.2039</v>
      </c>
      <c r="H17" s="151">
        <f t="shared" ca="1" si="0"/>
        <v>7.93</v>
      </c>
      <c r="I17" s="152">
        <f t="shared" ca="1" si="1"/>
        <v>0</v>
      </c>
      <c r="J17" s="43"/>
      <c r="K17" s="155" t="s">
        <v>2966</v>
      </c>
    </row>
    <row r="18" spans="1:11" hidden="1" x14ac:dyDescent="0.25">
      <c r="A18" s="148" t="s">
        <v>27</v>
      </c>
      <c r="B18" s="149" t="s">
        <v>2987</v>
      </c>
      <c r="C18" s="150" t="s">
        <v>106</v>
      </c>
      <c r="D18" s="150">
        <v>0</v>
      </c>
      <c r="E18" s="151">
        <f ca="1">OFFSET(INDEX(Composições!A:H,MATCH(Orçamentária!A18,Composições!A:A,0),8),2,0)</f>
        <v>0.57243960000000005</v>
      </c>
      <c r="F18" s="152">
        <f t="shared" ca="1" si="2"/>
        <v>0</v>
      </c>
      <c r="G18" s="153">
        <f>IF($K18="Padrão",BDI!$B$17,IF($K18="Diferenciado",BDI!$E$17,0))</f>
        <v>0.2039</v>
      </c>
      <c r="H18" s="151">
        <f t="shared" ca="1" si="0"/>
        <v>0.69</v>
      </c>
      <c r="I18" s="152">
        <f t="shared" ca="1" si="1"/>
        <v>0</v>
      </c>
      <c r="J18" s="43"/>
      <c r="K18" s="155" t="s">
        <v>2966</v>
      </c>
    </row>
    <row r="19" spans="1:11" hidden="1" x14ac:dyDescent="0.25">
      <c r="A19" s="148" t="s">
        <v>28</v>
      </c>
      <c r="B19" s="149" t="s">
        <v>2988</v>
      </c>
      <c r="C19" s="150" t="s">
        <v>1788</v>
      </c>
      <c r="D19" s="150">
        <v>0</v>
      </c>
      <c r="E19" s="151">
        <f ca="1">OFFSET(INDEX(Composições!A:H,MATCH(Orçamentária!A19,Composições!A:A,0),8),2,0)</f>
        <v>195.25035359999998</v>
      </c>
      <c r="F19" s="152">
        <f t="shared" ca="1" si="2"/>
        <v>0</v>
      </c>
      <c r="G19" s="153">
        <f>IF($K19="Padrão",BDI!$B$17,IF($K19="Diferenciado",BDI!$E$17,0))</f>
        <v>0.2039</v>
      </c>
      <c r="H19" s="151">
        <f t="shared" ca="1" si="0"/>
        <v>235.06</v>
      </c>
      <c r="I19" s="152">
        <f t="shared" ca="1" si="1"/>
        <v>0</v>
      </c>
      <c r="J19" s="43"/>
      <c r="K19" s="155" t="s">
        <v>2966</v>
      </c>
    </row>
    <row r="20" spans="1:11" x14ac:dyDescent="0.25">
      <c r="A20" s="148" t="s">
        <v>2989</v>
      </c>
      <c r="B20" s="149" t="s">
        <v>2990</v>
      </c>
      <c r="C20" s="150" t="s">
        <v>18</v>
      </c>
      <c r="D20" s="150">
        <v>3</v>
      </c>
      <c r="E20" s="207">
        <v>350.39</v>
      </c>
      <c r="F20" s="152">
        <f t="shared" si="2"/>
        <v>1051.17</v>
      </c>
      <c r="G20" s="153">
        <f>IF($K20="Padrão",BDI!$B$17,IF($K20="Diferenciado",BDI!$E$17,0))</f>
        <v>0.2039</v>
      </c>
      <c r="H20" s="151">
        <f t="shared" si="0"/>
        <v>421.83</v>
      </c>
      <c r="I20" s="152">
        <f t="shared" si="1"/>
        <v>1265.49</v>
      </c>
      <c r="J20" s="43"/>
      <c r="K20" s="155" t="s">
        <v>2966</v>
      </c>
    </row>
    <row r="21" spans="1:11" hidden="1" x14ac:dyDescent="0.25">
      <c r="A21" s="148" t="s">
        <v>29</v>
      </c>
      <c r="B21" s="149" t="s">
        <v>2991</v>
      </c>
      <c r="C21" s="150" t="s">
        <v>68</v>
      </c>
      <c r="D21" s="150">
        <v>0</v>
      </c>
      <c r="E21" s="151">
        <f ca="1">OFFSET(INDEX(Composições!A:H,MATCH(Orçamentária!A21,Composições!A:A,0),8),2,0)</f>
        <v>18.576774999999998</v>
      </c>
      <c r="F21" s="152">
        <f t="shared" ca="1" si="2"/>
        <v>0</v>
      </c>
      <c r="G21" s="153">
        <f>IF($K21="Padrão",BDI!$B$17,IF($K21="Diferenciado",BDI!$E$17,0))</f>
        <v>0.2039</v>
      </c>
      <c r="H21" s="151">
        <f t="shared" ca="1" si="0"/>
        <v>22.36</v>
      </c>
      <c r="I21" s="152">
        <f t="shared" ca="1" si="1"/>
        <v>0</v>
      </c>
      <c r="J21" s="43"/>
      <c r="K21" s="155" t="s">
        <v>2966</v>
      </c>
    </row>
    <row r="22" spans="1:11" hidden="1" x14ac:dyDescent="0.25">
      <c r="A22" s="148" t="s">
        <v>30</v>
      </c>
      <c r="B22" s="149" t="s">
        <v>2992</v>
      </c>
      <c r="C22" s="150" t="s">
        <v>68</v>
      </c>
      <c r="D22" s="150">
        <v>0</v>
      </c>
      <c r="E22" s="151">
        <f ca="1">OFFSET(INDEX(Composições!A:H,MATCH(Orçamentária!A22,Composições!A:A,0),8),2,0)</f>
        <v>28.351324999999999</v>
      </c>
      <c r="F22" s="152">
        <f t="shared" ca="1" si="2"/>
        <v>0</v>
      </c>
      <c r="G22" s="153">
        <f>IF($K22="Padrão",BDI!$B$17,IF($K22="Diferenciado",BDI!$E$17,0))</f>
        <v>0</v>
      </c>
      <c r="H22" s="151">
        <f t="shared" ca="1" si="0"/>
        <v>28.35</v>
      </c>
      <c r="I22" s="152">
        <f t="shared" ca="1" si="1"/>
        <v>0</v>
      </c>
      <c r="J22" s="43"/>
      <c r="K22" s="155" t="s">
        <v>2962</v>
      </c>
    </row>
    <row r="23" spans="1:11" hidden="1" x14ac:dyDescent="0.25">
      <c r="A23" s="148" t="s">
        <v>31</v>
      </c>
      <c r="B23" s="149" t="s">
        <v>2993</v>
      </c>
      <c r="C23" s="150" t="s">
        <v>18</v>
      </c>
      <c r="D23" s="150">
        <v>0</v>
      </c>
      <c r="E23" s="151">
        <f ca="1">OFFSET(INDEX(Composições!A:H,MATCH(Orçamentária!A23,Composições!A:A,0),8),2,0)</f>
        <v>10.719420000000001</v>
      </c>
      <c r="F23" s="152">
        <f t="shared" ca="1" si="2"/>
        <v>0</v>
      </c>
      <c r="G23" s="153">
        <f>IF($K23="Padrão",BDI!$B$17,IF($K23="Diferenciado",BDI!$E$17,0))</f>
        <v>0</v>
      </c>
      <c r="H23" s="151">
        <f t="shared" ca="1" si="0"/>
        <v>10.72</v>
      </c>
      <c r="I23" s="152">
        <f t="shared" ca="1" si="1"/>
        <v>0</v>
      </c>
      <c r="J23" s="43"/>
      <c r="K23" s="155" t="s">
        <v>2962</v>
      </c>
    </row>
    <row r="24" spans="1:11" hidden="1" x14ac:dyDescent="0.25">
      <c r="A24" s="148" t="s">
        <v>32</v>
      </c>
      <c r="B24" s="149" t="s">
        <v>2994</v>
      </c>
      <c r="C24" s="150" t="s">
        <v>106</v>
      </c>
      <c r="D24" s="150">
        <v>0</v>
      </c>
      <c r="E24" s="151">
        <f ca="1">OFFSET(INDEX(Composições!A:H,MATCH(Orçamentária!A24,Composições!A:A,0),8),2,0)</f>
        <v>5.9116125000000013</v>
      </c>
      <c r="F24" s="152">
        <f t="shared" ca="1" si="2"/>
        <v>0</v>
      </c>
      <c r="G24" s="153">
        <f>IF($K24="Padrão",BDI!$B$17,IF($K24="Diferenciado",BDI!$E$17,0))</f>
        <v>0.2039</v>
      </c>
      <c r="H24" s="151">
        <f t="shared" ca="1" si="0"/>
        <v>7.12</v>
      </c>
      <c r="I24" s="152">
        <f t="shared" ca="1" si="1"/>
        <v>0</v>
      </c>
      <c r="J24" s="43"/>
      <c r="K24" s="155" t="s">
        <v>2966</v>
      </c>
    </row>
    <row r="25" spans="1:11" hidden="1" x14ac:dyDescent="0.25">
      <c r="A25" s="148" t="s">
        <v>33</v>
      </c>
      <c r="B25" s="149" t="s">
        <v>2995</v>
      </c>
      <c r="C25" s="150" t="s">
        <v>68</v>
      </c>
      <c r="D25" s="150">
        <v>0</v>
      </c>
      <c r="E25" s="151">
        <f ca="1">OFFSET(INDEX(Composições!A:H,MATCH(Orçamentária!A25,Composições!A:A,0),8),2,0)</f>
        <v>2.6798550000000003</v>
      </c>
      <c r="F25" s="152">
        <f t="shared" ca="1" si="2"/>
        <v>0</v>
      </c>
      <c r="G25" s="153">
        <f>IF($K25="Padrão",BDI!$B$17,IF($K25="Diferenciado",BDI!$E$17,0))</f>
        <v>0.2039</v>
      </c>
      <c r="H25" s="151">
        <f t="shared" ca="1" si="0"/>
        <v>3.23</v>
      </c>
      <c r="I25" s="152">
        <f t="shared" ca="1" si="1"/>
        <v>0</v>
      </c>
      <c r="J25" s="43"/>
      <c r="K25" s="155" t="s">
        <v>2966</v>
      </c>
    </row>
    <row r="26" spans="1:11" hidden="1" x14ac:dyDescent="0.25">
      <c r="A26" s="148" t="s">
        <v>34</v>
      </c>
      <c r="B26" s="149" t="s">
        <v>2996</v>
      </c>
      <c r="C26" s="150" t="s">
        <v>106</v>
      </c>
      <c r="D26" s="150">
        <v>0</v>
      </c>
      <c r="E26" s="151">
        <f ca="1">OFFSET(INDEX(Composições!A:H,MATCH(Orçamentária!A26,Composições!A:A,0),8),2,0)</f>
        <v>4.0604785999999997</v>
      </c>
      <c r="F26" s="152">
        <f t="shared" ca="1" si="2"/>
        <v>0</v>
      </c>
      <c r="G26" s="153">
        <f>IF($K26="Padrão",BDI!$B$17,IF($K26="Diferenciado",BDI!$E$17,0))</f>
        <v>0.2039</v>
      </c>
      <c r="H26" s="151">
        <f t="shared" ca="1" si="0"/>
        <v>4.8899999999999997</v>
      </c>
      <c r="I26" s="152">
        <f t="shared" ca="1" si="1"/>
        <v>0</v>
      </c>
      <c r="J26" s="43"/>
      <c r="K26" s="155" t="s">
        <v>2966</v>
      </c>
    </row>
    <row r="27" spans="1:11" hidden="1" x14ac:dyDescent="0.25">
      <c r="A27" s="148" t="s">
        <v>35</v>
      </c>
      <c r="B27" s="149" t="s">
        <v>2997</v>
      </c>
      <c r="C27" s="150" t="s">
        <v>18</v>
      </c>
      <c r="D27" s="150">
        <v>0</v>
      </c>
      <c r="E27" s="151">
        <f ca="1">OFFSET(INDEX(Composições!A:H,MATCH(Orçamentária!A27,Composições!A:A,0),8),2,0)</f>
        <v>28.881900000000002</v>
      </c>
      <c r="F27" s="152">
        <f t="shared" ca="1" si="2"/>
        <v>0</v>
      </c>
      <c r="G27" s="153">
        <f>IF($K27="Padrão",BDI!$B$17,IF($K27="Diferenciado",BDI!$E$17,0))</f>
        <v>0.2039</v>
      </c>
      <c r="H27" s="151">
        <f t="shared" ca="1" si="0"/>
        <v>34.770000000000003</v>
      </c>
      <c r="I27" s="152">
        <f t="shared" ca="1" si="1"/>
        <v>0</v>
      </c>
      <c r="J27" s="43"/>
      <c r="K27" s="155" t="s">
        <v>2966</v>
      </c>
    </row>
    <row r="28" spans="1:11" hidden="1" x14ac:dyDescent="0.25">
      <c r="A28" s="148" t="s">
        <v>36</v>
      </c>
      <c r="B28" s="149" t="s">
        <v>2998</v>
      </c>
      <c r="C28" s="150" t="s">
        <v>68</v>
      </c>
      <c r="D28" s="150">
        <v>0</v>
      </c>
      <c r="E28" s="151">
        <f ca="1">OFFSET(INDEX(Composições!A:H,MATCH(Orçamentária!A28,Composições!A:A,0),8),2,0)</f>
        <v>46.979399999999998</v>
      </c>
      <c r="F28" s="152">
        <f t="shared" ca="1" si="2"/>
        <v>0</v>
      </c>
      <c r="G28" s="153">
        <f>IF($K28="Padrão",BDI!$B$17,IF($K28="Diferenciado",BDI!$E$17,0))</f>
        <v>0.2039</v>
      </c>
      <c r="H28" s="151">
        <f t="shared" ca="1" si="0"/>
        <v>56.56</v>
      </c>
      <c r="I28" s="152">
        <f t="shared" ca="1" si="1"/>
        <v>0</v>
      </c>
      <c r="J28" s="43"/>
      <c r="K28" s="155" t="s">
        <v>2966</v>
      </c>
    </row>
    <row r="29" spans="1:11" hidden="1" x14ac:dyDescent="0.25">
      <c r="A29" s="148" t="s">
        <v>37</v>
      </c>
      <c r="B29" s="149" t="s">
        <v>2999</v>
      </c>
      <c r="C29" s="150" t="s">
        <v>68</v>
      </c>
      <c r="D29" s="150">
        <v>0</v>
      </c>
      <c r="E29" s="151">
        <f ca="1">OFFSET(INDEX(Composições!A:H,MATCH(Orçamentária!A29,Composições!A:A,0),8),2,0)</f>
        <v>9.0384083000000004</v>
      </c>
      <c r="F29" s="152">
        <f t="shared" ca="1" si="2"/>
        <v>0</v>
      </c>
      <c r="G29" s="153">
        <f>IF($K29="Padrão",BDI!$B$17,IF($K29="Diferenciado",BDI!$E$17,0))</f>
        <v>0.2039</v>
      </c>
      <c r="H29" s="151">
        <f t="shared" ca="1" si="0"/>
        <v>10.88</v>
      </c>
      <c r="I29" s="152">
        <f t="shared" ca="1" si="1"/>
        <v>0</v>
      </c>
      <c r="J29" s="43"/>
      <c r="K29" s="155" t="s">
        <v>2966</v>
      </c>
    </row>
    <row r="30" spans="1:11" hidden="1" x14ac:dyDescent="0.25">
      <c r="A30" s="148" t="s">
        <v>38</v>
      </c>
      <c r="B30" s="149" t="s">
        <v>3000</v>
      </c>
      <c r="C30" s="150" t="s">
        <v>106</v>
      </c>
      <c r="D30" s="150">
        <v>0</v>
      </c>
      <c r="E30" s="151">
        <f ca="1">OFFSET(INDEX(Composições!A:H,MATCH(Orçamentária!A30,Composições!A:A,0),8),2,0)</f>
        <v>12.421250000000001</v>
      </c>
      <c r="F30" s="152">
        <f t="shared" ca="1" si="2"/>
        <v>0</v>
      </c>
      <c r="G30" s="153">
        <f>IF($K30="Padrão",BDI!$B$17,IF($K30="Diferenciado",BDI!$E$17,0))</f>
        <v>0.2039</v>
      </c>
      <c r="H30" s="151">
        <f t="shared" ca="1" si="0"/>
        <v>14.95</v>
      </c>
      <c r="I30" s="152">
        <f t="shared" ca="1" si="1"/>
        <v>0</v>
      </c>
      <c r="J30" s="43"/>
      <c r="K30" s="155" t="s">
        <v>2966</v>
      </c>
    </row>
    <row r="31" spans="1:11" hidden="1" x14ac:dyDescent="0.25">
      <c r="A31" s="148" t="s">
        <v>39</v>
      </c>
      <c r="B31" s="149" t="s">
        <v>3001</v>
      </c>
      <c r="C31" s="150" t="s">
        <v>68</v>
      </c>
      <c r="D31" s="150">
        <v>0</v>
      </c>
      <c r="E31" s="151">
        <f ca="1">OFFSET(INDEX(Composições!A:H,MATCH(Orçamentária!A31,Composições!A:A,0),8),2,0)</f>
        <v>13.399275000000001</v>
      </c>
      <c r="F31" s="152">
        <f t="shared" ca="1" si="2"/>
        <v>0</v>
      </c>
      <c r="G31" s="153">
        <f>IF($K31="Padrão",BDI!$B$17,IF($K31="Diferenciado",BDI!$E$17,0))</f>
        <v>0.2039</v>
      </c>
      <c r="H31" s="151">
        <f t="shared" ca="1" si="0"/>
        <v>16.13</v>
      </c>
      <c r="I31" s="152">
        <f t="shared" ca="1" si="1"/>
        <v>0</v>
      </c>
      <c r="J31" s="43"/>
      <c r="K31" s="155" t="s">
        <v>2966</v>
      </c>
    </row>
    <row r="32" spans="1:11" hidden="1" x14ac:dyDescent="0.25">
      <c r="A32" s="148" t="s">
        <v>40</v>
      </c>
      <c r="B32" s="149" t="s">
        <v>3002</v>
      </c>
      <c r="C32" s="150" t="s">
        <v>18</v>
      </c>
      <c r="D32" s="150">
        <v>0</v>
      </c>
      <c r="E32" s="151">
        <f ca="1">OFFSET(INDEX(Composições!A:H,MATCH(Orçamentária!A32,Composições!A:A,0),8),2,0)</f>
        <v>9.43065</v>
      </c>
      <c r="F32" s="152">
        <f t="shared" ca="1" si="2"/>
        <v>0</v>
      </c>
      <c r="G32" s="153">
        <f>IF($K32="Padrão",BDI!$B$17,IF($K32="Diferenciado",BDI!$E$17,0))</f>
        <v>0.2039</v>
      </c>
      <c r="H32" s="151">
        <f t="shared" ca="1" si="0"/>
        <v>11.35</v>
      </c>
      <c r="I32" s="152">
        <f t="shared" ca="1" si="1"/>
        <v>0</v>
      </c>
      <c r="J32" s="43"/>
      <c r="K32" s="155" t="s">
        <v>2966</v>
      </c>
    </row>
    <row r="33" spans="1:11" hidden="1" x14ac:dyDescent="0.25">
      <c r="A33" s="148" t="s">
        <v>41</v>
      </c>
      <c r="B33" s="149" t="s">
        <v>3003</v>
      </c>
      <c r="C33" s="150" t="s">
        <v>18</v>
      </c>
      <c r="D33" s="150">
        <v>0</v>
      </c>
      <c r="E33" s="151">
        <f ca="1">OFFSET(INDEX(Composições!A:H,MATCH(Orçamentária!A33,Composições!A:A,0),8),2,0)</f>
        <v>7.3458749999999995</v>
      </c>
      <c r="F33" s="152">
        <f t="shared" ca="1" si="2"/>
        <v>0</v>
      </c>
      <c r="G33" s="153">
        <f>IF($K33="Padrão",BDI!$B$17,IF($K33="Diferenciado",BDI!$E$17,0))</f>
        <v>0.2039</v>
      </c>
      <c r="H33" s="151">
        <f t="shared" ca="1" si="0"/>
        <v>8.84</v>
      </c>
      <c r="I33" s="152">
        <f t="shared" ca="1" si="1"/>
        <v>0</v>
      </c>
      <c r="J33" s="43"/>
      <c r="K33" s="155" t="s">
        <v>2966</v>
      </c>
    </row>
    <row r="34" spans="1:11" hidden="1" x14ac:dyDescent="0.25">
      <c r="A34" s="148" t="s">
        <v>42</v>
      </c>
      <c r="B34" s="149" t="s">
        <v>3004</v>
      </c>
      <c r="C34" s="150" t="s">
        <v>18</v>
      </c>
      <c r="D34" s="150">
        <v>0</v>
      </c>
      <c r="E34" s="151">
        <f ca="1">OFFSET(INDEX(Composições!A:H,MATCH(Orçamentária!A34,Composições!A:A,0),8),2,0)</f>
        <v>10.66133035</v>
      </c>
      <c r="F34" s="152">
        <f t="shared" ca="1" si="2"/>
        <v>0</v>
      </c>
      <c r="G34" s="153">
        <f>IF($K34="Padrão",BDI!$B$17,IF($K34="Diferenciado",BDI!$E$17,0))</f>
        <v>0.2039</v>
      </c>
      <c r="H34" s="151">
        <f t="shared" ca="1" si="0"/>
        <v>12.84</v>
      </c>
      <c r="I34" s="152">
        <f t="shared" ca="1" si="1"/>
        <v>0</v>
      </c>
      <c r="J34" s="43"/>
      <c r="K34" s="155" t="s">
        <v>2966</v>
      </c>
    </row>
    <row r="35" spans="1:11" hidden="1" x14ac:dyDescent="0.25">
      <c r="A35" s="148" t="s">
        <v>43</v>
      </c>
      <c r="B35" s="149" t="s">
        <v>3005</v>
      </c>
      <c r="C35" s="150" t="s">
        <v>68</v>
      </c>
      <c r="D35" s="150">
        <v>0</v>
      </c>
      <c r="E35" s="151">
        <f ca="1">OFFSET(INDEX(Composições!A:H,MATCH(Orçamentária!A35,Composições!A:A,0),8),2,0)</f>
        <v>24.118695000000002</v>
      </c>
      <c r="F35" s="152">
        <f t="shared" ca="1" si="2"/>
        <v>0</v>
      </c>
      <c r="G35" s="153">
        <f>IF($K35="Padrão",BDI!$B$17,IF($K35="Diferenciado",BDI!$E$17,0))</f>
        <v>0.2039</v>
      </c>
      <c r="H35" s="151">
        <f t="shared" ca="1" si="0"/>
        <v>29.04</v>
      </c>
      <c r="I35" s="152">
        <f t="shared" ca="1" si="1"/>
        <v>0</v>
      </c>
      <c r="J35" s="43"/>
      <c r="K35" s="155" t="s">
        <v>2966</v>
      </c>
    </row>
    <row r="36" spans="1:11" hidden="1" x14ac:dyDescent="0.25">
      <c r="A36" s="148" t="s">
        <v>44</v>
      </c>
      <c r="B36" s="149" t="s">
        <v>3006</v>
      </c>
      <c r="C36" s="150" t="s">
        <v>18</v>
      </c>
      <c r="D36" s="150">
        <v>0</v>
      </c>
      <c r="E36" s="151">
        <f ca="1">OFFSET(INDEX(Composições!A:H,MATCH(Orçamentária!A36,Composições!A:A,0),8),2,0)</f>
        <v>14.101070400000001</v>
      </c>
      <c r="F36" s="152">
        <f t="shared" ca="1" si="2"/>
        <v>0</v>
      </c>
      <c r="G36" s="153">
        <f>IF($K36="Padrão",BDI!$B$17,IF($K36="Diferenciado",BDI!$E$17,0))</f>
        <v>0.2039</v>
      </c>
      <c r="H36" s="151">
        <f t="shared" ca="1" si="0"/>
        <v>16.98</v>
      </c>
      <c r="I36" s="152">
        <f t="shared" ca="1" si="1"/>
        <v>0</v>
      </c>
      <c r="J36" s="43"/>
      <c r="K36" s="155" t="s">
        <v>2966</v>
      </c>
    </row>
    <row r="37" spans="1:11" hidden="1" x14ac:dyDescent="0.25">
      <c r="A37" s="148" t="s">
        <v>45</v>
      </c>
      <c r="B37" s="149" t="s">
        <v>3007</v>
      </c>
      <c r="C37" s="150" t="s">
        <v>18</v>
      </c>
      <c r="D37" s="150">
        <v>0</v>
      </c>
      <c r="E37" s="151">
        <f ca="1">OFFSET(INDEX(Composições!A:H,MATCH(Orçamentária!A37,Composições!A:A,0),8),2,0)</f>
        <v>10.093108750000003</v>
      </c>
      <c r="F37" s="152">
        <f t="shared" ca="1" si="2"/>
        <v>0</v>
      </c>
      <c r="G37" s="153">
        <f>IF($K37="Padrão",BDI!$B$17,IF($K37="Diferenciado",BDI!$E$17,0))</f>
        <v>0.2039</v>
      </c>
      <c r="H37" s="151">
        <f t="shared" ca="1" si="0"/>
        <v>12.15</v>
      </c>
      <c r="I37" s="152">
        <f t="shared" ca="1" si="1"/>
        <v>0</v>
      </c>
      <c r="J37" s="43"/>
      <c r="K37" s="155" t="s">
        <v>2966</v>
      </c>
    </row>
    <row r="38" spans="1:11" hidden="1" x14ac:dyDescent="0.25">
      <c r="A38" s="148" t="s">
        <v>47</v>
      </c>
      <c r="B38" s="149" t="s">
        <v>3008</v>
      </c>
      <c r="C38" s="150" t="s">
        <v>18</v>
      </c>
      <c r="D38" s="150">
        <v>0</v>
      </c>
      <c r="E38" s="151">
        <f ca="1">OFFSET(INDEX(Composições!A:H,MATCH(Orçamentária!A38,Composições!A:A,0),8),2,0)</f>
        <v>10.280957000000001</v>
      </c>
      <c r="F38" s="152">
        <f t="shared" ca="1" si="2"/>
        <v>0</v>
      </c>
      <c r="G38" s="153">
        <f>IF($K38="Padrão",BDI!$B$17,IF($K38="Diferenciado",BDI!$E$17,0))</f>
        <v>0.2039</v>
      </c>
      <c r="H38" s="151">
        <f t="shared" ca="1" si="0"/>
        <v>12.38</v>
      </c>
      <c r="I38" s="152">
        <f t="shared" ca="1" si="1"/>
        <v>0</v>
      </c>
      <c r="J38" s="43"/>
      <c r="K38" s="155" t="s">
        <v>2966</v>
      </c>
    </row>
    <row r="39" spans="1:11" hidden="1" x14ac:dyDescent="0.25">
      <c r="A39" s="148" t="s">
        <v>48</v>
      </c>
      <c r="B39" s="149" t="s">
        <v>3009</v>
      </c>
      <c r="C39" s="150" t="s">
        <v>68</v>
      </c>
      <c r="D39" s="150">
        <v>0</v>
      </c>
      <c r="E39" s="151">
        <f ca="1">OFFSET(INDEX(Composições!A:H,MATCH(Orçamentária!A39,Composições!A:A,0),8),2,0)</f>
        <v>17.982436</v>
      </c>
      <c r="F39" s="152">
        <f t="shared" ca="1" si="2"/>
        <v>0</v>
      </c>
      <c r="G39" s="153">
        <f>IF($K39="Padrão",BDI!$B$17,IF($K39="Diferenciado",BDI!$E$17,0))</f>
        <v>0.2039</v>
      </c>
      <c r="H39" s="151">
        <f t="shared" ca="1" si="0"/>
        <v>21.65</v>
      </c>
      <c r="I39" s="152">
        <f t="shared" ca="1" si="1"/>
        <v>0</v>
      </c>
      <c r="J39" s="43"/>
      <c r="K39" s="155" t="s">
        <v>2966</v>
      </c>
    </row>
    <row r="40" spans="1:11" hidden="1" x14ac:dyDescent="0.25">
      <c r="A40" s="148" t="s">
        <v>49</v>
      </c>
      <c r="B40" s="149" t="s">
        <v>3010</v>
      </c>
      <c r="C40" s="150" t="s">
        <v>68</v>
      </c>
      <c r="D40" s="150">
        <v>0</v>
      </c>
      <c r="E40" s="151">
        <f ca="1">OFFSET(INDEX(Composições!A:H,MATCH(Orçamentária!A40,Composições!A:A,0),8),2,0)</f>
        <v>9.5538333333333334</v>
      </c>
      <c r="F40" s="152">
        <f t="shared" ca="1" si="2"/>
        <v>0</v>
      </c>
      <c r="G40" s="153">
        <f>IF($K40="Padrão",BDI!$B$17,IF($K40="Diferenciado",BDI!$E$17,0))</f>
        <v>0.2039</v>
      </c>
      <c r="H40" s="151">
        <f t="shared" ca="1" si="0"/>
        <v>11.5</v>
      </c>
      <c r="I40" s="152">
        <f t="shared" ca="1" si="1"/>
        <v>0</v>
      </c>
      <c r="J40" s="43"/>
      <c r="K40" s="155" t="s">
        <v>2966</v>
      </c>
    </row>
    <row r="41" spans="1:11" hidden="1" x14ac:dyDescent="0.25">
      <c r="A41" s="148" t="s">
        <v>50</v>
      </c>
      <c r="B41" s="149" t="s">
        <v>3011</v>
      </c>
      <c r="C41" s="150" t="s">
        <v>106</v>
      </c>
      <c r="D41" s="150">
        <v>0</v>
      </c>
      <c r="E41" s="151">
        <f ca="1">OFFSET(INDEX(Composições!A:H,MATCH(Orçamentária!A41,Composições!A:A,0),8),2,0)</f>
        <v>4.0604785999999997</v>
      </c>
      <c r="F41" s="152">
        <f t="shared" ca="1" si="2"/>
        <v>0</v>
      </c>
      <c r="G41" s="153">
        <f>IF($K41="Padrão",BDI!$B$17,IF($K41="Diferenciado",BDI!$E$17,0))</f>
        <v>0.2039</v>
      </c>
      <c r="H41" s="151">
        <f t="shared" ca="1" si="0"/>
        <v>4.8899999999999997</v>
      </c>
      <c r="I41" s="152">
        <f t="shared" ca="1" si="1"/>
        <v>0</v>
      </c>
      <c r="J41" s="43"/>
      <c r="K41" s="155" t="s">
        <v>2966</v>
      </c>
    </row>
    <row r="42" spans="1:11" hidden="1" x14ac:dyDescent="0.25">
      <c r="A42" s="148" t="s">
        <v>51</v>
      </c>
      <c r="B42" s="149" t="s">
        <v>3012</v>
      </c>
      <c r="C42" s="150" t="s">
        <v>68</v>
      </c>
      <c r="D42" s="150">
        <v>0</v>
      </c>
      <c r="E42" s="151">
        <f ca="1">OFFSET(INDEX(Composições!A:H,MATCH(Orçamentária!A42,Composições!A:A,0),8),2,0)</f>
        <v>9.4772000000000016</v>
      </c>
      <c r="F42" s="152">
        <f t="shared" ca="1" si="2"/>
        <v>0</v>
      </c>
      <c r="G42" s="153">
        <f>IF($K42="Padrão",BDI!$B$17,IF($K42="Diferenciado",BDI!$E$17,0))</f>
        <v>0.2039</v>
      </c>
      <c r="H42" s="151">
        <f t="shared" ca="1" si="0"/>
        <v>11.41</v>
      </c>
      <c r="I42" s="152">
        <f t="shared" ca="1" si="1"/>
        <v>0</v>
      </c>
      <c r="J42" s="43"/>
      <c r="K42" s="155" t="s">
        <v>2966</v>
      </c>
    </row>
    <row r="43" spans="1:11" hidden="1" x14ac:dyDescent="0.25">
      <c r="A43" s="148" t="s">
        <v>52</v>
      </c>
      <c r="B43" s="149" t="s">
        <v>3013</v>
      </c>
      <c r="C43" s="150" t="s">
        <v>68</v>
      </c>
      <c r="D43" s="150">
        <v>0</v>
      </c>
      <c r="E43" s="151">
        <f ca="1">OFFSET(INDEX(Composições!A:H,MATCH(Orçamentária!A43,Composições!A:A,0),8),2,0)</f>
        <v>6.3426920999999998</v>
      </c>
      <c r="F43" s="152">
        <f t="shared" ca="1" si="2"/>
        <v>0</v>
      </c>
      <c r="G43" s="153">
        <f>IF($K43="Padrão",BDI!$B$17,IF($K43="Diferenciado",BDI!$E$17,0))</f>
        <v>0.2039</v>
      </c>
      <c r="H43" s="151">
        <f t="shared" ca="1" si="0"/>
        <v>7.64</v>
      </c>
      <c r="I43" s="152">
        <f t="shared" ca="1" si="1"/>
        <v>0</v>
      </c>
      <c r="J43" s="43"/>
      <c r="K43" s="155" t="s">
        <v>2966</v>
      </c>
    </row>
    <row r="44" spans="1:11" hidden="1" x14ac:dyDescent="0.25">
      <c r="A44" s="148" t="s">
        <v>54</v>
      </c>
      <c r="B44" s="149" t="s">
        <v>3014</v>
      </c>
      <c r="C44" s="150" t="s">
        <v>18</v>
      </c>
      <c r="D44" s="150">
        <v>0</v>
      </c>
      <c r="E44" s="151">
        <f ca="1">OFFSET(INDEX(Composições!A:H,MATCH(Orçamentária!A44,Composições!A:A,0),8),2,0)</f>
        <v>167.51349999999999</v>
      </c>
      <c r="F44" s="152">
        <f t="shared" ca="1" si="2"/>
        <v>0</v>
      </c>
      <c r="G44" s="153">
        <f>IF($K44="Padrão",BDI!$B$17,IF($K44="Diferenciado",BDI!$E$17,0))</f>
        <v>0.2039</v>
      </c>
      <c r="H44" s="151">
        <f t="shared" ca="1" si="0"/>
        <v>201.67</v>
      </c>
      <c r="I44" s="152">
        <f t="shared" ca="1" si="1"/>
        <v>0</v>
      </c>
      <c r="J44" s="43"/>
      <c r="K44" s="155" t="s">
        <v>2966</v>
      </c>
    </row>
    <row r="45" spans="1:11" hidden="1" x14ac:dyDescent="0.25">
      <c r="A45" s="148" t="s">
        <v>55</v>
      </c>
      <c r="B45" s="149" t="s">
        <v>3015</v>
      </c>
      <c r="C45" s="150" t="s">
        <v>68</v>
      </c>
      <c r="D45" s="150">
        <v>0</v>
      </c>
      <c r="E45" s="151">
        <f ca="1">OFFSET(INDEX(Composições!A:H,MATCH(Orçamentária!A45,Composições!A:A,0),8),2,0)</f>
        <v>4.7386000000000008</v>
      </c>
      <c r="F45" s="152">
        <f t="shared" ca="1" si="2"/>
        <v>0</v>
      </c>
      <c r="G45" s="153">
        <f>IF($K45="Padrão",BDI!$B$17,IF($K45="Diferenciado",BDI!$E$17,0))</f>
        <v>0.2039</v>
      </c>
      <c r="H45" s="151">
        <f t="shared" ca="1" si="0"/>
        <v>5.7</v>
      </c>
      <c r="I45" s="152">
        <f t="shared" ca="1" si="1"/>
        <v>0</v>
      </c>
      <c r="J45" s="43"/>
      <c r="K45" s="155" t="s">
        <v>2966</v>
      </c>
    </row>
    <row r="46" spans="1:11" hidden="1" x14ac:dyDescent="0.25">
      <c r="A46" s="148" t="s">
        <v>56</v>
      </c>
      <c r="B46" s="149" t="s">
        <v>3016</v>
      </c>
      <c r="C46" s="150" t="s">
        <v>106</v>
      </c>
      <c r="D46" s="150">
        <v>0</v>
      </c>
      <c r="E46" s="151">
        <f ca="1">OFFSET(INDEX(Composições!A:H,MATCH(Orçamentária!A46,Composições!A:A,0),8),2,0)</f>
        <v>6.2123046000000004</v>
      </c>
      <c r="F46" s="152">
        <f t="shared" ca="1" si="2"/>
        <v>0</v>
      </c>
      <c r="G46" s="153">
        <f>IF($K46="Padrão",BDI!$B$17,IF($K46="Diferenciado",BDI!$E$17,0))</f>
        <v>0.2039</v>
      </c>
      <c r="H46" s="151">
        <f t="shared" ca="1" si="0"/>
        <v>7.48</v>
      </c>
      <c r="I46" s="152">
        <f t="shared" ca="1" si="1"/>
        <v>0</v>
      </c>
      <c r="J46" s="43"/>
      <c r="K46" s="155" t="s">
        <v>2966</v>
      </c>
    </row>
    <row r="47" spans="1:11" hidden="1" x14ac:dyDescent="0.25">
      <c r="A47" s="148" t="s">
        <v>57</v>
      </c>
      <c r="B47" s="149" t="s">
        <v>3017</v>
      </c>
      <c r="C47" s="150" t="s">
        <v>68</v>
      </c>
      <c r="D47" s="150">
        <v>0</v>
      </c>
      <c r="E47" s="151">
        <f ca="1">OFFSET(INDEX(Composições!A:H,MATCH(Orçamentária!A47,Composições!A:A,0),8),2,0)</f>
        <v>8.2493250000000007</v>
      </c>
      <c r="F47" s="152">
        <f t="shared" ca="1" si="2"/>
        <v>0</v>
      </c>
      <c r="G47" s="153">
        <f>IF($K47="Padrão",BDI!$B$17,IF($K47="Diferenciado",BDI!$E$17,0))</f>
        <v>0.2039</v>
      </c>
      <c r="H47" s="151">
        <f t="shared" ca="1" si="0"/>
        <v>9.93</v>
      </c>
      <c r="I47" s="152">
        <f t="shared" ca="1" si="1"/>
        <v>0</v>
      </c>
      <c r="J47" s="43"/>
      <c r="K47" s="155" t="s">
        <v>2966</v>
      </c>
    </row>
    <row r="48" spans="1:11" hidden="1" x14ac:dyDescent="0.25">
      <c r="A48" s="148" t="s">
        <v>58</v>
      </c>
      <c r="B48" s="149" t="s">
        <v>3018</v>
      </c>
      <c r="C48" s="150" t="s">
        <v>106</v>
      </c>
      <c r="D48" s="150">
        <v>0</v>
      </c>
      <c r="E48" s="151">
        <f ca="1">OFFSET(INDEX(Composições!A:H,MATCH(Orçamentária!A48,Composições!A:A,0),8),2,0)</f>
        <v>13.031150000000002</v>
      </c>
      <c r="F48" s="152">
        <f t="shared" ca="1" si="2"/>
        <v>0</v>
      </c>
      <c r="G48" s="153">
        <f>IF($K48="Padrão",BDI!$B$17,IF($K48="Diferenciado",BDI!$E$17,0))</f>
        <v>0.2039</v>
      </c>
      <c r="H48" s="151">
        <f t="shared" ca="1" si="0"/>
        <v>15.69</v>
      </c>
      <c r="I48" s="152">
        <f t="shared" ca="1" si="1"/>
        <v>0</v>
      </c>
      <c r="J48" s="43"/>
      <c r="K48" s="155" t="s">
        <v>2966</v>
      </c>
    </row>
    <row r="49" spans="1:11" hidden="1" x14ac:dyDescent="0.25">
      <c r="A49" s="148" t="s">
        <v>59</v>
      </c>
      <c r="B49" s="149" t="s">
        <v>3019</v>
      </c>
      <c r="C49" s="150" t="s">
        <v>18</v>
      </c>
      <c r="D49" s="150">
        <v>0</v>
      </c>
      <c r="E49" s="151">
        <f ca="1">OFFSET(INDEX(Composições!A:H,MATCH(Orçamentária!A49,Composições!A:A,0),8),2,0)</f>
        <v>51.756</v>
      </c>
      <c r="F49" s="152">
        <f t="shared" ca="1" si="2"/>
        <v>0</v>
      </c>
      <c r="G49" s="153">
        <f>IF($K49="Padrão",BDI!$B$17,IF($K49="Diferenciado",BDI!$E$17,0))</f>
        <v>0.2039</v>
      </c>
      <c r="H49" s="151">
        <f t="shared" ca="1" si="0"/>
        <v>62.31</v>
      </c>
      <c r="I49" s="152">
        <f t="shared" ca="1" si="1"/>
        <v>0</v>
      </c>
      <c r="J49" s="43"/>
      <c r="K49" s="155" t="s">
        <v>2966</v>
      </c>
    </row>
    <row r="50" spans="1:11" hidden="1" x14ac:dyDescent="0.25">
      <c r="A50" s="148" t="s">
        <v>60</v>
      </c>
      <c r="B50" s="149" t="s">
        <v>3020</v>
      </c>
      <c r="C50" s="150" t="s">
        <v>68</v>
      </c>
      <c r="D50" s="150">
        <v>0</v>
      </c>
      <c r="E50" s="151">
        <f ca="1">OFFSET(INDEX(Composições!A:H,MATCH(Orçamentária!A50,Composições!A:A,0),8),2,0)</f>
        <v>20.733531500000002</v>
      </c>
      <c r="F50" s="152">
        <f t="shared" ca="1" si="2"/>
        <v>0</v>
      </c>
      <c r="G50" s="153">
        <f>IF($K50="Padrão",BDI!$B$17,IF($K50="Diferenciado",BDI!$E$17,0))</f>
        <v>0.2039</v>
      </c>
      <c r="H50" s="151">
        <f t="shared" ca="1" si="0"/>
        <v>24.96</v>
      </c>
      <c r="I50" s="152">
        <f t="shared" ca="1" si="1"/>
        <v>0</v>
      </c>
      <c r="J50" s="43"/>
      <c r="K50" s="155" t="s">
        <v>2966</v>
      </c>
    </row>
    <row r="51" spans="1:11" hidden="1" x14ac:dyDescent="0.25">
      <c r="A51" s="148" t="s">
        <v>61</v>
      </c>
      <c r="B51" s="149" t="s">
        <v>3021</v>
      </c>
      <c r="C51" s="150" t="s">
        <v>1788</v>
      </c>
      <c r="D51" s="150">
        <v>0</v>
      </c>
      <c r="E51" s="151">
        <f ca="1">OFFSET(INDEX(Composições!A:H,MATCH(Orçamentária!A51,Composições!A:A,0),8),2,0)</f>
        <v>23.693000000000001</v>
      </c>
      <c r="F51" s="152">
        <f t="shared" ca="1" si="2"/>
        <v>0</v>
      </c>
      <c r="G51" s="153">
        <f>IF($K51="Padrão",BDI!$B$17,IF($K51="Diferenciado",BDI!$E$17,0))</f>
        <v>0.2039</v>
      </c>
      <c r="H51" s="151">
        <f t="shared" ca="1" si="0"/>
        <v>28.52</v>
      </c>
      <c r="I51" s="152">
        <f t="shared" ca="1" si="1"/>
        <v>0</v>
      </c>
      <c r="J51" s="43"/>
      <c r="K51" s="155" t="s">
        <v>2966</v>
      </c>
    </row>
    <row r="52" spans="1:11" hidden="1" x14ac:dyDescent="0.25">
      <c r="A52" s="148" t="s">
        <v>3022</v>
      </c>
      <c r="B52" s="149" t="s">
        <v>3023</v>
      </c>
      <c r="C52" s="150" t="s">
        <v>18</v>
      </c>
      <c r="D52" s="150">
        <v>0</v>
      </c>
      <c r="E52" s="151" t="s">
        <v>13</v>
      </c>
      <c r="F52" s="152" t="str">
        <f t="shared" si="2"/>
        <v/>
      </c>
      <c r="G52" s="153">
        <f>IF($K52="Padrão",BDI!$B$17,IF($K52="Diferenciado",BDI!$E$17,0))</f>
        <v>0.2039</v>
      </c>
      <c r="H52" s="151" t="str">
        <f t="shared" si="0"/>
        <v/>
      </c>
      <c r="I52" s="152" t="str">
        <f t="shared" si="1"/>
        <v/>
      </c>
      <c r="J52" s="43"/>
      <c r="K52" s="155" t="s">
        <v>2966</v>
      </c>
    </row>
    <row r="53" spans="1:11" hidden="1" x14ac:dyDescent="0.25">
      <c r="A53" s="148" t="s">
        <v>62</v>
      </c>
      <c r="B53" s="149" t="s">
        <v>3024</v>
      </c>
      <c r="C53" s="150" t="s">
        <v>3025</v>
      </c>
      <c r="D53" s="150">
        <v>0</v>
      </c>
      <c r="E53" s="151">
        <f ca="1">OFFSET(INDEX(Composições!A:H,MATCH(Orçamentária!A53,Composições!A:A,0),8),2,0)</f>
        <v>21.375</v>
      </c>
      <c r="F53" s="152">
        <f t="shared" ca="1" si="2"/>
        <v>0</v>
      </c>
      <c r="G53" s="153">
        <f>IF($K53="Padrão",BDI!$B$17,IF($K53="Diferenciado",BDI!$E$17,0))</f>
        <v>0.2039</v>
      </c>
      <c r="H53" s="151">
        <f t="shared" ca="1" si="0"/>
        <v>25.73</v>
      </c>
      <c r="I53" s="152">
        <f t="shared" ca="1" si="1"/>
        <v>0</v>
      </c>
      <c r="J53" s="43"/>
      <c r="K53" s="155" t="s">
        <v>2966</v>
      </c>
    </row>
    <row r="54" spans="1:11" x14ac:dyDescent="0.25">
      <c r="A54" s="148" t="s">
        <v>63</v>
      </c>
      <c r="B54" s="149" t="s">
        <v>3026</v>
      </c>
      <c r="C54" s="150" t="s">
        <v>3027</v>
      </c>
      <c r="D54" s="150">
        <v>3</v>
      </c>
      <c r="E54" s="151">
        <f ca="1">OFFSET(INDEX(Composições!A:H,MATCH(Orçamentária!A54,Composições!A:A,0),8),2,0)</f>
        <v>28.5</v>
      </c>
      <c r="F54" s="152">
        <f t="shared" ca="1" si="2"/>
        <v>85.5</v>
      </c>
      <c r="G54" s="153">
        <f>IF($K54="Padrão",BDI!$B$17,IF($K54="Diferenciado",BDI!$E$17,0))</f>
        <v>0.2039</v>
      </c>
      <c r="H54" s="151">
        <f t="shared" ca="1" si="0"/>
        <v>34.31</v>
      </c>
      <c r="I54" s="152">
        <f t="shared" ca="1" si="1"/>
        <v>102.93</v>
      </c>
      <c r="J54" s="43"/>
      <c r="K54" s="155" t="s">
        <v>2966</v>
      </c>
    </row>
    <row r="55" spans="1:11" hidden="1" x14ac:dyDescent="0.25">
      <c r="A55" s="148" t="s">
        <v>3028</v>
      </c>
      <c r="B55" s="149" t="s">
        <v>3029</v>
      </c>
      <c r="C55" s="150" t="s">
        <v>106</v>
      </c>
      <c r="D55" s="150">
        <v>0</v>
      </c>
      <c r="E55" s="151" t="s">
        <v>13</v>
      </c>
      <c r="F55" s="152" t="str">
        <f t="shared" si="2"/>
        <v/>
      </c>
      <c r="G55" s="153">
        <f>IF($K55="Padrão",BDI!$B$17,IF($K55="Diferenciado",BDI!$E$17,0))</f>
        <v>0.2039</v>
      </c>
      <c r="H55" s="151" t="str">
        <f t="shared" si="0"/>
        <v/>
      </c>
      <c r="I55" s="152" t="str">
        <f t="shared" si="1"/>
        <v/>
      </c>
      <c r="J55" s="43"/>
      <c r="K55" s="155" t="s">
        <v>2966</v>
      </c>
    </row>
    <row r="56" spans="1:11" x14ac:dyDescent="0.25">
      <c r="A56" s="148" t="s">
        <v>64</v>
      </c>
      <c r="B56" s="149" t="s">
        <v>3030</v>
      </c>
      <c r="C56" s="150" t="s">
        <v>106</v>
      </c>
      <c r="D56" s="150">
        <v>200</v>
      </c>
      <c r="E56" s="151">
        <f ca="1">OFFSET(INDEX(Composições!A:H,MATCH(Orçamentária!A56,Composições!A:A,0),8),2,0)</f>
        <v>3.6293799999999998</v>
      </c>
      <c r="F56" s="152">
        <f t="shared" ca="1" si="2"/>
        <v>725.87599999999998</v>
      </c>
      <c r="G56" s="153">
        <f>IF($K56="Padrão",BDI!$B$17,IF($K56="Diferenciado",BDI!$E$17,0))</f>
        <v>0.2039</v>
      </c>
      <c r="H56" s="151">
        <f t="shared" ca="1" si="0"/>
        <v>4.37</v>
      </c>
      <c r="I56" s="152">
        <f t="shared" ca="1" si="1"/>
        <v>874</v>
      </c>
      <c r="J56" s="43"/>
      <c r="K56" s="155" t="s">
        <v>2966</v>
      </c>
    </row>
    <row r="57" spans="1:11" hidden="1" x14ac:dyDescent="0.25">
      <c r="A57" s="148" t="s">
        <v>3031</v>
      </c>
      <c r="B57" s="149" t="s">
        <v>3032</v>
      </c>
      <c r="C57" s="150" t="s">
        <v>18</v>
      </c>
      <c r="D57" s="150">
        <v>0</v>
      </c>
      <c r="E57" s="151" t="s">
        <v>13</v>
      </c>
      <c r="F57" s="152" t="str">
        <f t="shared" si="2"/>
        <v/>
      </c>
      <c r="G57" s="153">
        <f>IF($K57="Padrão",BDI!$B$17,IF($K57="Diferenciado",BDI!$E$17,0))</f>
        <v>0.2039</v>
      </c>
      <c r="H57" s="151" t="str">
        <f t="shared" si="0"/>
        <v/>
      </c>
      <c r="I57" s="152" t="str">
        <f t="shared" si="1"/>
        <v/>
      </c>
      <c r="J57" s="43"/>
      <c r="K57" s="155" t="s">
        <v>2966</v>
      </c>
    </row>
    <row r="58" spans="1:11" hidden="1" x14ac:dyDescent="0.25">
      <c r="A58" s="148" t="s">
        <v>3033</v>
      </c>
      <c r="B58" s="149" t="s">
        <v>3034</v>
      </c>
      <c r="C58" s="150" t="s">
        <v>3027</v>
      </c>
      <c r="D58" s="150">
        <v>0</v>
      </c>
      <c r="E58" s="151" t="s">
        <v>13</v>
      </c>
      <c r="F58" s="152" t="str">
        <f t="shared" si="2"/>
        <v/>
      </c>
      <c r="G58" s="153">
        <f>IF($K58="Padrão",BDI!$B$17,IF($K58="Diferenciado",BDI!$E$17,0))</f>
        <v>0.2039</v>
      </c>
      <c r="H58" s="151" t="str">
        <f t="shared" si="0"/>
        <v/>
      </c>
      <c r="I58" s="152" t="str">
        <f t="shared" si="1"/>
        <v/>
      </c>
      <c r="J58" s="154"/>
      <c r="K58" s="155" t="s">
        <v>2966</v>
      </c>
    </row>
    <row r="59" spans="1:11" hidden="1" x14ac:dyDescent="0.25">
      <c r="A59" s="148" t="s">
        <v>3035</v>
      </c>
      <c r="B59" s="149" t="s">
        <v>3036</v>
      </c>
      <c r="C59" s="150" t="s">
        <v>18</v>
      </c>
      <c r="D59" s="150">
        <v>0</v>
      </c>
      <c r="E59" s="151" t="s">
        <v>13</v>
      </c>
      <c r="F59" s="152" t="str">
        <f t="shared" si="2"/>
        <v/>
      </c>
      <c r="G59" s="153">
        <f>IF($K59="Padrão",BDI!$B$17,IF($K59="Diferenciado",BDI!$E$17,0))</f>
        <v>0.2039</v>
      </c>
      <c r="H59" s="151" t="str">
        <f t="shared" si="0"/>
        <v/>
      </c>
      <c r="I59" s="152" t="str">
        <f t="shared" si="1"/>
        <v/>
      </c>
      <c r="J59" s="154"/>
      <c r="K59" s="155" t="s">
        <v>2966</v>
      </c>
    </row>
    <row r="60" spans="1:11" hidden="1" x14ac:dyDescent="0.25">
      <c r="A60" s="148" t="s">
        <v>3037</v>
      </c>
      <c r="B60" s="149" t="s">
        <v>3038</v>
      </c>
      <c r="C60" s="150" t="s">
        <v>3027</v>
      </c>
      <c r="D60" s="150">
        <v>0</v>
      </c>
      <c r="E60" s="151" t="s">
        <v>13</v>
      </c>
      <c r="F60" s="152" t="str">
        <f t="shared" si="2"/>
        <v/>
      </c>
      <c r="G60" s="153">
        <f>IF($K60="Padrão",BDI!$B$17,IF($K60="Diferenciado",BDI!$E$17,0))</f>
        <v>0.2039</v>
      </c>
      <c r="H60" s="151" t="str">
        <f t="shared" si="0"/>
        <v/>
      </c>
      <c r="I60" s="152" t="str">
        <f t="shared" si="1"/>
        <v/>
      </c>
      <c r="J60" s="154"/>
      <c r="K60" s="155" t="s">
        <v>2966</v>
      </c>
    </row>
    <row r="61" spans="1:11" hidden="1" x14ac:dyDescent="0.25">
      <c r="A61" s="148" t="s">
        <v>3039</v>
      </c>
      <c r="B61" s="149" t="s">
        <v>3040</v>
      </c>
      <c r="C61" s="150" t="s">
        <v>18</v>
      </c>
      <c r="D61" s="150">
        <v>0</v>
      </c>
      <c r="E61" s="151" t="s">
        <v>13</v>
      </c>
      <c r="F61" s="152" t="str">
        <f t="shared" si="2"/>
        <v/>
      </c>
      <c r="G61" s="153">
        <f>IF($K61="Padrão",BDI!$B$17,IF($K61="Diferenciado",BDI!$E$17,0))</f>
        <v>0.2039</v>
      </c>
      <c r="H61" s="151" t="str">
        <f t="shared" si="0"/>
        <v/>
      </c>
      <c r="I61" s="152" t="str">
        <f t="shared" si="1"/>
        <v/>
      </c>
      <c r="J61" s="154"/>
      <c r="K61" s="155" t="s">
        <v>2966</v>
      </c>
    </row>
    <row r="62" spans="1:11" ht="25.5" x14ac:dyDescent="0.25">
      <c r="A62" s="148" t="s">
        <v>65</v>
      </c>
      <c r="B62" s="149" t="s">
        <v>3041</v>
      </c>
      <c r="C62" s="150" t="s">
        <v>68</v>
      </c>
      <c r="D62" s="150">
        <v>400</v>
      </c>
      <c r="E62" s="151">
        <f ca="1">OFFSET(INDEX(Composições!A:H,MATCH(Orçamentária!A62,Composições!A:A,0),8),2,0)</f>
        <v>28.218799999999998</v>
      </c>
      <c r="F62" s="152">
        <f t="shared" ca="1" si="2"/>
        <v>11287.519999999999</v>
      </c>
      <c r="G62" s="153">
        <f>IF($K62="Padrão",BDI!$B$17,IF($K62="Diferenciado",BDI!$E$17,0))</f>
        <v>0.2039</v>
      </c>
      <c r="H62" s="151">
        <f t="shared" ca="1" si="0"/>
        <v>33.97</v>
      </c>
      <c r="I62" s="152">
        <f t="shared" ca="1" si="1"/>
        <v>13588</v>
      </c>
      <c r="J62" s="154"/>
      <c r="K62" s="155" t="s">
        <v>2966</v>
      </c>
    </row>
    <row r="63" spans="1:11" hidden="1" x14ac:dyDescent="0.25">
      <c r="A63" s="148" t="s">
        <v>3042</v>
      </c>
      <c r="B63" s="149" t="s">
        <v>3043</v>
      </c>
      <c r="C63" s="150" t="s">
        <v>18</v>
      </c>
      <c r="D63" s="150">
        <v>0</v>
      </c>
      <c r="E63" s="151" t="s">
        <v>13</v>
      </c>
      <c r="F63" s="152" t="str">
        <f t="shared" si="2"/>
        <v/>
      </c>
      <c r="G63" s="153">
        <f>IF($K63="Padrão",BDI!$B$17,IF($K63="Diferenciado",BDI!$E$17,0))</f>
        <v>0.2039</v>
      </c>
      <c r="H63" s="151" t="str">
        <f t="shared" si="0"/>
        <v/>
      </c>
      <c r="I63" s="152" t="str">
        <f t="shared" si="1"/>
        <v/>
      </c>
      <c r="J63" s="154"/>
      <c r="K63" s="155" t="s">
        <v>2966</v>
      </c>
    </row>
    <row r="64" spans="1:11" hidden="1" x14ac:dyDescent="0.25">
      <c r="A64" s="148" t="s">
        <v>3044</v>
      </c>
      <c r="B64" s="149" t="s">
        <v>3045</v>
      </c>
      <c r="C64" s="150" t="s">
        <v>18</v>
      </c>
      <c r="D64" s="150">
        <v>0</v>
      </c>
      <c r="E64" s="151" t="s">
        <v>13</v>
      </c>
      <c r="F64" s="152" t="str">
        <f t="shared" si="2"/>
        <v/>
      </c>
      <c r="G64" s="153">
        <f>IF($K64="Padrão",BDI!$B$17,IF($K64="Diferenciado",BDI!$E$17,0))</f>
        <v>0.2039</v>
      </c>
      <c r="H64" s="151" t="str">
        <f t="shared" si="0"/>
        <v/>
      </c>
      <c r="I64" s="152" t="str">
        <f t="shared" si="1"/>
        <v/>
      </c>
      <c r="J64" s="154"/>
      <c r="K64" s="155" t="s">
        <v>2966</v>
      </c>
    </row>
    <row r="65" spans="1:11" hidden="1" x14ac:dyDescent="0.25">
      <c r="A65" s="148" t="s">
        <v>3046</v>
      </c>
      <c r="B65" s="149" t="s">
        <v>3047</v>
      </c>
      <c r="C65" s="150" t="s">
        <v>18</v>
      </c>
      <c r="D65" s="150">
        <v>0</v>
      </c>
      <c r="E65" s="151" t="s">
        <v>13</v>
      </c>
      <c r="F65" s="152" t="str">
        <f t="shared" si="2"/>
        <v/>
      </c>
      <c r="G65" s="153">
        <f>IF($K65="Padrão",BDI!$B$17,IF($K65="Diferenciado",BDI!$E$17,0))</f>
        <v>0.2039</v>
      </c>
      <c r="H65" s="151" t="str">
        <f t="shared" si="0"/>
        <v/>
      </c>
      <c r="I65" s="152" t="str">
        <f t="shared" si="1"/>
        <v/>
      </c>
      <c r="J65" s="154"/>
      <c r="K65" s="155" t="s">
        <v>2966</v>
      </c>
    </row>
    <row r="66" spans="1:11" hidden="1" x14ac:dyDescent="0.25">
      <c r="A66" s="148" t="s">
        <v>3048</v>
      </c>
      <c r="B66" s="149" t="s">
        <v>3049</v>
      </c>
      <c r="C66" s="150" t="s">
        <v>18</v>
      </c>
      <c r="D66" s="150">
        <v>0</v>
      </c>
      <c r="E66" s="151" t="s">
        <v>13</v>
      </c>
      <c r="F66" s="152" t="str">
        <f t="shared" si="2"/>
        <v/>
      </c>
      <c r="G66" s="153">
        <f>IF($K66="Padrão",BDI!$B$17,IF($K66="Diferenciado",BDI!$E$17,0))</f>
        <v>0.2039</v>
      </c>
      <c r="H66" s="151" t="str">
        <f t="shared" si="0"/>
        <v/>
      </c>
      <c r="I66" s="152" t="str">
        <f t="shared" si="1"/>
        <v/>
      </c>
      <c r="J66" s="154"/>
      <c r="K66" s="155" t="s">
        <v>2966</v>
      </c>
    </row>
    <row r="67" spans="1:11" hidden="1" x14ac:dyDescent="0.25">
      <c r="A67" s="148" t="s">
        <v>3050</v>
      </c>
      <c r="B67" s="149" t="s">
        <v>3051</v>
      </c>
      <c r="C67" s="150" t="s">
        <v>18</v>
      </c>
      <c r="D67" s="150">
        <v>0</v>
      </c>
      <c r="E67" s="151" t="s">
        <v>13</v>
      </c>
      <c r="F67" s="152" t="str">
        <f t="shared" si="2"/>
        <v/>
      </c>
      <c r="G67" s="153">
        <f>IF($K67="Padrão",BDI!$B$17,IF($K67="Diferenciado",BDI!$E$17,0))</f>
        <v>0.2039</v>
      </c>
      <c r="H67" s="151" t="str">
        <f t="shared" si="0"/>
        <v/>
      </c>
      <c r="I67" s="152" t="str">
        <f t="shared" si="1"/>
        <v/>
      </c>
      <c r="J67" s="154"/>
      <c r="K67" s="155" t="s">
        <v>2966</v>
      </c>
    </row>
    <row r="68" spans="1:11" hidden="1" x14ac:dyDescent="0.25">
      <c r="A68" s="148" t="s">
        <v>3052</v>
      </c>
      <c r="B68" s="149" t="s">
        <v>3053</v>
      </c>
      <c r="C68" s="150" t="s">
        <v>3025</v>
      </c>
      <c r="D68" s="150">
        <v>0</v>
      </c>
      <c r="E68" s="151" t="s">
        <v>13</v>
      </c>
      <c r="F68" s="152" t="str">
        <f t="shared" si="2"/>
        <v/>
      </c>
      <c r="G68" s="153">
        <f>IF($K68="Padrão",BDI!$B$17,IF($K68="Diferenciado",BDI!$E$17,0))</f>
        <v>0.2039</v>
      </c>
      <c r="H68" s="151" t="str">
        <f t="shared" si="0"/>
        <v/>
      </c>
      <c r="I68" s="152" t="str">
        <f t="shared" si="1"/>
        <v/>
      </c>
      <c r="J68" s="154"/>
      <c r="K68" s="155" t="s">
        <v>2966</v>
      </c>
    </row>
    <row r="69" spans="1:11" hidden="1" x14ac:dyDescent="0.25">
      <c r="A69" s="148" t="s">
        <v>3054</v>
      </c>
      <c r="B69" s="149" t="s">
        <v>3055</v>
      </c>
      <c r="C69" s="150" t="s">
        <v>18</v>
      </c>
      <c r="D69" s="150">
        <v>0</v>
      </c>
      <c r="E69" s="151" t="s">
        <v>13</v>
      </c>
      <c r="F69" s="152" t="str">
        <f t="shared" si="2"/>
        <v/>
      </c>
      <c r="G69" s="153">
        <f>IF($K69="Padrão",BDI!$B$17,IF($K69="Diferenciado",BDI!$E$17,0))</f>
        <v>0.2039</v>
      </c>
      <c r="H69" s="151" t="str">
        <f t="shared" si="0"/>
        <v/>
      </c>
      <c r="I69" s="152" t="str">
        <f t="shared" si="1"/>
        <v/>
      </c>
      <c r="J69" s="154"/>
      <c r="K69" s="155" t="s">
        <v>2966</v>
      </c>
    </row>
    <row r="70" spans="1:11" hidden="1" x14ac:dyDescent="0.25">
      <c r="A70" s="148" t="s">
        <v>3056</v>
      </c>
      <c r="B70" s="149" t="s">
        <v>3057</v>
      </c>
      <c r="C70" s="150" t="s">
        <v>18</v>
      </c>
      <c r="D70" s="150">
        <v>0</v>
      </c>
      <c r="E70" s="151" t="s">
        <v>13</v>
      </c>
      <c r="F70" s="152" t="str">
        <f t="shared" si="2"/>
        <v/>
      </c>
      <c r="G70" s="153">
        <f>IF($K70="Padrão",BDI!$B$17,IF($K70="Diferenciado",BDI!$E$17,0))</f>
        <v>0.2039</v>
      </c>
      <c r="H70" s="151" t="str">
        <f t="shared" ref="H70:H133" si="3">IF(ISNUMBER(E70),ROUND(E70*(1+G70),2),"")</f>
        <v/>
      </c>
      <c r="I70" s="152" t="str">
        <f t="shared" ref="I70:I133" si="4">IF(ISNUMBER(E70),ROUND(H70*D70,2),"")</f>
        <v/>
      </c>
      <c r="J70" s="154"/>
      <c r="K70" s="155" t="s">
        <v>2966</v>
      </c>
    </row>
    <row r="71" spans="1:11" hidden="1" x14ac:dyDescent="0.25">
      <c r="A71" s="148" t="s">
        <v>3058</v>
      </c>
      <c r="B71" s="149" t="s">
        <v>3059</v>
      </c>
      <c r="C71" s="150" t="s">
        <v>18</v>
      </c>
      <c r="D71" s="150">
        <v>0</v>
      </c>
      <c r="E71" s="151" t="s">
        <v>13</v>
      </c>
      <c r="F71" s="152" t="str">
        <f t="shared" ref="F71:F134" si="5">IF(ISNUMBER(E71),D71*E71,"")</f>
        <v/>
      </c>
      <c r="G71" s="153">
        <f>IF($K71="Padrão",BDI!$B$17,IF($K71="Diferenciado",BDI!$E$17,0))</f>
        <v>0.2039</v>
      </c>
      <c r="H71" s="151" t="str">
        <f t="shared" si="3"/>
        <v/>
      </c>
      <c r="I71" s="152" t="str">
        <f t="shared" si="4"/>
        <v/>
      </c>
      <c r="J71" s="154"/>
      <c r="K71" s="155" t="s">
        <v>2966</v>
      </c>
    </row>
    <row r="72" spans="1:11" hidden="1" x14ac:dyDescent="0.25">
      <c r="A72" s="148" t="s">
        <v>3060</v>
      </c>
      <c r="B72" s="149" t="s">
        <v>3061</v>
      </c>
      <c r="C72" s="150" t="s">
        <v>3062</v>
      </c>
      <c r="D72" s="150">
        <v>0</v>
      </c>
      <c r="E72" s="151" t="s">
        <v>13</v>
      </c>
      <c r="F72" s="152" t="str">
        <f t="shared" si="5"/>
        <v/>
      </c>
      <c r="G72" s="153">
        <f>IF($K72="Padrão",BDI!$B$17,IF($K72="Diferenciado",BDI!$E$17,0))</f>
        <v>0.2039</v>
      </c>
      <c r="H72" s="151" t="str">
        <f t="shared" si="3"/>
        <v/>
      </c>
      <c r="I72" s="152" t="str">
        <f t="shared" si="4"/>
        <v/>
      </c>
      <c r="J72" s="154"/>
      <c r="K72" s="155" t="s">
        <v>2966</v>
      </c>
    </row>
    <row r="73" spans="1:11" hidden="1" x14ac:dyDescent="0.25">
      <c r="A73" s="148" t="s">
        <v>3063</v>
      </c>
      <c r="B73" s="149" t="s">
        <v>3064</v>
      </c>
      <c r="C73" s="150" t="s">
        <v>3027</v>
      </c>
      <c r="D73" s="150">
        <v>0</v>
      </c>
      <c r="E73" s="151" t="s">
        <v>13</v>
      </c>
      <c r="F73" s="152" t="str">
        <f t="shared" si="5"/>
        <v/>
      </c>
      <c r="G73" s="153">
        <f>IF($K73="Padrão",BDI!$B$17,IF($K73="Diferenciado",BDI!$E$17,0))</f>
        <v>0.2039</v>
      </c>
      <c r="H73" s="151" t="str">
        <f t="shared" si="3"/>
        <v/>
      </c>
      <c r="I73" s="152" t="str">
        <f t="shared" si="4"/>
        <v/>
      </c>
      <c r="J73" s="154"/>
      <c r="K73" s="155" t="s">
        <v>2966</v>
      </c>
    </row>
    <row r="74" spans="1:11" hidden="1" x14ac:dyDescent="0.25">
      <c r="A74" s="148" t="s">
        <v>3065</v>
      </c>
      <c r="B74" s="149" t="s">
        <v>3066</v>
      </c>
      <c r="C74" s="150" t="s">
        <v>18</v>
      </c>
      <c r="D74" s="150">
        <v>0</v>
      </c>
      <c r="E74" s="151" t="s">
        <v>13</v>
      </c>
      <c r="F74" s="152" t="str">
        <f t="shared" si="5"/>
        <v/>
      </c>
      <c r="G74" s="153">
        <f>IF($K74="Padrão",BDI!$B$17,IF($K74="Diferenciado",BDI!$E$17,0))</f>
        <v>0.2039</v>
      </c>
      <c r="H74" s="151" t="str">
        <f t="shared" si="3"/>
        <v/>
      </c>
      <c r="I74" s="152" t="str">
        <f t="shared" si="4"/>
        <v/>
      </c>
      <c r="J74" s="154"/>
      <c r="K74" s="155" t="s">
        <v>2966</v>
      </c>
    </row>
    <row r="75" spans="1:11" hidden="1" x14ac:dyDescent="0.25">
      <c r="A75" s="148" t="s">
        <v>66</v>
      </c>
      <c r="B75" s="149" t="s">
        <v>3067</v>
      </c>
      <c r="C75" s="150" t="s">
        <v>68</v>
      </c>
      <c r="D75" s="150">
        <v>0</v>
      </c>
      <c r="E75" s="151">
        <f ca="1">OFFSET(INDEX(Composições!A:H,MATCH(Orçamentária!A75,Composições!A:A,0),8),2,0)</f>
        <v>77.463954749999985</v>
      </c>
      <c r="F75" s="152">
        <f t="shared" ca="1" si="5"/>
        <v>0</v>
      </c>
      <c r="G75" s="153">
        <f>IF($K75="Padrão",BDI!$B$17,IF($K75="Diferenciado",BDI!$E$17,0))</f>
        <v>0.2039</v>
      </c>
      <c r="H75" s="151">
        <f t="shared" ca="1" si="3"/>
        <v>93.26</v>
      </c>
      <c r="I75" s="152">
        <f t="shared" ca="1" si="4"/>
        <v>0</v>
      </c>
      <c r="J75" s="154"/>
      <c r="K75" s="155" t="s">
        <v>2966</v>
      </c>
    </row>
    <row r="76" spans="1:11" hidden="1" x14ac:dyDescent="0.25">
      <c r="A76" s="148" t="s">
        <v>3068</v>
      </c>
      <c r="B76" s="149" t="s">
        <v>3069</v>
      </c>
      <c r="C76" s="150" t="s">
        <v>18</v>
      </c>
      <c r="D76" s="150">
        <v>0</v>
      </c>
      <c r="E76" s="151" t="s">
        <v>13</v>
      </c>
      <c r="F76" s="152" t="str">
        <f t="shared" si="5"/>
        <v/>
      </c>
      <c r="G76" s="153">
        <f>IF($K76="Padrão",BDI!$B$17,IF($K76="Diferenciado",BDI!$E$17,0))</f>
        <v>0.2039</v>
      </c>
      <c r="H76" s="151" t="str">
        <f t="shared" si="3"/>
        <v/>
      </c>
      <c r="I76" s="152" t="str">
        <f t="shared" si="4"/>
        <v/>
      </c>
      <c r="J76" s="154"/>
      <c r="K76" s="155" t="s">
        <v>2966</v>
      </c>
    </row>
    <row r="77" spans="1:11" hidden="1" x14ac:dyDescent="0.25">
      <c r="A77" s="148" t="s">
        <v>3070</v>
      </c>
      <c r="B77" s="149" t="s">
        <v>3071</v>
      </c>
      <c r="C77" s="150" t="s">
        <v>18</v>
      </c>
      <c r="D77" s="150">
        <v>0</v>
      </c>
      <c r="E77" s="151" t="s">
        <v>13</v>
      </c>
      <c r="F77" s="152" t="str">
        <f t="shared" si="5"/>
        <v/>
      </c>
      <c r="G77" s="153">
        <f>IF($K77="Padrão",BDI!$B$17,IF($K77="Diferenciado",BDI!$E$17,0))</f>
        <v>0.2039</v>
      </c>
      <c r="H77" s="151" t="str">
        <f t="shared" si="3"/>
        <v/>
      </c>
      <c r="I77" s="152" t="str">
        <f t="shared" si="4"/>
        <v/>
      </c>
      <c r="J77" s="154"/>
      <c r="K77" s="155" t="s">
        <v>2966</v>
      </c>
    </row>
    <row r="78" spans="1:11" hidden="1" x14ac:dyDescent="0.25">
      <c r="A78" s="148" t="s">
        <v>73</v>
      </c>
      <c r="B78" s="149" t="s">
        <v>3072</v>
      </c>
      <c r="C78" s="150" t="s">
        <v>68</v>
      </c>
      <c r="D78" s="150">
        <v>0</v>
      </c>
      <c r="E78" s="151">
        <f ca="1">OFFSET(INDEX(Composições!A:H,MATCH(Orçamentária!A78,Composições!A:A,0),8),2,0)</f>
        <v>2.8905460000000005</v>
      </c>
      <c r="F78" s="152">
        <f t="shared" ca="1" si="5"/>
        <v>0</v>
      </c>
      <c r="G78" s="153">
        <f>IF($K78="Padrão",BDI!$B$17,IF($K78="Diferenciado",BDI!$E$17,0))</f>
        <v>0.2039</v>
      </c>
      <c r="H78" s="151">
        <f t="shared" ca="1" si="3"/>
        <v>3.48</v>
      </c>
      <c r="I78" s="152">
        <f t="shared" ca="1" si="4"/>
        <v>0</v>
      </c>
      <c r="J78" s="154"/>
      <c r="K78" s="155" t="s">
        <v>2966</v>
      </c>
    </row>
    <row r="79" spans="1:11" hidden="1" x14ac:dyDescent="0.25">
      <c r="A79" s="148" t="s">
        <v>74</v>
      </c>
      <c r="B79" s="149" t="s">
        <v>3073</v>
      </c>
      <c r="C79" s="150" t="s">
        <v>106</v>
      </c>
      <c r="D79" s="150">
        <v>0</v>
      </c>
      <c r="E79" s="151">
        <f ca="1">OFFSET(INDEX(Composições!A:H,MATCH(Orçamentária!A79,Composições!A:A,0),8),2,0)</f>
        <v>26.183301557308749</v>
      </c>
      <c r="F79" s="152">
        <f t="shared" ca="1" si="5"/>
        <v>0</v>
      </c>
      <c r="G79" s="153">
        <f>IF($K79="Padrão",BDI!$B$17,IF($K79="Diferenciado",BDI!$E$17,0))</f>
        <v>0.2039</v>
      </c>
      <c r="H79" s="151">
        <f t="shared" ca="1" si="3"/>
        <v>31.52</v>
      </c>
      <c r="I79" s="152">
        <f t="shared" ca="1" si="4"/>
        <v>0</v>
      </c>
      <c r="J79" s="154"/>
      <c r="K79" s="155" t="s">
        <v>2966</v>
      </c>
    </row>
    <row r="80" spans="1:11" hidden="1" x14ac:dyDescent="0.25">
      <c r="A80" s="148" t="s">
        <v>75</v>
      </c>
      <c r="B80" s="149" t="s">
        <v>3074</v>
      </c>
      <c r="C80" s="150" t="s">
        <v>18</v>
      </c>
      <c r="D80" s="150">
        <v>0</v>
      </c>
      <c r="E80" s="151">
        <f ca="1">OFFSET(INDEX(Composições!A:H,MATCH(Orçamentária!A80,Composições!A:A,0),8),2,0)</f>
        <v>26.503436299999997</v>
      </c>
      <c r="F80" s="152">
        <f t="shared" ca="1" si="5"/>
        <v>0</v>
      </c>
      <c r="G80" s="153">
        <f>IF($K80="Padrão",BDI!$B$17,IF($K80="Diferenciado",BDI!$E$17,0))</f>
        <v>0.2039</v>
      </c>
      <c r="H80" s="151">
        <f t="shared" ca="1" si="3"/>
        <v>31.91</v>
      </c>
      <c r="I80" s="152">
        <f t="shared" ca="1" si="4"/>
        <v>0</v>
      </c>
      <c r="J80" s="154"/>
      <c r="K80" s="155" t="s">
        <v>2966</v>
      </c>
    </row>
    <row r="81" spans="1:11" hidden="1" x14ac:dyDescent="0.25">
      <c r="A81" s="148" t="s">
        <v>76</v>
      </c>
      <c r="B81" s="149" t="s">
        <v>3075</v>
      </c>
      <c r="C81" s="150" t="s">
        <v>18</v>
      </c>
      <c r="D81" s="150">
        <v>0</v>
      </c>
      <c r="E81" s="151">
        <f ca="1">OFFSET(INDEX(Composições!A:H,MATCH(Orçamentária!A81,Composições!A:A,0),8),2,0)</f>
        <v>38.704662499999998</v>
      </c>
      <c r="F81" s="152">
        <f t="shared" ca="1" si="5"/>
        <v>0</v>
      </c>
      <c r="G81" s="153">
        <f>IF($K81="Padrão",BDI!$B$17,IF($K81="Diferenciado",BDI!$E$17,0))</f>
        <v>0.2039</v>
      </c>
      <c r="H81" s="151">
        <f t="shared" ca="1" si="3"/>
        <v>46.6</v>
      </c>
      <c r="I81" s="152">
        <f t="shared" ca="1" si="4"/>
        <v>0</v>
      </c>
      <c r="J81" s="154"/>
      <c r="K81" s="155" t="s">
        <v>2966</v>
      </c>
    </row>
    <row r="82" spans="1:11" hidden="1" x14ac:dyDescent="0.25">
      <c r="A82" s="148" t="s">
        <v>77</v>
      </c>
      <c r="B82" s="149" t="s">
        <v>3076</v>
      </c>
      <c r="C82" s="150" t="s">
        <v>1788</v>
      </c>
      <c r="D82" s="150">
        <v>0</v>
      </c>
      <c r="E82" s="151">
        <f ca="1">OFFSET(INDEX(Composições!A:H,MATCH(Orçamentária!A82,Composições!A:A,0),8),2,0)</f>
        <v>965.58451996225006</v>
      </c>
      <c r="F82" s="152">
        <f t="shared" ca="1" si="5"/>
        <v>0</v>
      </c>
      <c r="G82" s="153">
        <f>IF($K82="Padrão",BDI!$B$17,IF($K82="Diferenciado",BDI!$E$17,0))</f>
        <v>0.2039</v>
      </c>
      <c r="H82" s="151">
        <f t="shared" ca="1" si="3"/>
        <v>1162.47</v>
      </c>
      <c r="I82" s="152">
        <f t="shared" ca="1" si="4"/>
        <v>0</v>
      </c>
      <c r="J82" s="154"/>
      <c r="K82" s="155" t="s">
        <v>2966</v>
      </c>
    </row>
    <row r="83" spans="1:11" hidden="1" x14ac:dyDescent="0.25">
      <c r="A83" s="148" t="s">
        <v>79</v>
      </c>
      <c r="B83" s="149" t="s">
        <v>3077</v>
      </c>
      <c r="C83" s="150" t="s">
        <v>1788</v>
      </c>
      <c r="D83" s="150">
        <v>0</v>
      </c>
      <c r="E83" s="151">
        <f ca="1">OFFSET(INDEX(Composições!A:H,MATCH(Orçamentária!A83,Composições!A:A,0),8),2,0)</f>
        <v>1004.8644588216251</v>
      </c>
      <c r="F83" s="152">
        <f t="shared" ca="1" si="5"/>
        <v>0</v>
      </c>
      <c r="G83" s="153">
        <f>IF($K83="Padrão",BDI!$B$17,IF($K83="Diferenciado",BDI!$E$17,0))</f>
        <v>0.2039</v>
      </c>
      <c r="H83" s="151">
        <f t="shared" ca="1" si="3"/>
        <v>1209.76</v>
      </c>
      <c r="I83" s="152">
        <f t="shared" ca="1" si="4"/>
        <v>0</v>
      </c>
      <c r="J83" s="154"/>
      <c r="K83" s="155" t="s">
        <v>2966</v>
      </c>
    </row>
    <row r="84" spans="1:11" hidden="1" x14ac:dyDescent="0.25">
      <c r="A84" s="148" t="s">
        <v>80</v>
      </c>
      <c r="B84" s="149" t="s">
        <v>3078</v>
      </c>
      <c r="C84" s="150" t="s">
        <v>3025</v>
      </c>
      <c r="D84" s="150">
        <v>0</v>
      </c>
      <c r="E84" s="151">
        <f ca="1">OFFSET(INDEX(Composições!A:H,MATCH(Orçamentária!A84,Composições!A:A,0),8),2,0)</f>
        <v>34.403300000000002</v>
      </c>
      <c r="F84" s="152">
        <f t="shared" ca="1" si="5"/>
        <v>0</v>
      </c>
      <c r="G84" s="153">
        <f>IF($K84="Padrão",BDI!$B$17,IF($K84="Diferenciado",BDI!$E$17,0))</f>
        <v>0.2039</v>
      </c>
      <c r="H84" s="151">
        <f t="shared" ca="1" si="3"/>
        <v>41.42</v>
      </c>
      <c r="I84" s="152">
        <f t="shared" ca="1" si="4"/>
        <v>0</v>
      </c>
      <c r="J84" s="154"/>
      <c r="K84" s="155" t="s">
        <v>2966</v>
      </c>
    </row>
    <row r="85" spans="1:11" hidden="1" x14ac:dyDescent="0.25">
      <c r="A85" s="148" t="s">
        <v>81</v>
      </c>
      <c r="B85" s="149" t="s">
        <v>3079</v>
      </c>
      <c r="C85" s="150" t="s">
        <v>72</v>
      </c>
      <c r="D85" s="150">
        <v>0</v>
      </c>
      <c r="E85" s="151">
        <f ca="1">OFFSET(INDEX(Composições!A:H,MATCH(Orçamentária!A85,Composições!A:A,0),8),2,0)</f>
        <v>24.713608956309013</v>
      </c>
      <c r="F85" s="152">
        <f t="shared" ca="1" si="5"/>
        <v>0</v>
      </c>
      <c r="G85" s="153">
        <f>IF($K85="Padrão",BDI!$B$17,IF($K85="Diferenciado",BDI!$E$17,0))</f>
        <v>0.2039</v>
      </c>
      <c r="H85" s="151">
        <f t="shared" ca="1" si="3"/>
        <v>29.75</v>
      </c>
      <c r="I85" s="152">
        <f t="shared" ca="1" si="4"/>
        <v>0</v>
      </c>
      <c r="J85" s="154"/>
      <c r="K85" s="155" t="s">
        <v>2966</v>
      </c>
    </row>
    <row r="86" spans="1:11" hidden="1" x14ac:dyDescent="0.25">
      <c r="A86" s="148" t="s">
        <v>84</v>
      </c>
      <c r="B86" s="149" t="s">
        <v>3080</v>
      </c>
      <c r="C86" s="150" t="s">
        <v>68</v>
      </c>
      <c r="D86" s="150">
        <v>0</v>
      </c>
      <c r="E86" s="151">
        <f ca="1">OFFSET(INDEX(Composições!A:H,MATCH(Orçamentária!A86,Composições!A:A,0),8),2,0)</f>
        <v>172.32960248199998</v>
      </c>
      <c r="F86" s="152">
        <f t="shared" ca="1" si="5"/>
        <v>0</v>
      </c>
      <c r="G86" s="153">
        <f>IF($K86="Padrão",BDI!$B$17,IF($K86="Diferenciado",BDI!$E$17,0))</f>
        <v>0.2039</v>
      </c>
      <c r="H86" s="151">
        <f t="shared" ca="1" si="3"/>
        <v>207.47</v>
      </c>
      <c r="I86" s="152">
        <f t="shared" ca="1" si="4"/>
        <v>0</v>
      </c>
      <c r="J86" s="154"/>
      <c r="K86" s="155" t="s">
        <v>2966</v>
      </c>
    </row>
    <row r="87" spans="1:11" hidden="1" x14ac:dyDescent="0.25">
      <c r="A87" s="148" t="s">
        <v>85</v>
      </c>
      <c r="B87" s="149" t="s">
        <v>3081</v>
      </c>
      <c r="C87" s="150" t="s">
        <v>106</v>
      </c>
      <c r="D87" s="150">
        <v>0</v>
      </c>
      <c r="E87" s="151">
        <f ca="1">OFFSET(INDEX(Composições!A:H,MATCH(Orçamentária!A87,Composições!A:A,0),8),2,0)</f>
        <v>29.072901774999995</v>
      </c>
      <c r="F87" s="152">
        <f t="shared" ca="1" si="5"/>
        <v>0</v>
      </c>
      <c r="G87" s="153">
        <f>IF($K87="Padrão",BDI!$B$17,IF($K87="Diferenciado",BDI!$E$17,0))</f>
        <v>0.2039</v>
      </c>
      <c r="H87" s="151">
        <f t="shared" ca="1" si="3"/>
        <v>35</v>
      </c>
      <c r="I87" s="152">
        <f t="shared" ca="1" si="4"/>
        <v>0</v>
      </c>
      <c r="J87" s="154"/>
      <c r="K87" s="155" t="s">
        <v>2966</v>
      </c>
    </row>
    <row r="88" spans="1:11" hidden="1" x14ac:dyDescent="0.25">
      <c r="A88" s="148" t="s">
        <v>88</v>
      </c>
      <c r="B88" s="149" t="s">
        <v>3082</v>
      </c>
      <c r="C88" s="150" t="s">
        <v>68</v>
      </c>
      <c r="D88" s="150">
        <v>0</v>
      </c>
      <c r="E88" s="151">
        <f ca="1">OFFSET(INDEX(Composições!A:H,MATCH(Orçamentária!A88,Composições!A:A,0),8),2,0)</f>
        <v>36.179319299999996</v>
      </c>
      <c r="F88" s="152">
        <f t="shared" ca="1" si="5"/>
        <v>0</v>
      </c>
      <c r="G88" s="153">
        <f>IF($K88="Padrão",BDI!$B$17,IF($K88="Diferenciado",BDI!$E$17,0))</f>
        <v>0.2039</v>
      </c>
      <c r="H88" s="151">
        <f t="shared" ca="1" si="3"/>
        <v>43.56</v>
      </c>
      <c r="I88" s="152">
        <f t="shared" ca="1" si="4"/>
        <v>0</v>
      </c>
      <c r="J88" s="154"/>
      <c r="K88" s="155" t="s">
        <v>2966</v>
      </c>
    </row>
    <row r="89" spans="1:11" hidden="1" x14ac:dyDescent="0.25">
      <c r="A89" s="148" t="s">
        <v>89</v>
      </c>
      <c r="B89" s="149" t="s">
        <v>3083</v>
      </c>
      <c r="C89" s="150" t="s">
        <v>68</v>
      </c>
      <c r="D89" s="150">
        <v>0</v>
      </c>
      <c r="E89" s="151">
        <f ca="1">OFFSET(INDEX(Composições!A:H,MATCH(Orçamentária!A89,Composições!A:A,0),8),2,0)</f>
        <v>107.079433858345</v>
      </c>
      <c r="F89" s="152">
        <f t="shared" ca="1" si="5"/>
        <v>0</v>
      </c>
      <c r="G89" s="153">
        <f>IF($K89="Padrão",BDI!$B$17,IF($K89="Diferenciado",BDI!$E$17,0))</f>
        <v>0.2039</v>
      </c>
      <c r="H89" s="151">
        <f t="shared" ca="1" si="3"/>
        <v>128.91</v>
      </c>
      <c r="I89" s="152">
        <f t="shared" ca="1" si="4"/>
        <v>0</v>
      </c>
      <c r="J89" s="154"/>
      <c r="K89" s="155" t="s">
        <v>2966</v>
      </c>
    </row>
    <row r="90" spans="1:11" hidden="1" x14ac:dyDescent="0.25">
      <c r="A90" s="148" t="s">
        <v>90</v>
      </c>
      <c r="B90" s="149" t="s">
        <v>3084</v>
      </c>
      <c r="C90" s="150" t="s">
        <v>68</v>
      </c>
      <c r="D90" s="150">
        <v>0</v>
      </c>
      <c r="E90" s="151">
        <f ca="1">OFFSET(INDEX(Composições!A:H,MATCH(Orçamentária!A90,Composições!A:A,0),8),2,0)</f>
        <v>53.37028085</v>
      </c>
      <c r="F90" s="152">
        <f t="shared" ca="1" si="5"/>
        <v>0</v>
      </c>
      <c r="G90" s="153">
        <f>IF($K90="Padrão",BDI!$B$17,IF($K90="Diferenciado",BDI!$E$17,0))</f>
        <v>0.2039</v>
      </c>
      <c r="H90" s="151">
        <f t="shared" ca="1" si="3"/>
        <v>64.25</v>
      </c>
      <c r="I90" s="152">
        <f t="shared" ca="1" si="4"/>
        <v>0</v>
      </c>
      <c r="J90" s="154"/>
      <c r="K90" s="155" t="s">
        <v>2966</v>
      </c>
    </row>
    <row r="91" spans="1:11" hidden="1" x14ac:dyDescent="0.25">
      <c r="A91" s="148" t="s">
        <v>91</v>
      </c>
      <c r="B91" s="149" t="s">
        <v>3085</v>
      </c>
      <c r="C91" s="150" t="s">
        <v>106</v>
      </c>
      <c r="D91" s="150">
        <v>0</v>
      </c>
      <c r="E91" s="151">
        <f ca="1">OFFSET(INDEX(Composições!A:H,MATCH(Orçamentária!A91,Composições!A:A,0),8),2,0)</f>
        <v>32.256544150570001</v>
      </c>
      <c r="F91" s="152">
        <f t="shared" ca="1" si="5"/>
        <v>0</v>
      </c>
      <c r="G91" s="153">
        <f>IF($K91="Padrão",BDI!$B$17,IF($K91="Diferenciado",BDI!$E$17,0))</f>
        <v>0.2039</v>
      </c>
      <c r="H91" s="151">
        <f t="shared" ca="1" si="3"/>
        <v>38.83</v>
      </c>
      <c r="I91" s="152">
        <f t="shared" ca="1" si="4"/>
        <v>0</v>
      </c>
      <c r="J91" s="154"/>
      <c r="K91" s="155" t="s">
        <v>2966</v>
      </c>
    </row>
    <row r="92" spans="1:11" hidden="1" x14ac:dyDescent="0.25">
      <c r="A92" s="148" t="s">
        <v>92</v>
      </c>
      <c r="B92" s="149" t="s">
        <v>3086</v>
      </c>
      <c r="C92" s="150" t="s">
        <v>68</v>
      </c>
      <c r="D92" s="150">
        <v>0</v>
      </c>
      <c r="E92" s="151">
        <f ca="1">OFFSET(INDEX(Composições!A:H,MATCH(Orçamentária!A92,Composições!A:A,0),8),2,0)</f>
        <v>81.171274649999987</v>
      </c>
      <c r="F92" s="152">
        <f t="shared" ca="1" si="5"/>
        <v>0</v>
      </c>
      <c r="G92" s="153">
        <f>IF($K92="Padrão",BDI!$B$17,IF($K92="Diferenciado",BDI!$E$17,0))</f>
        <v>0.2039</v>
      </c>
      <c r="H92" s="151">
        <f t="shared" ca="1" si="3"/>
        <v>97.72</v>
      </c>
      <c r="I92" s="152">
        <f t="shared" ca="1" si="4"/>
        <v>0</v>
      </c>
      <c r="J92" s="154"/>
      <c r="K92" s="155" t="s">
        <v>2966</v>
      </c>
    </row>
    <row r="93" spans="1:11" hidden="1" x14ac:dyDescent="0.25">
      <c r="A93" s="148" t="s">
        <v>93</v>
      </c>
      <c r="B93" s="149" t="s">
        <v>3087</v>
      </c>
      <c r="C93" s="150" t="s">
        <v>68</v>
      </c>
      <c r="D93" s="150">
        <v>0</v>
      </c>
      <c r="E93" s="151">
        <f ca="1">OFFSET(INDEX(Composições!A:H,MATCH(Orçamentária!A93,Composições!A:A,0),8),2,0)</f>
        <v>6.8233354166666658</v>
      </c>
      <c r="F93" s="152">
        <f t="shared" ca="1" si="5"/>
        <v>0</v>
      </c>
      <c r="G93" s="153">
        <f>IF($K93="Padrão",BDI!$B$17,IF($K93="Diferenciado",BDI!$E$17,0))</f>
        <v>0.2039</v>
      </c>
      <c r="H93" s="151">
        <f t="shared" ca="1" si="3"/>
        <v>8.2100000000000009</v>
      </c>
      <c r="I93" s="152">
        <f t="shared" ca="1" si="4"/>
        <v>0</v>
      </c>
      <c r="J93" s="154"/>
      <c r="K93" s="155" t="s">
        <v>2966</v>
      </c>
    </row>
    <row r="94" spans="1:11" hidden="1" x14ac:dyDescent="0.25">
      <c r="A94" s="148" t="s">
        <v>94</v>
      </c>
      <c r="B94" s="149" t="s">
        <v>3088</v>
      </c>
      <c r="C94" s="150" t="s">
        <v>68</v>
      </c>
      <c r="D94" s="150">
        <v>0</v>
      </c>
      <c r="E94" s="151">
        <f ca="1">OFFSET(INDEX(Composições!A:H,MATCH(Orçamentária!A94,Composições!A:A,0),8),2,0)</f>
        <v>105.19025124490999</v>
      </c>
      <c r="F94" s="152">
        <f t="shared" ca="1" si="5"/>
        <v>0</v>
      </c>
      <c r="G94" s="153">
        <f>IF($K94="Padrão",BDI!$B$17,IF($K94="Diferenciado",BDI!$E$17,0))</f>
        <v>0.2039</v>
      </c>
      <c r="H94" s="151">
        <f t="shared" ca="1" si="3"/>
        <v>126.64</v>
      </c>
      <c r="I94" s="152">
        <f t="shared" ca="1" si="4"/>
        <v>0</v>
      </c>
      <c r="J94" s="154"/>
      <c r="K94" s="155" t="s">
        <v>2966</v>
      </c>
    </row>
    <row r="95" spans="1:11" hidden="1" x14ac:dyDescent="0.25">
      <c r="A95" s="148" t="s">
        <v>95</v>
      </c>
      <c r="B95" s="149" t="s">
        <v>3089</v>
      </c>
      <c r="C95" s="150" t="s">
        <v>68</v>
      </c>
      <c r="D95" s="150">
        <v>0</v>
      </c>
      <c r="E95" s="151">
        <f ca="1">OFFSET(INDEX(Composições!A:H,MATCH(Orçamentária!A95,Composições!A:A,0),8),2,0)</f>
        <v>13.551071927999997</v>
      </c>
      <c r="F95" s="152">
        <f t="shared" ca="1" si="5"/>
        <v>0</v>
      </c>
      <c r="G95" s="153">
        <f>IF($K95="Padrão",BDI!$B$17,IF($K95="Diferenciado",BDI!$E$17,0))</f>
        <v>0.2039</v>
      </c>
      <c r="H95" s="151">
        <f t="shared" ca="1" si="3"/>
        <v>16.309999999999999</v>
      </c>
      <c r="I95" s="152">
        <f t="shared" ca="1" si="4"/>
        <v>0</v>
      </c>
      <c r="J95" s="154"/>
      <c r="K95" s="155" t="s">
        <v>2966</v>
      </c>
    </row>
    <row r="96" spans="1:11" ht="25.5" hidden="1" x14ac:dyDescent="0.25">
      <c r="A96" s="148" t="s">
        <v>96</v>
      </c>
      <c r="B96" s="149" t="s">
        <v>3090</v>
      </c>
      <c r="C96" s="150" t="s">
        <v>68</v>
      </c>
      <c r="D96" s="150">
        <v>0</v>
      </c>
      <c r="E96" s="151">
        <f ca="1">OFFSET(INDEX(Composições!A:H,MATCH(Orçamentária!A96,Composições!A:A,0),8),2,0)</f>
        <v>5.6317697246724991</v>
      </c>
      <c r="F96" s="152">
        <f t="shared" ca="1" si="5"/>
        <v>0</v>
      </c>
      <c r="G96" s="153">
        <f>IF($K96="Padrão",BDI!$B$17,IF($K96="Diferenciado",BDI!$E$17,0))</f>
        <v>0.2039</v>
      </c>
      <c r="H96" s="151">
        <f t="shared" ca="1" si="3"/>
        <v>6.78</v>
      </c>
      <c r="I96" s="152">
        <f t="shared" ca="1" si="4"/>
        <v>0</v>
      </c>
      <c r="J96" s="154"/>
      <c r="K96" s="155" t="s">
        <v>2966</v>
      </c>
    </row>
    <row r="97" spans="1:11" hidden="1" x14ac:dyDescent="0.25">
      <c r="A97" s="148" t="s">
        <v>97</v>
      </c>
      <c r="B97" s="149" t="s">
        <v>3091</v>
      </c>
      <c r="C97" s="150" t="s">
        <v>68</v>
      </c>
      <c r="D97" s="150">
        <v>0</v>
      </c>
      <c r="E97" s="151">
        <f ca="1">OFFSET(INDEX(Composições!A:H,MATCH(Orçamentária!A97,Composições!A:A,0),8),2,0)</f>
        <v>12.643994220000002</v>
      </c>
      <c r="F97" s="152">
        <f t="shared" ca="1" si="5"/>
        <v>0</v>
      </c>
      <c r="G97" s="153">
        <f>IF($K97="Padrão",BDI!$B$17,IF($K97="Diferenciado",BDI!$E$17,0))</f>
        <v>0.2039</v>
      </c>
      <c r="H97" s="151">
        <f t="shared" ca="1" si="3"/>
        <v>15.22</v>
      </c>
      <c r="I97" s="152">
        <f t="shared" ca="1" si="4"/>
        <v>0</v>
      </c>
      <c r="J97" s="154"/>
      <c r="K97" s="155" t="s">
        <v>2966</v>
      </c>
    </row>
    <row r="98" spans="1:11" hidden="1" x14ac:dyDescent="0.25">
      <c r="A98" s="148" t="s">
        <v>100</v>
      </c>
      <c r="B98" s="149" t="s">
        <v>3092</v>
      </c>
      <c r="C98" s="150" t="s">
        <v>68</v>
      </c>
      <c r="D98" s="150">
        <v>0</v>
      </c>
      <c r="E98" s="151">
        <f ca="1">OFFSET(INDEX(Composições!A:H,MATCH(Orçamentária!A98,Composições!A:A,0),8),2,0)</f>
        <v>48.551957800000004</v>
      </c>
      <c r="F98" s="152">
        <f t="shared" ca="1" si="5"/>
        <v>0</v>
      </c>
      <c r="G98" s="153">
        <f>IF($K98="Padrão",BDI!$B$17,IF($K98="Diferenciado",BDI!$E$17,0))</f>
        <v>0.2039</v>
      </c>
      <c r="H98" s="151">
        <f t="shared" ca="1" si="3"/>
        <v>58.45</v>
      </c>
      <c r="I98" s="152">
        <f t="shared" ca="1" si="4"/>
        <v>0</v>
      </c>
      <c r="J98" s="154"/>
      <c r="K98" s="155" t="s">
        <v>2966</v>
      </c>
    </row>
    <row r="99" spans="1:11" hidden="1" x14ac:dyDescent="0.25">
      <c r="A99" s="148" t="s">
        <v>103</v>
      </c>
      <c r="B99" s="149" t="s">
        <v>3093</v>
      </c>
      <c r="C99" s="150" t="s">
        <v>68</v>
      </c>
      <c r="D99" s="150">
        <v>0</v>
      </c>
      <c r="E99" s="151">
        <f ca="1">OFFSET(INDEX(Composições!A:H,MATCH(Orçamentária!A99,Composições!A:A,0),8),2,0)</f>
        <v>17.831513869999998</v>
      </c>
      <c r="F99" s="152">
        <f t="shared" ca="1" si="5"/>
        <v>0</v>
      </c>
      <c r="G99" s="153">
        <f>IF($K99="Padrão",BDI!$B$17,IF($K99="Diferenciado",BDI!$E$17,0))</f>
        <v>0.2039</v>
      </c>
      <c r="H99" s="151">
        <f t="shared" ca="1" si="3"/>
        <v>21.47</v>
      </c>
      <c r="I99" s="152">
        <f t="shared" ca="1" si="4"/>
        <v>0</v>
      </c>
      <c r="J99" s="154"/>
      <c r="K99" s="155" t="s">
        <v>2966</v>
      </c>
    </row>
    <row r="100" spans="1:11" hidden="1" x14ac:dyDescent="0.25">
      <c r="A100" s="148" t="s">
        <v>104</v>
      </c>
      <c r="B100" s="149" t="s">
        <v>3094</v>
      </c>
      <c r="C100" s="150" t="s">
        <v>106</v>
      </c>
      <c r="D100" s="150">
        <v>0</v>
      </c>
      <c r="E100" s="151">
        <f ca="1">OFFSET(INDEX(Composições!A:H,MATCH(Orçamentária!A100,Composições!A:A,0),8),2,0)</f>
        <v>19.616301100000001</v>
      </c>
      <c r="F100" s="152">
        <f t="shared" ca="1" si="5"/>
        <v>0</v>
      </c>
      <c r="G100" s="153">
        <f>IF($K100="Padrão",BDI!$B$17,IF($K100="Diferenciado",BDI!$E$17,0))</f>
        <v>0.2039</v>
      </c>
      <c r="H100" s="151">
        <f t="shared" ca="1" si="3"/>
        <v>23.62</v>
      </c>
      <c r="I100" s="152">
        <f t="shared" ca="1" si="4"/>
        <v>0</v>
      </c>
      <c r="J100" s="154"/>
      <c r="K100" s="155" t="s">
        <v>2966</v>
      </c>
    </row>
    <row r="101" spans="1:11" hidden="1" x14ac:dyDescent="0.25">
      <c r="A101" s="148" t="s">
        <v>112</v>
      </c>
      <c r="B101" s="149" t="s">
        <v>3095</v>
      </c>
      <c r="C101" s="150" t="s">
        <v>68</v>
      </c>
      <c r="D101" s="150">
        <v>0</v>
      </c>
      <c r="E101" s="151">
        <f ca="1">OFFSET(INDEX(Composições!A:H,MATCH(Orçamentária!A101,Composições!A:A,0),8),2,0)</f>
        <v>3.8030875000000002</v>
      </c>
      <c r="F101" s="152">
        <f t="shared" ca="1" si="5"/>
        <v>0</v>
      </c>
      <c r="G101" s="153">
        <f>IF($K101="Padrão",BDI!$B$17,IF($K101="Diferenciado",BDI!$E$17,0))</f>
        <v>0.2039</v>
      </c>
      <c r="H101" s="151">
        <f t="shared" ca="1" si="3"/>
        <v>4.58</v>
      </c>
      <c r="I101" s="152">
        <f t="shared" ca="1" si="4"/>
        <v>0</v>
      </c>
      <c r="J101" s="154"/>
      <c r="K101" s="155" t="s">
        <v>2966</v>
      </c>
    </row>
    <row r="102" spans="1:11" hidden="1" x14ac:dyDescent="0.25">
      <c r="A102" s="148" t="s">
        <v>114</v>
      </c>
      <c r="B102" s="149" t="s">
        <v>3096</v>
      </c>
      <c r="C102" s="150" t="s">
        <v>68</v>
      </c>
      <c r="D102" s="150">
        <v>0</v>
      </c>
      <c r="E102" s="151">
        <f ca="1">OFFSET(INDEX(Composições!A:H,MATCH(Orçamentária!A102,Composições!A:A,0),8),2,0)</f>
        <v>14.025448500000001</v>
      </c>
      <c r="F102" s="152">
        <f t="shared" ca="1" si="5"/>
        <v>0</v>
      </c>
      <c r="G102" s="153">
        <f>IF($K102="Padrão",BDI!$B$17,IF($K102="Diferenciado",BDI!$E$17,0))</f>
        <v>0.2039</v>
      </c>
      <c r="H102" s="151">
        <f t="shared" ca="1" si="3"/>
        <v>16.89</v>
      </c>
      <c r="I102" s="152">
        <f t="shared" ca="1" si="4"/>
        <v>0</v>
      </c>
      <c r="J102" s="154"/>
      <c r="K102" s="155" t="s">
        <v>2966</v>
      </c>
    </row>
    <row r="103" spans="1:11" hidden="1" x14ac:dyDescent="0.25">
      <c r="A103" s="148" t="s">
        <v>119</v>
      </c>
      <c r="B103" s="149" t="s">
        <v>3097</v>
      </c>
      <c r="C103" s="150" t="s">
        <v>68</v>
      </c>
      <c r="D103" s="150">
        <v>0</v>
      </c>
      <c r="E103" s="151">
        <f ca="1">OFFSET(INDEX(Composições!A:H,MATCH(Orçamentária!A103,Composições!A:A,0),8),2,0)</f>
        <v>19.615669350000001</v>
      </c>
      <c r="F103" s="152">
        <f t="shared" ca="1" si="5"/>
        <v>0</v>
      </c>
      <c r="G103" s="153">
        <f>IF($K103="Padrão",BDI!$B$17,IF($K103="Diferenciado",BDI!$E$17,0))</f>
        <v>0.2039</v>
      </c>
      <c r="H103" s="151">
        <f t="shared" ca="1" si="3"/>
        <v>23.62</v>
      </c>
      <c r="I103" s="152">
        <f t="shared" ca="1" si="4"/>
        <v>0</v>
      </c>
      <c r="J103" s="154"/>
      <c r="K103" s="155" t="s">
        <v>2966</v>
      </c>
    </row>
    <row r="104" spans="1:11" hidden="1" x14ac:dyDescent="0.25">
      <c r="A104" s="148" t="s">
        <v>120</v>
      </c>
      <c r="B104" s="149" t="s">
        <v>3098</v>
      </c>
      <c r="C104" s="150" t="s">
        <v>68</v>
      </c>
      <c r="D104" s="150">
        <v>0</v>
      </c>
      <c r="E104" s="151">
        <f ca="1">OFFSET(INDEX(Composições!A:H,MATCH(Orçamentária!A104,Composições!A:A,0),8),2,0)</f>
        <v>19.522632049999999</v>
      </c>
      <c r="F104" s="152">
        <f t="shared" ca="1" si="5"/>
        <v>0</v>
      </c>
      <c r="G104" s="153">
        <f>IF($K104="Padrão",BDI!$B$17,IF($K104="Diferenciado",BDI!$E$17,0))</f>
        <v>0.2039</v>
      </c>
      <c r="H104" s="151">
        <f t="shared" ca="1" si="3"/>
        <v>23.5</v>
      </c>
      <c r="I104" s="152">
        <f t="shared" ca="1" si="4"/>
        <v>0</v>
      </c>
      <c r="J104" s="154"/>
      <c r="K104" s="155" t="s">
        <v>2966</v>
      </c>
    </row>
    <row r="105" spans="1:11" hidden="1" x14ac:dyDescent="0.25">
      <c r="A105" s="148" t="s">
        <v>121</v>
      </c>
      <c r="B105" s="149" t="s">
        <v>3099</v>
      </c>
      <c r="C105" s="150" t="s">
        <v>68</v>
      </c>
      <c r="D105" s="150">
        <v>0</v>
      </c>
      <c r="E105" s="151">
        <f ca="1">OFFSET(INDEX(Composições!A:H,MATCH(Orçamentária!A105,Composições!A:A,0),8),2,0)</f>
        <v>13.991809949999999</v>
      </c>
      <c r="F105" s="152">
        <f t="shared" ca="1" si="5"/>
        <v>0</v>
      </c>
      <c r="G105" s="153">
        <f>IF($K105="Padrão",BDI!$B$17,IF($K105="Diferenciado",BDI!$E$17,0))</f>
        <v>0.2039</v>
      </c>
      <c r="H105" s="151">
        <f t="shared" ca="1" si="3"/>
        <v>16.84</v>
      </c>
      <c r="I105" s="152">
        <f t="shared" ca="1" si="4"/>
        <v>0</v>
      </c>
      <c r="J105" s="154"/>
      <c r="K105" s="155" t="s">
        <v>2966</v>
      </c>
    </row>
    <row r="106" spans="1:11" hidden="1" x14ac:dyDescent="0.25">
      <c r="A106" s="148" t="s">
        <v>122</v>
      </c>
      <c r="B106" s="149" t="s">
        <v>3100</v>
      </c>
      <c r="C106" s="150" t="s">
        <v>68</v>
      </c>
      <c r="D106" s="150">
        <v>0</v>
      </c>
      <c r="E106" s="151">
        <f ca="1">OFFSET(INDEX(Composições!A:H,MATCH(Orçamentária!A106,Composições!A:A,0),8),2,0)</f>
        <v>23.090757</v>
      </c>
      <c r="F106" s="152">
        <f t="shared" ca="1" si="5"/>
        <v>0</v>
      </c>
      <c r="G106" s="153">
        <f>IF($K106="Padrão",BDI!$B$17,IF($K106="Diferenciado",BDI!$E$17,0))</f>
        <v>0.2039</v>
      </c>
      <c r="H106" s="151">
        <f t="shared" ca="1" si="3"/>
        <v>27.8</v>
      </c>
      <c r="I106" s="152">
        <f t="shared" ca="1" si="4"/>
        <v>0</v>
      </c>
      <c r="J106" s="154"/>
      <c r="K106" s="155" t="s">
        <v>2966</v>
      </c>
    </row>
    <row r="107" spans="1:11" hidden="1" x14ac:dyDescent="0.25">
      <c r="A107" s="148" t="s">
        <v>125</v>
      </c>
      <c r="B107" s="149" t="s">
        <v>3101</v>
      </c>
      <c r="C107" s="150" t="s">
        <v>68</v>
      </c>
      <c r="D107" s="150">
        <v>0</v>
      </c>
      <c r="E107" s="151">
        <f ca="1">OFFSET(INDEX(Composições!A:H,MATCH(Orçamentária!A107,Composições!A:A,0),8),2,0)</f>
        <v>18.626631</v>
      </c>
      <c r="F107" s="152">
        <f t="shared" ca="1" si="5"/>
        <v>0</v>
      </c>
      <c r="G107" s="153">
        <f>IF($K107="Padrão",BDI!$B$17,IF($K107="Diferenciado",BDI!$E$17,0))</f>
        <v>0.2039</v>
      </c>
      <c r="H107" s="151">
        <f t="shared" ca="1" si="3"/>
        <v>22.42</v>
      </c>
      <c r="I107" s="152">
        <f t="shared" ca="1" si="4"/>
        <v>0</v>
      </c>
      <c r="J107" s="154"/>
      <c r="K107" s="155" t="s">
        <v>2966</v>
      </c>
    </row>
    <row r="108" spans="1:11" hidden="1" x14ac:dyDescent="0.25">
      <c r="A108" s="148" t="s">
        <v>128</v>
      </c>
      <c r="B108" s="149" t="s">
        <v>3102</v>
      </c>
      <c r="C108" s="150" t="s">
        <v>68</v>
      </c>
      <c r="D108" s="150">
        <v>0</v>
      </c>
      <c r="E108" s="151">
        <f ca="1">OFFSET(INDEX(Composições!A:H,MATCH(Orçamentária!A108,Composições!A:A,0),8),2,0)</f>
        <v>16.581687600000002</v>
      </c>
      <c r="F108" s="152">
        <f t="shared" ca="1" si="5"/>
        <v>0</v>
      </c>
      <c r="G108" s="153">
        <f>IF($K108="Padrão",BDI!$B$17,IF($K108="Diferenciado",BDI!$E$17,0))</f>
        <v>0.2039</v>
      </c>
      <c r="H108" s="151">
        <f t="shared" ca="1" si="3"/>
        <v>19.96</v>
      </c>
      <c r="I108" s="152">
        <f t="shared" ca="1" si="4"/>
        <v>0</v>
      </c>
      <c r="J108" s="154"/>
      <c r="K108" s="155" t="s">
        <v>2966</v>
      </c>
    </row>
    <row r="109" spans="1:11" hidden="1" x14ac:dyDescent="0.25">
      <c r="A109" s="148" t="s">
        <v>129</v>
      </c>
      <c r="B109" s="149" t="s">
        <v>3103</v>
      </c>
      <c r="C109" s="150" t="s">
        <v>68</v>
      </c>
      <c r="D109" s="150">
        <v>0</v>
      </c>
      <c r="E109" s="151">
        <f ca="1">OFFSET(INDEX(Composições!A:H,MATCH(Orçamentária!A109,Composições!A:A,0),8),2,0)</f>
        <v>100.3651383</v>
      </c>
      <c r="F109" s="152">
        <f t="shared" ca="1" si="5"/>
        <v>0</v>
      </c>
      <c r="G109" s="153">
        <f>IF($K109="Padrão",BDI!$B$17,IF($K109="Diferenciado",BDI!$E$17,0))</f>
        <v>0.2039</v>
      </c>
      <c r="H109" s="151">
        <f t="shared" ca="1" si="3"/>
        <v>120.83</v>
      </c>
      <c r="I109" s="152">
        <f t="shared" ca="1" si="4"/>
        <v>0</v>
      </c>
      <c r="J109" s="154"/>
      <c r="K109" s="155" t="s">
        <v>2966</v>
      </c>
    </row>
    <row r="110" spans="1:11" ht="25.5" hidden="1" x14ac:dyDescent="0.25">
      <c r="A110" s="148" t="s">
        <v>130</v>
      </c>
      <c r="B110" s="149" t="s">
        <v>3104</v>
      </c>
      <c r="C110" s="150" t="s">
        <v>68</v>
      </c>
      <c r="D110" s="150">
        <v>0</v>
      </c>
      <c r="E110" s="151">
        <f ca="1">OFFSET(INDEX(Composições!A:H,MATCH(Orçamentária!A110,Composições!A:A,0),8),2,0)</f>
        <v>63.54294837006249</v>
      </c>
      <c r="F110" s="152">
        <f t="shared" ca="1" si="5"/>
        <v>0</v>
      </c>
      <c r="G110" s="153">
        <f>IF($K110="Padrão",BDI!$B$17,IF($K110="Diferenciado",BDI!$E$17,0))</f>
        <v>0.2039</v>
      </c>
      <c r="H110" s="151">
        <f t="shared" ca="1" si="3"/>
        <v>76.5</v>
      </c>
      <c r="I110" s="152">
        <f t="shared" ca="1" si="4"/>
        <v>0</v>
      </c>
      <c r="J110" s="154"/>
      <c r="K110" s="155" t="s">
        <v>2966</v>
      </c>
    </row>
    <row r="111" spans="1:11" hidden="1" x14ac:dyDescent="0.25">
      <c r="A111" s="148" t="s">
        <v>131</v>
      </c>
      <c r="B111" s="149" t="s">
        <v>3105</v>
      </c>
      <c r="C111" s="150" t="s">
        <v>68</v>
      </c>
      <c r="D111" s="150">
        <v>0</v>
      </c>
      <c r="E111" s="151">
        <f ca="1">OFFSET(INDEX(Composições!A:H,MATCH(Orçamentária!A111,Composições!A:A,0),8),2,0)</f>
        <v>40.961320754187497</v>
      </c>
      <c r="F111" s="152">
        <f t="shared" ca="1" si="5"/>
        <v>0</v>
      </c>
      <c r="G111" s="153">
        <f>IF($K111="Padrão",BDI!$B$17,IF($K111="Diferenciado",BDI!$E$17,0))</f>
        <v>0.2039</v>
      </c>
      <c r="H111" s="151">
        <f t="shared" ca="1" si="3"/>
        <v>49.31</v>
      </c>
      <c r="I111" s="152">
        <f t="shared" ca="1" si="4"/>
        <v>0</v>
      </c>
      <c r="J111" s="154"/>
      <c r="K111" s="155" t="s">
        <v>2966</v>
      </c>
    </row>
    <row r="112" spans="1:11" hidden="1" x14ac:dyDescent="0.25">
      <c r="A112" s="148" t="s">
        <v>132</v>
      </c>
      <c r="B112" s="149" t="s">
        <v>3106</v>
      </c>
      <c r="C112" s="150" t="s">
        <v>68</v>
      </c>
      <c r="D112" s="150">
        <v>0</v>
      </c>
      <c r="E112" s="151">
        <f ca="1">OFFSET(INDEX(Composições!A:H,MATCH(Orçamentária!A112,Composições!A:A,0),8),2,0)</f>
        <v>66.587856000000002</v>
      </c>
      <c r="F112" s="152">
        <f t="shared" ca="1" si="5"/>
        <v>0</v>
      </c>
      <c r="G112" s="153">
        <f>IF($K112="Padrão",BDI!$B$17,IF($K112="Diferenciado",BDI!$E$17,0))</f>
        <v>0.2039</v>
      </c>
      <c r="H112" s="151">
        <f t="shared" ca="1" si="3"/>
        <v>80.17</v>
      </c>
      <c r="I112" s="152">
        <f t="shared" ca="1" si="4"/>
        <v>0</v>
      </c>
      <c r="J112" s="154"/>
      <c r="K112" s="155" t="s">
        <v>2966</v>
      </c>
    </row>
    <row r="113" spans="1:11" hidden="1" x14ac:dyDescent="0.25">
      <c r="A113" s="148" t="s">
        <v>134</v>
      </c>
      <c r="B113" s="149" t="s">
        <v>3107</v>
      </c>
      <c r="C113" s="150" t="s">
        <v>68</v>
      </c>
      <c r="D113" s="150">
        <v>0</v>
      </c>
      <c r="E113" s="151">
        <f ca="1">OFFSET(INDEX(Composições!A:H,MATCH(Orçamentária!A113,Composições!A:A,0),8),2,0)</f>
        <v>147.35334099999997</v>
      </c>
      <c r="F113" s="152">
        <f t="shared" ca="1" si="5"/>
        <v>0</v>
      </c>
      <c r="G113" s="153">
        <f>IF($K113="Padrão",BDI!$B$17,IF($K113="Diferenciado",BDI!$E$17,0))</f>
        <v>0.2039</v>
      </c>
      <c r="H113" s="151">
        <f t="shared" ca="1" si="3"/>
        <v>177.4</v>
      </c>
      <c r="I113" s="152">
        <f t="shared" ca="1" si="4"/>
        <v>0</v>
      </c>
      <c r="J113" s="154"/>
      <c r="K113" s="155" t="s">
        <v>2966</v>
      </c>
    </row>
    <row r="114" spans="1:11" hidden="1" x14ac:dyDescent="0.25">
      <c r="A114" s="148" t="s">
        <v>137</v>
      </c>
      <c r="B114" s="149" t="s">
        <v>3108</v>
      </c>
      <c r="C114" s="150" t="s">
        <v>68</v>
      </c>
      <c r="D114" s="150">
        <v>0</v>
      </c>
      <c r="E114" s="151">
        <f ca="1">OFFSET(INDEX(Composições!A:H,MATCH(Orçamentária!A114,Composições!A:A,0),8),2,0)</f>
        <v>171.12959710000001</v>
      </c>
      <c r="F114" s="152">
        <f t="shared" ca="1" si="5"/>
        <v>0</v>
      </c>
      <c r="G114" s="153">
        <f>IF($K114="Padrão",BDI!$B$17,IF($K114="Diferenciado",BDI!$E$17,0))</f>
        <v>0.2039</v>
      </c>
      <c r="H114" s="151">
        <f t="shared" ca="1" si="3"/>
        <v>206.02</v>
      </c>
      <c r="I114" s="152">
        <f t="shared" ca="1" si="4"/>
        <v>0</v>
      </c>
      <c r="J114" s="154"/>
      <c r="K114" s="155" t="s">
        <v>2966</v>
      </c>
    </row>
    <row r="115" spans="1:11" hidden="1" x14ac:dyDescent="0.25">
      <c r="A115" s="148" t="s">
        <v>140</v>
      </c>
      <c r="B115" s="149" t="s">
        <v>3109</v>
      </c>
      <c r="C115" s="150" t="s">
        <v>68</v>
      </c>
      <c r="D115" s="150">
        <v>0</v>
      </c>
      <c r="E115" s="151">
        <f ca="1">OFFSET(INDEX(Composições!A:H,MATCH(Orçamentária!A115,Composições!A:A,0),8),2,0)</f>
        <v>66.587856000000002</v>
      </c>
      <c r="F115" s="152">
        <f t="shared" ca="1" si="5"/>
        <v>0</v>
      </c>
      <c r="G115" s="153">
        <f>IF($K115="Padrão",BDI!$B$17,IF($K115="Diferenciado",BDI!$E$17,0))</f>
        <v>0.2039</v>
      </c>
      <c r="H115" s="151">
        <f t="shared" ca="1" si="3"/>
        <v>80.17</v>
      </c>
      <c r="I115" s="152">
        <f t="shared" ca="1" si="4"/>
        <v>0</v>
      </c>
      <c r="J115" s="154"/>
      <c r="K115" s="155" t="s">
        <v>2966</v>
      </c>
    </row>
    <row r="116" spans="1:11" hidden="1" x14ac:dyDescent="0.25">
      <c r="A116" s="148" t="s">
        <v>142</v>
      </c>
      <c r="B116" s="149" t="s">
        <v>3110</v>
      </c>
      <c r="C116" s="150" t="s">
        <v>68</v>
      </c>
      <c r="D116" s="150">
        <v>0</v>
      </c>
      <c r="E116" s="151">
        <f ca="1">OFFSET(INDEX(Composições!A:H,MATCH(Orçamentária!A116,Composições!A:A,0),8),2,0)</f>
        <v>147.35334099999997</v>
      </c>
      <c r="F116" s="152">
        <f t="shared" ca="1" si="5"/>
        <v>0</v>
      </c>
      <c r="G116" s="153">
        <f>IF($K116="Padrão",BDI!$B$17,IF($K116="Diferenciado",BDI!$E$17,0))</f>
        <v>0.2039</v>
      </c>
      <c r="H116" s="151">
        <f t="shared" ca="1" si="3"/>
        <v>177.4</v>
      </c>
      <c r="I116" s="152">
        <f t="shared" ca="1" si="4"/>
        <v>0</v>
      </c>
      <c r="J116" s="154"/>
      <c r="K116" s="155" t="s">
        <v>2966</v>
      </c>
    </row>
    <row r="117" spans="1:11" hidden="1" x14ac:dyDescent="0.25">
      <c r="A117" s="148" t="s">
        <v>144</v>
      </c>
      <c r="B117" s="149" t="s">
        <v>3111</v>
      </c>
      <c r="C117" s="150" t="s">
        <v>68</v>
      </c>
      <c r="D117" s="150">
        <v>0</v>
      </c>
      <c r="E117" s="151">
        <f ca="1">OFFSET(INDEX(Composições!A:H,MATCH(Orçamentária!A117,Composições!A:A,0),8),2,0)</f>
        <v>171.12959709999998</v>
      </c>
      <c r="F117" s="152">
        <f t="shared" ca="1" si="5"/>
        <v>0</v>
      </c>
      <c r="G117" s="153">
        <f>IF($K117="Padrão",BDI!$B$17,IF($K117="Diferenciado",BDI!$E$17,0))</f>
        <v>0.2039</v>
      </c>
      <c r="H117" s="151">
        <f t="shared" ca="1" si="3"/>
        <v>206.02</v>
      </c>
      <c r="I117" s="152">
        <f t="shared" ca="1" si="4"/>
        <v>0</v>
      </c>
      <c r="J117" s="154"/>
      <c r="K117" s="155" t="s">
        <v>2966</v>
      </c>
    </row>
    <row r="118" spans="1:11" hidden="1" x14ac:dyDescent="0.25">
      <c r="A118" s="148" t="s">
        <v>146</v>
      </c>
      <c r="B118" s="149" t="s">
        <v>3112</v>
      </c>
      <c r="C118" s="150" t="s">
        <v>106</v>
      </c>
      <c r="D118" s="150">
        <v>0</v>
      </c>
      <c r="E118" s="151">
        <f ca="1">OFFSET(INDEX(Composições!A:H,MATCH(Orçamentária!A118,Composições!A:A,0),8),2,0)</f>
        <v>16.576454999999999</v>
      </c>
      <c r="F118" s="152">
        <f t="shared" ca="1" si="5"/>
        <v>0</v>
      </c>
      <c r="G118" s="153">
        <f>IF($K118="Padrão",BDI!$B$17,IF($K118="Diferenciado",BDI!$E$17,0))</f>
        <v>0.2039</v>
      </c>
      <c r="H118" s="151">
        <f t="shared" ca="1" si="3"/>
        <v>19.96</v>
      </c>
      <c r="I118" s="152">
        <f t="shared" ca="1" si="4"/>
        <v>0</v>
      </c>
      <c r="J118" s="154"/>
      <c r="K118" s="155" t="s">
        <v>2966</v>
      </c>
    </row>
    <row r="119" spans="1:11" hidden="1" x14ac:dyDescent="0.25">
      <c r="A119" s="148" t="s">
        <v>147</v>
      </c>
      <c r="B119" s="149" t="s">
        <v>3113</v>
      </c>
      <c r="C119" s="150" t="s">
        <v>68</v>
      </c>
      <c r="D119" s="150">
        <v>0</v>
      </c>
      <c r="E119" s="151">
        <f ca="1">OFFSET(INDEX(Composições!A:H,MATCH(Orçamentária!A119,Composições!A:A,0),8),2,0)</f>
        <v>66.587856000000002</v>
      </c>
      <c r="F119" s="152">
        <f t="shared" ca="1" si="5"/>
        <v>0</v>
      </c>
      <c r="G119" s="153">
        <f>IF($K119="Padrão",BDI!$B$17,IF($K119="Diferenciado",BDI!$E$17,0))</f>
        <v>0.2039</v>
      </c>
      <c r="H119" s="151">
        <f t="shared" ca="1" si="3"/>
        <v>80.17</v>
      </c>
      <c r="I119" s="152">
        <f t="shared" ca="1" si="4"/>
        <v>0</v>
      </c>
      <c r="J119" s="154"/>
      <c r="K119" s="155" t="s">
        <v>2966</v>
      </c>
    </row>
    <row r="120" spans="1:11" hidden="1" x14ac:dyDescent="0.25">
      <c r="A120" s="148" t="s">
        <v>149</v>
      </c>
      <c r="B120" s="149" t="s">
        <v>3114</v>
      </c>
      <c r="C120" s="150" t="s">
        <v>68</v>
      </c>
      <c r="D120" s="150">
        <v>0</v>
      </c>
      <c r="E120" s="151">
        <f ca="1">OFFSET(INDEX(Composições!A:H,MATCH(Orçamentária!A120,Composições!A:A,0),8),2,0)</f>
        <v>66.587856000000002</v>
      </c>
      <c r="F120" s="152">
        <f t="shared" ca="1" si="5"/>
        <v>0</v>
      </c>
      <c r="G120" s="153">
        <f>IF($K120="Padrão",BDI!$B$17,IF($K120="Diferenciado",BDI!$E$17,0))</f>
        <v>0.2039</v>
      </c>
      <c r="H120" s="151">
        <f t="shared" ca="1" si="3"/>
        <v>80.17</v>
      </c>
      <c r="I120" s="152">
        <f t="shared" ca="1" si="4"/>
        <v>0</v>
      </c>
      <c r="J120" s="154"/>
      <c r="K120" s="155" t="s">
        <v>2966</v>
      </c>
    </row>
    <row r="121" spans="1:11" hidden="1" x14ac:dyDescent="0.25">
      <c r="A121" s="148" t="s">
        <v>151</v>
      </c>
      <c r="B121" s="149" t="s">
        <v>3115</v>
      </c>
      <c r="C121" s="150" t="s">
        <v>106</v>
      </c>
      <c r="D121" s="150">
        <v>0</v>
      </c>
      <c r="E121" s="151">
        <f ca="1">OFFSET(INDEX(Composições!A:H,MATCH(Orçamentária!A121,Composições!A:A,0),8),2,0)</f>
        <v>43.124204999999996</v>
      </c>
      <c r="F121" s="152">
        <f t="shared" ca="1" si="5"/>
        <v>0</v>
      </c>
      <c r="G121" s="153">
        <f>IF($K121="Padrão",BDI!$B$17,IF($K121="Diferenciado",BDI!$E$17,0))</f>
        <v>0.2039</v>
      </c>
      <c r="H121" s="151">
        <f t="shared" ca="1" si="3"/>
        <v>51.92</v>
      </c>
      <c r="I121" s="152">
        <f t="shared" ca="1" si="4"/>
        <v>0</v>
      </c>
      <c r="J121" s="154"/>
      <c r="K121" s="155" t="s">
        <v>2966</v>
      </c>
    </row>
    <row r="122" spans="1:11" hidden="1" x14ac:dyDescent="0.25">
      <c r="A122" s="148" t="s">
        <v>152</v>
      </c>
      <c r="B122" s="149" t="s">
        <v>3116</v>
      </c>
      <c r="C122" s="150" t="s">
        <v>106</v>
      </c>
      <c r="D122" s="150">
        <v>0</v>
      </c>
      <c r="E122" s="151">
        <f ca="1">OFFSET(INDEX(Composições!A:H,MATCH(Orçamentária!A122,Composições!A:A,0),8),2,0)</f>
        <v>61.825999999999993</v>
      </c>
      <c r="F122" s="152">
        <f t="shared" ca="1" si="5"/>
        <v>0</v>
      </c>
      <c r="G122" s="153">
        <f>IF($K122="Padrão",BDI!$B$17,IF($K122="Diferenciado",BDI!$E$17,0))</f>
        <v>0.2039</v>
      </c>
      <c r="H122" s="151">
        <f t="shared" ca="1" si="3"/>
        <v>74.430000000000007</v>
      </c>
      <c r="I122" s="152">
        <f t="shared" ca="1" si="4"/>
        <v>0</v>
      </c>
      <c r="J122" s="154"/>
      <c r="K122" s="155" t="s">
        <v>2966</v>
      </c>
    </row>
    <row r="123" spans="1:11" hidden="1" x14ac:dyDescent="0.25">
      <c r="A123" s="148" t="s">
        <v>153</v>
      </c>
      <c r="B123" s="149" t="s">
        <v>3117</v>
      </c>
      <c r="C123" s="150" t="s">
        <v>106</v>
      </c>
      <c r="D123" s="150">
        <v>0</v>
      </c>
      <c r="E123" s="151">
        <f ca="1">OFFSET(INDEX(Composições!A:H,MATCH(Orçamentária!A123,Composições!A:A,0),8),2,0)</f>
        <v>54.097749999999991</v>
      </c>
      <c r="F123" s="152">
        <f t="shared" ca="1" si="5"/>
        <v>0</v>
      </c>
      <c r="G123" s="153">
        <f>IF($K123="Padrão",BDI!$B$17,IF($K123="Diferenciado",BDI!$E$17,0))</f>
        <v>0.2039</v>
      </c>
      <c r="H123" s="151">
        <f t="shared" ca="1" si="3"/>
        <v>65.13</v>
      </c>
      <c r="I123" s="152">
        <f t="shared" ca="1" si="4"/>
        <v>0</v>
      </c>
      <c r="J123" s="154"/>
      <c r="K123" s="155" t="s">
        <v>2966</v>
      </c>
    </row>
    <row r="124" spans="1:11" hidden="1" x14ac:dyDescent="0.25">
      <c r="A124" s="148" t="s">
        <v>154</v>
      </c>
      <c r="B124" s="149" t="s">
        <v>3118</v>
      </c>
      <c r="C124" s="150" t="s">
        <v>106</v>
      </c>
      <c r="D124" s="150">
        <v>0</v>
      </c>
      <c r="E124" s="151">
        <f ca="1">OFFSET(INDEX(Composições!A:H,MATCH(Orçamentária!A124,Composições!A:A,0),8),2,0)</f>
        <v>30.912999999999997</v>
      </c>
      <c r="F124" s="152">
        <f t="shared" ca="1" si="5"/>
        <v>0</v>
      </c>
      <c r="G124" s="153">
        <f>IF($K124="Padrão",BDI!$B$17,IF($K124="Diferenciado",BDI!$E$17,0))</f>
        <v>0.2039</v>
      </c>
      <c r="H124" s="151">
        <f t="shared" ca="1" si="3"/>
        <v>37.22</v>
      </c>
      <c r="I124" s="152">
        <f t="shared" ca="1" si="4"/>
        <v>0</v>
      </c>
      <c r="J124" s="154"/>
      <c r="K124" s="155" t="s">
        <v>2966</v>
      </c>
    </row>
    <row r="125" spans="1:11" hidden="1" x14ac:dyDescent="0.25">
      <c r="A125" s="148" t="s">
        <v>155</v>
      </c>
      <c r="B125" s="149" t="s">
        <v>3119</v>
      </c>
      <c r="C125" s="150" t="s">
        <v>106</v>
      </c>
      <c r="D125" s="150">
        <v>0</v>
      </c>
      <c r="E125" s="151">
        <f ca="1">OFFSET(INDEX(Composições!A:H,MATCH(Orçamentária!A125,Composições!A:A,0),8),2,0)</f>
        <v>38.641249999999999</v>
      </c>
      <c r="F125" s="152">
        <f t="shared" ca="1" si="5"/>
        <v>0</v>
      </c>
      <c r="G125" s="153">
        <f>IF($K125="Padrão",BDI!$B$17,IF($K125="Diferenciado",BDI!$E$17,0))</f>
        <v>0.2039</v>
      </c>
      <c r="H125" s="151">
        <f t="shared" ca="1" si="3"/>
        <v>46.52</v>
      </c>
      <c r="I125" s="152">
        <f t="shared" ca="1" si="4"/>
        <v>0</v>
      </c>
      <c r="J125" s="154"/>
      <c r="K125" s="155" t="s">
        <v>2966</v>
      </c>
    </row>
    <row r="126" spans="1:11" hidden="1" x14ac:dyDescent="0.25">
      <c r="A126" s="148" t="s">
        <v>156</v>
      </c>
      <c r="B126" s="149" t="s">
        <v>3120</v>
      </c>
      <c r="C126" s="150" t="s">
        <v>18</v>
      </c>
      <c r="D126" s="150">
        <v>0</v>
      </c>
      <c r="E126" s="151">
        <f ca="1">OFFSET(INDEX(Composições!A:H,MATCH(Orçamentária!A126,Composições!A:A,0),8),2,0)</f>
        <v>115.92374999999998</v>
      </c>
      <c r="F126" s="152">
        <f t="shared" ca="1" si="5"/>
        <v>0</v>
      </c>
      <c r="G126" s="153">
        <f>IF($K126="Padrão",BDI!$B$17,IF($K126="Diferenciado",BDI!$E$17,0))</f>
        <v>0.2039</v>
      </c>
      <c r="H126" s="151">
        <f t="shared" ca="1" si="3"/>
        <v>139.56</v>
      </c>
      <c r="I126" s="152">
        <f t="shared" ca="1" si="4"/>
        <v>0</v>
      </c>
      <c r="J126" s="154"/>
      <c r="K126" s="155" t="s">
        <v>2966</v>
      </c>
    </row>
    <row r="127" spans="1:11" ht="25.5" hidden="1" x14ac:dyDescent="0.25">
      <c r="A127" s="148" t="s">
        <v>157</v>
      </c>
      <c r="B127" s="149" t="s">
        <v>3121</v>
      </c>
      <c r="C127" s="150" t="s">
        <v>18</v>
      </c>
      <c r="D127" s="150">
        <v>0</v>
      </c>
      <c r="E127" s="151">
        <f ca="1">OFFSET(INDEX(Composições!A:H,MATCH(Orçamentária!A127,Composições!A:A,0),8),2,0)</f>
        <v>30.912999999999997</v>
      </c>
      <c r="F127" s="152">
        <f t="shared" ca="1" si="5"/>
        <v>0</v>
      </c>
      <c r="G127" s="153">
        <f>IF($K127="Padrão",BDI!$B$17,IF($K127="Diferenciado",BDI!$E$17,0))</f>
        <v>0.2039</v>
      </c>
      <c r="H127" s="151">
        <f t="shared" ca="1" si="3"/>
        <v>37.22</v>
      </c>
      <c r="I127" s="152">
        <f t="shared" ca="1" si="4"/>
        <v>0</v>
      </c>
      <c r="J127" s="154"/>
      <c r="K127" s="155" t="s">
        <v>2966</v>
      </c>
    </row>
    <row r="128" spans="1:11" hidden="1" x14ac:dyDescent="0.25">
      <c r="A128" s="148" t="s">
        <v>158</v>
      </c>
      <c r="B128" s="149" t="s">
        <v>3122</v>
      </c>
      <c r="C128" s="150" t="s">
        <v>68</v>
      </c>
      <c r="D128" s="150">
        <v>0</v>
      </c>
      <c r="E128" s="151">
        <f ca="1">OFFSET(INDEX(Composições!A:H,MATCH(Orçamentária!A128,Composições!A:A,0),8),2,0)</f>
        <v>98.234589449999987</v>
      </c>
      <c r="F128" s="152">
        <f t="shared" ca="1" si="5"/>
        <v>0</v>
      </c>
      <c r="G128" s="153">
        <f>IF($K128="Padrão",BDI!$B$17,IF($K128="Diferenciado",BDI!$E$17,0))</f>
        <v>0.2039</v>
      </c>
      <c r="H128" s="151">
        <f t="shared" ca="1" si="3"/>
        <v>118.26</v>
      </c>
      <c r="I128" s="152">
        <f t="shared" ca="1" si="4"/>
        <v>0</v>
      </c>
      <c r="J128" s="154"/>
      <c r="K128" s="155" t="s">
        <v>2966</v>
      </c>
    </row>
    <row r="129" spans="1:11" hidden="1" x14ac:dyDescent="0.25">
      <c r="A129" s="148" t="s">
        <v>160</v>
      </c>
      <c r="B129" s="149" t="s">
        <v>3123</v>
      </c>
      <c r="C129" s="150" t="s">
        <v>68</v>
      </c>
      <c r="D129" s="150">
        <v>0</v>
      </c>
      <c r="E129" s="151">
        <f ca="1">OFFSET(INDEX(Composições!A:H,MATCH(Orçamentária!A129,Composições!A:A,0),8),2,0)</f>
        <v>145.54905729999999</v>
      </c>
      <c r="F129" s="152">
        <f t="shared" ca="1" si="5"/>
        <v>0</v>
      </c>
      <c r="G129" s="153">
        <f>IF($K129="Padrão",BDI!$B$17,IF($K129="Diferenciado",BDI!$E$17,0))</f>
        <v>0.2039</v>
      </c>
      <c r="H129" s="151">
        <f t="shared" ca="1" si="3"/>
        <v>175.23</v>
      </c>
      <c r="I129" s="152">
        <f t="shared" ca="1" si="4"/>
        <v>0</v>
      </c>
      <c r="J129" s="154"/>
      <c r="K129" s="155" t="s">
        <v>2966</v>
      </c>
    </row>
    <row r="130" spans="1:11" hidden="1" x14ac:dyDescent="0.25">
      <c r="A130" s="148" t="s">
        <v>163</v>
      </c>
      <c r="B130" s="149" t="s">
        <v>3124</v>
      </c>
      <c r="C130" s="150" t="s">
        <v>68</v>
      </c>
      <c r="D130" s="150">
        <v>0</v>
      </c>
      <c r="E130" s="151">
        <f ca="1">OFFSET(INDEX(Composições!A:H,MATCH(Orçamentária!A130,Composições!A:A,0),8),2,0)</f>
        <v>128.36960499999998</v>
      </c>
      <c r="F130" s="152">
        <f t="shared" ca="1" si="5"/>
        <v>0</v>
      </c>
      <c r="G130" s="153">
        <f>IF($K130="Padrão",BDI!$B$17,IF($K130="Diferenciado",BDI!$E$17,0))</f>
        <v>0.2039</v>
      </c>
      <c r="H130" s="151">
        <f t="shared" ca="1" si="3"/>
        <v>154.54</v>
      </c>
      <c r="I130" s="152">
        <f t="shared" ca="1" si="4"/>
        <v>0</v>
      </c>
      <c r="J130" s="154"/>
      <c r="K130" s="155" t="s">
        <v>2966</v>
      </c>
    </row>
    <row r="131" spans="1:11" hidden="1" x14ac:dyDescent="0.25">
      <c r="A131" s="148" t="s">
        <v>165</v>
      </c>
      <c r="B131" s="149" t="s">
        <v>3125</v>
      </c>
      <c r="C131" s="150" t="s">
        <v>68</v>
      </c>
      <c r="D131" s="150">
        <v>0</v>
      </c>
      <c r="E131" s="151">
        <f ca="1">OFFSET(INDEX(Composições!A:H,MATCH(Orçamentária!A131,Composições!A:A,0),8),2,0)</f>
        <v>98.234589449999987</v>
      </c>
      <c r="F131" s="152">
        <f t="shared" ca="1" si="5"/>
        <v>0</v>
      </c>
      <c r="G131" s="153">
        <f>IF($K131="Padrão",BDI!$B$17,IF($K131="Diferenciado",BDI!$E$17,0))</f>
        <v>0.2039</v>
      </c>
      <c r="H131" s="151">
        <f t="shared" ca="1" si="3"/>
        <v>118.26</v>
      </c>
      <c r="I131" s="152">
        <f t="shared" ca="1" si="4"/>
        <v>0</v>
      </c>
      <c r="J131" s="154"/>
      <c r="K131" s="155" t="s">
        <v>2966</v>
      </c>
    </row>
    <row r="132" spans="1:11" hidden="1" x14ac:dyDescent="0.25">
      <c r="A132" s="148" t="s">
        <v>167</v>
      </c>
      <c r="B132" s="149" t="s">
        <v>3126</v>
      </c>
      <c r="C132" s="150" t="s">
        <v>68</v>
      </c>
      <c r="D132" s="150">
        <v>0</v>
      </c>
      <c r="E132" s="151">
        <f ca="1">OFFSET(INDEX(Composições!A:H,MATCH(Orçamentária!A132,Composições!A:A,0),8),2,0)</f>
        <v>145.54905729999999</v>
      </c>
      <c r="F132" s="152">
        <f t="shared" ca="1" si="5"/>
        <v>0</v>
      </c>
      <c r="G132" s="153">
        <f>IF($K132="Padrão",BDI!$B$17,IF($K132="Diferenciado",BDI!$E$17,0))</f>
        <v>0.2039</v>
      </c>
      <c r="H132" s="151">
        <f t="shared" ca="1" si="3"/>
        <v>175.23</v>
      </c>
      <c r="I132" s="152">
        <f t="shared" ca="1" si="4"/>
        <v>0</v>
      </c>
      <c r="J132" s="154"/>
      <c r="K132" s="155" t="s">
        <v>2966</v>
      </c>
    </row>
    <row r="133" spans="1:11" hidden="1" x14ac:dyDescent="0.25">
      <c r="A133" s="148" t="s">
        <v>169</v>
      </c>
      <c r="B133" s="149" t="s">
        <v>3127</v>
      </c>
      <c r="C133" s="150" t="s">
        <v>68</v>
      </c>
      <c r="D133" s="150">
        <v>0</v>
      </c>
      <c r="E133" s="151">
        <f ca="1">OFFSET(INDEX(Composições!A:H,MATCH(Orçamentária!A133,Composições!A:A,0),8),2,0)</f>
        <v>145.54905729999999</v>
      </c>
      <c r="F133" s="152">
        <f t="shared" ca="1" si="5"/>
        <v>0</v>
      </c>
      <c r="G133" s="153">
        <f>IF($K133="Padrão",BDI!$B$17,IF($K133="Diferenciado",BDI!$E$17,0))</f>
        <v>0.2039</v>
      </c>
      <c r="H133" s="151">
        <f t="shared" ca="1" si="3"/>
        <v>175.23</v>
      </c>
      <c r="I133" s="152">
        <f t="shared" ca="1" si="4"/>
        <v>0</v>
      </c>
      <c r="J133" s="154"/>
      <c r="K133" s="155" t="s">
        <v>2966</v>
      </c>
    </row>
    <row r="134" spans="1:11" hidden="1" x14ac:dyDescent="0.25">
      <c r="A134" s="148" t="s">
        <v>170</v>
      </c>
      <c r="B134" s="149" t="s">
        <v>3128</v>
      </c>
      <c r="C134" s="150" t="s">
        <v>68</v>
      </c>
      <c r="D134" s="150">
        <v>0</v>
      </c>
      <c r="E134" s="151">
        <f ca="1">OFFSET(INDEX(Composições!A:H,MATCH(Orçamentária!A134,Composições!A:A,0),8),2,0)</f>
        <v>14.735334099999999</v>
      </c>
      <c r="F134" s="152">
        <f t="shared" ca="1" si="5"/>
        <v>0</v>
      </c>
      <c r="G134" s="153">
        <f>IF($K134="Padrão",BDI!$B$17,IF($K134="Diferenciado",BDI!$E$17,0))</f>
        <v>0.2039</v>
      </c>
      <c r="H134" s="151">
        <f t="shared" ref="H134:H197" ca="1" si="6">IF(ISNUMBER(E134),ROUND(E134*(1+G134),2),"")</f>
        <v>17.739999999999998</v>
      </c>
      <c r="I134" s="152">
        <f t="shared" ref="I134:I197" ca="1" si="7">IF(ISNUMBER(E134),ROUND(H134*D134,2),"")</f>
        <v>0</v>
      </c>
      <c r="J134" s="154"/>
      <c r="K134" s="155" t="s">
        <v>2966</v>
      </c>
    </row>
    <row r="135" spans="1:11" hidden="1" x14ac:dyDescent="0.25">
      <c r="A135" s="148" t="s">
        <v>171</v>
      </c>
      <c r="B135" s="149" t="s">
        <v>3129</v>
      </c>
      <c r="C135" s="150" t="s">
        <v>68</v>
      </c>
      <c r="D135" s="150">
        <v>0</v>
      </c>
      <c r="E135" s="151">
        <f ca="1">OFFSET(INDEX(Composições!A:H,MATCH(Orçamentária!A135,Composições!A:A,0),8),2,0)</f>
        <v>66.111716000000001</v>
      </c>
      <c r="F135" s="152">
        <f t="shared" ref="F135:F198" ca="1" si="8">IF(ISNUMBER(E135),D135*E135,"")</f>
        <v>0</v>
      </c>
      <c r="G135" s="153">
        <f>IF($K135="Padrão",BDI!$B$17,IF($K135="Diferenciado",BDI!$E$17,0))</f>
        <v>0.2039</v>
      </c>
      <c r="H135" s="151">
        <f t="shared" ca="1" si="6"/>
        <v>79.59</v>
      </c>
      <c r="I135" s="152">
        <f t="shared" ca="1" si="7"/>
        <v>0</v>
      </c>
      <c r="J135" s="154"/>
      <c r="K135" s="155" t="s">
        <v>2966</v>
      </c>
    </row>
    <row r="136" spans="1:11" hidden="1" x14ac:dyDescent="0.25">
      <c r="A136" s="148" t="s">
        <v>172</v>
      </c>
      <c r="B136" s="149" t="s">
        <v>3130</v>
      </c>
      <c r="C136" s="150" t="s">
        <v>68</v>
      </c>
      <c r="D136" s="150">
        <v>0</v>
      </c>
      <c r="E136" s="151">
        <f ca="1">OFFSET(INDEX(Composições!A:H,MATCH(Orçamentária!A136,Composições!A:A,0),8),2,0)</f>
        <v>98.234589449999987</v>
      </c>
      <c r="F136" s="152">
        <f t="shared" ca="1" si="8"/>
        <v>0</v>
      </c>
      <c r="G136" s="153">
        <f>IF($K136="Padrão",BDI!$B$17,IF($K136="Diferenciado",BDI!$E$17,0))</f>
        <v>0.2039</v>
      </c>
      <c r="H136" s="151">
        <f t="shared" ca="1" si="6"/>
        <v>118.26</v>
      </c>
      <c r="I136" s="152">
        <f t="shared" ca="1" si="7"/>
        <v>0</v>
      </c>
      <c r="J136" s="154"/>
      <c r="K136" s="155" t="s">
        <v>2966</v>
      </c>
    </row>
    <row r="137" spans="1:11" hidden="1" x14ac:dyDescent="0.25">
      <c r="A137" s="148" t="s">
        <v>3131</v>
      </c>
      <c r="B137" s="149" t="s">
        <v>3132</v>
      </c>
      <c r="C137" s="150" t="s">
        <v>68</v>
      </c>
      <c r="D137" s="150">
        <v>0</v>
      </c>
      <c r="E137" s="151" t="s">
        <v>13</v>
      </c>
      <c r="F137" s="152" t="str">
        <f t="shared" si="8"/>
        <v/>
      </c>
      <c r="G137" s="153">
        <f>IF($K137="Padrão",BDI!$B$17,IF($K137="Diferenciado",BDI!$E$17,0))</f>
        <v>0.2039</v>
      </c>
      <c r="H137" s="151" t="str">
        <f t="shared" si="6"/>
        <v/>
      </c>
      <c r="I137" s="152" t="str">
        <f t="shared" si="7"/>
        <v/>
      </c>
      <c r="J137" s="154"/>
      <c r="K137" s="155" t="s">
        <v>2966</v>
      </c>
    </row>
    <row r="138" spans="1:11" ht="25.5" hidden="1" x14ac:dyDescent="0.25">
      <c r="A138" s="148" t="s">
        <v>3133</v>
      </c>
      <c r="B138" s="149" t="s">
        <v>3134</v>
      </c>
      <c r="C138" s="150" t="s">
        <v>68</v>
      </c>
      <c r="D138" s="150">
        <v>0</v>
      </c>
      <c r="E138" s="151" t="s">
        <v>13</v>
      </c>
      <c r="F138" s="152" t="str">
        <f t="shared" si="8"/>
        <v/>
      </c>
      <c r="G138" s="153">
        <f>IF($K138="Padrão",BDI!$B$17,IF($K138="Diferenciado",BDI!$E$17,0))</f>
        <v>0.2039</v>
      </c>
      <c r="H138" s="151" t="str">
        <f t="shared" si="6"/>
        <v/>
      </c>
      <c r="I138" s="152" t="str">
        <f t="shared" si="7"/>
        <v/>
      </c>
      <c r="J138" s="154"/>
      <c r="K138" s="155" t="s">
        <v>2966</v>
      </c>
    </row>
    <row r="139" spans="1:11" hidden="1" x14ac:dyDescent="0.25">
      <c r="A139" s="148" t="s">
        <v>3135</v>
      </c>
      <c r="B139" s="149" t="s">
        <v>3136</v>
      </c>
      <c r="C139" s="150" t="s">
        <v>68</v>
      </c>
      <c r="D139" s="150">
        <v>0</v>
      </c>
      <c r="E139" s="151" t="s">
        <v>13</v>
      </c>
      <c r="F139" s="152" t="str">
        <f t="shared" si="8"/>
        <v/>
      </c>
      <c r="G139" s="153">
        <f>IF($K139="Padrão",BDI!$B$17,IF($K139="Diferenciado",BDI!$E$17,0))</f>
        <v>0.2039</v>
      </c>
      <c r="H139" s="151" t="str">
        <f t="shared" si="6"/>
        <v/>
      </c>
      <c r="I139" s="152" t="str">
        <f t="shared" si="7"/>
        <v/>
      </c>
      <c r="J139" s="154"/>
      <c r="K139" s="155" t="s">
        <v>2966</v>
      </c>
    </row>
    <row r="140" spans="1:11" hidden="1" x14ac:dyDescent="0.25">
      <c r="A140" s="148" t="s">
        <v>3137</v>
      </c>
      <c r="B140" s="149" t="s">
        <v>3138</v>
      </c>
      <c r="C140" s="150" t="s">
        <v>68</v>
      </c>
      <c r="D140" s="150">
        <v>0</v>
      </c>
      <c r="E140" s="151" t="s">
        <v>13</v>
      </c>
      <c r="F140" s="152" t="str">
        <f t="shared" si="8"/>
        <v/>
      </c>
      <c r="G140" s="153">
        <f>IF($K140="Padrão",BDI!$B$17,IF($K140="Diferenciado",BDI!$E$17,0))</f>
        <v>0.2039</v>
      </c>
      <c r="H140" s="151" t="str">
        <f t="shared" si="6"/>
        <v/>
      </c>
      <c r="I140" s="152" t="str">
        <f t="shared" si="7"/>
        <v/>
      </c>
      <c r="J140" s="154"/>
      <c r="K140" s="155" t="s">
        <v>2966</v>
      </c>
    </row>
    <row r="141" spans="1:11" hidden="1" x14ac:dyDescent="0.25">
      <c r="A141" s="148" t="s">
        <v>3139</v>
      </c>
      <c r="B141" s="149" t="s">
        <v>3140</v>
      </c>
      <c r="C141" s="150" t="s">
        <v>68</v>
      </c>
      <c r="D141" s="150">
        <v>0</v>
      </c>
      <c r="E141" s="151" t="s">
        <v>13</v>
      </c>
      <c r="F141" s="152" t="str">
        <f t="shared" si="8"/>
        <v/>
      </c>
      <c r="G141" s="153">
        <f>IF($K141="Padrão",BDI!$B$17,IF($K141="Diferenciado",BDI!$E$17,0))</f>
        <v>0.2039</v>
      </c>
      <c r="H141" s="151" t="str">
        <f t="shared" si="6"/>
        <v/>
      </c>
      <c r="I141" s="152" t="str">
        <f t="shared" si="7"/>
        <v/>
      </c>
      <c r="J141" s="154"/>
      <c r="K141" s="155" t="s">
        <v>2966</v>
      </c>
    </row>
    <row r="142" spans="1:11" hidden="1" x14ac:dyDescent="0.25">
      <c r="A142" s="148" t="s">
        <v>3141</v>
      </c>
      <c r="B142" s="149" t="s">
        <v>3142</v>
      </c>
      <c r="C142" s="150" t="s">
        <v>68</v>
      </c>
      <c r="D142" s="150">
        <v>0</v>
      </c>
      <c r="E142" s="151" t="s">
        <v>13</v>
      </c>
      <c r="F142" s="152" t="str">
        <f t="shared" si="8"/>
        <v/>
      </c>
      <c r="G142" s="153">
        <f>IF($K142="Padrão",BDI!$B$17,IF($K142="Diferenciado",BDI!$E$17,0))</f>
        <v>0.2039</v>
      </c>
      <c r="H142" s="151" t="str">
        <f t="shared" si="6"/>
        <v/>
      </c>
      <c r="I142" s="152" t="str">
        <f t="shared" si="7"/>
        <v/>
      </c>
      <c r="J142" s="154"/>
      <c r="K142" s="155" t="s">
        <v>2966</v>
      </c>
    </row>
    <row r="143" spans="1:11" ht="25.5" hidden="1" x14ac:dyDescent="0.25">
      <c r="A143" s="148" t="s">
        <v>174</v>
      </c>
      <c r="B143" s="149" t="s">
        <v>3143</v>
      </c>
      <c r="C143" s="150" t="s">
        <v>68</v>
      </c>
      <c r="D143" s="150">
        <v>0</v>
      </c>
      <c r="E143" s="151">
        <f ca="1">OFFSET(INDEX(Composições!A:H,MATCH(Orçamentária!A143,Composições!A:A,0),8),2,0)</f>
        <v>0</v>
      </c>
      <c r="F143" s="152">
        <f t="shared" ca="1" si="8"/>
        <v>0</v>
      </c>
      <c r="G143" s="153">
        <f>IF($K143="Padrão",BDI!$B$17,IF($K143="Diferenciado",BDI!$E$17,0))</f>
        <v>0.2039</v>
      </c>
      <c r="H143" s="151">
        <f t="shared" ca="1" si="6"/>
        <v>0</v>
      </c>
      <c r="I143" s="152">
        <f t="shared" ca="1" si="7"/>
        <v>0</v>
      </c>
      <c r="J143" s="154"/>
      <c r="K143" s="155" t="s">
        <v>2966</v>
      </c>
    </row>
    <row r="144" spans="1:11" hidden="1" x14ac:dyDescent="0.25">
      <c r="A144" s="148" t="s">
        <v>176</v>
      </c>
      <c r="B144" s="149" t="s">
        <v>3144</v>
      </c>
      <c r="C144" s="150" t="s">
        <v>68</v>
      </c>
      <c r="D144" s="150">
        <v>0</v>
      </c>
      <c r="E144" s="151">
        <f ca="1">OFFSET(INDEX(Composições!A:H,MATCH(Orçamentária!A144,Composições!A:A,0),8),2,0)</f>
        <v>69.578949999999992</v>
      </c>
      <c r="F144" s="152">
        <f t="shared" ca="1" si="8"/>
        <v>0</v>
      </c>
      <c r="G144" s="153">
        <f>IF($K144="Padrão",BDI!$B$17,IF($K144="Diferenciado",BDI!$E$17,0))</f>
        <v>0.2039</v>
      </c>
      <c r="H144" s="151">
        <f t="shared" ca="1" si="6"/>
        <v>83.77</v>
      </c>
      <c r="I144" s="152">
        <f t="shared" ca="1" si="7"/>
        <v>0</v>
      </c>
      <c r="J144" s="154"/>
      <c r="K144" s="155" t="s">
        <v>2966</v>
      </c>
    </row>
    <row r="145" spans="1:11" hidden="1" x14ac:dyDescent="0.25">
      <c r="A145" s="148" t="s">
        <v>178</v>
      </c>
      <c r="B145" s="149" t="s">
        <v>3145</v>
      </c>
      <c r="C145" s="150" t="s">
        <v>68</v>
      </c>
      <c r="D145" s="150">
        <v>0</v>
      </c>
      <c r="E145" s="151">
        <f ca="1">OFFSET(INDEX(Composições!A:H,MATCH(Orçamentária!A145,Composições!A:A,0),8),2,0)</f>
        <v>53.4154391</v>
      </c>
      <c r="F145" s="152">
        <f t="shared" ca="1" si="8"/>
        <v>0</v>
      </c>
      <c r="G145" s="153">
        <f>IF($K145="Padrão",BDI!$B$17,IF($K145="Diferenciado",BDI!$E$17,0))</f>
        <v>0.2039</v>
      </c>
      <c r="H145" s="151">
        <f t="shared" ca="1" si="6"/>
        <v>64.31</v>
      </c>
      <c r="I145" s="152">
        <f t="shared" ca="1" si="7"/>
        <v>0</v>
      </c>
      <c r="J145" s="154"/>
      <c r="K145" s="155" t="s">
        <v>2966</v>
      </c>
    </row>
    <row r="146" spans="1:11" hidden="1" x14ac:dyDescent="0.25">
      <c r="A146" s="148" t="s">
        <v>179</v>
      </c>
      <c r="B146" s="149" t="s">
        <v>3146</v>
      </c>
      <c r="C146" s="150" t="s">
        <v>68</v>
      </c>
      <c r="D146" s="150">
        <v>0</v>
      </c>
      <c r="E146" s="151">
        <f ca="1">OFFSET(INDEX(Composições!A:H,MATCH(Orçamentária!A146,Composições!A:A,0),8),2,0)</f>
        <v>23.736935599999995</v>
      </c>
      <c r="F146" s="152">
        <f t="shared" ca="1" si="8"/>
        <v>0</v>
      </c>
      <c r="G146" s="153">
        <f>IF($K146="Padrão",BDI!$B$17,IF($K146="Diferenciado",BDI!$E$17,0))</f>
        <v>0.2039</v>
      </c>
      <c r="H146" s="151">
        <f t="shared" ca="1" si="6"/>
        <v>28.58</v>
      </c>
      <c r="I146" s="152">
        <f t="shared" ca="1" si="7"/>
        <v>0</v>
      </c>
      <c r="J146" s="154"/>
      <c r="K146" s="155" t="s">
        <v>2966</v>
      </c>
    </row>
    <row r="147" spans="1:11" hidden="1" x14ac:dyDescent="0.25">
      <c r="A147" s="148" t="s">
        <v>180</v>
      </c>
      <c r="B147" s="149" t="s">
        <v>3147</v>
      </c>
      <c r="C147" s="150" t="s">
        <v>68</v>
      </c>
      <c r="D147" s="150">
        <v>0</v>
      </c>
      <c r="E147" s="151">
        <f ca="1">OFFSET(INDEX(Composições!A:H,MATCH(Orçamentária!A147,Composições!A:A,0),8),2,0)</f>
        <v>34.710224099999991</v>
      </c>
      <c r="F147" s="152">
        <f t="shared" ca="1" si="8"/>
        <v>0</v>
      </c>
      <c r="G147" s="153">
        <f>IF($K147="Padrão",BDI!$B$17,IF($K147="Diferenciado",BDI!$E$17,0))</f>
        <v>0.2039</v>
      </c>
      <c r="H147" s="151">
        <f t="shared" ca="1" si="6"/>
        <v>41.79</v>
      </c>
      <c r="I147" s="152">
        <f t="shared" ca="1" si="7"/>
        <v>0</v>
      </c>
      <c r="J147" s="154"/>
      <c r="K147" s="155" t="s">
        <v>2966</v>
      </c>
    </row>
    <row r="148" spans="1:11" hidden="1" x14ac:dyDescent="0.25">
      <c r="A148" s="148" t="s">
        <v>182</v>
      </c>
      <c r="B148" s="149" t="s">
        <v>3148</v>
      </c>
      <c r="C148" s="150" t="s">
        <v>68</v>
      </c>
      <c r="D148" s="150">
        <v>0</v>
      </c>
      <c r="E148" s="151">
        <f ca="1">OFFSET(INDEX(Composições!A:H,MATCH(Orçamentária!A148,Composições!A:A,0),8),2,0)</f>
        <v>24.91375</v>
      </c>
      <c r="F148" s="152">
        <f t="shared" ca="1" si="8"/>
        <v>0</v>
      </c>
      <c r="G148" s="153">
        <f>IF($K148="Padrão",BDI!$B$17,IF($K148="Diferenciado",BDI!$E$17,0))</f>
        <v>0.2039</v>
      </c>
      <c r="H148" s="151">
        <f t="shared" ca="1" si="6"/>
        <v>29.99</v>
      </c>
      <c r="I148" s="152">
        <f t="shared" ca="1" si="7"/>
        <v>0</v>
      </c>
      <c r="J148" s="154"/>
      <c r="K148" s="155" t="s">
        <v>2966</v>
      </c>
    </row>
    <row r="149" spans="1:11" hidden="1" x14ac:dyDescent="0.25">
      <c r="A149" s="148" t="s">
        <v>185</v>
      </c>
      <c r="B149" s="149" t="s">
        <v>3149</v>
      </c>
      <c r="C149" s="150" t="s">
        <v>68</v>
      </c>
      <c r="D149" s="150">
        <v>0</v>
      </c>
      <c r="E149" s="151">
        <f ca="1">OFFSET(INDEX(Composições!A:H,MATCH(Orçamentária!A149,Composições!A:A,0),8),2,0)</f>
        <v>67.437692749999997</v>
      </c>
      <c r="F149" s="152">
        <f t="shared" ca="1" si="8"/>
        <v>0</v>
      </c>
      <c r="G149" s="153">
        <f>IF($K149="Padrão",BDI!$B$17,IF($K149="Diferenciado",BDI!$E$17,0))</f>
        <v>0.2039</v>
      </c>
      <c r="H149" s="151">
        <f t="shared" ca="1" si="6"/>
        <v>81.19</v>
      </c>
      <c r="I149" s="152">
        <f t="shared" ca="1" si="7"/>
        <v>0</v>
      </c>
      <c r="J149" s="154"/>
      <c r="K149" s="155" t="s">
        <v>2966</v>
      </c>
    </row>
    <row r="150" spans="1:11" hidden="1" x14ac:dyDescent="0.25">
      <c r="A150" s="148" t="s">
        <v>186</v>
      </c>
      <c r="B150" s="149" t="s">
        <v>3150</v>
      </c>
      <c r="C150" s="150" t="s">
        <v>68</v>
      </c>
      <c r="D150" s="150">
        <v>0</v>
      </c>
      <c r="E150" s="151">
        <f ca="1">OFFSET(INDEX(Composições!A:H,MATCH(Orçamentária!A150,Composições!A:A,0),8),2,0)</f>
        <v>49.802286050000006</v>
      </c>
      <c r="F150" s="152">
        <f t="shared" ca="1" si="8"/>
        <v>0</v>
      </c>
      <c r="G150" s="153">
        <f>IF($K150="Padrão",BDI!$B$17,IF($K150="Diferenciado",BDI!$E$17,0))</f>
        <v>0.2039</v>
      </c>
      <c r="H150" s="151">
        <f t="shared" ca="1" si="6"/>
        <v>59.96</v>
      </c>
      <c r="I150" s="152">
        <f t="shared" ca="1" si="7"/>
        <v>0</v>
      </c>
      <c r="J150" s="154"/>
      <c r="K150" s="155" t="s">
        <v>2966</v>
      </c>
    </row>
    <row r="151" spans="1:11" hidden="1" x14ac:dyDescent="0.25">
      <c r="A151" s="148" t="s">
        <v>187</v>
      </c>
      <c r="B151" s="149" t="s">
        <v>3151</v>
      </c>
      <c r="C151" s="150" t="s">
        <v>68</v>
      </c>
      <c r="D151" s="150">
        <v>0</v>
      </c>
      <c r="E151" s="151">
        <f ca="1">OFFSET(INDEX(Composições!A:H,MATCH(Orçamentária!A151,Composições!A:A,0),8),2,0)</f>
        <v>126.6635</v>
      </c>
      <c r="F151" s="152">
        <f t="shared" ca="1" si="8"/>
        <v>0</v>
      </c>
      <c r="G151" s="153">
        <f>IF($K151="Padrão",BDI!$B$17,IF($K151="Diferenciado",BDI!$E$17,0))</f>
        <v>0.2039</v>
      </c>
      <c r="H151" s="151">
        <f t="shared" ca="1" si="6"/>
        <v>152.49</v>
      </c>
      <c r="I151" s="152">
        <f t="shared" ca="1" si="7"/>
        <v>0</v>
      </c>
      <c r="J151" s="154"/>
      <c r="K151" s="155" t="s">
        <v>2966</v>
      </c>
    </row>
    <row r="152" spans="1:11" hidden="1" x14ac:dyDescent="0.25">
      <c r="A152" s="148" t="s">
        <v>188</v>
      </c>
      <c r="B152" s="149" t="s">
        <v>3152</v>
      </c>
      <c r="C152" s="150" t="s">
        <v>68</v>
      </c>
      <c r="D152" s="150">
        <v>0</v>
      </c>
      <c r="E152" s="151">
        <f ca="1">OFFSET(INDEX(Composições!A:H,MATCH(Orçamentária!A152,Composições!A:A,0),8),2,0)</f>
        <v>35.522399999999998</v>
      </c>
      <c r="F152" s="152">
        <f t="shared" ca="1" si="8"/>
        <v>0</v>
      </c>
      <c r="G152" s="153">
        <f>IF($K152="Padrão",BDI!$B$17,IF($K152="Diferenciado",BDI!$E$17,0))</f>
        <v>0.2039</v>
      </c>
      <c r="H152" s="151">
        <f t="shared" ca="1" si="6"/>
        <v>42.77</v>
      </c>
      <c r="I152" s="152">
        <f t="shared" ca="1" si="7"/>
        <v>0</v>
      </c>
      <c r="J152" s="154"/>
      <c r="K152" s="155" t="s">
        <v>2966</v>
      </c>
    </row>
    <row r="153" spans="1:11" hidden="1" x14ac:dyDescent="0.25">
      <c r="A153" s="148" t="s">
        <v>189</v>
      </c>
      <c r="B153" s="149" t="s">
        <v>3153</v>
      </c>
      <c r="C153" s="150" t="s">
        <v>68</v>
      </c>
      <c r="D153" s="150">
        <v>0</v>
      </c>
      <c r="E153" s="151">
        <f ca="1">OFFSET(INDEX(Composições!A:H,MATCH(Orçamentária!A153,Composições!A:A,0),8),2,0)</f>
        <v>4.569119999999999</v>
      </c>
      <c r="F153" s="152">
        <f t="shared" ca="1" si="8"/>
        <v>0</v>
      </c>
      <c r="G153" s="153">
        <f>IF($K153="Padrão",BDI!$B$17,IF($K153="Diferenciado",BDI!$E$17,0))</f>
        <v>0.2039</v>
      </c>
      <c r="H153" s="151">
        <f t="shared" ca="1" si="6"/>
        <v>5.5</v>
      </c>
      <c r="I153" s="152">
        <f t="shared" ca="1" si="7"/>
        <v>0</v>
      </c>
      <c r="J153" s="154"/>
      <c r="K153" s="155" t="s">
        <v>2966</v>
      </c>
    </row>
    <row r="154" spans="1:11" hidden="1" x14ac:dyDescent="0.25">
      <c r="A154" s="148" t="s">
        <v>190</v>
      </c>
      <c r="B154" s="149" t="s">
        <v>3154</v>
      </c>
      <c r="C154" s="150" t="s">
        <v>68</v>
      </c>
      <c r="D154" s="150">
        <v>0</v>
      </c>
      <c r="E154" s="151">
        <f ca="1">OFFSET(INDEX(Composições!A:H,MATCH(Orçamentária!A154,Composições!A:A,0),8),2,0)</f>
        <v>59.690399999999997</v>
      </c>
      <c r="F154" s="152">
        <f t="shared" ca="1" si="8"/>
        <v>0</v>
      </c>
      <c r="G154" s="153">
        <f>IF($K154="Padrão",BDI!$B$17,IF($K154="Diferenciado",BDI!$E$17,0))</f>
        <v>0.2039</v>
      </c>
      <c r="H154" s="151">
        <f t="shared" ca="1" si="6"/>
        <v>71.86</v>
      </c>
      <c r="I154" s="152">
        <f t="shared" ca="1" si="7"/>
        <v>0</v>
      </c>
      <c r="J154" s="154"/>
      <c r="K154" s="155" t="s">
        <v>2966</v>
      </c>
    </row>
    <row r="155" spans="1:11" hidden="1" x14ac:dyDescent="0.25">
      <c r="A155" s="148" t="s">
        <v>191</v>
      </c>
      <c r="B155" s="149" t="s">
        <v>3155</v>
      </c>
      <c r="C155" s="150" t="s">
        <v>106</v>
      </c>
      <c r="D155" s="150">
        <v>0</v>
      </c>
      <c r="E155" s="151">
        <f ca="1">OFFSET(INDEX(Composições!A:H,MATCH(Orçamentária!A155,Composições!A:A,0),8),2,0)</f>
        <v>11.4230299</v>
      </c>
      <c r="F155" s="152">
        <f t="shared" ca="1" si="8"/>
        <v>0</v>
      </c>
      <c r="G155" s="153">
        <f>IF($K155="Padrão",BDI!$B$17,IF($K155="Diferenciado",BDI!$E$17,0))</f>
        <v>0.2039</v>
      </c>
      <c r="H155" s="151">
        <f t="shared" ca="1" si="6"/>
        <v>13.75</v>
      </c>
      <c r="I155" s="152">
        <f t="shared" ca="1" si="7"/>
        <v>0</v>
      </c>
      <c r="J155" s="154"/>
      <c r="K155" s="155" t="s">
        <v>2966</v>
      </c>
    </row>
    <row r="156" spans="1:11" hidden="1" x14ac:dyDescent="0.25">
      <c r="A156" s="148" t="s">
        <v>192</v>
      </c>
      <c r="B156" s="149" t="s">
        <v>3156</v>
      </c>
      <c r="C156" s="150" t="s">
        <v>68</v>
      </c>
      <c r="D156" s="150">
        <v>0</v>
      </c>
      <c r="E156" s="151">
        <f ca="1">OFFSET(INDEX(Composições!A:H,MATCH(Orçamentária!A156,Composições!A:A,0),8),2,0)</f>
        <v>10.570650000000001</v>
      </c>
      <c r="F156" s="152">
        <f t="shared" ca="1" si="8"/>
        <v>0</v>
      </c>
      <c r="G156" s="153">
        <f>IF($K156="Padrão",BDI!$B$17,IF($K156="Diferenciado",BDI!$E$17,0))</f>
        <v>0.2039</v>
      </c>
      <c r="H156" s="151">
        <f t="shared" ca="1" si="6"/>
        <v>12.73</v>
      </c>
      <c r="I156" s="152">
        <f t="shared" ca="1" si="7"/>
        <v>0</v>
      </c>
      <c r="J156" s="154"/>
      <c r="K156" s="155" t="s">
        <v>2966</v>
      </c>
    </row>
    <row r="157" spans="1:11" hidden="1" x14ac:dyDescent="0.25">
      <c r="A157" s="148" t="s">
        <v>193</v>
      </c>
      <c r="B157" s="149" t="s">
        <v>3157</v>
      </c>
      <c r="C157" s="150" t="s">
        <v>106</v>
      </c>
      <c r="D157" s="150">
        <v>0</v>
      </c>
      <c r="E157" s="151">
        <f ca="1">OFFSET(INDEX(Composições!A:H,MATCH(Orçamentária!A157,Composições!A:A,0),8),2,0)</f>
        <v>7.165375</v>
      </c>
      <c r="F157" s="152">
        <f t="shared" ca="1" si="8"/>
        <v>0</v>
      </c>
      <c r="G157" s="153">
        <f>IF($K157="Padrão",BDI!$B$17,IF($K157="Diferenciado",BDI!$E$17,0))</f>
        <v>0.2039</v>
      </c>
      <c r="H157" s="151">
        <f t="shared" ca="1" si="6"/>
        <v>8.6300000000000008</v>
      </c>
      <c r="I157" s="152">
        <f t="shared" ca="1" si="7"/>
        <v>0</v>
      </c>
      <c r="J157"/>
      <c r="K157" s="155" t="s">
        <v>2966</v>
      </c>
    </row>
    <row r="158" spans="1:11" hidden="1" x14ac:dyDescent="0.25">
      <c r="A158" s="148" t="s">
        <v>195</v>
      </c>
      <c r="B158" s="149" t="s">
        <v>3158</v>
      </c>
      <c r="C158" s="150" t="s">
        <v>106</v>
      </c>
      <c r="D158" s="150">
        <v>0</v>
      </c>
      <c r="E158" s="151">
        <f ca="1">OFFSET(INDEX(Composições!A:H,MATCH(Orçamentária!A158,Composições!A:A,0),8),2,0)</f>
        <v>26.005300000000002</v>
      </c>
      <c r="F158" s="152">
        <f t="shared" ca="1" si="8"/>
        <v>0</v>
      </c>
      <c r="G158" s="153">
        <f>IF($K158="Padrão",BDI!$B$17,IF($K158="Diferenciado",BDI!$E$17,0))</f>
        <v>0.2039</v>
      </c>
      <c r="H158" s="151">
        <f t="shared" ca="1" si="6"/>
        <v>31.31</v>
      </c>
      <c r="I158" s="152">
        <f t="shared" ca="1" si="7"/>
        <v>0</v>
      </c>
      <c r="J158"/>
      <c r="K158" s="155" t="s">
        <v>2966</v>
      </c>
    </row>
    <row r="159" spans="1:11" ht="25.5" hidden="1" x14ac:dyDescent="0.25">
      <c r="A159" s="148" t="s">
        <v>196</v>
      </c>
      <c r="B159" s="149" t="s">
        <v>3159</v>
      </c>
      <c r="C159" s="150" t="s">
        <v>68</v>
      </c>
      <c r="D159" s="150">
        <v>0</v>
      </c>
      <c r="E159" s="151">
        <f ca="1">OFFSET(INDEX(Composições!A:H,MATCH(Orçamentária!A159,Composições!A:A,0),8),2,0)</f>
        <v>130.88625000000002</v>
      </c>
      <c r="F159" s="152">
        <f t="shared" ca="1" si="8"/>
        <v>0</v>
      </c>
      <c r="G159" s="153">
        <f>IF($K159="Padrão",BDI!$B$17,IF($K159="Diferenciado",BDI!$E$17,0))</f>
        <v>0.2039</v>
      </c>
      <c r="H159" s="151">
        <f t="shared" ca="1" si="6"/>
        <v>157.57</v>
      </c>
      <c r="I159" s="152">
        <f t="shared" ca="1" si="7"/>
        <v>0</v>
      </c>
      <c r="J159" s="154"/>
      <c r="K159" s="155" t="s">
        <v>2966</v>
      </c>
    </row>
    <row r="160" spans="1:11" hidden="1" x14ac:dyDescent="0.25">
      <c r="A160" s="148" t="s">
        <v>198</v>
      </c>
      <c r="B160" s="149" t="s">
        <v>3160</v>
      </c>
      <c r="C160" s="150" t="s">
        <v>68</v>
      </c>
      <c r="D160" s="150">
        <v>0</v>
      </c>
      <c r="E160" s="151">
        <f ca="1">OFFSET(INDEX(Composições!A:H,MATCH(Orçamentária!A160,Composições!A:A,0),8),2,0)</f>
        <v>47.832499999999996</v>
      </c>
      <c r="F160" s="152">
        <f t="shared" ca="1" si="8"/>
        <v>0</v>
      </c>
      <c r="G160" s="153">
        <f>IF($K160="Padrão",BDI!$B$17,IF($K160="Diferenciado",BDI!$E$17,0))</f>
        <v>0.2039</v>
      </c>
      <c r="H160" s="151">
        <f t="shared" ca="1" si="6"/>
        <v>57.59</v>
      </c>
      <c r="I160" s="152">
        <f t="shared" ca="1" si="7"/>
        <v>0</v>
      </c>
      <c r="J160" s="154"/>
      <c r="K160" s="155" t="s">
        <v>2966</v>
      </c>
    </row>
    <row r="161" spans="1:11" hidden="1" x14ac:dyDescent="0.25">
      <c r="A161" s="148" t="s">
        <v>199</v>
      </c>
      <c r="B161" s="149" t="s">
        <v>3161</v>
      </c>
      <c r="C161" s="150" t="s">
        <v>106</v>
      </c>
      <c r="D161" s="150">
        <v>0</v>
      </c>
      <c r="E161" s="151">
        <f ca="1">OFFSET(INDEX(Composições!A:H,MATCH(Orçamentária!A161,Composições!A:A,0),8),2,0)</f>
        <v>25.088245049999998</v>
      </c>
      <c r="F161" s="152">
        <f t="shared" ca="1" si="8"/>
        <v>0</v>
      </c>
      <c r="G161" s="153">
        <f>IF($K161="Padrão",BDI!$B$17,IF($K161="Diferenciado",BDI!$E$17,0))</f>
        <v>0.2039</v>
      </c>
      <c r="H161" s="151">
        <f t="shared" ca="1" si="6"/>
        <v>30.2</v>
      </c>
      <c r="I161" s="152">
        <f t="shared" ca="1" si="7"/>
        <v>0</v>
      </c>
      <c r="J161"/>
      <c r="K161" s="155" t="s">
        <v>2966</v>
      </c>
    </row>
    <row r="162" spans="1:11" hidden="1" x14ac:dyDescent="0.25">
      <c r="A162" s="148" t="s">
        <v>201</v>
      </c>
      <c r="B162" s="149" t="s">
        <v>3162</v>
      </c>
      <c r="C162" s="150" t="s">
        <v>68</v>
      </c>
      <c r="D162" s="150">
        <v>0</v>
      </c>
      <c r="E162" s="151">
        <f ca="1">OFFSET(INDEX(Composições!A:H,MATCH(Orçamentária!A162,Composições!A:A,0),8),2,0)</f>
        <v>200.55623850000001</v>
      </c>
      <c r="F162" s="152">
        <f t="shared" ca="1" si="8"/>
        <v>0</v>
      </c>
      <c r="G162" s="153">
        <f>IF($K162="Padrão",BDI!$B$17,IF($K162="Diferenciado",BDI!$E$17,0))</f>
        <v>0.2039</v>
      </c>
      <c r="H162" s="151">
        <f t="shared" ca="1" si="6"/>
        <v>241.45</v>
      </c>
      <c r="I162" s="152">
        <f t="shared" ca="1" si="7"/>
        <v>0</v>
      </c>
      <c r="J162"/>
      <c r="K162" s="155" t="s">
        <v>2966</v>
      </c>
    </row>
    <row r="163" spans="1:11" hidden="1" x14ac:dyDescent="0.25">
      <c r="A163" s="148" t="s">
        <v>202</v>
      </c>
      <c r="B163" s="149" t="s">
        <v>3163</v>
      </c>
      <c r="C163" s="150" t="s">
        <v>68</v>
      </c>
      <c r="D163" s="150">
        <v>0</v>
      </c>
      <c r="E163" s="151">
        <f ca="1">OFFSET(INDEX(Composições!A:H,MATCH(Orçamentária!A163,Composições!A:A,0),8),2,0)</f>
        <v>244.16357549999998</v>
      </c>
      <c r="F163" s="152">
        <f t="shared" ca="1" si="8"/>
        <v>0</v>
      </c>
      <c r="G163" s="153">
        <f>IF($K163="Padrão",BDI!$B$17,IF($K163="Diferenciado",BDI!$E$17,0))</f>
        <v>0.2039</v>
      </c>
      <c r="H163" s="151">
        <f t="shared" ca="1" si="6"/>
        <v>293.95</v>
      </c>
      <c r="I163" s="152">
        <f t="shared" ca="1" si="7"/>
        <v>0</v>
      </c>
      <c r="J163"/>
      <c r="K163" s="155" t="s">
        <v>2966</v>
      </c>
    </row>
    <row r="164" spans="1:11" hidden="1" x14ac:dyDescent="0.25">
      <c r="A164" s="148" t="s">
        <v>203</v>
      </c>
      <c r="B164" s="149" t="s">
        <v>3164</v>
      </c>
      <c r="C164" s="150" t="s">
        <v>68</v>
      </c>
      <c r="D164" s="150">
        <v>0</v>
      </c>
      <c r="E164" s="151">
        <f ca="1">OFFSET(INDEX(Composições!A:H,MATCH(Orçamentária!A164,Composições!A:A,0),8),2,0)</f>
        <v>57.589950000000002</v>
      </c>
      <c r="F164" s="152">
        <f t="shared" ca="1" si="8"/>
        <v>0</v>
      </c>
      <c r="G164" s="153">
        <f>IF($K164="Padrão",BDI!$B$17,IF($K164="Diferenciado",BDI!$E$17,0))</f>
        <v>0.2039</v>
      </c>
      <c r="H164" s="151">
        <f t="shared" ca="1" si="6"/>
        <v>69.33</v>
      </c>
      <c r="I164" s="152">
        <f t="shared" ca="1" si="7"/>
        <v>0</v>
      </c>
      <c r="J164" s="154"/>
      <c r="K164" s="155" t="s">
        <v>2966</v>
      </c>
    </row>
    <row r="165" spans="1:11" hidden="1" x14ac:dyDescent="0.25">
      <c r="A165" s="148" t="s">
        <v>204</v>
      </c>
      <c r="B165" s="149" t="s">
        <v>3165</v>
      </c>
      <c r="C165" s="150" t="s">
        <v>18</v>
      </c>
      <c r="D165" s="150">
        <v>0</v>
      </c>
      <c r="E165" s="151">
        <f ca="1">OFFSET(INDEX(Composições!A:H,MATCH(Orçamentária!A165,Composições!A:A,0),8),2,0)</f>
        <v>93.972138000000001</v>
      </c>
      <c r="F165" s="152">
        <f t="shared" ca="1" si="8"/>
        <v>0</v>
      </c>
      <c r="G165" s="153">
        <f>IF($K165="Padrão",BDI!$B$17,IF($K165="Diferenciado",BDI!$E$17,0))</f>
        <v>0.2039</v>
      </c>
      <c r="H165" s="151">
        <f t="shared" ca="1" si="6"/>
        <v>113.13</v>
      </c>
      <c r="I165" s="152">
        <f t="shared" ca="1" si="7"/>
        <v>0</v>
      </c>
      <c r="J165"/>
      <c r="K165" s="155" t="s">
        <v>2966</v>
      </c>
    </row>
    <row r="166" spans="1:11" hidden="1" x14ac:dyDescent="0.25">
      <c r="A166" s="148" t="s">
        <v>207</v>
      </c>
      <c r="B166" s="149" t="s">
        <v>3166</v>
      </c>
      <c r="C166" s="150" t="s">
        <v>106</v>
      </c>
      <c r="D166" s="150">
        <v>0</v>
      </c>
      <c r="E166" s="151">
        <f ca="1">OFFSET(INDEX(Composições!A:H,MATCH(Orçamentária!A166,Composições!A:A,0),8),2,0)</f>
        <v>8.1185214000000006</v>
      </c>
      <c r="F166" s="152">
        <f t="shared" ca="1" si="8"/>
        <v>0</v>
      </c>
      <c r="G166" s="153">
        <f>IF($K166="Padrão",BDI!$B$17,IF($K166="Diferenciado",BDI!$E$17,0))</f>
        <v>0.2039</v>
      </c>
      <c r="H166" s="151">
        <f t="shared" ca="1" si="6"/>
        <v>9.77</v>
      </c>
      <c r="I166" s="152">
        <f t="shared" ca="1" si="7"/>
        <v>0</v>
      </c>
      <c r="J166" s="154"/>
      <c r="K166" s="155" t="s">
        <v>2966</v>
      </c>
    </row>
    <row r="167" spans="1:11" hidden="1" x14ac:dyDescent="0.25">
      <c r="A167" s="148" t="s">
        <v>3167</v>
      </c>
      <c r="B167" s="149" t="s">
        <v>3168</v>
      </c>
      <c r="C167" s="150" t="s">
        <v>68</v>
      </c>
      <c r="D167" s="150">
        <v>0</v>
      </c>
      <c r="E167" s="151" t="s">
        <v>13</v>
      </c>
      <c r="F167" s="152" t="str">
        <f t="shared" si="8"/>
        <v/>
      </c>
      <c r="G167" s="153">
        <f>IF($K167="Padrão",BDI!$B$17,IF($K167="Diferenciado",BDI!$E$17,0))</f>
        <v>0.2039</v>
      </c>
      <c r="H167" s="151" t="str">
        <f t="shared" si="6"/>
        <v/>
      </c>
      <c r="I167" s="152" t="str">
        <f t="shared" si="7"/>
        <v/>
      </c>
      <c r="J167"/>
      <c r="K167" s="155" t="s">
        <v>2966</v>
      </c>
    </row>
    <row r="168" spans="1:11" hidden="1" x14ac:dyDescent="0.25">
      <c r="A168" s="148" t="s">
        <v>3169</v>
      </c>
      <c r="B168" s="149" t="s">
        <v>3170</v>
      </c>
      <c r="C168" s="150" t="s">
        <v>68</v>
      </c>
      <c r="D168" s="150">
        <v>0</v>
      </c>
      <c r="E168" s="151" t="s">
        <v>13</v>
      </c>
      <c r="F168" s="152" t="str">
        <f t="shared" si="8"/>
        <v/>
      </c>
      <c r="G168" s="153">
        <f>IF($K168="Padrão",BDI!$B$17,IF($K168="Diferenciado",BDI!$E$17,0))</f>
        <v>0.2039</v>
      </c>
      <c r="H168" s="151" t="str">
        <f t="shared" si="6"/>
        <v/>
      </c>
      <c r="I168" s="152" t="str">
        <f t="shared" si="7"/>
        <v/>
      </c>
      <c r="J168"/>
      <c r="K168" s="155" t="s">
        <v>2966</v>
      </c>
    </row>
    <row r="169" spans="1:11" hidden="1" x14ac:dyDescent="0.25">
      <c r="A169" s="148" t="s">
        <v>3171</v>
      </c>
      <c r="B169" s="149" t="s">
        <v>3172</v>
      </c>
      <c r="C169" s="150" t="s">
        <v>68</v>
      </c>
      <c r="D169" s="150">
        <v>0</v>
      </c>
      <c r="E169" s="151" t="s">
        <v>13</v>
      </c>
      <c r="F169" s="152" t="str">
        <f t="shared" si="8"/>
        <v/>
      </c>
      <c r="G169" s="153">
        <f>IF($K169="Padrão",BDI!$B$17,IF($K169="Diferenciado",BDI!$E$17,0))</f>
        <v>0.2039</v>
      </c>
      <c r="H169" s="151" t="str">
        <f t="shared" si="6"/>
        <v/>
      </c>
      <c r="I169" s="152" t="str">
        <f t="shared" si="7"/>
        <v/>
      </c>
      <c r="J169"/>
      <c r="K169" s="155" t="s">
        <v>2966</v>
      </c>
    </row>
    <row r="170" spans="1:11" hidden="1" x14ac:dyDescent="0.25">
      <c r="A170" s="148" t="s">
        <v>208</v>
      </c>
      <c r="B170" s="149" t="s">
        <v>209</v>
      </c>
      <c r="C170" s="150" t="s">
        <v>68</v>
      </c>
      <c r="D170" s="150">
        <v>0</v>
      </c>
      <c r="E170" s="151">
        <f ca="1">OFFSET(INDEX(Composições!A:H,MATCH(Orçamentária!A170,Composições!A:A,0),8),2,0)</f>
        <v>4.2992249999999999</v>
      </c>
      <c r="F170" s="152">
        <f t="shared" ca="1" si="8"/>
        <v>0</v>
      </c>
      <c r="G170" s="153">
        <f>IF($K170="Padrão",BDI!$B$17,IF($K170="Diferenciado",BDI!$E$17,0))</f>
        <v>0.2039</v>
      </c>
      <c r="H170" s="151">
        <f t="shared" ca="1" si="6"/>
        <v>5.18</v>
      </c>
      <c r="I170" s="152">
        <f t="shared" ca="1" si="7"/>
        <v>0</v>
      </c>
      <c r="J170" s="154"/>
      <c r="K170" s="155" t="s">
        <v>2966</v>
      </c>
    </row>
    <row r="171" spans="1:11" hidden="1" x14ac:dyDescent="0.25">
      <c r="A171" s="148" t="s">
        <v>210</v>
      </c>
      <c r="B171" s="149" t="s">
        <v>3173</v>
      </c>
      <c r="C171" s="150" t="s">
        <v>18</v>
      </c>
      <c r="D171" s="150">
        <v>0</v>
      </c>
      <c r="E171" s="151">
        <f ca="1">OFFSET(INDEX(Composições!A:H,MATCH(Orçamentária!A171,Composições!A:A,0),8),2,0)</f>
        <v>21.338899999999999</v>
      </c>
      <c r="F171" s="152">
        <f t="shared" ca="1" si="8"/>
        <v>0</v>
      </c>
      <c r="G171" s="153">
        <f>IF($K171="Padrão",BDI!$B$17,IF($K171="Diferenciado",BDI!$E$17,0))</f>
        <v>0.2039</v>
      </c>
      <c r="H171" s="151">
        <f t="shared" ca="1" si="6"/>
        <v>25.69</v>
      </c>
      <c r="I171" s="152">
        <f t="shared" ca="1" si="7"/>
        <v>0</v>
      </c>
      <c r="J171" s="154"/>
      <c r="K171" s="155" t="s">
        <v>2966</v>
      </c>
    </row>
    <row r="172" spans="1:11" hidden="1" x14ac:dyDescent="0.25">
      <c r="A172" s="148" t="s">
        <v>212</v>
      </c>
      <c r="B172" s="149" t="s">
        <v>3174</v>
      </c>
      <c r="C172" s="150" t="s">
        <v>106</v>
      </c>
      <c r="D172" s="150">
        <v>0</v>
      </c>
      <c r="E172" s="151">
        <f ca="1">OFFSET(INDEX(Composições!A:H,MATCH(Orçamentária!A172,Composições!A:A,0),8),2,0)</f>
        <v>51.931084049999996</v>
      </c>
      <c r="F172" s="152">
        <f t="shared" ca="1" si="8"/>
        <v>0</v>
      </c>
      <c r="G172" s="153">
        <f>IF($K172="Padrão",BDI!$B$17,IF($K172="Diferenciado",BDI!$E$17,0))</f>
        <v>0.2039</v>
      </c>
      <c r="H172" s="151">
        <f t="shared" ca="1" si="6"/>
        <v>62.52</v>
      </c>
      <c r="I172" s="152">
        <f t="shared" ca="1" si="7"/>
        <v>0</v>
      </c>
      <c r="J172" s="154"/>
      <c r="K172" s="155" t="s">
        <v>2966</v>
      </c>
    </row>
    <row r="173" spans="1:11" hidden="1" x14ac:dyDescent="0.25">
      <c r="A173" s="148" t="s">
        <v>213</v>
      </c>
      <c r="B173" s="149" t="s">
        <v>3175</v>
      </c>
      <c r="C173" s="150" t="s">
        <v>106</v>
      </c>
      <c r="D173" s="150">
        <v>0</v>
      </c>
      <c r="E173" s="151">
        <f ca="1">OFFSET(INDEX(Composições!A:H,MATCH(Orçamentária!A173,Composições!A:A,0),8),2,0)</f>
        <v>17.803854999999999</v>
      </c>
      <c r="F173" s="152">
        <f t="shared" ca="1" si="8"/>
        <v>0</v>
      </c>
      <c r="G173" s="153">
        <f>IF($K173="Padrão",BDI!$B$17,IF($K173="Diferenciado",BDI!$E$17,0))</f>
        <v>0.2039</v>
      </c>
      <c r="H173" s="151">
        <f t="shared" ca="1" si="6"/>
        <v>21.43</v>
      </c>
      <c r="I173" s="152">
        <f t="shared" ca="1" si="7"/>
        <v>0</v>
      </c>
      <c r="J173" s="154"/>
      <c r="K173" s="155" t="s">
        <v>2966</v>
      </c>
    </row>
    <row r="174" spans="1:11" hidden="1" x14ac:dyDescent="0.25">
      <c r="A174" s="148" t="s">
        <v>214</v>
      </c>
      <c r="B174" s="149" t="s">
        <v>3176</v>
      </c>
      <c r="C174" s="150" t="s">
        <v>106</v>
      </c>
      <c r="D174" s="150">
        <v>0</v>
      </c>
      <c r="E174" s="151">
        <f ca="1">OFFSET(INDEX(Composições!A:H,MATCH(Orçamentária!A174,Composições!A:A,0),8),2,0)</f>
        <v>24.035686850000005</v>
      </c>
      <c r="F174" s="152">
        <f t="shared" ca="1" si="8"/>
        <v>0</v>
      </c>
      <c r="G174" s="153">
        <f>IF($K174="Padrão",BDI!$B$17,IF($K174="Diferenciado",BDI!$E$17,0))</f>
        <v>0.2039</v>
      </c>
      <c r="H174" s="151">
        <f t="shared" ca="1" si="6"/>
        <v>28.94</v>
      </c>
      <c r="I174" s="152">
        <f t="shared" ca="1" si="7"/>
        <v>0</v>
      </c>
      <c r="J174" s="154"/>
      <c r="K174" s="155" t="s">
        <v>2966</v>
      </c>
    </row>
    <row r="175" spans="1:11" hidden="1" x14ac:dyDescent="0.25">
      <c r="A175" s="148" t="s">
        <v>215</v>
      </c>
      <c r="B175" s="149" t="s">
        <v>3177</v>
      </c>
      <c r="C175" s="150" t="s">
        <v>106</v>
      </c>
      <c r="D175" s="150">
        <v>0</v>
      </c>
      <c r="E175" s="151">
        <f ca="1">OFFSET(INDEX(Composições!A:H,MATCH(Orçamentária!A175,Composições!A:A,0),8),2,0)</f>
        <v>40.865964750000003</v>
      </c>
      <c r="F175" s="152">
        <f t="shared" ca="1" si="8"/>
        <v>0</v>
      </c>
      <c r="G175" s="153">
        <f>IF($K175="Padrão",BDI!$B$17,IF($K175="Diferenciado",BDI!$E$17,0))</f>
        <v>0.2039</v>
      </c>
      <c r="H175" s="151">
        <f t="shared" ca="1" si="6"/>
        <v>49.2</v>
      </c>
      <c r="I175" s="152">
        <f t="shared" ca="1" si="7"/>
        <v>0</v>
      </c>
      <c r="J175" s="154"/>
      <c r="K175" s="155" t="s">
        <v>2966</v>
      </c>
    </row>
    <row r="176" spans="1:11" hidden="1" x14ac:dyDescent="0.25">
      <c r="A176" s="148" t="s">
        <v>216</v>
      </c>
      <c r="B176" s="149" t="s">
        <v>3178</v>
      </c>
      <c r="C176" s="150" t="s">
        <v>106</v>
      </c>
      <c r="D176" s="150">
        <v>0</v>
      </c>
      <c r="E176" s="151">
        <f ca="1">OFFSET(INDEX(Composições!A:H,MATCH(Orçamentária!A176,Composições!A:A,0),8),2,0)</f>
        <v>5.9344732999999996</v>
      </c>
      <c r="F176" s="152">
        <f t="shared" ca="1" si="8"/>
        <v>0</v>
      </c>
      <c r="G176" s="153">
        <f>IF($K176="Padrão",BDI!$B$17,IF($K176="Diferenciado",BDI!$E$17,0))</f>
        <v>0.2039</v>
      </c>
      <c r="H176" s="151">
        <f t="shared" ca="1" si="6"/>
        <v>7.14</v>
      </c>
      <c r="I176" s="152">
        <f t="shared" ca="1" si="7"/>
        <v>0</v>
      </c>
      <c r="J176" s="154"/>
      <c r="K176" s="155" t="s">
        <v>2966</v>
      </c>
    </row>
    <row r="177" spans="1:11" hidden="1" x14ac:dyDescent="0.25">
      <c r="A177" s="148" t="s">
        <v>217</v>
      </c>
      <c r="B177" s="149" t="s">
        <v>3179</v>
      </c>
      <c r="C177" s="150" t="s">
        <v>106</v>
      </c>
      <c r="D177" s="150">
        <v>0</v>
      </c>
      <c r="E177" s="151">
        <f ca="1">OFFSET(INDEX(Composições!A:H,MATCH(Orçamentária!A177,Composições!A:A,0),8),2,0)</f>
        <v>11.700893499999999</v>
      </c>
      <c r="F177" s="152">
        <f t="shared" ca="1" si="8"/>
        <v>0</v>
      </c>
      <c r="G177" s="153">
        <f>IF($K177="Padrão",BDI!$B$17,IF($K177="Diferenciado",BDI!$E$17,0))</f>
        <v>0.2039</v>
      </c>
      <c r="H177" s="151">
        <f t="shared" ca="1" si="6"/>
        <v>14.09</v>
      </c>
      <c r="I177" s="152">
        <f t="shared" ca="1" si="7"/>
        <v>0</v>
      </c>
      <c r="J177" s="154"/>
      <c r="K177" s="155" t="s">
        <v>2966</v>
      </c>
    </row>
    <row r="178" spans="1:11" hidden="1" x14ac:dyDescent="0.25">
      <c r="A178" s="148" t="s">
        <v>218</v>
      </c>
      <c r="B178" s="149" t="s">
        <v>3180</v>
      </c>
      <c r="C178" s="150" t="s">
        <v>106</v>
      </c>
      <c r="D178" s="150">
        <v>0</v>
      </c>
      <c r="E178" s="151">
        <f ca="1">OFFSET(INDEX(Composições!A:H,MATCH(Orçamentária!A178,Composições!A:A,0),8),2,0)</f>
        <v>17.993741</v>
      </c>
      <c r="F178" s="152">
        <f t="shared" ca="1" si="8"/>
        <v>0</v>
      </c>
      <c r="G178" s="153">
        <f>IF($K178="Padrão",BDI!$B$17,IF($K178="Diferenciado",BDI!$E$17,0))</f>
        <v>0.2039</v>
      </c>
      <c r="H178" s="151">
        <f t="shared" ca="1" si="6"/>
        <v>21.66</v>
      </c>
      <c r="I178" s="152">
        <f t="shared" ca="1" si="7"/>
        <v>0</v>
      </c>
      <c r="J178" s="154"/>
      <c r="K178" s="155" t="s">
        <v>2966</v>
      </c>
    </row>
    <row r="179" spans="1:11" hidden="1" x14ac:dyDescent="0.25">
      <c r="A179" s="148" t="s">
        <v>219</v>
      </c>
      <c r="B179" s="149" t="s">
        <v>3181</v>
      </c>
      <c r="C179" s="150" t="s">
        <v>106</v>
      </c>
      <c r="D179" s="150">
        <v>0</v>
      </c>
      <c r="E179" s="151">
        <f ca="1">OFFSET(INDEX(Composições!A:H,MATCH(Orçamentária!A179,Composições!A:A,0),8),2,0)</f>
        <v>19.882664000000002</v>
      </c>
      <c r="F179" s="152">
        <f t="shared" ca="1" si="8"/>
        <v>0</v>
      </c>
      <c r="G179" s="153">
        <f>IF($K179="Padrão",BDI!$B$17,IF($K179="Diferenciado",BDI!$E$17,0))</f>
        <v>0.2039</v>
      </c>
      <c r="H179" s="151">
        <f t="shared" ca="1" si="6"/>
        <v>23.94</v>
      </c>
      <c r="I179" s="152">
        <f t="shared" ca="1" si="7"/>
        <v>0</v>
      </c>
      <c r="J179" s="154"/>
      <c r="K179" s="155" t="s">
        <v>2966</v>
      </c>
    </row>
    <row r="180" spans="1:11" hidden="1" x14ac:dyDescent="0.25">
      <c r="A180" s="148" t="s">
        <v>220</v>
      </c>
      <c r="B180" s="149" t="s">
        <v>3182</v>
      </c>
      <c r="C180" s="150" t="s">
        <v>18</v>
      </c>
      <c r="D180" s="150">
        <v>0</v>
      </c>
      <c r="E180" s="151">
        <f ca="1">OFFSET(INDEX(Composições!A:H,MATCH(Orçamentária!A180,Composições!A:A,0),8),2,0)</f>
        <v>12.180195100000001</v>
      </c>
      <c r="F180" s="152">
        <f t="shared" ca="1" si="8"/>
        <v>0</v>
      </c>
      <c r="G180" s="153">
        <f>IF($K180="Padrão",BDI!$B$17,IF($K180="Diferenciado",BDI!$E$17,0))</f>
        <v>0.2039</v>
      </c>
      <c r="H180" s="151">
        <f t="shared" ca="1" si="6"/>
        <v>14.66</v>
      </c>
      <c r="I180" s="152">
        <f t="shared" ca="1" si="7"/>
        <v>0</v>
      </c>
      <c r="J180" s="154"/>
      <c r="K180" s="155" t="s">
        <v>2966</v>
      </c>
    </row>
    <row r="181" spans="1:11" hidden="1" x14ac:dyDescent="0.25">
      <c r="A181" s="148" t="s">
        <v>222</v>
      </c>
      <c r="B181" s="149" t="s">
        <v>3183</v>
      </c>
      <c r="C181" s="150" t="s">
        <v>18</v>
      </c>
      <c r="D181" s="150">
        <v>0</v>
      </c>
      <c r="E181" s="151">
        <f ca="1">OFFSET(INDEX(Composições!A:H,MATCH(Orçamentária!A181,Composições!A:A,0),8),2,0)</f>
        <v>129.68576729999998</v>
      </c>
      <c r="F181" s="152">
        <f t="shared" ca="1" si="8"/>
        <v>0</v>
      </c>
      <c r="G181" s="153">
        <f>IF($K181="Padrão",BDI!$B$17,IF($K181="Diferenciado",BDI!$E$17,0))</f>
        <v>0.2039</v>
      </c>
      <c r="H181" s="151">
        <f t="shared" ca="1" si="6"/>
        <v>156.13</v>
      </c>
      <c r="I181" s="152">
        <f t="shared" ca="1" si="7"/>
        <v>0</v>
      </c>
      <c r="J181" s="154"/>
      <c r="K181" s="155" t="s">
        <v>2966</v>
      </c>
    </row>
    <row r="182" spans="1:11" hidden="1" x14ac:dyDescent="0.25">
      <c r="A182" s="148" t="s">
        <v>223</v>
      </c>
      <c r="B182" s="149" t="s">
        <v>3184</v>
      </c>
      <c r="C182" s="150" t="s">
        <v>18</v>
      </c>
      <c r="D182" s="150">
        <v>0</v>
      </c>
      <c r="E182" s="151">
        <f ca="1">OFFSET(INDEX(Composições!A:H,MATCH(Orçamentária!A182,Composições!A:A,0),8),2,0)</f>
        <v>172.18876730000002</v>
      </c>
      <c r="F182" s="152">
        <f t="shared" ca="1" si="8"/>
        <v>0</v>
      </c>
      <c r="G182" s="153">
        <f>IF($K182="Padrão",BDI!$B$17,IF($K182="Diferenciado",BDI!$E$17,0))</f>
        <v>0.2039</v>
      </c>
      <c r="H182" s="151">
        <f t="shared" ca="1" si="6"/>
        <v>207.3</v>
      </c>
      <c r="I182" s="152">
        <f t="shared" ca="1" si="7"/>
        <v>0</v>
      </c>
      <c r="J182" s="154"/>
      <c r="K182" s="155" t="s">
        <v>2966</v>
      </c>
    </row>
    <row r="183" spans="1:11" hidden="1" x14ac:dyDescent="0.25">
      <c r="A183" s="148" t="s">
        <v>224</v>
      </c>
      <c r="B183" s="149" t="s">
        <v>3185</v>
      </c>
      <c r="C183" s="150" t="s">
        <v>18</v>
      </c>
      <c r="D183" s="150">
        <v>0</v>
      </c>
      <c r="E183" s="151">
        <f ca="1">OFFSET(INDEX(Composições!A:H,MATCH(Orçamentária!A183,Composições!A:A,0),8),2,0)</f>
        <v>3.5539499999999999</v>
      </c>
      <c r="F183" s="152">
        <f t="shared" ca="1" si="8"/>
        <v>0</v>
      </c>
      <c r="G183" s="153">
        <f>IF($K183="Padrão",BDI!$B$17,IF($K183="Diferenciado",BDI!$E$17,0))</f>
        <v>0.2039</v>
      </c>
      <c r="H183" s="151">
        <f t="shared" ca="1" si="6"/>
        <v>4.28</v>
      </c>
      <c r="I183" s="152">
        <f t="shared" ca="1" si="7"/>
        <v>0</v>
      </c>
      <c r="J183" s="154"/>
      <c r="K183" s="155" t="s">
        <v>2966</v>
      </c>
    </row>
    <row r="184" spans="1:11" hidden="1" x14ac:dyDescent="0.25">
      <c r="A184" s="148" t="s">
        <v>226</v>
      </c>
      <c r="B184" s="149" t="s">
        <v>3186</v>
      </c>
      <c r="C184" s="150" t="s">
        <v>18</v>
      </c>
      <c r="D184" s="150">
        <v>0</v>
      </c>
      <c r="E184" s="151">
        <f ca="1">OFFSET(INDEX(Composições!A:H,MATCH(Orçamentária!A184,Composições!A:A,0),8),2,0)</f>
        <v>3.5539499999999999</v>
      </c>
      <c r="F184" s="152">
        <f t="shared" ca="1" si="8"/>
        <v>0</v>
      </c>
      <c r="G184" s="153">
        <f>IF($K184="Padrão",BDI!$B$17,IF($K184="Diferenciado",BDI!$E$17,0))</f>
        <v>0.2039</v>
      </c>
      <c r="H184" s="151">
        <f t="shared" ca="1" si="6"/>
        <v>4.28</v>
      </c>
      <c r="I184" s="152">
        <f t="shared" ca="1" si="7"/>
        <v>0</v>
      </c>
      <c r="J184" s="154"/>
      <c r="K184" s="155" t="s">
        <v>2966</v>
      </c>
    </row>
    <row r="185" spans="1:11" hidden="1" x14ac:dyDescent="0.25">
      <c r="A185" s="148" t="s">
        <v>228</v>
      </c>
      <c r="B185" s="149" t="s">
        <v>3187</v>
      </c>
      <c r="C185" s="150" t="s">
        <v>18</v>
      </c>
      <c r="D185" s="150">
        <v>0</v>
      </c>
      <c r="E185" s="151">
        <f ca="1">OFFSET(INDEX(Composições!A:H,MATCH(Orçamentária!A185,Composições!A:A,0),8),2,0)</f>
        <v>22.482205999999998</v>
      </c>
      <c r="F185" s="152">
        <f t="shared" ca="1" si="8"/>
        <v>0</v>
      </c>
      <c r="G185" s="153">
        <f>IF($K185="Padrão",BDI!$B$17,IF($K185="Diferenciado",BDI!$E$17,0))</f>
        <v>0.2039</v>
      </c>
      <c r="H185" s="151">
        <f t="shared" ca="1" si="6"/>
        <v>27.07</v>
      </c>
      <c r="I185" s="152">
        <f t="shared" ca="1" si="7"/>
        <v>0</v>
      </c>
      <c r="J185" s="154"/>
      <c r="K185" s="155" t="s">
        <v>2966</v>
      </c>
    </row>
    <row r="186" spans="1:11" hidden="1" x14ac:dyDescent="0.25">
      <c r="A186" s="148" t="s">
        <v>229</v>
      </c>
      <c r="B186" s="149" t="s">
        <v>3188</v>
      </c>
      <c r="C186" s="150" t="s">
        <v>18</v>
      </c>
      <c r="D186" s="150">
        <v>0</v>
      </c>
      <c r="E186" s="151">
        <f ca="1">OFFSET(INDEX(Composições!A:H,MATCH(Orçamentária!A186,Composições!A:A,0),8),2,0)</f>
        <v>2.3693000000000004</v>
      </c>
      <c r="F186" s="152">
        <f t="shared" ca="1" si="8"/>
        <v>0</v>
      </c>
      <c r="G186" s="153">
        <f>IF($K186="Padrão",BDI!$B$17,IF($K186="Diferenciado",BDI!$E$17,0))</f>
        <v>0.2039</v>
      </c>
      <c r="H186" s="151">
        <f t="shared" ca="1" si="6"/>
        <v>2.85</v>
      </c>
      <c r="I186" s="152">
        <f t="shared" ca="1" si="7"/>
        <v>0</v>
      </c>
      <c r="J186" s="154"/>
      <c r="K186" s="155" t="s">
        <v>2966</v>
      </c>
    </row>
    <row r="187" spans="1:11" hidden="1" x14ac:dyDescent="0.25">
      <c r="A187" s="148" t="s">
        <v>231</v>
      </c>
      <c r="B187" s="149" t="s">
        <v>3189</v>
      </c>
      <c r="C187" s="150" t="s">
        <v>18</v>
      </c>
      <c r="D187" s="150">
        <v>0</v>
      </c>
      <c r="E187" s="151">
        <f ca="1">OFFSET(INDEX(Composições!A:H,MATCH(Orçamentária!A187,Composições!A:A,0),8),2,0)</f>
        <v>279.08199589999998</v>
      </c>
      <c r="F187" s="152">
        <f t="shared" ca="1" si="8"/>
        <v>0</v>
      </c>
      <c r="G187" s="153">
        <f>IF($K187="Padrão",BDI!$B$17,IF($K187="Diferenciado",BDI!$E$17,0))</f>
        <v>0.2039</v>
      </c>
      <c r="H187" s="151">
        <f t="shared" ca="1" si="6"/>
        <v>335.99</v>
      </c>
      <c r="I187" s="152">
        <f t="shared" ca="1" si="7"/>
        <v>0</v>
      </c>
      <c r="J187" s="154"/>
      <c r="K187" s="155" t="s">
        <v>2966</v>
      </c>
    </row>
    <row r="188" spans="1:11" hidden="1" x14ac:dyDescent="0.25">
      <c r="A188" s="148" t="s">
        <v>232</v>
      </c>
      <c r="B188" s="149" t="s">
        <v>3190</v>
      </c>
      <c r="C188" s="150" t="s">
        <v>18</v>
      </c>
      <c r="D188" s="150">
        <v>0</v>
      </c>
      <c r="E188" s="151">
        <f ca="1">OFFSET(INDEX(Composições!A:H,MATCH(Orçamentária!A188,Composições!A:A,0),8),2,0)</f>
        <v>84.426995899999994</v>
      </c>
      <c r="F188" s="152">
        <f t="shared" ca="1" si="8"/>
        <v>0</v>
      </c>
      <c r="G188" s="153">
        <f>IF($K188="Padrão",BDI!$B$17,IF($K188="Diferenciado",BDI!$E$17,0))</f>
        <v>0.2039</v>
      </c>
      <c r="H188" s="151">
        <f t="shared" ca="1" si="6"/>
        <v>101.64</v>
      </c>
      <c r="I188" s="152">
        <f t="shared" ca="1" si="7"/>
        <v>0</v>
      </c>
      <c r="J188" s="154"/>
      <c r="K188" s="155" t="s">
        <v>2966</v>
      </c>
    </row>
    <row r="189" spans="1:11" hidden="1" x14ac:dyDescent="0.25">
      <c r="A189" s="148" t="s">
        <v>234</v>
      </c>
      <c r="B189" s="149" t="s">
        <v>3191</v>
      </c>
      <c r="C189" s="150" t="s">
        <v>18</v>
      </c>
      <c r="D189" s="150">
        <v>0</v>
      </c>
      <c r="E189" s="151">
        <f ca="1">OFFSET(INDEX(Composições!A:H,MATCH(Orçamentária!A189,Composições!A:A,0),8),2,0)</f>
        <v>47.102183699999998</v>
      </c>
      <c r="F189" s="152">
        <f t="shared" ca="1" si="8"/>
        <v>0</v>
      </c>
      <c r="G189" s="153">
        <f>IF($K189="Padrão",BDI!$B$17,IF($K189="Diferenciado",BDI!$E$17,0))</f>
        <v>0.2039</v>
      </c>
      <c r="H189" s="151">
        <f t="shared" ca="1" si="6"/>
        <v>56.71</v>
      </c>
      <c r="I189" s="152">
        <f t="shared" ca="1" si="7"/>
        <v>0</v>
      </c>
      <c r="J189" s="154"/>
      <c r="K189" s="155" t="s">
        <v>2966</v>
      </c>
    </row>
    <row r="190" spans="1:11" hidden="1" x14ac:dyDescent="0.25">
      <c r="A190" s="148" t="s">
        <v>236</v>
      </c>
      <c r="B190" s="149" t="s">
        <v>3192</v>
      </c>
      <c r="C190" s="150" t="s">
        <v>18</v>
      </c>
      <c r="D190" s="150">
        <v>0</v>
      </c>
      <c r="E190" s="151">
        <f ca="1">OFFSET(INDEX(Composições!A:H,MATCH(Orçamentária!A190,Composições!A:A,0),8),2,0)</f>
        <v>26.582470599999997</v>
      </c>
      <c r="F190" s="152">
        <f t="shared" ca="1" si="8"/>
        <v>0</v>
      </c>
      <c r="G190" s="153">
        <f>IF($K190="Padrão",BDI!$B$17,IF($K190="Diferenciado",BDI!$E$17,0))</f>
        <v>0.2039</v>
      </c>
      <c r="H190" s="151">
        <f t="shared" ca="1" si="6"/>
        <v>32</v>
      </c>
      <c r="I190" s="152">
        <f t="shared" ca="1" si="7"/>
        <v>0</v>
      </c>
      <c r="J190" s="154"/>
      <c r="K190" s="155" t="s">
        <v>2966</v>
      </c>
    </row>
    <row r="191" spans="1:11" hidden="1" x14ac:dyDescent="0.25">
      <c r="A191" s="148" t="s">
        <v>238</v>
      </c>
      <c r="B191" s="149" t="s">
        <v>3193</v>
      </c>
      <c r="C191" s="150" t="s">
        <v>18</v>
      </c>
      <c r="D191" s="150">
        <v>0</v>
      </c>
      <c r="E191" s="151">
        <f ca="1">OFFSET(INDEX(Composições!A:H,MATCH(Orçamentária!A191,Composições!A:A,0),8),2,0)</f>
        <v>47.102183699999998</v>
      </c>
      <c r="F191" s="152">
        <f t="shared" ca="1" si="8"/>
        <v>0</v>
      </c>
      <c r="G191" s="153">
        <f>IF($K191="Padrão",BDI!$B$17,IF($K191="Diferenciado",BDI!$E$17,0))</f>
        <v>0.2039</v>
      </c>
      <c r="H191" s="151">
        <f t="shared" ca="1" si="6"/>
        <v>56.71</v>
      </c>
      <c r="I191" s="152">
        <f t="shared" ca="1" si="7"/>
        <v>0</v>
      </c>
      <c r="J191" s="154"/>
      <c r="K191" s="155" t="s">
        <v>2966</v>
      </c>
    </row>
    <row r="192" spans="1:11" hidden="1" x14ac:dyDescent="0.25">
      <c r="A192" s="148" t="s">
        <v>240</v>
      </c>
      <c r="B192" s="149" t="s">
        <v>3194</v>
      </c>
      <c r="C192" s="150" t="s">
        <v>18</v>
      </c>
      <c r="D192" s="150">
        <v>0</v>
      </c>
      <c r="E192" s="151">
        <f ca="1">OFFSET(INDEX(Composições!A:H,MATCH(Orçamentária!A192,Composições!A:A,0),8),2,0)</f>
        <v>47.65730099999999</v>
      </c>
      <c r="F192" s="152">
        <f t="shared" ca="1" si="8"/>
        <v>0</v>
      </c>
      <c r="G192" s="153">
        <f>IF($K192="Padrão",BDI!$B$17,IF($K192="Diferenciado",BDI!$E$17,0))</f>
        <v>0.2039</v>
      </c>
      <c r="H192" s="151">
        <f t="shared" ca="1" si="6"/>
        <v>57.37</v>
      </c>
      <c r="I192" s="152">
        <f t="shared" ca="1" si="7"/>
        <v>0</v>
      </c>
      <c r="J192" s="154"/>
      <c r="K192" s="155" t="s">
        <v>2966</v>
      </c>
    </row>
    <row r="193" spans="1:11" hidden="1" x14ac:dyDescent="0.25">
      <c r="A193" s="148" t="s">
        <v>241</v>
      </c>
      <c r="B193" s="149" t="s">
        <v>3195</v>
      </c>
      <c r="C193" s="150" t="s">
        <v>18</v>
      </c>
      <c r="D193" s="150">
        <v>0</v>
      </c>
      <c r="E193" s="151">
        <f ca="1">OFFSET(INDEX(Composições!A:H,MATCH(Orçamentária!A193,Composições!A:A,0),8),2,0)</f>
        <v>48.490450999999993</v>
      </c>
      <c r="F193" s="152">
        <f t="shared" ca="1" si="8"/>
        <v>0</v>
      </c>
      <c r="G193" s="153">
        <f>IF($K193="Padrão",BDI!$B$17,IF($K193="Diferenciado",BDI!$E$17,0))</f>
        <v>0.2039</v>
      </c>
      <c r="H193" s="151">
        <f t="shared" ca="1" si="6"/>
        <v>58.38</v>
      </c>
      <c r="I193" s="152">
        <f t="shared" ca="1" si="7"/>
        <v>0</v>
      </c>
      <c r="J193" s="154"/>
      <c r="K193" s="155" t="s">
        <v>2966</v>
      </c>
    </row>
    <row r="194" spans="1:11" hidden="1" x14ac:dyDescent="0.25">
      <c r="A194" s="148" t="s">
        <v>243</v>
      </c>
      <c r="B194" s="149" t="s">
        <v>3196</v>
      </c>
      <c r="C194" s="150" t="s">
        <v>18</v>
      </c>
      <c r="D194" s="150">
        <v>0</v>
      </c>
      <c r="E194" s="151">
        <f ca="1">OFFSET(INDEX(Composições!A:H,MATCH(Orçamentária!A194,Composições!A:A,0),8),2,0)</f>
        <v>84.426995899999994</v>
      </c>
      <c r="F194" s="152">
        <f t="shared" ca="1" si="8"/>
        <v>0</v>
      </c>
      <c r="G194" s="153">
        <f>IF($K194="Padrão",BDI!$B$17,IF($K194="Diferenciado",BDI!$E$17,0))</f>
        <v>0.2039</v>
      </c>
      <c r="H194" s="151">
        <f t="shared" ca="1" si="6"/>
        <v>101.64</v>
      </c>
      <c r="I194" s="152">
        <f t="shared" ca="1" si="7"/>
        <v>0</v>
      </c>
      <c r="J194" s="154"/>
      <c r="K194" s="155" t="s">
        <v>2966</v>
      </c>
    </row>
    <row r="195" spans="1:11" hidden="1" x14ac:dyDescent="0.25">
      <c r="A195" s="148" t="s">
        <v>244</v>
      </c>
      <c r="B195" s="149" t="s">
        <v>3197</v>
      </c>
      <c r="C195" s="150" t="s">
        <v>18</v>
      </c>
      <c r="D195" s="150">
        <v>0</v>
      </c>
      <c r="E195" s="151">
        <f ca="1">OFFSET(INDEX(Composições!A:H,MATCH(Orçamentária!A195,Composições!A:A,0),8),2,0)</f>
        <v>135.779301</v>
      </c>
      <c r="F195" s="152">
        <f t="shared" ca="1" si="8"/>
        <v>0</v>
      </c>
      <c r="G195" s="153">
        <f>IF($K195="Padrão",BDI!$B$17,IF($K195="Diferenciado",BDI!$E$17,0))</f>
        <v>0.2039</v>
      </c>
      <c r="H195" s="151">
        <f t="shared" ca="1" si="6"/>
        <v>163.46</v>
      </c>
      <c r="I195" s="152">
        <f t="shared" ca="1" si="7"/>
        <v>0</v>
      </c>
      <c r="J195" s="154"/>
      <c r="K195" s="155" t="s">
        <v>2966</v>
      </c>
    </row>
    <row r="196" spans="1:11" hidden="1" x14ac:dyDescent="0.25">
      <c r="A196" s="148" t="s">
        <v>245</v>
      </c>
      <c r="B196" s="149" t="s">
        <v>3198</v>
      </c>
      <c r="C196" s="150" t="s">
        <v>18</v>
      </c>
      <c r="D196" s="150">
        <v>0</v>
      </c>
      <c r="E196" s="151">
        <f ca="1">OFFSET(INDEX(Composições!A:H,MATCH(Orçamentária!A196,Composições!A:A,0),8),2,0)</f>
        <v>387.39345100000003</v>
      </c>
      <c r="F196" s="152">
        <f t="shared" ca="1" si="8"/>
        <v>0</v>
      </c>
      <c r="G196" s="153">
        <f>IF($K196="Padrão",BDI!$B$17,IF($K196="Diferenciado",BDI!$E$17,0))</f>
        <v>0.2039</v>
      </c>
      <c r="H196" s="151">
        <f t="shared" ca="1" si="6"/>
        <v>466.38</v>
      </c>
      <c r="I196" s="152">
        <f t="shared" ca="1" si="7"/>
        <v>0</v>
      </c>
      <c r="J196" s="154"/>
      <c r="K196" s="155" t="s">
        <v>2966</v>
      </c>
    </row>
    <row r="197" spans="1:11" hidden="1" x14ac:dyDescent="0.25">
      <c r="A197" s="148" t="s">
        <v>246</v>
      </c>
      <c r="B197" s="149" t="s">
        <v>3199</v>
      </c>
      <c r="C197" s="150" t="s">
        <v>18</v>
      </c>
      <c r="D197" s="150">
        <v>0</v>
      </c>
      <c r="E197" s="151">
        <f ca="1">OFFSET(INDEX(Composições!A:H,MATCH(Orçamentária!A197,Composições!A:A,0),8),2,0)</f>
        <v>94.455440999999993</v>
      </c>
      <c r="F197" s="152">
        <f t="shared" ca="1" si="8"/>
        <v>0</v>
      </c>
      <c r="G197" s="153">
        <f>IF($K197="Padrão",BDI!$B$17,IF($K197="Diferenciado",BDI!$E$17,0))</f>
        <v>0.2039</v>
      </c>
      <c r="H197" s="151">
        <f t="shared" ca="1" si="6"/>
        <v>113.71</v>
      </c>
      <c r="I197" s="152">
        <f t="shared" ca="1" si="7"/>
        <v>0</v>
      </c>
      <c r="J197" s="154"/>
      <c r="K197" s="155" t="s">
        <v>2966</v>
      </c>
    </row>
    <row r="198" spans="1:11" hidden="1" x14ac:dyDescent="0.25">
      <c r="A198" s="148" t="s">
        <v>248</v>
      </c>
      <c r="B198" s="149" t="s">
        <v>3200</v>
      </c>
      <c r="C198" s="150" t="s">
        <v>18</v>
      </c>
      <c r="D198" s="150">
        <v>0</v>
      </c>
      <c r="E198" s="151">
        <f ca="1">OFFSET(INDEX(Composições!A:H,MATCH(Orçamentária!A198,Composições!A:A,0),8),2,0)</f>
        <v>2.42896</v>
      </c>
      <c r="F198" s="152">
        <f t="shared" ca="1" si="8"/>
        <v>0</v>
      </c>
      <c r="G198" s="153">
        <f>IF($K198="Padrão",BDI!$B$17,IF($K198="Diferenciado",BDI!$E$17,0))</f>
        <v>0.2039</v>
      </c>
      <c r="H198" s="151">
        <f t="shared" ref="H198:H261" ca="1" si="9">IF(ISNUMBER(E198),ROUND(E198*(1+G198),2),"")</f>
        <v>2.92</v>
      </c>
      <c r="I198" s="152">
        <f t="shared" ref="I198:I261" ca="1" si="10">IF(ISNUMBER(E198),ROUND(H198*D198,2),"")</f>
        <v>0</v>
      </c>
      <c r="J198" s="154"/>
      <c r="K198" s="155" t="s">
        <v>2966</v>
      </c>
    </row>
    <row r="199" spans="1:11" hidden="1" x14ac:dyDescent="0.25">
      <c r="A199" s="148" t="s">
        <v>250</v>
      </c>
      <c r="B199" s="149" t="s">
        <v>3201</v>
      </c>
      <c r="C199" s="150" t="s">
        <v>18</v>
      </c>
      <c r="D199" s="150">
        <v>0</v>
      </c>
      <c r="E199" s="151">
        <f ca="1">OFFSET(INDEX(Composições!A:H,MATCH(Orçamentária!A199,Composições!A:A,0),8),2,0)</f>
        <v>2.42896</v>
      </c>
      <c r="F199" s="152">
        <f t="shared" ref="F199:F262" ca="1" si="11">IF(ISNUMBER(E199),D199*E199,"")</f>
        <v>0</v>
      </c>
      <c r="G199" s="153">
        <f>IF($K199="Padrão",BDI!$B$17,IF($K199="Diferenciado",BDI!$E$17,0))</f>
        <v>0.2039</v>
      </c>
      <c r="H199" s="151">
        <f t="shared" ca="1" si="9"/>
        <v>2.92</v>
      </c>
      <c r="I199" s="152">
        <f t="shared" ca="1" si="10"/>
        <v>0</v>
      </c>
      <c r="J199" s="154"/>
      <c r="K199" s="155" t="s">
        <v>2966</v>
      </c>
    </row>
    <row r="200" spans="1:11" hidden="1" x14ac:dyDescent="0.25">
      <c r="A200" s="148" t="s">
        <v>252</v>
      </c>
      <c r="B200" s="149" t="s">
        <v>3202</v>
      </c>
      <c r="C200" s="150" t="s">
        <v>18</v>
      </c>
      <c r="D200" s="150">
        <v>0</v>
      </c>
      <c r="E200" s="151">
        <f ca="1">OFFSET(INDEX(Composições!A:H,MATCH(Orçamentária!A200,Composições!A:A,0),8),2,0)</f>
        <v>27.179499999999997</v>
      </c>
      <c r="F200" s="152">
        <f t="shared" ca="1" si="11"/>
        <v>0</v>
      </c>
      <c r="G200" s="153">
        <f>IF($K200="Padrão",BDI!$B$17,IF($K200="Diferenciado",BDI!$E$17,0))</f>
        <v>0.2039</v>
      </c>
      <c r="H200" s="151">
        <f t="shared" ca="1" si="9"/>
        <v>32.72</v>
      </c>
      <c r="I200" s="152">
        <f t="shared" ca="1" si="10"/>
        <v>0</v>
      </c>
      <c r="J200" s="154"/>
      <c r="K200" s="155" t="s">
        <v>2966</v>
      </c>
    </row>
    <row r="201" spans="1:11" hidden="1" x14ac:dyDescent="0.25">
      <c r="A201" s="148" t="s">
        <v>254</v>
      </c>
      <c r="B201" s="149" t="s">
        <v>3203</v>
      </c>
      <c r="C201" s="150" t="s">
        <v>18</v>
      </c>
      <c r="D201" s="150">
        <v>0</v>
      </c>
      <c r="E201" s="151">
        <f ca="1">OFFSET(INDEX(Composições!A:H,MATCH(Orçamentária!A201,Composições!A:A,0),8),2,0)</f>
        <v>11.990565599999998</v>
      </c>
      <c r="F201" s="152">
        <f t="shared" ca="1" si="11"/>
        <v>0</v>
      </c>
      <c r="G201" s="153">
        <f>IF($K201="Padrão",BDI!$B$17,IF($K201="Diferenciado",BDI!$E$17,0))</f>
        <v>0.2039</v>
      </c>
      <c r="H201" s="151">
        <f t="shared" ca="1" si="9"/>
        <v>14.44</v>
      </c>
      <c r="I201" s="152">
        <f t="shared" ca="1" si="10"/>
        <v>0</v>
      </c>
      <c r="J201" s="154"/>
      <c r="K201" s="155" t="s">
        <v>2966</v>
      </c>
    </row>
    <row r="202" spans="1:11" hidden="1" x14ac:dyDescent="0.25">
      <c r="A202" s="148" t="s">
        <v>255</v>
      </c>
      <c r="B202" s="149" t="s">
        <v>3204</v>
      </c>
      <c r="C202" s="150" t="s">
        <v>18</v>
      </c>
      <c r="D202" s="150">
        <v>0</v>
      </c>
      <c r="E202" s="151">
        <f ca="1">OFFSET(INDEX(Composições!A:H,MATCH(Orçamentária!A202,Composições!A:A,0),8),2,0)</f>
        <v>39.885274999999993</v>
      </c>
      <c r="F202" s="152">
        <f t="shared" ca="1" si="11"/>
        <v>0</v>
      </c>
      <c r="G202" s="153">
        <f>IF($K202="Padrão",BDI!$B$17,IF($K202="Diferenciado",BDI!$E$17,0))</f>
        <v>0.2039</v>
      </c>
      <c r="H202" s="151">
        <f t="shared" ca="1" si="9"/>
        <v>48.02</v>
      </c>
      <c r="I202" s="152">
        <f t="shared" ca="1" si="10"/>
        <v>0</v>
      </c>
      <c r="J202" s="154"/>
      <c r="K202" s="155" t="s">
        <v>2966</v>
      </c>
    </row>
    <row r="203" spans="1:11" hidden="1" x14ac:dyDescent="0.25">
      <c r="A203" s="148" t="s">
        <v>256</v>
      </c>
      <c r="B203" s="149" t="s">
        <v>3205</v>
      </c>
      <c r="C203" s="150" t="s">
        <v>18</v>
      </c>
      <c r="D203" s="150">
        <v>0</v>
      </c>
      <c r="E203" s="151">
        <f ca="1">OFFSET(INDEX(Composições!A:H,MATCH(Orçamentária!A203,Composições!A:A,0),8),2,0)</f>
        <v>10.475775399999998</v>
      </c>
      <c r="F203" s="152">
        <f t="shared" ca="1" si="11"/>
        <v>0</v>
      </c>
      <c r="G203" s="153">
        <f>IF($K203="Padrão",BDI!$B$17,IF($K203="Diferenciado",BDI!$E$17,0))</f>
        <v>0.2039</v>
      </c>
      <c r="H203" s="151">
        <f t="shared" ca="1" si="9"/>
        <v>12.61</v>
      </c>
      <c r="I203" s="152">
        <f t="shared" ca="1" si="10"/>
        <v>0</v>
      </c>
      <c r="J203" s="154"/>
      <c r="K203" s="155" t="s">
        <v>2966</v>
      </c>
    </row>
    <row r="204" spans="1:11" hidden="1" x14ac:dyDescent="0.25">
      <c r="A204" s="148" t="s">
        <v>258</v>
      </c>
      <c r="B204" s="149" t="s">
        <v>3206</v>
      </c>
      <c r="C204" s="150" t="s">
        <v>18</v>
      </c>
      <c r="D204" s="150">
        <v>0</v>
      </c>
      <c r="E204" s="151">
        <f ca="1">OFFSET(INDEX(Composições!A:H,MATCH(Orçamentária!A204,Composições!A:A,0),8),2,0)</f>
        <v>146.23077539999997</v>
      </c>
      <c r="F204" s="152">
        <f t="shared" ca="1" si="11"/>
        <v>0</v>
      </c>
      <c r="G204" s="153">
        <f>IF($K204="Padrão",BDI!$B$17,IF($K204="Diferenciado",BDI!$E$17,0))</f>
        <v>0.2039</v>
      </c>
      <c r="H204" s="151">
        <f t="shared" ca="1" si="9"/>
        <v>176.05</v>
      </c>
      <c r="I204" s="152">
        <f t="shared" ca="1" si="10"/>
        <v>0</v>
      </c>
      <c r="J204" s="154"/>
      <c r="K204" s="155" t="s">
        <v>2966</v>
      </c>
    </row>
    <row r="205" spans="1:11" hidden="1" x14ac:dyDescent="0.25">
      <c r="A205" s="148" t="s">
        <v>259</v>
      </c>
      <c r="B205" s="149" t="s">
        <v>3207</v>
      </c>
      <c r="C205" s="150" t="s">
        <v>18</v>
      </c>
      <c r="D205" s="150">
        <v>0</v>
      </c>
      <c r="E205" s="151">
        <f ca="1">OFFSET(INDEX(Composições!A:H,MATCH(Orçamentária!A205,Composições!A:A,0),8),2,0)</f>
        <v>154.2487754</v>
      </c>
      <c r="F205" s="152">
        <f t="shared" ca="1" si="11"/>
        <v>0</v>
      </c>
      <c r="G205" s="153">
        <f>IF($K205="Padrão",BDI!$B$17,IF($K205="Diferenciado",BDI!$E$17,0))</f>
        <v>0.2039</v>
      </c>
      <c r="H205" s="151">
        <f t="shared" ca="1" si="9"/>
        <v>185.7</v>
      </c>
      <c r="I205" s="152">
        <f t="shared" ca="1" si="10"/>
        <v>0</v>
      </c>
      <c r="J205" s="154"/>
      <c r="K205" s="155" t="s">
        <v>2966</v>
      </c>
    </row>
    <row r="206" spans="1:11" hidden="1" x14ac:dyDescent="0.25">
      <c r="A206" s="148" t="s">
        <v>260</v>
      </c>
      <c r="B206" s="149" t="s">
        <v>3208</v>
      </c>
      <c r="C206" s="150" t="s">
        <v>18</v>
      </c>
      <c r="D206" s="150">
        <v>0</v>
      </c>
      <c r="E206" s="151">
        <f ca="1">OFFSET(INDEX(Composições!A:H,MATCH(Orçamentária!A206,Composições!A:A,0),8),2,0)</f>
        <v>6.3890178999999989</v>
      </c>
      <c r="F206" s="152">
        <f t="shared" ca="1" si="11"/>
        <v>0</v>
      </c>
      <c r="G206" s="153">
        <f>IF($K206="Padrão",BDI!$B$17,IF($K206="Diferenciado",BDI!$E$17,0))</f>
        <v>0.2039</v>
      </c>
      <c r="H206" s="151">
        <f t="shared" ca="1" si="9"/>
        <v>7.69</v>
      </c>
      <c r="I206" s="152">
        <f t="shared" ca="1" si="10"/>
        <v>0</v>
      </c>
      <c r="J206" s="154"/>
      <c r="K206" s="155" t="s">
        <v>2966</v>
      </c>
    </row>
    <row r="207" spans="1:11" hidden="1" x14ac:dyDescent="0.25">
      <c r="A207" s="148" t="s">
        <v>262</v>
      </c>
      <c r="B207" s="149" t="s">
        <v>3209</v>
      </c>
      <c r="C207" s="150" t="s">
        <v>18</v>
      </c>
      <c r="D207" s="150">
        <v>0</v>
      </c>
      <c r="E207" s="151">
        <f ca="1">OFFSET(INDEX(Composições!A:H,MATCH(Orçamentária!A207,Composições!A:A,0),8),2,0)</f>
        <v>6.3890178999999989</v>
      </c>
      <c r="F207" s="152">
        <f t="shared" ca="1" si="11"/>
        <v>0</v>
      </c>
      <c r="G207" s="153">
        <f>IF($K207="Padrão",BDI!$B$17,IF($K207="Diferenciado",BDI!$E$17,0))</f>
        <v>0.2039</v>
      </c>
      <c r="H207" s="151">
        <f t="shared" ca="1" si="9"/>
        <v>7.69</v>
      </c>
      <c r="I207" s="152">
        <f t="shared" ca="1" si="10"/>
        <v>0</v>
      </c>
      <c r="J207" s="154"/>
      <c r="K207" s="155" t="s">
        <v>2966</v>
      </c>
    </row>
    <row r="208" spans="1:11" hidden="1" x14ac:dyDescent="0.25">
      <c r="A208" s="148" t="s">
        <v>264</v>
      </c>
      <c r="B208" s="149" t="s">
        <v>3210</v>
      </c>
      <c r="C208" s="150" t="s">
        <v>18</v>
      </c>
      <c r="D208" s="150">
        <v>0</v>
      </c>
      <c r="E208" s="151">
        <f ca="1">OFFSET(INDEX(Composições!A:H,MATCH(Orçamentária!A208,Composições!A:A,0),8),2,0)</f>
        <v>3.7164399000000001</v>
      </c>
      <c r="F208" s="152">
        <f t="shared" ca="1" si="11"/>
        <v>0</v>
      </c>
      <c r="G208" s="153">
        <f>IF($K208="Padrão",BDI!$B$17,IF($K208="Diferenciado",BDI!$E$17,0))</f>
        <v>0.2039</v>
      </c>
      <c r="H208" s="151">
        <f t="shared" ca="1" si="9"/>
        <v>4.47</v>
      </c>
      <c r="I208" s="152">
        <f t="shared" ca="1" si="10"/>
        <v>0</v>
      </c>
      <c r="J208" s="154"/>
      <c r="K208" s="155" t="s">
        <v>2966</v>
      </c>
    </row>
    <row r="209" spans="1:11" hidden="1" x14ac:dyDescent="0.25">
      <c r="A209" s="148" t="s">
        <v>266</v>
      </c>
      <c r="B209" s="149" t="s">
        <v>3211</v>
      </c>
      <c r="C209" s="150" t="s">
        <v>18</v>
      </c>
      <c r="D209" s="150">
        <v>0</v>
      </c>
      <c r="E209" s="151">
        <f ca="1">OFFSET(INDEX(Composições!A:H,MATCH(Orçamentária!A209,Composições!A:A,0),8),2,0)</f>
        <v>3.7164399000000001</v>
      </c>
      <c r="F209" s="152">
        <f t="shared" ca="1" si="11"/>
        <v>0</v>
      </c>
      <c r="G209" s="153">
        <f>IF($K209="Padrão",BDI!$B$17,IF($K209="Diferenciado",BDI!$E$17,0))</f>
        <v>0.2039</v>
      </c>
      <c r="H209" s="151">
        <f t="shared" ca="1" si="9"/>
        <v>4.47</v>
      </c>
      <c r="I209" s="152">
        <f t="shared" ca="1" si="10"/>
        <v>0</v>
      </c>
      <c r="J209" s="154"/>
      <c r="K209" s="155" t="s">
        <v>2966</v>
      </c>
    </row>
    <row r="210" spans="1:11" hidden="1" x14ac:dyDescent="0.25">
      <c r="A210" s="148" t="s">
        <v>268</v>
      </c>
      <c r="B210" s="149" t="s">
        <v>3212</v>
      </c>
      <c r="C210" s="150" t="s">
        <v>18</v>
      </c>
      <c r="D210" s="150">
        <v>0</v>
      </c>
      <c r="E210" s="151">
        <f ca="1">OFFSET(INDEX(Composições!A:H,MATCH(Orçamentária!A210,Composições!A:A,0),8),2,0)</f>
        <v>3.7164399000000001</v>
      </c>
      <c r="F210" s="152">
        <f t="shared" ca="1" si="11"/>
        <v>0</v>
      </c>
      <c r="G210" s="153">
        <f>IF($K210="Padrão",BDI!$B$17,IF($K210="Diferenciado",BDI!$E$17,0))</f>
        <v>0.2039</v>
      </c>
      <c r="H210" s="151">
        <f t="shared" ca="1" si="9"/>
        <v>4.47</v>
      </c>
      <c r="I210" s="152">
        <f t="shared" ca="1" si="10"/>
        <v>0</v>
      </c>
      <c r="J210" s="154"/>
      <c r="K210" s="155" t="s">
        <v>2966</v>
      </c>
    </row>
    <row r="211" spans="1:11" hidden="1" x14ac:dyDescent="0.25">
      <c r="A211" s="148" t="s">
        <v>270</v>
      </c>
      <c r="B211" s="149" t="s">
        <v>3213</v>
      </c>
      <c r="C211" s="150" t="s">
        <v>18</v>
      </c>
      <c r="D211" s="150">
        <v>0</v>
      </c>
      <c r="E211" s="151">
        <f ca="1">OFFSET(INDEX(Composições!A:H,MATCH(Orçamentária!A211,Composições!A:A,0),8),2,0)</f>
        <v>157.85393989999997</v>
      </c>
      <c r="F211" s="152">
        <f t="shared" ca="1" si="11"/>
        <v>0</v>
      </c>
      <c r="G211" s="153">
        <f>IF($K211="Padrão",BDI!$B$17,IF($K211="Diferenciado",BDI!$E$17,0))</f>
        <v>0.2039</v>
      </c>
      <c r="H211" s="151">
        <f t="shared" ca="1" si="9"/>
        <v>190.04</v>
      </c>
      <c r="I211" s="152">
        <f t="shared" ca="1" si="10"/>
        <v>0</v>
      </c>
      <c r="J211" s="154"/>
      <c r="K211" s="155" t="s">
        <v>2966</v>
      </c>
    </row>
    <row r="212" spans="1:11" hidden="1" x14ac:dyDescent="0.25">
      <c r="A212" s="148" t="s">
        <v>271</v>
      </c>
      <c r="B212" s="149" t="s">
        <v>3214</v>
      </c>
      <c r="C212" s="150" t="s">
        <v>18</v>
      </c>
      <c r="D212" s="150">
        <v>0</v>
      </c>
      <c r="E212" s="151">
        <f ca="1">OFFSET(INDEX(Composições!A:H,MATCH(Orçamentária!A212,Composições!A:A,0),8),2,0)</f>
        <v>4.4874599000000002</v>
      </c>
      <c r="F212" s="152">
        <f t="shared" ca="1" si="11"/>
        <v>0</v>
      </c>
      <c r="G212" s="153">
        <f>IF($K212="Padrão",BDI!$B$17,IF($K212="Diferenciado",BDI!$E$17,0))</f>
        <v>0.2039</v>
      </c>
      <c r="H212" s="151">
        <f t="shared" ca="1" si="9"/>
        <v>5.4</v>
      </c>
      <c r="I212" s="152">
        <f t="shared" ca="1" si="10"/>
        <v>0</v>
      </c>
      <c r="J212" s="154"/>
      <c r="K212" s="155" t="s">
        <v>2966</v>
      </c>
    </row>
    <row r="213" spans="1:11" hidden="1" x14ac:dyDescent="0.25">
      <c r="A213" s="148" t="s">
        <v>273</v>
      </c>
      <c r="B213" s="149" t="s">
        <v>3215</v>
      </c>
      <c r="C213" s="150" t="s">
        <v>18</v>
      </c>
      <c r="D213" s="150">
        <v>0</v>
      </c>
      <c r="E213" s="151">
        <f ca="1">OFFSET(INDEX(Composições!A:H,MATCH(Orçamentária!A213,Composições!A:A,0),8),2,0)</f>
        <v>67.499128299999995</v>
      </c>
      <c r="F213" s="152">
        <f t="shared" ca="1" si="11"/>
        <v>0</v>
      </c>
      <c r="G213" s="153">
        <f>IF($K213="Padrão",BDI!$B$17,IF($K213="Diferenciado",BDI!$E$17,0))</f>
        <v>0.2039</v>
      </c>
      <c r="H213" s="151">
        <f t="shared" ca="1" si="9"/>
        <v>81.260000000000005</v>
      </c>
      <c r="I213" s="152">
        <f t="shared" ca="1" si="10"/>
        <v>0</v>
      </c>
      <c r="J213" s="154"/>
      <c r="K213" s="155" t="s">
        <v>2966</v>
      </c>
    </row>
    <row r="214" spans="1:11" hidden="1" x14ac:dyDescent="0.25">
      <c r="A214" s="148" t="s">
        <v>274</v>
      </c>
      <c r="B214" s="149" t="s">
        <v>3216</v>
      </c>
      <c r="C214" s="150" t="s">
        <v>18</v>
      </c>
      <c r="D214" s="150">
        <v>0</v>
      </c>
      <c r="E214" s="151">
        <f ca="1">OFFSET(INDEX(Composições!A:H,MATCH(Orçamentária!A214,Composições!A:A,0),8),2,0)</f>
        <v>27.179499999999997</v>
      </c>
      <c r="F214" s="152">
        <f t="shared" ca="1" si="11"/>
        <v>0</v>
      </c>
      <c r="G214" s="153">
        <f>IF($K214="Padrão",BDI!$B$17,IF($K214="Diferenciado",BDI!$E$17,0))</f>
        <v>0.2039</v>
      </c>
      <c r="H214" s="151">
        <f t="shared" ca="1" si="9"/>
        <v>32.72</v>
      </c>
      <c r="I214" s="152">
        <f t="shared" ca="1" si="10"/>
        <v>0</v>
      </c>
      <c r="J214" s="154"/>
      <c r="K214" s="155" t="s">
        <v>2966</v>
      </c>
    </row>
    <row r="215" spans="1:11" hidden="1" x14ac:dyDescent="0.25">
      <c r="A215" s="148" t="s">
        <v>276</v>
      </c>
      <c r="B215" s="149" t="s">
        <v>3217</v>
      </c>
      <c r="C215" s="150" t="s">
        <v>18</v>
      </c>
      <c r="D215" s="150">
        <v>0</v>
      </c>
      <c r="E215" s="151">
        <f ca="1">OFFSET(INDEX(Composições!A:H,MATCH(Orçamentária!A215,Composições!A:A,0),8),2,0)</f>
        <v>27.179499999999997</v>
      </c>
      <c r="F215" s="152">
        <f t="shared" ca="1" si="11"/>
        <v>0</v>
      </c>
      <c r="G215" s="153">
        <f>IF($K215="Padrão",BDI!$B$17,IF($K215="Diferenciado",BDI!$E$17,0))</f>
        <v>0.2039</v>
      </c>
      <c r="H215" s="151">
        <f t="shared" ca="1" si="9"/>
        <v>32.72</v>
      </c>
      <c r="I215" s="152">
        <f t="shared" ca="1" si="10"/>
        <v>0</v>
      </c>
      <c r="J215" s="154"/>
      <c r="K215" s="155" t="s">
        <v>2966</v>
      </c>
    </row>
    <row r="216" spans="1:11" hidden="1" x14ac:dyDescent="0.25">
      <c r="A216" s="148" t="s">
        <v>278</v>
      </c>
      <c r="B216" s="149" t="s">
        <v>3218</v>
      </c>
      <c r="C216" s="150" t="s">
        <v>18</v>
      </c>
      <c r="D216" s="150">
        <v>0</v>
      </c>
      <c r="E216" s="151">
        <f ca="1">OFFSET(INDEX(Composições!A:H,MATCH(Orçamentária!A216,Composições!A:A,0),8),2,0)</f>
        <v>27.179499999999997</v>
      </c>
      <c r="F216" s="152">
        <f t="shared" ca="1" si="11"/>
        <v>0</v>
      </c>
      <c r="G216" s="153">
        <f>IF($K216="Padrão",BDI!$B$17,IF($K216="Diferenciado",BDI!$E$17,0))</f>
        <v>0.2039</v>
      </c>
      <c r="H216" s="151">
        <f t="shared" ca="1" si="9"/>
        <v>32.72</v>
      </c>
      <c r="I216" s="152">
        <f t="shared" ca="1" si="10"/>
        <v>0</v>
      </c>
      <c r="J216" s="154"/>
      <c r="K216" s="155" t="s">
        <v>2966</v>
      </c>
    </row>
    <row r="217" spans="1:11" hidden="1" x14ac:dyDescent="0.25">
      <c r="A217" s="148" t="s">
        <v>280</v>
      </c>
      <c r="B217" s="149" t="s">
        <v>3219</v>
      </c>
      <c r="C217" s="150" t="s">
        <v>18</v>
      </c>
      <c r="D217" s="150">
        <v>0</v>
      </c>
      <c r="E217" s="151">
        <f ca="1">OFFSET(INDEX(Composições!A:H,MATCH(Orçamentária!A217,Composições!A:A,0),8),2,0)</f>
        <v>27.179499999999997</v>
      </c>
      <c r="F217" s="152">
        <f t="shared" ca="1" si="11"/>
        <v>0</v>
      </c>
      <c r="G217" s="153">
        <f>IF($K217="Padrão",BDI!$B$17,IF($K217="Diferenciado",BDI!$E$17,0))</f>
        <v>0.2039</v>
      </c>
      <c r="H217" s="151">
        <f t="shared" ca="1" si="9"/>
        <v>32.72</v>
      </c>
      <c r="I217" s="152">
        <f t="shared" ca="1" si="10"/>
        <v>0</v>
      </c>
      <c r="J217" s="154"/>
      <c r="K217" s="155" t="s">
        <v>2966</v>
      </c>
    </row>
    <row r="218" spans="1:11" hidden="1" x14ac:dyDescent="0.25">
      <c r="A218" s="148" t="s">
        <v>281</v>
      </c>
      <c r="B218" s="149" t="s">
        <v>3220</v>
      </c>
      <c r="C218" s="150" t="s">
        <v>18</v>
      </c>
      <c r="D218" s="150">
        <v>0</v>
      </c>
      <c r="E218" s="151">
        <f ca="1">OFFSET(INDEX(Composições!A:H,MATCH(Orçamentária!A218,Composições!A:A,0),8),2,0)</f>
        <v>40.7068844</v>
      </c>
      <c r="F218" s="152">
        <f t="shared" ca="1" si="11"/>
        <v>0</v>
      </c>
      <c r="G218" s="153">
        <f>IF($K218="Padrão",BDI!$B$17,IF($K218="Diferenciado",BDI!$E$17,0))</f>
        <v>0.2039</v>
      </c>
      <c r="H218" s="151">
        <f t="shared" ca="1" si="9"/>
        <v>49.01</v>
      </c>
      <c r="I218" s="152">
        <f t="shared" ca="1" si="10"/>
        <v>0</v>
      </c>
      <c r="J218" s="154"/>
      <c r="K218" s="155" t="s">
        <v>2966</v>
      </c>
    </row>
    <row r="219" spans="1:11" hidden="1" x14ac:dyDescent="0.25">
      <c r="A219" s="148" t="s">
        <v>282</v>
      </c>
      <c r="B219" s="149" t="s">
        <v>3221</v>
      </c>
      <c r="C219" s="150" t="s">
        <v>18</v>
      </c>
      <c r="D219" s="150">
        <v>0</v>
      </c>
      <c r="E219" s="151">
        <f ca="1">OFFSET(INDEX(Composições!A:H,MATCH(Orçamentária!A219,Composições!A:A,0),8),2,0)</f>
        <v>47.494854800000006</v>
      </c>
      <c r="F219" s="152">
        <f t="shared" ca="1" si="11"/>
        <v>0</v>
      </c>
      <c r="G219" s="153">
        <f>IF($K219="Padrão",BDI!$B$17,IF($K219="Diferenciado",BDI!$E$17,0))</f>
        <v>0.2039</v>
      </c>
      <c r="H219" s="151">
        <f t="shared" ca="1" si="9"/>
        <v>57.18</v>
      </c>
      <c r="I219" s="152">
        <f t="shared" ca="1" si="10"/>
        <v>0</v>
      </c>
      <c r="J219" s="154"/>
      <c r="K219" s="155" t="s">
        <v>2966</v>
      </c>
    </row>
    <row r="220" spans="1:11" hidden="1" x14ac:dyDescent="0.25">
      <c r="A220" s="148" t="s">
        <v>283</v>
      </c>
      <c r="B220" s="149" t="s">
        <v>3222</v>
      </c>
      <c r="C220" s="150" t="s">
        <v>18</v>
      </c>
      <c r="D220" s="150">
        <v>0</v>
      </c>
      <c r="E220" s="151">
        <f ca="1">OFFSET(INDEX(Composições!A:H,MATCH(Orçamentária!A220,Composições!A:A,0),8),2,0)</f>
        <v>352.32667670000001</v>
      </c>
      <c r="F220" s="152">
        <f t="shared" ca="1" si="11"/>
        <v>0</v>
      </c>
      <c r="G220" s="153">
        <f>IF($K220="Padrão",BDI!$B$17,IF($K220="Diferenciado",BDI!$E$17,0))</f>
        <v>0.2039</v>
      </c>
      <c r="H220" s="151">
        <f t="shared" ca="1" si="9"/>
        <v>424.17</v>
      </c>
      <c r="I220" s="152">
        <f t="shared" ca="1" si="10"/>
        <v>0</v>
      </c>
      <c r="J220" s="154"/>
      <c r="K220" s="155" t="s">
        <v>2966</v>
      </c>
    </row>
    <row r="221" spans="1:11" hidden="1" x14ac:dyDescent="0.25">
      <c r="A221" s="148" t="s">
        <v>284</v>
      </c>
      <c r="B221" s="149" t="s">
        <v>3223</v>
      </c>
      <c r="C221" s="150" t="s">
        <v>18</v>
      </c>
      <c r="D221" s="150">
        <v>0</v>
      </c>
      <c r="E221" s="151">
        <f ca="1">OFFSET(INDEX(Composições!A:H,MATCH(Orçamentária!A221,Composições!A:A,0),8),2,0)</f>
        <v>16.350924999999997</v>
      </c>
      <c r="F221" s="152">
        <f t="shared" ca="1" si="11"/>
        <v>0</v>
      </c>
      <c r="G221" s="153">
        <f>IF($K221="Padrão",BDI!$B$17,IF($K221="Diferenciado",BDI!$E$17,0))</f>
        <v>0.2039</v>
      </c>
      <c r="H221" s="151">
        <f t="shared" ca="1" si="9"/>
        <v>19.68</v>
      </c>
      <c r="I221" s="152">
        <f t="shared" ca="1" si="10"/>
        <v>0</v>
      </c>
      <c r="J221" s="154"/>
      <c r="K221" s="155" t="s">
        <v>2966</v>
      </c>
    </row>
    <row r="222" spans="1:11" hidden="1" x14ac:dyDescent="0.25">
      <c r="A222" s="148" t="s">
        <v>286</v>
      </c>
      <c r="B222" s="149" t="s">
        <v>3224</v>
      </c>
      <c r="C222" s="150" t="s">
        <v>18</v>
      </c>
      <c r="D222" s="150">
        <v>0</v>
      </c>
      <c r="E222" s="151">
        <f ca="1">OFFSET(INDEX(Composições!A:H,MATCH(Orçamentária!A222,Composições!A:A,0),8),2,0)</f>
        <v>58.111499999999992</v>
      </c>
      <c r="F222" s="152">
        <f t="shared" ca="1" si="11"/>
        <v>0</v>
      </c>
      <c r="G222" s="153">
        <f>IF($K222="Padrão",BDI!$B$17,IF($K222="Diferenciado",BDI!$E$17,0))</f>
        <v>0.2039</v>
      </c>
      <c r="H222" s="151">
        <f t="shared" ca="1" si="9"/>
        <v>69.959999999999994</v>
      </c>
      <c r="I222" s="152">
        <f t="shared" ca="1" si="10"/>
        <v>0</v>
      </c>
      <c r="J222" s="154"/>
      <c r="K222" s="155" t="s">
        <v>2966</v>
      </c>
    </row>
    <row r="223" spans="1:11" hidden="1" x14ac:dyDescent="0.25">
      <c r="A223" s="148" t="s">
        <v>288</v>
      </c>
      <c r="B223" s="149" t="s">
        <v>3225</v>
      </c>
      <c r="C223" s="150" t="s">
        <v>18</v>
      </c>
      <c r="D223" s="150">
        <v>0</v>
      </c>
      <c r="E223" s="151">
        <f ca="1">OFFSET(INDEX(Composições!A:H,MATCH(Orçamentária!A223,Composições!A:A,0),8),2,0)</f>
        <v>58.111499999999992</v>
      </c>
      <c r="F223" s="152">
        <f t="shared" ca="1" si="11"/>
        <v>0</v>
      </c>
      <c r="G223" s="153">
        <f>IF($K223="Padrão",BDI!$B$17,IF($K223="Diferenciado",BDI!$E$17,0))</f>
        <v>0.2039</v>
      </c>
      <c r="H223" s="151">
        <f t="shared" ca="1" si="9"/>
        <v>69.959999999999994</v>
      </c>
      <c r="I223" s="152">
        <f t="shared" ca="1" si="10"/>
        <v>0</v>
      </c>
      <c r="J223" s="154"/>
      <c r="K223" s="155" t="s">
        <v>2966</v>
      </c>
    </row>
    <row r="224" spans="1:11" hidden="1" x14ac:dyDescent="0.25">
      <c r="A224" s="148" t="s">
        <v>290</v>
      </c>
      <c r="B224" s="149" t="s">
        <v>3226</v>
      </c>
      <c r="C224" s="150" t="s">
        <v>18</v>
      </c>
      <c r="D224" s="150">
        <v>0</v>
      </c>
      <c r="E224" s="151">
        <f ca="1">OFFSET(INDEX(Composições!A:H,MATCH(Orçamentária!A224,Composições!A:A,0),8),2,0)</f>
        <v>58.111499999999992</v>
      </c>
      <c r="F224" s="152">
        <f t="shared" ca="1" si="11"/>
        <v>0</v>
      </c>
      <c r="G224" s="153">
        <f>IF($K224="Padrão",BDI!$B$17,IF($K224="Diferenciado",BDI!$E$17,0))</f>
        <v>0.2039</v>
      </c>
      <c r="H224" s="151">
        <f t="shared" ca="1" si="9"/>
        <v>69.959999999999994</v>
      </c>
      <c r="I224" s="152">
        <f t="shared" ca="1" si="10"/>
        <v>0</v>
      </c>
      <c r="J224" s="154"/>
      <c r="K224" s="155" t="s">
        <v>2966</v>
      </c>
    </row>
    <row r="225" spans="1:11" hidden="1" x14ac:dyDescent="0.25">
      <c r="A225" s="148" t="s">
        <v>292</v>
      </c>
      <c r="B225" s="149" t="s">
        <v>3227</v>
      </c>
      <c r="C225" s="150" t="s">
        <v>18</v>
      </c>
      <c r="D225" s="150">
        <v>0</v>
      </c>
      <c r="E225" s="151">
        <f ca="1">OFFSET(INDEX(Composições!A:H,MATCH(Orçamentária!A225,Composições!A:A,0),8),2,0)</f>
        <v>58.111499999999992</v>
      </c>
      <c r="F225" s="152">
        <f t="shared" ca="1" si="11"/>
        <v>0</v>
      </c>
      <c r="G225" s="153">
        <f>IF($K225="Padrão",BDI!$B$17,IF($K225="Diferenciado",BDI!$E$17,0))</f>
        <v>0.2039</v>
      </c>
      <c r="H225" s="151">
        <f t="shared" ca="1" si="9"/>
        <v>69.959999999999994</v>
      </c>
      <c r="I225" s="152">
        <f t="shared" ca="1" si="10"/>
        <v>0</v>
      </c>
      <c r="J225" s="154"/>
      <c r="K225" s="155" t="s">
        <v>2966</v>
      </c>
    </row>
    <row r="226" spans="1:11" hidden="1" x14ac:dyDescent="0.25">
      <c r="A226" s="148" t="s">
        <v>294</v>
      </c>
      <c r="B226" s="149" t="s">
        <v>3228</v>
      </c>
      <c r="C226" s="150" t="s">
        <v>18</v>
      </c>
      <c r="D226" s="150">
        <v>0</v>
      </c>
      <c r="E226" s="151">
        <f ca="1">OFFSET(INDEX(Composições!A:H,MATCH(Orçamentária!A226,Composições!A:A,0),8),2,0)</f>
        <v>47.65730099999999</v>
      </c>
      <c r="F226" s="152">
        <f t="shared" ca="1" si="11"/>
        <v>0</v>
      </c>
      <c r="G226" s="153">
        <f>IF($K226="Padrão",BDI!$B$17,IF($K226="Diferenciado",BDI!$E$17,0))</f>
        <v>0.2039</v>
      </c>
      <c r="H226" s="151">
        <f t="shared" ca="1" si="9"/>
        <v>57.37</v>
      </c>
      <c r="I226" s="152">
        <f t="shared" ca="1" si="10"/>
        <v>0</v>
      </c>
      <c r="J226" s="154"/>
      <c r="K226" s="155" t="s">
        <v>2966</v>
      </c>
    </row>
    <row r="227" spans="1:11" hidden="1" x14ac:dyDescent="0.25">
      <c r="A227" s="148" t="s">
        <v>296</v>
      </c>
      <c r="B227" s="149" t="s">
        <v>3229</v>
      </c>
      <c r="C227" s="150" t="s">
        <v>18</v>
      </c>
      <c r="D227" s="150">
        <v>0</v>
      </c>
      <c r="E227" s="151">
        <f ca="1">OFFSET(INDEX(Composições!A:H,MATCH(Orçamentária!A227,Composições!A:A,0),8),2,0)</f>
        <v>153.95912229999999</v>
      </c>
      <c r="F227" s="152">
        <f t="shared" ca="1" si="11"/>
        <v>0</v>
      </c>
      <c r="G227" s="153">
        <f>IF($K227="Padrão",BDI!$B$17,IF($K227="Diferenciado",BDI!$E$17,0))</f>
        <v>0.2039</v>
      </c>
      <c r="H227" s="151">
        <f t="shared" ca="1" si="9"/>
        <v>185.35</v>
      </c>
      <c r="I227" s="152">
        <f t="shared" ca="1" si="10"/>
        <v>0</v>
      </c>
      <c r="J227" s="154"/>
      <c r="K227" s="155" t="s">
        <v>2966</v>
      </c>
    </row>
    <row r="228" spans="1:11" hidden="1" x14ac:dyDescent="0.25">
      <c r="A228" s="148" t="s">
        <v>298</v>
      </c>
      <c r="B228" s="149" t="s">
        <v>3230</v>
      </c>
      <c r="C228" s="150" t="s">
        <v>18</v>
      </c>
      <c r="D228" s="150">
        <v>0</v>
      </c>
      <c r="E228" s="151">
        <f ca="1">OFFSET(INDEX(Composições!A:H,MATCH(Orçamentária!A228,Composições!A:A,0),8),2,0)</f>
        <v>11.960287199999998</v>
      </c>
      <c r="F228" s="152">
        <f t="shared" ca="1" si="11"/>
        <v>0</v>
      </c>
      <c r="G228" s="153">
        <f>IF($K228="Padrão",BDI!$B$17,IF($K228="Diferenciado",BDI!$E$17,0))</f>
        <v>0.2039</v>
      </c>
      <c r="H228" s="151">
        <f t="shared" ca="1" si="9"/>
        <v>14.4</v>
      </c>
      <c r="I228" s="152">
        <f t="shared" ca="1" si="10"/>
        <v>0</v>
      </c>
      <c r="J228" s="154"/>
      <c r="K228" s="155" t="s">
        <v>2966</v>
      </c>
    </row>
    <row r="229" spans="1:11" hidden="1" x14ac:dyDescent="0.25">
      <c r="A229" s="148" t="s">
        <v>300</v>
      </c>
      <c r="B229" s="149" t="s">
        <v>3231</v>
      </c>
      <c r="C229" s="150" t="s">
        <v>18</v>
      </c>
      <c r="D229" s="150">
        <v>0</v>
      </c>
      <c r="E229" s="151">
        <f ca="1">OFFSET(INDEX(Composições!A:H,MATCH(Orçamentária!A229,Composições!A:A,0),8),2,0)</f>
        <v>11.960287199999998</v>
      </c>
      <c r="F229" s="152">
        <f t="shared" ca="1" si="11"/>
        <v>0</v>
      </c>
      <c r="G229" s="153">
        <f>IF($K229="Padrão",BDI!$B$17,IF($K229="Diferenciado",BDI!$E$17,0))</f>
        <v>0.2039</v>
      </c>
      <c r="H229" s="151">
        <f t="shared" ca="1" si="9"/>
        <v>14.4</v>
      </c>
      <c r="I229" s="152">
        <f t="shared" ca="1" si="10"/>
        <v>0</v>
      </c>
      <c r="J229" s="154"/>
      <c r="K229" s="155" t="s">
        <v>2966</v>
      </c>
    </row>
    <row r="230" spans="1:11" hidden="1" x14ac:dyDescent="0.25">
      <c r="A230" s="148" t="s">
        <v>302</v>
      </c>
      <c r="B230" s="149" t="s">
        <v>3232</v>
      </c>
      <c r="C230" s="150" t="s">
        <v>18</v>
      </c>
      <c r="D230" s="150">
        <v>0</v>
      </c>
      <c r="E230" s="151">
        <f ca="1">OFFSET(INDEX(Composições!A:H,MATCH(Orçamentária!A230,Composições!A:A,0),8),2,0)</f>
        <v>11.960287199999998</v>
      </c>
      <c r="F230" s="152">
        <f t="shared" ca="1" si="11"/>
        <v>0</v>
      </c>
      <c r="G230" s="153">
        <f>IF($K230="Padrão",BDI!$B$17,IF($K230="Diferenciado",BDI!$E$17,0))</f>
        <v>0.2039</v>
      </c>
      <c r="H230" s="151">
        <f t="shared" ca="1" si="9"/>
        <v>14.4</v>
      </c>
      <c r="I230" s="152">
        <f t="shared" ca="1" si="10"/>
        <v>0</v>
      </c>
      <c r="J230" s="154"/>
      <c r="K230" s="155" t="s">
        <v>2966</v>
      </c>
    </row>
    <row r="231" spans="1:11" hidden="1" x14ac:dyDescent="0.25">
      <c r="A231" s="148" t="s">
        <v>304</v>
      </c>
      <c r="B231" s="149" t="s">
        <v>3233</v>
      </c>
      <c r="C231" s="150" t="s">
        <v>18</v>
      </c>
      <c r="D231" s="150">
        <v>0</v>
      </c>
      <c r="E231" s="151">
        <f ca="1">OFFSET(INDEX(Composições!A:H,MATCH(Orçamentária!A231,Composições!A:A,0),8),2,0)</f>
        <v>23.917538199999999</v>
      </c>
      <c r="F231" s="152">
        <f t="shared" ca="1" si="11"/>
        <v>0</v>
      </c>
      <c r="G231" s="153">
        <f>IF($K231="Padrão",BDI!$B$17,IF($K231="Diferenciado",BDI!$E$17,0))</f>
        <v>0.2039</v>
      </c>
      <c r="H231" s="151">
        <f t="shared" ca="1" si="9"/>
        <v>28.79</v>
      </c>
      <c r="I231" s="152">
        <f t="shared" ca="1" si="10"/>
        <v>0</v>
      </c>
      <c r="J231" s="154"/>
      <c r="K231" s="155" t="s">
        <v>2966</v>
      </c>
    </row>
    <row r="232" spans="1:11" hidden="1" x14ac:dyDescent="0.25">
      <c r="A232" s="148" t="s">
        <v>306</v>
      </c>
      <c r="B232" s="149" t="s">
        <v>3234</v>
      </c>
      <c r="C232" s="150" t="s">
        <v>18</v>
      </c>
      <c r="D232" s="150">
        <v>0</v>
      </c>
      <c r="E232" s="151">
        <f ca="1">OFFSET(INDEX(Composições!A:H,MATCH(Orçamentária!A232,Composições!A:A,0),8),2,0)</f>
        <v>11.489291292466248</v>
      </c>
      <c r="F232" s="152">
        <f t="shared" ca="1" si="11"/>
        <v>0</v>
      </c>
      <c r="G232" s="153">
        <f>IF($K232="Padrão",BDI!$B$17,IF($K232="Diferenciado",BDI!$E$17,0))</f>
        <v>0.2039</v>
      </c>
      <c r="H232" s="151">
        <f t="shared" ca="1" si="9"/>
        <v>13.83</v>
      </c>
      <c r="I232" s="152">
        <f t="shared" ca="1" si="10"/>
        <v>0</v>
      </c>
      <c r="J232" s="154"/>
      <c r="K232" s="155" t="s">
        <v>2966</v>
      </c>
    </row>
    <row r="233" spans="1:11" hidden="1" x14ac:dyDescent="0.25">
      <c r="A233" s="148" t="s">
        <v>307</v>
      </c>
      <c r="B233" s="149" t="s">
        <v>3235</v>
      </c>
      <c r="C233" s="150" t="s">
        <v>18</v>
      </c>
      <c r="D233" s="150">
        <v>0</v>
      </c>
      <c r="E233" s="151">
        <f ca="1">OFFSET(INDEX(Composições!A:H,MATCH(Orçamentária!A233,Composições!A:A,0),8),2,0)</f>
        <v>8.1754624999999983</v>
      </c>
      <c r="F233" s="152">
        <f t="shared" ca="1" si="11"/>
        <v>0</v>
      </c>
      <c r="G233" s="153">
        <f>IF($K233="Padrão",BDI!$B$17,IF($K233="Diferenciado",BDI!$E$17,0))</f>
        <v>0.2039</v>
      </c>
      <c r="H233" s="151">
        <f t="shared" ca="1" si="9"/>
        <v>9.84</v>
      </c>
      <c r="I233" s="152">
        <f t="shared" ca="1" si="10"/>
        <v>0</v>
      </c>
      <c r="J233" s="154"/>
      <c r="K233" s="155" t="s">
        <v>2966</v>
      </c>
    </row>
    <row r="234" spans="1:11" hidden="1" x14ac:dyDescent="0.25">
      <c r="A234" s="148" t="s">
        <v>309</v>
      </c>
      <c r="B234" s="149" t="s">
        <v>3236</v>
      </c>
      <c r="C234" s="150" t="s">
        <v>18</v>
      </c>
      <c r="D234" s="150">
        <v>0</v>
      </c>
      <c r="E234" s="151">
        <f ca="1">OFFSET(INDEX(Composições!A:H,MATCH(Orçamentária!A234,Composições!A:A,0),8),2,0)</f>
        <v>15.638080889954999</v>
      </c>
      <c r="F234" s="152">
        <f t="shared" ca="1" si="11"/>
        <v>0</v>
      </c>
      <c r="G234" s="153">
        <f>IF($K234="Padrão",BDI!$B$17,IF($K234="Diferenciado",BDI!$E$17,0))</f>
        <v>0.2039</v>
      </c>
      <c r="H234" s="151">
        <f t="shared" ca="1" si="9"/>
        <v>18.829999999999998</v>
      </c>
      <c r="I234" s="152">
        <f t="shared" ca="1" si="10"/>
        <v>0</v>
      </c>
      <c r="J234" s="154"/>
      <c r="K234" s="155" t="s">
        <v>2966</v>
      </c>
    </row>
    <row r="235" spans="1:11" hidden="1" x14ac:dyDescent="0.25">
      <c r="A235" s="148" t="s">
        <v>310</v>
      </c>
      <c r="B235" s="149" t="s">
        <v>3237</v>
      </c>
      <c r="C235" s="150" t="s">
        <v>18</v>
      </c>
      <c r="D235" s="150">
        <v>0</v>
      </c>
      <c r="E235" s="151">
        <f ca="1">OFFSET(INDEX(Composições!A:H,MATCH(Orçamentária!A235,Composições!A:A,0),8),2,0)</f>
        <v>9.5286425000000001</v>
      </c>
      <c r="F235" s="152">
        <f t="shared" ca="1" si="11"/>
        <v>0</v>
      </c>
      <c r="G235" s="153">
        <f>IF($K235="Padrão",BDI!$B$17,IF($K235="Diferenciado",BDI!$E$17,0))</f>
        <v>0.2039</v>
      </c>
      <c r="H235" s="151">
        <f t="shared" ca="1" si="9"/>
        <v>11.47</v>
      </c>
      <c r="I235" s="152">
        <f t="shared" ca="1" si="10"/>
        <v>0</v>
      </c>
      <c r="J235" s="154"/>
      <c r="K235" s="155" t="s">
        <v>2966</v>
      </c>
    </row>
    <row r="236" spans="1:11" hidden="1" x14ac:dyDescent="0.25">
      <c r="A236" s="148" t="s">
        <v>312</v>
      </c>
      <c r="B236" s="149" t="s">
        <v>3238</v>
      </c>
      <c r="C236" s="150" t="s">
        <v>18</v>
      </c>
      <c r="D236" s="150">
        <v>0</v>
      </c>
      <c r="E236" s="151">
        <f ca="1">OFFSET(INDEX(Composições!A:H,MATCH(Orçamentária!A236,Composições!A:A,0),8),2,0)</f>
        <v>19.508344999999998</v>
      </c>
      <c r="F236" s="152">
        <f t="shared" ca="1" si="11"/>
        <v>0</v>
      </c>
      <c r="G236" s="153">
        <f>IF($K236="Padrão",BDI!$B$17,IF($K236="Diferenciado",BDI!$E$17,0))</f>
        <v>0.2039</v>
      </c>
      <c r="H236" s="151">
        <f t="shared" ca="1" si="9"/>
        <v>23.49</v>
      </c>
      <c r="I236" s="152">
        <f t="shared" ca="1" si="10"/>
        <v>0</v>
      </c>
      <c r="J236" s="154"/>
      <c r="K236" s="155" t="s">
        <v>2966</v>
      </c>
    </row>
    <row r="237" spans="1:11" hidden="1" x14ac:dyDescent="0.25">
      <c r="A237" s="148" t="s">
        <v>314</v>
      </c>
      <c r="B237" s="149" t="s">
        <v>3239</v>
      </c>
      <c r="C237" s="150" t="s">
        <v>18</v>
      </c>
      <c r="D237" s="150">
        <v>0</v>
      </c>
      <c r="E237" s="151">
        <f ca="1">OFFSET(INDEX(Composições!A:H,MATCH(Orçamentária!A237,Composições!A:A,0),8),2,0)</f>
        <v>19.508344999999998</v>
      </c>
      <c r="F237" s="152">
        <f t="shared" ca="1" si="11"/>
        <v>0</v>
      </c>
      <c r="G237" s="153">
        <f>IF($K237="Padrão",BDI!$B$17,IF($K237="Diferenciado",BDI!$E$17,0))</f>
        <v>0.2039</v>
      </c>
      <c r="H237" s="151">
        <f t="shared" ca="1" si="9"/>
        <v>23.49</v>
      </c>
      <c r="I237" s="152">
        <f t="shared" ca="1" si="10"/>
        <v>0</v>
      </c>
      <c r="J237" s="154"/>
      <c r="K237" s="155" t="s">
        <v>2966</v>
      </c>
    </row>
    <row r="238" spans="1:11" hidden="1" x14ac:dyDescent="0.25">
      <c r="A238" s="148" t="s">
        <v>317</v>
      </c>
      <c r="B238" s="149" t="s">
        <v>3240</v>
      </c>
      <c r="C238" s="150" t="s">
        <v>18</v>
      </c>
      <c r="D238" s="150">
        <v>0</v>
      </c>
      <c r="E238" s="151">
        <f ca="1">OFFSET(INDEX(Composições!A:H,MATCH(Orçamentária!A238,Composições!A:A,0),8),2,0)</f>
        <v>97.943460999999985</v>
      </c>
      <c r="F238" s="152">
        <f t="shared" ca="1" si="11"/>
        <v>0</v>
      </c>
      <c r="G238" s="153">
        <f>IF($K238="Padrão",BDI!$B$17,IF($K238="Diferenciado",BDI!$E$17,0))</f>
        <v>0.2039</v>
      </c>
      <c r="H238" s="151">
        <f t="shared" ca="1" si="9"/>
        <v>117.91</v>
      </c>
      <c r="I238" s="152">
        <f t="shared" ca="1" si="10"/>
        <v>0</v>
      </c>
      <c r="J238" s="154"/>
      <c r="K238" s="155" t="s">
        <v>2966</v>
      </c>
    </row>
    <row r="239" spans="1:11" hidden="1" x14ac:dyDescent="0.25">
      <c r="A239" s="148" t="s">
        <v>318</v>
      </c>
      <c r="B239" s="149" t="s">
        <v>3241</v>
      </c>
      <c r="C239" s="150" t="s">
        <v>18</v>
      </c>
      <c r="D239" s="150">
        <v>0</v>
      </c>
      <c r="E239" s="151">
        <f ca="1">OFFSET(INDEX(Composições!A:H,MATCH(Orçamentária!A239,Composições!A:A,0),8),2,0)</f>
        <v>19.508344999999998</v>
      </c>
      <c r="F239" s="152">
        <f t="shared" ca="1" si="11"/>
        <v>0</v>
      </c>
      <c r="G239" s="153">
        <f>IF($K239="Padrão",BDI!$B$17,IF($K239="Diferenciado",BDI!$E$17,0))</f>
        <v>0.2039</v>
      </c>
      <c r="H239" s="151">
        <f t="shared" ca="1" si="9"/>
        <v>23.49</v>
      </c>
      <c r="I239" s="152">
        <f t="shared" ca="1" si="10"/>
        <v>0</v>
      </c>
      <c r="J239" s="154"/>
      <c r="K239" s="155" t="s">
        <v>2966</v>
      </c>
    </row>
    <row r="240" spans="1:11" hidden="1" x14ac:dyDescent="0.25">
      <c r="A240" s="148" t="s">
        <v>320</v>
      </c>
      <c r="B240" s="149" t="s">
        <v>3242</v>
      </c>
      <c r="C240" s="150" t="s">
        <v>106</v>
      </c>
      <c r="D240" s="150">
        <v>0</v>
      </c>
      <c r="E240" s="151">
        <f ca="1">OFFSET(INDEX(Composições!A:H,MATCH(Orçamentária!A240,Composições!A:A,0),8),2,0)</f>
        <v>10.148849999999999</v>
      </c>
      <c r="F240" s="152">
        <f t="shared" ca="1" si="11"/>
        <v>0</v>
      </c>
      <c r="G240" s="153">
        <f>IF($K240="Padrão",BDI!$B$17,IF($K240="Diferenciado",BDI!$E$17,0))</f>
        <v>0.2039</v>
      </c>
      <c r="H240" s="151">
        <f t="shared" ca="1" si="9"/>
        <v>12.22</v>
      </c>
      <c r="I240" s="152">
        <f t="shared" ca="1" si="10"/>
        <v>0</v>
      </c>
      <c r="J240" s="154"/>
      <c r="K240" s="155" t="s">
        <v>2966</v>
      </c>
    </row>
    <row r="241" spans="1:11" hidden="1" x14ac:dyDescent="0.25">
      <c r="A241" s="148" t="s">
        <v>322</v>
      </c>
      <c r="B241" s="149" t="s">
        <v>3243</v>
      </c>
      <c r="C241" s="150" t="s">
        <v>18</v>
      </c>
      <c r="D241" s="150">
        <v>0</v>
      </c>
      <c r="E241" s="151">
        <f ca="1">OFFSET(INDEX(Composições!A:H,MATCH(Orçamentária!A241,Composições!A:A,0),8),2,0)</f>
        <v>48.233865499999993</v>
      </c>
      <c r="F241" s="152">
        <f t="shared" ca="1" si="11"/>
        <v>0</v>
      </c>
      <c r="G241" s="153">
        <f>IF($K241="Padrão",BDI!$B$17,IF($K241="Diferenciado",BDI!$E$17,0))</f>
        <v>0.2039</v>
      </c>
      <c r="H241" s="151">
        <f t="shared" ca="1" si="9"/>
        <v>58.07</v>
      </c>
      <c r="I241" s="152">
        <f t="shared" ca="1" si="10"/>
        <v>0</v>
      </c>
      <c r="J241" s="154"/>
      <c r="K241" s="155" t="s">
        <v>2966</v>
      </c>
    </row>
    <row r="242" spans="1:11" hidden="1" x14ac:dyDescent="0.25">
      <c r="A242" s="148" t="s">
        <v>323</v>
      </c>
      <c r="B242" s="149" t="s">
        <v>3244</v>
      </c>
      <c r="C242" s="150" t="s">
        <v>106</v>
      </c>
      <c r="D242" s="150">
        <v>0</v>
      </c>
      <c r="E242" s="151">
        <f ca="1">OFFSET(INDEX(Composições!A:H,MATCH(Orçamentária!A242,Composições!A:A,0),8),2,0)</f>
        <v>26.437002800000002</v>
      </c>
      <c r="F242" s="152">
        <f t="shared" ca="1" si="11"/>
        <v>0</v>
      </c>
      <c r="G242" s="153">
        <f>IF($K242="Padrão",BDI!$B$17,IF($K242="Diferenciado",BDI!$E$17,0))</f>
        <v>0.2039</v>
      </c>
      <c r="H242" s="151">
        <f t="shared" ca="1" si="9"/>
        <v>31.83</v>
      </c>
      <c r="I242" s="152">
        <f t="shared" ca="1" si="10"/>
        <v>0</v>
      </c>
      <c r="J242" s="154"/>
      <c r="K242" s="155" t="s">
        <v>2966</v>
      </c>
    </row>
    <row r="243" spans="1:11" hidden="1" x14ac:dyDescent="0.25">
      <c r="A243" s="148" t="s">
        <v>333</v>
      </c>
      <c r="B243" s="149" t="s">
        <v>3245</v>
      </c>
      <c r="C243" s="150" t="s">
        <v>106</v>
      </c>
      <c r="D243" s="150">
        <v>0</v>
      </c>
      <c r="E243" s="151">
        <f ca="1">OFFSET(INDEX(Composições!A:H,MATCH(Orçamentária!A243,Composições!A:A,0),8),2,0)</f>
        <v>35.249062199999997</v>
      </c>
      <c r="F243" s="152">
        <f t="shared" ca="1" si="11"/>
        <v>0</v>
      </c>
      <c r="G243" s="153">
        <f>IF($K243="Padrão",BDI!$B$17,IF($K243="Diferenciado",BDI!$E$17,0))</f>
        <v>0.2039</v>
      </c>
      <c r="H243" s="151">
        <f t="shared" ca="1" si="9"/>
        <v>42.44</v>
      </c>
      <c r="I243" s="152">
        <f t="shared" ca="1" si="10"/>
        <v>0</v>
      </c>
      <c r="J243" s="154"/>
      <c r="K243" s="155" t="s">
        <v>2966</v>
      </c>
    </row>
    <row r="244" spans="1:11" hidden="1" x14ac:dyDescent="0.25">
      <c r="A244" s="148" t="s">
        <v>338</v>
      </c>
      <c r="B244" s="149" t="s">
        <v>3246</v>
      </c>
      <c r="C244" s="150" t="s">
        <v>106</v>
      </c>
      <c r="D244" s="150">
        <v>0</v>
      </c>
      <c r="E244" s="151">
        <f ca="1">OFFSET(INDEX(Composições!A:H,MATCH(Orçamentária!A244,Composições!A:A,0),8),2,0)</f>
        <v>29.610812200000002</v>
      </c>
      <c r="F244" s="152">
        <f t="shared" ca="1" si="11"/>
        <v>0</v>
      </c>
      <c r="G244" s="153">
        <f>IF($K244="Padrão",BDI!$B$17,IF($K244="Diferenciado",BDI!$E$17,0))</f>
        <v>0.2039</v>
      </c>
      <c r="H244" s="151">
        <f t="shared" ca="1" si="9"/>
        <v>35.65</v>
      </c>
      <c r="I244" s="152">
        <f t="shared" ca="1" si="10"/>
        <v>0</v>
      </c>
      <c r="J244" s="154"/>
      <c r="K244" s="155" t="s">
        <v>2966</v>
      </c>
    </row>
    <row r="245" spans="1:11" hidden="1" x14ac:dyDescent="0.25">
      <c r="A245" s="148" t="s">
        <v>341</v>
      </c>
      <c r="B245" s="149" t="s">
        <v>3247</v>
      </c>
      <c r="C245" s="150" t="s">
        <v>106</v>
      </c>
      <c r="D245" s="150">
        <v>0</v>
      </c>
      <c r="E245" s="151">
        <f ca="1">OFFSET(INDEX(Composições!A:H,MATCH(Orçamentária!A245,Composições!A:A,0),8),2,0)</f>
        <v>38.068187200000004</v>
      </c>
      <c r="F245" s="152">
        <f t="shared" ca="1" si="11"/>
        <v>0</v>
      </c>
      <c r="G245" s="153">
        <f>IF($K245="Padrão",BDI!$B$17,IF($K245="Diferenciado",BDI!$E$17,0))</f>
        <v>0.2039</v>
      </c>
      <c r="H245" s="151">
        <f t="shared" ca="1" si="9"/>
        <v>45.83</v>
      </c>
      <c r="I245" s="152">
        <f t="shared" ca="1" si="10"/>
        <v>0</v>
      </c>
      <c r="J245" s="154"/>
      <c r="K245" s="155" t="s">
        <v>2966</v>
      </c>
    </row>
    <row r="246" spans="1:11" hidden="1" x14ac:dyDescent="0.25">
      <c r="A246" s="148" t="s">
        <v>345</v>
      </c>
      <c r="B246" s="149" t="s">
        <v>3248</v>
      </c>
      <c r="C246" s="150" t="s">
        <v>106</v>
      </c>
      <c r="D246" s="150">
        <v>0</v>
      </c>
      <c r="E246" s="151">
        <f ca="1">OFFSET(INDEX(Composições!A:H,MATCH(Orçamentária!A246,Composições!A:A,0),8),2,0)</f>
        <v>32.429937200000005</v>
      </c>
      <c r="F246" s="152">
        <f t="shared" ca="1" si="11"/>
        <v>0</v>
      </c>
      <c r="G246" s="153">
        <f>IF($K246="Padrão",BDI!$B$17,IF($K246="Diferenciado",BDI!$E$17,0))</f>
        <v>0.2039</v>
      </c>
      <c r="H246" s="151">
        <f t="shared" ca="1" si="9"/>
        <v>39.04</v>
      </c>
      <c r="I246" s="152">
        <f t="shared" ca="1" si="10"/>
        <v>0</v>
      </c>
      <c r="J246" s="154"/>
      <c r="K246" s="155" t="s">
        <v>2966</v>
      </c>
    </row>
    <row r="247" spans="1:11" hidden="1" x14ac:dyDescent="0.25">
      <c r="A247" s="148" t="s">
        <v>348</v>
      </c>
      <c r="B247" s="149" t="s">
        <v>3249</v>
      </c>
      <c r="C247" s="150" t="s">
        <v>106</v>
      </c>
      <c r="D247" s="150">
        <v>0</v>
      </c>
      <c r="E247" s="151">
        <f ca="1">OFFSET(INDEX(Composições!A:H,MATCH(Orçamentária!A247,Composições!A:A,0),8),2,0)</f>
        <v>32.429937200000005</v>
      </c>
      <c r="F247" s="152">
        <f t="shared" ca="1" si="11"/>
        <v>0</v>
      </c>
      <c r="G247" s="153">
        <f>IF($K247="Padrão",BDI!$B$17,IF($K247="Diferenciado",BDI!$E$17,0))</f>
        <v>0.2039</v>
      </c>
      <c r="H247" s="151">
        <f t="shared" ca="1" si="9"/>
        <v>39.04</v>
      </c>
      <c r="I247" s="152">
        <f t="shared" ca="1" si="10"/>
        <v>0</v>
      </c>
      <c r="J247" s="154"/>
      <c r="K247" s="155" t="s">
        <v>2966</v>
      </c>
    </row>
    <row r="248" spans="1:11" hidden="1" x14ac:dyDescent="0.25">
      <c r="A248" s="148" t="s">
        <v>352</v>
      </c>
      <c r="B248" s="149" t="s">
        <v>3250</v>
      </c>
      <c r="C248" s="150" t="s">
        <v>106</v>
      </c>
      <c r="D248" s="150">
        <v>0</v>
      </c>
      <c r="E248" s="151">
        <f ca="1">OFFSET(INDEX(Composições!A:H,MATCH(Orçamentária!A248,Composições!A:A,0),8),2,0)</f>
        <v>26.437002800000002</v>
      </c>
      <c r="F248" s="152">
        <f t="shared" ca="1" si="11"/>
        <v>0</v>
      </c>
      <c r="G248" s="153">
        <f>IF($K248="Padrão",BDI!$B$17,IF($K248="Diferenciado",BDI!$E$17,0))</f>
        <v>0.2039</v>
      </c>
      <c r="H248" s="151">
        <f t="shared" ca="1" si="9"/>
        <v>31.83</v>
      </c>
      <c r="I248" s="152">
        <f t="shared" ca="1" si="10"/>
        <v>0</v>
      </c>
      <c r="J248" s="154"/>
      <c r="K248" s="155" t="s">
        <v>2966</v>
      </c>
    </row>
    <row r="249" spans="1:11" ht="25.5" hidden="1" x14ac:dyDescent="0.25">
      <c r="A249" s="148" t="s">
        <v>356</v>
      </c>
      <c r="B249" s="149" t="s">
        <v>3251</v>
      </c>
      <c r="C249" s="150" t="s">
        <v>106</v>
      </c>
      <c r="D249" s="150">
        <v>0</v>
      </c>
      <c r="E249" s="151">
        <f ca="1">OFFSET(INDEX(Composições!A:H,MATCH(Orçamentária!A249,Composições!A:A,0),8),2,0)</f>
        <v>42.286874999999995</v>
      </c>
      <c r="F249" s="152">
        <f t="shared" ca="1" si="11"/>
        <v>0</v>
      </c>
      <c r="G249" s="153">
        <f>IF($K249="Padrão",BDI!$B$17,IF($K249="Diferenciado",BDI!$E$17,0))</f>
        <v>0.2039</v>
      </c>
      <c r="H249" s="151">
        <f t="shared" ca="1" si="9"/>
        <v>50.91</v>
      </c>
      <c r="I249" s="152">
        <f t="shared" ca="1" si="10"/>
        <v>0</v>
      </c>
      <c r="J249" s="154"/>
      <c r="K249" s="155" t="s">
        <v>2966</v>
      </c>
    </row>
    <row r="250" spans="1:11" ht="25.5" hidden="1" x14ac:dyDescent="0.25">
      <c r="A250" s="148" t="s">
        <v>358</v>
      </c>
      <c r="B250" s="149" t="s">
        <v>3252</v>
      </c>
      <c r="C250" s="150" t="s">
        <v>106</v>
      </c>
      <c r="D250" s="150">
        <v>0</v>
      </c>
      <c r="E250" s="151">
        <f ca="1">OFFSET(INDEX(Composições!A:H,MATCH(Orçamentária!A250,Composições!A:A,0),8),2,0)</f>
        <v>42.286874999999995</v>
      </c>
      <c r="F250" s="152">
        <f t="shared" ca="1" si="11"/>
        <v>0</v>
      </c>
      <c r="G250" s="153">
        <f>IF($K250="Padrão",BDI!$B$17,IF($K250="Diferenciado",BDI!$E$17,0))</f>
        <v>0.2039</v>
      </c>
      <c r="H250" s="151">
        <f t="shared" ca="1" si="9"/>
        <v>50.91</v>
      </c>
      <c r="I250" s="152">
        <f t="shared" ca="1" si="10"/>
        <v>0</v>
      </c>
      <c r="J250" s="154"/>
      <c r="K250" s="155" t="s">
        <v>2966</v>
      </c>
    </row>
    <row r="251" spans="1:11" ht="25.5" hidden="1" x14ac:dyDescent="0.25">
      <c r="A251" s="148" t="s">
        <v>360</v>
      </c>
      <c r="B251" s="149" t="s">
        <v>3253</v>
      </c>
      <c r="C251" s="150" t="s">
        <v>106</v>
      </c>
      <c r="D251" s="150">
        <v>0</v>
      </c>
      <c r="E251" s="151">
        <f ca="1">OFFSET(INDEX(Composições!A:H,MATCH(Orçamentária!A251,Composições!A:A,0),8),2,0)</f>
        <v>28.19125</v>
      </c>
      <c r="F251" s="152">
        <f t="shared" ca="1" si="11"/>
        <v>0</v>
      </c>
      <c r="G251" s="153">
        <f>IF($K251="Padrão",BDI!$B$17,IF($K251="Diferenciado",BDI!$E$17,0))</f>
        <v>0.2039</v>
      </c>
      <c r="H251" s="151">
        <f t="shared" ca="1" si="9"/>
        <v>33.94</v>
      </c>
      <c r="I251" s="152">
        <f t="shared" ca="1" si="10"/>
        <v>0</v>
      </c>
      <c r="J251" s="154"/>
      <c r="K251" s="155" t="s">
        <v>2966</v>
      </c>
    </row>
    <row r="252" spans="1:11" ht="25.5" hidden="1" x14ac:dyDescent="0.25">
      <c r="A252" s="148" t="s">
        <v>362</v>
      </c>
      <c r="B252" s="149" t="s">
        <v>3254</v>
      </c>
      <c r="C252" s="150" t="s">
        <v>106</v>
      </c>
      <c r="D252" s="150">
        <v>0</v>
      </c>
      <c r="E252" s="151">
        <f ca="1">OFFSET(INDEX(Composições!A:H,MATCH(Orçamentária!A252,Composições!A:A,0),8),2,0)</f>
        <v>42.286874999999995</v>
      </c>
      <c r="F252" s="152">
        <f t="shared" ca="1" si="11"/>
        <v>0</v>
      </c>
      <c r="G252" s="153">
        <f>IF($K252="Padrão",BDI!$B$17,IF($K252="Diferenciado",BDI!$E$17,0))</f>
        <v>0.2039</v>
      </c>
      <c r="H252" s="151">
        <f t="shared" ca="1" si="9"/>
        <v>50.91</v>
      </c>
      <c r="I252" s="152">
        <f t="shared" ca="1" si="10"/>
        <v>0</v>
      </c>
      <c r="J252" s="154"/>
      <c r="K252" s="155" t="s">
        <v>2966</v>
      </c>
    </row>
    <row r="253" spans="1:11" ht="25.5" hidden="1" x14ac:dyDescent="0.25">
      <c r="A253" s="148" t="s">
        <v>364</v>
      </c>
      <c r="B253" s="149" t="s">
        <v>3255</v>
      </c>
      <c r="C253" s="150" t="s">
        <v>106</v>
      </c>
      <c r="D253" s="150">
        <v>0</v>
      </c>
      <c r="E253" s="151">
        <f ca="1">OFFSET(INDEX(Composições!A:H,MATCH(Orçamentária!A253,Composições!A:A,0),8),2,0)</f>
        <v>28.19125</v>
      </c>
      <c r="F253" s="152">
        <f t="shared" ca="1" si="11"/>
        <v>0</v>
      </c>
      <c r="G253" s="153">
        <f>IF($K253="Padrão",BDI!$B$17,IF($K253="Diferenciado",BDI!$E$17,0))</f>
        <v>0.2039</v>
      </c>
      <c r="H253" s="151">
        <f t="shared" ca="1" si="9"/>
        <v>33.94</v>
      </c>
      <c r="I253" s="152">
        <f t="shared" ca="1" si="10"/>
        <v>0</v>
      </c>
      <c r="J253" s="154"/>
      <c r="K253" s="155" t="s">
        <v>2966</v>
      </c>
    </row>
    <row r="254" spans="1:11" hidden="1" x14ac:dyDescent="0.25">
      <c r="A254" s="148" t="s">
        <v>366</v>
      </c>
      <c r="B254" s="149" t="s">
        <v>3256</v>
      </c>
      <c r="C254" s="150" t="s">
        <v>106</v>
      </c>
      <c r="D254" s="150">
        <v>0</v>
      </c>
      <c r="E254" s="151">
        <f ca="1">OFFSET(INDEX(Composições!A:H,MATCH(Orçamentária!A254,Composições!A:A,0),8),2,0)</f>
        <v>27.378027199999998</v>
      </c>
      <c r="F254" s="152">
        <f t="shared" ca="1" si="11"/>
        <v>0</v>
      </c>
      <c r="G254" s="153">
        <f>IF($K254="Padrão",BDI!$B$17,IF($K254="Diferenciado",BDI!$E$17,0))</f>
        <v>0.2039</v>
      </c>
      <c r="H254" s="151">
        <f t="shared" ca="1" si="9"/>
        <v>32.96</v>
      </c>
      <c r="I254" s="152">
        <f t="shared" ca="1" si="10"/>
        <v>0</v>
      </c>
      <c r="J254" s="154"/>
      <c r="K254" s="155" t="s">
        <v>2966</v>
      </c>
    </row>
    <row r="255" spans="1:11" hidden="1" x14ac:dyDescent="0.25">
      <c r="A255" s="148" t="s">
        <v>367</v>
      </c>
      <c r="B255" s="149" t="s">
        <v>3257</v>
      </c>
      <c r="C255" s="150" t="s">
        <v>106</v>
      </c>
      <c r="D255" s="150">
        <v>0</v>
      </c>
      <c r="E255" s="151">
        <f ca="1">OFFSET(INDEX(Composições!A:H,MATCH(Orçamentária!A255,Composições!A:A,0),8),2,0)</f>
        <v>21.436822200000002</v>
      </c>
      <c r="F255" s="152">
        <f t="shared" ca="1" si="11"/>
        <v>0</v>
      </c>
      <c r="G255" s="153">
        <f>IF($K255="Padrão",BDI!$B$17,IF($K255="Diferenciado",BDI!$E$17,0))</f>
        <v>0.2039</v>
      </c>
      <c r="H255" s="151">
        <f t="shared" ca="1" si="9"/>
        <v>25.81</v>
      </c>
      <c r="I255" s="152">
        <f t="shared" ca="1" si="10"/>
        <v>0</v>
      </c>
      <c r="J255" s="154"/>
      <c r="K255" s="155" t="s">
        <v>2966</v>
      </c>
    </row>
    <row r="256" spans="1:11" hidden="1" x14ac:dyDescent="0.25">
      <c r="A256" s="148" t="s">
        <v>368</v>
      </c>
      <c r="B256" s="149" t="s">
        <v>3258</v>
      </c>
      <c r="C256" s="150" t="s">
        <v>106</v>
      </c>
      <c r="D256" s="150">
        <v>0</v>
      </c>
      <c r="E256" s="151">
        <f ca="1">OFFSET(INDEX(Composições!A:H,MATCH(Orçamentária!A256,Composições!A:A,0),8),2,0)</f>
        <v>16.316107500000001</v>
      </c>
      <c r="F256" s="152">
        <f t="shared" ca="1" si="11"/>
        <v>0</v>
      </c>
      <c r="G256" s="153">
        <f>IF($K256="Padrão",BDI!$B$17,IF($K256="Diferenciado",BDI!$E$17,0))</f>
        <v>0.2039</v>
      </c>
      <c r="H256" s="151">
        <f t="shared" ca="1" si="9"/>
        <v>19.64</v>
      </c>
      <c r="I256" s="152">
        <f t="shared" ca="1" si="10"/>
        <v>0</v>
      </c>
      <c r="J256" s="154"/>
      <c r="K256" s="155" t="s">
        <v>2966</v>
      </c>
    </row>
    <row r="257" spans="1:11" hidden="1" x14ac:dyDescent="0.25">
      <c r="A257" s="148" t="s">
        <v>369</v>
      </c>
      <c r="B257" s="149" t="s">
        <v>3259</v>
      </c>
      <c r="C257" s="150" t="s">
        <v>106</v>
      </c>
      <c r="D257" s="150">
        <v>0</v>
      </c>
      <c r="E257" s="151">
        <f ca="1">OFFSET(INDEX(Composições!A:H,MATCH(Orçamentária!A257,Composições!A:A,0),8),2,0)</f>
        <v>13.4005575</v>
      </c>
      <c r="F257" s="152">
        <f t="shared" ca="1" si="11"/>
        <v>0</v>
      </c>
      <c r="G257" s="153">
        <f>IF($K257="Padrão",BDI!$B$17,IF($K257="Diferenciado",BDI!$E$17,0))</f>
        <v>0.2039</v>
      </c>
      <c r="H257" s="151">
        <f t="shared" ca="1" si="9"/>
        <v>16.13</v>
      </c>
      <c r="I257" s="152">
        <f t="shared" ca="1" si="10"/>
        <v>0</v>
      </c>
      <c r="J257" s="154"/>
      <c r="K257" s="155" t="s">
        <v>2966</v>
      </c>
    </row>
    <row r="258" spans="1:11" hidden="1" x14ac:dyDescent="0.25">
      <c r="A258" s="148" t="s">
        <v>370</v>
      </c>
      <c r="B258" s="149" t="s">
        <v>3260</v>
      </c>
      <c r="C258" s="150" t="s">
        <v>106</v>
      </c>
      <c r="D258" s="150">
        <v>0</v>
      </c>
      <c r="E258" s="151">
        <f ca="1">OFFSET(INDEX(Composições!A:H,MATCH(Orçamentária!A258,Composições!A:A,0),8),2,0)</f>
        <v>26.080562799999999</v>
      </c>
      <c r="F258" s="152">
        <f t="shared" ca="1" si="11"/>
        <v>0</v>
      </c>
      <c r="G258" s="153">
        <f>IF($K258="Padrão",BDI!$B$17,IF($K258="Diferenciado",BDI!$E$17,0))</f>
        <v>0.2039</v>
      </c>
      <c r="H258" s="151">
        <f t="shared" ca="1" si="9"/>
        <v>31.4</v>
      </c>
      <c r="I258" s="152">
        <f t="shared" ca="1" si="10"/>
        <v>0</v>
      </c>
      <c r="J258" s="154"/>
      <c r="K258" s="155" t="s">
        <v>2966</v>
      </c>
    </row>
    <row r="259" spans="1:11" hidden="1" x14ac:dyDescent="0.25">
      <c r="A259" s="148" t="s">
        <v>375</v>
      </c>
      <c r="B259" s="149" t="s">
        <v>3261</v>
      </c>
      <c r="C259" s="150" t="s">
        <v>18</v>
      </c>
      <c r="D259" s="150">
        <v>0</v>
      </c>
      <c r="E259" s="151">
        <f ca="1">OFFSET(INDEX(Composições!A:H,MATCH(Orçamentária!A259,Composições!A:A,0),8),2,0)</f>
        <v>11.248807499999998</v>
      </c>
      <c r="F259" s="152">
        <f t="shared" ca="1" si="11"/>
        <v>0</v>
      </c>
      <c r="G259" s="153">
        <f>IF($K259="Padrão",BDI!$B$17,IF($K259="Diferenciado",BDI!$E$17,0))</f>
        <v>0.2039</v>
      </c>
      <c r="H259" s="151">
        <f t="shared" ca="1" si="9"/>
        <v>13.54</v>
      </c>
      <c r="I259" s="152">
        <f t="shared" ca="1" si="10"/>
        <v>0</v>
      </c>
      <c r="J259" s="154"/>
      <c r="K259" s="155" t="s">
        <v>2966</v>
      </c>
    </row>
    <row r="260" spans="1:11" hidden="1" x14ac:dyDescent="0.25">
      <c r="A260" s="148" t="s">
        <v>376</v>
      </c>
      <c r="B260" s="149" t="s">
        <v>3262</v>
      </c>
      <c r="C260" s="150" t="s">
        <v>18</v>
      </c>
      <c r="D260" s="150">
        <v>0</v>
      </c>
      <c r="E260" s="151">
        <f ca="1">OFFSET(INDEX(Composições!A:H,MATCH(Orçamentária!A260,Composições!A:A,0),8),2,0)</f>
        <v>17.632427499999999</v>
      </c>
      <c r="F260" s="152">
        <f t="shared" ca="1" si="11"/>
        <v>0</v>
      </c>
      <c r="G260" s="153">
        <f>IF($K260="Padrão",BDI!$B$17,IF($K260="Diferenciado",BDI!$E$17,0))</f>
        <v>0.2039</v>
      </c>
      <c r="H260" s="151">
        <f t="shared" ca="1" si="9"/>
        <v>21.23</v>
      </c>
      <c r="I260" s="152">
        <f t="shared" ca="1" si="10"/>
        <v>0</v>
      </c>
      <c r="J260" s="154"/>
      <c r="K260" s="155" t="s">
        <v>2966</v>
      </c>
    </row>
    <row r="261" spans="1:11" hidden="1" x14ac:dyDescent="0.25">
      <c r="A261" s="148" t="s">
        <v>377</v>
      </c>
      <c r="B261" s="149" t="s">
        <v>3263</v>
      </c>
      <c r="C261" s="150" t="s">
        <v>18</v>
      </c>
      <c r="D261" s="150">
        <v>0</v>
      </c>
      <c r="E261" s="151">
        <f ca="1">OFFSET(INDEX(Composições!A:H,MATCH(Orçamentária!A261,Composições!A:A,0),8),2,0)</f>
        <v>9.4529274999999995</v>
      </c>
      <c r="F261" s="152">
        <f t="shared" ca="1" si="11"/>
        <v>0</v>
      </c>
      <c r="G261" s="153">
        <f>IF($K261="Padrão",BDI!$B$17,IF($K261="Diferenciado",BDI!$E$17,0))</f>
        <v>0.2039</v>
      </c>
      <c r="H261" s="151">
        <f t="shared" ca="1" si="9"/>
        <v>11.38</v>
      </c>
      <c r="I261" s="152">
        <f t="shared" ca="1" si="10"/>
        <v>0</v>
      </c>
      <c r="J261" s="154"/>
      <c r="K261" s="155" t="s">
        <v>2966</v>
      </c>
    </row>
    <row r="262" spans="1:11" hidden="1" x14ac:dyDescent="0.25">
      <c r="A262" s="148" t="s">
        <v>379</v>
      </c>
      <c r="B262" s="149" t="s">
        <v>3264</v>
      </c>
      <c r="C262" s="150" t="s">
        <v>18</v>
      </c>
      <c r="D262" s="150">
        <v>0</v>
      </c>
      <c r="E262" s="151">
        <f ca="1">OFFSET(INDEX(Composições!A:H,MATCH(Orçamentária!A262,Composições!A:A,0),8),2,0)</f>
        <v>8.457374999999999</v>
      </c>
      <c r="F262" s="152">
        <f t="shared" ca="1" si="11"/>
        <v>0</v>
      </c>
      <c r="G262" s="153">
        <f>IF($K262="Padrão",BDI!$B$17,IF($K262="Diferenciado",BDI!$E$17,0))</f>
        <v>0.2039</v>
      </c>
      <c r="H262" s="151">
        <f t="shared" ref="H262:H325" ca="1" si="12">IF(ISNUMBER(E262),ROUND(E262*(1+G262),2),"")</f>
        <v>10.18</v>
      </c>
      <c r="I262" s="152">
        <f t="shared" ref="I262:I325" ca="1" si="13">IF(ISNUMBER(E262),ROUND(H262*D262,2),"")</f>
        <v>0</v>
      </c>
      <c r="J262" s="154"/>
      <c r="K262" s="155" t="s">
        <v>2966</v>
      </c>
    </row>
    <row r="263" spans="1:11" hidden="1" x14ac:dyDescent="0.25">
      <c r="A263" s="148" t="s">
        <v>382</v>
      </c>
      <c r="B263" s="149" t="s">
        <v>3265</v>
      </c>
      <c r="C263" s="150" t="s">
        <v>18</v>
      </c>
      <c r="D263" s="150">
        <v>0</v>
      </c>
      <c r="E263" s="151">
        <f ca="1">OFFSET(INDEX(Composições!A:H,MATCH(Orçamentária!A263,Composições!A:A,0),8),2,0)</f>
        <v>3.1435500000000003</v>
      </c>
      <c r="F263" s="152">
        <f t="shared" ref="F263:F326" ca="1" si="14">IF(ISNUMBER(E263),D263*E263,"")</f>
        <v>0</v>
      </c>
      <c r="G263" s="153">
        <f>IF($K263="Padrão",BDI!$B$17,IF($K263="Diferenciado",BDI!$E$17,0))</f>
        <v>0.2039</v>
      </c>
      <c r="H263" s="151">
        <f t="shared" ca="1" si="12"/>
        <v>3.78</v>
      </c>
      <c r="I263" s="152">
        <f t="shared" ca="1" si="13"/>
        <v>0</v>
      </c>
      <c r="J263" s="154"/>
      <c r="K263" s="155" t="s">
        <v>2966</v>
      </c>
    </row>
    <row r="264" spans="1:11" hidden="1" x14ac:dyDescent="0.25">
      <c r="A264" s="148" t="s">
        <v>384</v>
      </c>
      <c r="B264" s="149" t="s">
        <v>3266</v>
      </c>
      <c r="C264" s="150" t="s">
        <v>18</v>
      </c>
      <c r="D264" s="150">
        <v>0</v>
      </c>
      <c r="E264" s="151">
        <f ca="1">OFFSET(INDEX(Composições!A:H,MATCH(Orçamentária!A264,Composições!A:A,0),8),2,0)</f>
        <v>30.251752499999998</v>
      </c>
      <c r="F264" s="152">
        <f t="shared" ca="1" si="14"/>
        <v>0</v>
      </c>
      <c r="G264" s="153">
        <f>IF($K264="Padrão",BDI!$B$17,IF($K264="Diferenciado",BDI!$E$17,0))</f>
        <v>0.2039</v>
      </c>
      <c r="H264" s="151">
        <f t="shared" ca="1" si="12"/>
        <v>36.42</v>
      </c>
      <c r="I264" s="152">
        <f t="shared" ca="1" si="13"/>
        <v>0</v>
      </c>
      <c r="J264" s="154"/>
      <c r="K264" s="155" t="s">
        <v>2966</v>
      </c>
    </row>
    <row r="265" spans="1:11" hidden="1" x14ac:dyDescent="0.25">
      <c r="A265" s="148" t="s">
        <v>385</v>
      </c>
      <c r="B265" s="149" t="s">
        <v>3267</v>
      </c>
      <c r="C265" s="150" t="s">
        <v>18</v>
      </c>
      <c r="D265" s="150">
        <v>0</v>
      </c>
      <c r="E265" s="151">
        <f ca="1">OFFSET(INDEX(Composições!A:H,MATCH(Orçamentária!A265,Composições!A:A,0),8),2,0)</f>
        <v>22.580739999999999</v>
      </c>
      <c r="F265" s="152">
        <f t="shared" ca="1" si="14"/>
        <v>0</v>
      </c>
      <c r="G265" s="153">
        <f>IF($K265="Padrão",BDI!$B$17,IF($K265="Diferenciado",BDI!$E$17,0))</f>
        <v>0.2039</v>
      </c>
      <c r="H265" s="151">
        <f t="shared" ca="1" si="12"/>
        <v>27.18</v>
      </c>
      <c r="I265" s="152">
        <f t="shared" ca="1" si="13"/>
        <v>0</v>
      </c>
      <c r="J265" s="154"/>
      <c r="K265" s="155" t="s">
        <v>2966</v>
      </c>
    </row>
    <row r="266" spans="1:11" hidden="1" x14ac:dyDescent="0.25">
      <c r="A266" s="148" t="s">
        <v>386</v>
      </c>
      <c r="B266" s="149" t="s">
        <v>387</v>
      </c>
      <c r="C266" s="150" t="s">
        <v>18</v>
      </c>
      <c r="D266" s="150">
        <v>0</v>
      </c>
      <c r="E266" s="151">
        <f ca="1">OFFSET(INDEX(Composições!A:H,MATCH(Orçamentária!A266,Composições!A:A,0),8),2,0)</f>
        <v>3.1435500000000003</v>
      </c>
      <c r="F266" s="152">
        <f t="shared" ca="1" si="14"/>
        <v>0</v>
      </c>
      <c r="G266" s="153">
        <f>IF($K266="Padrão",BDI!$B$17,IF($K266="Diferenciado",BDI!$E$17,0))</f>
        <v>0.2039</v>
      </c>
      <c r="H266" s="151">
        <f t="shared" ca="1" si="12"/>
        <v>3.78</v>
      </c>
      <c r="I266" s="152">
        <f t="shared" ca="1" si="13"/>
        <v>0</v>
      </c>
      <c r="J266" s="154"/>
      <c r="K266" s="155" t="s">
        <v>2966</v>
      </c>
    </row>
    <row r="267" spans="1:11" hidden="1" x14ac:dyDescent="0.25">
      <c r="A267" s="148" t="s">
        <v>388</v>
      </c>
      <c r="B267" s="149" t="s">
        <v>3268</v>
      </c>
      <c r="C267" s="150" t="s">
        <v>18</v>
      </c>
      <c r="D267" s="150">
        <v>0</v>
      </c>
      <c r="E267" s="151">
        <f ca="1">OFFSET(INDEX(Composições!A:H,MATCH(Orçamentária!A267,Composições!A:A,0),8),2,0)</f>
        <v>17.8732525</v>
      </c>
      <c r="F267" s="152">
        <f t="shared" ca="1" si="14"/>
        <v>0</v>
      </c>
      <c r="G267" s="153">
        <f>IF($K267="Padrão",BDI!$B$17,IF($K267="Diferenciado",BDI!$E$17,0))</f>
        <v>0.2039</v>
      </c>
      <c r="H267" s="151">
        <f t="shared" ca="1" si="12"/>
        <v>21.52</v>
      </c>
      <c r="I267" s="152">
        <f t="shared" ca="1" si="13"/>
        <v>0</v>
      </c>
      <c r="J267" s="154"/>
      <c r="K267" s="155" t="s">
        <v>2966</v>
      </c>
    </row>
    <row r="268" spans="1:11" hidden="1" x14ac:dyDescent="0.25">
      <c r="A268" s="148" t="s">
        <v>390</v>
      </c>
      <c r="B268" s="149" t="s">
        <v>3269</v>
      </c>
      <c r="C268" s="150" t="s">
        <v>18</v>
      </c>
      <c r="D268" s="150">
        <v>0</v>
      </c>
      <c r="E268" s="151">
        <f ca="1">OFFSET(INDEX(Composições!A:H,MATCH(Orçamentária!A268,Composições!A:A,0),8),2,0)</f>
        <v>24.465064999999999</v>
      </c>
      <c r="F268" s="152">
        <f t="shared" ca="1" si="14"/>
        <v>0</v>
      </c>
      <c r="G268" s="153">
        <f>IF($K268="Padrão",BDI!$B$17,IF($K268="Diferenciado",BDI!$E$17,0))</f>
        <v>0.2039</v>
      </c>
      <c r="H268" s="151">
        <f t="shared" ca="1" si="12"/>
        <v>29.45</v>
      </c>
      <c r="I268" s="152">
        <f t="shared" ca="1" si="13"/>
        <v>0</v>
      </c>
      <c r="J268" s="154"/>
      <c r="K268" s="155" t="s">
        <v>2966</v>
      </c>
    </row>
    <row r="269" spans="1:11" hidden="1" x14ac:dyDescent="0.25">
      <c r="A269" s="148" t="s">
        <v>391</v>
      </c>
      <c r="B269" s="149" t="s">
        <v>3270</v>
      </c>
      <c r="C269" s="150" t="s">
        <v>18</v>
      </c>
      <c r="D269" s="150">
        <v>0</v>
      </c>
      <c r="E269" s="151">
        <f ca="1">OFFSET(INDEX(Composições!A:H,MATCH(Orçamentária!A269,Composições!A:A,0),8),2,0)</f>
        <v>27.486065</v>
      </c>
      <c r="F269" s="152">
        <f t="shared" ca="1" si="14"/>
        <v>0</v>
      </c>
      <c r="G269" s="153">
        <f>IF($K269="Padrão",BDI!$B$17,IF($K269="Diferenciado",BDI!$E$17,0))</f>
        <v>0.2039</v>
      </c>
      <c r="H269" s="151">
        <f t="shared" ca="1" si="12"/>
        <v>33.090000000000003</v>
      </c>
      <c r="I269" s="152">
        <f t="shared" ca="1" si="13"/>
        <v>0</v>
      </c>
      <c r="J269" s="154"/>
      <c r="K269" s="155" t="s">
        <v>2966</v>
      </c>
    </row>
    <row r="270" spans="1:11" hidden="1" x14ac:dyDescent="0.25">
      <c r="A270" s="148" t="s">
        <v>392</v>
      </c>
      <c r="B270" s="149" t="s">
        <v>393</v>
      </c>
      <c r="C270" s="150" t="s">
        <v>18</v>
      </c>
      <c r="D270" s="150">
        <v>0</v>
      </c>
      <c r="E270" s="151">
        <f ca="1">OFFSET(INDEX(Composições!A:H,MATCH(Orçamentária!A270,Composições!A:A,0),8),2,0)</f>
        <v>9.8669374999999988</v>
      </c>
      <c r="F270" s="152">
        <f t="shared" ca="1" si="14"/>
        <v>0</v>
      </c>
      <c r="G270" s="153">
        <f>IF($K270="Padrão",BDI!$B$17,IF($K270="Diferenciado",BDI!$E$17,0))</f>
        <v>0.2039</v>
      </c>
      <c r="H270" s="151">
        <f t="shared" ca="1" si="12"/>
        <v>11.88</v>
      </c>
      <c r="I270" s="152">
        <f t="shared" ca="1" si="13"/>
        <v>0</v>
      </c>
      <c r="J270" s="154"/>
      <c r="K270" s="155" t="s">
        <v>2966</v>
      </c>
    </row>
    <row r="271" spans="1:11" hidden="1" x14ac:dyDescent="0.25">
      <c r="A271" s="148" t="s">
        <v>394</v>
      </c>
      <c r="B271" s="149" t="s">
        <v>3271</v>
      </c>
      <c r="C271" s="150" t="s">
        <v>18</v>
      </c>
      <c r="D271" s="150">
        <v>0</v>
      </c>
      <c r="E271" s="151">
        <f ca="1">OFFSET(INDEX(Composições!A:H,MATCH(Orçamentária!A271,Composições!A:A,0),8),2,0)</f>
        <v>2.4946999999999999</v>
      </c>
      <c r="F271" s="152">
        <f t="shared" ca="1" si="14"/>
        <v>0</v>
      </c>
      <c r="G271" s="153">
        <f>IF($K271="Padrão",BDI!$B$17,IF($K271="Diferenciado",BDI!$E$17,0))</f>
        <v>0.2039</v>
      </c>
      <c r="H271" s="151">
        <f t="shared" ca="1" si="12"/>
        <v>3</v>
      </c>
      <c r="I271" s="152">
        <f t="shared" ca="1" si="13"/>
        <v>0</v>
      </c>
      <c r="J271" s="154"/>
      <c r="K271" s="155" t="s">
        <v>2966</v>
      </c>
    </row>
    <row r="272" spans="1:11" hidden="1" x14ac:dyDescent="0.25">
      <c r="A272" s="148" t="s">
        <v>396</v>
      </c>
      <c r="B272" s="149" t="s">
        <v>3272</v>
      </c>
      <c r="C272" s="150" t="s">
        <v>18</v>
      </c>
      <c r="D272" s="150">
        <v>0</v>
      </c>
      <c r="E272" s="151">
        <f ca="1">OFFSET(INDEX(Composições!A:H,MATCH(Orçamentária!A272,Composições!A:A,0),8),2,0)</f>
        <v>2.4946999999999999</v>
      </c>
      <c r="F272" s="152">
        <f t="shared" ca="1" si="14"/>
        <v>0</v>
      </c>
      <c r="G272" s="153">
        <f>IF($K272="Padrão",BDI!$B$17,IF($K272="Diferenciado",BDI!$E$17,0))</f>
        <v>0.2039</v>
      </c>
      <c r="H272" s="151">
        <f t="shared" ca="1" si="12"/>
        <v>3</v>
      </c>
      <c r="I272" s="152">
        <f t="shared" ca="1" si="13"/>
        <v>0</v>
      </c>
      <c r="J272" s="154"/>
      <c r="K272" s="155" t="s">
        <v>2966</v>
      </c>
    </row>
    <row r="273" spans="1:11" hidden="1" x14ac:dyDescent="0.25">
      <c r="A273" s="148" t="s">
        <v>398</v>
      </c>
      <c r="B273" s="149" t="s">
        <v>3273</v>
      </c>
      <c r="C273" s="150" t="s">
        <v>18</v>
      </c>
      <c r="D273" s="150">
        <v>0</v>
      </c>
      <c r="E273" s="151">
        <f ca="1">OFFSET(INDEX(Composições!A:H,MATCH(Orçamentária!A273,Composições!A:A,0),8),2,0)</f>
        <v>3.7420499999999999</v>
      </c>
      <c r="F273" s="152">
        <f t="shared" ca="1" si="14"/>
        <v>0</v>
      </c>
      <c r="G273" s="153">
        <f>IF($K273="Padrão",BDI!$B$17,IF($K273="Diferenciado",BDI!$E$17,0))</f>
        <v>0.2039</v>
      </c>
      <c r="H273" s="151">
        <f t="shared" ca="1" si="12"/>
        <v>4.51</v>
      </c>
      <c r="I273" s="152">
        <f t="shared" ca="1" si="13"/>
        <v>0</v>
      </c>
      <c r="J273" s="154"/>
      <c r="K273" s="155" t="s">
        <v>2966</v>
      </c>
    </row>
    <row r="274" spans="1:11" hidden="1" x14ac:dyDescent="0.25">
      <c r="A274" s="148" t="s">
        <v>400</v>
      </c>
      <c r="B274" s="149" t="s">
        <v>3274</v>
      </c>
      <c r="C274" s="150" t="s">
        <v>18</v>
      </c>
      <c r="D274" s="150">
        <v>0</v>
      </c>
      <c r="E274" s="151">
        <f ca="1">OFFSET(INDEX(Composições!A:H,MATCH(Orçamentária!A274,Composições!A:A,0),8),2,0)</f>
        <v>8.457374999999999</v>
      </c>
      <c r="F274" s="152">
        <f t="shared" ca="1" si="14"/>
        <v>0</v>
      </c>
      <c r="G274" s="153">
        <f>IF($K274="Padrão",BDI!$B$17,IF($K274="Diferenciado",BDI!$E$17,0))</f>
        <v>0.2039</v>
      </c>
      <c r="H274" s="151">
        <f t="shared" ca="1" si="12"/>
        <v>10.18</v>
      </c>
      <c r="I274" s="152">
        <f t="shared" ca="1" si="13"/>
        <v>0</v>
      </c>
      <c r="J274" s="154"/>
      <c r="K274" s="155" t="s">
        <v>2966</v>
      </c>
    </row>
    <row r="275" spans="1:11" hidden="1" x14ac:dyDescent="0.25">
      <c r="A275" s="148" t="s">
        <v>402</v>
      </c>
      <c r="B275" s="149" t="s">
        <v>3275</v>
      </c>
      <c r="C275" s="150" t="s">
        <v>18</v>
      </c>
      <c r="D275" s="150">
        <v>0</v>
      </c>
      <c r="E275" s="151">
        <f ca="1">OFFSET(INDEX(Composições!A:H,MATCH(Orçamentária!A275,Composições!A:A,0),8),2,0)</f>
        <v>17.8732525</v>
      </c>
      <c r="F275" s="152">
        <f t="shared" ca="1" si="14"/>
        <v>0</v>
      </c>
      <c r="G275" s="153">
        <f>IF($K275="Padrão",BDI!$B$17,IF($K275="Diferenciado",BDI!$E$17,0))</f>
        <v>0.2039</v>
      </c>
      <c r="H275" s="151">
        <f t="shared" ca="1" si="12"/>
        <v>21.52</v>
      </c>
      <c r="I275" s="152">
        <f t="shared" ca="1" si="13"/>
        <v>0</v>
      </c>
      <c r="J275" s="154"/>
      <c r="K275" s="155" t="s">
        <v>2966</v>
      </c>
    </row>
    <row r="276" spans="1:11" hidden="1" x14ac:dyDescent="0.25">
      <c r="A276" s="148" t="s">
        <v>404</v>
      </c>
      <c r="B276" s="149" t="s">
        <v>3276</v>
      </c>
      <c r="C276" s="150" t="s">
        <v>18</v>
      </c>
      <c r="D276" s="150">
        <v>0</v>
      </c>
      <c r="E276" s="151">
        <f ca="1">OFFSET(INDEX(Composições!A:H,MATCH(Orçamentária!A276,Composições!A:A,0),8),2,0)</f>
        <v>36.648625000000003</v>
      </c>
      <c r="F276" s="152">
        <f t="shared" ca="1" si="14"/>
        <v>0</v>
      </c>
      <c r="G276" s="153">
        <f>IF($K276="Padrão",BDI!$B$17,IF($K276="Diferenciado",BDI!$E$17,0))</f>
        <v>0.2039</v>
      </c>
      <c r="H276" s="151">
        <f t="shared" ca="1" si="12"/>
        <v>44.12</v>
      </c>
      <c r="I276" s="152">
        <f t="shared" ca="1" si="13"/>
        <v>0</v>
      </c>
      <c r="J276" s="154"/>
      <c r="K276" s="155" t="s">
        <v>2966</v>
      </c>
    </row>
    <row r="277" spans="1:11" hidden="1" x14ac:dyDescent="0.25">
      <c r="A277" s="148" t="s">
        <v>407</v>
      </c>
      <c r="B277" s="149" t="s">
        <v>3277</v>
      </c>
      <c r="C277" s="150" t="s">
        <v>18</v>
      </c>
      <c r="D277" s="150">
        <v>0</v>
      </c>
      <c r="E277" s="151">
        <f ca="1">OFFSET(INDEX(Composições!A:H,MATCH(Orçamentária!A277,Composições!A:A,0),8),2,0)</f>
        <v>7.0186539714000009</v>
      </c>
      <c r="F277" s="152">
        <f t="shared" ca="1" si="14"/>
        <v>0</v>
      </c>
      <c r="G277" s="153">
        <f>IF($K277="Padrão",BDI!$B$17,IF($K277="Diferenciado",BDI!$E$17,0))</f>
        <v>0.2039</v>
      </c>
      <c r="H277" s="151">
        <f t="shared" ca="1" si="12"/>
        <v>8.4499999999999993</v>
      </c>
      <c r="I277" s="152">
        <f t="shared" ca="1" si="13"/>
        <v>0</v>
      </c>
      <c r="J277" s="154"/>
      <c r="K277" s="155" t="s">
        <v>2966</v>
      </c>
    </row>
    <row r="278" spans="1:11" hidden="1" x14ac:dyDescent="0.25">
      <c r="A278" s="148" t="s">
        <v>409</v>
      </c>
      <c r="B278" s="149" t="s">
        <v>3278</v>
      </c>
      <c r="C278" s="150" t="s">
        <v>18</v>
      </c>
      <c r="D278" s="150">
        <v>0</v>
      </c>
      <c r="E278" s="151">
        <f ca="1">OFFSET(INDEX(Composições!A:H,MATCH(Orçamentária!A278,Composições!A:A,0),8),2,0)</f>
        <v>18.211233287500001</v>
      </c>
      <c r="F278" s="152">
        <f t="shared" ca="1" si="14"/>
        <v>0</v>
      </c>
      <c r="G278" s="153">
        <f>IF($K278="Padrão",BDI!$B$17,IF($K278="Diferenciado",BDI!$E$17,0))</f>
        <v>0.2039</v>
      </c>
      <c r="H278" s="151">
        <f t="shared" ca="1" si="12"/>
        <v>21.92</v>
      </c>
      <c r="I278" s="152">
        <f t="shared" ca="1" si="13"/>
        <v>0</v>
      </c>
      <c r="J278" s="154"/>
      <c r="K278" s="155" t="s">
        <v>2966</v>
      </c>
    </row>
    <row r="279" spans="1:11" hidden="1" x14ac:dyDescent="0.25">
      <c r="A279" s="148" t="s">
        <v>413</v>
      </c>
      <c r="B279" s="149" t="s">
        <v>3279</v>
      </c>
      <c r="C279" s="150" t="s">
        <v>18</v>
      </c>
      <c r="D279" s="150">
        <v>0</v>
      </c>
      <c r="E279" s="151">
        <f ca="1">OFFSET(INDEX(Composições!A:H,MATCH(Orçamentária!A279,Composições!A:A,0),8),2,0)</f>
        <v>18.211233287500001</v>
      </c>
      <c r="F279" s="152">
        <f t="shared" ca="1" si="14"/>
        <v>0</v>
      </c>
      <c r="G279" s="153">
        <f>IF($K279="Padrão",BDI!$B$17,IF($K279="Diferenciado",BDI!$E$17,0))</f>
        <v>0.2039</v>
      </c>
      <c r="H279" s="151">
        <f t="shared" ca="1" si="12"/>
        <v>21.92</v>
      </c>
      <c r="I279" s="152">
        <f t="shared" ca="1" si="13"/>
        <v>0</v>
      </c>
      <c r="J279" s="154"/>
      <c r="K279" s="155" t="s">
        <v>2966</v>
      </c>
    </row>
    <row r="280" spans="1:11" hidden="1" x14ac:dyDescent="0.25">
      <c r="A280" s="148" t="s">
        <v>416</v>
      </c>
      <c r="B280" s="149" t="s">
        <v>3280</v>
      </c>
      <c r="C280" s="150" t="s">
        <v>18</v>
      </c>
      <c r="D280" s="150">
        <v>0</v>
      </c>
      <c r="E280" s="151">
        <f ca="1">OFFSET(INDEX(Composições!A:H,MATCH(Orçamentária!A280,Composições!A:A,0),8),2,0)</f>
        <v>18.211233287500001</v>
      </c>
      <c r="F280" s="152">
        <f t="shared" ca="1" si="14"/>
        <v>0</v>
      </c>
      <c r="G280" s="153">
        <f>IF($K280="Padrão",BDI!$B$17,IF($K280="Diferenciado",BDI!$E$17,0))</f>
        <v>0.2039</v>
      </c>
      <c r="H280" s="151">
        <f t="shared" ca="1" si="12"/>
        <v>21.92</v>
      </c>
      <c r="I280" s="152">
        <f t="shared" ca="1" si="13"/>
        <v>0</v>
      </c>
      <c r="J280" s="154"/>
      <c r="K280" s="155" t="s">
        <v>2966</v>
      </c>
    </row>
    <row r="281" spans="1:11" hidden="1" x14ac:dyDescent="0.25">
      <c r="A281" s="148" t="s">
        <v>418</v>
      </c>
      <c r="B281" s="149" t="s">
        <v>3281</v>
      </c>
      <c r="C281" s="150" t="s">
        <v>18</v>
      </c>
      <c r="D281" s="150">
        <v>0</v>
      </c>
      <c r="E281" s="151">
        <f ca="1">OFFSET(INDEX(Composições!A:H,MATCH(Orçamentária!A281,Composições!A:A,0),8),2,0)</f>
        <v>18.211233287500001</v>
      </c>
      <c r="F281" s="152">
        <f t="shared" ca="1" si="14"/>
        <v>0</v>
      </c>
      <c r="G281" s="153">
        <f>IF($K281="Padrão",BDI!$B$17,IF($K281="Diferenciado",BDI!$E$17,0))</f>
        <v>0.2039</v>
      </c>
      <c r="H281" s="151">
        <f t="shared" ca="1" si="12"/>
        <v>21.92</v>
      </c>
      <c r="I281" s="152">
        <f t="shared" ca="1" si="13"/>
        <v>0</v>
      </c>
      <c r="J281" s="154"/>
      <c r="K281" s="155" t="s">
        <v>2966</v>
      </c>
    </row>
    <row r="282" spans="1:11" hidden="1" x14ac:dyDescent="0.25">
      <c r="A282" s="148" t="s">
        <v>421</v>
      </c>
      <c r="B282" s="149" t="s">
        <v>3282</v>
      </c>
      <c r="C282" s="150" t="s">
        <v>18</v>
      </c>
      <c r="D282" s="150">
        <v>0</v>
      </c>
      <c r="E282" s="151">
        <f ca="1">OFFSET(INDEX(Composições!A:H,MATCH(Orçamentária!A282,Composições!A:A,0),8),2,0)</f>
        <v>18.211233287500001</v>
      </c>
      <c r="F282" s="152">
        <f t="shared" ca="1" si="14"/>
        <v>0</v>
      </c>
      <c r="G282" s="153">
        <f>IF($K282="Padrão",BDI!$B$17,IF($K282="Diferenciado",BDI!$E$17,0))</f>
        <v>0.2039</v>
      </c>
      <c r="H282" s="151">
        <f t="shared" ca="1" si="12"/>
        <v>21.92</v>
      </c>
      <c r="I282" s="152">
        <f t="shared" ca="1" si="13"/>
        <v>0</v>
      </c>
      <c r="J282" s="154"/>
      <c r="K282" s="155" t="s">
        <v>2966</v>
      </c>
    </row>
    <row r="283" spans="1:11" hidden="1" x14ac:dyDescent="0.25">
      <c r="A283" s="148" t="s">
        <v>423</v>
      </c>
      <c r="B283" s="149" t="s">
        <v>3283</v>
      </c>
      <c r="C283" s="150" t="s">
        <v>106</v>
      </c>
      <c r="D283" s="150">
        <v>0</v>
      </c>
      <c r="E283" s="151">
        <f ca="1">OFFSET(INDEX(Composições!A:H,MATCH(Orçamentária!A283,Composições!A:A,0),8),2,0)</f>
        <v>0.55104750000000002</v>
      </c>
      <c r="F283" s="152">
        <f t="shared" ca="1" si="14"/>
        <v>0</v>
      </c>
      <c r="G283" s="153">
        <f>IF($K283="Padrão",BDI!$B$17,IF($K283="Diferenciado",BDI!$E$17,0))</f>
        <v>0.2039</v>
      </c>
      <c r="H283" s="151">
        <f t="shared" ca="1" si="12"/>
        <v>0.66</v>
      </c>
      <c r="I283" s="152">
        <f t="shared" ca="1" si="13"/>
        <v>0</v>
      </c>
      <c r="J283" s="154"/>
      <c r="K283" s="155" t="s">
        <v>2966</v>
      </c>
    </row>
    <row r="284" spans="1:11" hidden="1" x14ac:dyDescent="0.25">
      <c r="A284" s="148" t="s">
        <v>425</v>
      </c>
      <c r="B284" s="149" t="s">
        <v>3284</v>
      </c>
      <c r="C284" s="150" t="s">
        <v>106</v>
      </c>
      <c r="D284" s="150">
        <v>0</v>
      </c>
      <c r="E284" s="151">
        <f ca="1">OFFSET(INDEX(Composições!A:H,MATCH(Orçamentária!A284,Composições!A:A,0),8),2,0)</f>
        <v>0.77657750000000003</v>
      </c>
      <c r="F284" s="152">
        <f t="shared" ca="1" si="14"/>
        <v>0</v>
      </c>
      <c r="G284" s="153">
        <f>IF($K284="Padrão",BDI!$B$17,IF($K284="Diferenciado",BDI!$E$17,0))</f>
        <v>0.2039</v>
      </c>
      <c r="H284" s="151">
        <f t="shared" ca="1" si="12"/>
        <v>0.93</v>
      </c>
      <c r="I284" s="152">
        <f t="shared" ca="1" si="13"/>
        <v>0</v>
      </c>
      <c r="J284" s="154"/>
      <c r="K284" s="155" t="s">
        <v>2966</v>
      </c>
    </row>
    <row r="285" spans="1:11" hidden="1" x14ac:dyDescent="0.25">
      <c r="A285" s="148" t="s">
        <v>427</v>
      </c>
      <c r="B285" s="149" t="s">
        <v>3285</v>
      </c>
      <c r="C285" s="150" t="s">
        <v>106</v>
      </c>
      <c r="D285" s="150">
        <v>0</v>
      </c>
      <c r="E285" s="151">
        <f ca="1">OFFSET(INDEX(Composições!A:H,MATCH(Orçamentária!A285,Composições!A:A,0),8),2,0)</f>
        <v>1.6760812</v>
      </c>
      <c r="F285" s="152">
        <f t="shared" ca="1" si="14"/>
        <v>0</v>
      </c>
      <c r="G285" s="153">
        <f>IF($K285="Padrão",BDI!$B$17,IF($K285="Diferenciado",BDI!$E$17,0))</f>
        <v>0.2039</v>
      </c>
      <c r="H285" s="151">
        <f t="shared" ca="1" si="12"/>
        <v>2.02</v>
      </c>
      <c r="I285" s="152">
        <f t="shared" ca="1" si="13"/>
        <v>0</v>
      </c>
      <c r="J285" s="154"/>
      <c r="K285" s="155" t="s">
        <v>2966</v>
      </c>
    </row>
    <row r="286" spans="1:11" hidden="1" x14ac:dyDescent="0.25">
      <c r="A286" s="148" t="s">
        <v>429</v>
      </c>
      <c r="B286" s="149" t="s">
        <v>3286</v>
      </c>
      <c r="C286" s="150" t="s">
        <v>106</v>
      </c>
      <c r="D286" s="150">
        <v>0</v>
      </c>
      <c r="E286" s="151">
        <f ca="1">OFFSET(INDEX(Composições!A:H,MATCH(Orçamentária!A286,Composições!A:A,0),8),2,0)</f>
        <v>2.9164961999999997</v>
      </c>
      <c r="F286" s="152">
        <f t="shared" ca="1" si="14"/>
        <v>0</v>
      </c>
      <c r="G286" s="153">
        <f>IF($K286="Padrão",BDI!$B$17,IF($K286="Diferenciado",BDI!$E$17,0))</f>
        <v>0.2039</v>
      </c>
      <c r="H286" s="151">
        <f t="shared" ca="1" si="12"/>
        <v>3.51</v>
      </c>
      <c r="I286" s="152">
        <f t="shared" ca="1" si="13"/>
        <v>0</v>
      </c>
      <c r="J286" s="154"/>
      <c r="K286" s="155" t="s">
        <v>2966</v>
      </c>
    </row>
    <row r="287" spans="1:11" hidden="1" x14ac:dyDescent="0.25">
      <c r="A287" s="148" t="s">
        <v>431</v>
      </c>
      <c r="B287" s="149" t="s">
        <v>3287</v>
      </c>
      <c r="C287" s="150" t="s">
        <v>106</v>
      </c>
      <c r="D287" s="150">
        <v>0</v>
      </c>
      <c r="E287" s="151">
        <f ca="1">OFFSET(INDEX(Composições!A:H,MATCH(Orçamentária!A287,Composições!A:A,0),8),2,0)</f>
        <v>2.2399062000000001</v>
      </c>
      <c r="F287" s="152">
        <f t="shared" ca="1" si="14"/>
        <v>0</v>
      </c>
      <c r="G287" s="153">
        <f>IF($K287="Padrão",BDI!$B$17,IF($K287="Diferenciado",BDI!$E$17,0))</f>
        <v>0.2039</v>
      </c>
      <c r="H287" s="151">
        <f t="shared" ca="1" si="12"/>
        <v>2.7</v>
      </c>
      <c r="I287" s="152">
        <f t="shared" ca="1" si="13"/>
        <v>0</v>
      </c>
      <c r="J287" s="154"/>
      <c r="K287" s="155" t="s">
        <v>2966</v>
      </c>
    </row>
    <row r="288" spans="1:11" hidden="1" x14ac:dyDescent="0.25">
      <c r="A288" s="148" t="s">
        <v>433</v>
      </c>
      <c r="B288" s="149" t="s">
        <v>3288</v>
      </c>
      <c r="C288" s="150" t="s">
        <v>106</v>
      </c>
      <c r="D288" s="150">
        <v>0</v>
      </c>
      <c r="E288" s="151">
        <f ca="1">OFFSET(INDEX(Composições!A:H,MATCH(Orçamentária!A288,Composições!A:A,0),8),2,0)</f>
        <v>0.55104750000000002</v>
      </c>
      <c r="F288" s="152">
        <f t="shared" ca="1" si="14"/>
        <v>0</v>
      </c>
      <c r="G288" s="153">
        <f>IF($K288="Padrão",BDI!$B$17,IF($K288="Diferenciado",BDI!$E$17,0))</f>
        <v>0.2039</v>
      </c>
      <c r="H288" s="151">
        <f t="shared" ca="1" si="12"/>
        <v>0.66</v>
      </c>
      <c r="I288" s="152">
        <f t="shared" ca="1" si="13"/>
        <v>0</v>
      </c>
      <c r="J288" s="154"/>
      <c r="K288" s="155" t="s">
        <v>2966</v>
      </c>
    </row>
    <row r="289" spans="1:11" hidden="1" x14ac:dyDescent="0.25">
      <c r="A289" s="148" t="s">
        <v>435</v>
      </c>
      <c r="B289" s="149" t="s">
        <v>3289</v>
      </c>
      <c r="C289" s="150" t="s">
        <v>106</v>
      </c>
      <c r="D289" s="150">
        <v>0</v>
      </c>
      <c r="E289" s="151">
        <f ca="1">OFFSET(INDEX(Composições!A:H,MATCH(Orçamentária!A289,Composições!A:A,0),8),2,0)</f>
        <v>2.9164961999999997</v>
      </c>
      <c r="F289" s="152">
        <f t="shared" ca="1" si="14"/>
        <v>0</v>
      </c>
      <c r="G289" s="153">
        <f>IF($K289="Padrão",BDI!$B$17,IF($K289="Diferenciado",BDI!$E$17,0))</f>
        <v>0.2039</v>
      </c>
      <c r="H289" s="151">
        <f t="shared" ca="1" si="12"/>
        <v>3.51</v>
      </c>
      <c r="I289" s="152">
        <f t="shared" ca="1" si="13"/>
        <v>0</v>
      </c>
      <c r="J289" s="154"/>
      <c r="K289" s="155" t="s">
        <v>2966</v>
      </c>
    </row>
    <row r="290" spans="1:11" hidden="1" x14ac:dyDescent="0.25">
      <c r="A290" s="148" t="s">
        <v>437</v>
      </c>
      <c r="B290" s="149" t="s">
        <v>3290</v>
      </c>
      <c r="C290" s="150" t="s">
        <v>18</v>
      </c>
      <c r="D290" s="150">
        <v>0</v>
      </c>
      <c r="E290" s="151">
        <f ca="1">OFFSET(INDEX(Composições!A:H,MATCH(Orçamentária!A290,Composições!A:A,0),8),2,0)</f>
        <v>243.11673368864001</v>
      </c>
      <c r="F290" s="152">
        <f t="shared" ca="1" si="14"/>
        <v>0</v>
      </c>
      <c r="G290" s="153">
        <f>IF($K290="Padrão",BDI!$B$17,IF($K290="Diferenciado",BDI!$E$17,0))</f>
        <v>0.2039</v>
      </c>
      <c r="H290" s="151">
        <f t="shared" ca="1" si="12"/>
        <v>292.69</v>
      </c>
      <c r="I290" s="152">
        <f t="shared" ca="1" si="13"/>
        <v>0</v>
      </c>
      <c r="J290" s="154"/>
      <c r="K290" s="155" t="s">
        <v>2966</v>
      </c>
    </row>
    <row r="291" spans="1:11" hidden="1" x14ac:dyDescent="0.25">
      <c r="A291" s="148" t="s">
        <v>439</v>
      </c>
      <c r="B291" s="149" t="s">
        <v>440</v>
      </c>
      <c r="C291" s="150" t="s">
        <v>18</v>
      </c>
      <c r="D291" s="150">
        <v>0</v>
      </c>
      <c r="E291" s="151">
        <f ca="1">OFFSET(INDEX(Composições!A:H,MATCH(Orçamentária!A291,Composições!A:A,0),8),2,0)</f>
        <v>616.65277764999996</v>
      </c>
      <c r="F291" s="152">
        <f t="shared" ca="1" si="14"/>
        <v>0</v>
      </c>
      <c r="G291" s="153">
        <f>IF($K291="Padrão",BDI!$B$17,IF($K291="Diferenciado",BDI!$E$17,0))</f>
        <v>0.2039</v>
      </c>
      <c r="H291" s="151">
        <f t="shared" ca="1" si="12"/>
        <v>742.39</v>
      </c>
      <c r="I291" s="152">
        <f t="shared" ca="1" si="13"/>
        <v>0</v>
      </c>
      <c r="J291" s="154"/>
      <c r="K291" s="155" t="s">
        <v>2966</v>
      </c>
    </row>
    <row r="292" spans="1:11" hidden="1" x14ac:dyDescent="0.25">
      <c r="A292" s="148" t="s">
        <v>441</v>
      </c>
      <c r="B292" s="149" t="s">
        <v>442</v>
      </c>
      <c r="C292" s="150" t="s">
        <v>18</v>
      </c>
      <c r="D292" s="150">
        <v>0</v>
      </c>
      <c r="E292" s="151">
        <f ca="1">OFFSET(INDEX(Composições!A:H,MATCH(Orçamentária!A292,Composições!A:A,0),8),2,0)</f>
        <v>218.04877374999998</v>
      </c>
      <c r="F292" s="152">
        <f t="shared" ca="1" si="14"/>
        <v>0</v>
      </c>
      <c r="G292" s="153">
        <f>IF($K292="Padrão",BDI!$B$17,IF($K292="Diferenciado",BDI!$E$17,0))</f>
        <v>0.2039</v>
      </c>
      <c r="H292" s="151">
        <f t="shared" ca="1" si="12"/>
        <v>262.51</v>
      </c>
      <c r="I292" s="152">
        <f t="shared" ca="1" si="13"/>
        <v>0</v>
      </c>
      <c r="J292" s="154"/>
      <c r="K292" s="155" t="s">
        <v>2966</v>
      </c>
    </row>
    <row r="293" spans="1:11" hidden="1" x14ac:dyDescent="0.25">
      <c r="A293" s="148" t="s">
        <v>443</v>
      </c>
      <c r="B293" s="149" t="s">
        <v>444</v>
      </c>
      <c r="C293" s="150" t="s">
        <v>18</v>
      </c>
      <c r="D293" s="150">
        <v>0</v>
      </c>
      <c r="E293" s="151">
        <f ca="1">OFFSET(INDEX(Composições!A:H,MATCH(Orçamentária!A293,Composições!A:A,0),8),2,0)</f>
        <v>616.65277764999996</v>
      </c>
      <c r="F293" s="152">
        <f t="shared" ca="1" si="14"/>
        <v>0</v>
      </c>
      <c r="G293" s="153">
        <f>IF($K293="Padrão",BDI!$B$17,IF($K293="Diferenciado",BDI!$E$17,0))</f>
        <v>0.2039</v>
      </c>
      <c r="H293" s="151">
        <f t="shared" ca="1" si="12"/>
        <v>742.39</v>
      </c>
      <c r="I293" s="152">
        <f t="shared" ca="1" si="13"/>
        <v>0</v>
      </c>
      <c r="J293" s="154"/>
      <c r="K293" s="155" t="s">
        <v>2966</v>
      </c>
    </row>
    <row r="294" spans="1:11" hidden="1" x14ac:dyDescent="0.25">
      <c r="A294" s="148" t="s">
        <v>445</v>
      </c>
      <c r="B294" s="149" t="s">
        <v>446</v>
      </c>
      <c r="C294" s="150" t="s">
        <v>18</v>
      </c>
      <c r="D294" s="150">
        <v>0</v>
      </c>
      <c r="E294" s="151">
        <f ca="1">OFFSET(INDEX(Composições!A:H,MATCH(Orçamentária!A294,Composições!A:A,0),8),2,0)</f>
        <v>301.264475</v>
      </c>
      <c r="F294" s="152">
        <f t="shared" ca="1" si="14"/>
        <v>0</v>
      </c>
      <c r="G294" s="153">
        <f>IF($K294="Padrão",BDI!$B$17,IF($K294="Diferenciado",BDI!$E$17,0))</f>
        <v>0.2039</v>
      </c>
      <c r="H294" s="151">
        <f t="shared" ca="1" si="12"/>
        <v>362.69</v>
      </c>
      <c r="I294" s="152">
        <f t="shared" ca="1" si="13"/>
        <v>0</v>
      </c>
      <c r="J294" s="154"/>
      <c r="K294" s="155" t="s">
        <v>2966</v>
      </c>
    </row>
    <row r="295" spans="1:11" hidden="1" x14ac:dyDescent="0.25">
      <c r="A295" s="148" t="s">
        <v>447</v>
      </c>
      <c r="B295" s="149" t="s">
        <v>448</v>
      </c>
      <c r="C295" s="150" t="s">
        <v>18</v>
      </c>
      <c r="D295" s="150">
        <v>0</v>
      </c>
      <c r="E295" s="151">
        <f ca="1">OFFSET(INDEX(Composições!A:H,MATCH(Orçamentária!A295,Composições!A:A,0),8),2,0)</f>
        <v>218.04877374999998</v>
      </c>
      <c r="F295" s="152">
        <f t="shared" ca="1" si="14"/>
        <v>0</v>
      </c>
      <c r="G295" s="153">
        <f>IF($K295="Padrão",BDI!$B$17,IF($K295="Diferenciado",BDI!$E$17,0))</f>
        <v>0.2039</v>
      </c>
      <c r="H295" s="151">
        <f t="shared" ca="1" si="12"/>
        <v>262.51</v>
      </c>
      <c r="I295" s="152">
        <f t="shared" ca="1" si="13"/>
        <v>0</v>
      </c>
      <c r="J295" s="154"/>
      <c r="K295" s="155" t="s">
        <v>2966</v>
      </c>
    </row>
    <row r="296" spans="1:11" hidden="1" x14ac:dyDescent="0.25">
      <c r="A296" s="148" t="s">
        <v>449</v>
      </c>
      <c r="B296" s="149" t="s">
        <v>450</v>
      </c>
      <c r="C296" s="150" t="s">
        <v>18</v>
      </c>
      <c r="D296" s="150">
        <v>0</v>
      </c>
      <c r="E296" s="151">
        <f ca="1">OFFSET(INDEX(Composições!A:H,MATCH(Orçamentária!A296,Composições!A:A,0),8),2,0)</f>
        <v>200.90030949999999</v>
      </c>
      <c r="F296" s="152">
        <f t="shared" ca="1" si="14"/>
        <v>0</v>
      </c>
      <c r="G296" s="153">
        <f>IF($K296="Padrão",BDI!$B$17,IF($K296="Diferenciado",BDI!$E$17,0))</f>
        <v>0.2039</v>
      </c>
      <c r="H296" s="151">
        <f t="shared" ca="1" si="12"/>
        <v>241.86</v>
      </c>
      <c r="I296" s="152">
        <f t="shared" ca="1" si="13"/>
        <v>0</v>
      </c>
      <c r="J296" s="154"/>
      <c r="K296" s="155" t="s">
        <v>2966</v>
      </c>
    </row>
    <row r="297" spans="1:11" hidden="1" x14ac:dyDescent="0.25">
      <c r="A297" s="148" t="s">
        <v>451</v>
      </c>
      <c r="B297" s="149" t="s">
        <v>3291</v>
      </c>
      <c r="C297" s="150" t="s">
        <v>18</v>
      </c>
      <c r="D297" s="150">
        <v>0</v>
      </c>
      <c r="E297" s="151">
        <f ca="1">OFFSET(INDEX(Composições!A:H,MATCH(Orçamentária!A297,Composições!A:A,0),8),2,0)</f>
        <v>218.04877374999998</v>
      </c>
      <c r="F297" s="152">
        <f t="shared" ca="1" si="14"/>
        <v>0</v>
      </c>
      <c r="G297" s="153">
        <f>IF($K297="Padrão",BDI!$B$17,IF($K297="Diferenciado",BDI!$E$17,0))</f>
        <v>0.2039</v>
      </c>
      <c r="H297" s="151">
        <f t="shared" ca="1" si="12"/>
        <v>262.51</v>
      </c>
      <c r="I297" s="152">
        <f t="shared" ca="1" si="13"/>
        <v>0</v>
      </c>
      <c r="J297" s="154"/>
      <c r="K297" s="155" t="s">
        <v>2966</v>
      </c>
    </row>
    <row r="298" spans="1:11" hidden="1" x14ac:dyDescent="0.25">
      <c r="A298" s="148" t="s">
        <v>453</v>
      </c>
      <c r="B298" s="149" t="s">
        <v>3292</v>
      </c>
      <c r="C298" s="150" t="s">
        <v>18</v>
      </c>
      <c r="D298" s="150">
        <v>0</v>
      </c>
      <c r="E298" s="151">
        <f ca="1">OFFSET(INDEX(Composições!A:H,MATCH(Orçamentária!A298,Composições!A:A,0),8),2,0)</f>
        <v>103.512</v>
      </c>
      <c r="F298" s="152">
        <f t="shared" ca="1" si="14"/>
        <v>0</v>
      </c>
      <c r="G298" s="153">
        <f>IF($K298="Padrão",BDI!$B$17,IF($K298="Diferenciado",BDI!$E$17,0))</f>
        <v>0.2039</v>
      </c>
      <c r="H298" s="151">
        <f t="shared" ca="1" si="12"/>
        <v>124.62</v>
      </c>
      <c r="I298" s="152">
        <f t="shared" ca="1" si="13"/>
        <v>0</v>
      </c>
      <c r="J298" s="154"/>
      <c r="K298" s="155" t="s">
        <v>2966</v>
      </c>
    </row>
    <row r="299" spans="1:11" hidden="1" x14ac:dyDescent="0.25">
      <c r="A299" s="148" t="s">
        <v>454</v>
      </c>
      <c r="B299" s="149" t="s">
        <v>3293</v>
      </c>
      <c r="C299" s="150" t="s">
        <v>18</v>
      </c>
      <c r="D299" s="150">
        <v>0</v>
      </c>
      <c r="E299" s="151">
        <f ca="1">OFFSET(INDEX(Composições!A:H,MATCH(Orçamentária!A299,Composições!A:A,0),8),2,0)</f>
        <v>155.268</v>
      </c>
      <c r="F299" s="152">
        <f t="shared" ca="1" si="14"/>
        <v>0</v>
      </c>
      <c r="G299" s="153">
        <f>IF($K299="Padrão",BDI!$B$17,IF($K299="Diferenciado",BDI!$E$17,0))</f>
        <v>0.2039</v>
      </c>
      <c r="H299" s="151">
        <f t="shared" ca="1" si="12"/>
        <v>186.93</v>
      </c>
      <c r="I299" s="152">
        <f t="shared" ca="1" si="13"/>
        <v>0</v>
      </c>
      <c r="J299" s="154"/>
      <c r="K299" s="155" t="s">
        <v>2966</v>
      </c>
    </row>
    <row r="300" spans="1:11" hidden="1" x14ac:dyDescent="0.25">
      <c r="A300" s="148" t="s">
        <v>455</v>
      </c>
      <c r="B300" s="149" t="s">
        <v>3294</v>
      </c>
      <c r="C300" s="150" t="s">
        <v>18</v>
      </c>
      <c r="D300" s="150">
        <v>0</v>
      </c>
      <c r="E300" s="151">
        <f ca="1">OFFSET(INDEX(Composições!A:H,MATCH(Orçamentária!A300,Composições!A:A,0),8),2,0)</f>
        <v>56.3825</v>
      </c>
      <c r="F300" s="152">
        <f t="shared" ca="1" si="14"/>
        <v>0</v>
      </c>
      <c r="G300" s="153">
        <f>IF($K300="Padrão",BDI!$B$17,IF($K300="Diferenciado",BDI!$E$17,0))</f>
        <v>0.2039</v>
      </c>
      <c r="H300" s="151">
        <f t="shared" ca="1" si="12"/>
        <v>67.88</v>
      </c>
      <c r="I300" s="152">
        <f t="shared" ca="1" si="13"/>
        <v>0</v>
      </c>
      <c r="J300" s="154"/>
      <c r="K300" s="155" t="s">
        <v>2966</v>
      </c>
    </row>
    <row r="301" spans="1:11" hidden="1" x14ac:dyDescent="0.25">
      <c r="A301" s="148" t="s">
        <v>457</v>
      </c>
      <c r="B301" s="149" t="s">
        <v>3295</v>
      </c>
      <c r="C301" s="150" t="s">
        <v>18</v>
      </c>
      <c r="D301" s="150">
        <v>0</v>
      </c>
      <c r="E301" s="151">
        <f ca="1">OFFSET(INDEX(Composições!A:H,MATCH(Orçamentária!A301,Composições!A:A,0),8),2,0)</f>
        <v>56.3825</v>
      </c>
      <c r="F301" s="152">
        <f t="shared" ca="1" si="14"/>
        <v>0</v>
      </c>
      <c r="G301" s="153">
        <f>IF($K301="Padrão",BDI!$B$17,IF($K301="Diferenciado",BDI!$E$17,0))</f>
        <v>0.2039</v>
      </c>
      <c r="H301" s="151">
        <f t="shared" ca="1" si="12"/>
        <v>67.88</v>
      </c>
      <c r="I301" s="152">
        <f t="shared" ca="1" si="13"/>
        <v>0</v>
      </c>
      <c r="J301" s="154"/>
      <c r="K301" s="155" t="s">
        <v>2966</v>
      </c>
    </row>
    <row r="302" spans="1:11" hidden="1" x14ac:dyDescent="0.25">
      <c r="A302" s="148" t="s">
        <v>459</v>
      </c>
      <c r="B302" s="149" t="s">
        <v>3296</v>
      </c>
      <c r="C302" s="150" t="s">
        <v>68</v>
      </c>
      <c r="D302" s="150">
        <v>0</v>
      </c>
      <c r="E302" s="151">
        <f ca="1">OFFSET(INDEX(Composições!A:H,MATCH(Orçamentária!A302,Composições!A:A,0),8),2,0)</f>
        <v>268.38822399999998</v>
      </c>
      <c r="F302" s="152">
        <f t="shared" ca="1" si="14"/>
        <v>0</v>
      </c>
      <c r="G302" s="153">
        <f>IF($K302="Padrão",BDI!$B$17,IF($K302="Diferenciado",BDI!$E$17,0))</f>
        <v>0.2039</v>
      </c>
      <c r="H302" s="151">
        <f t="shared" ca="1" si="12"/>
        <v>323.11</v>
      </c>
      <c r="I302" s="152">
        <f t="shared" ca="1" si="13"/>
        <v>0</v>
      </c>
      <c r="J302" s="154"/>
      <c r="K302" s="155" t="s">
        <v>2966</v>
      </c>
    </row>
    <row r="303" spans="1:11" hidden="1" x14ac:dyDescent="0.25">
      <c r="A303" s="148" t="s">
        <v>462</v>
      </c>
      <c r="B303" s="149" t="s">
        <v>3297</v>
      </c>
      <c r="C303" s="150" t="s">
        <v>106</v>
      </c>
      <c r="D303" s="150">
        <v>0</v>
      </c>
      <c r="E303" s="151">
        <f ca="1">OFFSET(INDEX(Composições!A:H,MATCH(Orçamentária!A303,Composições!A:A,0),8),2,0)</f>
        <v>20.402200000000001</v>
      </c>
      <c r="F303" s="152">
        <f t="shared" ca="1" si="14"/>
        <v>0</v>
      </c>
      <c r="G303" s="153">
        <f>IF($K303="Padrão",BDI!$B$17,IF($K303="Diferenciado",BDI!$E$17,0))</f>
        <v>0.2039</v>
      </c>
      <c r="H303" s="151">
        <f t="shared" ca="1" si="12"/>
        <v>24.56</v>
      </c>
      <c r="I303" s="152">
        <f t="shared" ca="1" si="13"/>
        <v>0</v>
      </c>
      <c r="J303" s="154"/>
      <c r="K303" s="155" t="s">
        <v>2966</v>
      </c>
    </row>
    <row r="304" spans="1:11" hidden="1" x14ac:dyDescent="0.25">
      <c r="A304" s="148" t="s">
        <v>464</v>
      </c>
      <c r="B304" s="149" t="s">
        <v>3298</v>
      </c>
      <c r="C304" s="150" t="s">
        <v>106</v>
      </c>
      <c r="D304" s="150">
        <v>0</v>
      </c>
      <c r="E304" s="151">
        <f ca="1">OFFSET(INDEX(Composições!A:H,MATCH(Orçamentária!A304,Composições!A:A,0),8),2,0)</f>
        <v>20.402200000000001</v>
      </c>
      <c r="F304" s="152">
        <f t="shared" ca="1" si="14"/>
        <v>0</v>
      </c>
      <c r="G304" s="153">
        <f>IF($K304="Padrão",BDI!$B$17,IF($K304="Diferenciado",BDI!$E$17,0))</f>
        <v>0.2039</v>
      </c>
      <c r="H304" s="151">
        <f t="shared" ca="1" si="12"/>
        <v>24.56</v>
      </c>
      <c r="I304" s="152">
        <f t="shared" ca="1" si="13"/>
        <v>0</v>
      </c>
      <c r="J304" s="154"/>
      <c r="K304" s="155" t="s">
        <v>2966</v>
      </c>
    </row>
    <row r="305" spans="1:11" hidden="1" x14ac:dyDescent="0.25">
      <c r="A305" s="148" t="s">
        <v>466</v>
      </c>
      <c r="B305" s="149" t="s">
        <v>3299</v>
      </c>
      <c r="C305" s="150" t="s">
        <v>18</v>
      </c>
      <c r="D305" s="150">
        <v>0</v>
      </c>
      <c r="E305" s="151">
        <f ca="1">OFFSET(INDEX(Composições!A:H,MATCH(Orçamentária!A305,Composições!A:A,0),8),2,0)</f>
        <v>129.38999999999999</v>
      </c>
      <c r="F305" s="152">
        <f t="shared" ca="1" si="14"/>
        <v>0</v>
      </c>
      <c r="G305" s="153">
        <f>IF($K305="Padrão",BDI!$B$17,IF($K305="Diferenciado",BDI!$E$17,0))</f>
        <v>0.2039</v>
      </c>
      <c r="H305" s="151">
        <f t="shared" ca="1" si="12"/>
        <v>155.77000000000001</v>
      </c>
      <c r="I305" s="152">
        <f t="shared" ca="1" si="13"/>
        <v>0</v>
      </c>
      <c r="J305" s="154"/>
      <c r="K305" s="155" t="s">
        <v>2966</v>
      </c>
    </row>
    <row r="306" spans="1:11" hidden="1" x14ac:dyDescent="0.25">
      <c r="A306" s="148" t="s">
        <v>468</v>
      </c>
      <c r="B306" s="149" t="s">
        <v>3300</v>
      </c>
      <c r="C306" s="150" t="s">
        <v>18</v>
      </c>
      <c r="D306" s="150">
        <v>0</v>
      </c>
      <c r="E306" s="151">
        <f ca="1">OFFSET(INDEX(Composições!A:H,MATCH(Orçamentária!A306,Composições!A:A,0),8),2,0)</f>
        <v>129.38999999999999</v>
      </c>
      <c r="F306" s="152">
        <f t="shared" ca="1" si="14"/>
        <v>0</v>
      </c>
      <c r="G306" s="153">
        <f>IF($K306="Padrão",BDI!$B$17,IF($K306="Diferenciado",BDI!$E$17,0))</f>
        <v>0.2039</v>
      </c>
      <c r="H306" s="151">
        <f t="shared" ca="1" si="12"/>
        <v>155.77000000000001</v>
      </c>
      <c r="I306" s="152">
        <f t="shared" ca="1" si="13"/>
        <v>0</v>
      </c>
      <c r="J306" s="154"/>
      <c r="K306" s="155" t="s">
        <v>2966</v>
      </c>
    </row>
    <row r="307" spans="1:11" hidden="1" x14ac:dyDescent="0.25">
      <c r="A307" s="148" t="s">
        <v>470</v>
      </c>
      <c r="B307" s="149" t="s">
        <v>3301</v>
      </c>
      <c r="C307" s="150" t="s">
        <v>18</v>
      </c>
      <c r="D307" s="150">
        <v>0</v>
      </c>
      <c r="E307" s="151">
        <f ca="1">OFFSET(INDEX(Composições!A:H,MATCH(Orçamentária!A307,Composições!A:A,0),8),2,0)</f>
        <v>129.38999999999999</v>
      </c>
      <c r="F307" s="152">
        <f t="shared" ca="1" si="14"/>
        <v>0</v>
      </c>
      <c r="G307" s="153">
        <f>IF($K307="Padrão",BDI!$B$17,IF($K307="Diferenciado",BDI!$E$17,0))</f>
        <v>0.2039</v>
      </c>
      <c r="H307" s="151">
        <f t="shared" ca="1" si="12"/>
        <v>155.77000000000001</v>
      </c>
      <c r="I307" s="152">
        <f t="shared" ca="1" si="13"/>
        <v>0</v>
      </c>
      <c r="J307" s="154"/>
      <c r="K307" s="155" t="s">
        <v>2966</v>
      </c>
    </row>
    <row r="308" spans="1:11" hidden="1" x14ac:dyDescent="0.25">
      <c r="A308" s="148" t="s">
        <v>472</v>
      </c>
      <c r="B308" s="149" t="s">
        <v>3302</v>
      </c>
      <c r="C308" s="150" t="s">
        <v>18</v>
      </c>
      <c r="D308" s="150">
        <v>0</v>
      </c>
      <c r="E308" s="151">
        <f ca="1">OFFSET(INDEX(Composições!A:H,MATCH(Orçamentária!A308,Composições!A:A,0),8),2,0)</f>
        <v>129.38999999999999</v>
      </c>
      <c r="F308" s="152">
        <f t="shared" ca="1" si="14"/>
        <v>0</v>
      </c>
      <c r="G308" s="153">
        <f>IF($K308="Padrão",BDI!$B$17,IF($K308="Diferenciado",BDI!$E$17,0))</f>
        <v>0.2039</v>
      </c>
      <c r="H308" s="151">
        <f t="shared" ca="1" si="12"/>
        <v>155.77000000000001</v>
      </c>
      <c r="I308" s="152">
        <f t="shared" ca="1" si="13"/>
        <v>0</v>
      </c>
      <c r="J308" s="154"/>
      <c r="K308" s="155" t="s">
        <v>2966</v>
      </c>
    </row>
    <row r="309" spans="1:11" hidden="1" x14ac:dyDescent="0.25">
      <c r="A309" s="148" t="s">
        <v>474</v>
      </c>
      <c r="B309" s="149" t="s">
        <v>3303</v>
      </c>
      <c r="C309" s="150" t="s">
        <v>18</v>
      </c>
      <c r="D309" s="150">
        <v>0</v>
      </c>
      <c r="E309" s="151">
        <f ca="1">OFFSET(INDEX(Composições!A:H,MATCH(Orçamentária!A309,Composições!A:A,0),8),2,0)</f>
        <v>129.38999999999999</v>
      </c>
      <c r="F309" s="152">
        <f t="shared" ca="1" si="14"/>
        <v>0</v>
      </c>
      <c r="G309" s="153">
        <f>IF($K309="Padrão",BDI!$B$17,IF($K309="Diferenciado",BDI!$E$17,0))</f>
        <v>0.2039</v>
      </c>
      <c r="H309" s="151">
        <f t="shared" ca="1" si="12"/>
        <v>155.77000000000001</v>
      </c>
      <c r="I309" s="152">
        <f t="shared" ca="1" si="13"/>
        <v>0</v>
      </c>
      <c r="J309" s="154"/>
      <c r="K309" s="155" t="s">
        <v>2966</v>
      </c>
    </row>
    <row r="310" spans="1:11" hidden="1" x14ac:dyDescent="0.25">
      <c r="A310" s="148" t="s">
        <v>476</v>
      </c>
      <c r="B310" s="149" t="s">
        <v>3304</v>
      </c>
      <c r="C310" s="150" t="s">
        <v>18</v>
      </c>
      <c r="D310" s="150">
        <v>0</v>
      </c>
      <c r="E310" s="151">
        <f ca="1">OFFSET(INDEX(Composições!A:H,MATCH(Orçamentária!A310,Composições!A:A,0),8),2,0)</f>
        <v>129.38999999999999</v>
      </c>
      <c r="F310" s="152">
        <f t="shared" ca="1" si="14"/>
        <v>0</v>
      </c>
      <c r="G310" s="153">
        <f>IF($K310="Padrão",BDI!$B$17,IF($K310="Diferenciado",BDI!$E$17,0))</f>
        <v>0.2039</v>
      </c>
      <c r="H310" s="151">
        <f t="shared" ca="1" si="12"/>
        <v>155.77000000000001</v>
      </c>
      <c r="I310" s="152">
        <f t="shared" ca="1" si="13"/>
        <v>0</v>
      </c>
      <c r="J310" s="154"/>
      <c r="K310" s="155" t="s">
        <v>2966</v>
      </c>
    </row>
    <row r="311" spans="1:11" hidden="1" x14ac:dyDescent="0.25">
      <c r="A311" s="148" t="s">
        <v>478</v>
      </c>
      <c r="B311" s="149" t="s">
        <v>3305</v>
      </c>
      <c r="C311" s="150" t="s">
        <v>18</v>
      </c>
      <c r="D311" s="150">
        <v>0</v>
      </c>
      <c r="E311" s="151">
        <f ca="1">OFFSET(INDEX(Composições!A:H,MATCH(Orçamentária!A311,Composições!A:A,0),8),2,0)</f>
        <v>129.38999999999999</v>
      </c>
      <c r="F311" s="152">
        <f t="shared" ca="1" si="14"/>
        <v>0</v>
      </c>
      <c r="G311" s="153">
        <f>IF($K311="Padrão",BDI!$B$17,IF($K311="Diferenciado",BDI!$E$17,0))</f>
        <v>0.2039</v>
      </c>
      <c r="H311" s="151">
        <f t="shared" ca="1" si="12"/>
        <v>155.77000000000001</v>
      </c>
      <c r="I311" s="152">
        <f t="shared" ca="1" si="13"/>
        <v>0</v>
      </c>
      <c r="J311" s="154"/>
      <c r="K311" s="155" t="s">
        <v>2966</v>
      </c>
    </row>
    <row r="312" spans="1:11" hidden="1" x14ac:dyDescent="0.25">
      <c r="A312" s="148" t="s">
        <v>480</v>
      </c>
      <c r="B312" s="149" t="s">
        <v>3306</v>
      </c>
      <c r="C312" s="150" t="s">
        <v>18</v>
      </c>
      <c r="D312" s="150">
        <v>0</v>
      </c>
      <c r="E312" s="151">
        <f ca="1">OFFSET(INDEX(Composições!A:H,MATCH(Orçamentária!A312,Composições!A:A,0),8),2,0)</f>
        <v>129.38999999999999</v>
      </c>
      <c r="F312" s="152">
        <f t="shared" ca="1" si="14"/>
        <v>0</v>
      </c>
      <c r="G312" s="153">
        <f>IF($K312="Padrão",BDI!$B$17,IF($K312="Diferenciado",BDI!$E$17,0))</f>
        <v>0.2039</v>
      </c>
      <c r="H312" s="151">
        <f t="shared" ca="1" si="12"/>
        <v>155.77000000000001</v>
      </c>
      <c r="I312" s="152">
        <f t="shared" ca="1" si="13"/>
        <v>0</v>
      </c>
      <c r="J312" s="154"/>
      <c r="K312" s="155" t="s">
        <v>2966</v>
      </c>
    </row>
    <row r="313" spans="1:11" hidden="1" x14ac:dyDescent="0.25">
      <c r="A313" s="148" t="s">
        <v>482</v>
      </c>
      <c r="B313" s="149" t="s">
        <v>3307</v>
      </c>
      <c r="C313" s="150" t="s">
        <v>18</v>
      </c>
      <c r="D313" s="150">
        <v>0</v>
      </c>
      <c r="E313" s="151">
        <f ca="1">OFFSET(INDEX(Composições!A:H,MATCH(Orçamentária!A313,Composições!A:A,0),8),2,0)</f>
        <v>181.14600000000002</v>
      </c>
      <c r="F313" s="152">
        <f t="shared" ca="1" si="14"/>
        <v>0</v>
      </c>
      <c r="G313" s="153">
        <f>IF($K313="Padrão",BDI!$B$17,IF($K313="Diferenciado",BDI!$E$17,0))</f>
        <v>0.2039</v>
      </c>
      <c r="H313" s="151">
        <f t="shared" ca="1" si="12"/>
        <v>218.08</v>
      </c>
      <c r="I313" s="152">
        <f t="shared" ca="1" si="13"/>
        <v>0</v>
      </c>
      <c r="J313" s="154"/>
      <c r="K313" s="155" t="s">
        <v>2966</v>
      </c>
    </row>
    <row r="314" spans="1:11" hidden="1" x14ac:dyDescent="0.25">
      <c r="A314" s="148" t="s">
        <v>484</v>
      </c>
      <c r="B314" s="149" t="s">
        <v>3308</v>
      </c>
      <c r="C314" s="150" t="s">
        <v>18</v>
      </c>
      <c r="D314" s="150">
        <v>0</v>
      </c>
      <c r="E314" s="151">
        <f ca="1">OFFSET(INDEX(Composições!A:H,MATCH(Orçamentária!A314,Composições!A:A,0),8),2,0)</f>
        <v>181.14600000000002</v>
      </c>
      <c r="F314" s="152">
        <f t="shared" ca="1" si="14"/>
        <v>0</v>
      </c>
      <c r="G314" s="153">
        <f>IF($K314="Padrão",BDI!$B$17,IF($K314="Diferenciado",BDI!$E$17,0))</f>
        <v>0.2039</v>
      </c>
      <c r="H314" s="151">
        <f t="shared" ca="1" si="12"/>
        <v>218.08</v>
      </c>
      <c r="I314" s="152">
        <f t="shared" ca="1" si="13"/>
        <v>0</v>
      </c>
      <c r="J314" s="154"/>
      <c r="K314" s="155" t="s">
        <v>2966</v>
      </c>
    </row>
    <row r="315" spans="1:11" hidden="1" x14ac:dyDescent="0.25">
      <c r="A315" s="148" t="s">
        <v>486</v>
      </c>
      <c r="B315" s="149" t="s">
        <v>3309</v>
      </c>
      <c r="C315" s="150" t="s">
        <v>18</v>
      </c>
      <c r="D315" s="150">
        <v>0</v>
      </c>
      <c r="E315" s="151">
        <f ca="1">OFFSET(INDEX(Composições!A:H,MATCH(Orçamentária!A315,Composições!A:A,0),8),2,0)</f>
        <v>129.38999999999999</v>
      </c>
      <c r="F315" s="152">
        <f t="shared" ca="1" si="14"/>
        <v>0</v>
      </c>
      <c r="G315" s="153">
        <f>IF($K315="Padrão",BDI!$B$17,IF($K315="Diferenciado",BDI!$E$17,0))</f>
        <v>0.2039</v>
      </c>
      <c r="H315" s="151">
        <f t="shared" ca="1" si="12"/>
        <v>155.77000000000001</v>
      </c>
      <c r="I315" s="152">
        <f t="shared" ca="1" si="13"/>
        <v>0</v>
      </c>
      <c r="J315" s="154"/>
      <c r="K315" s="155" t="s">
        <v>2966</v>
      </c>
    </row>
    <row r="316" spans="1:11" hidden="1" x14ac:dyDescent="0.25">
      <c r="A316" s="148" t="s">
        <v>487</v>
      </c>
      <c r="B316" s="149" t="s">
        <v>3310</v>
      </c>
      <c r="C316" s="150" t="s">
        <v>18</v>
      </c>
      <c r="D316" s="150">
        <v>0</v>
      </c>
      <c r="E316" s="151">
        <f ca="1">OFFSET(INDEX(Composições!A:H,MATCH(Orçamentária!A316,Composições!A:A,0),8),2,0)</f>
        <v>56.3825</v>
      </c>
      <c r="F316" s="152">
        <f t="shared" ca="1" si="14"/>
        <v>0</v>
      </c>
      <c r="G316" s="153">
        <f>IF($K316="Padrão",BDI!$B$17,IF($K316="Diferenciado",BDI!$E$17,0))</f>
        <v>0.2039</v>
      </c>
      <c r="H316" s="151">
        <f t="shared" ca="1" si="12"/>
        <v>67.88</v>
      </c>
      <c r="I316" s="152">
        <f t="shared" ca="1" si="13"/>
        <v>0</v>
      </c>
      <c r="J316" s="154"/>
      <c r="K316" s="155" t="s">
        <v>2966</v>
      </c>
    </row>
    <row r="317" spans="1:11" hidden="1" x14ac:dyDescent="0.25">
      <c r="A317" s="148" t="s">
        <v>488</v>
      </c>
      <c r="B317" s="149" t="s">
        <v>3311</v>
      </c>
      <c r="C317" s="150" t="s">
        <v>18</v>
      </c>
      <c r="D317" s="150">
        <v>0</v>
      </c>
      <c r="E317" s="151">
        <f ca="1">OFFSET(INDEX(Composições!A:H,MATCH(Orçamentária!A317,Composições!A:A,0),8),2,0)</f>
        <v>40.063874999999996</v>
      </c>
      <c r="F317" s="152">
        <f t="shared" ca="1" si="14"/>
        <v>0</v>
      </c>
      <c r="G317" s="153">
        <f>IF($K317="Padrão",BDI!$B$17,IF($K317="Diferenciado",BDI!$E$17,0))</f>
        <v>0.2039</v>
      </c>
      <c r="H317" s="151">
        <f t="shared" ca="1" si="12"/>
        <v>48.23</v>
      </c>
      <c r="I317" s="152">
        <f t="shared" ca="1" si="13"/>
        <v>0</v>
      </c>
      <c r="J317" s="154"/>
      <c r="K317" s="155" t="s">
        <v>2966</v>
      </c>
    </row>
    <row r="318" spans="1:11" hidden="1" x14ac:dyDescent="0.25">
      <c r="A318" s="148" t="s">
        <v>489</v>
      </c>
      <c r="B318" s="149" t="s">
        <v>3312</v>
      </c>
      <c r="C318" s="150" t="s">
        <v>18</v>
      </c>
      <c r="D318" s="150">
        <v>0</v>
      </c>
      <c r="E318" s="151">
        <f ca="1">OFFSET(INDEX(Composições!A:H,MATCH(Orçamentária!A318,Composições!A:A,0),8),2,0)</f>
        <v>27.179499999999997</v>
      </c>
      <c r="F318" s="152">
        <f t="shared" ca="1" si="14"/>
        <v>0</v>
      </c>
      <c r="G318" s="153">
        <f>IF($K318="Padrão",BDI!$B$17,IF($K318="Diferenciado",BDI!$E$17,0))</f>
        <v>0.2039</v>
      </c>
      <c r="H318" s="151">
        <f t="shared" ca="1" si="12"/>
        <v>32.72</v>
      </c>
      <c r="I318" s="152">
        <f t="shared" ca="1" si="13"/>
        <v>0</v>
      </c>
      <c r="J318" s="154"/>
      <c r="K318" s="155" t="s">
        <v>2966</v>
      </c>
    </row>
    <row r="319" spans="1:11" hidden="1" x14ac:dyDescent="0.25">
      <c r="A319" s="148" t="s">
        <v>491</v>
      </c>
      <c r="B319" s="149" t="s">
        <v>3313</v>
      </c>
      <c r="C319" s="150" t="s">
        <v>106</v>
      </c>
      <c r="D319" s="150">
        <v>0</v>
      </c>
      <c r="E319" s="151">
        <f ca="1">OFFSET(INDEX(Composições!A:H,MATCH(Orçamentária!A319,Composições!A:A,0),8),2,0)</f>
        <v>1.222175</v>
      </c>
      <c r="F319" s="152">
        <f t="shared" ca="1" si="14"/>
        <v>0</v>
      </c>
      <c r="G319" s="153">
        <f>IF($K319="Padrão",BDI!$B$17,IF($K319="Diferenciado",BDI!$E$17,0))</f>
        <v>0.2039</v>
      </c>
      <c r="H319" s="151">
        <f t="shared" ca="1" si="12"/>
        <v>1.47</v>
      </c>
      <c r="I319" s="152">
        <f t="shared" ca="1" si="13"/>
        <v>0</v>
      </c>
      <c r="J319" s="154"/>
      <c r="K319" s="155" t="s">
        <v>2966</v>
      </c>
    </row>
    <row r="320" spans="1:11" hidden="1" x14ac:dyDescent="0.25">
      <c r="A320" s="148" t="s">
        <v>493</v>
      </c>
      <c r="B320" s="149" t="s">
        <v>3314</v>
      </c>
      <c r="C320" s="150" t="s">
        <v>106</v>
      </c>
      <c r="D320" s="150">
        <v>0</v>
      </c>
      <c r="E320" s="151">
        <f ca="1">OFFSET(INDEX(Composições!A:H,MATCH(Orçamentária!A320,Composições!A:A,0),8),2,0)</f>
        <v>1.222175</v>
      </c>
      <c r="F320" s="152">
        <f t="shared" ca="1" si="14"/>
        <v>0</v>
      </c>
      <c r="G320" s="153">
        <f>IF($K320="Padrão",BDI!$B$17,IF($K320="Diferenciado",BDI!$E$17,0))</f>
        <v>0.2039</v>
      </c>
      <c r="H320" s="151">
        <f t="shared" ca="1" si="12"/>
        <v>1.47</v>
      </c>
      <c r="I320" s="152">
        <f t="shared" ca="1" si="13"/>
        <v>0</v>
      </c>
      <c r="J320" s="154"/>
      <c r="K320" s="155" t="s">
        <v>2966</v>
      </c>
    </row>
    <row r="321" spans="1:11" hidden="1" x14ac:dyDescent="0.25">
      <c r="A321" s="148" t="s">
        <v>495</v>
      </c>
      <c r="B321" s="149" t="s">
        <v>3315</v>
      </c>
      <c r="C321" s="150" t="s">
        <v>106</v>
      </c>
      <c r="D321" s="150">
        <v>0</v>
      </c>
      <c r="E321" s="151">
        <f ca="1">OFFSET(INDEX(Composições!A:H,MATCH(Orçamentária!A321,Composições!A:A,0),8),2,0)</f>
        <v>1.222175</v>
      </c>
      <c r="F321" s="152">
        <f t="shared" ca="1" si="14"/>
        <v>0</v>
      </c>
      <c r="G321" s="153">
        <f>IF($K321="Padrão",BDI!$B$17,IF($K321="Diferenciado",BDI!$E$17,0))</f>
        <v>0.2039</v>
      </c>
      <c r="H321" s="151">
        <f t="shared" ca="1" si="12"/>
        <v>1.47</v>
      </c>
      <c r="I321" s="152">
        <f t="shared" ca="1" si="13"/>
        <v>0</v>
      </c>
      <c r="J321" s="154"/>
      <c r="K321" s="155" t="s">
        <v>2966</v>
      </c>
    </row>
    <row r="322" spans="1:11" hidden="1" x14ac:dyDescent="0.25">
      <c r="A322" s="148" t="s">
        <v>499</v>
      </c>
      <c r="B322" s="149" t="s">
        <v>3316</v>
      </c>
      <c r="C322" s="150" t="s">
        <v>18</v>
      </c>
      <c r="D322" s="150">
        <v>0</v>
      </c>
      <c r="E322" s="151">
        <f ca="1">OFFSET(INDEX(Composições!A:H,MATCH(Orçamentária!A322,Composições!A:A,0),8),2,0)</f>
        <v>27.179499999999997</v>
      </c>
      <c r="F322" s="152">
        <f t="shared" ca="1" si="14"/>
        <v>0</v>
      </c>
      <c r="G322" s="153">
        <f>IF($K322="Padrão",BDI!$B$17,IF($K322="Diferenciado",BDI!$E$17,0))</f>
        <v>0.2039</v>
      </c>
      <c r="H322" s="151">
        <f t="shared" ca="1" si="12"/>
        <v>32.72</v>
      </c>
      <c r="I322" s="152">
        <f t="shared" ca="1" si="13"/>
        <v>0</v>
      </c>
      <c r="J322" s="154"/>
      <c r="K322" s="155" t="s">
        <v>2966</v>
      </c>
    </row>
    <row r="323" spans="1:11" hidden="1" x14ac:dyDescent="0.25">
      <c r="A323" s="148" t="s">
        <v>501</v>
      </c>
      <c r="B323" s="149" t="s">
        <v>502</v>
      </c>
      <c r="C323" s="150" t="s">
        <v>18</v>
      </c>
      <c r="D323" s="150">
        <v>0</v>
      </c>
      <c r="E323" s="151">
        <f ca="1">OFFSET(INDEX(Composições!A:H,MATCH(Orçamentária!A323,Composições!A:A,0),8),2,0)</f>
        <v>27.179499999999997</v>
      </c>
      <c r="F323" s="152">
        <f t="shared" ca="1" si="14"/>
        <v>0</v>
      </c>
      <c r="G323" s="153">
        <f>IF($K323="Padrão",BDI!$B$17,IF($K323="Diferenciado",BDI!$E$17,0))</f>
        <v>0.2039</v>
      </c>
      <c r="H323" s="151">
        <f t="shared" ca="1" si="12"/>
        <v>32.72</v>
      </c>
      <c r="I323" s="152">
        <f t="shared" ca="1" si="13"/>
        <v>0</v>
      </c>
      <c r="J323" s="154"/>
      <c r="K323" s="155" t="s">
        <v>2966</v>
      </c>
    </row>
    <row r="324" spans="1:11" hidden="1" x14ac:dyDescent="0.25">
      <c r="A324" s="148" t="s">
        <v>503</v>
      </c>
      <c r="B324" s="149" t="s">
        <v>3317</v>
      </c>
      <c r="C324" s="150" t="s">
        <v>18</v>
      </c>
      <c r="D324" s="150">
        <v>0</v>
      </c>
      <c r="E324" s="151">
        <f ca="1">OFFSET(INDEX(Composições!A:H,MATCH(Orçamentária!A324,Composições!A:A,0),8),2,0)</f>
        <v>8.266556099999999</v>
      </c>
      <c r="F324" s="152">
        <f t="shared" ca="1" si="14"/>
        <v>0</v>
      </c>
      <c r="G324" s="153">
        <f>IF($K324="Padrão",BDI!$B$17,IF($K324="Diferenciado",BDI!$E$17,0))</f>
        <v>0.2039</v>
      </c>
      <c r="H324" s="151">
        <f t="shared" ca="1" si="12"/>
        <v>9.9499999999999993</v>
      </c>
      <c r="I324" s="152">
        <f t="shared" ca="1" si="13"/>
        <v>0</v>
      </c>
      <c r="J324" s="154"/>
      <c r="K324" s="155" t="s">
        <v>2966</v>
      </c>
    </row>
    <row r="325" spans="1:11" hidden="1" x14ac:dyDescent="0.25">
      <c r="A325" s="148" t="s">
        <v>505</v>
      </c>
      <c r="B325" s="149" t="s">
        <v>3318</v>
      </c>
      <c r="C325" s="150" t="s">
        <v>18</v>
      </c>
      <c r="D325" s="150">
        <v>0</v>
      </c>
      <c r="E325" s="151">
        <f ca="1">OFFSET(INDEX(Composições!A:H,MATCH(Orçamentária!A325,Composições!A:A,0),8),2,0)</f>
        <v>6.1463461000000006</v>
      </c>
      <c r="F325" s="152">
        <f t="shared" ca="1" si="14"/>
        <v>0</v>
      </c>
      <c r="G325" s="153">
        <f>IF($K325="Padrão",BDI!$B$17,IF($K325="Diferenciado",BDI!$E$17,0))</f>
        <v>0.2039</v>
      </c>
      <c r="H325" s="151">
        <f t="shared" ca="1" si="12"/>
        <v>7.4</v>
      </c>
      <c r="I325" s="152">
        <f t="shared" ca="1" si="13"/>
        <v>0</v>
      </c>
      <c r="J325" s="154"/>
      <c r="K325" s="155" t="s">
        <v>2966</v>
      </c>
    </row>
    <row r="326" spans="1:11" hidden="1" x14ac:dyDescent="0.25">
      <c r="A326" s="148" t="s">
        <v>507</v>
      </c>
      <c r="B326" s="149" t="s">
        <v>3319</v>
      </c>
      <c r="C326" s="150" t="s">
        <v>18</v>
      </c>
      <c r="D326" s="150">
        <v>0</v>
      </c>
      <c r="E326" s="151">
        <f ca="1">OFFSET(INDEX(Composições!A:H,MATCH(Orçamentária!A326,Composições!A:A,0),8),2,0)</f>
        <v>8.266556099999999</v>
      </c>
      <c r="F326" s="152">
        <f t="shared" ca="1" si="14"/>
        <v>0</v>
      </c>
      <c r="G326" s="153">
        <f>IF($K326="Padrão",BDI!$B$17,IF($K326="Diferenciado",BDI!$E$17,0))</f>
        <v>0.2039</v>
      </c>
      <c r="H326" s="151">
        <f t="shared" ref="H326:H389" ca="1" si="15">IF(ISNUMBER(E326),ROUND(E326*(1+G326),2),"")</f>
        <v>9.9499999999999993</v>
      </c>
      <c r="I326" s="152">
        <f t="shared" ref="I326:I389" ca="1" si="16">IF(ISNUMBER(E326),ROUND(H326*D326,2),"")</f>
        <v>0</v>
      </c>
      <c r="J326" s="154"/>
      <c r="K326" s="155" t="s">
        <v>2966</v>
      </c>
    </row>
    <row r="327" spans="1:11" hidden="1" x14ac:dyDescent="0.25">
      <c r="A327" s="148" t="s">
        <v>510</v>
      </c>
      <c r="B327" s="149" t="s">
        <v>3320</v>
      </c>
      <c r="C327" s="150" t="s">
        <v>18</v>
      </c>
      <c r="D327" s="150">
        <v>0</v>
      </c>
      <c r="E327" s="151">
        <f ca="1">OFFSET(INDEX(Composições!A:H,MATCH(Orçamentária!A327,Composições!A:A,0),8),2,0)</f>
        <v>6.1463461000000006</v>
      </c>
      <c r="F327" s="152">
        <f t="shared" ref="F327:F390" ca="1" si="17">IF(ISNUMBER(E327),D327*E327,"")</f>
        <v>0</v>
      </c>
      <c r="G327" s="153">
        <f>IF($K327="Padrão",BDI!$B$17,IF($K327="Diferenciado",BDI!$E$17,0))</f>
        <v>0.2039</v>
      </c>
      <c r="H327" s="151">
        <f t="shared" ca="1" si="15"/>
        <v>7.4</v>
      </c>
      <c r="I327" s="152">
        <f t="shared" ca="1" si="16"/>
        <v>0</v>
      </c>
      <c r="J327" s="154"/>
      <c r="K327" s="155" t="s">
        <v>2966</v>
      </c>
    </row>
    <row r="328" spans="1:11" hidden="1" x14ac:dyDescent="0.25">
      <c r="A328" s="148" t="s">
        <v>512</v>
      </c>
      <c r="B328" s="149" t="s">
        <v>3321</v>
      </c>
      <c r="C328" s="150" t="s">
        <v>18</v>
      </c>
      <c r="D328" s="150">
        <v>0</v>
      </c>
      <c r="E328" s="151">
        <f ca="1">OFFSET(INDEX(Composições!A:H,MATCH(Orçamentária!A328,Composições!A:A,0),8),2,0)</f>
        <v>146.09131919999999</v>
      </c>
      <c r="F328" s="152">
        <f t="shared" ca="1" si="17"/>
        <v>0</v>
      </c>
      <c r="G328" s="153">
        <f>IF($K328="Padrão",BDI!$B$17,IF($K328="Diferenciado",BDI!$E$17,0))</f>
        <v>0.2039</v>
      </c>
      <c r="H328" s="151">
        <f t="shared" ca="1" si="15"/>
        <v>175.88</v>
      </c>
      <c r="I328" s="152">
        <f t="shared" ca="1" si="16"/>
        <v>0</v>
      </c>
      <c r="J328" s="154"/>
      <c r="K328" s="155" t="s">
        <v>2966</v>
      </c>
    </row>
    <row r="329" spans="1:11" hidden="1" x14ac:dyDescent="0.25">
      <c r="A329" s="148" t="s">
        <v>513</v>
      </c>
      <c r="B329" s="149" t="s">
        <v>3322</v>
      </c>
      <c r="C329" s="150" t="s">
        <v>18</v>
      </c>
      <c r="D329" s="150">
        <v>0</v>
      </c>
      <c r="E329" s="151">
        <f ca="1">OFFSET(INDEX(Composições!A:H,MATCH(Orçamentária!A329,Composições!A:A,0),8),2,0)</f>
        <v>120.35967430000001</v>
      </c>
      <c r="F329" s="152">
        <f t="shared" ca="1" si="17"/>
        <v>0</v>
      </c>
      <c r="G329" s="153">
        <f>IF($K329="Padrão",BDI!$B$17,IF($K329="Diferenciado",BDI!$E$17,0))</f>
        <v>0.2039</v>
      </c>
      <c r="H329" s="151">
        <f t="shared" ca="1" si="15"/>
        <v>144.9</v>
      </c>
      <c r="I329" s="152">
        <f t="shared" ca="1" si="16"/>
        <v>0</v>
      </c>
      <c r="J329" s="154"/>
      <c r="K329" s="155" t="s">
        <v>2966</v>
      </c>
    </row>
    <row r="330" spans="1:11" hidden="1" x14ac:dyDescent="0.25">
      <c r="A330" s="148" t="s">
        <v>514</v>
      </c>
      <c r="B330" s="149" t="s">
        <v>3323</v>
      </c>
      <c r="C330" s="150" t="s">
        <v>18</v>
      </c>
      <c r="D330" s="150">
        <v>0</v>
      </c>
      <c r="E330" s="151">
        <f ca="1">OFFSET(INDEX(Composições!A:H,MATCH(Orçamentária!A330,Composições!A:A,0),8),2,0)</f>
        <v>81.483056099999999</v>
      </c>
      <c r="F330" s="152">
        <f t="shared" ca="1" si="17"/>
        <v>0</v>
      </c>
      <c r="G330" s="153">
        <f>IF($K330="Padrão",BDI!$B$17,IF($K330="Diferenciado",BDI!$E$17,0))</f>
        <v>0.2039</v>
      </c>
      <c r="H330" s="151">
        <f t="shared" ca="1" si="15"/>
        <v>98.1</v>
      </c>
      <c r="I330" s="152">
        <f t="shared" ca="1" si="16"/>
        <v>0</v>
      </c>
      <c r="J330" s="154"/>
      <c r="K330" s="155" t="s">
        <v>2966</v>
      </c>
    </row>
    <row r="331" spans="1:11" hidden="1" x14ac:dyDescent="0.25">
      <c r="A331" s="148" t="s">
        <v>515</v>
      </c>
      <c r="B331" s="149" t="s">
        <v>3324</v>
      </c>
      <c r="C331" s="150" t="s">
        <v>18</v>
      </c>
      <c r="D331" s="150">
        <v>0</v>
      </c>
      <c r="E331" s="151">
        <f ca="1">OFFSET(INDEX(Composições!A:H,MATCH(Orçamentária!A331,Composições!A:A,0),8),2,0)</f>
        <v>60.372346099999994</v>
      </c>
      <c r="F331" s="152">
        <f t="shared" ca="1" si="17"/>
        <v>0</v>
      </c>
      <c r="G331" s="153">
        <f>IF($K331="Padrão",BDI!$B$17,IF($K331="Diferenciado",BDI!$E$17,0))</f>
        <v>0.2039</v>
      </c>
      <c r="H331" s="151">
        <f t="shared" ca="1" si="15"/>
        <v>72.680000000000007</v>
      </c>
      <c r="I331" s="152">
        <f t="shared" ca="1" si="16"/>
        <v>0</v>
      </c>
      <c r="J331" s="154"/>
      <c r="K331" s="155" t="s">
        <v>2966</v>
      </c>
    </row>
    <row r="332" spans="1:11" hidden="1" x14ac:dyDescent="0.25">
      <c r="A332" s="148" t="s">
        <v>516</v>
      </c>
      <c r="B332" s="149" t="s">
        <v>3325</v>
      </c>
      <c r="C332" s="150" t="s">
        <v>68</v>
      </c>
      <c r="D332" s="150">
        <v>0</v>
      </c>
      <c r="E332" s="151">
        <f ca="1">OFFSET(INDEX(Composições!A:H,MATCH(Orçamentária!A332,Composições!A:A,0),8),2,0)</f>
        <v>5.4359000000000002</v>
      </c>
      <c r="F332" s="152">
        <f t="shared" ca="1" si="17"/>
        <v>0</v>
      </c>
      <c r="G332" s="153">
        <f>IF($K332="Padrão",BDI!$B$17,IF($K332="Diferenciado",BDI!$E$17,0))</f>
        <v>0.2039</v>
      </c>
      <c r="H332" s="151">
        <f t="shared" ca="1" si="15"/>
        <v>6.54</v>
      </c>
      <c r="I332" s="152">
        <f t="shared" ca="1" si="16"/>
        <v>0</v>
      </c>
      <c r="J332" s="154"/>
      <c r="K332" s="155" t="s">
        <v>2966</v>
      </c>
    </row>
    <row r="333" spans="1:11" hidden="1" x14ac:dyDescent="0.25">
      <c r="A333" s="148" t="s">
        <v>518</v>
      </c>
      <c r="B333" s="149" t="s">
        <v>3326</v>
      </c>
      <c r="C333" s="150" t="s">
        <v>106</v>
      </c>
      <c r="D333" s="150">
        <v>0</v>
      </c>
      <c r="E333" s="151">
        <f ca="1">OFFSET(INDEX(Composições!A:H,MATCH(Orçamentária!A333,Composições!A:A,0),8),2,0)</f>
        <v>1.0436927999999999</v>
      </c>
      <c r="F333" s="152">
        <f t="shared" ca="1" si="17"/>
        <v>0</v>
      </c>
      <c r="G333" s="153">
        <f>IF($K333="Padrão",BDI!$B$17,IF($K333="Diferenciado",BDI!$E$17,0))</f>
        <v>0.2039</v>
      </c>
      <c r="H333" s="151">
        <f t="shared" ca="1" si="15"/>
        <v>1.26</v>
      </c>
      <c r="I333" s="152">
        <f t="shared" ca="1" si="16"/>
        <v>0</v>
      </c>
      <c r="J333" s="154"/>
      <c r="K333" s="155" t="s">
        <v>2966</v>
      </c>
    </row>
    <row r="334" spans="1:11" hidden="1" x14ac:dyDescent="0.25">
      <c r="A334" s="148" t="s">
        <v>521</v>
      </c>
      <c r="B334" s="149" t="s">
        <v>3327</v>
      </c>
      <c r="C334" s="150" t="s">
        <v>106</v>
      </c>
      <c r="D334" s="150">
        <v>0</v>
      </c>
      <c r="E334" s="151">
        <f ca="1">OFFSET(INDEX(Composições!A:H,MATCH(Orçamentária!A334,Composições!A:A,0),8),2,0)</f>
        <v>0.99476969999999998</v>
      </c>
      <c r="F334" s="152">
        <f t="shared" ca="1" si="17"/>
        <v>0</v>
      </c>
      <c r="G334" s="153">
        <f>IF($K334="Padrão",BDI!$B$17,IF($K334="Diferenciado",BDI!$E$17,0))</f>
        <v>0.2039</v>
      </c>
      <c r="H334" s="151">
        <f t="shared" ca="1" si="15"/>
        <v>1.2</v>
      </c>
      <c r="I334" s="152">
        <f t="shared" ca="1" si="16"/>
        <v>0</v>
      </c>
      <c r="J334" s="154"/>
      <c r="K334" s="155" t="s">
        <v>2966</v>
      </c>
    </row>
    <row r="335" spans="1:11" hidden="1" x14ac:dyDescent="0.25">
      <c r="A335" s="148" t="s">
        <v>523</v>
      </c>
      <c r="B335" s="149" t="s">
        <v>3328</v>
      </c>
      <c r="C335" s="150" t="s">
        <v>106</v>
      </c>
      <c r="D335" s="150">
        <v>0</v>
      </c>
      <c r="E335" s="151">
        <f ca="1">OFFSET(INDEX(Composições!A:H,MATCH(Orçamentária!A335,Composições!A:A,0),8),2,0)</f>
        <v>0.84800039999999988</v>
      </c>
      <c r="F335" s="152">
        <f t="shared" ca="1" si="17"/>
        <v>0</v>
      </c>
      <c r="G335" s="153">
        <f>IF($K335="Padrão",BDI!$B$17,IF($K335="Diferenciado",BDI!$E$17,0))</f>
        <v>0.2039</v>
      </c>
      <c r="H335" s="151">
        <f t="shared" ca="1" si="15"/>
        <v>1.02</v>
      </c>
      <c r="I335" s="152">
        <f t="shared" ca="1" si="16"/>
        <v>0</v>
      </c>
      <c r="J335" s="154"/>
      <c r="K335" s="155" t="s">
        <v>2966</v>
      </c>
    </row>
    <row r="336" spans="1:11" hidden="1" x14ac:dyDescent="0.25">
      <c r="A336" s="148" t="s">
        <v>525</v>
      </c>
      <c r="B336" s="149" t="s">
        <v>3329</v>
      </c>
      <c r="C336" s="150" t="s">
        <v>106</v>
      </c>
      <c r="D336" s="150">
        <v>0</v>
      </c>
      <c r="E336" s="151">
        <f ca="1">OFFSET(INDEX(Composições!A:H,MATCH(Orçamentária!A336,Composições!A:A,0),8),2,0)</f>
        <v>1.0436927999999999</v>
      </c>
      <c r="F336" s="152">
        <f t="shared" ca="1" si="17"/>
        <v>0</v>
      </c>
      <c r="G336" s="153">
        <f>IF($K336="Padrão",BDI!$B$17,IF($K336="Diferenciado",BDI!$E$17,0))</f>
        <v>0.2039</v>
      </c>
      <c r="H336" s="151">
        <f t="shared" ca="1" si="15"/>
        <v>1.26</v>
      </c>
      <c r="I336" s="152">
        <f t="shared" ca="1" si="16"/>
        <v>0</v>
      </c>
      <c r="J336" s="154"/>
      <c r="K336" s="155" t="s">
        <v>2966</v>
      </c>
    </row>
    <row r="337" spans="1:11" hidden="1" x14ac:dyDescent="0.25">
      <c r="A337" s="148" t="s">
        <v>527</v>
      </c>
      <c r="B337" s="149" t="s">
        <v>3330</v>
      </c>
      <c r="C337" s="150" t="s">
        <v>106</v>
      </c>
      <c r="D337" s="150">
        <v>0</v>
      </c>
      <c r="E337" s="151">
        <f ca="1">OFFSET(INDEX(Composições!A:H,MATCH(Orçamentária!A337,Composições!A:A,0),8),2,0)</f>
        <v>0.92953889999999995</v>
      </c>
      <c r="F337" s="152">
        <f t="shared" ca="1" si="17"/>
        <v>0</v>
      </c>
      <c r="G337" s="153">
        <f>IF($K337="Padrão",BDI!$B$17,IF($K337="Diferenciado",BDI!$E$17,0))</f>
        <v>0.2039</v>
      </c>
      <c r="H337" s="151">
        <f t="shared" ca="1" si="15"/>
        <v>1.1200000000000001</v>
      </c>
      <c r="I337" s="152">
        <f t="shared" ca="1" si="16"/>
        <v>0</v>
      </c>
      <c r="J337" s="154"/>
      <c r="K337" s="155" t="s">
        <v>2966</v>
      </c>
    </row>
    <row r="338" spans="1:11" hidden="1" x14ac:dyDescent="0.25">
      <c r="A338" s="148" t="s">
        <v>529</v>
      </c>
      <c r="B338" s="149" t="s">
        <v>3331</v>
      </c>
      <c r="C338" s="150" t="s">
        <v>106</v>
      </c>
      <c r="D338" s="150">
        <v>0</v>
      </c>
      <c r="E338" s="151">
        <f ca="1">OFFSET(INDEX(Composições!A:H,MATCH(Orçamentária!A338,Composições!A:A,0),8),2,0)</f>
        <v>1.0436927999999999</v>
      </c>
      <c r="F338" s="152">
        <f t="shared" ca="1" si="17"/>
        <v>0</v>
      </c>
      <c r="G338" s="153">
        <f>IF($K338="Padrão",BDI!$B$17,IF($K338="Diferenciado",BDI!$E$17,0))</f>
        <v>0.2039</v>
      </c>
      <c r="H338" s="151">
        <f t="shared" ca="1" si="15"/>
        <v>1.26</v>
      </c>
      <c r="I338" s="152">
        <f t="shared" ca="1" si="16"/>
        <v>0</v>
      </c>
      <c r="J338" s="154"/>
      <c r="K338" s="155" t="s">
        <v>2966</v>
      </c>
    </row>
    <row r="339" spans="1:11" hidden="1" x14ac:dyDescent="0.25">
      <c r="A339" s="148" t="s">
        <v>531</v>
      </c>
      <c r="B339" s="149" t="s">
        <v>3332</v>
      </c>
      <c r="C339" s="150" t="s">
        <v>106</v>
      </c>
      <c r="D339" s="150">
        <v>0</v>
      </c>
      <c r="E339" s="151">
        <f ca="1">OFFSET(INDEX(Composições!A:H,MATCH(Orçamentária!A339,Composições!A:A,0),8),2,0)</f>
        <v>1.0436927999999999</v>
      </c>
      <c r="F339" s="152">
        <f t="shared" ca="1" si="17"/>
        <v>0</v>
      </c>
      <c r="G339" s="153">
        <f>IF($K339="Padrão",BDI!$B$17,IF($K339="Diferenciado",BDI!$E$17,0))</f>
        <v>0.2039</v>
      </c>
      <c r="H339" s="151">
        <f t="shared" ca="1" si="15"/>
        <v>1.26</v>
      </c>
      <c r="I339" s="152">
        <f t="shared" ca="1" si="16"/>
        <v>0</v>
      </c>
      <c r="J339" s="154"/>
      <c r="K339" s="155" t="s">
        <v>2966</v>
      </c>
    </row>
    <row r="340" spans="1:11" hidden="1" x14ac:dyDescent="0.25">
      <c r="A340" s="148" t="s">
        <v>533</v>
      </c>
      <c r="B340" s="149" t="s">
        <v>3333</v>
      </c>
      <c r="C340" s="150" t="s">
        <v>106</v>
      </c>
      <c r="D340" s="150">
        <v>0</v>
      </c>
      <c r="E340" s="151">
        <f ca="1">OFFSET(INDEX(Composições!A:H,MATCH(Orçamentária!A340,Composições!A:A,0),8),2,0)</f>
        <v>1.0436927999999999</v>
      </c>
      <c r="F340" s="152">
        <f t="shared" ca="1" si="17"/>
        <v>0</v>
      </c>
      <c r="G340" s="153">
        <f>IF($K340="Padrão",BDI!$B$17,IF($K340="Diferenciado",BDI!$E$17,0))</f>
        <v>0.2039</v>
      </c>
      <c r="H340" s="151">
        <f t="shared" ca="1" si="15"/>
        <v>1.26</v>
      </c>
      <c r="I340" s="152">
        <f t="shared" ca="1" si="16"/>
        <v>0</v>
      </c>
      <c r="J340" s="154"/>
      <c r="K340" s="155" t="s">
        <v>2966</v>
      </c>
    </row>
    <row r="341" spans="1:11" hidden="1" x14ac:dyDescent="0.25">
      <c r="A341" s="148" t="s">
        <v>535</v>
      </c>
      <c r="B341" s="149" t="s">
        <v>3334</v>
      </c>
      <c r="C341" s="150" t="s">
        <v>106</v>
      </c>
      <c r="D341" s="150">
        <v>0</v>
      </c>
      <c r="E341" s="151">
        <f ca="1">OFFSET(INDEX(Composições!A:H,MATCH(Orçamentária!A341,Composições!A:A,0),8),2,0)</f>
        <v>1.0436927999999999</v>
      </c>
      <c r="F341" s="152">
        <f t="shared" ca="1" si="17"/>
        <v>0</v>
      </c>
      <c r="G341" s="153">
        <f>IF($K341="Padrão",BDI!$B$17,IF($K341="Diferenciado",BDI!$E$17,0))</f>
        <v>0.2039</v>
      </c>
      <c r="H341" s="151">
        <f t="shared" ca="1" si="15"/>
        <v>1.26</v>
      </c>
      <c r="I341" s="152">
        <f t="shared" ca="1" si="16"/>
        <v>0</v>
      </c>
      <c r="J341" s="154"/>
      <c r="K341" s="155" t="s">
        <v>2966</v>
      </c>
    </row>
    <row r="342" spans="1:11" hidden="1" x14ac:dyDescent="0.25">
      <c r="A342" s="148" t="s">
        <v>537</v>
      </c>
      <c r="B342" s="149" t="s">
        <v>3335</v>
      </c>
      <c r="C342" s="150" t="s">
        <v>106</v>
      </c>
      <c r="D342" s="150">
        <v>0</v>
      </c>
      <c r="E342" s="151">
        <f ca="1">OFFSET(INDEX(Composições!A:H,MATCH(Orçamentária!A342,Composições!A:A,0),8),2,0)</f>
        <v>1.0436927999999999</v>
      </c>
      <c r="F342" s="152">
        <f t="shared" ca="1" si="17"/>
        <v>0</v>
      </c>
      <c r="G342" s="153">
        <f>IF($K342="Padrão",BDI!$B$17,IF($K342="Diferenciado",BDI!$E$17,0))</f>
        <v>0.2039</v>
      </c>
      <c r="H342" s="151">
        <f t="shared" ca="1" si="15"/>
        <v>1.26</v>
      </c>
      <c r="I342" s="152">
        <f t="shared" ca="1" si="16"/>
        <v>0</v>
      </c>
      <c r="J342" s="154"/>
      <c r="K342" s="155" t="s">
        <v>2966</v>
      </c>
    </row>
    <row r="343" spans="1:11" hidden="1" x14ac:dyDescent="0.25">
      <c r="A343" s="148" t="s">
        <v>539</v>
      </c>
      <c r="B343" s="149" t="s">
        <v>3336</v>
      </c>
      <c r="C343" s="150" t="s">
        <v>106</v>
      </c>
      <c r="D343" s="150">
        <v>0</v>
      </c>
      <c r="E343" s="151">
        <f ca="1">OFFSET(INDEX(Composições!A:H,MATCH(Orçamentária!A343,Composições!A:A,0),8),2,0)</f>
        <v>1.0436927999999999</v>
      </c>
      <c r="F343" s="152">
        <f t="shared" ca="1" si="17"/>
        <v>0</v>
      </c>
      <c r="G343" s="153">
        <f>IF($K343="Padrão",BDI!$B$17,IF($K343="Diferenciado",BDI!$E$17,0))</f>
        <v>0.2039</v>
      </c>
      <c r="H343" s="151">
        <f t="shared" ca="1" si="15"/>
        <v>1.26</v>
      </c>
      <c r="I343" s="152">
        <f t="shared" ca="1" si="16"/>
        <v>0</v>
      </c>
      <c r="J343" s="154"/>
      <c r="K343" s="155" t="s">
        <v>2966</v>
      </c>
    </row>
    <row r="344" spans="1:11" hidden="1" x14ac:dyDescent="0.25">
      <c r="A344" s="148" t="s">
        <v>541</v>
      </c>
      <c r="B344" s="149" t="s">
        <v>3337</v>
      </c>
      <c r="C344" s="150" t="s">
        <v>68</v>
      </c>
      <c r="D344" s="150">
        <v>0</v>
      </c>
      <c r="E344" s="151">
        <f ca="1">OFFSET(INDEX(Composições!A:H,MATCH(Orçamentária!A344,Composições!A:A,0),8),2,0)</f>
        <v>10.8718</v>
      </c>
      <c r="F344" s="152">
        <f t="shared" ca="1" si="17"/>
        <v>0</v>
      </c>
      <c r="G344" s="153">
        <f>IF($K344="Padrão",BDI!$B$17,IF($K344="Diferenciado",BDI!$E$17,0))</f>
        <v>0.2039</v>
      </c>
      <c r="H344" s="151">
        <f t="shared" ca="1" si="15"/>
        <v>13.09</v>
      </c>
      <c r="I344" s="152">
        <f t="shared" ca="1" si="16"/>
        <v>0</v>
      </c>
      <c r="J344" s="154"/>
      <c r="K344" s="155" t="s">
        <v>2966</v>
      </c>
    </row>
    <row r="345" spans="1:11" hidden="1" x14ac:dyDescent="0.25">
      <c r="A345" s="148" t="s">
        <v>543</v>
      </c>
      <c r="B345" s="149" t="s">
        <v>3338</v>
      </c>
      <c r="C345" s="150" t="s">
        <v>106</v>
      </c>
      <c r="D345" s="150">
        <v>0</v>
      </c>
      <c r="E345" s="151">
        <f ca="1">OFFSET(INDEX(Composições!A:H,MATCH(Orçamentária!A345,Composições!A:A,0),8),2,0)</f>
        <v>108.07316849999998</v>
      </c>
      <c r="F345" s="152">
        <f t="shared" ca="1" si="17"/>
        <v>0</v>
      </c>
      <c r="G345" s="153">
        <f>IF($K345="Padrão",BDI!$B$17,IF($K345="Diferenciado",BDI!$E$17,0))</f>
        <v>0.2039</v>
      </c>
      <c r="H345" s="151">
        <f t="shared" ca="1" si="15"/>
        <v>130.11000000000001</v>
      </c>
      <c r="I345" s="152">
        <f t="shared" ca="1" si="16"/>
        <v>0</v>
      </c>
      <c r="J345" s="154"/>
      <c r="K345" s="155" t="s">
        <v>2966</v>
      </c>
    </row>
    <row r="346" spans="1:11" hidden="1" x14ac:dyDescent="0.25">
      <c r="A346" s="148" t="s">
        <v>544</v>
      </c>
      <c r="B346" s="149" t="s">
        <v>3339</v>
      </c>
      <c r="C346" s="150" t="s">
        <v>106</v>
      </c>
      <c r="D346" s="150">
        <v>0</v>
      </c>
      <c r="E346" s="151">
        <f ca="1">OFFSET(INDEX(Composições!A:H,MATCH(Orçamentária!A346,Composições!A:A,0),8),2,0)</f>
        <v>99.558650999999983</v>
      </c>
      <c r="F346" s="152">
        <f t="shared" ca="1" si="17"/>
        <v>0</v>
      </c>
      <c r="G346" s="153">
        <f>IF($K346="Padrão",BDI!$B$17,IF($K346="Diferenciado",BDI!$E$17,0))</f>
        <v>0.2039</v>
      </c>
      <c r="H346" s="151">
        <f t="shared" ca="1" si="15"/>
        <v>119.86</v>
      </c>
      <c r="I346" s="152">
        <f t="shared" ca="1" si="16"/>
        <v>0</v>
      </c>
      <c r="J346" s="154"/>
      <c r="K346" s="155" t="s">
        <v>2966</v>
      </c>
    </row>
    <row r="347" spans="1:11" hidden="1" x14ac:dyDescent="0.25">
      <c r="A347" s="148" t="s">
        <v>545</v>
      </c>
      <c r="B347" s="149" t="s">
        <v>3340</v>
      </c>
      <c r="C347" s="150" t="s">
        <v>106</v>
      </c>
      <c r="D347" s="150">
        <v>0</v>
      </c>
      <c r="E347" s="151">
        <f ca="1">OFFSET(INDEX(Composições!A:H,MATCH(Orçamentária!A347,Composições!A:A,0),8),2,0)</f>
        <v>79.286211499999993</v>
      </c>
      <c r="F347" s="152">
        <f t="shared" ca="1" si="17"/>
        <v>0</v>
      </c>
      <c r="G347" s="153">
        <f>IF($K347="Padrão",BDI!$B$17,IF($K347="Diferenciado",BDI!$E$17,0))</f>
        <v>0.2039</v>
      </c>
      <c r="H347" s="151">
        <f t="shared" ca="1" si="15"/>
        <v>95.45</v>
      </c>
      <c r="I347" s="152">
        <f t="shared" ca="1" si="16"/>
        <v>0</v>
      </c>
      <c r="J347" s="154"/>
      <c r="K347" s="155" t="s">
        <v>2966</v>
      </c>
    </row>
    <row r="348" spans="1:11" hidden="1" x14ac:dyDescent="0.25">
      <c r="A348" s="148" t="s">
        <v>546</v>
      </c>
      <c r="B348" s="149" t="s">
        <v>3341</v>
      </c>
      <c r="C348" s="150" t="s">
        <v>106</v>
      </c>
      <c r="D348" s="150">
        <v>0</v>
      </c>
      <c r="E348" s="151">
        <f ca="1">OFFSET(INDEX(Composições!A:H,MATCH(Orçamentária!A348,Composições!A:A,0),8),2,0)</f>
        <v>72.248544999999993</v>
      </c>
      <c r="F348" s="152">
        <f t="shared" ca="1" si="17"/>
        <v>0</v>
      </c>
      <c r="G348" s="153">
        <f>IF($K348="Padrão",BDI!$B$17,IF($K348="Diferenciado",BDI!$E$17,0))</f>
        <v>0.2039</v>
      </c>
      <c r="H348" s="151">
        <f t="shared" ca="1" si="15"/>
        <v>86.98</v>
      </c>
      <c r="I348" s="152">
        <f t="shared" ca="1" si="16"/>
        <v>0</v>
      </c>
      <c r="J348" s="154"/>
      <c r="K348" s="155" t="s">
        <v>2966</v>
      </c>
    </row>
    <row r="349" spans="1:11" hidden="1" x14ac:dyDescent="0.25">
      <c r="A349" s="148" t="s">
        <v>547</v>
      </c>
      <c r="B349" s="149" t="s">
        <v>3342</v>
      </c>
      <c r="C349" s="150" t="s">
        <v>106</v>
      </c>
      <c r="D349" s="150">
        <v>0</v>
      </c>
      <c r="E349" s="151">
        <f ca="1">OFFSET(INDEX(Composições!A:H,MATCH(Orçamentária!A349,Composições!A:A,0),8),2,0)</f>
        <v>68.934119449999983</v>
      </c>
      <c r="F349" s="152">
        <f t="shared" ca="1" si="17"/>
        <v>0</v>
      </c>
      <c r="G349" s="153">
        <f>IF($K349="Padrão",BDI!$B$17,IF($K349="Diferenciado",BDI!$E$17,0))</f>
        <v>0.2039</v>
      </c>
      <c r="H349" s="151">
        <f t="shared" ca="1" si="15"/>
        <v>82.99</v>
      </c>
      <c r="I349" s="152">
        <f t="shared" ca="1" si="16"/>
        <v>0</v>
      </c>
      <c r="J349" s="154"/>
      <c r="K349" s="155" t="s">
        <v>2966</v>
      </c>
    </row>
    <row r="350" spans="1:11" hidden="1" x14ac:dyDescent="0.25">
      <c r="A350" s="148" t="s">
        <v>548</v>
      </c>
      <c r="B350" s="149" t="s">
        <v>3343</v>
      </c>
      <c r="C350" s="150" t="s">
        <v>106</v>
      </c>
      <c r="D350" s="150">
        <v>0</v>
      </c>
      <c r="E350" s="151">
        <f ca="1">OFFSET(INDEX(Composições!A:H,MATCH(Orçamentária!A350,Composições!A:A,0),8),2,0)</f>
        <v>33.902848549999995</v>
      </c>
      <c r="F350" s="152">
        <f t="shared" ca="1" si="17"/>
        <v>0</v>
      </c>
      <c r="G350" s="153">
        <f>IF($K350="Padrão",BDI!$B$17,IF($K350="Diferenciado",BDI!$E$17,0))</f>
        <v>0.2039</v>
      </c>
      <c r="H350" s="151">
        <f t="shared" ca="1" si="15"/>
        <v>40.82</v>
      </c>
      <c r="I350" s="152">
        <f t="shared" ca="1" si="16"/>
        <v>0</v>
      </c>
      <c r="J350" s="154"/>
      <c r="K350" s="155" t="s">
        <v>2966</v>
      </c>
    </row>
    <row r="351" spans="1:11" hidden="1" x14ac:dyDescent="0.25">
      <c r="A351" s="148" t="s">
        <v>549</v>
      </c>
      <c r="B351" s="149" t="s">
        <v>3344</v>
      </c>
      <c r="C351" s="150" t="s">
        <v>106</v>
      </c>
      <c r="D351" s="150">
        <v>0</v>
      </c>
      <c r="E351" s="151">
        <f ca="1">OFFSET(INDEX(Composições!A:H,MATCH(Orçamentária!A351,Composições!A:A,0),8),2,0)</f>
        <v>102.64093169999998</v>
      </c>
      <c r="F351" s="152">
        <f t="shared" ca="1" si="17"/>
        <v>0</v>
      </c>
      <c r="G351" s="153">
        <f>IF($K351="Padrão",BDI!$B$17,IF($K351="Diferenciado",BDI!$E$17,0))</f>
        <v>0.2039</v>
      </c>
      <c r="H351" s="151">
        <f t="shared" ca="1" si="15"/>
        <v>123.57</v>
      </c>
      <c r="I351" s="152">
        <f t="shared" ca="1" si="16"/>
        <v>0</v>
      </c>
      <c r="J351" s="154"/>
      <c r="K351" s="155" t="s">
        <v>2966</v>
      </c>
    </row>
    <row r="352" spans="1:11" hidden="1" x14ac:dyDescent="0.25">
      <c r="A352" s="148" t="s">
        <v>550</v>
      </c>
      <c r="B352" s="149" t="s">
        <v>3345</v>
      </c>
      <c r="C352" s="150" t="s">
        <v>106</v>
      </c>
      <c r="D352" s="150">
        <v>0</v>
      </c>
      <c r="E352" s="151">
        <f ca="1">OFFSET(INDEX(Composições!A:H,MATCH(Orçamentária!A352,Composições!A:A,0),8),2,0)</f>
        <v>51.282302449999996</v>
      </c>
      <c r="F352" s="152">
        <f t="shared" ca="1" si="17"/>
        <v>0</v>
      </c>
      <c r="G352" s="153">
        <f>IF($K352="Padrão",BDI!$B$17,IF($K352="Diferenciado",BDI!$E$17,0))</f>
        <v>0.2039</v>
      </c>
      <c r="H352" s="151">
        <f t="shared" ca="1" si="15"/>
        <v>61.74</v>
      </c>
      <c r="I352" s="152">
        <f t="shared" ca="1" si="16"/>
        <v>0</v>
      </c>
      <c r="J352" s="154"/>
      <c r="K352" s="155" t="s">
        <v>2966</v>
      </c>
    </row>
    <row r="353" spans="1:11" hidden="1" x14ac:dyDescent="0.25">
      <c r="A353" s="148" t="s">
        <v>551</v>
      </c>
      <c r="B353" s="149" t="s">
        <v>3346</v>
      </c>
      <c r="C353" s="150" t="s">
        <v>106</v>
      </c>
      <c r="D353" s="150">
        <v>0</v>
      </c>
      <c r="E353" s="151">
        <f ca="1">OFFSET(INDEX(Composições!A:H,MATCH(Orçamentária!A353,Composições!A:A,0),8),2,0)</f>
        <v>85.286826649999995</v>
      </c>
      <c r="F353" s="152">
        <f t="shared" ca="1" si="17"/>
        <v>0</v>
      </c>
      <c r="G353" s="153">
        <f>IF($K353="Padrão",BDI!$B$17,IF($K353="Diferenciado",BDI!$E$17,0))</f>
        <v>0.2039</v>
      </c>
      <c r="H353" s="151">
        <f t="shared" ca="1" si="15"/>
        <v>102.68</v>
      </c>
      <c r="I353" s="152">
        <f t="shared" ca="1" si="16"/>
        <v>0</v>
      </c>
      <c r="J353" s="154"/>
      <c r="K353" s="155" t="s">
        <v>2966</v>
      </c>
    </row>
    <row r="354" spans="1:11" ht="25.5" hidden="1" x14ac:dyDescent="0.25">
      <c r="A354" s="148" t="s">
        <v>552</v>
      </c>
      <c r="B354" s="149" t="s">
        <v>3347</v>
      </c>
      <c r="C354" s="150" t="s">
        <v>106</v>
      </c>
      <c r="D354" s="150">
        <v>0</v>
      </c>
      <c r="E354" s="151">
        <f ca="1">OFFSET(INDEX(Composições!A:H,MATCH(Orçamentária!A354,Composições!A:A,0),8),2,0)</f>
        <v>2.4352831999999998</v>
      </c>
      <c r="F354" s="152">
        <f t="shared" ca="1" si="17"/>
        <v>0</v>
      </c>
      <c r="G354" s="153">
        <f>IF($K354="Padrão",BDI!$B$17,IF($K354="Diferenciado",BDI!$E$17,0))</f>
        <v>0.2039</v>
      </c>
      <c r="H354" s="151">
        <f t="shared" ca="1" si="15"/>
        <v>2.93</v>
      </c>
      <c r="I354" s="152">
        <f t="shared" ca="1" si="16"/>
        <v>0</v>
      </c>
      <c r="J354" s="154"/>
      <c r="K354" s="155" t="s">
        <v>2966</v>
      </c>
    </row>
    <row r="355" spans="1:11" ht="38.25" hidden="1" x14ac:dyDescent="0.25">
      <c r="A355" s="148" t="s">
        <v>554</v>
      </c>
      <c r="B355" s="149" t="s">
        <v>3348</v>
      </c>
      <c r="C355" s="150" t="s">
        <v>106</v>
      </c>
      <c r="D355" s="150">
        <v>0</v>
      </c>
      <c r="E355" s="151">
        <f ca="1">OFFSET(INDEX(Composições!A:H,MATCH(Orçamentária!A355,Composições!A:A,0),8),2,0)</f>
        <v>2.4352831999999998</v>
      </c>
      <c r="F355" s="152">
        <f t="shared" ca="1" si="17"/>
        <v>0</v>
      </c>
      <c r="G355" s="153">
        <f>IF($K355="Padrão",BDI!$B$17,IF($K355="Diferenciado",BDI!$E$17,0))</f>
        <v>0.2039</v>
      </c>
      <c r="H355" s="151">
        <f t="shared" ca="1" si="15"/>
        <v>2.93</v>
      </c>
      <c r="I355" s="152">
        <f t="shared" ca="1" si="16"/>
        <v>0</v>
      </c>
      <c r="J355" s="154"/>
      <c r="K355" s="155" t="s">
        <v>2966</v>
      </c>
    </row>
    <row r="356" spans="1:11" ht="25.5" hidden="1" x14ac:dyDescent="0.25">
      <c r="A356" s="148" t="s">
        <v>556</v>
      </c>
      <c r="B356" s="149" t="s">
        <v>3349</v>
      </c>
      <c r="C356" s="150" t="s">
        <v>106</v>
      </c>
      <c r="D356" s="150">
        <v>0</v>
      </c>
      <c r="E356" s="151">
        <f ca="1">OFFSET(INDEX(Composições!A:H,MATCH(Orçamentária!A356,Composições!A:A,0),8),2,0)</f>
        <v>2.4352831999999998</v>
      </c>
      <c r="F356" s="152">
        <f t="shared" ca="1" si="17"/>
        <v>0</v>
      </c>
      <c r="G356" s="153">
        <f>IF($K356="Padrão",BDI!$B$17,IF($K356="Diferenciado",BDI!$E$17,0))</f>
        <v>0.2039</v>
      </c>
      <c r="H356" s="151">
        <f t="shared" ca="1" si="15"/>
        <v>2.93</v>
      </c>
      <c r="I356" s="152">
        <f t="shared" ca="1" si="16"/>
        <v>0</v>
      </c>
      <c r="J356" s="154"/>
      <c r="K356" s="155" t="s">
        <v>2966</v>
      </c>
    </row>
    <row r="357" spans="1:11" hidden="1" x14ac:dyDescent="0.25">
      <c r="A357" s="148" t="s">
        <v>3350</v>
      </c>
      <c r="B357" s="149" t="s">
        <v>3351</v>
      </c>
      <c r="C357" s="150" t="s">
        <v>68</v>
      </c>
      <c r="D357" s="150">
        <v>0</v>
      </c>
      <c r="E357" s="151" t="s">
        <v>13</v>
      </c>
      <c r="F357" s="152" t="str">
        <f t="shared" si="17"/>
        <v/>
      </c>
      <c r="G357" s="153">
        <f>IF($K357="Padrão",BDI!$B$17,IF($K357="Diferenciado",BDI!$E$17,0))</f>
        <v>0.2039</v>
      </c>
      <c r="H357" s="151" t="str">
        <f t="shared" si="15"/>
        <v/>
      </c>
      <c r="I357" s="152" t="str">
        <f t="shared" si="16"/>
        <v/>
      </c>
      <c r="J357"/>
      <c r="K357" s="155" t="s">
        <v>2966</v>
      </c>
    </row>
    <row r="358" spans="1:11" hidden="1" x14ac:dyDescent="0.25">
      <c r="A358" s="148" t="s">
        <v>3352</v>
      </c>
      <c r="B358" s="149" t="s">
        <v>3353</v>
      </c>
      <c r="C358" s="150" t="s">
        <v>68</v>
      </c>
      <c r="D358" s="150">
        <v>0</v>
      </c>
      <c r="E358" s="151" t="s">
        <v>13</v>
      </c>
      <c r="F358" s="152" t="str">
        <f t="shared" si="17"/>
        <v/>
      </c>
      <c r="G358" s="153">
        <f>IF($K358="Padrão",BDI!$B$17,IF($K358="Diferenciado",BDI!$E$17,0))</f>
        <v>0.2039</v>
      </c>
      <c r="H358" s="151" t="str">
        <f t="shared" si="15"/>
        <v/>
      </c>
      <c r="I358" s="152" t="str">
        <f t="shared" si="16"/>
        <v/>
      </c>
      <c r="J358"/>
      <c r="K358" s="155" t="s">
        <v>2966</v>
      </c>
    </row>
    <row r="359" spans="1:11" hidden="1" x14ac:dyDescent="0.25">
      <c r="A359" s="148" t="s">
        <v>558</v>
      </c>
      <c r="B359" s="149" t="s">
        <v>3354</v>
      </c>
      <c r="C359" s="150" t="s">
        <v>68</v>
      </c>
      <c r="D359" s="150">
        <v>0</v>
      </c>
      <c r="E359" s="151">
        <f ca="1">OFFSET(INDEX(Composições!A:H,MATCH(Orçamentária!A359,Composições!A:A,0),8),2,0)</f>
        <v>129.03659999999999</v>
      </c>
      <c r="F359" s="152">
        <f t="shared" ca="1" si="17"/>
        <v>0</v>
      </c>
      <c r="G359" s="153">
        <f>IF($K359="Padrão",BDI!$B$17,IF($K359="Diferenciado",BDI!$E$17,0))</f>
        <v>0.2039</v>
      </c>
      <c r="H359" s="151">
        <f t="shared" ca="1" si="15"/>
        <v>155.35</v>
      </c>
      <c r="I359" s="152">
        <f t="shared" ca="1" si="16"/>
        <v>0</v>
      </c>
      <c r="J359" s="154"/>
      <c r="K359" s="155" t="s">
        <v>2966</v>
      </c>
    </row>
    <row r="360" spans="1:11" hidden="1" x14ac:dyDescent="0.25">
      <c r="A360" s="148" t="s">
        <v>559</v>
      </c>
      <c r="B360" s="149" t="s">
        <v>3355</v>
      </c>
      <c r="C360" s="150" t="s">
        <v>68</v>
      </c>
      <c r="D360" s="150">
        <v>0</v>
      </c>
      <c r="E360" s="151">
        <f ca="1">OFFSET(INDEX(Composições!A:H,MATCH(Orçamentária!A360,Composições!A:A,0),8),2,0)</f>
        <v>218.90374999999997</v>
      </c>
      <c r="F360" s="152">
        <f t="shared" ca="1" si="17"/>
        <v>0</v>
      </c>
      <c r="G360" s="153">
        <f>IF($K360="Padrão",BDI!$B$17,IF($K360="Diferenciado",BDI!$E$17,0))</f>
        <v>0.2039</v>
      </c>
      <c r="H360" s="151">
        <f t="shared" ca="1" si="15"/>
        <v>263.54000000000002</v>
      </c>
      <c r="I360" s="152">
        <f t="shared" ca="1" si="16"/>
        <v>0</v>
      </c>
      <c r="J360"/>
      <c r="K360" s="155" t="s">
        <v>2966</v>
      </c>
    </row>
    <row r="361" spans="1:11" hidden="1" x14ac:dyDescent="0.25">
      <c r="A361" s="148" t="s">
        <v>560</v>
      </c>
      <c r="B361" s="149" t="s">
        <v>3356</v>
      </c>
      <c r="C361" s="150" t="s">
        <v>68</v>
      </c>
      <c r="D361" s="150">
        <v>0</v>
      </c>
      <c r="E361" s="151">
        <f ca="1">OFFSET(INDEX(Composições!A:H,MATCH(Orçamentária!A361,Composições!A:A,0),8),2,0)</f>
        <v>190.3382</v>
      </c>
      <c r="F361" s="152">
        <f t="shared" ca="1" si="17"/>
        <v>0</v>
      </c>
      <c r="G361" s="153">
        <f>IF($K361="Padrão",BDI!$B$17,IF($K361="Diferenciado",BDI!$E$17,0))</f>
        <v>0.2039</v>
      </c>
      <c r="H361" s="151">
        <f t="shared" ca="1" si="15"/>
        <v>229.15</v>
      </c>
      <c r="I361" s="152">
        <f t="shared" ca="1" si="16"/>
        <v>0</v>
      </c>
      <c r="J361"/>
      <c r="K361" s="155" t="s">
        <v>2966</v>
      </c>
    </row>
    <row r="362" spans="1:11" hidden="1" x14ac:dyDescent="0.25">
      <c r="A362" s="148" t="s">
        <v>562</v>
      </c>
      <c r="B362" s="149" t="s">
        <v>3357</v>
      </c>
      <c r="C362" s="150" t="s">
        <v>68</v>
      </c>
      <c r="D362" s="150">
        <v>0</v>
      </c>
      <c r="E362" s="151">
        <f ca="1">OFFSET(INDEX(Composições!A:H,MATCH(Orçamentária!A362,Composições!A:A,0),8),2,0)</f>
        <v>198.55379999999997</v>
      </c>
      <c r="F362" s="152">
        <f t="shared" ca="1" si="17"/>
        <v>0</v>
      </c>
      <c r="G362" s="153">
        <f>IF($K362="Padrão",BDI!$B$17,IF($K362="Diferenciado",BDI!$E$17,0))</f>
        <v>0.2039</v>
      </c>
      <c r="H362" s="151">
        <f t="shared" ca="1" si="15"/>
        <v>239.04</v>
      </c>
      <c r="I362" s="152">
        <f t="shared" ca="1" si="16"/>
        <v>0</v>
      </c>
      <c r="J362"/>
      <c r="K362" s="155" t="s">
        <v>2966</v>
      </c>
    </row>
    <row r="363" spans="1:11" hidden="1" x14ac:dyDescent="0.25">
      <c r="A363" s="148" t="s">
        <v>563</v>
      </c>
      <c r="B363" s="149" t="s">
        <v>3358</v>
      </c>
      <c r="C363" s="150" t="s">
        <v>18</v>
      </c>
      <c r="D363" s="150">
        <v>0</v>
      </c>
      <c r="E363" s="151">
        <f ca="1">OFFSET(INDEX(Composições!A:H,MATCH(Orçamentária!A363,Composições!A:A,0),8),2,0)</f>
        <v>53.418499999999995</v>
      </c>
      <c r="F363" s="152">
        <f t="shared" ca="1" si="17"/>
        <v>0</v>
      </c>
      <c r="G363" s="153">
        <f>IF($K363="Padrão",BDI!$B$17,IF($K363="Diferenciado",BDI!$E$17,0))</f>
        <v>0.2039</v>
      </c>
      <c r="H363" s="151">
        <f t="shared" ca="1" si="15"/>
        <v>64.31</v>
      </c>
      <c r="I363" s="152">
        <f t="shared" ca="1" si="16"/>
        <v>0</v>
      </c>
      <c r="J363"/>
      <c r="K363" s="155" t="s">
        <v>2966</v>
      </c>
    </row>
    <row r="364" spans="1:11" hidden="1" x14ac:dyDescent="0.25">
      <c r="A364" s="148" t="s">
        <v>565</v>
      </c>
      <c r="B364" s="149" t="s">
        <v>3359</v>
      </c>
      <c r="C364" s="150" t="s">
        <v>18</v>
      </c>
      <c r="D364" s="150">
        <v>0</v>
      </c>
      <c r="E364" s="151">
        <f ca="1">OFFSET(INDEX(Composições!A:H,MATCH(Orçamentária!A364,Composições!A:A,0),8),2,0)</f>
        <v>370.73954725000004</v>
      </c>
      <c r="F364" s="152">
        <f t="shared" ca="1" si="17"/>
        <v>0</v>
      </c>
      <c r="G364" s="153">
        <f>IF($K364="Padrão",BDI!$B$17,IF($K364="Diferenciado",BDI!$E$17,0))</f>
        <v>0.2039</v>
      </c>
      <c r="H364" s="151">
        <f t="shared" ca="1" si="15"/>
        <v>446.33</v>
      </c>
      <c r="I364" s="152">
        <f t="shared" ca="1" si="16"/>
        <v>0</v>
      </c>
      <c r="J364" s="154"/>
      <c r="K364" s="155" t="s">
        <v>2966</v>
      </c>
    </row>
    <row r="365" spans="1:11" hidden="1" x14ac:dyDescent="0.25">
      <c r="A365" s="148" t="s">
        <v>566</v>
      </c>
      <c r="B365" s="149" t="s">
        <v>3360</v>
      </c>
      <c r="C365" s="150" t="s">
        <v>68</v>
      </c>
      <c r="D365" s="150">
        <v>0</v>
      </c>
      <c r="E365" s="151">
        <f ca="1">OFFSET(INDEX(Composições!A:H,MATCH(Orçamentária!A365,Composições!A:A,0),8),2,0)</f>
        <v>15.826049999999999</v>
      </c>
      <c r="F365" s="152">
        <f t="shared" ca="1" si="17"/>
        <v>0</v>
      </c>
      <c r="G365" s="153">
        <f>IF($K365="Padrão",BDI!$B$17,IF($K365="Diferenciado",BDI!$E$17,0))</f>
        <v>0.2039</v>
      </c>
      <c r="H365" s="151">
        <f t="shared" ca="1" si="15"/>
        <v>19.05</v>
      </c>
      <c r="I365" s="152">
        <f t="shared" ca="1" si="16"/>
        <v>0</v>
      </c>
      <c r="J365" s="154"/>
      <c r="K365" s="155" t="s">
        <v>2966</v>
      </c>
    </row>
    <row r="366" spans="1:11" hidden="1" x14ac:dyDescent="0.25">
      <c r="A366" s="148" t="s">
        <v>568</v>
      </c>
      <c r="B366" s="149" t="s">
        <v>3361</v>
      </c>
      <c r="C366" s="150" t="s">
        <v>18</v>
      </c>
      <c r="D366" s="150">
        <v>0</v>
      </c>
      <c r="E366" s="151">
        <f ca="1">OFFSET(INDEX(Composições!A:H,MATCH(Orçamentária!A366,Composições!A:A,0),8),2,0)</f>
        <v>340.12276200000002</v>
      </c>
      <c r="F366" s="152">
        <f t="shared" ca="1" si="17"/>
        <v>0</v>
      </c>
      <c r="G366" s="153">
        <f>IF($K366="Padrão",BDI!$B$17,IF($K366="Diferenciado",BDI!$E$17,0))</f>
        <v>0.2039</v>
      </c>
      <c r="H366" s="151">
        <f t="shared" ca="1" si="15"/>
        <v>409.47</v>
      </c>
      <c r="I366" s="152">
        <f t="shared" ca="1" si="16"/>
        <v>0</v>
      </c>
      <c r="J366" s="154"/>
      <c r="K366" s="155" t="s">
        <v>2966</v>
      </c>
    </row>
    <row r="367" spans="1:11" hidden="1" x14ac:dyDescent="0.25">
      <c r="A367" s="148" t="s">
        <v>569</v>
      </c>
      <c r="B367" s="149" t="s">
        <v>3362</v>
      </c>
      <c r="C367" s="150" t="s">
        <v>18</v>
      </c>
      <c r="D367" s="150">
        <v>0</v>
      </c>
      <c r="E367" s="151">
        <f ca="1">OFFSET(INDEX(Composições!A:H,MATCH(Orçamentária!A367,Composições!A:A,0),8),2,0)</f>
        <v>356.77476575000003</v>
      </c>
      <c r="F367" s="152">
        <f t="shared" ca="1" si="17"/>
        <v>0</v>
      </c>
      <c r="G367" s="153">
        <f>IF($K367="Padrão",BDI!$B$17,IF($K367="Diferenciado",BDI!$E$17,0))</f>
        <v>0.2039</v>
      </c>
      <c r="H367" s="151">
        <f t="shared" ca="1" si="15"/>
        <v>429.52</v>
      </c>
      <c r="I367" s="152">
        <f t="shared" ca="1" si="16"/>
        <v>0</v>
      </c>
      <c r="J367" s="154"/>
      <c r="K367" s="155" t="s">
        <v>2966</v>
      </c>
    </row>
    <row r="368" spans="1:11" hidden="1" x14ac:dyDescent="0.25">
      <c r="A368" s="148" t="s">
        <v>570</v>
      </c>
      <c r="B368" s="149" t="s">
        <v>3363</v>
      </c>
      <c r="C368" s="150" t="s">
        <v>18</v>
      </c>
      <c r="D368" s="150">
        <v>0</v>
      </c>
      <c r="E368" s="151">
        <f ca="1">OFFSET(INDEX(Composições!A:H,MATCH(Orçamentária!A368,Composições!A:A,0),8),2,0)</f>
        <v>428.77703274999993</v>
      </c>
      <c r="F368" s="152">
        <f t="shared" ca="1" si="17"/>
        <v>0</v>
      </c>
      <c r="G368" s="153">
        <f>IF($K368="Padrão",BDI!$B$17,IF($K368="Diferenciado",BDI!$E$17,0))</f>
        <v>0.2039</v>
      </c>
      <c r="H368" s="151">
        <f t="shared" ca="1" si="15"/>
        <v>516.20000000000005</v>
      </c>
      <c r="I368" s="152">
        <f t="shared" ca="1" si="16"/>
        <v>0</v>
      </c>
      <c r="J368" s="154"/>
      <c r="K368" s="155" t="s">
        <v>2966</v>
      </c>
    </row>
    <row r="369" spans="1:11" hidden="1" x14ac:dyDescent="0.25">
      <c r="A369" s="148" t="s">
        <v>571</v>
      </c>
      <c r="B369" s="149" t="s">
        <v>3364</v>
      </c>
      <c r="C369" s="150" t="s">
        <v>18</v>
      </c>
      <c r="D369" s="150">
        <v>0</v>
      </c>
      <c r="E369" s="151">
        <f ca="1">OFFSET(INDEX(Composições!A:H,MATCH(Orçamentária!A369,Composições!A:A,0),8),2,0)</f>
        <v>486.08279974999994</v>
      </c>
      <c r="F369" s="152">
        <f t="shared" ca="1" si="17"/>
        <v>0</v>
      </c>
      <c r="G369" s="153">
        <f>IF($K369="Padrão",BDI!$B$17,IF($K369="Diferenciado",BDI!$E$17,0))</f>
        <v>0.2039</v>
      </c>
      <c r="H369" s="151">
        <f t="shared" ca="1" si="15"/>
        <v>585.20000000000005</v>
      </c>
      <c r="I369" s="152">
        <f t="shared" ca="1" si="16"/>
        <v>0</v>
      </c>
      <c r="J369" s="154"/>
      <c r="K369" s="155" t="s">
        <v>2966</v>
      </c>
    </row>
    <row r="370" spans="1:11" hidden="1" x14ac:dyDescent="0.25">
      <c r="A370" s="148" t="s">
        <v>572</v>
      </c>
      <c r="B370" s="149" t="s">
        <v>3365</v>
      </c>
      <c r="C370" s="150" t="s">
        <v>18</v>
      </c>
      <c r="D370" s="150">
        <v>0</v>
      </c>
      <c r="E370" s="151">
        <f ca="1">OFFSET(INDEX(Composições!A:H,MATCH(Orçamentária!A370,Composições!A:A,0),8),2,0)</f>
        <v>520.20567874999995</v>
      </c>
      <c r="F370" s="152">
        <f t="shared" ca="1" si="17"/>
        <v>0</v>
      </c>
      <c r="G370" s="153">
        <f>IF($K370="Padrão",BDI!$B$17,IF($K370="Diferenciado",BDI!$E$17,0))</f>
        <v>0.2039</v>
      </c>
      <c r="H370" s="151">
        <f t="shared" ca="1" si="15"/>
        <v>626.28</v>
      </c>
      <c r="I370" s="152">
        <f t="shared" ca="1" si="16"/>
        <v>0</v>
      </c>
      <c r="J370" s="154"/>
      <c r="K370" s="155" t="s">
        <v>2966</v>
      </c>
    </row>
    <row r="371" spans="1:11" hidden="1" x14ac:dyDescent="0.25">
      <c r="A371" s="148" t="s">
        <v>573</v>
      </c>
      <c r="B371" s="149" t="s">
        <v>3366</v>
      </c>
      <c r="C371" s="150" t="s">
        <v>18</v>
      </c>
      <c r="D371" s="150">
        <v>0</v>
      </c>
      <c r="E371" s="151">
        <f ca="1">OFFSET(INDEX(Composições!A:H,MATCH(Orçamentária!A371,Composições!A:A,0),8),2,0)</f>
        <v>113.39989449999999</v>
      </c>
      <c r="F371" s="152">
        <f t="shared" ca="1" si="17"/>
        <v>0</v>
      </c>
      <c r="G371" s="153">
        <f>IF($K371="Padrão",BDI!$B$17,IF($K371="Diferenciado",BDI!$E$17,0))</f>
        <v>0.2039</v>
      </c>
      <c r="H371" s="151">
        <f t="shared" ca="1" si="15"/>
        <v>136.52000000000001</v>
      </c>
      <c r="I371" s="152">
        <f t="shared" ca="1" si="16"/>
        <v>0</v>
      </c>
      <c r="J371" s="154"/>
      <c r="K371" s="155" t="s">
        <v>2966</v>
      </c>
    </row>
    <row r="372" spans="1:11" hidden="1" x14ac:dyDescent="0.25">
      <c r="A372" s="148" t="s">
        <v>574</v>
      </c>
      <c r="B372" s="149" t="s">
        <v>3367</v>
      </c>
      <c r="C372" s="150" t="s">
        <v>18</v>
      </c>
      <c r="D372" s="150">
        <v>0</v>
      </c>
      <c r="E372" s="151">
        <f ca="1">OFFSET(INDEX(Composições!A:H,MATCH(Orçamentária!A372,Composições!A:A,0),8),2,0)</f>
        <v>82.392407500000004</v>
      </c>
      <c r="F372" s="152">
        <f t="shared" ca="1" si="17"/>
        <v>0</v>
      </c>
      <c r="G372" s="153">
        <f>IF($K372="Padrão",BDI!$B$17,IF($K372="Diferenciado",BDI!$E$17,0))</f>
        <v>0.2039</v>
      </c>
      <c r="H372" s="151">
        <f t="shared" ca="1" si="15"/>
        <v>99.19</v>
      </c>
      <c r="I372" s="152">
        <f t="shared" ca="1" si="16"/>
        <v>0</v>
      </c>
      <c r="J372" s="154"/>
      <c r="K372" s="155" t="s">
        <v>2966</v>
      </c>
    </row>
    <row r="373" spans="1:11" hidden="1" x14ac:dyDescent="0.25">
      <c r="A373" s="148" t="s">
        <v>575</v>
      </c>
      <c r="B373" s="149" t="s">
        <v>3368</v>
      </c>
      <c r="C373" s="150" t="s">
        <v>18</v>
      </c>
      <c r="D373" s="150">
        <v>0</v>
      </c>
      <c r="E373" s="151">
        <f ca="1">OFFSET(INDEX(Composições!A:H,MATCH(Orçamentária!A373,Composições!A:A,0),8),2,0)</f>
        <v>65.145679999999999</v>
      </c>
      <c r="F373" s="152">
        <f t="shared" ca="1" si="17"/>
        <v>0</v>
      </c>
      <c r="G373" s="153">
        <f>IF($K373="Padrão",BDI!$B$17,IF($K373="Diferenciado",BDI!$E$17,0))</f>
        <v>0.2039</v>
      </c>
      <c r="H373" s="151">
        <f t="shared" ca="1" si="15"/>
        <v>78.430000000000007</v>
      </c>
      <c r="I373" s="152">
        <f t="shared" ca="1" si="16"/>
        <v>0</v>
      </c>
      <c r="J373" s="154"/>
      <c r="K373" s="155" t="s">
        <v>2966</v>
      </c>
    </row>
    <row r="374" spans="1:11" hidden="1" x14ac:dyDescent="0.25">
      <c r="A374" s="148" t="s">
        <v>576</v>
      </c>
      <c r="B374" s="149" t="s">
        <v>3369</v>
      </c>
      <c r="C374" s="150" t="s">
        <v>18</v>
      </c>
      <c r="D374" s="150">
        <v>0</v>
      </c>
      <c r="E374" s="151">
        <f ca="1">OFFSET(INDEX(Composições!A:H,MATCH(Orçamentária!A374,Composições!A:A,0),8),2,0)</f>
        <v>31.635256500000001</v>
      </c>
      <c r="F374" s="152">
        <f t="shared" ca="1" si="17"/>
        <v>0</v>
      </c>
      <c r="G374" s="153">
        <f>IF($K374="Padrão",BDI!$B$17,IF($K374="Diferenciado",BDI!$E$17,0))</f>
        <v>0.2039</v>
      </c>
      <c r="H374" s="151">
        <f t="shared" ca="1" si="15"/>
        <v>38.090000000000003</v>
      </c>
      <c r="I374" s="152">
        <f t="shared" ca="1" si="16"/>
        <v>0</v>
      </c>
      <c r="J374" s="154"/>
      <c r="K374" s="155" t="s">
        <v>2966</v>
      </c>
    </row>
    <row r="375" spans="1:11" hidden="1" x14ac:dyDescent="0.25">
      <c r="A375" s="148" t="s">
        <v>578</v>
      </c>
      <c r="B375" s="149" t="s">
        <v>3370</v>
      </c>
      <c r="C375" s="150" t="s">
        <v>18</v>
      </c>
      <c r="D375" s="150">
        <v>0</v>
      </c>
      <c r="E375" s="151">
        <f ca="1">OFFSET(INDEX(Composições!A:H,MATCH(Orçamentária!A375,Composições!A:A,0),8),2,0)</f>
        <v>41.312460000000002</v>
      </c>
      <c r="F375" s="152">
        <f t="shared" ca="1" si="17"/>
        <v>0</v>
      </c>
      <c r="G375" s="153">
        <f>IF($K375="Padrão",BDI!$B$17,IF($K375="Diferenciado",BDI!$E$17,0))</f>
        <v>0.2039</v>
      </c>
      <c r="H375" s="151">
        <f t="shared" ca="1" si="15"/>
        <v>49.74</v>
      </c>
      <c r="I375" s="152">
        <f t="shared" ca="1" si="16"/>
        <v>0</v>
      </c>
      <c r="J375" s="154"/>
      <c r="K375" s="155" t="s">
        <v>2966</v>
      </c>
    </row>
    <row r="376" spans="1:11" hidden="1" x14ac:dyDescent="0.25">
      <c r="A376" s="148" t="s">
        <v>580</v>
      </c>
      <c r="B376" s="149" t="s">
        <v>3371</v>
      </c>
      <c r="C376" s="150" t="s">
        <v>18</v>
      </c>
      <c r="D376" s="150">
        <v>0</v>
      </c>
      <c r="E376" s="151">
        <f ca="1">OFFSET(INDEX(Composições!A:H,MATCH(Orçamentária!A376,Composições!A:A,0),8),2,0)</f>
        <v>41.312460000000002</v>
      </c>
      <c r="F376" s="152">
        <f t="shared" ca="1" si="17"/>
        <v>0</v>
      </c>
      <c r="G376" s="153">
        <f>IF($K376="Padrão",BDI!$B$17,IF($K376="Diferenciado",BDI!$E$17,0))</f>
        <v>0.2039</v>
      </c>
      <c r="H376" s="151">
        <f t="shared" ca="1" si="15"/>
        <v>49.74</v>
      </c>
      <c r="I376" s="152">
        <f t="shared" ca="1" si="16"/>
        <v>0</v>
      </c>
      <c r="J376" s="154"/>
      <c r="K376" s="155" t="s">
        <v>2966</v>
      </c>
    </row>
    <row r="377" spans="1:11" hidden="1" x14ac:dyDescent="0.25">
      <c r="A377" s="148" t="s">
        <v>582</v>
      </c>
      <c r="B377" s="149" t="s">
        <v>3372</v>
      </c>
      <c r="C377" s="150" t="s">
        <v>18</v>
      </c>
      <c r="D377" s="150">
        <v>0</v>
      </c>
      <c r="E377" s="151">
        <f ca="1">OFFSET(INDEX(Composições!A:H,MATCH(Orçamentária!A377,Composições!A:A,0),8),2,0)</f>
        <v>41.312460000000002</v>
      </c>
      <c r="F377" s="152">
        <f t="shared" ca="1" si="17"/>
        <v>0</v>
      </c>
      <c r="G377" s="153">
        <f>IF($K377="Padrão",BDI!$B$17,IF($K377="Diferenciado",BDI!$E$17,0))</f>
        <v>0.2039</v>
      </c>
      <c r="H377" s="151">
        <f t="shared" ca="1" si="15"/>
        <v>49.74</v>
      </c>
      <c r="I377" s="152">
        <f t="shared" ca="1" si="16"/>
        <v>0</v>
      </c>
      <c r="J377" s="154"/>
      <c r="K377" s="155" t="s">
        <v>2966</v>
      </c>
    </row>
    <row r="378" spans="1:11" hidden="1" x14ac:dyDescent="0.25">
      <c r="A378" s="148" t="s">
        <v>583</v>
      </c>
      <c r="B378" s="149" t="s">
        <v>3373</v>
      </c>
      <c r="C378" s="150" t="s">
        <v>18</v>
      </c>
      <c r="D378" s="150">
        <v>0</v>
      </c>
      <c r="E378" s="151">
        <f ca="1">OFFSET(INDEX(Composições!A:H,MATCH(Orçamentária!A378,Composições!A:A,0),8),2,0)</f>
        <v>29.060499999999998</v>
      </c>
      <c r="F378" s="152">
        <f t="shared" ca="1" si="17"/>
        <v>0</v>
      </c>
      <c r="G378" s="153">
        <f>IF($K378="Padrão",BDI!$B$17,IF($K378="Diferenciado",BDI!$E$17,0))</f>
        <v>0.2039</v>
      </c>
      <c r="H378" s="151">
        <f t="shared" ca="1" si="15"/>
        <v>34.99</v>
      </c>
      <c r="I378" s="152">
        <f t="shared" ca="1" si="16"/>
        <v>0</v>
      </c>
      <c r="J378" s="154"/>
      <c r="K378" s="155" t="s">
        <v>2966</v>
      </c>
    </row>
    <row r="379" spans="1:11" hidden="1" x14ac:dyDescent="0.25">
      <c r="A379" s="148" t="s">
        <v>585</v>
      </c>
      <c r="B379" s="149" t="s">
        <v>3374</v>
      </c>
      <c r="C379" s="150" t="s">
        <v>18</v>
      </c>
      <c r="D379" s="150">
        <v>0</v>
      </c>
      <c r="E379" s="151">
        <f ca="1">OFFSET(INDEX(Composições!A:H,MATCH(Orçamentária!A379,Composições!A:A,0),8),2,0)</f>
        <v>14.530249999999999</v>
      </c>
      <c r="F379" s="152">
        <f t="shared" ca="1" si="17"/>
        <v>0</v>
      </c>
      <c r="G379" s="153">
        <f>IF($K379="Padrão",BDI!$B$17,IF($K379="Diferenciado",BDI!$E$17,0))</f>
        <v>0.2039</v>
      </c>
      <c r="H379" s="151">
        <f t="shared" ca="1" si="15"/>
        <v>17.489999999999998</v>
      </c>
      <c r="I379" s="152">
        <f t="shared" ca="1" si="16"/>
        <v>0</v>
      </c>
      <c r="J379" s="154"/>
      <c r="K379" s="155" t="s">
        <v>2966</v>
      </c>
    </row>
    <row r="380" spans="1:11" hidden="1" x14ac:dyDescent="0.25">
      <c r="A380" s="148" t="s">
        <v>587</v>
      </c>
      <c r="B380" s="149" t="s">
        <v>3375</v>
      </c>
      <c r="C380" s="150" t="s">
        <v>106</v>
      </c>
      <c r="D380" s="150">
        <v>0</v>
      </c>
      <c r="E380" s="151">
        <f ca="1">OFFSET(INDEX(Composições!A:H,MATCH(Orçamentária!A380,Composições!A:A,0),8),2,0)</f>
        <v>0.15787099999999998</v>
      </c>
      <c r="F380" s="152">
        <f t="shared" ca="1" si="17"/>
        <v>0</v>
      </c>
      <c r="G380" s="153">
        <f>IF($K380="Padrão",BDI!$B$17,IF($K380="Diferenciado",BDI!$E$17,0))</f>
        <v>0.2039</v>
      </c>
      <c r="H380" s="151">
        <f t="shared" ca="1" si="15"/>
        <v>0.19</v>
      </c>
      <c r="I380" s="152">
        <f t="shared" ca="1" si="16"/>
        <v>0</v>
      </c>
      <c r="J380" s="154"/>
      <c r="K380" s="155" t="s">
        <v>2966</v>
      </c>
    </row>
    <row r="381" spans="1:11" hidden="1" x14ac:dyDescent="0.25">
      <c r="A381" s="148" t="s">
        <v>589</v>
      </c>
      <c r="B381" s="149" t="s">
        <v>3376</v>
      </c>
      <c r="C381" s="150" t="s">
        <v>18</v>
      </c>
      <c r="D381" s="150">
        <v>0</v>
      </c>
      <c r="E381" s="151">
        <f ca="1">OFFSET(INDEX(Composições!A:H,MATCH(Orçamentária!A381,Composições!A:A,0),8),2,0)</f>
        <v>23.252143</v>
      </c>
      <c r="F381" s="152">
        <f t="shared" ca="1" si="17"/>
        <v>0</v>
      </c>
      <c r="G381" s="153">
        <f>IF($K381="Padrão",BDI!$B$17,IF($K381="Diferenciado",BDI!$E$17,0))</f>
        <v>0.2039</v>
      </c>
      <c r="H381" s="151">
        <f t="shared" ca="1" si="15"/>
        <v>27.99</v>
      </c>
      <c r="I381" s="152">
        <f t="shared" ca="1" si="16"/>
        <v>0</v>
      </c>
      <c r="J381" s="154"/>
      <c r="K381" s="155" t="s">
        <v>2966</v>
      </c>
    </row>
    <row r="382" spans="1:11" hidden="1" x14ac:dyDescent="0.25">
      <c r="A382" s="148" t="s">
        <v>593</v>
      </c>
      <c r="B382" s="149" t="s">
        <v>3377</v>
      </c>
      <c r="C382" s="150" t="s">
        <v>18</v>
      </c>
      <c r="D382" s="150">
        <v>0</v>
      </c>
      <c r="E382" s="151">
        <f ca="1">OFFSET(INDEX(Composições!A:H,MATCH(Orçamentária!A382,Composições!A:A,0),8),2,0)</f>
        <v>349.61096774999999</v>
      </c>
      <c r="F382" s="152">
        <f t="shared" ca="1" si="17"/>
        <v>0</v>
      </c>
      <c r="G382" s="153">
        <f>IF($K382="Padrão",BDI!$B$17,IF($K382="Diferenciado",BDI!$E$17,0))</f>
        <v>0.2039</v>
      </c>
      <c r="H382" s="151">
        <f t="shared" ca="1" si="15"/>
        <v>420.9</v>
      </c>
      <c r="I382" s="152">
        <f t="shared" ca="1" si="16"/>
        <v>0</v>
      </c>
      <c r="J382" s="154"/>
      <c r="K382" s="155" t="s">
        <v>2966</v>
      </c>
    </row>
    <row r="383" spans="1:11" hidden="1" x14ac:dyDescent="0.25">
      <c r="A383" s="148" t="s">
        <v>595</v>
      </c>
      <c r="B383" s="149" t="s">
        <v>3378</v>
      </c>
      <c r="C383" s="150" t="s">
        <v>106</v>
      </c>
      <c r="D383" s="150">
        <v>0</v>
      </c>
      <c r="E383" s="151">
        <f ca="1">OFFSET(INDEX(Composições!A:H,MATCH(Orçamentária!A383,Composições!A:A,0),8),2,0)</f>
        <v>5.1602432500000006</v>
      </c>
      <c r="F383" s="152">
        <f t="shared" ca="1" si="17"/>
        <v>0</v>
      </c>
      <c r="G383" s="153">
        <f>IF($K383="Padrão",BDI!$B$17,IF($K383="Diferenciado",BDI!$E$17,0))</f>
        <v>0.2039</v>
      </c>
      <c r="H383" s="151">
        <f t="shared" ca="1" si="15"/>
        <v>6.21</v>
      </c>
      <c r="I383" s="152">
        <f t="shared" ca="1" si="16"/>
        <v>0</v>
      </c>
      <c r="J383" s="154"/>
      <c r="K383" s="155" t="s">
        <v>2966</v>
      </c>
    </row>
    <row r="384" spans="1:11" hidden="1" x14ac:dyDescent="0.25">
      <c r="A384" s="148" t="s">
        <v>596</v>
      </c>
      <c r="B384" s="149" t="s">
        <v>3379</v>
      </c>
      <c r="C384" s="150" t="s">
        <v>18</v>
      </c>
      <c r="D384" s="150">
        <v>0</v>
      </c>
      <c r="E384" s="151">
        <f ca="1">OFFSET(INDEX(Composições!A:H,MATCH(Orçamentária!A384,Composições!A:A,0),8),2,0)</f>
        <v>56.162071500000003</v>
      </c>
      <c r="F384" s="152">
        <f t="shared" ca="1" si="17"/>
        <v>0</v>
      </c>
      <c r="G384" s="153">
        <f>IF($K384="Padrão",BDI!$B$17,IF($K384="Diferenciado",BDI!$E$17,0))</f>
        <v>0.2039</v>
      </c>
      <c r="H384" s="151">
        <f t="shared" ca="1" si="15"/>
        <v>67.61</v>
      </c>
      <c r="I384" s="152">
        <f t="shared" ca="1" si="16"/>
        <v>0</v>
      </c>
      <c r="J384" s="154"/>
      <c r="K384" s="155" t="s">
        <v>2966</v>
      </c>
    </row>
    <row r="385" spans="1:11" hidden="1" x14ac:dyDescent="0.25">
      <c r="A385" s="148" t="s">
        <v>598</v>
      </c>
      <c r="B385" s="149" t="s">
        <v>3380</v>
      </c>
      <c r="C385" s="150" t="s">
        <v>18</v>
      </c>
      <c r="D385" s="150">
        <v>0</v>
      </c>
      <c r="E385" s="151">
        <f ca="1">OFFSET(INDEX(Composições!A:H,MATCH(Orçamentária!A385,Composições!A:A,0),8),2,0)</f>
        <v>181.14600000000002</v>
      </c>
      <c r="F385" s="152">
        <f t="shared" ca="1" si="17"/>
        <v>0</v>
      </c>
      <c r="G385" s="153">
        <f>IF($K385="Padrão",BDI!$B$17,IF($K385="Diferenciado",BDI!$E$17,0))</f>
        <v>0.2039</v>
      </c>
      <c r="H385" s="151">
        <f t="shared" ca="1" si="15"/>
        <v>218.08</v>
      </c>
      <c r="I385" s="152">
        <f t="shared" ca="1" si="16"/>
        <v>0</v>
      </c>
      <c r="J385" s="154"/>
      <c r="K385" s="155" t="s">
        <v>2966</v>
      </c>
    </row>
    <row r="386" spans="1:11" hidden="1" x14ac:dyDescent="0.25">
      <c r="A386" s="148" t="s">
        <v>3381</v>
      </c>
      <c r="B386" s="149" t="s">
        <v>3382</v>
      </c>
      <c r="C386" s="150" t="s">
        <v>3383</v>
      </c>
      <c r="D386" s="150">
        <v>0</v>
      </c>
      <c r="E386" s="151" t="s">
        <v>13</v>
      </c>
      <c r="F386" s="152" t="str">
        <f t="shared" si="17"/>
        <v/>
      </c>
      <c r="G386" s="153">
        <f>IF($K386="Padrão",BDI!$B$17,IF($K386="Diferenciado",BDI!$E$17,0))</f>
        <v>0.2039</v>
      </c>
      <c r="H386" s="151" t="str">
        <f t="shared" si="15"/>
        <v/>
      </c>
      <c r="I386" s="152" t="str">
        <f t="shared" si="16"/>
        <v/>
      </c>
      <c r="J386" s="154"/>
      <c r="K386" s="155" t="s">
        <v>2966</v>
      </c>
    </row>
    <row r="387" spans="1:11" hidden="1" x14ac:dyDescent="0.25">
      <c r="A387" s="148" t="s">
        <v>3384</v>
      </c>
      <c r="B387" s="149" t="s">
        <v>3385</v>
      </c>
      <c r="C387" s="150" t="s">
        <v>70</v>
      </c>
      <c r="D387" s="150">
        <v>0</v>
      </c>
      <c r="E387" s="151" t="s">
        <v>13</v>
      </c>
      <c r="F387" s="152" t="str">
        <f t="shared" si="17"/>
        <v/>
      </c>
      <c r="G387" s="153">
        <f>IF($K387="Padrão",BDI!$B$17,IF($K387="Diferenciado",BDI!$E$17,0))</f>
        <v>0.2039</v>
      </c>
      <c r="H387" s="151" t="str">
        <f t="shared" si="15"/>
        <v/>
      </c>
      <c r="I387" s="152" t="str">
        <f t="shared" si="16"/>
        <v/>
      </c>
      <c r="J387" s="154"/>
      <c r="K387" s="155" t="s">
        <v>2966</v>
      </c>
    </row>
    <row r="388" spans="1:11" hidden="1" x14ac:dyDescent="0.25">
      <c r="A388" s="148" t="s">
        <v>3386</v>
      </c>
      <c r="B388" s="149" t="s">
        <v>3387</v>
      </c>
      <c r="C388" s="150" t="s">
        <v>3388</v>
      </c>
      <c r="D388" s="150">
        <v>0</v>
      </c>
      <c r="E388" s="151" t="s">
        <v>13</v>
      </c>
      <c r="F388" s="152" t="str">
        <f t="shared" si="17"/>
        <v/>
      </c>
      <c r="G388" s="153">
        <f>IF($K388="Padrão",BDI!$B$17,IF($K388="Diferenciado",BDI!$E$17,0))</f>
        <v>0.2039</v>
      </c>
      <c r="H388" s="151" t="str">
        <f t="shared" si="15"/>
        <v/>
      </c>
      <c r="I388" s="152" t="str">
        <f t="shared" si="16"/>
        <v/>
      </c>
      <c r="J388" s="154"/>
      <c r="K388" s="155" t="s">
        <v>2966</v>
      </c>
    </row>
    <row r="389" spans="1:11" hidden="1" x14ac:dyDescent="0.25">
      <c r="A389" s="148" t="s">
        <v>3389</v>
      </c>
      <c r="B389" s="149" t="s">
        <v>3390</v>
      </c>
      <c r="C389" s="150" t="s">
        <v>72</v>
      </c>
      <c r="D389" s="150">
        <v>0</v>
      </c>
      <c r="E389" s="151" t="s">
        <v>13</v>
      </c>
      <c r="F389" s="152" t="str">
        <f t="shared" si="17"/>
        <v/>
      </c>
      <c r="G389" s="153">
        <f>IF($K389="Padrão",BDI!$B$17,IF($K389="Diferenciado",BDI!$E$17,0))</f>
        <v>0.2039</v>
      </c>
      <c r="H389" s="151" t="str">
        <f t="shared" si="15"/>
        <v/>
      </c>
      <c r="I389" s="152" t="str">
        <f t="shared" si="16"/>
        <v/>
      </c>
      <c r="J389" s="154"/>
      <c r="K389" s="155" t="s">
        <v>2966</v>
      </c>
    </row>
    <row r="390" spans="1:11" hidden="1" x14ac:dyDescent="0.25">
      <c r="A390" s="148" t="s">
        <v>3391</v>
      </c>
      <c r="B390" s="149" t="s">
        <v>3392</v>
      </c>
      <c r="C390" s="150" t="s">
        <v>72</v>
      </c>
      <c r="D390" s="150">
        <v>0</v>
      </c>
      <c r="E390" s="151" t="s">
        <v>13</v>
      </c>
      <c r="F390" s="152" t="str">
        <f t="shared" si="17"/>
        <v/>
      </c>
      <c r="G390" s="153">
        <f>IF($K390="Padrão",BDI!$B$17,IF($K390="Diferenciado",BDI!$E$17,0))</f>
        <v>0.2039</v>
      </c>
      <c r="H390" s="151" t="str">
        <f t="shared" ref="H390:H453" si="18">IF(ISNUMBER(E390),ROUND(E390*(1+G390),2),"")</f>
        <v/>
      </c>
      <c r="I390" s="152" t="str">
        <f t="shared" ref="I390:I453" si="19">IF(ISNUMBER(E390),ROUND(H390*D390,2),"")</f>
        <v/>
      </c>
      <c r="J390" s="154"/>
      <c r="K390" s="155" t="s">
        <v>2966</v>
      </c>
    </row>
    <row r="391" spans="1:11" hidden="1" x14ac:dyDescent="0.25">
      <c r="A391" s="148" t="s">
        <v>3393</v>
      </c>
      <c r="B391" s="149" t="s">
        <v>3394</v>
      </c>
      <c r="C391" s="150" t="s">
        <v>3395</v>
      </c>
      <c r="D391" s="150">
        <v>0</v>
      </c>
      <c r="E391" s="151" t="s">
        <v>13</v>
      </c>
      <c r="F391" s="152" t="str">
        <f t="shared" ref="F391:F454" si="20">IF(ISNUMBER(E391),D391*E391,"")</f>
        <v/>
      </c>
      <c r="G391" s="153">
        <f>IF($K391="Padrão",BDI!$B$17,IF($K391="Diferenciado",BDI!$E$17,0))</f>
        <v>0.2039</v>
      </c>
      <c r="H391" s="151" t="str">
        <f t="shared" si="18"/>
        <v/>
      </c>
      <c r="I391" s="152" t="str">
        <f t="shared" si="19"/>
        <v/>
      </c>
      <c r="J391" s="154"/>
      <c r="K391" s="155" t="s">
        <v>2966</v>
      </c>
    </row>
    <row r="392" spans="1:11" hidden="1" x14ac:dyDescent="0.25">
      <c r="A392" s="148" t="s">
        <v>3396</v>
      </c>
      <c r="B392" s="149" t="s">
        <v>3397</v>
      </c>
      <c r="C392" s="150" t="s">
        <v>70</v>
      </c>
      <c r="D392" s="150">
        <v>0</v>
      </c>
      <c r="E392" s="151" t="s">
        <v>13</v>
      </c>
      <c r="F392" s="152" t="str">
        <f t="shared" si="20"/>
        <v/>
      </c>
      <c r="G392" s="153">
        <f>IF($K392="Padrão",BDI!$B$17,IF($K392="Diferenciado",BDI!$E$17,0))</f>
        <v>0.2039</v>
      </c>
      <c r="H392" s="151" t="str">
        <f t="shared" si="18"/>
        <v/>
      </c>
      <c r="I392" s="152" t="str">
        <f t="shared" si="19"/>
        <v/>
      </c>
      <c r="J392" s="154"/>
      <c r="K392" s="155" t="s">
        <v>2966</v>
      </c>
    </row>
    <row r="393" spans="1:11" hidden="1" x14ac:dyDescent="0.25">
      <c r="A393" s="148" t="s">
        <v>3398</v>
      </c>
      <c r="B393" s="149" t="s">
        <v>3399</v>
      </c>
      <c r="C393" s="150" t="s">
        <v>72</v>
      </c>
      <c r="D393" s="150">
        <v>0</v>
      </c>
      <c r="E393" s="151" t="s">
        <v>13</v>
      </c>
      <c r="F393" s="152" t="str">
        <f t="shared" si="20"/>
        <v/>
      </c>
      <c r="G393" s="153">
        <f>IF($K393="Padrão",BDI!$B$17,IF($K393="Diferenciado",BDI!$E$17,0))</f>
        <v>0.2039</v>
      </c>
      <c r="H393" s="151" t="str">
        <f t="shared" si="18"/>
        <v/>
      </c>
      <c r="I393" s="152" t="str">
        <f t="shared" si="19"/>
        <v/>
      </c>
      <c r="J393" s="154"/>
      <c r="K393" s="155" t="s">
        <v>2966</v>
      </c>
    </row>
    <row r="394" spans="1:11" hidden="1" x14ac:dyDescent="0.25">
      <c r="A394" s="148" t="s">
        <v>3400</v>
      </c>
      <c r="B394" s="149" t="s">
        <v>3401</v>
      </c>
      <c r="C394" s="150" t="s">
        <v>72</v>
      </c>
      <c r="D394" s="150">
        <v>0</v>
      </c>
      <c r="E394" s="151" t="s">
        <v>13</v>
      </c>
      <c r="F394" s="152" t="str">
        <f t="shared" si="20"/>
        <v/>
      </c>
      <c r="G394" s="153">
        <f>IF($K394="Padrão",BDI!$B$17,IF($K394="Diferenciado",BDI!$E$17,0))</f>
        <v>0.2039</v>
      </c>
      <c r="H394" s="151" t="str">
        <f t="shared" si="18"/>
        <v/>
      </c>
      <c r="I394" s="152" t="str">
        <f t="shared" si="19"/>
        <v/>
      </c>
      <c r="J394" s="154"/>
      <c r="K394" s="155" t="s">
        <v>2966</v>
      </c>
    </row>
    <row r="395" spans="1:11" hidden="1" x14ac:dyDescent="0.25">
      <c r="A395" s="148" t="s">
        <v>3402</v>
      </c>
      <c r="B395" s="149" t="s">
        <v>3403</v>
      </c>
      <c r="C395" s="150" t="s">
        <v>106</v>
      </c>
      <c r="D395" s="150">
        <v>0</v>
      </c>
      <c r="E395" s="151" t="s">
        <v>13</v>
      </c>
      <c r="F395" s="152" t="str">
        <f t="shared" si="20"/>
        <v/>
      </c>
      <c r="G395" s="153">
        <f>IF($K395="Padrão",BDI!$B$17,IF($K395="Diferenciado",BDI!$E$17,0))</f>
        <v>0.2039</v>
      </c>
      <c r="H395" s="151" t="str">
        <f t="shared" si="18"/>
        <v/>
      </c>
      <c r="I395" s="152" t="str">
        <f t="shared" si="19"/>
        <v/>
      </c>
      <c r="J395" s="154"/>
      <c r="K395" s="155" t="s">
        <v>2966</v>
      </c>
    </row>
    <row r="396" spans="1:11" hidden="1" x14ac:dyDescent="0.25">
      <c r="A396" s="148" t="s">
        <v>3404</v>
      </c>
      <c r="B396" s="149" t="s">
        <v>3405</v>
      </c>
      <c r="C396" s="150" t="s">
        <v>106</v>
      </c>
      <c r="D396" s="150">
        <v>0</v>
      </c>
      <c r="E396" s="151" t="s">
        <v>13</v>
      </c>
      <c r="F396" s="152" t="str">
        <f t="shared" si="20"/>
        <v/>
      </c>
      <c r="G396" s="153">
        <f>IF($K396="Padrão",BDI!$B$17,IF($K396="Diferenciado",BDI!$E$17,0))</f>
        <v>0.2039</v>
      </c>
      <c r="H396" s="151" t="str">
        <f t="shared" si="18"/>
        <v/>
      </c>
      <c r="I396" s="152" t="str">
        <f t="shared" si="19"/>
        <v/>
      </c>
      <c r="J396" s="154"/>
      <c r="K396" s="155" t="s">
        <v>2966</v>
      </c>
    </row>
    <row r="397" spans="1:11" hidden="1" x14ac:dyDescent="0.25">
      <c r="A397" s="148" t="s">
        <v>3406</v>
      </c>
      <c r="B397" s="149" t="s">
        <v>3407</v>
      </c>
      <c r="C397" s="150" t="s">
        <v>106</v>
      </c>
      <c r="D397" s="150">
        <v>0</v>
      </c>
      <c r="E397" s="151" t="s">
        <v>13</v>
      </c>
      <c r="F397" s="152" t="str">
        <f t="shared" si="20"/>
        <v/>
      </c>
      <c r="G397" s="153">
        <f>IF($K397="Padrão",BDI!$B$17,IF($K397="Diferenciado",BDI!$E$17,0))</f>
        <v>0.2039</v>
      </c>
      <c r="H397" s="151" t="str">
        <f t="shared" si="18"/>
        <v/>
      </c>
      <c r="I397" s="152" t="str">
        <f t="shared" si="19"/>
        <v/>
      </c>
      <c r="J397" s="154"/>
      <c r="K397" s="155" t="s">
        <v>2966</v>
      </c>
    </row>
    <row r="398" spans="1:11" hidden="1" x14ac:dyDescent="0.25">
      <c r="A398" s="148" t="s">
        <v>3408</v>
      </c>
      <c r="B398" s="149" t="s">
        <v>3409</v>
      </c>
      <c r="C398" s="150" t="s">
        <v>106</v>
      </c>
      <c r="D398" s="150">
        <v>0</v>
      </c>
      <c r="E398" s="151" t="s">
        <v>13</v>
      </c>
      <c r="F398" s="152" t="str">
        <f t="shared" si="20"/>
        <v/>
      </c>
      <c r="G398" s="153">
        <f>IF($K398="Padrão",BDI!$B$17,IF($K398="Diferenciado",BDI!$E$17,0))</f>
        <v>0.2039</v>
      </c>
      <c r="H398" s="151" t="str">
        <f t="shared" si="18"/>
        <v/>
      </c>
      <c r="I398" s="152" t="str">
        <f t="shared" si="19"/>
        <v/>
      </c>
      <c r="J398" s="154"/>
      <c r="K398" s="155" t="s">
        <v>2966</v>
      </c>
    </row>
    <row r="399" spans="1:11" hidden="1" x14ac:dyDescent="0.25">
      <c r="A399" s="148" t="s">
        <v>3410</v>
      </c>
      <c r="B399" s="149" t="s">
        <v>3411</v>
      </c>
      <c r="C399" s="150" t="s">
        <v>18</v>
      </c>
      <c r="D399" s="150">
        <v>0</v>
      </c>
      <c r="E399" s="151" t="s">
        <v>13</v>
      </c>
      <c r="F399" s="152" t="str">
        <f t="shared" si="20"/>
        <v/>
      </c>
      <c r="G399" s="153">
        <f>IF($K399="Padrão",BDI!$B$17,IF($K399="Diferenciado",BDI!$E$17,0))</f>
        <v>0.2039</v>
      </c>
      <c r="H399" s="151" t="str">
        <f t="shared" si="18"/>
        <v/>
      </c>
      <c r="I399" s="152" t="str">
        <f t="shared" si="19"/>
        <v/>
      </c>
      <c r="J399" s="154"/>
      <c r="K399" s="155" t="s">
        <v>2966</v>
      </c>
    </row>
    <row r="400" spans="1:11" hidden="1" x14ac:dyDescent="0.25">
      <c r="A400" s="148" t="s">
        <v>3412</v>
      </c>
      <c r="B400" s="149" t="s">
        <v>3413</v>
      </c>
      <c r="C400" s="150" t="s">
        <v>18</v>
      </c>
      <c r="D400" s="150">
        <v>0</v>
      </c>
      <c r="E400" s="151" t="s">
        <v>13</v>
      </c>
      <c r="F400" s="152" t="str">
        <f t="shared" si="20"/>
        <v/>
      </c>
      <c r="G400" s="153">
        <f>IF($K400="Padrão",BDI!$B$17,IF($K400="Diferenciado",BDI!$E$17,0))</f>
        <v>0.2039</v>
      </c>
      <c r="H400" s="151" t="str">
        <f t="shared" si="18"/>
        <v/>
      </c>
      <c r="I400" s="152" t="str">
        <f t="shared" si="19"/>
        <v/>
      </c>
      <c r="J400" s="154"/>
      <c r="K400" s="155" t="s">
        <v>2966</v>
      </c>
    </row>
    <row r="401" spans="1:11" hidden="1" x14ac:dyDescent="0.25">
      <c r="A401" s="148" t="s">
        <v>3414</v>
      </c>
      <c r="B401" s="149" t="s">
        <v>3415</v>
      </c>
      <c r="C401" s="150" t="s">
        <v>18</v>
      </c>
      <c r="D401" s="150">
        <v>0</v>
      </c>
      <c r="E401" s="151" t="s">
        <v>13</v>
      </c>
      <c r="F401" s="152" t="str">
        <f t="shared" si="20"/>
        <v/>
      </c>
      <c r="G401" s="153">
        <f>IF($K401="Padrão",BDI!$B$17,IF($K401="Diferenciado",BDI!$E$17,0))</f>
        <v>0.2039</v>
      </c>
      <c r="H401" s="151" t="str">
        <f t="shared" si="18"/>
        <v/>
      </c>
      <c r="I401" s="152" t="str">
        <f t="shared" si="19"/>
        <v/>
      </c>
      <c r="J401" s="154"/>
      <c r="K401" s="155" t="s">
        <v>2966</v>
      </c>
    </row>
    <row r="402" spans="1:11" hidden="1" x14ac:dyDescent="0.25">
      <c r="A402" s="148" t="s">
        <v>3416</v>
      </c>
      <c r="B402" s="149" t="s">
        <v>3417</v>
      </c>
      <c r="C402" s="150" t="s">
        <v>18</v>
      </c>
      <c r="D402" s="150">
        <v>0</v>
      </c>
      <c r="E402" s="151" t="s">
        <v>13</v>
      </c>
      <c r="F402" s="152" t="str">
        <f t="shared" si="20"/>
        <v/>
      </c>
      <c r="G402" s="153">
        <f>IF($K402="Padrão",BDI!$B$17,IF($K402="Diferenciado",BDI!$E$17,0))</f>
        <v>0.2039</v>
      </c>
      <c r="H402" s="151" t="str">
        <f t="shared" si="18"/>
        <v/>
      </c>
      <c r="I402" s="152" t="str">
        <f t="shared" si="19"/>
        <v/>
      </c>
      <c r="J402" s="154"/>
      <c r="K402" s="155" t="s">
        <v>2966</v>
      </c>
    </row>
    <row r="403" spans="1:11" hidden="1" x14ac:dyDescent="0.25">
      <c r="A403" s="148" t="s">
        <v>3418</v>
      </c>
      <c r="B403" s="149" t="s">
        <v>3419</v>
      </c>
      <c r="C403" s="150" t="s">
        <v>106</v>
      </c>
      <c r="D403" s="150">
        <v>0</v>
      </c>
      <c r="E403" s="151" t="s">
        <v>13</v>
      </c>
      <c r="F403" s="152" t="str">
        <f t="shared" si="20"/>
        <v/>
      </c>
      <c r="G403" s="153">
        <f>IF($K403="Padrão",BDI!$B$17,IF($K403="Diferenciado",BDI!$E$17,0))</f>
        <v>0.2039</v>
      </c>
      <c r="H403" s="151" t="str">
        <f t="shared" si="18"/>
        <v/>
      </c>
      <c r="I403" s="152" t="str">
        <f t="shared" si="19"/>
        <v/>
      </c>
      <c r="J403" s="154"/>
      <c r="K403" s="155" t="s">
        <v>2966</v>
      </c>
    </row>
    <row r="404" spans="1:11" hidden="1" x14ac:dyDescent="0.25">
      <c r="A404" s="148" t="s">
        <v>3420</v>
      </c>
      <c r="B404" s="149" t="s">
        <v>3421</v>
      </c>
      <c r="C404" s="150" t="s">
        <v>106</v>
      </c>
      <c r="D404" s="150">
        <v>0</v>
      </c>
      <c r="E404" s="151" t="s">
        <v>13</v>
      </c>
      <c r="F404" s="152" t="str">
        <f t="shared" si="20"/>
        <v/>
      </c>
      <c r="G404" s="153">
        <f>IF($K404="Padrão",BDI!$B$17,IF($K404="Diferenciado",BDI!$E$17,0))</f>
        <v>0.2039</v>
      </c>
      <c r="H404" s="151" t="str">
        <f t="shared" si="18"/>
        <v/>
      </c>
      <c r="I404" s="152" t="str">
        <f t="shared" si="19"/>
        <v/>
      </c>
      <c r="J404" s="154"/>
      <c r="K404" s="155" t="s">
        <v>2966</v>
      </c>
    </row>
    <row r="405" spans="1:11" hidden="1" x14ac:dyDescent="0.25">
      <c r="A405" s="148" t="s">
        <v>3422</v>
      </c>
      <c r="B405" s="149" t="s">
        <v>3423</v>
      </c>
      <c r="C405" s="150" t="s">
        <v>18</v>
      </c>
      <c r="D405" s="150">
        <v>0</v>
      </c>
      <c r="E405" s="151" t="s">
        <v>13</v>
      </c>
      <c r="F405" s="152" t="str">
        <f t="shared" si="20"/>
        <v/>
      </c>
      <c r="G405" s="153">
        <f>IF($K405="Padrão",BDI!$B$17,IF($K405="Diferenciado",BDI!$E$17,0))</f>
        <v>0.2039</v>
      </c>
      <c r="H405" s="151" t="str">
        <f t="shared" si="18"/>
        <v/>
      </c>
      <c r="I405" s="152" t="str">
        <f t="shared" si="19"/>
        <v/>
      </c>
      <c r="J405" s="154"/>
      <c r="K405" s="155" t="s">
        <v>2966</v>
      </c>
    </row>
    <row r="406" spans="1:11" hidden="1" x14ac:dyDescent="0.25">
      <c r="A406" s="148" t="s">
        <v>3424</v>
      </c>
      <c r="B406" s="149" t="s">
        <v>3425</v>
      </c>
      <c r="C406" s="150" t="s">
        <v>106</v>
      </c>
      <c r="D406" s="150">
        <v>0</v>
      </c>
      <c r="E406" s="151" t="s">
        <v>13</v>
      </c>
      <c r="F406" s="152" t="str">
        <f t="shared" si="20"/>
        <v/>
      </c>
      <c r="G406" s="153">
        <f>IF($K406="Padrão",BDI!$B$17,IF($K406="Diferenciado",BDI!$E$17,0))</f>
        <v>0.2039</v>
      </c>
      <c r="H406" s="151" t="str">
        <f t="shared" si="18"/>
        <v/>
      </c>
      <c r="I406" s="152" t="str">
        <f t="shared" si="19"/>
        <v/>
      </c>
      <c r="J406" s="154"/>
      <c r="K406" s="155" t="s">
        <v>2966</v>
      </c>
    </row>
    <row r="407" spans="1:11" hidden="1" x14ac:dyDescent="0.25">
      <c r="A407" s="148" t="s">
        <v>3426</v>
      </c>
      <c r="B407" s="149" t="s">
        <v>3427</v>
      </c>
      <c r="C407" s="150" t="s">
        <v>18</v>
      </c>
      <c r="D407" s="150">
        <v>0</v>
      </c>
      <c r="E407" s="151" t="s">
        <v>13</v>
      </c>
      <c r="F407" s="152" t="str">
        <f t="shared" si="20"/>
        <v/>
      </c>
      <c r="G407" s="153">
        <f>IF($K407="Padrão",BDI!$B$17,IF($K407="Diferenciado",BDI!$E$17,0))</f>
        <v>0.2039</v>
      </c>
      <c r="H407" s="151" t="str">
        <f t="shared" si="18"/>
        <v/>
      </c>
      <c r="I407" s="152" t="str">
        <f t="shared" si="19"/>
        <v/>
      </c>
      <c r="J407" s="154"/>
      <c r="K407" s="155" t="s">
        <v>2966</v>
      </c>
    </row>
    <row r="408" spans="1:11" hidden="1" x14ac:dyDescent="0.25">
      <c r="A408" s="148" t="s">
        <v>3428</v>
      </c>
      <c r="B408" s="149" t="s">
        <v>3429</v>
      </c>
      <c r="C408" s="150" t="s">
        <v>18</v>
      </c>
      <c r="D408" s="150">
        <v>0</v>
      </c>
      <c r="E408" s="151" t="s">
        <v>13</v>
      </c>
      <c r="F408" s="152" t="str">
        <f t="shared" si="20"/>
        <v/>
      </c>
      <c r="G408" s="153">
        <f>IF($K408="Padrão",BDI!$B$17,IF($K408="Diferenciado",BDI!$E$17,0))</f>
        <v>0.2039</v>
      </c>
      <c r="H408" s="151" t="str">
        <f t="shared" si="18"/>
        <v/>
      </c>
      <c r="I408" s="152" t="str">
        <f t="shared" si="19"/>
        <v/>
      </c>
      <c r="J408" s="154"/>
      <c r="K408" s="155" t="s">
        <v>2966</v>
      </c>
    </row>
    <row r="409" spans="1:11" hidden="1" x14ac:dyDescent="0.25">
      <c r="A409" s="148" t="s">
        <v>3430</v>
      </c>
      <c r="B409" s="149" t="s">
        <v>3431</v>
      </c>
      <c r="C409" s="150" t="s">
        <v>18</v>
      </c>
      <c r="D409" s="150">
        <v>0</v>
      </c>
      <c r="E409" s="151" t="s">
        <v>13</v>
      </c>
      <c r="F409" s="152" t="str">
        <f t="shared" si="20"/>
        <v/>
      </c>
      <c r="G409" s="153">
        <f>IF($K409="Padrão",BDI!$B$17,IF($K409="Diferenciado",BDI!$E$17,0))</f>
        <v>0.2039</v>
      </c>
      <c r="H409" s="151" t="str">
        <f t="shared" si="18"/>
        <v/>
      </c>
      <c r="I409" s="152" t="str">
        <f t="shared" si="19"/>
        <v/>
      </c>
      <c r="J409" s="154"/>
      <c r="K409" s="155" t="s">
        <v>2966</v>
      </c>
    </row>
    <row r="410" spans="1:11" hidden="1" x14ac:dyDescent="0.25">
      <c r="A410" s="148" t="s">
        <v>600</v>
      </c>
      <c r="B410" s="149" t="s">
        <v>3432</v>
      </c>
      <c r="C410" s="150" t="s">
        <v>18</v>
      </c>
      <c r="D410" s="150">
        <v>0</v>
      </c>
      <c r="E410" s="151">
        <f ca="1">OFFSET(INDEX(Composições!A:H,MATCH(Orçamentária!A410,Composições!A:A,0),8),2,0)</f>
        <v>23.816499999999998</v>
      </c>
      <c r="F410" s="152">
        <f t="shared" ca="1" si="20"/>
        <v>0</v>
      </c>
      <c r="G410" s="153">
        <f>IF($K410="Padrão",BDI!$B$17,IF($K410="Diferenciado",BDI!$E$17,0))</f>
        <v>0.2039</v>
      </c>
      <c r="H410" s="151">
        <f t="shared" ca="1" si="18"/>
        <v>28.67</v>
      </c>
      <c r="I410" s="152">
        <f t="shared" ca="1" si="19"/>
        <v>0</v>
      </c>
      <c r="J410" s="154"/>
      <c r="K410" s="155" t="s">
        <v>2966</v>
      </c>
    </row>
    <row r="411" spans="1:11" hidden="1" x14ac:dyDescent="0.25">
      <c r="A411" s="148" t="s">
        <v>3433</v>
      </c>
      <c r="B411" s="149" t="s">
        <v>3434</v>
      </c>
      <c r="C411" s="150" t="s">
        <v>18</v>
      </c>
      <c r="D411" s="150">
        <v>0</v>
      </c>
      <c r="E411" s="151" t="s">
        <v>13</v>
      </c>
      <c r="F411" s="152" t="str">
        <f t="shared" si="20"/>
        <v/>
      </c>
      <c r="G411" s="153">
        <f>IF($K411="Padrão",BDI!$B$17,IF($K411="Diferenciado",BDI!$E$17,0))</f>
        <v>0.2039</v>
      </c>
      <c r="H411" s="151" t="str">
        <f t="shared" si="18"/>
        <v/>
      </c>
      <c r="I411" s="152" t="str">
        <f t="shared" si="19"/>
        <v/>
      </c>
      <c r="J411" s="154"/>
      <c r="K411" s="155" t="s">
        <v>2966</v>
      </c>
    </row>
    <row r="412" spans="1:11" hidden="1" x14ac:dyDescent="0.25">
      <c r="A412" s="148" t="s">
        <v>601</v>
      </c>
      <c r="B412" s="149" t="s">
        <v>3435</v>
      </c>
      <c r="C412" s="150" t="s">
        <v>18</v>
      </c>
      <c r="D412" s="150">
        <v>0</v>
      </c>
      <c r="E412" s="151">
        <f ca="1">OFFSET(INDEX(Composições!A:H,MATCH(Orçamentária!A412,Composições!A:A,0),8),2,0)</f>
        <v>75.201999999999998</v>
      </c>
      <c r="F412" s="152">
        <f t="shared" ca="1" si="20"/>
        <v>0</v>
      </c>
      <c r="G412" s="153">
        <f>IF($K412="Padrão",BDI!$B$17,IF($K412="Diferenciado",BDI!$E$17,0))</f>
        <v>0.2039</v>
      </c>
      <c r="H412" s="151">
        <f t="shared" ca="1" si="18"/>
        <v>90.54</v>
      </c>
      <c r="I412" s="152">
        <f t="shared" ca="1" si="19"/>
        <v>0</v>
      </c>
      <c r="J412" s="154"/>
      <c r="K412" s="155" t="s">
        <v>2966</v>
      </c>
    </row>
    <row r="413" spans="1:11" hidden="1" x14ac:dyDescent="0.25">
      <c r="A413" s="148" t="s">
        <v>602</v>
      </c>
      <c r="B413" s="149" t="s">
        <v>3436</v>
      </c>
      <c r="C413" s="150" t="s">
        <v>18</v>
      </c>
      <c r="D413" s="150">
        <v>0</v>
      </c>
      <c r="E413" s="151">
        <f ca="1">OFFSET(INDEX(Composições!A:H,MATCH(Orçamentária!A413,Composições!A:A,0),8),2,0)</f>
        <v>97.73599999999999</v>
      </c>
      <c r="F413" s="152">
        <f t="shared" ca="1" si="20"/>
        <v>0</v>
      </c>
      <c r="G413" s="153">
        <f>IF($K413="Padrão",BDI!$B$17,IF($K413="Diferenciado",BDI!$E$17,0))</f>
        <v>0.2039</v>
      </c>
      <c r="H413" s="151">
        <f t="shared" ca="1" si="18"/>
        <v>117.66</v>
      </c>
      <c r="I413" s="152">
        <f t="shared" ca="1" si="19"/>
        <v>0</v>
      </c>
      <c r="J413" s="154"/>
      <c r="K413" s="155" t="s">
        <v>2966</v>
      </c>
    </row>
    <row r="414" spans="1:11" hidden="1" x14ac:dyDescent="0.25">
      <c r="A414" s="148" t="s">
        <v>603</v>
      </c>
      <c r="B414" s="149" t="s">
        <v>3437</v>
      </c>
      <c r="C414" s="150" t="s">
        <v>18</v>
      </c>
      <c r="D414" s="150">
        <v>0</v>
      </c>
      <c r="E414" s="151">
        <f ca="1">OFFSET(INDEX(Composições!A:H,MATCH(Orçamentária!A414,Composições!A:A,0),8),2,0)</f>
        <v>59.137499999999996</v>
      </c>
      <c r="F414" s="152">
        <f t="shared" ca="1" si="20"/>
        <v>0</v>
      </c>
      <c r="G414" s="153">
        <f>IF($K414="Padrão",BDI!$B$17,IF($K414="Diferenciado",BDI!$E$17,0))</f>
        <v>0.2039</v>
      </c>
      <c r="H414" s="151">
        <f t="shared" ca="1" si="18"/>
        <v>71.2</v>
      </c>
      <c r="I414" s="152">
        <f t="shared" ca="1" si="19"/>
        <v>0</v>
      </c>
      <c r="J414" s="154"/>
      <c r="K414" s="155" t="s">
        <v>2966</v>
      </c>
    </row>
    <row r="415" spans="1:11" hidden="1" x14ac:dyDescent="0.25">
      <c r="A415" s="148" t="s">
        <v>3438</v>
      </c>
      <c r="B415" s="149" t="s">
        <v>3439</v>
      </c>
      <c r="C415" s="150" t="s">
        <v>18</v>
      </c>
      <c r="D415" s="150">
        <v>0</v>
      </c>
      <c r="E415" s="151" t="s">
        <v>13</v>
      </c>
      <c r="F415" s="152" t="str">
        <f t="shared" si="20"/>
        <v/>
      </c>
      <c r="G415" s="153">
        <f>IF($K415="Padrão",BDI!$B$17,IF($K415="Diferenciado",BDI!$E$17,0))</f>
        <v>0.2039</v>
      </c>
      <c r="H415" s="151" t="str">
        <f t="shared" si="18"/>
        <v/>
      </c>
      <c r="I415" s="152" t="str">
        <f t="shared" si="19"/>
        <v/>
      </c>
      <c r="J415" s="154"/>
      <c r="K415" s="155" t="s">
        <v>2966</v>
      </c>
    </row>
    <row r="416" spans="1:11" hidden="1" x14ac:dyDescent="0.25">
      <c r="A416" s="148" t="s">
        <v>604</v>
      </c>
      <c r="B416" s="149" t="s">
        <v>3440</v>
      </c>
      <c r="C416" s="150" t="s">
        <v>18</v>
      </c>
      <c r="D416" s="150">
        <v>0</v>
      </c>
      <c r="E416" s="151">
        <f ca="1">OFFSET(INDEX(Composições!A:H,MATCH(Orçamentária!A416,Composições!A:A,0),8),2,0)</f>
        <v>43.481500000000004</v>
      </c>
      <c r="F416" s="152">
        <f t="shared" ca="1" si="20"/>
        <v>0</v>
      </c>
      <c r="G416" s="153">
        <f>IF($K416="Padrão",BDI!$B$17,IF($K416="Diferenciado",BDI!$E$17,0))</f>
        <v>0.2039</v>
      </c>
      <c r="H416" s="151">
        <f t="shared" ca="1" si="18"/>
        <v>52.35</v>
      </c>
      <c r="I416" s="152">
        <f t="shared" ca="1" si="19"/>
        <v>0</v>
      </c>
      <c r="J416" s="154"/>
      <c r="K416" s="155" t="s">
        <v>2966</v>
      </c>
    </row>
    <row r="417" spans="1:11" hidden="1" x14ac:dyDescent="0.25">
      <c r="A417" s="148" t="s">
        <v>3441</v>
      </c>
      <c r="B417" s="149" t="s">
        <v>3442</v>
      </c>
      <c r="C417" s="150" t="s">
        <v>18</v>
      </c>
      <c r="D417" s="150">
        <v>0</v>
      </c>
      <c r="E417" s="151" t="s">
        <v>13</v>
      </c>
      <c r="F417" s="152" t="str">
        <f t="shared" si="20"/>
        <v/>
      </c>
      <c r="G417" s="153">
        <f>IF($K417="Padrão",BDI!$B$17,IF($K417="Diferenciado",BDI!$E$17,0))</f>
        <v>0.2039</v>
      </c>
      <c r="H417" s="151" t="str">
        <f t="shared" si="18"/>
        <v/>
      </c>
      <c r="I417" s="152" t="str">
        <f t="shared" si="19"/>
        <v/>
      </c>
      <c r="J417" s="154"/>
      <c r="K417" s="155" t="s">
        <v>2966</v>
      </c>
    </row>
    <row r="418" spans="1:11" hidden="1" x14ac:dyDescent="0.25">
      <c r="A418" s="148" t="s">
        <v>3443</v>
      </c>
      <c r="B418" s="149" t="s">
        <v>3444</v>
      </c>
      <c r="C418" s="150" t="s">
        <v>18</v>
      </c>
      <c r="D418" s="150">
        <v>0</v>
      </c>
      <c r="E418" s="151" t="s">
        <v>13</v>
      </c>
      <c r="F418" s="152" t="str">
        <f t="shared" si="20"/>
        <v/>
      </c>
      <c r="G418" s="153">
        <f>IF($K418="Padrão",BDI!$B$17,IF($K418="Diferenciado",BDI!$E$17,0))</f>
        <v>0.2039</v>
      </c>
      <c r="H418" s="151" t="str">
        <f t="shared" si="18"/>
        <v/>
      </c>
      <c r="I418" s="152" t="str">
        <f t="shared" si="19"/>
        <v/>
      </c>
      <c r="J418" s="154"/>
      <c r="K418" s="155" t="s">
        <v>2966</v>
      </c>
    </row>
    <row r="419" spans="1:11" hidden="1" x14ac:dyDescent="0.25">
      <c r="A419" s="148" t="s">
        <v>605</v>
      </c>
      <c r="B419" s="149" t="s">
        <v>3445</v>
      </c>
      <c r="C419" s="150" t="s">
        <v>18</v>
      </c>
      <c r="D419" s="150">
        <v>0</v>
      </c>
      <c r="E419" s="151">
        <f ca="1">OFFSET(INDEX(Composições!A:H,MATCH(Orçamentária!A419,Composições!A:A,0),8),2,0)</f>
        <v>14.858000000000001</v>
      </c>
      <c r="F419" s="152">
        <f t="shared" ca="1" si="20"/>
        <v>0</v>
      </c>
      <c r="G419" s="153">
        <f>IF($K419="Padrão",BDI!$B$17,IF($K419="Diferenciado",BDI!$E$17,0))</f>
        <v>0.2039</v>
      </c>
      <c r="H419" s="151">
        <f t="shared" ca="1" si="18"/>
        <v>17.89</v>
      </c>
      <c r="I419" s="152">
        <f t="shared" ca="1" si="19"/>
        <v>0</v>
      </c>
      <c r="J419" s="154"/>
      <c r="K419" s="155" t="s">
        <v>2966</v>
      </c>
    </row>
    <row r="420" spans="1:11" hidden="1" x14ac:dyDescent="0.25">
      <c r="A420" s="148" t="s">
        <v>607</v>
      </c>
      <c r="B420" s="149" t="s">
        <v>3446</v>
      </c>
      <c r="C420" s="150" t="s">
        <v>18</v>
      </c>
      <c r="D420" s="150">
        <v>0</v>
      </c>
      <c r="E420" s="151">
        <f ca="1">OFFSET(INDEX(Composições!A:H,MATCH(Orçamentária!A420,Composições!A:A,0),8),2,0)</f>
        <v>14.8485</v>
      </c>
      <c r="F420" s="152">
        <f t="shared" ca="1" si="20"/>
        <v>0</v>
      </c>
      <c r="G420" s="153">
        <f>IF($K420="Padrão",BDI!$B$17,IF($K420="Diferenciado",BDI!$E$17,0))</f>
        <v>0.2039</v>
      </c>
      <c r="H420" s="151">
        <f t="shared" ca="1" si="18"/>
        <v>17.88</v>
      </c>
      <c r="I420" s="152">
        <f t="shared" ca="1" si="19"/>
        <v>0</v>
      </c>
      <c r="J420" s="154"/>
      <c r="K420" s="155" t="s">
        <v>2966</v>
      </c>
    </row>
    <row r="421" spans="1:11" hidden="1" x14ac:dyDescent="0.25">
      <c r="A421" s="148" t="s">
        <v>608</v>
      </c>
      <c r="B421" s="149" t="s">
        <v>3447</v>
      </c>
      <c r="C421" s="150" t="s">
        <v>18</v>
      </c>
      <c r="D421" s="150">
        <v>0</v>
      </c>
      <c r="E421" s="151">
        <f ca="1">OFFSET(INDEX(Composições!A:H,MATCH(Orçamentária!A421,Composições!A:A,0),8),2,0)</f>
        <v>14.8485</v>
      </c>
      <c r="F421" s="152">
        <f t="shared" ca="1" si="20"/>
        <v>0</v>
      </c>
      <c r="G421" s="153">
        <f>IF($K421="Padrão",BDI!$B$17,IF($K421="Diferenciado",BDI!$E$17,0))</f>
        <v>0.2039</v>
      </c>
      <c r="H421" s="151">
        <f t="shared" ca="1" si="18"/>
        <v>17.88</v>
      </c>
      <c r="I421" s="152">
        <f t="shared" ca="1" si="19"/>
        <v>0</v>
      </c>
      <c r="J421" s="154"/>
      <c r="K421" s="155" t="s">
        <v>2966</v>
      </c>
    </row>
    <row r="422" spans="1:11" hidden="1" x14ac:dyDescent="0.25">
      <c r="A422" s="148" t="s">
        <v>3448</v>
      </c>
      <c r="B422" s="149" t="s">
        <v>3449</v>
      </c>
      <c r="C422" s="150" t="s">
        <v>18</v>
      </c>
      <c r="D422" s="150">
        <v>0</v>
      </c>
      <c r="E422" s="151" t="s">
        <v>13</v>
      </c>
      <c r="F422" s="152" t="str">
        <f t="shared" si="20"/>
        <v/>
      </c>
      <c r="G422" s="153">
        <f>IF($K422="Padrão",BDI!$B$17,IF($K422="Diferenciado",BDI!$E$17,0))</f>
        <v>0.2039</v>
      </c>
      <c r="H422" s="151" t="str">
        <f t="shared" si="18"/>
        <v/>
      </c>
      <c r="I422" s="152" t="str">
        <f t="shared" si="19"/>
        <v/>
      </c>
      <c r="J422" s="154"/>
      <c r="K422" s="155" t="s">
        <v>2966</v>
      </c>
    </row>
    <row r="423" spans="1:11" hidden="1" x14ac:dyDescent="0.25">
      <c r="A423" s="148" t="s">
        <v>3450</v>
      </c>
      <c r="B423" s="149" t="s">
        <v>3451</v>
      </c>
      <c r="C423" s="150" t="s">
        <v>18</v>
      </c>
      <c r="D423" s="150">
        <v>0</v>
      </c>
      <c r="E423" s="151" t="s">
        <v>13</v>
      </c>
      <c r="F423" s="152" t="str">
        <f t="shared" si="20"/>
        <v/>
      </c>
      <c r="G423" s="153">
        <f>IF($K423="Padrão",BDI!$B$17,IF($K423="Diferenciado",BDI!$E$17,0))</f>
        <v>0.2039</v>
      </c>
      <c r="H423" s="151" t="str">
        <f t="shared" si="18"/>
        <v/>
      </c>
      <c r="I423" s="152" t="str">
        <f t="shared" si="19"/>
        <v/>
      </c>
      <c r="J423" s="154"/>
      <c r="K423" s="155" t="s">
        <v>2966</v>
      </c>
    </row>
    <row r="424" spans="1:11" hidden="1" x14ac:dyDescent="0.25">
      <c r="A424" s="148" t="s">
        <v>3452</v>
      </c>
      <c r="B424" s="149" t="s">
        <v>3453</v>
      </c>
      <c r="C424" s="150" t="s">
        <v>18</v>
      </c>
      <c r="D424" s="150">
        <v>0</v>
      </c>
      <c r="E424" s="151" t="s">
        <v>13</v>
      </c>
      <c r="F424" s="152" t="str">
        <f t="shared" si="20"/>
        <v/>
      </c>
      <c r="G424" s="153">
        <f>IF($K424="Padrão",BDI!$B$17,IF($K424="Diferenciado",BDI!$E$17,0))</f>
        <v>0.2039</v>
      </c>
      <c r="H424" s="151" t="str">
        <f t="shared" si="18"/>
        <v/>
      </c>
      <c r="I424" s="152" t="str">
        <f t="shared" si="19"/>
        <v/>
      </c>
      <c r="J424" s="154"/>
      <c r="K424" s="155" t="s">
        <v>2966</v>
      </c>
    </row>
    <row r="425" spans="1:11" hidden="1" x14ac:dyDescent="0.25">
      <c r="A425" s="148" t="s">
        <v>3454</v>
      </c>
      <c r="B425" s="149" t="s">
        <v>3455</v>
      </c>
      <c r="C425" s="150" t="s">
        <v>18</v>
      </c>
      <c r="D425" s="150">
        <v>0</v>
      </c>
      <c r="E425" s="151" t="s">
        <v>13</v>
      </c>
      <c r="F425" s="152" t="str">
        <f t="shared" si="20"/>
        <v/>
      </c>
      <c r="G425" s="153">
        <f>IF($K425="Padrão",BDI!$B$17,IF($K425="Diferenciado",BDI!$E$17,0))</f>
        <v>0.2039</v>
      </c>
      <c r="H425" s="151" t="str">
        <f t="shared" si="18"/>
        <v/>
      </c>
      <c r="I425" s="152" t="str">
        <f t="shared" si="19"/>
        <v/>
      </c>
      <c r="J425" s="154"/>
      <c r="K425" s="155" t="s">
        <v>2966</v>
      </c>
    </row>
    <row r="426" spans="1:11" hidden="1" x14ac:dyDescent="0.25">
      <c r="A426" s="148" t="s">
        <v>3456</v>
      </c>
      <c r="B426" s="149" t="s">
        <v>3457</v>
      </c>
      <c r="C426" s="150" t="s">
        <v>18</v>
      </c>
      <c r="D426" s="150">
        <v>0</v>
      </c>
      <c r="E426" s="151" t="s">
        <v>13</v>
      </c>
      <c r="F426" s="152" t="str">
        <f t="shared" si="20"/>
        <v/>
      </c>
      <c r="G426" s="153">
        <f>IF($K426="Padrão",BDI!$B$17,IF($K426="Diferenciado",BDI!$E$17,0))</f>
        <v>0.2039</v>
      </c>
      <c r="H426" s="151" t="str">
        <f t="shared" si="18"/>
        <v/>
      </c>
      <c r="I426" s="152" t="str">
        <f t="shared" si="19"/>
        <v/>
      </c>
      <c r="J426" s="154"/>
      <c r="K426" s="155" t="s">
        <v>2966</v>
      </c>
    </row>
    <row r="427" spans="1:11" hidden="1" x14ac:dyDescent="0.25">
      <c r="A427" s="148" t="s">
        <v>3458</v>
      </c>
      <c r="B427" s="149" t="s">
        <v>3459</v>
      </c>
      <c r="C427" s="150" t="s">
        <v>18</v>
      </c>
      <c r="D427" s="150">
        <v>0</v>
      </c>
      <c r="E427" s="151" t="s">
        <v>13</v>
      </c>
      <c r="F427" s="152" t="str">
        <f t="shared" si="20"/>
        <v/>
      </c>
      <c r="G427" s="153">
        <f>IF($K427="Padrão",BDI!$B$17,IF($K427="Diferenciado",BDI!$E$17,0))</f>
        <v>0.2039</v>
      </c>
      <c r="H427" s="151" t="str">
        <f t="shared" si="18"/>
        <v/>
      </c>
      <c r="I427" s="152" t="str">
        <f t="shared" si="19"/>
        <v/>
      </c>
      <c r="J427" s="154"/>
      <c r="K427" s="155" t="s">
        <v>2966</v>
      </c>
    </row>
    <row r="428" spans="1:11" hidden="1" x14ac:dyDescent="0.25">
      <c r="A428" s="148" t="s">
        <v>3460</v>
      </c>
      <c r="B428" s="149" t="s">
        <v>3461</v>
      </c>
      <c r="C428" s="150" t="s">
        <v>18</v>
      </c>
      <c r="D428" s="150">
        <v>0</v>
      </c>
      <c r="E428" s="151" t="s">
        <v>13</v>
      </c>
      <c r="F428" s="152" t="str">
        <f t="shared" si="20"/>
        <v/>
      </c>
      <c r="G428" s="153">
        <f>IF($K428="Padrão",BDI!$B$17,IF($K428="Diferenciado",BDI!$E$17,0))</f>
        <v>0.2039</v>
      </c>
      <c r="H428" s="151" t="str">
        <f t="shared" si="18"/>
        <v/>
      </c>
      <c r="I428" s="152" t="str">
        <f t="shared" si="19"/>
        <v/>
      </c>
      <c r="J428" s="154"/>
      <c r="K428" s="155" t="s">
        <v>2966</v>
      </c>
    </row>
    <row r="429" spans="1:11" hidden="1" x14ac:dyDescent="0.25">
      <c r="A429" s="148" t="s">
        <v>3462</v>
      </c>
      <c r="B429" s="149" t="s">
        <v>3463</v>
      </c>
      <c r="C429" s="150" t="s">
        <v>18</v>
      </c>
      <c r="D429" s="150">
        <v>0</v>
      </c>
      <c r="E429" s="151" t="s">
        <v>13</v>
      </c>
      <c r="F429" s="152" t="str">
        <f t="shared" si="20"/>
        <v/>
      </c>
      <c r="G429" s="153">
        <f>IF($K429="Padrão",BDI!$B$17,IF($K429="Diferenciado",BDI!$E$17,0))</f>
        <v>0.2039</v>
      </c>
      <c r="H429" s="151" t="str">
        <f t="shared" si="18"/>
        <v/>
      </c>
      <c r="I429" s="152" t="str">
        <f t="shared" si="19"/>
        <v/>
      </c>
      <c r="J429" s="154"/>
      <c r="K429" s="155" t="s">
        <v>2966</v>
      </c>
    </row>
    <row r="430" spans="1:11" hidden="1" x14ac:dyDescent="0.25">
      <c r="A430" s="148" t="s">
        <v>3464</v>
      </c>
      <c r="B430" s="149" t="s">
        <v>3465</v>
      </c>
      <c r="C430" s="150" t="s">
        <v>18</v>
      </c>
      <c r="D430" s="150">
        <v>0</v>
      </c>
      <c r="E430" s="151" t="s">
        <v>13</v>
      </c>
      <c r="F430" s="152" t="str">
        <f t="shared" si="20"/>
        <v/>
      </c>
      <c r="G430" s="153">
        <f>IF($K430="Padrão",BDI!$B$17,IF($K430="Diferenciado",BDI!$E$17,0))</f>
        <v>0.2039</v>
      </c>
      <c r="H430" s="151" t="str">
        <f t="shared" si="18"/>
        <v/>
      </c>
      <c r="I430" s="152" t="str">
        <f t="shared" si="19"/>
        <v/>
      </c>
      <c r="J430" s="154"/>
      <c r="K430" s="155" t="s">
        <v>2966</v>
      </c>
    </row>
    <row r="431" spans="1:11" hidden="1" x14ac:dyDescent="0.25">
      <c r="A431" s="148" t="s">
        <v>3466</v>
      </c>
      <c r="B431" s="149" t="s">
        <v>3467</v>
      </c>
      <c r="C431" s="150" t="s">
        <v>18</v>
      </c>
      <c r="D431" s="150">
        <v>0</v>
      </c>
      <c r="E431" s="151" t="s">
        <v>13</v>
      </c>
      <c r="F431" s="152" t="str">
        <f t="shared" si="20"/>
        <v/>
      </c>
      <c r="G431" s="153">
        <f>IF($K431="Padrão",BDI!$B$17,IF($K431="Diferenciado",BDI!$E$17,0))</f>
        <v>0.2039</v>
      </c>
      <c r="H431" s="151" t="str">
        <f t="shared" si="18"/>
        <v/>
      </c>
      <c r="I431" s="152" t="str">
        <f t="shared" si="19"/>
        <v/>
      </c>
      <c r="J431" s="154"/>
      <c r="K431" s="155" t="s">
        <v>2966</v>
      </c>
    </row>
    <row r="432" spans="1:11" hidden="1" x14ac:dyDescent="0.25">
      <c r="A432" s="148" t="s">
        <v>3468</v>
      </c>
      <c r="B432" s="149" t="s">
        <v>3469</v>
      </c>
      <c r="C432" s="150" t="s">
        <v>18</v>
      </c>
      <c r="D432" s="150">
        <v>0</v>
      </c>
      <c r="E432" s="151" t="s">
        <v>13</v>
      </c>
      <c r="F432" s="152" t="str">
        <f t="shared" si="20"/>
        <v/>
      </c>
      <c r="G432" s="153">
        <f>IF($K432="Padrão",BDI!$B$17,IF($K432="Diferenciado",BDI!$E$17,0))</f>
        <v>0.2039</v>
      </c>
      <c r="H432" s="151" t="str">
        <f t="shared" si="18"/>
        <v/>
      </c>
      <c r="I432" s="152" t="str">
        <f t="shared" si="19"/>
        <v/>
      </c>
      <c r="J432" s="154"/>
      <c r="K432" s="155" t="s">
        <v>2966</v>
      </c>
    </row>
    <row r="433" spans="1:11" hidden="1" x14ac:dyDescent="0.25">
      <c r="A433" s="148" t="s">
        <v>3470</v>
      </c>
      <c r="B433" s="149" t="s">
        <v>3471</v>
      </c>
      <c r="C433" s="150" t="s">
        <v>18</v>
      </c>
      <c r="D433" s="150">
        <v>0</v>
      </c>
      <c r="E433" s="151" t="s">
        <v>13</v>
      </c>
      <c r="F433" s="152" t="str">
        <f t="shared" si="20"/>
        <v/>
      </c>
      <c r="G433" s="153">
        <f>IF($K433="Padrão",BDI!$B$17,IF($K433="Diferenciado",BDI!$E$17,0))</f>
        <v>0.2039</v>
      </c>
      <c r="H433" s="151" t="str">
        <f t="shared" si="18"/>
        <v/>
      </c>
      <c r="I433" s="152" t="str">
        <f t="shared" si="19"/>
        <v/>
      </c>
      <c r="J433" s="154"/>
      <c r="K433" s="155" t="s">
        <v>2966</v>
      </c>
    </row>
    <row r="434" spans="1:11" hidden="1" x14ac:dyDescent="0.25">
      <c r="A434" s="148" t="s">
        <v>3472</v>
      </c>
      <c r="B434" s="149" t="s">
        <v>3473</v>
      </c>
      <c r="C434" s="150" t="s">
        <v>3474</v>
      </c>
      <c r="D434" s="150">
        <v>0</v>
      </c>
      <c r="E434" s="151" t="s">
        <v>13</v>
      </c>
      <c r="F434" s="152" t="str">
        <f t="shared" si="20"/>
        <v/>
      </c>
      <c r="G434" s="153">
        <f>IF($K434="Padrão",BDI!$B$17,IF($K434="Diferenciado",BDI!$E$17,0))</f>
        <v>0.2039</v>
      </c>
      <c r="H434" s="151" t="str">
        <f t="shared" si="18"/>
        <v/>
      </c>
      <c r="I434" s="152" t="str">
        <f t="shared" si="19"/>
        <v/>
      </c>
      <c r="J434" s="154"/>
      <c r="K434" s="155" t="s">
        <v>2966</v>
      </c>
    </row>
    <row r="435" spans="1:11" hidden="1" x14ac:dyDescent="0.25">
      <c r="A435" s="148" t="s">
        <v>3475</v>
      </c>
      <c r="B435" s="149" t="s">
        <v>3476</v>
      </c>
      <c r="C435" s="150" t="s">
        <v>3474</v>
      </c>
      <c r="D435" s="150">
        <v>0</v>
      </c>
      <c r="E435" s="151" t="s">
        <v>13</v>
      </c>
      <c r="F435" s="152" t="str">
        <f t="shared" si="20"/>
        <v/>
      </c>
      <c r="G435" s="153">
        <f>IF($K435="Padrão",BDI!$B$17,IF($K435="Diferenciado",BDI!$E$17,0))</f>
        <v>0.2039</v>
      </c>
      <c r="H435" s="151" t="str">
        <f t="shared" si="18"/>
        <v/>
      </c>
      <c r="I435" s="152" t="str">
        <f t="shared" si="19"/>
        <v/>
      </c>
      <c r="J435" s="154"/>
      <c r="K435" s="155" t="s">
        <v>2966</v>
      </c>
    </row>
    <row r="436" spans="1:11" hidden="1" x14ac:dyDescent="0.25">
      <c r="A436" s="148" t="s">
        <v>3477</v>
      </c>
      <c r="B436" s="149" t="s">
        <v>3478</v>
      </c>
      <c r="C436" s="150" t="s">
        <v>3474</v>
      </c>
      <c r="D436" s="150">
        <v>0</v>
      </c>
      <c r="E436" s="151" t="s">
        <v>13</v>
      </c>
      <c r="F436" s="152" t="str">
        <f t="shared" si="20"/>
        <v/>
      </c>
      <c r="G436" s="153">
        <f>IF($K436="Padrão",BDI!$B$17,IF($K436="Diferenciado",BDI!$E$17,0))</f>
        <v>0.2039</v>
      </c>
      <c r="H436" s="151" t="str">
        <f t="shared" si="18"/>
        <v/>
      </c>
      <c r="I436" s="152" t="str">
        <f t="shared" si="19"/>
        <v/>
      </c>
      <c r="J436" s="154"/>
      <c r="K436" s="155" t="s">
        <v>2966</v>
      </c>
    </row>
    <row r="437" spans="1:11" hidden="1" x14ac:dyDescent="0.25">
      <c r="A437" s="148" t="s">
        <v>3479</v>
      </c>
      <c r="B437" s="149" t="s">
        <v>3480</v>
      </c>
      <c r="C437" s="150" t="s">
        <v>3474</v>
      </c>
      <c r="D437" s="150">
        <v>0</v>
      </c>
      <c r="E437" s="151" t="s">
        <v>13</v>
      </c>
      <c r="F437" s="152" t="str">
        <f t="shared" si="20"/>
        <v/>
      </c>
      <c r="G437" s="153">
        <f>IF($K437="Padrão",BDI!$B$17,IF($K437="Diferenciado",BDI!$E$17,0))</f>
        <v>0.2039</v>
      </c>
      <c r="H437" s="151" t="str">
        <f t="shared" si="18"/>
        <v/>
      </c>
      <c r="I437" s="152" t="str">
        <f t="shared" si="19"/>
        <v/>
      </c>
      <c r="J437" s="154"/>
      <c r="K437" s="155" t="s">
        <v>2966</v>
      </c>
    </row>
    <row r="438" spans="1:11" hidden="1" x14ac:dyDescent="0.25">
      <c r="A438" s="148" t="s">
        <v>3481</v>
      </c>
      <c r="B438" s="149" t="s">
        <v>3482</v>
      </c>
      <c r="C438" s="150" t="s">
        <v>3474</v>
      </c>
      <c r="D438" s="150">
        <v>0</v>
      </c>
      <c r="E438" s="151" t="s">
        <v>13</v>
      </c>
      <c r="F438" s="152" t="str">
        <f t="shared" si="20"/>
        <v/>
      </c>
      <c r="G438" s="153">
        <f>IF($K438="Padrão",BDI!$B$17,IF($K438="Diferenciado",BDI!$E$17,0))</f>
        <v>0.2039</v>
      </c>
      <c r="H438" s="151" t="str">
        <f t="shared" si="18"/>
        <v/>
      </c>
      <c r="I438" s="152" t="str">
        <f t="shared" si="19"/>
        <v/>
      </c>
      <c r="J438" s="154"/>
      <c r="K438" s="155" t="s">
        <v>2966</v>
      </c>
    </row>
    <row r="439" spans="1:11" hidden="1" x14ac:dyDescent="0.25">
      <c r="A439" s="148" t="s">
        <v>3483</v>
      </c>
      <c r="B439" s="149" t="s">
        <v>3484</v>
      </c>
      <c r="C439" s="150" t="s">
        <v>3474</v>
      </c>
      <c r="D439" s="150">
        <v>0</v>
      </c>
      <c r="E439" s="151" t="s">
        <v>13</v>
      </c>
      <c r="F439" s="152" t="str">
        <f t="shared" si="20"/>
        <v/>
      </c>
      <c r="G439" s="153">
        <f>IF($K439="Padrão",BDI!$B$17,IF($K439="Diferenciado",BDI!$E$17,0))</f>
        <v>0.2039</v>
      </c>
      <c r="H439" s="151" t="str">
        <f t="shared" si="18"/>
        <v/>
      </c>
      <c r="I439" s="152" t="str">
        <f t="shared" si="19"/>
        <v/>
      </c>
      <c r="J439" s="154"/>
      <c r="K439" s="155" t="s">
        <v>2966</v>
      </c>
    </row>
    <row r="440" spans="1:11" hidden="1" x14ac:dyDescent="0.25">
      <c r="A440" s="148" t="s">
        <v>3485</v>
      </c>
      <c r="B440" s="149" t="s">
        <v>3486</v>
      </c>
      <c r="C440" s="150" t="s">
        <v>18</v>
      </c>
      <c r="D440" s="150">
        <v>0</v>
      </c>
      <c r="E440" s="151" t="s">
        <v>13</v>
      </c>
      <c r="F440" s="152" t="str">
        <f t="shared" si="20"/>
        <v/>
      </c>
      <c r="G440" s="153">
        <f>IF($K440="Padrão",BDI!$B$17,IF($K440="Diferenciado",BDI!$E$17,0))</f>
        <v>0.2039</v>
      </c>
      <c r="H440" s="151" t="str">
        <f t="shared" si="18"/>
        <v/>
      </c>
      <c r="I440" s="152" t="str">
        <f t="shared" si="19"/>
        <v/>
      </c>
      <c r="J440" s="154"/>
      <c r="K440" s="155" t="s">
        <v>2966</v>
      </c>
    </row>
    <row r="441" spans="1:11" hidden="1" x14ac:dyDescent="0.25">
      <c r="A441" s="148" t="s">
        <v>3487</v>
      </c>
      <c r="B441" s="149" t="s">
        <v>3488</v>
      </c>
      <c r="C441" s="150" t="s">
        <v>18</v>
      </c>
      <c r="D441" s="150">
        <v>0</v>
      </c>
      <c r="E441" s="151" t="s">
        <v>13</v>
      </c>
      <c r="F441" s="152" t="str">
        <f t="shared" si="20"/>
        <v/>
      </c>
      <c r="G441" s="153">
        <f>IF($K441="Padrão",BDI!$B$17,IF($K441="Diferenciado",BDI!$E$17,0))</f>
        <v>0.2039</v>
      </c>
      <c r="H441" s="151" t="str">
        <f t="shared" si="18"/>
        <v/>
      </c>
      <c r="I441" s="152" t="str">
        <f t="shared" si="19"/>
        <v/>
      </c>
      <c r="J441" s="154"/>
      <c r="K441" s="155" t="s">
        <v>2966</v>
      </c>
    </row>
    <row r="442" spans="1:11" hidden="1" x14ac:dyDescent="0.25">
      <c r="A442" s="148" t="s">
        <v>3489</v>
      </c>
      <c r="B442" s="149" t="s">
        <v>3490</v>
      </c>
      <c r="C442" s="150" t="s">
        <v>18</v>
      </c>
      <c r="D442" s="150">
        <v>0</v>
      </c>
      <c r="E442" s="151" t="s">
        <v>13</v>
      </c>
      <c r="F442" s="152" t="str">
        <f t="shared" si="20"/>
        <v/>
      </c>
      <c r="G442" s="153">
        <f>IF($K442="Padrão",BDI!$B$17,IF($K442="Diferenciado",BDI!$E$17,0))</f>
        <v>0.2039</v>
      </c>
      <c r="H442" s="151" t="str">
        <f t="shared" si="18"/>
        <v/>
      </c>
      <c r="I442" s="152" t="str">
        <f t="shared" si="19"/>
        <v/>
      </c>
      <c r="J442" s="154"/>
      <c r="K442" s="155" t="s">
        <v>2966</v>
      </c>
    </row>
    <row r="443" spans="1:11" hidden="1" x14ac:dyDescent="0.25">
      <c r="A443" s="148" t="s">
        <v>3491</v>
      </c>
      <c r="B443" s="149" t="s">
        <v>3492</v>
      </c>
      <c r="C443" s="150" t="s">
        <v>18</v>
      </c>
      <c r="D443" s="150">
        <v>0</v>
      </c>
      <c r="E443" s="151" t="s">
        <v>13</v>
      </c>
      <c r="F443" s="152" t="str">
        <f t="shared" si="20"/>
        <v/>
      </c>
      <c r="G443" s="153">
        <f>IF($K443="Padrão",BDI!$B$17,IF($K443="Diferenciado",BDI!$E$17,0))</f>
        <v>0.2039</v>
      </c>
      <c r="H443" s="151" t="str">
        <f t="shared" si="18"/>
        <v/>
      </c>
      <c r="I443" s="152" t="str">
        <f t="shared" si="19"/>
        <v/>
      </c>
      <c r="J443" s="154"/>
      <c r="K443" s="155" t="s">
        <v>2966</v>
      </c>
    </row>
    <row r="444" spans="1:11" hidden="1" x14ac:dyDescent="0.25">
      <c r="A444" s="148" t="s">
        <v>3493</v>
      </c>
      <c r="B444" s="149" t="s">
        <v>3494</v>
      </c>
      <c r="C444" s="150" t="s">
        <v>18</v>
      </c>
      <c r="D444" s="150">
        <v>0</v>
      </c>
      <c r="E444" s="151" t="s">
        <v>13</v>
      </c>
      <c r="F444" s="152" t="str">
        <f t="shared" si="20"/>
        <v/>
      </c>
      <c r="G444" s="153">
        <f>IF($K444="Padrão",BDI!$B$17,IF($K444="Diferenciado",BDI!$E$17,0))</f>
        <v>0.2039</v>
      </c>
      <c r="H444" s="151" t="str">
        <f t="shared" si="18"/>
        <v/>
      </c>
      <c r="I444" s="152" t="str">
        <f t="shared" si="19"/>
        <v/>
      </c>
      <c r="J444" s="154"/>
      <c r="K444" s="155" t="s">
        <v>2966</v>
      </c>
    </row>
    <row r="445" spans="1:11" hidden="1" x14ac:dyDescent="0.25">
      <c r="A445" s="148" t="s">
        <v>3495</v>
      </c>
      <c r="B445" s="149" t="s">
        <v>3496</v>
      </c>
      <c r="C445" s="150" t="s">
        <v>18</v>
      </c>
      <c r="D445" s="150">
        <v>0</v>
      </c>
      <c r="E445" s="151" t="s">
        <v>13</v>
      </c>
      <c r="F445" s="152" t="str">
        <f t="shared" si="20"/>
        <v/>
      </c>
      <c r="G445" s="153">
        <f>IF($K445="Padrão",BDI!$B$17,IF($K445="Diferenciado",BDI!$E$17,0))</f>
        <v>0.2039</v>
      </c>
      <c r="H445" s="151" t="str">
        <f t="shared" si="18"/>
        <v/>
      </c>
      <c r="I445" s="152" t="str">
        <f t="shared" si="19"/>
        <v/>
      </c>
      <c r="J445" s="154"/>
      <c r="K445" s="155" t="s">
        <v>2966</v>
      </c>
    </row>
    <row r="446" spans="1:11" hidden="1" x14ac:dyDescent="0.25">
      <c r="A446" s="148" t="s">
        <v>3497</v>
      </c>
      <c r="B446" s="149" t="s">
        <v>3498</v>
      </c>
      <c r="C446" s="150" t="s">
        <v>18</v>
      </c>
      <c r="D446" s="150">
        <v>0</v>
      </c>
      <c r="E446" s="151" t="s">
        <v>13</v>
      </c>
      <c r="F446" s="152" t="str">
        <f t="shared" si="20"/>
        <v/>
      </c>
      <c r="G446" s="153">
        <f>IF($K446="Padrão",BDI!$B$17,IF($K446="Diferenciado",BDI!$E$17,0))</f>
        <v>0.2039</v>
      </c>
      <c r="H446" s="151" t="str">
        <f t="shared" si="18"/>
        <v/>
      </c>
      <c r="I446" s="152" t="str">
        <f t="shared" si="19"/>
        <v/>
      </c>
      <c r="J446" s="154"/>
      <c r="K446" s="155" t="s">
        <v>2966</v>
      </c>
    </row>
    <row r="447" spans="1:11" hidden="1" x14ac:dyDescent="0.25">
      <c r="A447" s="148" t="s">
        <v>3499</v>
      </c>
      <c r="B447" s="149" t="s">
        <v>3500</v>
      </c>
      <c r="C447" s="150" t="s">
        <v>18</v>
      </c>
      <c r="D447" s="150">
        <v>0</v>
      </c>
      <c r="E447" s="151" t="s">
        <v>13</v>
      </c>
      <c r="F447" s="152" t="str">
        <f t="shared" si="20"/>
        <v/>
      </c>
      <c r="G447" s="153">
        <f>IF($K447="Padrão",BDI!$B$17,IF($K447="Diferenciado",BDI!$E$17,0))</f>
        <v>0.2039</v>
      </c>
      <c r="H447" s="151" t="str">
        <f t="shared" si="18"/>
        <v/>
      </c>
      <c r="I447" s="152" t="str">
        <f t="shared" si="19"/>
        <v/>
      </c>
      <c r="J447" s="154"/>
      <c r="K447" s="155" t="s">
        <v>2966</v>
      </c>
    </row>
    <row r="448" spans="1:11" hidden="1" x14ac:dyDescent="0.25">
      <c r="A448" s="148" t="s">
        <v>609</v>
      </c>
      <c r="B448" s="149" t="s">
        <v>3501</v>
      </c>
      <c r="C448" s="150" t="s">
        <v>18</v>
      </c>
      <c r="D448" s="150">
        <v>0</v>
      </c>
      <c r="E448" s="151">
        <f ca="1">OFFSET(INDEX(Composições!A:H,MATCH(Orçamentária!A448,Composições!A:A,0),8),2,0)</f>
        <v>19.256499999999999</v>
      </c>
      <c r="F448" s="152">
        <f t="shared" ca="1" si="20"/>
        <v>0</v>
      </c>
      <c r="G448" s="153">
        <f>IF($K448="Padrão",BDI!$B$17,IF($K448="Diferenciado",BDI!$E$17,0))</f>
        <v>0.2039</v>
      </c>
      <c r="H448" s="151">
        <f t="shared" ca="1" si="18"/>
        <v>23.18</v>
      </c>
      <c r="I448" s="152">
        <f t="shared" ca="1" si="19"/>
        <v>0</v>
      </c>
      <c r="J448" s="154"/>
      <c r="K448" s="155" t="s">
        <v>2966</v>
      </c>
    </row>
    <row r="449" spans="1:11" hidden="1" x14ac:dyDescent="0.25">
      <c r="A449" s="148" t="s">
        <v>3502</v>
      </c>
      <c r="B449" s="149" t="s">
        <v>3503</v>
      </c>
      <c r="C449" s="150" t="s">
        <v>18</v>
      </c>
      <c r="D449" s="150">
        <v>0</v>
      </c>
      <c r="E449" s="151" t="s">
        <v>13</v>
      </c>
      <c r="F449" s="152" t="str">
        <f t="shared" si="20"/>
        <v/>
      </c>
      <c r="G449" s="153">
        <f>IF($K449="Padrão",BDI!$B$17,IF($K449="Diferenciado",BDI!$E$17,0))</f>
        <v>0.2039</v>
      </c>
      <c r="H449" s="151" t="str">
        <f t="shared" si="18"/>
        <v/>
      </c>
      <c r="I449" s="152" t="str">
        <f t="shared" si="19"/>
        <v/>
      </c>
      <c r="J449" s="154"/>
      <c r="K449" s="155" t="s">
        <v>2966</v>
      </c>
    </row>
    <row r="450" spans="1:11" hidden="1" x14ac:dyDescent="0.25">
      <c r="A450" s="148" t="s">
        <v>3504</v>
      </c>
      <c r="B450" s="149" t="s">
        <v>3505</v>
      </c>
      <c r="C450" s="150" t="s">
        <v>18</v>
      </c>
      <c r="D450" s="150">
        <v>0</v>
      </c>
      <c r="E450" s="151" t="s">
        <v>13</v>
      </c>
      <c r="F450" s="152" t="str">
        <f t="shared" si="20"/>
        <v/>
      </c>
      <c r="G450" s="153">
        <f>IF($K450="Padrão",BDI!$B$17,IF($K450="Diferenciado",BDI!$E$17,0))</f>
        <v>0.2039</v>
      </c>
      <c r="H450" s="151" t="str">
        <f t="shared" si="18"/>
        <v/>
      </c>
      <c r="I450" s="152" t="str">
        <f t="shared" si="19"/>
        <v/>
      </c>
      <c r="J450" s="154"/>
      <c r="K450" s="155" t="s">
        <v>2966</v>
      </c>
    </row>
    <row r="451" spans="1:11" hidden="1" x14ac:dyDescent="0.25">
      <c r="A451" s="148" t="s">
        <v>3506</v>
      </c>
      <c r="B451" s="149" t="s">
        <v>3507</v>
      </c>
      <c r="C451" s="150" t="s">
        <v>18</v>
      </c>
      <c r="D451" s="150">
        <v>0</v>
      </c>
      <c r="E451" s="151" t="s">
        <v>13</v>
      </c>
      <c r="F451" s="152" t="str">
        <f t="shared" si="20"/>
        <v/>
      </c>
      <c r="G451" s="153">
        <f>IF($K451="Padrão",BDI!$B$17,IF($K451="Diferenciado",BDI!$E$17,0))</f>
        <v>0.2039</v>
      </c>
      <c r="H451" s="151" t="str">
        <f t="shared" si="18"/>
        <v/>
      </c>
      <c r="I451" s="152" t="str">
        <f t="shared" si="19"/>
        <v/>
      </c>
      <c r="J451" s="154"/>
      <c r="K451" s="155" t="s">
        <v>2966</v>
      </c>
    </row>
    <row r="452" spans="1:11" hidden="1" x14ac:dyDescent="0.25">
      <c r="A452" s="148" t="s">
        <v>3508</v>
      </c>
      <c r="B452" s="149" t="s">
        <v>3509</v>
      </c>
      <c r="C452" s="150" t="s">
        <v>18</v>
      </c>
      <c r="D452" s="150">
        <v>0</v>
      </c>
      <c r="E452" s="151" t="s">
        <v>13</v>
      </c>
      <c r="F452" s="152" t="str">
        <f t="shared" si="20"/>
        <v/>
      </c>
      <c r="G452" s="153">
        <f>IF($K452="Padrão",BDI!$B$17,IF($K452="Diferenciado",BDI!$E$17,0))</f>
        <v>0.2039</v>
      </c>
      <c r="H452" s="151" t="str">
        <f t="shared" si="18"/>
        <v/>
      </c>
      <c r="I452" s="152" t="str">
        <f t="shared" si="19"/>
        <v/>
      </c>
      <c r="J452" s="154"/>
      <c r="K452" s="155" t="s">
        <v>2966</v>
      </c>
    </row>
    <row r="453" spans="1:11" hidden="1" x14ac:dyDescent="0.25">
      <c r="A453" s="148" t="s">
        <v>3510</v>
      </c>
      <c r="B453" s="149" t="s">
        <v>3511</v>
      </c>
      <c r="C453" s="150" t="s">
        <v>18</v>
      </c>
      <c r="D453" s="150">
        <v>0</v>
      </c>
      <c r="E453" s="151" t="s">
        <v>13</v>
      </c>
      <c r="F453" s="152" t="str">
        <f t="shared" si="20"/>
        <v/>
      </c>
      <c r="G453" s="153">
        <f>IF($K453="Padrão",BDI!$B$17,IF($K453="Diferenciado",BDI!$E$17,0))</f>
        <v>0.2039</v>
      </c>
      <c r="H453" s="151" t="str">
        <f t="shared" si="18"/>
        <v/>
      </c>
      <c r="I453" s="152" t="str">
        <f t="shared" si="19"/>
        <v/>
      </c>
      <c r="J453" s="154"/>
      <c r="K453" s="155" t="s">
        <v>2966</v>
      </c>
    </row>
    <row r="454" spans="1:11" hidden="1" x14ac:dyDescent="0.25">
      <c r="A454" s="148" t="s">
        <v>3512</v>
      </c>
      <c r="B454" s="149" t="s">
        <v>3513</v>
      </c>
      <c r="C454" s="150" t="s">
        <v>18</v>
      </c>
      <c r="D454" s="150">
        <v>0</v>
      </c>
      <c r="E454" s="151" t="s">
        <v>13</v>
      </c>
      <c r="F454" s="152" t="str">
        <f t="shared" si="20"/>
        <v/>
      </c>
      <c r="G454" s="153">
        <f>IF($K454="Padrão",BDI!$B$17,IF($K454="Diferenciado",BDI!$E$17,0))</f>
        <v>0.2039</v>
      </c>
      <c r="H454" s="151" t="str">
        <f t="shared" ref="H454:H517" si="21">IF(ISNUMBER(E454),ROUND(E454*(1+G454),2),"")</f>
        <v/>
      </c>
      <c r="I454" s="152" t="str">
        <f t="shared" ref="I454:I517" si="22">IF(ISNUMBER(E454),ROUND(H454*D454,2),"")</f>
        <v/>
      </c>
      <c r="J454" s="154"/>
      <c r="K454" s="155" t="s">
        <v>2966</v>
      </c>
    </row>
    <row r="455" spans="1:11" hidden="1" x14ac:dyDescent="0.25">
      <c r="A455" s="148" t="s">
        <v>3514</v>
      </c>
      <c r="B455" s="149" t="s">
        <v>3515</v>
      </c>
      <c r="C455" s="150" t="s">
        <v>18</v>
      </c>
      <c r="D455" s="150">
        <v>0</v>
      </c>
      <c r="E455" s="151" t="s">
        <v>13</v>
      </c>
      <c r="F455" s="152" t="str">
        <f t="shared" ref="F455:F518" si="23">IF(ISNUMBER(E455),D455*E455,"")</f>
        <v/>
      </c>
      <c r="G455" s="153">
        <f>IF($K455="Padrão",BDI!$B$17,IF($K455="Diferenciado",BDI!$E$17,0))</f>
        <v>0.2039</v>
      </c>
      <c r="H455" s="151" t="str">
        <f t="shared" si="21"/>
        <v/>
      </c>
      <c r="I455" s="152" t="str">
        <f t="shared" si="22"/>
        <v/>
      </c>
      <c r="J455" s="154"/>
      <c r="K455" s="155" t="s">
        <v>2966</v>
      </c>
    </row>
    <row r="456" spans="1:11" hidden="1" x14ac:dyDescent="0.25">
      <c r="A456" s="148" t="s">
        <v>3516</v>
      </c>
      <c r="B456" s="149" t="s">
        <v>3517</v>
      </c>
      <c r="C456" s="150" t="s">
        <v>18</v>
      </c>
      <c r="D456" s="150">
        <v>0</v>
      </c>
      <c r="E456" s="151" t="s">
        <v>13</v>
      </c>
      <c r="F456" s="152" t="str">
        <f t="shared" si="23"/>
        <v/>
      </c>
      <c r="G456" s="153">
        <f>IF($K456="Padrão",BDI!$B$17,IF($K456="Diferenciado",BDI!$E$17,0))</f>
        <v>0.2039</v>
      </c>
      <c r="H456" s="151" t="str">
        <f t="shared" si="21"/>
        <v/>
      </c>
      <c r="I456" s="152" t="str">
        <f t="shared" si="22"/>
        <v/>
      </c>
      <c r="J456" s="154"/>
      <c r="K456" s="155" t="s">
        <v>2966</v>
      </c>
    </row>
    <row r="457" spans="1:11" hidden="1" x14ac:dyDescent="0.25">
      <c r="A457" s="148" t="s">
        <v>3518</v>
      </c>
      <c r="B457" s="149" t="s">
        <v>3519</v>
      </c>
      <c r="C457" s="150" t="s">
        <v>18</v>
      </c>
      <c r="D457" s="150">
        <v>0</v>
      </c>
      <c r="E457" s="151" t="s">
        <v>13</v>
      </c>
      <c r="F457" s="152" t="str">
        <f t="shared" si="23"/>
        <v/>
      </c>
      <c r="G457" s="153">
        <f>IF($K457="Padrão",BDI!$B$17,IF($K457="Diferenciado",BDI!$E$17,0))</f>
        <v>0.2039</v>
      </c>
      <c r="H457" s="151" t="str">
        <f t="shared" si="21"/>
        <v/>
      </c>
      <c r="I457" s="152" t="str">
        <f t="shared" si="22"/>
        <v/>
      </c>
      <c r="J457" s="154"/>
      <c r="K457" s="155" t="s">
        <v>2966</v>
      </c>
    </row>
    <row r="458" spans="1:11" hidden="1" x14ac:dyDescent="0.25">
      <c r="A458" s="148" t="s">
        <v>3520</v>
      </c>
      <c r="B458" s="149" t="s">
        <v>3521</v>
      </c>
      <c r="C458" s="150" t="s">
        <v>18</v>
      </c>
      <c r="D458" s="150">
        <v>0</v>
      </c>
      <c r="E458" s="151" t="s">
        <v>13</v>
      </c>
      <c r="F458" s="152" t="str">
        <f t="shared" si="23"/>
        <v/>
      </c>
      <c r="G458" s="153">
        <f>IF($K458="Padrão",BDI!$B$17,IF($K458="Diferenciado",BDI!$E$17,0))</f>
        <v>0.2039</v>
      </c>
      <c r="H458" s="151" t="str">
        <f t="shared" si="21"/>
        <v/>
      </c>
      <c r="I458" s="152" t="str">
        <f t="shared" si="22"/>
        <v/>
      </c>
      <c r="J458" s="154"/>
      <c r="K458" s="155" t="s">
        <v>2966</v>
      </c>
    </row>
    <row r="459" spans="1:11" hidden="1" x14ac:dyDescent="0.25">
      <c r="A459" s="148" t="s">
        <v>3522</v>
      </c>
      <c r="B459" s="149" t="s">
        <v>3523</v>
      </c>
      <c r="C459" s="150" t="s">
        <v>18</v>
      </c>
      <c r="D459" s="150">
        <v>0</v>
      </c>
      <c r="E459" s="151" t="s">
        <v>13</v>
      </c>
      <c r="F459" s="152" t="str">
        <f t="shared" si="23"/>
        <v/>
      </c>
      <c r="G459" s="153">
        <f>IF($K459="Padrão",BDI!$B$17,IF($K459="Diferenciado",BDI!$E$17,0))</f>
        <v>0.2039</v>
      </c>
      <c r="H459" s="151" t="str">
        <f t="shared" si="21"/>
        <v/>
      </c>
      <c r="I459" s="152" t="str">
        <f t="shared" si="22"/>
        <v/>
      </c>
      <c r="J459" s="154"/>
      <c r="K459" s="155" t="s">
        <v>2966</v>
      </c>
    </row>
    <row r="460" spans="1:11" hidden="1" x14ac:dyDescent="0.25">
      <c r="A460" s="148" t="s">
        <v>3524</v>
      </c>
      <c r="B460" s="149" t="s">
        <v>3525</v>
      </c>
      <c r="C460" s="150" t="s">
        <v>18</v>
      </c>
      <c r="D460" s="150">
        <v>0</v>
      </c>
      <c r="E460" s="151" t="s">
        <v>13</v>
      </c>
      <c r="F460" s="152" t="str">
        <f t="shared" si="23"/>
        <v/>
      </c>
      <c r="G460" s="153">
        <f>IF($K460="Padrão",BDI!$B$17,IF($K460="Diferenciado",BDI!$E$17,0))</f>
        <v>0.2039</v>
      </c>
      <c r="H460" s="151" t="str">
        <f t="shared" si="21"/>
        <v/>
      </c>
      <c r="I460" s="152" t="str">
        <f t="shared" si="22"/>
        <v/>
      </c>
      <c r="J460" s="154"/>
      <c r="K460" s="155" t="s">
        <v>2966</v>
      </c>
    </row>
    <row r="461" spans="1:11" ht="25.5" hidden="1" x14ac:dyDescent="0.25">
      <c r="A461" s="148" t="s">
        <v>3526</v>
      </c>
      <c r="B461" s="149" t="s">
        <v>3527</v>
      </c>
      <c r="C461" s="150" t="s">
        <v>18</v>
      </c>
      <c r="D461" s="150">
        <v>0</v>
      </c>
      <c r="E461" s="151" t="s">
        <v>13</v>
      </c>
      <c r="F461" s="152" t="str">
        <f t="shared" si="23"/>
        <v/>
      </c>
      <c r="G461" s="153">
        <f>IF($K461="Padrão",BDI!$B$17,IF($K461="Diferenciado",BDI!$E$17,0))</f>
        <v>0.2039</v>
      </c>
      <c r="H461" s="151" t="str">
        <f t="shared" si="21"/>
        <v/>
      </c>
      <c r="I461" s="152" t="str">
        <f t="shared" si="22"/>
        <v/>
      </c>
      <c r="J461" s="154"/>
      <c r="K461" s="155" t="s">
        <v>2966</v>
      </c>
    </row>
    <row r="462" spans="1:11" ht="25.5" hidden="1" x14ac:dyDescent="0.25">
      <c r="A462" s="148" t="s">
        <v>3528</v>
      </c>
      <c r="B462" s="149" t="s">
        <v>3529</v>
      </c>
      <c r="C462" s="150" t="s">
        <v>18</v>
      </c>
      <c r="D462" s="150">
        <v>0</v>
      </c>
      <c r="E462" s="151" t="s">
        <v>13</v>
      </c>
      <c r="F462" s="152" t="str">
        <f t="shared" si="23"/>
        <v/>
      </c>
      <c r="G462" s="153">
        <f>IF($K462="Padrão",BDI!$B$17,IF($K462="Diferenciado",BDI!$E$17,0))</f>
        <v>0.2039</v>
      </c>
      <c r="H462" s="151" t="str">
        <f t="shared" si="21"/>
        <v/>
      </c>
      <c r="I462" s="152" t="str">
        <f t="shared" si="22"/>
        <v/>
      </c>
      <c r="J462" s="154"/>
      <c r="K462" s="155" t="s">
        <v>2966</v>
      </c>
    </row>
    <row r="463" spans="1:11" hidden="1" x14ac:dyDescent="0.25">
      <c r="A463" s="148" t="s">
        <v>3530</v>
      </c>
      <c r="B463" s="149" t="s">
        <v>3531</v>
      </c>
      <c r="C463" s="150" t="s">
        <v>18</v>
      </c>
      <c r="D463" s="150">
        <v>0</v>
      </c>
      <c r="E463" s="151" t="s">
        <v>13</v>
      </c>
      <c r="F463" s="152" t="str">
        <f t="shared" si="23"/>
        <v/>
      </c>
      <c r="G463" s="153">
        <f>IF($K463="Padrão",BDI!$B$17,IF($K463="Diferenciado",BDI!$E$17,0))</f>
        <v>0.2039</v>
      </c>
      <c r="H463" s="151" t="str">
        <f t="shared" si="21"/>
        <v/>
      </c>
      <c r="I463" s="152" t="str">
        <f t="shared" si="22"/>
        <v/>
      </c>
      <c r="J463" s="154"/>
      <c r="K463" s="155" t="s">
        <v>2966</v>
      </c>
    </row>
    <row r="464" spans="1:11" hidden="1" x14ac:dyDescent="0.25">
      <c r="A464" s="148" t="s">
        <v>3532</v>
      </c>
      <c r="B464" s="149" t="s">
        <v>3533</v>
      </c>
      <c r="C464" s="150" t="s">
        <v>18</v>
      </c>
      <c r="D464" s="150">
        <v>0</v>
      </c>
      <c r="E464" s="151" t="s">
        <v>13</v>
      </c>
      <c r="F464" s="152" t="str">
        <f t="shared" si="23"/>
        <v/>
      </c>
      <c r="G464" s="153">
        <f>IF($K464="Padrão",BDI!$B$17,IF($K464="Diferenciado",BDI!$E$17,0))</f>
        <v>0.2039</v>
      </c>
      <c r="H464" s="151" t="str">
        <f t="shared" si="21"/>
        <v/>
      </c>
      <c r="I464" s="152" t="str">
        <f t="shared" si="22"/>
        <v/>
      </c>
      <c r="J464" s="154"/>
      <c r="K464" s="155" t="s">
        <v>2966</v>
      </c>
    </row>
    <row r="465" spans="1:11" hidden="1" x14ac:dyDescent="0.25">
      <c r="A465" s="148" t="s">
        <v>3534</v>
      </c>
      <c r="B465" s="149" t="s">
        <v>3535</v>
      </c>
      <c r="C465" s="150" t="s">
        <v>18</v>
      </c>
      <c r="D465" s="150">
        <v>0</v>
      </c>
      <c r="E465" s="151" t="s">
        <v>13</v>
      </c>
      <c r="F465" s="152" t="str">
        <f t="shared" si="23"/>
        <v/>
      </c>
      <c r="G465" s="153">
        <f>IF($K465="Padrão",BDI!$B$17,IF($K465="Diferenciado",BDI!$E$17,0))</f>
        <v>0.2039</v>
      </c>
      <c r="H465" s="151" t="str">
        <f t="shared" si="21"/>
        <v/>
      </c>
      <c r="I465" s="152" t="str">
        <f t="shared" si="22"/>
        <v/>
      </c>
      <c r="J465" s="154"/>
      <c r="K465" s="155" t="s">
        <v>2966</v>
      </c>
    </row>
    <row r="466" spans="1:11" hidden="1" x14ac:dyDescent="0.25">
      <c r="A466" s="148" t="s">
        <v>3536</v>
      </c>
      <c r="B466" s="149" t="s">
        <v>3537</v>
      </c>
      <c r="C466" s="150" t="s">
        <v>18</v>
      </c>
      <c r="D466" s="150">
        <v>0</v>
      </c>
      <c r="E466" s="151" t="s">
        <v>13</v>
      </c>
      <c r="F466" s="152" t="str">
        <f t="shared" si="23"/>
        <v/>
      </c>
      <c r="G466" s="153">
        <f>IF($K466="Padrão",BDI!$B$17,IF($K466="Diferenciado",BDI!$E$17,0))</f>
        <v>0.2039</v>
      </c>
      <c r="H466" s="151" t="str">
        <f t="shared" si="21"/>
        <v/>
      </c>
      <c r="I466" s="152" t="str">
        <f t="shared" si="22"/>
        <v/>
      </c>
      <c r="J466" s="154"/>
      <c r="K466" s="155" t="s">
        <v>2966</v>
      </c>
    </row>
    <row r="467" spans="1:11" hidden="1" x14ac:dyDescent="0.25">
      <c r="A467" s="148" t="s">
        <v>3538</v>
      </c>
      <c r="B467" s="149" t="s">
        <v>3539</v>
      </c>
      <c r="C467" s="150" t="s">
        <v>18</v>
      </c>
      <c r="D467" s="150">
        <v>0</v>
      </c>
      <c r="E467" s="151" t="s">
        <v>13</v>
      </c>
      <c r="F467" s="152" t="str">
        <f t="shared" si="23"/>
        <v/>
      </c>
      <c r="G467" s="153">
        <f>IF($K467="Padrão",BDI!$B$17,IF($K467="Diferenciado",BDI!$E$17,0))</f>
        <v>0.2039</v>
      </c>
      <c r="H467" s="151" t="str">
        <f t="shared" si="21"/>
        <v/>
      </c>
      <c r="I467" s="152" t="str">
        <f t="shared" si="22"/>
        <v/>
      </c>
      <c r="J467" s="154"/>
      <c r="K467" s="155" t="s">
        <v>2966</v>
      </c>
    </row>
    <row r="468" spans="1:11" hidden="1" x14ac:dyDescent="0.25">
      <c r="A468" s="148" t="s">
        <v>3540</v>
      </c>
      <c r="B468" s="149" t="s">
        <v>3541</v>
      </c>
      <c r="C468" s="150" t="s">
        <v>18</v>
      </c>
      <c r="D468" s="150">
        <v>0</v>
      </c>
      <c r="E468" s="151" t="s">
        <v>13</v>
      </c>
      <c r="F468" s="152" t="str">
        <f t="shared" si="23"/>
        <v/>
      </c>
      <c r="G468" s="153">
        <f>IF($K468="Padrão",BDI!$B$17,IF($K468="Diferenciado",BDI!$E$17,0))</f>
        <v>0.2039</v>
      </c>
      <c r="H468" s="151" t="str">
        <f t="shared" si="21"/>
        <v/>
      </c>
      <c r="I468" s="152" t="str">
        <f t="shared" si="22"/>
        <v/>
      </c>
      <c r="J468" s="154"/>
      <c r="K468" s="155" t="s">
        <v>2966</v>
      </c>
    </row>
    <row r="469" spans="1:11" hidden="1" x14ac:dyDescent="0.25">
      <c r="A469" s="148" t="s">
        <v>3542</v>
      </c>
      <c r="B469" s="149" t="s">
        <v>3543</v>
      </c>
      <c r="C469" s="150" t="s">
        <v>18</v>
      </c>
      <c r="D469" s="150">
        <v>0</v>
      </c>
      <c r="E469" s="151" t="s">
        <v>13</v>
      </c>
      <c r="F469" s="152" t="str">
        <f t="shared" si="23"/>
        <v/>
      </c>
      <c r="G469" s="153">
        <f>IF($K469="Padrão",BDI!$B$17,IF($K469="Diferenciado",BDI!$E$17,0))</f>
        <v>0.2039</v>
      </c>
      <c r="H469" s="151" t="str">
        <f t="shared" si="21"/>
        <v/>
      </c>
      <c r="I469" s="152" t="str">
        <f t="shared" si="22"/>
        <v/>
      </c>
      <c r="J469" s="154"/>
      <c r="K469" s="155" t="s">
        <v>2966</v>
      </c>
    </row>
    <row r="470" spans="1:11" hidden="1" x14ac:dyDescent="0.25">
      <c r="A470" s="148" t="s">
        <v>3544</v>
      </c>
      <c r="B470" s="149" t="s">
        <v>3545</v>
      </c>
      <c r="C470" s="150" t="s">
        <v>18</v>
      </c>
      <c r="D470" s="150">
        <v>0</v>
      </c>
      <c r="E470" s="151" t="s">
        <v>13</v>
      </c>
      <c r="F470" s="152" t="str">
        <f t="shared" si="23"/>
        <v/>
      </c>
      <c r="G470" s="153">
        <f>IF($K470="Padrão",BDI!$B$17,IF($K470="Diferenciado",BDI!$E$17,0))</f>
        <v>0.2039</v>
      </c>
      <c r="H470" s="151" t="str">
        <f t="shared" si="21"/>
        <v/>
      </c>
      <c r="I470" s="152" t="str">
        <f t="shared" si="22"/>
        <v/>
      </c>
      <c r="J470" s="154"/>
      <c r="K470" s="155" t="s">
        <v>2966</v>
      </c>
    </row>
    <row r="471" spans="1:11" hidden="1" x14ac:dyDescent="0.25">
      <c r="A471" s="148" t="s">
        <v>3546</v>
      </c>
      <c r="B471" s="149" t="s">
        <v>3547</v>
      </c>
      <c r="C471" s="150" t="s">
        <v>18</v>
      </c>
      <c r="D471" s="150">
        <v>0</v>
      </c>
      <c r="E471" s="151" t="s">
        <v>13</v>
      </c>
      <c r="F471" s="152" t="str">
        <f t="shared" si="23"/>
        <v/>
      </c>
      <c r="G471" s="153">
        <f>IF($K471="Padrão",BDI!$B$17,IF($K471="Diferenciado",BDI!$E$17,0))</f>
        <v>0.2039</v>
      </c>
      <c r="H471" s="151" t="str">
        <f t="shared" si="21"/>
        <v/>
      </c>
      <c r="I471" s="152" t="str">
        <f t="shared" si="22"/>
        <v/>
      </c>
      <c r="J471" s="154"/>
      <c r="K471" s="155" t="s">
        <v>2966</v>
      </c>
    </row>
    <row r="472" spans="1:11" hidden="1" x14ac:dyDescent="0.25">
      <c r="A472" s="148" t="s">
        <v>610</v>
      </c>
      <c r="B472" s="149" t="s">
        <v>3548</v>
      </c>
      <c r="C472" s="150" t="s">
        <v>3549</v>
      </c>
      <c r="D472" s="150">
        <v>0</v>
      </c>
      <c r="E472" s="151">
        <f ca="1">OFFSET(INDEX(Composições!A:H,MATCH(Orçamentária!A472,Composições!A:A,0),8),2,0)</f>
        <v>21.754999999999999</v>
      </c>
      <c r="F472" s="152">
        <f t="shared" ca="1" si="23"/>
        <v>0</v>
      </c>
      <c r="G472" s="153">
        <f>IF($K472="Padrão",BDI!$B$17,IF($K472="Diferenciado",BDI!$E$17,0))</f>
        <v>0.2039</v>
      </c>
      <c r="H472" s="151">
        <f t="shared" ca="1" si="21"/>
        <v>26.19</v>
      </c>
      <c r="I472" s="152">
        <f t="shared" ca="1" si="22"/>
        <v>0</v>
      </c>
      <c r="J472" s="154"/>
      <c r="K472" s="155" t="s">
        <v>2966</v>
      </c>
    </row>
    <row r="473" spans="1:11" hidden="1" x14ac:dyDescent="0.25">
      <c r="A473" s="148" t="s">
        <v>611</v>
      </c>
      <c r="B473" s="149" t="s">
        <v>3550</v>
      </c>
      <c r="C473" s="150" t="s">
        <v>72</v>
      </c>
      <c r="D473" s="150">
        <v>0</v>
      </c>
      <c r="E473" s="151">
        <f ca="1">OFFSET(INDEX(Composições!A:H,MATCH(Orçamentária!A473,Composições!A:A,0),8),2,0)</f>
        <v>50.957999999999998</v>
      </c>
      <c r="F473" s="152">
        <f t="shared" ca="1" si="23"/>
        <v>0</v>
      </c>
      <c r="G473" s="153">
        <f>IF($K473="Padrão",BDI!$B$17,IF($K473="Diferenciado",BDI!$E$17,0))</f>
        <v>0.2039</v>
      </c>
      <c r="H473" s="151">
        <f t="shared" ca="1" si="21"/>
        <v>61.35</v>
      </c>
      <c r="I473" s="152">
        <f t="shared" ca="1" si="22"/>
        <v>0</v>
      </c>
      <c r="J473" s="154"/>
      <c r="K473" s="155" t="s">
        <v>2966</v>
      </c>
    </row>
    <row r="474" spans="1:11" hidden="1" x14ac:dyDescent="0.25">
      <c r="A474" s="148" t="s">
        <v>3551</v>
      </c>
      <c r="B474" s="149" t="s">
        <v>3552</v>
      </c>
      <c r="C474" s="150" t="s">
        <v>72</v>
      </c>
      <c r="D474" s="150">
        <v>0</v>
      </c>
      <c r="E474" s="151" t="s">
        <v>13</v>
      </c>
      <c r="F474" s="152" t="str">
        <f t="shared" si="23"/>
        <v/>
      </c>
      <c r="G474" s="153">
        <f>IF($K474="Padrão",BDI!$B$17,IF($K474="Diferenciado",BDI!$E$17,0))</f>
        <v>0.2039</v>
      </c>
      <c r="H474" s="151" t="str">
        <f t="shared" si="21"/>
        <v/>
      </c>
      <c r="I474" s="152" t="str">
        <f t="shared" si="22"/>
        <v/>
      </c>
      <c r="J474" s="154"/>
      <c r="K474" s="155" t="s">
        <v>2966</v>
      </c>
    </row>
    <row r="475" spans="1:11" hidden="1" x14ac:dyDescent="0.25">
      <c r="A475" s="148" t="s">
        <v>612</v>
      </c>
      <c r="B475" s="149" t="s">
        <v>3553</v>
      </c>
      <c r="C475" s="150" t="s">
        <v>68</v>
      </c>
      <c r="D475" s="150">
        <v>0</v>
      </c>
      <c r="E475" s="151">
        <f ca="1">OFFSET(INDEX(Composições!A:H,MATCH(Orçamentária!A475,Composições!A:A,0),8),2,0)</f>
        <v>40.945</v>
      </c>
      <c r="F475" s="152">
        <f t="shared" ca="1" si="23"/>
        <v>0</v>
      </c>
      <c r="G475" s="153">
        <f>IF($K475="Padrão",BDI!$B$17,IF($K475="Diferenciado",BDI!$E$17,0))</f>
        <v>0.2039</v>
      </c>
      <c r="H475" s="151">
        <f t="shared" ca="1" si="21"/>
        <v>49.29</v>
      </c>
      <c r="I475" s="152">
        <f t="shared" ca="1" si="22"/>
        <v>0</v>
      </c>
      <c r="J475" s="154"/>
      <c r="K475" s="155" t="s">
        <v>2966</v>
      </c>
    </row>
    <row r="476" spans="1:11" hidden="1" x14ac:dyDescent="0.25">
      <c r="A476" s="148" t="s">
        <v>613</v>
      </c>
      <c r="B476" s="149" t="s">
        <v>3554</v>
      </c>
      <c r="C476" s="150" t="s">
        <v>68</v>
      </c>
      <c r="D476" s="150">
        <v>0</v>
      </c>
      <c r="E476" s="151">
        <f ca="1">OFFSET(INDEX(Composições!A:H,MATCH(Orçamentária!A476,Composições!A:A,0),8),2,0)</f>
        <v>40.945</v>
      </c>
      <c r="F476" s="152">
        <f t="shared" ca="1" si="23"/>
        <v>0</v>
      </c>
      <c r="G476" s="153">
        <f>IF($K476="Padrão",BDI!$B$17,IF($K476="Diferenciado",BDI!$E$17,0))</f>
        <v>0.2039</v>
      </c>
      <c r="H476" s="151">
        <f t="shared" ca="1" si="21"/>
        <v>49.29</v>
      </c>
      <c r="I476" s="152">
        <f t="shared" ca="1" si="22"/>
        <v>0</v>
      </c>
      <c r="J476" s="154"/>
      <c r="K476" s="155" t="s">
        <v>2966</v>
      </c>
    </row>
    <row r="477" spans="1:11" hidden="1" x14ac:dyDescent="0.25">
      <c r="A477" s="148" t="s">
        <v>614</v>
      </c>
      <c r="B477" s="149" t="s">
        <v>3555</v>
      </c>
      <c r="C477" s="150" t="s">
        <v>68</v>
      </c>
      <c r="D477" s="150">
        <v>0</v>
      </c>
      <c r="E477" s="151">
        <f ca="1">OFFSET(INDEX(Composições!A:H,MATCH(Orçamentária!A477,Composições!A:A,0),8),2,0)</f>
        <v>40.945</v>
      </c>
      <c r="F477" s="152">
        <f t="shared" ca="1" si="23"/>
        <v>0</v>
      </c>
      <c r="G477" s="153">
        <f>IF($K477="Padrão",BDI!$B$17,IF($K477="Diferenciado",BDI!$E$17,0))</f>
        <v>0.2039</v>
      </c>
      <c r="H477" s="151">
        <f t="shared" ca="1" si="21"/>
        <v>49.29</v>
      </c>
      <c r="I477" s="152">
        <f t="shared" ca="1" si="22"/>
        <v>0</v>
      </c>
      <c r="J477" s="154"/>
      <c r="K477" s="155" t="s">
        <v>2966</v>
      </c>
    </row>
    <row r="478" spans="1:11" hidden="1" x14ac:dyDescent="0.25">
      <c r="A478" s="148" t="s">
        <v>3556</v>
      </c>
      <c r="B478" s="149" t="s">
        <v>3557</v>
      </c>
      <c r="C478" s="150" t="s">
        <v>68</v>
      </c>
      <c r="D478" s="150">
        <v>0</v>
      </c>
      <c r="E478" s="151" t="s">
        <v>13</v>
      </c>
      <c r="F478" s="152" t="str">
        <f t="shared" si="23"/>
        <v/>
      </c>
      <c r="G478" s="153">
        <f>IF($K478="Padrão",BDI!$B$17,IF($K478="Diferenciado",BDI!$E$17,0))</f>
        <v>0.2039</v>
      </c>
      <c r="H478" s="151" t="str">
        <f t="shared" si="21"/>
        <v/>
      </c>
      <c r="I478" s="152" t="str">
        <f t="shared" si="22"/>
        <v/>
      </c>
      <c r="J478" s="154"/>
      <c r="K478" s="155" t="s">
        <v>2966</v>
      </c>
    </row>
    <row r="479" spans="1:11" hidden="1" x14ac:dyDescent="0.25">
      <c r="A479" s="148" t="s">
        <v>3558</v>
      </c>
      <c r="B479" s="149" t="s">
        <v>3559</v>
      </c>
      <c r="C479" s="150" t="s">
        <v>68</v>
      </c>
      <c r="D479" s="150">
        <v>0</v>
      </c>
      <c r="E479" s="151" t="s">
        <v>13</v>
      </c>
      <c r="F479" s="152" t="str">
        <f t="shared" si="23"/>
        <v/>
      </c>
      <c r="G479" s="153">
        <f>IF($K479="Padrão",BDI!$B$17,IF($K479="Diferenciado",BDI!$E$17,0))</f>
        <v>0.2039</v>
      </c>
      <c r="H479" s="151" t="str">
        <f t="shared" si="21"/>
        <v/>
      </c>
      <c r="I479" s="152" t="str">
        <f t="shared" si="22"/>
        <v/>
      </c>
      <c r="J479" s="154"/>
      <c r="K479" s="155" t="s">
        <v>2966</v>
      </c>
    </row>
    <row r="480" spans="1:11" hidden="1" x14ac:dyDescent="0.25">
      <c r="A480" s="148" t="s">
        <v>3560</v>
      </c>
      <c r="B480" s="149" t="s">
        <v>3561</v>
      </c>
      <c r="C480" s="150" t="s">
        <v>68</v>
      </c>
      <c r="D480" s="150">
        <v>0</v>
      </c>
      <c r="E480" s="151" t="s">
        <v>13</v>
      </c>
      <c r="F480" s="152" t="str">
        <f t="shared" si="23"/>
        <v/>
      </c>
      <c r="G480" s="153">
        <f>IF($K480="Padrão",BDI!$B$17,IF($K480="Diferenciado",BDI!$E$17,0))</f>
        <v>0.2039</v>
      </c>
      <c r="H480" s="151" t="str">
        <f t="shared" si="21"/>
        <v/>
      </c>
      <c r="I480" s="152" t="str">
        <f t="shared" si="22"/>
        <v/>
      </c>
      <c r="J480" s="154"/>
      <c r="K480" s="155" t="s">
        <v>2966</v>
      </c>
    </row>
    <row r="481" spans="1:11" hidden="1" x14ac:dyDescent="0.25">
      <c r="A481" s="148" t="s">
        <v>3562</v>
      </c>
      <c r="B481" s="149" t="s">
        <v>3563</v>
      </c>
      <c r="C481" s="150" t="s">
        <v>68</v>
      </c>
      <c r="D481" s="150">
        <v>0</v>
      </c>
      <c r="E481" s="151" t="s">
        <v>13</v>
      </c>
      <c r="F481" s="152" t="str">
        <f t="shared" si="23"/>
        <v/>
      </c>
      <c r="G481" s="153">
        <f>IF($K481="Padrão",BDI!$B$17,IF($K481="Diferenciado",BDI!$E$17,0))</f>
        <v>0.2039</v>
      </c>
      <c r="H481" s="151" t="str">
        <f t="shared" si="21"/>
        <v/>
      </c>
      <c r="I481" s="152" t="str">
        <f t="shared" si="22"/>
        <v/>
      </c>
      <c r="J481" s="154"/>
      <c r="K481" s="155" t="s">
        <v>2966</v>
      </c>
    </row>
    <row r="482" spans="1:11" hidden="1" x14ac:dyDescent="0.25">
      <c r="A482" s="148" t="s">
        <v>3564</v>
      </c>
      <c r="B482" s="149" t="s">
        <v>3565</v>
      </c>
      <c r="C482" s="150" t="s">
        <v>68</v>
      </c>
      <c r="D482" s="150">
        <v>0</v>
      </c>
      <c r="E482" s="151" t="s">
        <v>13</v>
      </c>
      <c r="F482" s="152" t="str">
        <f t="shared" si="23"/>
        <v/>
      </c>
      <c r="G482" s="153">
        <f>IF($K482="Padrão",BDI!$B$17,IF($K482="Diferenciado",BDI!$E$17,0))</f>
        <v>0.2039</v>
      </c>
      <c r="H482" s="151" t="str">
        <f t="shared" si="21"/>
        <v/>
      </c>
      <c r="I482" s="152" t="str">
        <f t="shared" si="22"/>
        <v/>
      </c>
      <c r="J482" s="154"/>
      <c r="K482" s="155" t="s">
        <v>2966</v>
      </c>
    </row>
    <row r="483" spans="1:11" hidden="1" x14ac:dyDescent="0.25">
      <c r="A483" s="148" t="s">
        <v>3566</v>
      </c>
      <c r="B483" s="149" t="s">
        <v>3567</v>
      </c>
      <c r="C483" s="150" t="s">
        <v>68</v>
      </c>
      <c r="D483" s="150">
        <v>0</v>
      </c>
      <c r="E483" s="151" t="s">
        <v>13</v>
      </c>
      <c r="F483" s="152" t="str">
        <f t="shared" si="23"/>
        <v/>
      </c>
      <c r="G483" s="153">
        <f>IF($K483="Padrão",BDI!$B$17,IF($K483="Diferenciado",BDI!$E$17,0))</f>
        <v>0.2039</v>
      </c>
      <c r="H483" s="151" t="str">
        <f t="shared" si="21"/>
        <v/>
      </c>
      <c r="I483" s="152" t="str">
        <f t="shared" si="22"/>
        <v/>
      </c>
      <c r="J483" s="154"/>
      <c r="K483" s="155" t="s">
        <v>2966</v>
      </c>
    </row>
    <row r="484" spans="1:11" hidden="1" x14ac:dyDescent="0.25">
      <c r="A484" s="148" t="s">
        <v>3568</v>
      </c>
      <c r="B484" s="149" t="s">
        <v>3569</v>
      </c>
      <c r="C484" s="150" t="s">
        <v>68</v>
      </c>
      <c r="D484" s="150">
        <v>0</v>
      </c>
      <c r="E484" s="151" t="s">
        <v>13</v>
      </c>
      <c r="F484" s="152" t="str">
        <f t="shared" si="23"/>
        <v/>
      </c>
      <c r="G484" s="153">
        <f>IF($K484="Padrão",BDI!$B$17,IF($K484="Diferenciado",BDI!$E$17,0))</f>
        <v>0.2039</v>
      </c>
      <c r="H484" s="151" t="str">
        <f t="shared" si="21"/>
        <v/>
      </c>
      <c r="I484" s="152" t="str">
        <f t="shared" si="22"/>
        <v/>
      </c>
      <c r="J484" s="154"/>
      <c r="K484" s="155" t="s">
        <v>2966</v>
      </c>
    </row>
    <row r="485" spans="1:11" hidden="1" x14ac:dyDescent="0.25">
      <c r="A485" s="148" t="s">
        <v>3570</v>
      </c>
      <c r="B485" s="149" t="s">
        <v>3571</v>
      </c>
      <c r="C485" s="150" t="s">
        <v>68</v>
      </c>
      <c r="D485" s="150">
        <v>0</v>
      </c>
      <c r="E485" s="151" t="s">
        <v>13</v>
      </c>
      <c r="F485" s="152" t="str">
        <f t="shared" si="23"/>
        <v/>
      </c>
      <c r="G485" s="153">
        <f>IF($K485="Padrão",BDI!$B$17,IF($K485="Diferenciado",BDI!$E$17,0))</f>
        <v>0.2039</v>
      </c>
      <c r="H485" s="151" t="str">
        <f t="shared" si="21"/>
        <v/>
      </c>
      <c r="I485" s="152" t="str">
        <f t="shared" si="22"/>
        <v/>
      </c>
      <c r="J485" s="154"/>
      <c r="K485" s="155" t="s">
        <v>2966</v>
      </c>
    </row>
    <row r="486" spans="1:11" hidden="1" x14ac:dyDescent="0.25">
      <c r="A486" s="148" t="s">
        <v>3572</v>
      </c>
      <c r="B486" s="149" t="s">
        <v>3573</v>
      </c>
      <c r="C486" s="150" t="s">
        <v>68</v>
      </c>
      <c r="D486" s="150">
        <v>0</v>
      </c>
      <c r="E486" s="151" t="s">
        <v>13</v>
      </c>
      <c r="F486" s="152" t="str">
        <f t="shared" si="23"/>
        <v/>
      </c>
      <c r="G486" s="153">
        <f>IF($K486="Padrão",BDI!$B$17,IF($K486="Diferenciado",BDI!$E$17,0))</f>
        <v>0.2039</v>
      </c>
      <c r="H486" s="151" t="str">
        <f t="shared" si="21"/>
        <v/>
      </c>
      <c r="I486" s="152" t="str">
        <f t="shared" si="22"/>
        <v/>
      </c>
      <c r="J486" s="154"/>
      <c r="K486" s="155" t="s">
        <v>2966</v>
      </c>
    </row>
    <row r="487" spans="1:11" hidden="1" x14ac:dyDescent="0.25">
      <c r="A487" s="148" t="s">
        <v>3574</v>
      </c>
      <c r="B487" s="149" t="s">
        <v>3575</v>
      </c>
      <c r="C487" s="150" t="s">
        <v>68</v>
      </c>
      <c r="D487" s="150">
        <v>0</v>
      </c>
      <c r="E487" s="151" t="s">
        <v>13</v>
      </c>
      <c r="F487" s="152" t="str">
        <f t="shared" si="23"/>
        <v/>
      </c>
      <c r="G487" s="153">
        <f>IF($K487="Padrão",BDI!$B$17,IF($K487="Diferenciado",BDI!$E$17,0))</f>
        <v>0.2039</v>
      </c>
      <c r="H487" s="151" t="str">
        <f t="shared" si="21"/>
        <v/>
      </c>
      <c r="I487" s="152" t="str">
        <f t="shared" si="22"/>
        <v/>
      </c>
      <c r="J487" s="154"/>
      <c r="K487" s="155" t="s">
        <v>2966</v>
      </c>
    </row>
    <row r="488" spans="1:11" hidden="1" x14ac:dyDescent="0.25">
      <c r="A488" s="148" t="s">
        <v>3576</v>
      </c>
      <c r="B488" s="149" t="s">
        <v>3577</v>
      </c>
      <c r="C488" s="150" t="s">
        <v>68</v>
      </c>
      <c r="D488" s="150">
        <v>0</v>
      </c>
      <c r="E488" s="151" t="s">
        <v>13</v>
      </c>
      <c r="F488" s="152" t="str">
        <f t="shared" si="23"/>
        <v/>
      </c>
      <c r="G488" s="153">
        <f>IF($K488="Padrão",BDI!$B$17,IF($K488="Diferenciado",BDI!$E$17,0))</f>
        <v>0.2039</v>
      </c>
      <c r="H488" s="151" t="str">
        <f t="shared" si="21"/>
        <v/>
      </c>
      <c r="I488" s="152" t="str">
        <f t="shared" si="22"/>
        <v/>
      </c>
      <c r="J488" s="154"/>
      <c r="K488" s="155" t="s">
        <v>2966</v>
      </c>
    </row>
    <row r="489" spans="1:11" hidden="1" x14ac:dyDescent="0.25">
      <c r="A489" s="148" t="s">
        <v>3578</v>
      </c>
      <c r="B489" s="149" t="s">
        <v>3579</v>
      </c>
      <c r="C489" s="150" t="s">
        <v>68</v>
      </c>
      <c r="D489" s="150">
        <v>0</v>
      </c>
      <c r="E489" s="151" t="s">
        <v>13</v>
      </c>
      <c r="F489" s="152" t="str">
        <f t="shared" si="23"/>
        <v/>
      </c>
      <c r="G489" s="153">
        <f>IF($K489="Padrão",BDI!$B$17,IF($K489="Diferenciado",BDI!$E$17,0))</f>
        <v>0.2039</v>
      </c>
      <c r="H489" s="151" t="str">
        <f t="shared" si="21"/>
        <v/>
      </c>
      <c r="I489" s="152" t="str">
        <f t="shared" si="22"/>
        <v/>
      </c>
      <c r="J489" s="154"/>
      <c r="K489" s="155" t="s">
        <v>2966</v>
      </c>
    </row>
    <row r="490" spans="1:11" hidden="1" x14ac:dyDescent="0.25">
      <c r="A490" s="148" t="s">
        <v>3580</v>
      </c>
      <c r="B490" s="149" t="s">
        <v>3581</v>
      </c>
      <c r="C490" s="150" t="s">
        <v>68</v>
      </c>
      <c r="D490" s="150">
        <v>0</v>
      </c>
      <c r="E490" s="151" t="s">
        <v>13</v>
      </c>
      <c r="F490" s="152" t="str">
        <f t="shared" si="23"/>
        <v/>
      </c>
      <c r="G490" s="153">
        <f>IF($K490="Padrão",BDI!$B$17,IF($K490="Diferenciado",BDI!$E$17,0))</f>
        <v>0.2039</v>
      </c>
      <c r="H490" s="151" t="str">
        <f t="shared" si="21"/>
        <v/>
      </c>
      <c r="I490" s="152" t="str">
        <f t="shared" si="22"/>
        <v/>
      </c>
      <c r="J490" s="154"/>
      <c r="K490" s="155" t="s">
        <v>2966</v>
      </c>
    </row>
    <row r="491" spans="1:11" hidden="1" x14ac:dyDescent="0.25">
      <c r="A491" s="148" t="s">
        <v>3582</v>
      </c>
      <c r="B491" s="149" t="s">
        <v>3583</v>
      </c>
      <c r="C491" s="150" t="s">
        <v>1788</v>
      </c>
      <c r="D491" s="150">
        <v>0</v>
      </c>
      <c r="E491" s="151" t="s">
        <v>13</v>
      </c>
      <c r="F491" s="152" t="str">
        <f t="shared" si="23"/>
        <v/>
      </c>
      <c r="G491" s="153">
        <f>IF($K491="Padrão",BDI!$B$17,IF($K491="Diferenciado",BDI!$E$17,0))</f>
        <v>0.2039</v>
      </c>
      <c r="H491" s="151" t="str">
        <f t="shared" si="21"/>
        <v/>
      </c>
      <c r="I491" s="152" t="str">
        <f t="shared" si="22"/>
        <v/>
      </c>
      <c r="J491" s="154"/>
      <c r="K491" s="155" t="s">
        <v>2966</v>
      </c>
    </row>
    <row r="492" spans="1:11" hidden="1" x14ac:dyDescent="0.25">
      <c r="A492" s="148" t="s">
        <v>3584</v>
      </c>
      <c r="B492" s="149" t="s">
        <v>3585</v>
      </c>
      <c r="C492" s="150" t="s">
        <v>1788</v>
      </c>
      <c r="D492" s="150">
        <v>0</v>
      </c>
      <c r="E492" s="151" t="s">
        <v>13</v>
      </c>
      <c r="F492" s="152" t="str">
        <f t="shared" si="23"/>
        <v/>
      </c>
      <c r="G492" s="153">
        <f>IF($K492="Padrão",BDI!$B$17,IF($K492="Diferenciado",BDI!$E$17,0))</f>
        <v>0.2039</v>
      </c>
      <c r="H492" s="151" t="str">
        <f t="shared" si="21"/>
        <v/>
      </c>
      <c r="I492" s="152" t="str">
        <f t="shared" si="22"/>
        <v/>
      </c>
      <c r="J492" s="154"/>
      <c r="K492" s="155" t="s">
        <v>2966</v>
      </c>
    </row>
    <row r="493" spans="1:11" hidden="1" x14ac:dyDescent="0.25">
      <c r="A493" s="148" t="s">
        <v>3586</v>
      </c>
      <c r="B493" s="149" t="s">
        <v>3587</v>
      </c>
      <c r="C493" s="150" t="s">
        <v>1788</v>
      </c>
      <c r="D493" s="150">
        <v>0</v>
      </c>
      <c r="E493" s="151" t="s">
        <v>13</v>
      </c>
      <c r="F493" s="152" t="str">
        <f t="shared" si="23"/>
        <v/>
      </c>
      <c r="G493" s="153">
        <f>IF($K493="Padrão",BDI!$B$17,IF($K493="Diferenciado",BDI!$E$17,0))</f>
        <v>0.2039</v>
      </c>
      <c r="H493" s="151" t="str">
        <f t="shared" si="21"/>
        <v/>
      </c>
      <c r="I493" s="152" t="str">
        <f t="shared" si="22"/>
        <v/>
      </c>
      <c r="J493" s="154"/>
      <c r="K493" s="155" t="s">
        <v>2966</v>
      </c>
    </row>
    <row r="494" spans="1:11" hidden="1" x14ac:dyDescent="0.25">
      <c r="A494" s="148" t="s">
        <v>615</v>
      </c>
      <c r="B494" s="149" t="s">
        <v>3588</v>
      </c>
      <c r="C494" s="150" t="s">
        <v>1788</v>
      </c>
      <c r="D494" s="150">
        <v>0</v>
      </c>
      <c r="E494" s="151">
        <f ca="1">OFFSET(INDEX(Composições!A:H,MATCH(Orçamentária!A494,Composições!A:A,0),8),2,0)</f>
        <v>1615</v>
      </c>
      <c r="F494" s="152">
        <f t="shared" ca="1" si="23"/>
        <v>0</v>
      </c>
      <c r="G494" s="153">
        <f>IF($K494="Padrão",BDI!$B$17,IF($K494="Diferenciado",BDI!$E$17,0))</f>
        <v>0.2039</v>
      </c>
      <c r="H494" s="151">
        <f t="shared" ca="1" si="21"/>
        <v>1944.3</v>
      </c>
      <c r="I494" s="152">
        <f t="shared" ca="1" si="22"/>
        <v>0</v>
      </c>
      <c r="J494" s="154"/>
      <c r="K494" s="155" t="s">
        <v>2966</v>
      </c>
    </row>
    <row r="495" spans="1:11" hidden="1" x14ac:dyDescent="0.25">
      <c r="A495" s="148" t="s">
        <v>616</v>
      </c>
      <c r="B495" s="149" t="s">
        <v>3589</v>
      </c>
      <c r="C495" s="150" t="s">
        <v>106</v>
      </c>
      <c r="D495" s="150">
        <v>0</v>
      </c>
      <c r="E495" s="151">
        <f ca="1">OFFSET(INDEX(Composições!A:H,MATCH(Orçamentária!A495,Composições!A:A,0),8),2,0)</f>
        <v>3.7049999999999996</v>
      </c>
      <c r="F495" s="152">
        <f t="shared" ca="1" si="23"/>
        <v>0</v>
      </c>
      <c r="G495" s="153">
        <f>IF($K495="Padrão",BDI!$B$17,IF($K495="Diferenciado",BDI!$E$17,0))</f>
        <v>0.2039</v>
      </c>
      <c r="H495" s="151">
        <f t="shared" ca="1" si="21"/>
        <v>4.46</v>
      </c>
      <c r="I495" s="152">
        <f t="shared" ca="1" si="22"/>
        <v>0</v>
      </c>
      <c r="J495" s="154"/>
      <c r="K495" s="155" t="s">
        <v>2966</v>
      </c>
    </row>
    <row r="496" spans="1:11" hidden="1" x14ac:dyDescent="0.25">
      <c r="A496" s="148" t="s">
        <v>617</v>
      </c>
      <c r="B496" s="149" t="s">
        <v>3590</v>
      </c>
      <c r="C496" s="150" t="s">
        <v>106</v>
      </c>
      <c r="D496" s="150">
        <v>0</v>
      </c>
      <c r="E496" s="151">
        <f ca="1">OFFSET(INDEX(Composições!A:H,MATCH(Orçamentária!A496,Composições!A:A,0),8),2,0)</f>
        <v>5.1395</v>
      </c>
      <c r="F496" s="152">
        <f t="shared" ca="1" si="23"/>
        <v>0</v>
      </c>
      <c r="G496" s="153">
        <f>IF($K496="Padrão",BDI!$B$17,IF($K496="Diferenciado",BDI!$E$17,0))</f>
        <v>0.2039</v>
      </c>
      <c r="H496" s="151">
        <f t="shared" ca="1" si="21"/>
        <v>6.19</v>
      </c>
      <c r="I496" s="152">
        <f t="shared" ca="1" si="22"/>
        <v>0</v>
      </c>
      <c r="J496" s="154"/>
      <c r="K496" s="155" t="s">
        <v>2966</v>
      </c>
    </row>
    <row r="497" spans="1:11" hidden="1" x14ac:dyDescent="0.25">
      <c r="A497" s="148" t="s">
        <v>3591</v>
      </c>
      <c r="B497" s="149" t="s">
        <v>3592</v>
      </c>
      <c r="C497" s="150" t="s">
        <v>106</v>
      </c>
      <c r="D497" s="150">
        <v>0</v>
      </c>
      <c r="E497" s="151" t="s">
        <v>13</v>
      </c>
      <c r="F497" s="152" t="str">
        <f t="shared" si="23"/>
        <v/>
      </c>
      <c r="G497" s="153">
        <f>IF($K497="Padrão",BDI!$B$17,IF($K497="Diferenciado",BDI!$E$17,0))</f>
        <v>0.2039</v>
      </c>
      <c r="H497" s="151" t="str">
        <f t="shared" si="21"/>
        <v/>
      </c>
      <c r="I497" s="152" t="str">
        <f t="shared" si="22"/>
        <v/>
      </c>
      <c r="J497" s="154"/>
      <c r="K497" s="155" t="s">
        <v>2966</v>
      </c>
    </row>
    <row r="498" spans="1:11" hidden="1" x14ac:dyDescent="0.25">
      <c r="A498" s="148" t="s">
        <v>3593</v>
      </c>
      <c r="B498" s="149" t="s">
        <v>3594</v>
      </c>
      <c r="C498" s="150" t="s">
        <v>106</v>
      </c>
      <c r="D498" s="150">
        <v>0</v>
      </c>
      <c r="E498" s="151" t="s">
        <v>13</v>
      </c>
      <c r="F498" s="152" t="str">
        <f t="shared" si="23"/>
        <v/>
      </c>
      <c r="G498" s="153">
        <f>IF($K498="Padrão",BDI!$B$17,IF($K498="Diferenciado",BDI!$E$17,0))</f>
        <v>0.2039</v>
      </c>
      <c r="H498" s="151" t="str">
        <f t="shared" si="21"/>
        <v/>
      </c>
      <c r="I498" s="152" t="str">
        <f t="shared" si="22"/>
        <v/>
      </c>
      <c r="J498" s="154"/>
      <c r="K498" s="155" t="s">
        <v>2966</v>
      </c>
    </row>
    <row r="499" spans="1:11" hidden="1" x14ac:dyDescent="0.25">
      <c r="A499" s="148" t="s">
        <v>618</v>
      </c>
      <c r="B499" s="149" t="s">
        <v>3595</v>
      </c>
      <c r="C499" s="150" t="s">
        <v>68</v>
      </c>
      <c r="D499" s="150">
        <v>0</v>
      </c>
      <c r="E499" s="151">
        <f ca="1">OFFSET(INDEX(Composições!A:H,MATCH(Orçamentária!A499,Composições!A:A,0),8),2,0)</f>
        <v>30.495000000000001</v>
      </c>
      <c r="F499" s="152">
        <f t="shared" ca="1" si="23"/>
        <v>0</v>
      </c>
      <c r="G499" s="153">
        <f>IF($K499="Padrão",BDI!$B$17,IF($K499="Diferenciado",BDI!$E$17,0))</f>
        <v>0.2039</v>
      </c>
      <c r="H499" s="151">
        <f t="shared" ca="1" si="21"/>
        <v>36.71</v>
      </c>
      <c r="I499" s="152">
        <f t="shared" ca="1" si="22"/>
        <v>0</v>
      </c>
      <c r="J499" s="154"/>
      <c r="K499" s="155" t="s">
        <v>2966</v>
      </c>
    </row>
    <row r="500" spans="1:11" hidden="1" x14ac:dyDescent="0.25">
      <c r="A500" s="148" t="s">
        <v>3596</v>
      </c>
      <c r="B500" s="149" t="s">
        <v>3597</v>
      </c>
      <c r="C500" s="150" t="s">
        <v>68</v>
      </c>
      <c r="D500" s="150">
        <v>0</v>
      </c>
      <c r="E500" s="151" t="s">
        <v>13</v>
      </c>
      <c r="F500" s="152" t="str">
        <f t="shared" si="23"/>
        <v/>
      </c>
      <c r="G500" s="153">
        <f>IF($K500="Padrão",BDI!$B$17,IF($K500="Diferenciado",BDI!$E$17,0))</f>
        <v>0.2039</v>
      </c>
      <c r="H500" s="151" t="str">
        <f t="shared" si="21"/>
        <v/>
      </c>
      <c r="I500" s="152" t="str">
        <f t="shared" si="22"/>
        <v/>
      </c>
      <c r="J500" s="154"/>
      <c r="K500" s="155" t="s">
        <v>2966</v>
      </c>
    </row>
    <row r="501" spans="1:11" hidden="1" x14ac:dyDescent="0.25">
      <c r="A501" s="148" t="s">
        <v>619</v>
      </c>
      <c r="B501" s="149" t="s">
        <v>3598</v>
      </c>
      <c r="C501" s="150" t="s">
        <v>68</v>
      </c>
      <c r="D501" s="150">
        <v>0</v>
      </c>
      <c r="E501" s="151">
        <f ca="1">OFFSET(INDEX(Composições!A:H,MATCH(Orçamentária!A501,Composições!A:A,0),8),2,0)</f>
        <v>47.841999999999999</v>
      </c>
      <c r="F501" s="152">
        <f t="shared" ca="1" si="23"/>
        <v>0</v>
      </c>
      <c r="G501" s="153">
        <f>IF($K501="Padrão",BDI!$B$17,IF($K501="Diferenciado",BDI!$E$17,0))</f>
        <v>0.2039</v>
      </c>
      <c r="H501" s="151">
        <f t="shared" ca="1" si="21"/>
        <v>57.6</v>
      </c>
      <c r="I501" s="152">
        <f t="shared" ca="1" si="22"/>
        <v>0</v>
      </c>
      <c r="J501" s="154"/>
      <c r="K501" s="155" t="s">
        <v>2966</v>
      </c>
    </row>
    <row r="502" spans="1:11" hidden="1" x14ac:dyDescent="0.25">
      <c r="A502" s="148" t="s">
        <v>3599</v>
      </c>
      <c r="B502" s="149" t="s">
        <v>3600</v>
      </c>
      <c r="C502" s="150" t="s">
        <v>68</v>
      </c>
      <c r="D502" s="150">
        <v>0</v>
      </c>
      <c r="E502" s="151" t="s">
        <v>13</v>
      </c>
      <c r="F502" s="152" t="str">
        <f t="shared" si="23"/>
        <v/>
      </c>
      <c r="G502" s="153">
        <f>IF($K502="Padrão",BDI!$B$17,IF($K502="Diferenciado",BDI!$E$17,0))</f>
        <v>0.2039</v>
      </c>
      <c r="H502" s="151" t="str">
        <f t="shared" si="21"/>
        <v/>
      </c>
      <c r="I502" s="152" t="str">
        <f t="shared" si="22"/>
        <v/>
      </c>
      <c r="J502" s="154"/>
      <c r="K502" s="155" t="s">
        <v>2966</v>
      </c>
    </row>
    <row r="503" spans="1:11" hidden="1" x14ac:dyDescent="0.25">
      <c r="A503" s="148" t="s">
        <v>620</v>
      </c>
      <c r="B503" s="149" t="s">
        <v>3601</v>
      </c>
      <c r="C503" s="150" t="s">
        <v>68</v>
      </c>
      <c r="D503" s="150">
        <v>0</v>
      </c>
      <c r="E503" s="151">
        <f ca="1">OFFSET(INDEX(Composições!A:H,MATCH(Orçamentária!A503,Composições!A:A,0),8),2,0)</f>
        <v>59.393999999999998</v>
      </c>
      <c r="F503" s="152">
        <f t="shared" ca="1" si="23"/>
        <v>0</v>
      </c>
      <c r="G503" s="153">
        <f>IF($K503="Padrão",BDI!$B$17,IF($K503="Diferenciado",BDI!$E$17,0))</f>
        <v>0.2039</v>
      </c>
      <c r="H503" s="151">
        <f t="shared" ca="1" si="21"/>
        <v>71.5</v>
      </c>
      <c r="I503" s="152">
        <f t="shared" ca="1" si="22"/>
        <v>0</v>
      </c>
      <c r="J503" s="154"/>
      <c r="K503" s="155" t="s">
        <v>2966</v>
      </c>
    </row>
    <row r="504" spans="1:11" hidden="1" x14ac:dyDescent="0.25">
      <c r="A504" s="148" t="s">
        <v>3602</v>
      </c>
      <c r="B504" s="149" t="s">
        <v>3603</v>
      </c>
      <c r="C504" s="150" t="s">
        <v>68</v>
      </c>
      <c r="D504" s="150">
        <v>0</v>
      </c>
      <c r="E504" s="151" t="s">
        <v>13</v>
      </c>
      <c r="F504" s="152" t="str">
        <f t="shared" si="23"/>
        <v/>
      </c>
      <c r="G504" s="153">
        <f>IF($K504="Padrão",BDI!$B$17,IF($K504="Diferenciado",BDI!$E$17,0))</f>
        <v>0.2039</v>
      </c>
      <c r="H504" s="151" t="str">
        <f t="shared" si="21"/>
        <v/>
      </c>
      <c r="I504" s="152" t="str">
        <f t="shared" si="22"/>
        <v/>
      </c>
      <c r="J504" s="154"/>
      <c r="K504" s="155" t="s">
        <v>2966</v>
      </c>
    </row>
    <row r="505" spans="1:11" hidden="1" x14ac:dyDescent="0.25">
      <c r="A505" s="148" t="s">
        <v>621</v>
      </c>
      <c r="B505" s="149" t="s">
        <v>3604</v>
      </c>
      <c r="C505" s="150" t="s">
        <v>106</v>
      </c>
      <c r="D505" s="150">
        <v>0</v>
      </c>
      <c r="E505" s="151">
        <f ca="1">OFFSET(INDEX(Composições!A:H,MATCH(Orçamentária!A505,Composições!A:A,0),8),2,0)</f>
        <v>13.180869999999999</v>
      </c>
      <c r="F505" s="152">
        <f t="shared" ca="1" si="23"/>
        <v>0</v>
      </c>
      <c r="G505" s="153">
        <f>IF($K505="Padrão",BDI!$B$17,IF($K505="Diferenciado",BDI!$E$17,0))</f>
        <v>0.2039</v>
      </c>
      <c r="H505" s="151">
        <f t="shared" ca="1" si="21"/>
        <v>15.87</v>
      </c>
      <c r="I505" s="152">
        <f t="shared" ca="1" si="22"/>
        <v>0</v>
      </c>
      <c r="J505" s="154"/>
      <c r="K505" s="155" t="s">
        <v>2966</v>
      </c>
    </row>
    <row r="506" spans="1:11" hidden="1" x14ac:dyDescent="0.25">
      <c r="A506" s="148" t="s">
        <v>622</v>
      </c>
      <c r="B506" s="149" t="s">
        <v>3605</v>
      </c>
      <c r="C506" s="150" t="s">
        <v>106</v>
      </c>
      <c r="D506" s="150">
        <v>0</v>
      </c>
      <c r="E506" s="151">
        <f ca="1">OFFSET(INDEX(Composições!A:H,MATCH(Orçamentária!A506,Composições!A:A,0),8),2,0)</f>
        <v>16.761799999999997</v>
      </c>
      <c r="F506" s="152">
        <f t="shared" ca="1" si="23"/>
        <v>0</v>
      </c>
      <c r="G506" s="153">
        <f>IF($K506="Padrão",BDI!$B$17,IF($K506="Diferenciado",BDI!$E$17,0))</f>
        <v>0.2039</v>
      </c>
      <c r="H506" s="151">
        <f t="shared" ca="1" si="21"/>
        <v>20.18</v>
      </c>
      <c r="I506" s="152">
        <f t="shared" ca="1" si="22"/>
        <v>0</v>
      </c>
      <c r="J506" s="154"/>
      <c r="K506" s="155" t="s">
        <v>2966</v>
      </c>
    </row>
    <row r="507" spans="1:11" hidden="1" x14ac:dyDescent="0.25">
      <c r="A507" s="148" t="s">
        <v>623</v>
      </c>
      <c r="B507" s="149" t="s">
        <v>3606</v>
      </c>
      <c r="C507" s="150" t="s">
        <v>106</v>
      </c>
      <c r="D507" s="150">
        <v>0</v>
      </c>
      <c r="E507" s="151">
        <f ca="1">OFFSET(INDEX(Composições!A:H,MATCH(Orçamentária!A507,Composições!A:A,0),8),2,0)</f>
        <v>18.742739999999998</v>
      </c>
      <c r="F507" s="152">
        <f t="shared" ca="1" si="23"/>
        <v>0</v>
      </c>
      <c r="G507" s="153">
        <f>IF($K507="Padrão",BDI!$B$17,IF($K507="Diferenciado",BDI!$E$17,0))</f>
        <v>0.2039</v>
      </c>
      <c r="H507" s="151">
        <f t="shared" ca="1" si="21"/>
        <v>22.56</v>
      </c>
      <c r="I507" s="152">
        <f t="shared" ca="1" si="22"/>
        <v>0</v>
      </c>
      <c r="J507" s="154"/>
      <c r="K507" s="155" t="s">
        <v>2966</v>
      </c>
    </row>
    <row r="508" spans="1:11" hidden="1" x14ac:dyDescent="0.25">
      <c r="A508" s="148" t="s">
        <v>624</v>
      </c>
      <c r="B508" s="149" t="s">
        <v>3607</v>
      </c>
      <c r="C508" s="150" t="s">
        <v>106</v>
      </c>
      <c r="D508" s="150">
        <v>0</v>
      </c>
      <c r="E508" s="151">
        <f ca="1">OFFSET(INDEX(Composições!A:H,MATCH(Orçamentária!A508,Composições!A:A,0),8),2,0)</f>
        <v>27.656969999999994</v>
      </c>
      <c r="F508" s="152">
        <f t="shared" ca="1" si="23"/>
        <v>0</v>
      </c>
      <c r="G508" s="153">
        <f>IF($K508="Padrão",BDI!$B$17,IF($K508="Diferenciado",BDI!$E$17,0))</f>
        <v>0.2039</v>
      </c>
      <c r="H508" s="151">
        <f t="shared" ca="1" si="21"/>
        <v>33.299999999999997</v>
      </c>
      <c r="I508" s="152">
        <f t="shared" ca="1" si="22"/>
        <v>0</v>
      </c>
      <c r="J508" s="154"/>
      <c r="K508" s="155" t="s">
        <v>2966</v>
      </c>
    </row>
    <row r="509" spans="1:11" hidden="1" x14ac:dyDescent="0.25">
      <c r="A509" s="148" t="s">
        <v>625</v>
      </c>
      <c r="B509" s="149" t="s">
        <v>3608</v>
      </c>
      <c r="C509" s="150" t="s">
        <v>106</v>
      </c>
      <c r="D509" s="150">
        <v>0</v>
      </c>
      <c r="E509" s="151">
        <f ca="1">OFFSET(INDEX(Composições!A:H,MATCH(Orçamentária!A509,Composições!A:A,0),8),2,0)</f>
        <v>5.409489999999999</v>
      </c>
      <c r="F509" s="152">
        <f t="shared" ca="1" si="23"/>
        <v>0</v>
      </c>
      <c r="G509" s="153">
        <f>IF($K509="Padrão",BDI!$B$17,IF($K509="Diferenciado",BDI!$E$17,0))</f>
        <v>0.2039</v>
      </c>
      <c r="H509" s="151">
        <f t="shared" ca="1" si="21"/>
        <v>6.51</v>
      </c>
      <c r="I509" s="152">
        <f t="shared" ca="1" si="22"/>
        <v>0</v>
      </c>
      <c r="J509" s="154"/>
      <c r="K509" s="155" t="s">
        <v>2966</v>
      </c>
    </row>
    <row r="510" spans="1:11" hidden="1" x14ac:dyDescent="0.25">
      <c r="A510" s="148" t="s">
        <v>626</v>
      </c>
      <c r="B510" s="149" t="s">
        <v>3609</v>
      </c>
      <c r="C510" s="150" t="s">
        <v>72</v>
      </c>
      <c r="D510" s="150">
        <v>0</v>
      </c>
      <c r="E510" s="151">
        <f ca="1">OFFSET(INDEX(Composições!A:H,MATCH(Orçamentária!A510,Composições!A:A,0),8),2,0)</f>
        <v>10.9155</v>
      </c>
      <c r="F510" s="152">
        <f t="shared" ca="1" si="23"/>
        <v>0</v>
      </c>
      <c r="G510" s="153">
        <f>IF($K510="Padrão",BDI!$B$17,IF($K510="Diferenciado",BDI!$E$17,0))</f>
        <v>0.2039</v>
      </c>
      <c r="H510" s="151">
        <f t="shared" ca="1" si="21"/>
        <v>13.14</v>
      </c>
      <c r="I510" s="152">
        <f t="shared" ca="1" si="22"/>
        <v>0</v>
      </c>
      <c r="J510" s="154"/>
      <c r="K510" s="155" t="s">
        <v>2966</v>
      </c>
    </row>
    <row r="511" spans="1:11" hidden="1" x14ac:dyDescent="0.25">
      <c r="A511" s="148" t="s">
        <v>627</v>
      </c>
      <c r="B511" s="149" t="s">
        <v>3610</v>
      </c>
      <c r="C511" s="150" t="s">
        <v>106</v>
      </c>
      <c r="D511" s="150">
        <v>0</v>
      </c>
      <c r="E511" s="151">
        <f ca="1">OFFSET(INDEX(Composições!A:H,MATCH(Orçamentária!A511,Composições!A:A,0),8),2,0)</f>
        <v>6.3261449999999995</v>
      </c>
      <c r="F511" s="152">
        <f t="shared" ca="1" si="23"/>
        <v>0</v>
      </c>
      <c r="G511" s="153">
        <f>IF($K511="Padrão",BDI!$B$17,IF($K511="Diferenciado",BDI!$E$17,0))</f>
        <v>0.2039</v>
      </c>
      <c r="H511" s="151">
        <f t="shared" ca="1" si="21"/>
        <v>7.62</v>
      </c>
      <c r="I511" s="152">
        <f t="shared" ca="1" si="22"/>
        <v>0</v>
      </c>
      <c r="J511" s="154"/>
      <c r="K511" s="155" t="s">
        <v>2966</v>
      </c>
    </row>
    <row r="512" spans="1:11" hidden="1" x14ac:dyDescent="0.25">
      <c r="A512" s="148" t="s">
        <v>628</v>
      </c>
      <c r="B512" s="149" t="s">
        <v>3611</v>
      </c>
      <c r="C512" s="150" t="s">
        <v>106</v>
      </c>
      <c r="D512" s="150">
        <v>0</v>
      </c>
      <c r="E512" s="151">
        <f ca="1">OFFSET(INDEX(Composições!A:H,MATCH(Orçamentária!A512,Composições!A:A,0),8),2,0)</f>
        <v>9.5394249999999996</v>
      </c>
      <c r="F512" s="152">
        <f t="shared" ca="1" si="23"/>
        <v>0</v>
      </c>
      <c r="G512" s="153">
        <f>IF($K512="Padrão",BDI!$B$17,IF($K512="Diferenciado",BDI!$E$17,0))</f>
        <v>0.2039</v>
      </c>
      <c r="H512" s="151">
        <f t="shared" ca="1" si="21"/>
        <v>11.48</v>
      </c>
      <c r="I512" s="152">
        <f t="shared" ca="1" si="22"/>
        <v>0</v>
      </c>
      <c r="J512" s="154"/>
      <c r="K512" s="155" t="s">
        <v>2966</v>
      </c>
    </row>
    <row r="513" spans="1:11" hidden="1" x14ac:dyDescent="0.25">
      <c r="A513" s="148" t="s">
        <v>629</v>
      </c>
      <c r="B513" s="149" t="s">
        <v>3612</v>
      </c>
      <c r="C513" s="150" t="s">
        <v>106</v>
      </c>
      <c r="D513" s="150">
        <v>0</v>
      </c>
      <c r="E513" s="151">
        <f ca="1">OFFSET(INDEX(Composições!A:H,MATCH(Orçamentária!A513,Composições!A:A,0),8),2,0)</f>
        <v>11.146065</v>
      </c>
      <c r="F513" s="152">
        <f t="shared" ca="1" si="23"/>
        <v>0</v>
      </c>
      <c r="G513" s="153">
        <f>IF($K513="Padrão",BDI!$B$17,IF($K513="Diferenciado",BDI!$E$17,0))</f>
        <v>0.2039</v>
      </c>
      <c r="H513" s="151">
        <f t="shared" ca="1" si="21"/>
        <v>13.42</v>
      </c>
      <c r="I513" s="152">
        <f t="shared" ca="1" si="22"/>
        <v>0</v>
      </c>
      <c r="J513" s="154"/>
      <c r="K513" s="155" t="s">
        <v>2966</v>
      </c>
    </row>
    <row r="514" spans="1:11" hidden="1" x14ac:dyDescent="0.25">
      <c r="A514" s="148" t="s">
        <v>630</v>
      </c>
      <c r="B514" s="149" t="s">
        <v>3613</v>
      </c>
      <c r="C514" s="150" t="s">
        <v>106</v>
      </c>
      <c r="D514" s="150">
        <v>0</v>
      </c>
      <c r="E514" s="151">
        <f ca="1">OFFSET(INDEX(Composições!A:H,MATCH(Orçamentária!A514,Composições!A:A,0),8),2,0)</f>
        <v>4.8199199999999998</v>
      </c>
      <c r="F514" s="152">
        <f t="shared" ca="1" si="23"/>
        <v>0</v>
      </c>
      <c r="G514" s="153">
        <f>IF($K514="Padrão",BDI!$B$17,IF($K514="Diferenciado",BDI!$E$17,0))</f>
        <v>0.2039</v>
      </c>
      <c r="H514" s="151">
        <f t="shared" ca="1" si="21"/>
        <v>5.8</v>
      </c>
      <c r="I514" s="152">
        <f t="shared" ca="1" si="22"/>
        <v>0</v>
      </c>
      <c r="J514" s="154"/>
      <c r="K514" s="155" t="s">
        <v>2966</v>
      </c>
    </row>
    <row r="515" spans="1:11" hidden="1" x14ac:dyDescent="0.25">
      <c r="A515" s="148" t="s">
        <v>631</v>
      </c>
      <c r="B515" s="149" t="s">
        <v>3614</v>
      </c>
      <c r="C515" s="150" t="s">
        <v>106</v>
      </c>
      <c r="D515" s="150">
        <v>0</v>
      </c>
      <c r="E515" s="151">
        <f ca="1">OFFSET(INDEX(Composições!A:H,MATCH(Orçamentária!A515,Composições!A:A,0),8),2,0)</f>
        <v>7.1294649999999988</v>
      </c>
      <c r="F515" s="152">
        <f t="shared" ca="1" si="23"/>
        <v>0</v>
      </c>
      <c r="G515" s="153">
        <f>IF($K515="Padrão",BDI!$B$17,IF($K515="Diferenciado",BDI!$E$17,0))</f>
        <v>0.2039</v>
      </c>
      <c r="H515" s="151">
        <f t="shared" ca="1" si="21"/>
        <v>8.58</v>
      </c>
      <c r="I515" s="152">
        <f t="shared" ca="1" si="22"/>
        <v>0</v>
      </c>
      <c r="J515" s="154"/>
      <c r="K515" s="155" t="s">
        <v>2966</v>
      </c>
    </row>
    <row r="516" spans="1:11" hidden="1" x14ac:dyDescent="0.25">
      <c r="A516" s="148" t="s">
        <v>632</v>
      </c>
      <c r="B516" s="149" t="s">
        <v>3615</v>
      </c>
      <c r="C516" s="150" t="s">
        <v>106</v>
      </c>
      <c r="D516" s="150">
        <v>0</v>
      </c>
      <c r="E516" s="151">
        <f ca="1">OFFSET(INDEX(Composições!A:H,MATCH(Orçamentária!A516,Composições!A:A,0),8),2,0)</f>
        <v>4.0165999999999995</v>
      </c>
      <c r="F516" s="152">
        <f t="shared" ca="1" si="23"/>
        <v>0</v>
      </c>
      <c r="G516" s="153">
        <f>IF($K516="Padrão",BDI!$B$17,IF($K516="Diferenciado",BDI!$E$17,0))</f>
        <v>0.2039</v>
      </c>
      <c r="H516" s="151">
        <f t="shared" ca="1" si="21"/>
        <v>4.84</v>
      </c>
      <c r="I516" s="152">
        <f t="shared" ca="1" si="22"/>
        <v>0</v>
      </c>
      <c r="J516" s="154"/>
      <c r="K516" s="155" t="s">
        <v>2966</v>
      </c>
    </row>
    <row r="517" spans="1:11" hidden="1" x14ac:dyDescent="0.25">
      <c r="A517" s="148" t="s">
        <v>633</v>
      </c>
      <c r="B517" s="149" t="s">
        <v>3616</v>
      </c>
      <c r="C517" s="150" t="s">
        <v>106</v>
      </c>
      <c r="D517" s="150">
        <v>0</v>
      </c>
      <c r="E517" s="151">
        <f ca="1">OFFSET(INDEX(Composições!A:H,MATCH(Orçamentária!A517,Composições!A:A,0),8),2,0)</f>
        <v>7.932785</v>
      </c>
      <c r="F517" s="152">
        <f t="shared" ca="1" si="23"/>
        <v>0</v>
      </c>
      <c r="G517" s="153">
        <f>IF($K517="Padrão",BDI!$B$17,IF($K517="Diferenciado",BDI!$E$17,0))</f>
        <v>0.2039</v>
      </c>
      <c r="H517" s="151">
        <f t="shared" ca="1" si="21"/>
        <v>9.5500000000000007</v>
      </c>
      <c r="I517" s="152">
        <f t="shared" ca="1" si="22"/>
        <v>0</v>
      </c>
      <c r="J517" s="154"/>
      <c r="K517" s="155" t="s">
        <v>2966</v>
      </c>
    </row>
    <row r="518" spans="1:11" hidden="1" x14ac:dyDescent="0.25">
      <c r="A518" s="148" t="s">
        <v>634</v>
      </c>
      <c r="B518" s="149" t="s">
        <v>3617</v>
      </c>
      <c r="C518" s="150" t="s">
        <v>106</v>
      </c>
      <c r="D518" s="150">
        <v>0</v>
      </c>
      <c r="E518" s="151">
        <f ca="1">OFFSET(INDEX(Composições!A:H,MATCH(Orçamentária!A518,Composições!A:A,0),8),2,0)</f>
        <v>5.5228250000000001</v>
      </c>
      <c r="F518" s="152">
        <f t="shared" ca="1" si="23"/>
        <v>0</v>
      </c>
      <c r="G518" s="153">
        <f>IF($K518="Padrão",BDI!$B$17,IF($K518="Diferenciado",BDI!$E$17,0))</f>
        <v>0.2039</v>
      </c>
      <c r="H518" s="151">
        <f t="shared" ref="H518:H581" ca="1" si="24">IF(ISNUMBER(E518),ROUND(E518*(1+G518),2),"")</f>
        <v>6.65</v>
      </c>
      <c r="I518" s="152">
        <f t="shared" ref="I518:I581" ca="1" si="25">IF(ISNUMBER(E518),ROUND(H518*D518,2),"")</f>
        <v>0</v>
      </c>
      <c r="J518" s="154"/>
      <c r="K518" s="155" t="s">
        <v>2966</v>
      </c>
    </row>
    <row r="519" spans="1:11" hidden="1" x14ac:dyDescent="0.25">
      <c r="A519" s="148" t="s">
        <v>635</v>
      </c>
      <c r="B519" s="149" t="s">
        <v>3618</v>
      </c>
      <c r="C519" s="150" t="s">
        <v>106</v>
      </c>
      <c r="D519" s="150">
        <v>0</v>
      </c>
      <c r="E519" s="151">
        <f ca="1">OFFSET(INDEX(Composições!A:H,MATCH(Orçamentária!A519,Composições!A:A,0),8),2,0)</f>
        <v>8.3344449999999988</v>
      </c>
      <c r="F519" s="152">
        <f t="shared" ref="F519:F582" ca="1" si="26">IF(ISNUMBER(E519),D519*E519,"")</f>
        <v>0</v>
      </c>
      <c r="G519" s="153">
        <f>IF($K519="Padrão",BDI!$B$17,IF($K519="Diferenciado",BDI!$E$17,0))</f>
        <v>0.2039</v>
      </c>
      <c r="H519" s="151">
        <f t="shared" ca="1" si="24"/>
        <v>10.029999999999999</v>
      </c>
      <c r="I519" s="152">
        <f t="shared" ca="1" si="25"/>
        <v>0</v>
      </c>
      <c r="J519" s="154"/>
      <c r="K519" s="155" t="s">
        <v>2966</v>
      </c>
    </row>
    <row r="520" spans="1:11" hidden="1" x14ac:dyDescent="0.25">
      <c r="A520" s="148" t="s">
        <v>3619</v>
      </c>
      <c r="B520" s="149" t="s">
        <v>3620</v>
      </c>
      <c r="C520" s="150" t="s">
        <v>106</v>
      </c>
      <c r="D520" s="150">
        <v>0</v>
      </c>
      <c r="E520" s="151" t="s">
        <v>13</v>
      </c>
      <c r="F520" s="152" t="str">
        <f t="shared" si="26"/>
        <v/>
      </c>
      <c r="G520" s="153">
        <f>IF($K520="Padrão",BDI!$B$17,IF($K520="Diferenciado",BDI!$E$17,0))</f>
        <v>0.2039</v>
      </c>
      <c r="H520" s="151" t="str">
        <f t="shared" si="24"/>
        <v/>
      </c>
      <c r="I520" s="152" t="str">
        <f t="shared" si="25"/>
        <v/>
      </c>
      <c r="J520" s="154"/>
      <c r="K520" s="155" t="s">
        <v>2966</v>
      </c>
    </row>
    <row r="521" spans="1:11" hidden="1" x14ac:dyDescent="0.25">
      <c r="A521" s="148" t="s">
        <v>3621</v>
      </c>
      <c r="B521" s="149" t="s">
        <v>3622</v>
      </c>
      <c r="C521" s="150" t="s">
        <v>106</v>
      </c>
      <c r="D521" s="150">
        <v>0</v>
      </c>
      <c r="E521" s="151" t="s">
        <v>13</v>
      </c>
      <c r="F521" s="152" t="str">
        <f t="shared" si="26"/>
        <v/>
      </c>
      <c r="G521" s="153">
        <f>IF($K521="Padrão",BDI!$B$17,IF($K521="Diferenciado",BDI!$E$17,0))</f>
        <v>0.2039</v>
      </c>
      <c r="H521" s="151" t="str">
        <f t="shared" si="24"/>
        <v/>
      </c>
      <c r="I521" s="152" t="str">
        <f t="shared" si="25"/>
        <v/>
      </c>
      <c r="J521" s="154"/>
      <c r="K521" s="155" t="s">
        <v>2966</v>
      </c>
    </row>
    <row r="522" spans="1:11" hidden="1" x14ac:dyDescent="0.25">
      <c r="A522" s="148" t="s">
        <v>3623</v>
      </c>
      <c r="B522" s="149" t="s">
        <v>3624</v>
      </c>
      <c r="C522" s="150" t="s">
        <v>106</v>
      </c>
      <c r="D522" s="150">
        <v>0</v>
      </c>
      <c r="E522" s="151" t="s">
        <v>13</v>
      </c>
      <c r="F522" s="152" t="str">
        <f t="shared" si="26"/>
        <v/>
      </c>
      <c r="G522" s="153">
        <f>IF($K522="Padrão",BDI!$B$17,IF($K522="Diferenciado",BDI!$E$17,0))</f>
        <v>0.2039</v>
      </c>
      <c r="H522" s="151" t="str">
        <f t="shared" si="24"/>
        <v/>
      </c>
      <c r="I522" s="152" t="str">
        <f t="shared" si="25"/>
        <v/>
      </c>
      <c r="J522" s="154"/>
      <c r="K522" s="155" t="s">
        <v>2966</v>
      </c>
    </row>
    <row r="523" spans="1:11" hidden="1" x14ac:dyDescent="0.25">
      <c r="A523" s="148" t="s">
        <v>3625</v>
      </c>
      <c r="B523" s="149" t="s">
        <v>3626</v>
      </c>
      <c r="C523" s="150" t="s">
        <v>106</v>
      </c>
      <c r="D523" s="150">
        <v>0</v>
      </c>
      <c r="E523" s="151" t="s">
        <v>13</v>
      </c>
      <c r="F523" s="152" t="str">
        <f t="shared" si="26"/>
        <v/>
      </c>
      <c r="G523" s="153">
        <f>IF($K523="Padrão",BDI!$B$17,IF($K523="Diferenciado",BDI!$E$17,0))</f>
        <v>0.2039</v>
      </c>
      <c r="H523" s="151" t="str">
        <f t="shared" si="24"/>
        <v/>
      </c>
      <c r="I523" s="152" t="str">
        <f t="shared" si="25"/>
        <v/>
      </c>
      <c r="J523" s="154"/>
      <c r="K523" s="155" t="s">
        <v>2966</v>
      </c>
    </row>
    <row r="524" spans="1:11" hidden="1" x14ac:dyDescent="0.25">
      <c r="A524" s="148" t="s">
        <v>3627</v>
      </c>
      <c r="B524" s="149" t="s">
        <v>3628</v>
      </c>
      <c r="C524" s="150" t="s">
        <v>106</v>
      </c>
      <c r="D524" s="150">
        <v>0</v>
      </c>
      <c r="E524" s="151" t="s">
        <v>13</v>
      </c>
      <c r="F524" s="152" t="str">
        <f t="shared" si="26"/>
        <v/>
      </c>
      <c r="G524" s="153">
        <f>IF($K524="Padrão",BDI!$B$17,IF($K524="Diferenciado",BDI!$E$17,0))</f>
        <v>0.2039</v>
      </c>
      <c r="H524" s="151" t="str">
        <f t="shared" si="24"/>
        <v/>
      </c>
      <c r="I524" s="152" t="str">
        <f t="shared" si="25"/>
        <v/>
      </c>
      <c r="J524" s="154"/>
      <c r="K524" s="155" t="s">
        <v>2966</v>
      </c>
    </row>
    <row r="525" spans="1:11" hidden="1" x14ac:dyDescent="0.25">
      <c r="A525" s="148" t="s">
        <v>3629</v>
      </c>
      <c r="B525" s="149" t="s">
        <v>3630</v>
      </c>
      <c r="C525" s="150" t="s">
        <v>106</v>
      </c>
      <c r="D525" s="150">
        <v>0</v>
      </c>
      <c r="E525" s="151" t="s">
        <v>13</v>
      </c>
      <c r="F525" s="152" t="str">
        <f t="shared" si="26"/>
        <v/>
      </c>
      <c r="G525" s="153">
        <f>IF($K525="Padrão",BDI!$B$17,IF($K525="Diferenciado",BDI!$E$17,0))</f>
        <v>0.2039</v>
      </c>
      <c r="H525" s="151" t="str">
        <f t="shared" si="24"/>
        <v/>
      </c>
      <c r="I525" s="152" t="str">
        <f t="shared" si="25"/>
        <v/>
      </c>
      <c r="J525" s="154"/>
      <c r="K525" s="155" t="s">
        <v>2966</v>
      </c>
    </row>
    <row r="526" spans="1:11" hidden="1" x14ac:dyDescent="0.25">
      <c r="A526" s="148" t="s">
        <v>3631</v>
      </c>
      <c r="B526" s="149" t="s">
        <v>3632</v>
      </c>
      <c r="C526" s="150" t="s">
        <v>106</v>
      </c>
      <c r="D526" s="150">
        <v>0</v>
      </c>
      <c r="E526" s="151" t="s">
        <v>13</v>
      </c>
      <c r="F526" s="152" t="str">
        <f t="shared" si="26"/>
        <v/>
      </c>
      <c r="G526" s="153">
        <f>IF($K526="Padrão",BDI!$B$17,IF($K526="Diferenciado",BDI!$E$17,0))</f>
        <v>0.2039</v>
      </c>
      <c r="H526" s="151" t="str">
        <f t="shared" si="24"/>
        <v/>
      </c>
      <c r="I526" s="152" t="str">
        <f t="shared" si="25"/>
        <v/>
      </c>
      <c r="J526" s="154"/>
      <c r="K526" s="155" t="s">
        <v>2966</v>
      </c>
    </row>
    <row r="527" spans="1:11" hidden="1" x14ac:dyDescent="0.25">
      <c r="A527" s="148" t="s">
        <v>3633</v>
      </c>
      <c r="B527" s="149" t="s">
        <v>3634</v>
      </c>
      <c r="C527" s="150" t="s">
        <v>106</v>
      </c>
      <c r="D527" s="150">
        <v>0</v>
      </c>
      <c r="E527" s="151" t="s">
        <v>13</v>
      </c>
      <c r="F527" s="152" t="str">
        <f t="shared" si="26"/>
        <v/>
      </c>
      <c r="G527" s="153">
        <f>IF($K527="Padrão",BDI!$B$17,IF($K527="Diferenciado",BDI!$E$17,0))</f>
        <v>0.2039</v>
      </c>
      <c r="H527" s="151" t="str">
        <f t="shared" si="24"/>
        <v/>
      </c>
      <c r="I527" s="152" t="str">
        <f t="shared" si="25"/>
        <v/>
      </c>
      <c r="J527" s="154"/>
      <c r="K527" s="155" t="s">
        <v>2966</v>
      </c>
    </row>
    <row r="528" spans="1:11" hidden="1" x14ac:dyDescent="0.25">
      <c r="A528" s="148" t="s">
        <v>3635</v>
      </c>
      <c r="B528" s="149" t="s">
        <v>3636</v>
      </c>
      <c r="C528" s="150" t="s">
        <v>106</v>
      </c>
      <c r="D528" s="150">
        <v>0</v>
      </c>
      <c r="E528" s="151" t="s">
        <v>13</v>
      </c>
      <c r="F528" s="152" t="str">
        <f t="shared" si="26"/>
        <v/>
      </c>
      <c r="G528" s="153">
        <f>IF($K528="Padrão",BDI!$B$17,IF($K528="Diferenciado",BDI!$E$17,0))</f>
        <v>0.2039</v>
      </c>
      <c r="H528" s="151" t="str">
        <f t="shared" si="24"/>
        <v/>
      </c>
      <c r="I528" s="152" t="str">
        <f t="shared" si="25"/>
        <v/>
      </c>
      <c r="J528" s="154"/>
      <c r="K528" s="155" t="s">
        <v>2966</v>
      </c>
    </row>
    <row r="529" spans="1:11" hidden="1" x14ac:dyDescent="0.25">
      <c r="A529" s="148" t="s">
        <v>3637</v>
      </c>
      <c r="B529" s="149" t="s">
        <v>3638</v>
      </c>
      <c r="C529" s="150" t="s">
        <v>106</v>
      </c>
      <c r="D529" s="150">
        <v>0</v>
      </c>
      <c r="E529" s="151" t="s">
        <v>13</v>
      </c>
      <c r="F529" s="152" t="str">
        <f t="shared" si="26"/>
        <v/>
      </c>
      <c r="G529" s="153">
        <f>IF($K529="Padrão",BDI!$B$17,IF($K529="Diferenciado",BDI!$E$17,0))</f>
        <v>0.2039</v>
      </c>
      <c r="H529" s="151" t="str">
        <f t="shared" si="24"/>
        <v/>
      </c>
      <c r="I529" s="152" t="str">
        <f t="shared" si="25"/>
        <v/>
      </c>
      <c r="J529" s="154"/>
      <c r="K529" s="155" t="s">
        <v>2966</v>
      </c>
    </row>
    <row r="530" spans="1:11" hidden="1" x14ac:dyDescent="0.25">
      <c r="A530" s="148" t="s">
        <v>3639</v>
      </c>
      <c r="B530" s="149" t="s">
        <v>3640</v>
      </c>
      <c r="C530" s="150" t="s">
        <v>106</v>
      </c>
      <c r="D530" s="150">
        <v>0</v>
      </c>
      <c r="E530" s="151" t="s">
        <v>13</v>
      </c>
      <c r="F530" s="152" t="str">
        <f t="shared" si="26"/>
        <v/>
      </c>
      <c r="G530" s="153">
        <f>IF($K530="Padrão",BDI!$B$17,IF($K530="Diferenciado",BDI!$E$17,0))</f>
        <v>0.2039</v>
      </c>
      <c r="H530" s="151" t="str">
        <f t="shared" si="24"/>
        <v/>
      </c>
      <c r="I530" s="152" t="str">
        <f t="shared" si="25"/>
        <v/>
      </c>
      <c r="J530" s="154"/>
      <c r="K530" s="155" t="s">
        <v>2966</v>
      </c>
    </row>
    <row r="531" spans="1:11" hidden="1" x14ac:dyDescent="0.25">
      <c r="A531" s="148" t="s">
        <v>3641</v>
      </c>
      <c r="B531" s="149" t="s">
        <v>3642</v>
      </c>
      <c r="C531" s="150" t="s">
        <v>106</v>
      </c>
      <c r="D531" s="150">
        <v>0</v>
      </c>
      <c r="E531" s="151" t="s">
        <v>13</v>
      </c>
      <c r="F531" s="152" t="str">
        <f t="shared" si="26"/>
        <v/>
      </c>
      <c r="G531" s="153">
        <f>IF($K531="Padrão",BDI!$B$17,IF($K531="Diferenciado",BDI!$E$17,0))</f>
        <v>0.2039</v>
      </c>
      <c r="H531" s="151" t="str">
        <f t="shared" si="24"/>
        <v/>
      </c>
      <c r="I531" s="152" t="str">
        <f t="shared" si="25"/>
        <v/>
      </c>
      <c r="J531" s="154"/>
      <c r="K531" s="155" t="s">
        <v>2966</v>
      </c>
    </row>
    <row r="532" spans="1:11" hidden="1" x14ac:dyDescent="0.25">
      <c r="A532" s="148" t="s">
        <v>3643</v>
      </c>
      <c r="B532" s="149" t="s">
        <v>3644</v>
      </c>
      <c r="C532" s="150" t="s">
        <v>106</v>
      </c>
      <c r="D532" s="150">
        <v>0</v>
      </c>
      <c r="E532" s="151" t="s">
        <v>13</v>
      </c>
      <c r="F532" s="152" t="str">
        <f t="shared" si="26"/>
        <v/>
      </c>
      <c r="G532" s="153">
        <f>IF($K532="Padrão",BDI!$B$17,IF($K532="Diferenciado",BDI!$E$17,0))</f>
        <v>0.2039</v>
      </c>
      <c r="H532" s="151" t="str">
        <f t="shared" si="24"/>
        <v/>
      </c>
      <c r="I532" s="152" t="str">
        <f t="shared" si="25"/>
        <v/>
      </c>
      <c r="J532" s="154"/>
      <c r="K532" s="155" t="s">
        <v>2966</v>
      </c>
    </row>
    <row r="533" spans="1:11" hidden="1" x14ac:dyDescent="0.25">
      <c r="A533" s="148" t="s">
        <v>3645</v>
      </c>
      <c r="B533" s="149" t="s">
        <v>3646</v>
      </c>
      <c r="C533" s="150" t="s">
        <v>106</v>
      </c>
      <c r="D533" s="150">
        <v>0</v>
      </c>
      <c r="E533" s="151" t="s">
        <v>13</v>
      </c>
      <c r="F533" s="152" t="str">
        <f t="shared" si="26"/>
        <v/>
      </c>
      <c r="G533" s="153">
        <f>IF($K533="Padrão",BDI!$B$17,IF($K533="Diferenciado",BDI!$E$17,0))</f>
        <v>0.2039</v>
      </c>
      <c r="H533" s="151" t="str">
        <f t="shared" si="24"/>
        <v/>
      </c>
      <c r="I533" s="152" t="str">
        <f t="shared" si="25"/>
        <v/>
      </c>
      <c r="J533" s="154"/>
      <c r="K533" s="155" t="s">
        <v>2966</v>
      </c>
    </row>
    <row r="534" spans="1:11" hidden="1" x14ac:dyDescent="0.25">
      <c r="A534" s="148" t="s">
        <v>3647</v>
      </c>
      <c r="B534" s="149" t="s">
        <v>3648</v>
      </c>
      <c r="C534" s="150" t="s">
        <v>106</v>
      </c>
      <c r="D534" s="150">
        <v>0</v>
      </c>
      <c r="E534" s="151" t="s">
        <v>13</v>
      </c>
      <c r="F534" s="152" t="str">
        <f t="shared" si="26"/>
        <v/>
      </c>
      <c r="G534" s="153">
        <f>IF($K534="Padrão",BDI!$B$17,IF($K534="Diferenciado",BDI!$E$17,0))</f>
        <v>0.2039</v>
      </c>
      <c r="H534" s="151" t="str">
        <f t="shared" si="24"/>
        <v/>
      </c>
      <c r="I534" s="152" t="str">
        <f t="shared" si="25"/>
        <v/>
      </c>
      <c r="J534" s="154"/>
      <c r="K534" s="155" t="s">
        <v>2966</v>
      </c>
    </row>
    <row r="535" spans="1:11" hidden="1" x14ac:dyDescent="0.25">
      <c r="A535" s="148" t="s">
        <v>3649</v>
      </c>
      <c r="B535" s="149" t="s">
        <v>3650</v>
      </c>
      <c r="C535" s="150" t="s">
        <v>106</v>
      </c>
      <c r="D535" s="150">
        <v>0</v>
      </c>
      <c r="E535" s="151" t="s">
        <v>13</v>
      </c>
      <c r="F535" s="152" t="str">
        <f t="shared" si="26"/>
        <v/>
      </c>
      <c r="G535" s="153">
        <f>IF($K535="Padrão",BDI!$B$17,IF($K535="Diferenciado",BDI!$E$17,0))</f>
        <v>0.2039</v>
      </c>
      <c r="H535" s="151" t="str">
        <f t="shared" si="24"/>
        <v/>
      </c>
      <c r="I535" s="152" t="str">
        <f t="shared" si="25"/>
        <v/>
      </c>
      <c r="J535" s="154"/>
      <c r="K535" s="155" t="s">
        <v>2966</v>
      </c>
    </row>
    <row r="536" spans="1:11" hidden="1" x14ac:dyDescent="0.25">
      <c r="A536" s="148" t="s">
        <v>3651</v>
      </c>
      <c r="B536" s="149" t="s">
        <v>3652</v>
      </c>
      <c r="C536" s="150" t="s">
        <v>106</v>
      </c>
      <c r="D536" s="150">
        <v>0</v>
      </c>
      <c r="E536" s="151" t="s">
        <v>13</v>
      </c>
      <c r="F536" s="152" t="str">
        <f t="shared" si="26"/>
        <v/>
      </c>
      <c r="G536" s="153">
        <f>IF($K536="Padrão",BDI!$B$17,IF($K536="Diferenciado",BDI!$E$17,0))</f>
        <v>0.2039</v>
      </c>
      <c r="H536" s="151" t="str">
        <f t="shared" si="24"/>
        <v/>
      </c>
      <c r="I536" s="152" t="str">
        <f t="shared" si="25"/>
        <v/>
      </c>
      <c r="J536" s="154"/>
      <c r="K536" s="155" t="s">
        <v>2966</v>
      </c>
    </row>
    <row r="537" spans="1:11" hidden="1" x14ac:dyDescent="0.25">
      <c r="A537" s="148" t="s">
        <v>3653</v>
      </c>
      <c r="B537" s="149" t="s">
        <v>3654</v>
      </c>
      <c r="C537" s="150" t="s">
        <v>106</v>
      </c>
      <c r="D537" s="150">
        <v>0</v>
      </c>
      <c r="E537" s="151" t="s">
        <v>13</v>
      </c>
      <c r="F537" s="152" t="str">
        <f t="shared" si="26"/>
        <v/>
      </c>
      <c r="G537" s="153">
        <f>IF($K537="Padrão",BDI!$B$17,IF($K537="Diferenciado",BDI!$E$17,0))</f>
        <v>0.2039</v>
      </c>
      <c r="H537" s="151" t="str">
        <f t="shared" si="24"/>
        <v/>
      </c>
      <c r="I537" s="152" t="str">
        <f t="shared" si="25"/>
        <v/>
      </c>
      <c r="J537" s="154"/>
      <c r="K537" s="155" t="s">
        <v>2966</v>
      </c>
    </row>
    <row r="538" spans="1:11" hidden="1" x14ac:dyDescent="0.25">
      <c r="A538" s="148" t="s">
        <v>3655</v>
      </c>
      <c r="B538" s="149" t="s">
        <v>3656</v>
      </c>
      <c r="C538" s="150" t="s">
        <v>106</v>
      </c>
      <c r="D538" s="150">
        <v>0</v>
      </c>
      <c r="E538" s="151" t="s">
        <v>13</v>
      </c>
      <c r="F538" s="152" t="str">
        <f t="shared" si="26"/>
        <v/>
      </c>
      <c r="G538" s="153">
        <f>IF($K538="Padrão",BDI!$B$17,IF($K538="Diferenciado",BDI!$E$17,0))</f>
        <v>0.2039</v>
      </c>
      <c r="H538" s="151" t="str">
        <f t="shared" si="24"/>
        <v/>
      </c>
      <c r="I538" s="152" t="str">
        <f t="shared" si="25"/>
        <v/>
      </c>
      <c r="J538" s="154"/>
      <c r="K538" s="155" t="s">
        <v>2966</v>
      </c>
    </row>
    <row r="539" spans="1:11" hidden="1" x14ac:dyDescent="0.25">
      <c r="A539" s="148" t="s">
        <v>3657</v>
      </c>
      <c r="B539" s="149" t="s">
        <v>3658</v>
      </c>
      <c r="C539" s="150" t="s">
        <v>106</v>
      </c>
      <c r="D539" s="150">
        <v>0</v>
      </c>
      <c r="E539" s="151" t="s">
        <v>13</v>
      </c>
      <c r="F539" s="152" t="str">
        <f t="shared" si="26"/>
        <v/>
      </c>
      <c r="G539" s="153">
        <f>IF($K539="Padrão",BDI!$B$17,IF($K539="Diferenciado",BDI!$E$17,0))</f>
        <v>0.2039</v>
      </c>
      <c r="H539" s="151" t="str">
        <f t="shared" si="24"/>
        <v/>
      </c>
      <c r="I539" s="152" t="str">
        <f t="shared" si="25"/>
        <v/>
      </c>
      <c r="J539" s="154"/>
      <c r="K539" s="155" t="s">
        <v>2966</v>
      </c>
    </row>
    <row r="540" spans="1:11" hidden="1" x14ac:dyDescent="0.25">
      <c r="A540" s="148" t="s">
        <v>3659</v>
      </c>
      <c r="B540" s="149" t="s">
        <v>3660</v>
      </c>
      <c r="C540" s="150" t="s">
        <v>106</v>
      </c>
      <c r="D540" s="150">
        <v>0</v>
      </c>
      <c r="E540" s="151" t="s">
        <v>13</v>
      </c>
      <c r="F540" s="152" t="str">
        <f t="shared" si="26"/>
        <v/>
      </c>
      <c r="G540" s="153">
        <f>IF($K540="Padrão",BDI!$B$17,IF($K540="Diferenciado",BDI!$E$17,0))</f>
        <v>0.2039</v>
      </c>
      <c r="H540" s="151" t="str">
        <f t="shared" si="24"/>
        <v/>
      </c>
      <c r="I540" s="152" t="str">
        <f t="shared" si="25"/>
        <v/>
      </c>
      <c r="J540" s="154"/>
      <c r="K540" s="155" t="s">
        <v>2966</v>
      </c>
    </row>
    <row r="541" spans="1:11" hidden="1" x14ac:dyDescent="0.25">
      <c r="A541" s="148" t="s">
        <v>3661</v>
      </c>
      <c r="B541" s="149" t="s">
        <v>3662</v>
      </c>
      <c r="C541" s="150" t="s">
        <v>106</v>
      </c>
      <c r="D541" s="150">
        <v>0</v>
      </c>
      <c r="E541" s="151" t="s">
        <v>13</v>
      </c>
      <c r="F541" s="152" t="str">
        <f t="shared" si="26"/>
        <v/>
      </c>
      <c r="G541" s="153">
        <f>IF($K541="Padrão",BDI!$B$17,IF($K541="Diferenciado",BDI!$E$17,0))</f>
        <v>0.2039</v>
      </c>
      <c r="H541" s="151" t="str">
        <f t="shared" si="24"/>
        <v/>
      </c>
      <c r="I541" s="152" t="str">
        <f t="shared" si="25"/>
        <v/>
      </c>
      <c r="J541" s="154"/>
      <c r="K541" s="155" t="s">
        <v>2966</v>
      </c>
    </row>
    <row r="542" spans="1:11" hidden="1" x14ac:dyDescent="0.25">
      <c r="A542" s="148" t="s">
        <v>3663</v>
      </c>
      <c r="B542" s="149" t="s">
        <v>3664</v>
      </c>
      <c r="C542" s="150" t="s">
        <v>106</v>
      </c>
      <c r="D542" s="150">
        <v>0</v>
      </c>
      <c r="E542" s="151" t="s">
        <v>13</v>
      </c>
      <c r="F542" s="152" t="str">
        <f t="shared" si="26"/>
        <v/>
      </c>
      <c r="G542" s="153">
        <f>IF($K542="Padrão",BDI!$B$17,IF($K542="Diferenciado",BDI!$E$17,0))</f>
        <v>0.2039</v>
      </c>
      <c r="H542" s="151" t="str">
        <f t="shared" si="24"/>
        <v/>
      </c>
      <c r="I542" s="152" t="str">
        <f t="shared" si="25"/>
        <v/>
      </c>
      <c r="J542" s="154"/>
      <c r="K542" s="155" t="s">
        <v>2966</v>
      </c>
    </row>
    <row r="543" spans="1:11" hidden="1" x14ac:dyDescent="0.25">
      <c r="A543" s="148" t="s">
        <v>3665</v>
      </c>
      <c r="B543" s="149" t="s">
        <v>3666</v>
      </c>
      <c r="C543" s="150" t="s">
        <v>18</v>
      </c>
      <c r="D543" s="150">
        <v>0</v>
      </c>
      <c r="E543" s="151" t="s">
        <v>13</v>
      </c>
      <c r="F543" s="152" t="str">
        <f t="shared" si="26"/>
        <v/>
      </c>
      <c r="G543" s="153">
        <f>IF($K543="Padrão",BDI!$B$17,IF($K543="Diferenciado",BDI!$E$17,0))</f>
        <v>0.2039</v>
      </c>
      <c r="H543" s="151" t="str">
        <f t="shared" si="24"/>
        <v/>
      </c>
      <c r="I543" s="152" t="str">
        <f t="shared" si="25"/>
        <v/>
      </c>
      <c r="J543" s="154"/>
      <c r="K543" s="155" t="s">
        <v>2966</v>
      </c>
    </row>
    <row r="544" spans="1:11" hidden="1" x14ac:dyDescent="0.25">
      <c r="A544" s="148" t="s">
        <v>3667</v>
      </c>
      <c r="B544" s="149" t="s">
        <v>3668</v>
      </c>
      <c r="C544" s="150" t="s">
        <v>18</v>
      </c>
      <c r="D544" s="150">
        <v>0</v>
      </c>
      <c r="E544" s="151" t="s">
        <v>13</v>
      </c>
      <c r="F544" s="152" t="str">
        <f t="shared" si="26"/>
        <v/>
      </c>
      <c r="G544" s="153">
        <f>IF($K544="Padrão",BDI!$B$17,IF($K544="Diferenciado",BDI!$E$17,0))</f>
        <v>0.2039</v>
      </c>
      <c r="H544" s="151" t="str">
        <f t="shared" si="24"/>
        <v/>
      </c>
      <c r="I544" s="152" t="str">
        <f t="shared" si="25"/>
        <v/>
      </c>
      <c r="J544" s="154"/>
      <c r="K544" s="155" t="s">
        <v>2966</v>
      </c>
    </row>
    <row r="545" spans="1:11" hidden="1" x14ac:dyDescent="0.25">
      <c r="A545" s="148" t="s">
        <v>3669</v>
      </c>
      <c r="B545" s="149" t="s">
        <v>3670</v>
      </c>
      <c r="C545" s="150" t="s">
        <v>106</v>
      </c>
      <c r="D545" s="150">
        <v>0</v>
      </c>
      <c r="E545" s="151" t="s">
        <v>13</v>
      </c>
      <c r="F545" s="152" t="str">
        <f t="shared" si="26"/>
        <v/>
      </c>
      <c r="G545" s="153">
        <f>IF($K545="Padrão",BDI!$B$17,IF($K545="Diferenciado",BDI!$E$17,0))</f>
        <v>0.2039</v>
      </c>
      <c r="H545" s="151" t="str">
        <f t="shared" si="24"/>
        <v/>
      </c>
      <c r="I545" s="152" t="str">
        <f t="shared" si="25"/>
        <v/>
      </c>
      <c r="J545" s="154"/>
      <c r="K545" s="155" t="s">
        <v>2966</v>
      </c>
    </row>
    <row r="546" spans="1:11" hidden="1" x14ac:dyDescent="0.25">
      <c r="A546" s="148" t="s">
        <v>3671</v>
      </c>
      <c r="B546" s="149" t="s">
        <v>3672</v>
      </c>
      <c r="C546" s="150" t="s">
        <v>106</v>
      </c>
      <c r="D546" s="150">
        <v>0</v>
      </c>
      <c r="E546" s="151" t="s">
        <v>13</v>
      </c>
      <c r="F546" s="152" t="str">
        <f t="shared" si="26"/>
        <v/>
      </c>
      <c r="G546" s="153">
        <f>IF($K546="Padrão",BDI!$B$17,IF($K546="Diferenciado",BDI!$E$17,0))</f>
        <v>0.2039</v>
      </c>
      <c r="H546" s="151" t="str">
        <f t="shared" si="24"/>
        <v/>
      </c>
      <c r="I546" s="152" t="str">
        <f t="shared" si="25"/>
        <v/>
      </c>
      <c r="J546" s="154"/>
      <c r="K546" s="155" t="s">
        <v>2966</v>
      </c>
    </row>
    <row r="547" spans="1:11" hidden="1" x14ac:dyDescent="0.25">
      <c r="A547" s="148" t="s">
        <v>3673</v>
      </c>
      <c r="B547" s="149" t="s">
        <v>3674</v>
      </c>
      <c r="C547" s="150" t="s">
        <v>106</v>
      </c>
      <c r="D547" s="150">
        <v>0</v>
      </c>
      <c r="E547" s="151" t="s">
        <v>13</v>
      </c>
      <c r="F547" s="152" t="str">
        <f t="shared" si="26"/>
        <v/>
      </c>
      <c r="G547" s="153">
        <f>IF($K547="Padrão",BDI!$B$17,IF($K547="Diferenciado",BDI!$E$17,0))</f>
        <v>0.2039</v>
      </c>
      <c r="H547" s="151" t="str">
        <f t="shared" si="24"/>
        <v/>
      </c>
      <c r="I547" s="152" t="str">
        <f t="shared" si="25"/>
        <v/>
      </c>
      <c r="J547" s="154"/>
      <c r="K547" s="155" t="s">
        <v>2966</v>
      </c>
    </row>
    <row r="548" spans="1:11" hidden="1" x14ac:dyDescent="0.25">
      <c r="A548" s="148" t="s">
        <v>3675</v>
      </c>
      <c r="B548" s="149" t="s">
        <v>3676</v>
      </c>
      <c r="C548" s="150" t="s">
        <v>106</v>
      </c>
      <c r="D548" s="150">
        <v>0</v>
      </c>
      <c r="E548" s="151" t="s">
        <v>13</v>
      </c>
      <c r="F548" s="152" t="str">
        <f t="shared" si="26"/>
        <v/>
      </c>
      <c r="G548" s="153">
        <f>IF($K548="Padrão",BDI!$B$17,IF($K548="Diferenciado",BDI!$E$17,0))</f>
        <v>0.2039</v>
      </c>
      <c r="H548" s="151" t="str">
        <f t="shared" si="24"/>
        <v/>
      </c>
      <c r="I548" s="152" t="str">
        <f t="shared" si="25"/>
        <v/>
      </c>
      <c r="J548" s="154"/>
      <c r="K548" s="155" t="s">
        <v>2966</v>
      </c>
    </row>
    <row r="549" spans="1:11" hidden="1" x14ac:dyDescent="0.25">
      <c r="A549" s="148" t="s">
        <v>3677</v>
      </c>
      <c r="B549" s="149" t="s">
        <v>3678</v>
      </c>
      <c r="C549" s="150" t="s">
        <v>106</v>
      </c>
      <c r="D549" s="150">
        <v>0</v>
      </c>
      <c r="E549" s="151" t="s">
        <v>13</v>
      </c>
      <c r="F549" s="152" t="str">
        <f t="shared" si="26"/>
        <v/>
      </c>
      <c r="G549" s="153">
        <f>IF($K549="Padrão",BDI!$B$17,IF($K549="Diferenciado",BDI!$E$17,0))</f>
        <v>0.2039</v>
      </c>
      <c r="H549" s="151" t="str">
        <f t="shared" si="24"/>
        <v/>
      </c>
      <c r="I549" s="152" t="str">
        <f t="shared" si="25"/>
        <v/>
      </c>
      <c r="J549" s="154"/>
      <c r="K549" s="155" t="s">
        <v>2966</v>
      </c>
    </row>
    <row r="550" spans="1:11" hidden="1" x14ac:dyDescent="0.25">
      <c r="A550" s="148" t="s">
        <v>3679</v>
      </c>
      <c r="B550" s="149" t="s">
        <v>3680</v>
      </c>
      <c r="C550" s="150" t="s">
        <v>106</v>
      </c>
      <c r="D550" s="150">
        <v>0</v>
      </c>
      <c r="E550" s="151" t="s">
        <v>13</v>
      </c>
      <c r="F550" s="152" t="str">
        <f t="shared" si="26"/>
        <v/>
      </c>
      <c r="G550" s="153">
        <f>IF($K550="Padrão",BDI!$B$17,IF($K550="Diferenciado",BDI!$E$17,0))</f>
        <v>0.2039</v>
      </c>
      <c r="H550" s="151" t="str">
        <f t="shared" si="24"/>
        <v/>
      </c>
      <c r="I550" s="152" t="str">
        <f t="shared" si="25"/>
        <v/>
      </c>
      <c r="J550" s="154"/>
      <c r="K550" s="155" t="s">
        <v>2966</v>
      </c>
    </row>
    <row r="551" spans="1:11" hidden="1" x14ac:dyDescent="0.25">
      <c r="A551" s="148" t="s">
        <v>3681</v>
      </c>
      <c r="B551" s="149" t="s">
        <v>3682</v>
      </c>
      <c r="C551" s="150" t="s">
        <v>106</v>
      </c>
      <c r="D551" s="150">
        <v>0</v>
      </c>
      <c r="E551" s="151" t="s">
        <v>13</v>
      </c>
      <c r="F551" s="152" t="str">
        <f t="shared" si="26"/>
        <v/>
      </c>
      <c r="G551" s="153">
        <f>IF($K551="Padrão",BDI!$B$17,IF($K551="Diferenciado",BDI!$E$17,0))</f>
        <v>0.2039</v>
      </c>
      <c r="H551" s="151" t="str">
        <f t="shared" si="24"/>
        <v/>
      </c>
      <c r="I551" s="152" t="str">
        <f t="shared" si="25"/>
        <v/>
      </c>
      <c r="J551" s="154"/>
      <c r="K551" s="155" t="s">
        <v>2966</v>
      </c>
    </row>
    <row r="552" spans="1:11" hidden="1" x14ac:dyDescent="0.25">
      <c r="A552" s="148" t="s">
        <v>3683</v>
      </c>
      <c r="B552" s="149" t="s">
        <v>3684</v>
      </c>
      <c r="C552" s="150" t="s">
        <v>106</v>
      </c>
      <c r="D552" s="150">
        <v>0</v>
      </c>
      <c r="E552" s="151" t="s">
        <v>13</v>
      </c>
      <c r="F552" s="152" t="str">
        <f t="shared" si="26"/>
        <v/>
      </c>
      <c r="G552" s="153">
        <f>IF($K552="Padrão",BDI!$B$17,IF($K552="Diferenciado",BDI!$E$17,0))</f>
        <v>0.2039</v>
      </c>
      <c r="H552" s="151" t="str">
        <f t="shared" si="24"/>
        <v/>
      </c>
      <c r="I552" s="152" t="str">
        <f t="shared" si="25"/>
        <v/>
      </c>
      <c r="J552" s="154"/>
      <c r="K552" s="155" t="s">
        <v>2966</v>
      </c>
    </row>
    <row r="553" spans="1:11" hidden="1" x14ac:dyDescent="0.25">
      <c r="A553" s="148" t="s">
        <v>3685</v>
      </c>
      <c r="B553" s="149" t="s">
        <v>3686</v>
      </c>
      <c r="C553" s="150" t="s">
        <v>106</v>
      </c>
      <c r="D553" s="150">
        <v>0</v>
      </c>
      <c r="E553" s="151" t="s">
        <v>13</v>
      </c>
      <c r="F553" s="152" t="str">
        <f t="shared" si="26"/>
        <v/>
      </c>
      <c r="G553" s="153">
        <f>IF($K553="Padrão",BDI!$B$17,IF($K553="Diferenciado",BDI!$E$17,0))</f>
        <v>0.2039</v>
      </c>
      <c r="H553" s="151" t="str">
        <f t="shared" si="24"/>
        <v/>
      </c>
      <c r="I553" s="152" t="str">
        <f t="shared" si="25"/>
        <v/>
      </c>
      <c r="J553" s="154"/>
      <c r="K553" s="155" t="s">
        <v>2966</v>
      </c>
    </row>
    <row r="554" spans="1:11" hidden="1" x14ac:dyDescent="0.25">
      <c r="A554" s="148" t="s">
        <v>3687</v>
      </c>
      <c r="B554" s="149" t="s">
        <v>3688</v>
      </c>
      <c r="C554" s="150" t="s">
        <v>106</v>
      </c>
      <c r="D554" s="150">
        <v>0</v>
      </c>
      <c r="E554" s="151" t="s">
        <v>13</v>
      </c>
      <c r="F554" s="152" t="str">
        <f t="shared" si="26"/>
        <v/>
      </c>
      <c r="G554" s="153">
        <f>IF($K554="Padrão",BDI!$B$17,IF($K554="Diferenciado",BDI!$E$17,0))</f>
        <v>0.2039</v>
      </c>
      <c r="H554" s="151" t="str">
        <f t="shared" si="24"/>
        <v/>
      </c>
      <c r="I554" s="152" t="str">
        <f t="shared" si="25"/>
        <v/>
      </c>
      <c r="J554" s="154"/>
      <c r="K554" s="155" t="s">
        <v>2966</v>
      </c>
    </row>
    <row r="555" spans="1:11" hidden="1" x14ac:dyDescent="0.25">
      <c r="A555" s="148" t="s">
        <v>3689</v>
      </c>
      <c r="B555" s="149" t="s">
        <v>3690</v>
      </c>
      <c r="C555" s="150" t="s">
        <v>106</v>
      </c>
      <c r="D555" s="150">
        <v>0</v>
      </c>
      <c r="E555" s="151" t="s">
        <v>13</v>
      </c>
      <c r="F555" s="152" t="str">
        <f t="shared" si="26"/>
        <v/>
      </c>
      <c r="G555" s="153">
        <f>IF($K555="Padrão",BDI!$B$17,IF($K555="Diferenciado",BDI!$E$17,0))</f>
        <v>0.2039</v>
      </c>
      <c r="H555" s="151" t="str">
        <f t="shared" si="24"/>
        <v/>
      </c>
      <c r="I555" s="152" t="str">
        <f t="shared" si="25"/>
        <v/>
      </c>
      <c r="J555" s="154"/>
      <c r="K555" s="155" t="s">
        <v>2966</v>
      </c>
    </row>
    <row r="556" spans="1:11" hidden="1" x14ac:dyDescent="0.25">
      <c r="A556" s="148" t="s">
        <v>3691</v>
      </c>
      <c r="B556" s="149" t="s">
        <v>3692</v>
      </c>
      <c r="C556" s="150" t="s">
        <v>106</v>
      </c>
      <c r="D556" s="150">
        <v>0</v>
      </c>
      <c r="E556" s="151" t="s">
        <v>13</v>
      </c>
      <c r="F556" s="152" t="str">
        <f t="shared" si="26"/>
        <v/>
      </c>
      <c r="G556" s="153">
        <f>IF($K556="Padrão",BDI!$B$17,IF($K556="Diferenciado",BDI!$E$17,0))</f>
        <v>0.2039</v>
      </c>
      <c r="H556" s="151" t="str">
        <f t="shared" si="24"/>
        <v/>
      </c>
      <c r="I556" s="152" t="str">
        <f t="shared" si="25"/>
        <v/>
      </c>
      <c r="J556" s="154"/>
      <c r="K556" s="155" t="s">
        <v>2966</v>
      </c>
    </row>
    <row r="557" spans="1:11" hidden="1" x14ac:dyDescent="0.25">
      <c r="A557" s="148" t="s">
        <v>3693</v>
      </c>
      <c r="B557" s="149" t="s">
        <v>3694</v>
      </c>
      <c r="C557" s="150" t="s">
        <v>106</v>
      </c>
      <c r="D557" s="150">
        <v>0</v>
      </c>
      <c r="E557" s="151" t="s">
        <v>13</v>
      </c>
      <c r="F557" s="152" t="str">
        <f t="shared" si="26"/>
        <v/>
      </c>
      <c r="G557" s="153">
        <f>IF($K557="Padrão",BDI!$B$17,IF($K557="Diferenciado",BDI!$E$17,0))</f>
        <v>0.2039</v>
      </c>
      <c r="H557" s="151" t="str">
        <f t="shared" si="24"/>
        <v/>
      </c>
      <c r="I557" s="152" t="str">
        <f t="shared" si="25"/>
        <v/>
      </c>
      <c r="J557" s="154"/>
      <c r="K557" s="155" t="s">
        <v>2966</v>
      </c>
    </row>
    <row r="558" spans="1:11" hidden="1" x14ac:dyDescent="0.25">
      <c r="A558" s="148" t="s">
        <v>3695</v>
      </c>
      <c r="B558" s="149" t="s">
        <v>3696</v>
      </c>
      <c r="C558" s="150" t="s">
        <v>106</v>
      </c>
      <c r="D558" s="150">
        <v>0</v>
      </c>
      <c r="E558" s="151" t="s">
        <v>13</v>
      </c>
      <c r="F558" s="152" t="str">
        <f t="shared" si="26"/>
        <v/>
      </c>
      <c r="G558" s="153">
        <f>IF($K558="Padrão",BDI!$B$17,IF($K558="Diferenciado",BDI!$E$17,0))</f>
        <v>0.2039</v>
      </c>
      <c r="H558" s="151" t="str">
        <f t="shared" si="24"/>
        <v/>
      </c>
      <c r="I558" s="152" t="str">
        <f t="shared" si="25"/>
        <v/>
      </c>
      <c r="J558" s="154"/>
      <c r="K558" s="155" t="s">
        <v>2966</v>
      </c>
    </row>
    <row r="559" spans="1:11" hidden="1" x14ac:dyDescent="0.25">
      <c r="A559" s="148" t="s">
        <v>3697</v>
      </c>
      <c r="B559" s="149" t="s">
        <v>3698</v>
      </c>
      <c r="C559" s="150" t="s">
        <v>106</v>
      </c>
      <c r="D559" s="150">
        <v>0</v>
      </c>
      <c r="E559" s="151" t="s">
        <v>13</v>
      </c>
      <c r="F559" s="152" t="str">
        <f t="shared" si="26"/>
        <v/>
      </c>
      <c r="G559" s="153">
        <f>IF($K559="Padrão",BDI!$B$17,IF($K559="Diferenciado",BDI!$E$17,0))</f>
        <v>0.2039</v>
      </c>
      <c r="H559" s="151" t="str">
        <f t="shared" si="24"/>
        <v/>
      </c>
      <c r="I559" s="152" t="str">
        <f t="shared" si="25"/>
        <v/>
      </c>
      <c r="J559" s="154"/>
      <c r="K559" s="155" t="s">
        <v>2966</v>
      </c>
    </row>
    <row r="560" spans="1:11" hidden="1" x14ac:dyDescent="0.25">
      <c r="A560" s="148" t="s">
        <v>3699</v>
      </c>
      <c r="B560" s="149" t="s">
        <v>3700</v>
      </c>
      <c r="C560" s="150" t="s">
        <v>106</v>
      </c>
      <c r="D560" s="150">
        <v>0</v>
      </c>
      <c r="E560" s="151" t="s">
        <v>13</v>
      </c>
      <c r="F560" s="152" t="str">
        <f t="shared" si="26"/>
        <v/>
      </c>
      <c r="G560" s="153">
        <f>IF($K560="Padrão",BDI!$B$17,IF($K560="Diferenciado",BDI!$E$17,0))</f>
        <v>0.2039</v>
      </c>
      <c r="H560" s="151" t="str">
        <f t="shared" si="24"/>
        <v/>
      </c>
      <c r="I560" s="152" t="str">
        <f t="shared" si="25"/>
        <v/>
      </c>
      <c r="J560" s="154"/>
      <c r="K560" s="155" t="s">
        <v>2966</v>
      </c>
    </row>
    <row r="561" spans="1:11" ht="25.5" hidden="1" x14ac:dyDescent="0.25">
      <c r="A561" s="148" t="s">
        <v>3701</v>
      </c>
      <c r="B561" s="149" t="s">
        <v>3702</v>
      </c>
      <c r="C561" s="150" t="s">
        <v>3703</v>
      </c>
      <c r="D561" s="150">
        <v>0</v>
      </c>
      <c r="E561" s="151" t="s">
        <v>13</v>
      </c>
      <c r="F561" s="152" t="str">
        <f t="shared" si="26"/>
        <v/>
      </c>
      <c r="G561" s="153">
        <f>IF($K561="Padrão",BDI!$B$17,IF($K561="Diferenciado",BDI!$E$17,0))</f>
        <v>0.2039</v>
      </c>
      <c r="H561" s="151" t="str">
        <f t="shared" si="24"/>
        <v/>
      </c>
      <c r="I561" s="152" t="str">
        <f t="shared" si="25"/>
        <v/>
      </c>
      <c r="J561" s="154"/>
      <c r="K561" s="155" t="s">
        <v>2966</v>
      </c>
    </row>
    <row r="562" spans="1:11" ht="25.5" hidden="1" x14ac:dyDescent="0.25">
      <c r="A562" s="148" t="s">
        <v>636</v>
      </c>
      <c r="B562" s="149" t="s">
        <v>3704</v>
      </c>
      <c r="C562" s="150" t="s">
        <v>68</v>
      </c>
      <c r="D562" s="150">
        <v>0</v>
      </c>
      <c r="E562" s="151">
        <f ca="1">OFFSET(INDEX(Composições!A:H,MATCH(Orçamentária!A562,Composições!A:A,0),8),2,0)</f>
        <v>4.4175000000000004</v>
      </c>
      <c r="F562" s="152">
        <f t="shared" ca="1" si="26"/>
        <v>0</v>
      </c>
      <c r="G562" s="153">
        <f>IF($K562="Padrão",BDI!$B$17,IF($K562="Diferenciado",BDI!$E$17,0))</f>
        <v>0.2039</v>
      </c>
      <c r="H562" s="151">
        <f t="shared" ca="1" si="24"/>
        <v>5.32</v>
      </c>
      <c r="I562" s="152">
        <f t="shared" ca="1" si="25"/>
        <v>0</v>
      </c>
      <c r="J562" s="154"/>
      <c r="K562" s="155" t="s">
        <v>2966</v>
      </c>
    </row>
    <row r="563" spans="1:11" hidden="1" x14ac:dyDescent="0.25">
      <c r="A563" s="148" t="s">
        <v>3705</v>
      </c>
      <c r="B563" s="149" t="s">
        <v>3706</v>
      </c>
      <c r="C563" s="150" t="s">
        <v>68</v>
      </c>
      <c r="D563" s="150">
        <v>0</v>
      </c>
      <c r="E563" s="151" t="s">
        <v>13</v>
      </c>
      <c r="F563" s="152" t="str">
        <f t="shared" si="26"/>
        <v/>
      </c>
      <c r="G563" s="153">
        <f>IF($K563="Padrão",BDI!$B$17,IF($K563="Diferenciado",BDI!$E$17,0))</f>
        <v>0.2039</v>
      </c>
      <c r="H563" s="151" t="str">
        <f t="shared" si="24"/>
        <v/>
      </c>
      <c r="I563" s="152" t="str">
        <f t="shared" si="25"/>
        <v/>
      </c>
      <c r="J563" s="154"/>
      <c r="K563" s="155" t="s">
        <v>2966</v>
      </c>
    </row>
    <row r="564" spans="1:11" hidden="1" x14ac:dyDescent="0.25">
      <c r="A564" s="148" t="s">
        <v>637</v>
      </c>
      <c r="B564" s="149" t="s">
        <v>3707</v>
      </c>
      <c r="C564" s="150" t="s">
        <v>72</v>
      </c>
      <c r="D564" s="150">
        <v>0</v>
      </c>
      <c r="E564" s="151">
        <f ca="1">OFFSET(INDEX(Composições!A:H,MATCH(Orçamentária!A564,Composições!A:A,0),8),2,0)</f>
        <v>24.975499999999997</v>
      </c>
      <c r="F564" s="152">
        <f t="shared" ca="1" si="26"/>
        <v>0</v>
      </c>
      <c r="G564" s="153">
        <f>IF($K564="Padrão",BDI!$B$17,IF($K564="Diferenciado",BDI!$E$17,0))</f>
        <v>0.2039</v>
      </c>
      <c r="H564" s="151">
        <f t="shared" ca="1" si="24"/>
        <v>30.07</v>
      </c>
      <c r="I564" s="152">
        <f t="shared" ca="1" si="25"/>
        <v>0</v>
      </c>
      <c r="J564" s="154"/>
      <c r="K564" s="155" t="s">
        <v>2966</v>
      </c>
    </row>
    <row r="565" spans="1:11" hidden="1" x14ac:dyDescent="0.25">
      <c r="A565" s="148" t="s">
        <v>3708</v>
      </c>
      <c r="B565" s="149" t="s">
        <v>3709</v>
      </c>
      <c r="C565" s="150" t="s">
        <v>72</v>
      </c>
      <c r="D565" s="150">
        <v>0</v>
      </c>
      <c r="E565" s="151" t="s">
        <v>13</v>
      </c>
      <c r="F565" s="152" t="str">
        <f t="shared" si="26"/>
        <v/>
      </c>
      <c r="G565" s="153">
        <f>IF($K565="Padrão",BDI!$B$17,IF($K565="Diferenciado",BDI!$E$17,0))</f>
        <v>0.2039</v>
      </c>
      <c r="H565" s="151" t="str">
        <f t="shared" si="24"/>
        <v/>
      </c>
      <c r="I565" s="152" t="str">
        <f t="shared" si="25"/>
        <v/>
      </c>
      <c r="J565" s="154"/>
      <c r="K565" s="155" t="s">
        <v>2966</v>
      </c>
    </row>
    <row r="566" spans="1:11" hidden="1" x14ac:dyDescent="0.25">
      <c r="A566" s="148" t="s">
        <v>638</v>
      </c>
      <c r="B566" s="149" t="s">
        <v>3710</v>
      </c>
      <c r="C566" s="150" t="s">
        <v>68</v>
      </c>
      <c r="D566" s="150">
        <v>0</v>
      </c>
      <c r="E566" s="151">
        <f ca="1">OFFSET(INDEX(Composições!A:H,MATCH(Orçamentária!A566,Composições!A:A,0),8),2,0)</f>
        <v>31.463999999999995</v>
      </c>
      <c r="F566" s="152">
        <f t="shared" ca="1" si="26"/>
        <v>0</v>
      </c>
      <c r="G566" s="153">
        <f>IF($K566="Padrão",BDI!$B$17,IF($K566="Diferenciado",BDI!$E$17,0))</f>
        <v>0.2039</v>
      </c>
      <c r="H566" s="151">
        <f t="shared" ca="1" si="24"/>
        <v>37.880000000000003</v>
      </c>
      <c r="I566" s="152">
        <f t="shared" ca="1" si="25"/>
        <v>0</v>
      </c>
      <c r="J566" s="154"/>
      <c r="K566" s="155" t="s">
        <v>2966</v>
      </c>
    </row>
    <row r="567" spans="1:11" hidden="1" x14ac:dyDescent="0.25">
      <c r="A567" s="148" t="s">
        <v>639</v>
      </c>
      <c r="B567" s="149" t="s">
        <v>3711</v>
      </c>
      <c r="C567" s="150" t="s">
        <v>18</v>
      </c>
      <c r="D567" s="150">
        <v>0</v>
      </c>
      <c r="E567" s="151">
        <f ca="1">OFFSET(INDEX(Composições!A:H,MATCH(Orçamentária!A567,Composições!A:A,0),8),2,0)</f>
        <v>11.1112</v>
      </c>
      <c r="F567" s="152">
        <f t="shared" ca="1" si="26"/>
        <v>0</v>
      </c>
      <c r="G567" s="153">
        <f>IF($K567="Padrão",BDI!$B$17,IF($K567="Diferenciado",BDI!$E$17,0))</f>
        <v>0.2039</v>
      </c>
      <c r="H567" s="151">
        <f t="shared" ca="1" si="24"/>
        <v>13.38</v>
      </c>
      <c r="I567" s="152">
        <f t="shared" ca="1" si="25"/>
        <v>0</v>
      </c>
      <c r="J567" s="154"/>
      <c r="K567" s="155" t="s">
        <v>2966</v>
      </c>
    </row>
    <row r="568" spans="1:11" hidden="1" x14ac:dyDescent="0.25">
      <c r="A568" s="148" t="s">
        <v>640</v>
      </c>
      <c r="B568" s="149" t="s">
        <v>3712</v>
      </c>
      <c r="C568" s="150" t="s">
        <v>3713</v>
      </c>
      <c r="D568" s="150">
        <v>0</v>
      </c>
      <c r="E568" s="151">
        <f ca="1">OFFSET(INDEX(Composições!A:H,MATCH(Orçamentária!A568,Composições!A:A,0),8),2,0)</f>
        <v>23.939999999999998</v>
      </c>
      <c r="F568" s="152">
        <f t="shared" ca="1" si="26"/>
        <v>0</v>
      </c>
      <c r="G568" s="153">
        <f>IF($K568="Padrão",BDI!$B$17,IF($K568="Diferenciado",BDI!$E$17,0))</f>
        <v>0.2039</v>
      </c>
      <c r="H568" s="151">
        <f t="shared" ca="1" si="24"/>
        <v>28.82</v>
      </c>
      <c r="I568" s="152">
        <f t="shared" ca="1" si="25"/>
        <v>0</v>
      </c>
      <c r="J568" s="154"/>
      <c r="K568" s="155" t="s">
        <v>2966</v>
      </c>
    </row>
    <row r="569" spans="1:11" hidden="1" x14ac:dyDescent="0.25">
      <c r="A569" s="148" t="s">
        <v>641</v>
      </c>
      <c r="B569" s="149" t="s">
        <v>3714</v>
      </c>
      <c r="C569" s="150" t="s">
        <v>3713</v>
      </c>
      <c r="D569" s="150">
        <v>0</v>
      </c>
      <c r="E569" s="151">
        <f ca="1">OFFSET(INDEX(Composições!A:H,MATCH(Orçamentária!A569,Composições!A:A,0),8),2,0)</f>
        <v>25.08</v>
      </c>
      <c r="F569" s="152">
        <f t="shared" ca="1" si="26"/>
        <v>0</v>
      </c>
      <c r="G569" s="153">
        <f>IF($K569="Padrão",BDI!$B$17,IF($K569="Diferenciado",BDI!$E$17,0))</f>
        <v>0.2039</v>
      </c>
      <c r="H569" s="151">
        <f t="shared" ca="1" si="24"/>
        <v>30.19</v>
      </c>
      <c r="I569" s="152">
        <f t="shared" ca="1" si="25"/>
        <v>0</v>
      </c>
      <c r="J569" s="154"/>
      <c r="K569" s="155" t="s">
        <v>2966</v>
      </c>
    </row>
    <row r="570" spans="1:11" hidden="1" x14ac:dyDescent="0.25">
      <c r="A570" s="148" t="s">
        <v>642</v>
      </c>
      <c r="B570" s="149" t="s">
        <v>3715</v>
      </c>
      <c r="C570" s="150" t="s">
        <v>3716</v>
      </c>
      <c r="D570" s="150">
        <v>0</v>
      </c>
      <c r="E570" s="151">
        <f ca="1">OFFSET(INDEX(Composições!A:H,MATCH(Orçamentária!A570,Composições!A:A,0),8),2,0)</f>
        <v>32.300000000000004</v>
      </c>
      <c r="F570" s="152">
        <f t="shared" ca="1" si="26"/>
        <v>0</v>
      </c>
      <c r="G570" s="153">
        <f>IF($K570="Padrão",BDI!$B$17,IF($K570="Diferenciado",BDI!$E$17,0))</f>
        <v>0.2039</v>
      </c>
      <c r="H570" s="151">
        <f t="shared" ca="1" si="24"/>
        <v>38.89</v>
      </c>
      <c r="I570" s="152">
        <f t="shared" ca="1" si="25"/>
        <v>0</v>
      </c>
      <c r="J570" s="154"/>
      <c r="K570" s="155" t="s">
        <v>2966</v>
      </c>
    </row>
    <row r="571" spans="1:11" hidden="1" x14ac:dyDescent="0.25">
      <c r="A571" s="148" t="s">
        <v>643</v>
      </c>
      <c r="B571" s="149" t="s">
        <v>3717</v>
      </c>
      <c r="C571" s="150" t="s">
        <v>3718</v>
      </c>
      <c r="D571" s="150">
        <v>0</v>
      </c>
      <c r="E571" s="151">
        <f ca="1">OFFSET(INDEX(Composições!A:H,MATCH(Orçamentária!A571,Composições!A:A,0),8),2,0)</f>
        <v>35.53</v>
      </c>
      <c r="F571" s="152">
        <f t="shared" ca="1" si="26"/>
        <v>0</v>
      </c>
      <c r="G571" s="153">
        <f>IF($K571="Padrão",BDI!$B$17,IF($K571="Diferenciado",BDI!$E$17,0))</f>
        <v>0.2039</v>
      </c>
      <c r="H571" s="151">
        <f t="shared" ca="1" si="24"/>
        <v>42.77</v>
      </c>
      <c r="I571" s="152">
        <f t="shared" ca="1" si="25"/>
        <v>0</v>
      </c>
      <c r="J571" s="154"/>
      <c r="K571" s="155" t="s">
        <v>2966</v>
      </c>
    </row>
    <row r="572" spans="1:11" hidden="1" x14ac:dyDescent="0.25">
      <c r="A572" s="148" t="s">
        <v>644</v>
      </c>
      <c r="B572" s="149" t="s">
        <v>3719</v>
      </c>
      <c r="C572" s="150" t="s">
        <v>3713</v>
      </c>
      <c r="D572" s="150">
        <v>0</v>
      </c>
      <c r="E572" s="151">
        <f ca="1">OFFSET(INDEX(Composições!A:H,MATCH(Orçamentária!A572,Composições!A:A,0),8),2,0)</f>
        <v>28.499999999999996</v>
      </c>
      <c r="F572" s="152">
        <f t="shared" ca="1" si="26"/>
        <v>0</v>
      </c>
      <c r="G572" s="153">
        <f>IF($K572="Padrão",BDI!$B$17,IF($K572="Diferenciado",BDI!$E$17,0))</f>
        <v>0.2039</v>
      </c>
      <c r="H572" s="151">
        <f t="shared" ca="1" si="24"/>
        <v>34.31</v>
      </c>
      <c r="I572" s="152">
        <f t="shared" ca="1" si="25"/>
        <v>0</v>
      </c>
      <c r="J572" s="154"/>
      <c r="K572" s="155" t="s">
        <v>2966</v>
      </c>
    </row>
    <row r="573" spans="1:11" hidden="1" x14ac:dyDescent="0.25">
      <c r="A573" s="148" t="s">
        <v>645</v>
      </c>
      <c r="B573" s="149" t="s">
        <v>3720</v>
      </c>
      <c r="C573" s="150" t="s">
        <v>1788</v>
      </c>
      <c r="D573" s="150">
        <v>0</v>
      </c>
      <c r="E573" s="151">
        <f ca="1">OFFSET(INDEX(Composições!A:H,MATCH(Orçamentária!A573,Composições!A:A,0),8),2,0)</f>
        <v>247.31711474999997</v>
      </c>
      <c r="F573" s="152">
        <f t="shared" ca="1" si="26"/>
        <v>0</v>
      </c>
      <c r="G573" s="153">
        <f>IF($K573="Padrão",BDI!$B$17,IF($K573="Diferenciado",BDI!$E$17,0))</f>
        <v>0.2039</v>
      </c>
      <c r="H573" s="151">
        <f t="shared" ca="1" si="24"/>
        <v>297.75</v>
      </c>
      <c r="I573" s="152">
        <f t="shared" ca="1" si="25"/>
        <v>0</v>
      </c>
      <c r="J573" s="154"/>
      <c r="K573" s="155" t="s">
        <v>2966</v>
      </c>
    </row>
    <row r="574" spans="1:11" hidden="1" x14ac:dyDescent="0.25">
      <c r="A574" s="148" t="s">
        <v>647</v>
      </c>
      <c r="B574" s="149" t="s">
        <v>3721</v>
      </c>
      <c r="C574" s="150" t="s">
        <v>1788</v>
      </c>
      <c r="D574" s="150">
        <v>0</v>
      </c>
      <c r="E574" s="151">
        <f ca="1">OFFSET(INDEX(Composições!A:H,MATCH(Orçamentária!A574,Composições!A:A,0),8),2,0)</f>
        <v>272.53961475</v>
      </c>
      <c r="F574" s="152">
        <f t="shared" ca="1" si="26"/>
        <v>0</v>
      </c>
      <c r="G574" s="153">
        <f>IF($K574="Padrão",BDI!$B$17,IF($K574="Diferenciado",BDI!$E$17,0))</f>
        <v>0.2039</v>
      </c>
      <c r="H574" s="151">
        <f t="shared" ca="1" si="24"/>
        <v>328.11</v>
      </c>
      <c r="I574" s="152">
        <f t="shared" ca="1" si="25"/>
        <v>0</v>
      </c>
      <c r="J574" s="154"/>
      <c r="K574" s="155" t="s">
        <v>2966</v>
      </c>
    </row>
    <row r="575" spans="1:11" hidden="1" x14ac:dyDescent="0.25">
      <c r="A575" s="148" t="s">
        <v>649</v>
      </c>
      <c r="B575" s="149" t="s">
        <v>3722</v>
      </c>
      <c r="C575" s="150" t="s">
        <v>1788</v>
      </c>
      <c r="D575" s="150">
        <v>0</v>
      </c>
      <c r="E575" s="151">
        <f ca="1">OFFSET(INDEX(Composições!A:H,MATCH(Orçamentária!A575,Composições!A:A,0),8),2,0)</f>
        <v>242.43411474999999</v>
      </c>
      <c r="F575" s="152">
        <f t="shared" ca="1" si="26"/>
        <v>0</v>
      </c>
      <c r="G575" s="153">
        <f>IF($K575="Padrão",BDI!$B$17,IF($K575="Diferenciado",BDI!$E$17,0))</f>
        <v>0.2039</v>
      </c>
      <c r="H575" s="151">
        <f t="shared" ca="1" si="24"/>
        <v>291.87</v>
      </c>
      <c r="I575" s="152">
        <f t="shared" ca="1" si="25"/>
        <v>0</v>
      </c>
      <c r="J575" s="154"/>
      <c r="K575" s="155" t="s">
        <v>2966</v>
      </c>
    </row>
    <row r="576" spans="1:11" hidden="1" x14ac:dyDescent="0.25">
      <c r="A576" s="148" t="s">
        <v>650</v>
      </c>
      <c r="B576" s="149" t="s">
        <v>3723</v>
      </c>
      <c r="C576" s="150" t="s">
        <v>18</v>
      </c>
      <c r="D576" s="150">
        <v>0</v>
      </c>
      <c r="E576" s="151">
        <f ca="1">OFFSET(INDEX(Composições!A:H,MATCH(Orçamentária!A576,Composições!A:A,0),8),2,0)</f>
        <v>1.0449999999999999</v>
      </c>
      <c r="F576" s="152">
        <f t="shared" ca="1" si="26"/>
        <v>0</v>
      </c>
      <c r="G576" s="153">
        <f>IF($K576="Padrão",BDI!$B$17,IF($K576="Diferenciado",BDI!$E$17,0))</f>
        <v>0.2039</v>
      </c>
      <c r="H576" s="151">
        <f t="shared" ca="1" si="24"/>
        <v>1.26</v>
      </c>
      <c r="I576" s="152">
        <f t="shared" ca="1" si="25"/>
        <v>0</v>
      </c>
      <c r="J576" s="154"/>
      <c r="K576" s="155" t="s">
        <v>2966</v>
      </c>
    </row>
    <row r="577" spans="1:11" hidden="1" x14ac:dyDescent="0.25">
      <c r="A577" s="148" t="s">
        <v>651</v>
      </c>
      <c r="B577" s="149" t="s">
        <v>3724</v>
      </c>
      <c r="C577" s="150" t="s">
        <v>18</v>
      </c>
      <c r="D577" s="150">
        <v>0</v>
      </c>
      <c r="E577" s="151">
        <f ca="1">OFFSET(INDEX(Composições!A:H,MATCH(Orçamentária!A577,Composições!A:A,0),8),2,0)</f>
        <v>0.71249999999999991</v>
      </c>
      <c r="F577" s="152">
        <f t="shared" ca="1" si="26"/>
        <v>0</v>
      </c>
      <c r="G577" s="153">
        <f>IF($K577="Padrão",BDI!$B$17,IF($K577="Diferenciado",BDI!$E$17,0))</f>
        <v>0.2039</v>
      </c>
      <c r="H577" s="151">
        <f t="shared" ca="1" si="24"/>
        <v>0.86</v>
      </c>
      <c r="I577" s="152">
        <f t="shared" ca="1" si="25"/>
        <v>0</v>
      </c>
      <c r="J577" s="154"/>
      <c r="K577" s="155" t="s">
        <v>2966</v>
      </c>
    </row>
    <row r="578" spans="1:11" hidden="1" x14ac:dyDescent="0.25">
      <c r="A578" s="148" t="s">
        <v>652</v>
      </c>
      <c r="B578" s="149" t="s">
        <v>3725</v>
      </c>
      <c r="C578" s="150" t="s">
        <v>18</v>
      </c>
      <c r="D578" s="150">
        <v>0</v>
      </c>
      <c r="E578" s="151">
        <f ca="1">OFFSET(INDEX(Composições!A:H,MATCH(Orçamentária!A578,Composições!A:A,0),8),2,0)</f>
        <v>3.4104999999999999</v>
      </c>
      <c r="F578" s="152">
        <f t="shared" ca="1" si="26"/>
        <v>0</v>
      </c>
      <c r="G578" s="153">
        <f>IF($K578="Padrão",BDI!$B$17,IF($K578="Diferenciado",BDI!$E$17,0))</f>
        <v>0.2039</v>
      </c>
      <c r="H578" s="151">
        <f t="shared" ca="1" si="24"/>
        <v>4.1100000000000003</v>
      </c>
      <c r="I578" s="152">
        <f t="shared" ca="1" si="25"/>
        <v>0</v>
      </c>
      <c r="J578" s="154"/>
      <c r="K578" s="155" t="s">
        <v>2966</v>
      </c>
    </row>
    <row r="579" spans="1:11" ht="25.5" hidden="1" x14ac:dyDescent="0.25">
      <c r="A579" s="148" t="s">
        <v>653</v>
      </c>
      <c r="B579" s="149" t="s">
        <v>3726</v>
      </c>
      <c r="C579" s="150" t="s">
        <v>18</v>
      </c>
      <c r="D579" s="150">
        <v>0</v>
      </c>
      <c r="E579" s="151">
        <f ca="1">OFFSET(INDEX(Composições!A:H,MATCH(Orçamentária!A579,Composições!A:A,0),8),2,0)</f>
        <v>0</v>
      </c>
      <c r="F579" s="152">
        <f t="shared" ca="1" si="26"/>
        <v>0</v>
      </c>
      <c r="G579" s="153">
        <f>IF($K579="Padrão",BDI!$B$17,IF($K579="Diferenciado",BDI!$E$17,0))</f>
        <v>0.2039</v>
      </c>
      <c r="H579" s="151">
        <f t="shared" ca="1" si="24"/>
        <v>0</v>
      </c>
      <c r="I579" s="152">
        <f t="shared" ca="1" si="25"/>
        <v>0</v>
      </c>
      <c r="J579" s="154"/>
      <c r="K579" s="155" t="s">
        <v>2966</v>
      </c>
    </row>
    <row r="580" spans="1:11" hidden="1" x14ac:dyDescent="0.25">
      <c r="A580" s="148" t="s">
        <v>655</v>
      </c>
      <c r="B580" s="149" t="s">
        <v>3727</v>
      </c>
      <c r="C580" s="150" t="s">
        <v>106</v>
      </c>
      <c r="D580" s="150">
        <v>0</v>
      </c>
      <c r="E580" s="151">
        <f ca="1">OFFSET(INDEX(Composições!A:H,MATCH(Orçamentária!A580,Composições!A:A,0),8),2,0)</f>
        <v>1.073842</v>
      </c>
      <c r="F580" s="152">
        <f t="shared" ca="1" si="26"/>
        <v>0</v>
      </c>
      <c r="G580" s="153">
        <f>IF($K580="Padrão",BDI!$B$17,IF($K580="Diferenciado",BDI!$E$17,0))</f>
        <v>0.2039</v>
      </c>
      <c r="H580" s="151">
        <f t="shared" ca="1" si="24"/>
        <v>1.29</v>
      </c>
      <c r="I580" s="152">
        <f t="shared" ca="1" si="25"/>
        <v>0</v>
      </c>
      <c r="J580" s="154"/>
      <c r="K580" s="155" t="s">
        <v>2966</v>
      </c>
    </row>
    <row r="581" spans="1:11" hidden="1" x14ac:dyDescent="0.25">
      <c r="A581" s="148" t="s">
        <v>656</v>
      </c>
      <c r="B581" s="149" t="s">
        <v>3728</v>
      </c>
      <c r="C581" s="150" t="s">
        <v>106</v>
      </c>
      <c r="D581" s="150">
        <v>0</v>
      </c>
      <c r="E581" s="151">
        <f ca="1">OFFSET(INDEX(Composições!A:H,MATCH(Orçamentária!A581,Composições!A:A,0),8),2,0)</f>
        <v>1.9038949999999997</v>
      </c>
      <c r="F581" s="152">
        <f t="shared" ca="1" si="26"/>
        <v>0</v>
      </c>
      <c r="G581" s="153">
        <f>IF($K581="Padrão",BDI!$B$17,IF($K581="Diferenciado",BDI!$E$17,0))</f>
        <v>0.2039</v>
      </c>
      <c r="H581" s="151">
        <f t="shared" ca="1" si="24"/>
        <v>2.29</v>
      </c>
      <c r="I581" s="152">
        <f t="shared" ca="1" si="25"/>
        <v>0</v>
      </c>
      <c r="J581" s="154"/>
      <c r="K581" s="155" t="s">
        <v>2966</v>
      </c>
    </row>
    <row r="582" spans="1:11" hidden="1" x14ac:dyDescent="0.25">
      <c r="A582" s="148" t="s">
        <v>657</v>
      </c>
      <c r="B582" s="149" t="s">
        <v>3729</v>
      </c>
      <c r="C582" s="150" t="s">
        <v>106</v>
      </c>
      <c r="D582" s="150">
        <v>0</v>
      </c>
      <c r="E582" s="151">
        <f ca="1">OFFSET(INDEX(Composições!A:H,MATCH(Orçamentária!A582,Composições!A:A,0),8),2,0)</f>
        <v>3.0883075000000004</v>
      </c>
      <c r="F582" s="152">
        <f t="shared" ca="1" si="26"/>
        <v>0</v>
      </c>
      <c r="G582" s="153">
        <f>IF($K582="Padrão",BDI!$B$17,IF($K582="Diferenciado",BDI!$E$17,0))</f>
        <v>0.2039</v>
      </c>
      <c r="H582" s="151">
        <f t="shared" ref="H582:H645" ca="1" si="27">IF(ISNUMBER(E582),ROUND(E582*(1+G582),2),"")</f>
        <v>3.72</v>
      </c>
      <c r="I582" s="152">
        <f t="shared" ref="I582:I645" ca="1" si="28">IF(ISNUMBER(E582),ROUND(H582*D582,2),"")</f>
        <v>0</v>
      </c>
      <c r="J582" s="154"/>
      <c r="K582" s="155" t="s">
        <v>2966</v>
      </c>
    </row>
    <row r="583" spans="1:11" hidden="1" x14ac:dyDescent="0.25">
      <c r="A583" s="148" t="s">
        <v>658</v>
      </c>
      <c r="B583" s="149" t="s">
        <v>3730</v>
      </c>
      <c r="C583" s="150" t="s">
        <v>106</v>
      </c>
      <c r="D583" s="150">
        <v>0</v>
      </c>
      <c r="E583" s="151">
        <f ca="1">OFFSET(INDEX(Composições!A:H,MATCH(Orçamentária!A583,Composições!A:A,0),8),2,0)</f>
        <v>4.5485239999999996</v>
      </c>
      <c r="F583" s="152">
        <f t="shared" ref="F583:F646" ca="1" si="29">IF(ISNUMBER(E583),D583*E583,"")</f>
        <v>0</v>
      </c>
      <c r="G583" s="153">
        <f>IF($K583="Padrão",BDI!$B$17,IF($K583="Diferenciado",BDI!$E$17,0))</f>
        <v>0.2039</v>
      </c>
      <c r="H583" s="151">
        <f t="shared" ca="1" si="27"/>
        <v>5.48</v>
      </c>
      <c r="I583" s="152">
        <f t="shared" ca="1" si="28"/>
        <v>0</v>
      </c>
      <c r="J583" s="154"/>
      <c r="K583" s="155" t="s">
        <v>2966</v>
      </c>
    </row>
    <row r="584" spans="1:11" hidden="1" x14ac:dyDescent="0.25">
      <c r="A584" s="148" t="s">
        <v>659</v>
      </c>
      <c r="B584" s="149" t="s">
        <v>3731</v>
      </c>
      <c r="C584" s="150" t="s">
        <v>106</v>
      </c>
      <c r="D584" s="150">
        <v>0</v>
      </c>
      <c r="E584" s="151">
        <f ca="1">OFFSET(INDEX(Composições!A:H,MATCH(Orçamentária!A584,Composições!A:A,0),8),2,0)</f>
        <v>6.147791999999999</v>
      </c>
      <c r="F584" s="152">
        <f t="shared" ca="1" si="29"/>
        <v>0</v>
      </c>
      <c r="G584" s="153">
        <f>IF($K584="Padrão",BDI!$B$17,IF($K584="Diferenciado",BDI!$E$17,0))</f>
        <v>0.2039</v>
      </c>
      <c r="H584" s="151">
        <f t="shared" ca="1" si="27"/>
        <v>7.4</v>
      </c>
      <c r="I584" s="152">
        <f t="shared" ca="1" si="28"/>
        <v>0</v>
      </c>
      <c r="J584" s="154"/>
      <c r="K584" s="155" t="s">
        <v>2966</v>
      </c>
    </row>
    <row r="585" spans="1:11" hidden="1" x14ac:dyDescent="0.25">
      <c r="A585" s="148" t="s">
        <v>660</v>
      </c>
      <c r="B585" s="149" t="s">
        <v>3732</v>
      </c>
      <c r="C585" s="150" t="s">
        <v>72</v>
      </c>
      <c r="D585" s="150">
        <v>0</v>
      </c>
      <c r="E585" s="151">
        <f ca="1">OFFSET(INDEX(Composições!A:H,MATCH(Orçamentária!A585,Composições!A:A,0),8),2,0)</f>
        <v>19</v>
      </c>
      <c r="F585" s="152">
        <f t="shared" ca="1" si="29"/>
        <v>0</v>
      </c>
      <c r="G585" s="153">
        <f>IF($K585="Padrão",BDI!$B$17,IF($K585="Diferenciado",BDI!$E$17,0))</f>
        <v>0.2039</v>
      </c>
      <c r="H585" s="151">
        <f t="shared" ca="1" si="27"/>
        <v>22.87</v>
      </c>
      <c r="I585" s="152">
        <f t="shared" ca="1" si="28"/>
        <v>0</v>
      </c>
      <c r="J585" s="154"/>
      <c r="K585" s="155" t="s">
        <v>2966</v>
      </c>
    </row>
    <row r="586" spans="1:11" hidden="1" x14ac:dyDescent="0.25">
      <c r="A586" s="148" t="s">
        <v>661</v>
      </c>
      <c r="B586" s="149" t="s">
        <v>3733</v>
      </c>
      <c r="C586" s="150" t="s">
        <v>72</v>
      </c>
      <c r="D586" s="150">
        <v>0</v>
      </c>
      <c r="E586" s="151">
        <f ca="1">OFFSET(INDEX(Composições!A:H,MATCH(Orçamentária!A586,Composições!A:A,0),8),2,0)</f>
        <v>65.834999999999994</v>
      </c>
      <c r="F586" s="152">
        <f t="shared" ca="1" si="29"/>
        <v>0</v>
      </c>
      <c r="G586" s="153">
        <f>IF($K586="Padrão",BDI!$B$17,IF($K586="Diferenciado",BDI!$E$17,0))</f>
        <v>0.2039</v>
      </c>
      <c r="H586" s="151">
        <f t="shared" ca="1" si="27"/>
        <v>79.260000000000005</v>
      </c>
      <c r="I586" s="152">
        <f t="shared" ca="1" si="28"/>
        <v>0</v>
      </c>
      <c r="J586" s="154"/>
      <c r="K586" s="155" t="s">
        <v>2966</v>
      </c>
    </row>
    <row r="587" spans="1:11" hidden="1" x14ac:dyDescent="0.25">
      <c r="A587" s="148" t="s">
        <v>662</v>
      </c>
      <c r="B587" s="149" t="s">
        <v>3734</v>
      </c>
      <c r="C587" s="150" t="s">
        <v>18</v>
      </c>
      <c r="D587" s="150">
        <v>0</v>
      </c>
      <c r="E587" s="151">
        <f ca="1">OFFSET(INDEX(Composições!A:H,MATCH(Orçamentária!A587,Composições!A:A,0),8),2,0)</f>
        <v>42.597999999999999</v>
      </c>
      <c r="F587" s="152">
        <f t="shared" ca="1" si="29"/>
        <v>0</v>
      </c>
      <c r="G587" s="153">
        <f>IF($K587="Padrão",BDI!$B$17,IF($K587="Diferenciado",BDI!$E$17,0))</f>
        <v>0.2039</v>
      </c>
      <c r="H587" s="151">
        <f t="shared" ca="1" si="27"/>
        <v>51.28</v>
      </c>
      <c r="I587" s="152">
        <f t="shared" ca="1" si="28"/>
        <v>0</v>
      </c>
      <c r="J587" s="154"/>
      <c r="K587" s="155" t="s">
        <v>2966</v>
      </c>
    </row>
    <row r="588" spans="1:11" hidden="1" x14ac:dyDescent="0.25">
      <c r="A588" s="148" t="s">
        <v>663</v>
      </c>
      <c r="B588" s="149" t="s">
        <v>3735</v>
      </c>
      <c r="C588" s="150" t="s">
        <v>18</v>
      </c>
      <c r="D588" s="150">
        <v>0</v>
      </c>
      <c r="E588" s="151">
        <f ca="1">OFFSET(INDEX(Composições!A:H,MATCH(Orçamentária!A588,Composições!A:A,0),8),2,0)</f>
        <v>28.148499999999999</v>
      </c>
      <c r="F588" s="152">
        <f t="shared" ca="1" si="29"/>
        <v>0</v>
      </c>
      <c r="G588" s="153">
        <f>IF($K588="Padrão",BDI!$B$17,IF($K588="Diferenciado",BDI!$E$17,0))</f>
        <v>0.2039</v>
      </c>
      <c r="H588" s="151">
        <f t="shared" ca="1" si="27"/>
        <v>33.89</v>
      </c>
      <c r="I588" s="152">
        <f t="shared" ca="1" si="28"/>
        <v>0</v>
      </c>
      <c r="J588" s="154"/>
      <c r="K588" s="155" t="s">
        <v>2966</v>
      </c>
    </row>
    <row r="589" spans="1:11" hidden="1" x14ac:dyDescent="0.25">
      <c r="A589" s="148" t="s">
        <v>3736</v>
      </c>
      <c r="B589" s="149" t="s">
        <v>3737</v>
      </c>
      <c r="C589" s="150" t="s">
        <v>106</v>
      </c>
      <c r="D589" s="150">
        <v>0</v>
      </c>
      <c r="E589" s="151" t="s">
        <v>13</v>
      </c>
      <c r="F589" s="152" t="str">
        <f t="shared" si="29"/>
        <v/>
      </c>
      <c r="G589" s="153">
        <f>IF($K589="Padrão",BDI!$B$17,IF($K589="Diferenciado",BDI!$E$17,0))</f>
        <v>0.2039</v>
      </c>
      <c r="H589" s="151" t="str">
        <f t="shared" si="27"/>
        <v/>
      </c>
      <c r="I589" s="152" t="str">
        <f t="shared" si="28"/>
        <v/>
      </c>
      <c r="J589" s="154"/>
      <c r="K589" s="155" t="s">
        <v>2966</v>
      </c>
    </row>
    <row r="590" spans="1:11" hidden="1" x14ac:dyDescent="0.25">
      <c r="A590" s="148" t="s">
        <v>3738</v>
      </c>
      <c r="B590" s="149" t="s">
        <v>3739</v>
      </c>
      <c r="C590" s="150" t="s">
        <v>106</v>
      </c>
      <c r="D590" s="150">
        <v>0</v>
      </c>
      <c r="E590" s="151" t="s">
        <v>13</v>
      </c>
      <c r="F590" s="152" t="str">
        <f t="shared" si="29"/>
        <v/>
      </c>
      <c r="G590" s="153">
        <f>IF($K590="Padrão",BDI!$B$17,IF($K590="Diferenciado",BDI!$E$17,0))</f>
        <v>0.2039</v>
      </c>
      <c r="H590" s="151" t="str">
        <f t="shared" si="27"/>
        <v/>
      </c>
      <c r="I590" s="152" t="str">
        <f t="shared" si="28"/>
        <v/>
      </c>
      <c r="J590" s="154"/>
      <c r="K590" s="155" t="s">
        <v>2966</v>
      </c>
    </row>
    <row r="591" spans="1:11" hidden="1" x14ac:dyDescent="0.25">
      <c r="A591" s="148" t="s">
        <v>3740</v>
      </c>
      <c r="B591" s="149" t="s">
        <v>3741</v>
      </c>
      <c r="C591" s="150" t="s">
        <v>72</v>
      </c>
      <c r="D591" s="150">
        <v>0</v>
      </c>
      <c r="E591" s="151" t="s">
        <v>13</v>
      </c>
      <c r="F591" s="152" t="str">
        <f t="shared" si="29"/>
        <v/>
      </c>
      <c r="G591" s="153">
        <f>IF($K591="Padrão",BDI!$B$17,IF($K591="Diferenciado",BDI!$E$17,0))</f>
        <v>0.2039</v>
      </c>
      <c r="H591" s="151" t="str">
        <f t="shared" si="27"/>
        <v/>
      </c>
      <c r="I591" s="152" t="str">
        <f t="shared" si="28"/>
        <v/>
      </c>
      <c r="J591" s="154"/>
      <c r="K591" s="155" t="s">
        <v>2966</v>
      </c>
    </row>
    <row r="592" spans="1:11" hidden="1" x14ac:dyDescent="0.25">
      <c r="A592" s="148" t="s">
        <v>3742</v>
      </c>
      <c r="B592" s="149" t="s">
        <v>3743</v>
      </c>
      <c r="C592" s="150" t="s">
        <v>70</v>
      </c>
      <c r="D592" s="150">
        <v>0</v>
      </c>
      <c r="E592" s="151" t="s">
        <v>13</v>
      </c>
      <c r="F592" s="152" t="str">
        <f t="shared" si="29"/>
        <v/>
      </c>
      <c r="G592" s="153">
        <f>IF($K592="Padrão",BDI!$B$17,IF($K592="Diferenciado",BDI!$E$17,0))</f>
        <v>0.2039</v>
      </c>
      <c r="H592" s="151" t="str">
        <f t="shared" si="27"/>
        <v/>
      </c>
      <c r="I592" s="152" t="str">
        <f t="shared" si="28"/>
        <v/>
      </c>
      <c r="J592" s="154"/>
      <c r="K592" s="155" t="s">
        <v>2966</v>
      </c>
    </row>
    <row r="593" spans="1:11" hidden="1" x14ac:dyDescent="0.25">
      <c r="A593" s="148" t="s">
        <v>664</v>
      </c>
      <c r="B593" s="149" t="s">
        <v>3744</v>
      </c>
      <c r="C593" s="150" t="s">
        <v>70</v>
      </c>
      <c r="D593" s="150">
        <v>0</v>
      </c>
      <c r="E593" s="151">
        <f ca="1">OFFSET(INDEX(Composições!A:H,MATCH(Orçamentária!A593,Composições!A:A,0),8),2,0)</f>
        <v>8.8824999999999985</v>
      </c>
      <c r="F593" s="152">
        <f t="shared" ca="1" si="29"/>
        <v>0</v>
      </c>
      <c r="G593" s="153">
        <f>IF($K593="Padrão",BDI!$B$17,IF($K593="Diferenciado",BDI!$E$17,0))</f>
        <v>0.2039</v>
      </c>
      <c r="H593" s="151">
        <f t="shared" ca="1" si="27"/>
        <v>10.69</v>
      </c>
      <c r="I593" s="152">
        <f t="shared" ca="1" si="28"/>
        <v>0</v>
      </c>
      <c r="J593" s="154"/>
      <c r="K593" s="155" t="s">
        <v>2966</v>
      </c>
    </row>
    <row r="594" spans="1:11" hidden="1" x14ac:dyDescent="0.25">
      <c r="A594" s="148" t="s">
        <v>3745</v>
      </c>
      <c r="B594" s="149" t="s">
        <v>3746</v>
      </c>
      <c r="C594" s="150" t="s">
        <v>70</v>
      </c>
      <c r="D594" s="150">
        <v>0</v>
      </c>
      <c r="E594" s="151" t="s">
        <v>13</v>
      </c>
      <c r="F594" s="152" t="str">
        <f t="shared" si="29"/>
        <v/>
      </c>
      <c r="G594" s="153">
        <f>IF($K594="Padrão",BDI!$B$17,IF($K594="Diferenciado",BDI!$E$17,0))</f>
        <v>0.2039</v>
      </c>
      <c r="H594" s="151" t="str">
        <f t="shared" si="27"/>
        <v/>
      </c>
      <c r="I594" s="152" t="str">
        <f t="shared" si="28"/>
        <v/>
      </c>
      <c r="J594" s="154"/>
      <c r="K594" s="155" t="s">
        <v>2966</v>
      </c>
    </row>
    <row r="595" spans="1:11" hidden="1" x14ac:dyDescent="0.25">
      <c r="A595" s="148" t="s">
        <v>3747</v>
      </c>
      <c r="B595" s="149" t="s">
        <v>3748</v>
      </c>
      <c r="C595" s="150" t="s">
        <v>106</v>
      </c>
      <c r="D595" s="150">
        <v>0</v>
      </c>
      <c r="E595" s="151" t="s">
        <v>13</v>
      </c>
      <c r="F595" s="152" t="str">
        <f t="shared" si="29"/>
        <v/>
      </c>
      <c r="G595" s="153">
        <f>IF($K595="Padrão",BDI!$B$17,IF($K595="Diferenciado",BDI!$E$17,0))</f>
        <v>0.2039</v>
      </c>
      <c r="H595" s="151" t="str">
        <f t="shared" si="27"/>
        <v/>
      </c>
      <c r="I595" s="152" t="str">
        <f t="shared" si="28"/>
        <v/>
      </c>
      <c r="J595" s="154"/>
      <c r="K595" s="155" t="s">
        <v>2966</v>
      </c>
    </row>
    <row r="596" spans="1:11" hidden="1" x14ac:dyDescent="0.25">
      <c r="A596" s="148" t="s">
        <v>3749</v>
      </c>
      <c r="B596" s="149" t="s">
        <v>3750</v>
      </c>
      <c r="C596" s="150" t="s">
        <v>106</v>
      </c>
      <c r="D596" s="150">
        <v>0</v>
      </c>
      <c r="E596" s="151" t="s">
        <v>13</v>
      </c>
      <c r="F596" s="152" t="str">
        <f t="shared" si="29"/>
        <v/>
      </c>
      <c r="G596" s="153">
        <f>IF($K596="Padrão",BDI!$B$17,IF($K596="Diferenciado",BDI!$E$17,0))</f>
        <v>0.2039</v>
      </c>
      <c r="H596" s="151" t="str">
        <f t="shared" si="27"/>
        <v/>
      </c>
      <c r="I596" s="152" t="str">
        <f t="shared" si="28"/>
        <v/>
      </c>
      <c r="J596" s="154"/>
      <c r="K596" s="155" t="s">
        <v>2966</v>
      </c>
    </row>
    <row r="597" spans="1:11" hidden="1" x14ac:dyDescent="0.25">
      <c r="A597" s="148" t="s">
        <v>665</v>
      </c>
      <c r="B597" s="149" t="s">
        <v>3751</v>
      </c>
      <c r="C597" s="150" t="s">
        <v>68</v>
      </c>
      <c r="D597" s="150">
        <v>0</v>
      </c>
      <c r="E597" s="151">
        <f ca="1">OFFSET(INDEX(Composições!A:H,MATCH(Orçamentária!A597,Composições!A:A,0),8),2,0)</f>
        <v>2.109</v>
      </c>
      <c r="F597" s="152">
        <f t="shared" ca="1" si="29"/>
        <v>0</v>
      </c>
      <c r="G597" s="153">
        <f>IF($K597="Padrão",BDI!$B$17,IF($K597="Diferenciado",BDI!$E$17,0))</f>
        <v>0.2039</v>
      </c>
      <c r="H597" s="151">
        <f t="shared" ca="1" si="27"/>
        <v>2.54</v>
      </c>
      <c r="I597" s="152">
        <f t="shared" ca="1" si="28"/>
        <v>0</v>
      </c>
      <c r="J597" s="154"/>
      <c r="K597" s="155" t="s">
        <v>2966</v>
      </c>
    </row>
    <row r="598" spans="1:11" hidden="1" x14ac:dyDescent="0.25">
      <c r="A598" s="148" t="s">
        <v>3752</v>
      </c>
      <c r="B598" s="149" t="s">
        <v>3753</v>
      </c>
      <c r="C598" s="150" t="s">
        <v>18</v>
      </c>
      <c r="D598" s="150">
        <v>0</v>
      </c>
      <c r="E598" s="151" t="s">
        <v>13</v>
      </c>
      <c r="F598" s="152" t="str">
        <f t="shared" si="29"/>
        <v/>
      </c>
      <c r="G598" s="153">
        <f>IF($K598="Padrão",BDI!$B$17,IF($K598="Diferenciado",BDI!$E$17,0))</f>
        <v>0.2039</v>
      </c>
      <c r="H598" s="151" t="str">
        <f t="shared" si="27"/>
        <v/>
      </c>
      <c r="I598" s="152" t="str">
        <f t="shared" si="28"/>
        <v/>
      </c>
      <c r="J598" s="154"/>
      <c r="K598" s="155" t="s">
        <v>2966</v>
      </c>
    </row>
    <row r="599" spans="1:11" hidden="1" x14ac:dyDescent="0.25">
      <c r="A599" s="148" t="s">
        <v>3754</v>
      </c>
      <c r="B599" s="149" t="s">
        <v>3755</v>
      </c>
      <c r="C599" s="150" t="s">
        <v>18</v>
      </c>
      <c r="D599" s="150">
        <v>0</v>
      </c>
      <c r="E599" s="151" t="s">
        <v>13</v>
      </c>
      <c r="F599" s="152" t="str">
        <f t="shared" si="29"/>
        <v/>
      </c>
      <c r="G599" s="153">
        <f>IF($K599="Padrão",BDI!$B$17,IF($K599="Diferenciado",BDI!$E$17,0))</f>
        <v>0.2039</v>
      </c>
      <c r="H599" s="151" t="str">
        <f t="shared" si="27"/>
        <v/>
      </c>
      <c r="I599" s="152" t="str">
        <f t="shared" si="28"/>
        <v/>
      </c>
      <c r="J599" s="154"/>
      <c r="K599" s="155" t="s">
        <v>2966</v>
      </c>
    </row>
    <row r="600" spans="1:11" hidden="1" x14ac:dyDescent="0.25">
      <c r="A600" s="148" t="s">
        <v>3756</v>
      </c>
      <c r="B600" s="149" t="s">
        <v>3757</v>
      </c>
      <c r="C600" s="150" t="s">
        <v>18</v>
      </c>
      <c r="D600" s="150">
        <v>0</v>
      </c>
      <c r="E600" s="151" t="s">
        <v>13</v>
      </c>
      <c r="F600" s="152" t="str">
        <f t="shared" si="29"/>
        <v/>
      </c>
      <c r="G600" s="153">
        <f>IF($K600="Padrão",BDI!$B$17,IF($K600="Diferenciado",BDI!$E$17,0))</f>
        <v>0.2039</v>
      </c>
      <c r="H600" s="151" t="str">
        <f t="shared" si="27"/>
        <v/>
      </c>
      <c r="I600" s="152" t="str">
        <f t="shared" si="28"/>
        <v/>
      </c>
      <c r="J600" s="154"/>
      <c r="K600" s="155" t="s">
        <v>2966</v>
      </c>
    </row>
    <row r="601" spans="1:11" hidden="1" x14ac:dyDescent="0.25">
      <c r="A601" s="148" t="s">
        <v>3758</v>
      </c>
      <c r="B601" s="149" t="s">
        <v>3759</v>
      </c>
      <c r="C601" s="150" t="s">
        <v>18</v>
      </c>
      <c r="D601" s="150">
        <v>0</v>
      </c>
      <c r="E601" s="151" t="s">
        <v>13</v>
      </c>
      <c r="F601" s="152" t="str">
        <f t="shared" si="29"/>
        <v/>
      </c>
      <c r="G601" s="153">
        <f>IF($K601="Padrão",BDI!$B$17,IF($K601="Diferenciado",BDI!$E$17,0))</f>
        <v>0.2039</v>
      </c>
      <c r="H601" s="151" t="str">
        <f t="shared" si="27"/>
        <v/>
      </c>
      <c r="I601" s="152" t="str">
        <f t="shared" si="28"/>
        <v/>
      </c>
      <c r="J601" s="154"/>
      <c r="K601" s="155" t="s">
        <v>2966</v>
      </c>
    </row>
    <row r="602" spans="1:11" hidden="1" x14ac:dyDescent="0.25">
      <c r="A602" s="148" t="s">
        <v>3760</v>
      </c>
      <c r="B602" s="149" t="s">
        <v>3761</v>
      </c>
      <c r="C602" s="150" t="s">
        <v>18</v>
      </c>
      <c r="D602" s="150">
        <v>0</v>
      </c>
      <c r="E602" s="151" t="s">
        <v>13</v>
      </c>
      <c r="F602" s="152" t="str">
        <f t="shared" si="29"/>
        <v/>
      </c>
      <c r="G602" s="153">
        <f>IF($K602="Padrão",BDI!$B$17,IF($K602="Diferenciado",BDI!$E$17,0))</f>
        <v>0.2039</v>
      </c>
      <c r="H602" s="151" t="str">
        <f t="shared" si="27"/>
        <v/>
      </c>
      <c r="I602" s="152" t="str">
        <f t="shared" si="28"/>
        <v/>
      </c>
      <c r="J602" s="154"/>
      <c r="K602" s="155" t="s">
        <v>2966</v>
      </c>
    </row>
    <row r="603" spans="1:11" hidden="1" x14ac:dyDescent="0.25">
      <c r="A603" s="148" t="s">
        <v>3762</v>
      </c>
      <c r="B603" s="149" t="s">
        <v>3763</v>
      </c>
      <c r="C603" s="150" t="s">
        <v>18</v>
      </c>
      <c r="D603" s="150">
        <v>0</v>
      </c>
      <c r="E603" s="151" t="s">
        <v>13</v>
      </c>
      <c r="F603" s="152" t="str">
        <f t="shared" si="29"/>
        <v/>
      </c>
      <c r="G603" s="153">
        <f>IF($K603="Padrão",BDI!$B$17,IF($K603="Diferenciado",BDI!$E$17,0))</f>
        <v>0.2039</v>
      </c>
      <c r="H603" s="151" t="str">
        <f t="shared" si="27"/>
        <v/>
      </c>
      <c r="I603" s="152" t="str">
        <f t="shared" si="28"/>
        <v/>
      </c>
      <c r="J603" s="154"/>
      <c r="K603" s="155" t="s">
        <v>2966</v>
      </c>
    </row>
    <row r="604" spans="1:11" hidden="1" x14ac:dyDescent="0.25">
      <c r="A604" s="148" t="s">
        <v>3764</v>
      </c>
      <c r="B604" s="149" t="s">
        <v>3765</v>
      </c>
      <c r="C604" s="150" t="s">
        <v>18</v>
      </c>
      <c r="D604" s="150">
        <v>0</v>
      </c>
      <c r="E604" s="151" t="s">
        <v>13</v>
      </c>
      <c r="F604" s="152" t="str">
        <f t="shared" si="29"/>
        <v/>
      </c>
      <c r="G604" s="153">
        <f>IF($K604="Padrão",BDI!$B$17,IF($K604="Diferenciado",BDI!$E$17,0))</f>
        <v>0.2039</v>
      </c>
      <c r="H604" s="151" t="str">
        <f t="shared" si="27"/>
        <v/>
      </c>
      <c r="I604" s="152" t="str">
        <f t="shared" si="28"/>
        <v/>
      </c>
      <c r="J604" s="154"/>
      <c r="K604" s="155" t="s">
        <v>2966</v>
      </c>
    </row>
    <row r="605" spans="1:11" hidden="1" x14ac:dyDescent="0.25">
      <c r="A605" s="148" t="s">
        <v>3766</v>
      </c>
      <c r="B605" s="149" t="s">
        <v>3767</v>
      </c>
      <c r="C605" s="150" t="s">
        <v>18</v>
      </c>
      <c r="D605" s="150">
        <v>0</v>
      </c>
      <c r="E605" s="151" t="s">
        <v>13</v>
      </c>
      <c r="F605" s="152" t="str">
        <f t="shared" si="29"/>
        <v/>
      </c>
      <c r="G605" s="153">
        <f>IF($K605="Padrão",BDI!$B$17,IF($K605="Diferenciado",BDI!$E$17,0))</f>
        <v>0.2039</v>
      </c>
      <c r="H605" s="151" t="str">
        <f t="shared" si="27"/>
        <v/>
      </c>
      <c r="I605" s="152" t="str">
        <f t="shared" si="28"/>
        <v/>
      </c>
      <c r="J605" s="154"/>
      <c r="K605" s="155" t="s">
        <v>2966</v>
      </c>
    </row>
    <row r="606" spans="1:11" hidden="1" x14ac:dyDescent="0.25">
      <c r="A606" s="148" t="s">
        <v>3768</v>
      </c>
      <c r="B606" s="149" t="s">
        <v>3769</v>
      </c>
      <c r="C606" s="150" t="s">
        <v>18</v>
      </c>
      <c r="D606" s="150">
        <v>0</v>
      </c>
      <c r="E606" s="151" t="s">
        <v>13</v>
      </c>
      <c r="F606" s="152" t="str">
        <f t="shared" si="29"/>
        <v/>
      </c>
      <c r="G606" s="153">
        <f>IF($K606="Padrão",BDI!$B$17,IF($K606="Diferenciado",BDI!$E$17,0))</f>
        <v>0.2039</v>
      </c>
      <c r="H606" s="151" t="str">
        <f t="shared" si="27"/>
        <v/>
      </c>
      <c r="I606" s="152" t="str">
        <f t="shared" si="28"/>
        <v/>
      </c>
      <c r="J606" s="154"/>
      <c r="K606" s="155" t="s">
        <v>2966</v>
      </c>
    </row>
    <row r="607" spans="1:11" hidden="1" x14ac:dyDescent="0.25">
      <c r="A607" s="148" t="s">
        <v>3770</v>
      </c>
      <c r="B607" s="149" t="s">
        <v>3771</v>
      </c>
      <c r="C607" s="150" t="s">
        <v>18</v>
      </c>
      <c r="D607" s="150">
        <v>0</v>
      </c>
      <c r="E607" s="151" t="s">
        <v>13</v>
      </c>
      <c r="F607" s="152" t="str">
        <f t="shared" si="29"/>
        <v/>
      </c>
      <c r="G607" s="153">
        <f>IF($K607="Padrão",BDI!$B$17,IF($K607="Diferenciado",BDI!$E$17,0))</f>
        <v>0.2039</v>
      </c>
      <c r="H607" s="151" t="str">
        <f t="shared" si="27"/>
        <v/>
      </c>
      <c r="I607" s="152" t="str">
        <f t="shared" si="28"/>
        <v/>
      </c>
      <c r="J607" s="154"/>
      <c r="K607" s="155" t="s">
        <v>2966</v>
      </c>
    </row>
    <row r="608" spans="1:11" hidden="1" x14ac:dyDescent="0.25">
      <c r="A608" s="148" t="s">
        <v>3772</v>
      </c>
      <c r="B608" s="149" t="s">
        <v>3773</v>
      </c>
      <c r="C608" s="150" t="s">
        <v>18</v>
      </c>
      <c r="D608" s="150">
        <v>0</v>
      </c>
      <c r="E608" s="151" t="s">
        <v>13</v>
      </c>
      <c r="F608" s="152" t="str">
        <f t="shared" si="29"/>
        <v/>
      </c>
      <c r="G608" s="153">
        <f>IF($K608="Padrão",BDI!$B$17,IF($K608="Diferenciado",BDI!$E$17,0))</f>
        <v>0.2039</v>
      </c>
      <c r="H608" s="151" t="str">
        <f t="shared" si="27"/>
        <v/>
      </c>
      <c r="I608" s="152" t="str">
        <f t="shared" si="28"/>
        <v/>
      </c>
      <c r="J608" s="154"/>
      <c r="K608" s="155" t="s">
        <v>2966</v>
      </c>
    </row>
    <row r="609" spans="1:11" hidden="1" x14ac:dyDescent="0.25">
      <c r="A609" s="148" t="s">
        <v>3774</v>
      </c>
      <c r="B609" s="149" t="s">
        <v>3775</v>
      </c>
      <c r="C609" s="150" t="s">
        <v>18</v>
      </c>
      <c r="D609" s="150">
        <v>0</v>
      </c>
      <c r="E609" s="151" t="s">
        <v>13</v>
      </c>
      <c r="F609" s="152" t="str">
        <f t="shared" si="29"/>
        <v/>
      </c>
      <c r="G609" s="153">
        <f>IF($K609="Padrão",BDI!$B$17,IF($K609="Diferenciado",BDI!$E$17,0))</f>
        <v>0.2039</v>
      </c>
      <c r="H609" s="151" t="str">
        <f t="shared" si="27"/>
        <v/>
      </c>
      <c r="I609" s="152" t="str">
        <f t="shared" si="28"/>
        <v/>
      </c>
      <c r="J609" s="154"/>
      <c r="K609" s="155" t="s">
        <v>2966</v>
      </c>
    </row>
    <row r="610" spans="1:11" hidden="1" x14ac:dyDescent="0.25">
      <c r="A610" s="148" t="s">
        <v>3776</v>
      </c>
      <c r="B610" s="149" t="s">
        <v>3777</v>
      </c>
      <c r="C610" s="150" t="s">
        <v>18</v>
      </c>
      <c r="D610" s="150">
        <v>0</v>
      </c>
      <c r="E610" s="151" t="s">
        <v>13</v>
      </c>
      <c r="F610" s="152" t="str">
        <f t="shared" si="29"/>
        <v/>
      </c>
      <c r="G610" s="153">
        <f>IF($K610="Padrão",BDI!$B$17,IF($K610="Diferenciado",BDI!$E$17,0))</f>
        <v>0.2039</v>
      </c>
      <c r="H610" s="151" t="str">
        <f t="shared" si="27"/>
        <v/>
      </c>
      <c r="I610" s="152" t="str">
        <f t="shared" si="28"/>
        <v/>
      </c>
      <c r="J610" s="154"/>
      <c r="K610" s="155" t="s">
        <v>2966</v>
      </c>
    </row>
    <row r="611" spans="1:11" hidden="1" x14ac:dyDescent="0.25">
      <c r="A611" s="148" t="s">
        <v>3778</v>
      </c>
      <c r="B611" s="149" t="s">
        <v>3779</v>
      </c>
      <c r="C611" s="150" t="s">
        <v>18</v>
      </c>
      <c r="D611" s="150">
        <v>0</v>
      </c>
      <c r="E611" s="151" t="s">
        <v>13</v>
      </c>
      <c r="F611" s="152" t="str">
        <f t="shared" si="29"/>
        <v/>
      </c>
      <c r="G611" s="153">
        <f>IF($K611="Padrão",BDI!$B$17,IF($K611="Diferenciado",BDI!$E$17,0))</f>
        <v>0.2039</v>
      </c>
      <c r="H611" s="151" t="str">
        <f t="shared" si="27"/>
        <v/>
      </c>
      <c r="I611" s="152" t="str">
        <f t="shared" si="28"/>
        <v/>
      </c>
      <c r="J611" s="154"/>
      <c r="K611" s="155" t="s">
        <v>2966</v>
      </c>
    </row>
    <row r="612" spans="1:11" hidden="1" x14ac:dyDescent="0.25">
      <c r="A612" s="148" t="s">
        <v>3780</v>
      </c>
      <c r="B612" s="149" t="s">
        <v>3781</v>
      </c>
      <c r="C612" s="150" t="s">
        <v>18</v>
      </c>
      <c r="D612" s="150">
        <v>0</v>
      </c>
      <c r="E612" s="151" t="s">
        <v>13</v>
      </c>
      <c r="F612" s="152" t="str">
        <f t="shared" si="29"/>
        <v/>
      </c>
      <c r="G612" s="153">
        <f>IF($K612="Padrão",BDI!$B$17,IF($K612="Diferenciado",BDI!$E$17,0))</f>
        <v>0.2039</v>
      </c>
      <c r="H612" s="151" t="str">
        <f t="shared" si="27"/>
        <v/>
      </c>
      <c r="I612" s="152" t="str">
        <f t="shared" si="28"/>
        <v/>
      </c>
      <c r="J612" s="154"/>
      <c r="K612" s="155" t="s">
        <v>2966</v>
      </c>
    </row>
    <row r="613" spans="1:11" hidden="1" x14ac:dyDescent="0.25">
      <c r="A613" s="148" t="s">
        <v>3782</v>
      </c>
      <c r="B613" s="149" t="s">
        <v>3783</v>
      </c>
      <c r="C613" s="150" t="s">
        <v>18</v>
      </c>
      <c r="D613" s="150">
        <v>0</v>
      </c>
      <c r="E613" s="151" t="s">
        <v>13</v>
      </c>
      <c r="F613" s="152" t="str">
        <f t="shared" si="29"/>
        <v/>
      </c>
      <c r="G613" s="153">
        <f>IF($K613="Padrão",BDI!$B$17,IF($K613="Diferenciado",BDI!$E$17,0))</f>
        <v>0.2039</v>
      </c>
      <c r="H613" s="151" t="str">
        <f t="shared" si="27"/>
        <v/>
      </c>
      <c r="I613" s="152" t="str">
        <f t="shared" si="28"/>
        <v/>
      </c>
      <c r="J613" s="154"/>
      <c r="K613" s="155" t="s">
        <v>2966</v>
      </c>
    </row>
    <row r="614" spans="1:11" hidden="1" x14ac:dyDescent="0.25">
      <c r="A614" s="148" t="s">
        <v>3784</v>
      </c>
      <c r="B614" s="149" t="s">
        <v>3785</v>
      </c>
      <c r="C614" s="150" t="s">
        <v>18</v>
      </c>
      <c r="D614" s="150">
        <v>0</v>
      </c>
      <c r="E614" s="151" t="s">
        <v>13</v>
      </c>
      <c r="F614" s="152" t="str">
        <f t="shared" si="29"/>
        <v/>
      </c>
      <c r="G614" s="153">
        <f>IF($K614="Padrão",BDI!$B$17,IF($K614="Diferenciado",BDI!$E$17,0))</f>
        <v>0.2039</v>
      </c>
      <c r="H614" s="151" t="str">
        <f t="shared" si="27"/>
        <v/>
      </c>
      <c r="I614" s="152" t="str">
        <f t="shared" si="28"/>
        <v/>
      </c>
      <c r="J614" s="154"/>
      <c r="K614" s="155" t="s">
        <v>2966</v>
      </c>
    </row>
    <row r="615" spans="1:11" hidden="1" x14ac:dyDescent="0.25">
      <c r="A615" s="148" t="s">
        <v>3786</v>
      </c>
      <c r="B615" s="149" t="s">
        <v>3787</v>
      </c>
      <c r="C615" s="150" t="s">
        <v>18</v>
      </c>
      <c r="D615" s="150">
        <v>0</v>
      </c>
      <c r="E615" s="151" t="s">
        <v>13</v>
      </c>
      <c r="F615" s="152" t="str">
        <f t="shared" si="29"/>
        <v/>
      </c>
      <c r="G615" s="153">
        <f>IF($K615="Padrão",BDI!$B$17,IF($K615="Diferenciado",BDI!$E$17,0))</f>
        <v>0.2039</v>
      </c>
      <c r="H615" s="151" t="str">
        <f t="shared" si="27"/>
        <v/>
      </c>
      <c r="I615" s="152" t="str">
        <f t="shared" si="28"/>
        <v/>
      </c>
      <c r="J615" s="154"/>
      <c r="K615" s="155" t="s">
        <v>2966</v>
      </c>
    </row>
    <row r="616" spans="1:11" hidden="1" x14ac:dyDescent="0.25">
      <c r="A616" s="148" t="s">
        <v>3788</v>
      </c>
      <c r="B616" s="149" t="s">
        <v>3789</v>
      </c>
      <c r="C616" s="150" t="s">
        <v>18</v>
      </c>
      <c r="D616" s="150">
        <v>0</v>
      </c>
      <c r="E616" s="151" t="s">
        <v>13</v>
      </c>
      <c r="F616" s="152" t="str">
        <f t="shared" si="29"/>
        <v/>
      </c>
      <c r="G616" s="153">
        <f>IF($K616="Padrão",BDI!$B$17,IF($K616="Diferenciado",BDI!$E$17,0))</f>
        <v>0.2039</v>
      </c>
      <c r="H616" s="151" t="str">
        <f t="shared" si="27"/>
        <v/>
      </c>
      <c r="I616" s="152" t="str">
        <f t="shared" si="28"/>
        <v/>
      </c>
      <c r="J616" s="154"/>
      <c r="K616" s="155" t="s">
        <v>2966</v>
      </c>
    </row>
    <row r="617" spans="1:11" hidden="1" x14ac:dyDescent="0.25">
      <c r="A617" s="148" t="s">
        <v>3790</v>
      </c>
      <c r="B617" s="149" t="s">
        <v>3791</v>
      </c>
      <c r="C617" s="150" t="s">
        <v>18</v>
      </c>
      <c r="D617" s="150">
        <v>0</v>
      </c>
      <c r="E617" s="151" t="s">
        <v>13</v>
      </c>
      <c r="F617" s="152" t="str">
        <f t="shared" si="29"/>
        <v/>
      </c>
      <c r="G617" s="153">
        <f>IF($K617="Padrão",BDI!$B$17,IF($K617="Diferenciado",BDI!$E$17,0))</f>
        <v>0.2039</v>
      </c>
      <c r="H617" s="151" t="str">
        <f t="shared" si="27"/>
        <v/>
      </c>
      <c r="I617" s="152" t="str">
        <f t="shared" si="28"/>
        <v/>
      </c>
      <c r="J617" s="154"/>
      <c r="K617" s="155" t="s">
        <v>2966</v>
      </c>
    </row>
    <row r="618" spans="1:11" hidden="1" x14ac:dyDescent="0.25">
      <c r="A618" s="148" t="s">
        <v>3792</v>
      </c>
      <c r="B618" s="149" t="s">
        <v>3793</v>
      </c>
      <c r="C618" s="150" t="s">
        <v>18</v>
      </c>
      <c r="D618" s="150">
        <v>0</v>
      </c>
      <c r="E618" s="151" t="s">
        <v>13</v>
      </c>
      <c r="F618" s="152" t="str">
        <f t="shared" si="29"/>
        <v/>
      </c>
      <c r="G618" s="153">
        <f>IF($K618="Padrão",BDI!$B$17,IF($K618="Diferenciado",BDI!$E$17,0))</f>
        <v>0.2039</v>
      </c>
      <c r="H618" s="151" t="str">
        <f t="shared" si="27"/>
        <v/>
      </c>
      <c r="I618" s="152" t="str">
        <f t="shared" si="28"/>
        <v/>
      </c>
      <c r="J618" s="154"/>
      <c r="K618" s="155" t="s">
        <v>2966</v>
      </c>
    </row>
    <row r="619" spans="1:11" hidden="1" x14ac:dyDescent="0.25">
      <c r="A619" s="148" t="s">
        <v>3794</v>
      </c>
      <c r="B619" s="149" t="s">
        <v>3795</v>
      </c>
      <c r="C619" s="150" t="s">
        <v>18</v>
      </c>
      <c r="D619" s="150">
        <v>0</v>
      </c>
      <c r="E619" s="151" t="s">
        <v>13</v>
      </c>
      <c r="F619" s="152" t="str">
        <f t="shared" si="29"/>
        <v/>
      </c>
      <c r="G619" s="153">
        <f>IF($K619="Padrão",BDI!$B$17,IF($K619="Diferenciado",BDI!$E$17,0))</f>
        <v>0.2039</v>
      </c>
      <c r="H619" s="151" t="str">
        <f t="shared" si="27"/>
        <v/>
      </c>
      <c r="I619" s="152" t="str">
        <f t="shared" si="28"/>
        <v/>
      </c>
      <c r="J619" s="154"/>
      <c r="K619" s="155" t="s">
        <v>2966</v>
      </c>
    </row>
    <row r="620" spans="1:11" hidden="1" x14ac:dyDescent="0.25">
      <c r="A620" s="148" t="s">
        <v>3796</v>
      </c>
      <c r="B620" s="149" t="s">
        <v>3797</v>
      </c>
      <c r="C620" s="150" t="s">
        <v>18</v>
      </c>
      <c r="D620" s="150">
        <v>0</v>
      </c>
      <c r="E620" s="151" t="s">
        <v>13</v>
      </c>
      <c r="F620" s="152" t="str">
        <f t="shared" si="29"/>
        <v/>
      </c>
      <c r="G620" s="153">
        <f>IF($K620="Padrão",BDI!$B$17,IF($K620="Diferenciado",BDI!$E$17,0))</f>
        <v>0.2039</v>
      </c>
      <c r="H620" s="151" t="str">
        <f t="shared" si="27"/>
        <v/>
      </c>
      <c r="I620" s="152" t="str">
        <f t="shared" si="28"/>
        <v/>
      </c>
      <c r="J620" s="154"/>
      <c r="K620" s="155" t="s">
        <v>2966</v>
      </c>
    </row>
    <row r="621" spans="1:11" hidden="1" x14ac:dyDescent="0.25">
      <c r="A621" s="148" t="s">
        <v>3798</v>
      </c>
      <c r="B621" s="149" t="s">
        <v>3799</v>
      </c>
      <c r="C621" s="150" t="s">
        <v>18</v>
      </c>
      <c r="D621" s="150">
        <v>0</v>
      </c>
      <c r="E621" s="151" t="s">
        <v>13</v>
      </c>
      <c r="F621" s="152" t="str">
        <f t="shared" si="29"/>
        <v/>
      </c>
      <c r="G621" s="153">
        <f>IF($K621="Padrão",BDI!$B$17,IF($K621="Diferenciado",BDI!$E$17,0))</f>
        <v>0.2039</v>
      </c>
      <c r="H621" s="151" t="str">
        <f t="shared" si="27"/>
        <v/>
      </c>
      <c r="I621" s="152" t="str">
        <f t="shared" si="28"/>
        <v/>
      </c>
      <c r="J621" s="154"/>
      <c r="K621" s="155" t="s">
        <v>2966</v>
      </c>
    </row>
    <row r="622" spans="1:11" hidden="1" x14ac:dyDescent="0.25">
      <c r="A622" s="148" t="s">
        <v>3800</v>
      </c>
      <c r="B622" s="149" t="s">
        <v>3801</v>
      </c>
      <c r="C622" s="150" t="s">
        <v>18</v>
      </c>
      <c r="D622" s="150">
        <v>0</v>
      </c>
      <c r="E622" s="151" t="s">
        <v>13</v>
      </c>
      <c r="F622" s="152" t="str">
        <f t="shared" si="29"/>
        <v/>
      </c>
      <c r="G622" s="153">
        <f>IF($K622="Padrão",BDI!$B$17,IF($K622="Diferenciado",BDI!$E$17,0))</f>
        <v>0.2039</v>
      </c>
      <c r="H622" s="151" t="str">
        <f t="shared" si="27"/>
        <v/>
      </c>
      <c r="I622" s="152" t="str">
        <f t="shared" si="28"/>
        <v/>
      </c>
      <c r="J622" s="154"/>
      <c r="K622" s="155" t="s">
        <v>2966</v>
      </c>
    </row>
    <row r="623" spans="1:11" hidden="1" x14ac:dyDescent="0.25">
      <c r="A623" s="148" t="s">
        <v>3802</v>
      </c>
      <c r="B623" s="149" t="s">
        <v>3803</v>
      </c>
      <c r="C623" s="150" t="s">
        <v>18</v>
      </c>
      <c r="D623" s="150">
        <v>0</v>
      </c>
      <c r="E623" s="151" t="s">
        <v>13</v>
      </c>
      <c r="F623" s="152" t="str">
        <f t="shared" si="29"/>
        <v/>
      </c>
      <c r="G623" s="153">
        <f>IF($K623="Padrão",BDI!$B$17,IF($K623="Diferenciado",BDI!$E$17,0))</f>
        <v>0.2039</v>
      </c>
      <c r="H623" s="151" t="str">
        <f t="shared" si="27"/>
        <v/>
      </c>
      <c r="I623" s="152" t="str">
        <f t="shared" si="28"/>
        <v/>
      </c>
      <c r="J623" s="154"/>
      <c r="K623" s="155" t="s">
        <v>2966</v>
      </c>
    </row>
    <row r="624" spans="1:11" hidden="1" x14ac:dyDescent="0.25">
      <c r="A624" s="148" t="s">
        <v>3804</v>
      </c>
      <c r="B624" s="149" t="s">
        <v>3805</v>
      </c>
      <c r="C624" s="150" t="s">
        <v>18</v>
      </c>
      <c r="D624" s="150">
        <v>0</v>
      </c>
      <c r="E624" s="151" t="s">
        <v>13</v>
      </c>
      <c r="F624" s="152" t="str">
        <f t="shared" si="29"/>
        <v/>
      </c>
      <c r="G624" s="153">
        <f>IF($K624="Padrão",BDI!$B$17,IF($K624="Diferenciado",BDI!$E$17,0))</f>
        <v>0.2039</v>
      </c>
      <c r="H624" s="151" t="str">
        <f t="shared" si="27"/>
        <v/>
      </c>
      <c r="I624" s="152" t="str">
        <f t="shared" si="28"/>
        <v/>
      </c>
      <c r="J624" s="154"/>
      <c r="K624" s="155" t="s">
        <v>2966</v>
      </c>
    </row>
    <row r="625" spans="1:11" hidden="1" x14ac:dyDescent="0.25">
      <c r="A625" s="148" t="s">
        <v>3806</v>
      </c>
      <c r="B625" s="149" t="s">
        <v>3807</v>
      </c>
      <c r="C625" s="150" t="s">
        <v>18</v>
      </c>
      <c r="D625" s="150">
        <v>0</v>
      </c>
      <c r="E625" s="151" t="s">
        <v>13</v>
      </c>
      <c r="F625" s="152" t="str">
        <f t="shared" si="29"/>
        <v/>
      </c>
      <c r="G625" s="153">
        <f>IF($K625="Padrão",BDI!$B$17,IF($K625="Diferenciado",BDI!$E$17,0))</f>
        <v>0.2039</v>
      </c>
      <c r="H625" s="151" t="str">
        <f t="shared" si="27"/>
        <v/>
      </c>
      <c r="I625" s="152" t="str">
        <f t="shared" si="28"/>
        <v/>
      </c>
      <c r="J625" s="154"/>
      <c r="K625" s="155" t="s">
        <v>2966</v>
      </c>
    </row>
    <row r="626" spans="1:11" hidden="1" x14ac:dyDescent="0.25">
      <c r="A626" s="148" t="s">
        <v>3808</v>
      </c>
      <c r="B626" s="149" t="s">
        <v>3809</v>
      </c>
      <c r="C626" s="150" t="s">
        <v>18</v>
      </c>
      <c r="D626" s="150">
        <v>0</v>
      </c>
      <c r="E626" s="151" t="s">
        <v>13</v>
      </c>
      <c r="F626" s="152" t="str">
        <f t="shared" si="29"/>
        <v/>
      </c>
      <c r="G626" s="153">
        <f>IF($K626="Padrão",BDI!$B$17,IF($K626="Diferenciado",BDI!$E$17,0))</f>
        <v>0.2039</v>
      </c>
      <c r="H626" s="151" t="str">
        <f t="shared" si="27"/>
        <v/>
      </c>
      <c r="I626" s="152" t="str">
        <f t="shared" si="28"/>
        <v/>
      </c>
      <c r="J626" s="154"/>
      <c r="K626" s="155" t="s">
        <v>2966</v>
      </c>
    </row>
    <row r="627" spans="1:11" hidden="1" x14ac:dyDescent="0.25">
      <c r="A627" s="148" t="s">
        <v>3810</v>
      </c>
      <c r="B627" s="149" t="s">
        <v>3811</v>
      </c>
      <c r="C627" s="150" t="s">
        <v>18</v>
      </c>
      <c r="D627" s="150">
        <v>0</v>
      </c>
      <c r="E627" s="151" t="s">
        <v>13</v>
      </c>
      <c r="F627" s="152" t="str">
        <f t="shared" si="29"/>
        <v/>
      </c>
      <c r="G627" s="153">
        <f>IF($K627="Padrão",BDI!$B$17,IF($K627="Diferenciado",BDI!$E$17,0))</f>
        <v>0.2039</v>
      </c>
      <c r="H627" s="151" t="str">
        <f t="shared" si="27"/>
        <v/>
      </c>
      <c r="I627" s="152" t="str">
        <f t="shared" si="28"/>
        <v/>
      </c>
      <c r="J627" s="154"/>
      <c r="K627" s="155" t="s">
        <v>2966</v>
      </c>
    </row>
    <row r="628" spans="1:11" hidden="1" x14ac:dyDescent="0.25">
      <c r="A628" s="148" t="s">
        <v>3812</v>
      </c>
      <c r="B628" s="149" t="s">
        <v>3813</v>
      </c>
      <c r="C628" s="150" t="s">
        <v>18</v>
      </c>
      <c r="D628" s="150">
        <v>0</v>
      </c>
      <c r="E628" s="151" t="s">
        <v>13</v>
      </c>
      <c r="F628" s="152" t="str">
        <f t="shared" si="29"/>
        <v/>
      </c>
      <c r="G628" s="153">
        <f>IF($K628="Padrão",BDI!$B$17,IF($K628="Diferenciado",BDI!$E$17,0))</f>
        <v>0.2039</v>
      </c>
      <c r="H628" s="151" t="str">
        <f t="shared" si="27"/>
        <v/>
      </c>
      <c r="I628" s="152" t="str">
        <f t="shared" si="28"/>
        <v/>
      </c>
      <c r="J628" s="154"/>
      <c r="K628" s="155" t="s">
        <v>2966</v>
      </c>
    </row>
    <row r="629" spans="1:11" hidden="1" x14ac:dyDescent="0.25">
      <c r="A629" s="148" t="s">
        <v>3814</v>
      </c>
      <c r="B629" s="149" t="s">
        <v>3815</v>
      </c>
      <c r="C629" s="150" t="s">
        <v>18</v>
      </c>
      <c r="D629" s="150">
        <v>0</v>
      </c>
      <c r="E629" s="151" t="s">
        <v>13</v>
      </c>
      <c r="F629" s="152" t="str">
        <f t="shared" si="29"/>
        <v/>
      </c>
      <c r="G629" s="153">
        <f>IF($K629="Padrão",BDI!$B$17,IF($K629="Diferenciado",BDI!$E$17,0))</f>
        <v>0.2039</v>
      </c>
      <c r="H629" s="151" t="str">
        <f t="shared" si="27"/>
        <v/>
      </c>
      <c r="I629" s="152" t="str">
        <f t="shared" si="28"/>
        <v/>
      </c>
      <c r="J629" s="154"/>
      <c r="K629" s="155" t="s">
        <v>2966</v>
      </c>
    </row>
    <row r="630" spans="1:11" hidden="1" x14ac:dyDescent="0.25">
      <c r="A630" s="148" t="s">
        <v>3816</v>
      </c>
      <c r="B630" s="149" t="s">
        <v>3817</v>
      </c>
      <c r="C630" s="150" t="s">
        <v>18</v>
      </c>
      <c r="D630" s="150">
        <v>0</v>
      </c>
      <c r="E630" s="151" t="s">
        <v>13</v>
      </c>
      <c r="F630" s="152" t="str">
        <f t="shared" si="29"/>
        <v/>
      </c>
      <c r="G630" s="153">
        <f>IF($K630="Padrão",BDI!$B$17,IF($K630="Diferenciado",BDI!$E$17,0))</f>
        <v>0.2039</v>
      </c>
      <c r="H630" s="151" t="str">
        <f t="shared" si="27"/>
        <v/>
      </c>
      <c r="I630" s="152" t="str">
        <f t="shared" si="28"/>
        <v/>
      </c>
      <c r="J630" s="154"/>
      <c r="K630" s="155" t="s">
        <v>2966</v>
      </c>
    </row>
    <row r="631" spans="1:11" hidden="1" x14ac:dyDescent="0.25">
      <c r="A631" s="148" t="s">
        <v>3818</v>
      </c>
      <c r="B631" s="149" t="s">
        <v>3819</v>
      </c>
      <c r="C631" s="150" t="s">
        <v>18</v>
      </c>
      <c r="D631" s="150">
        <v>0</v>
      </c>
      <c r="E631" s="151" t="s">
        <v>13</v>
      </c>
      <c r="F631" s="152" t="str">
        <f t="shared" si="29"/>
        <v/>
      </c>
      <c r="G631" s="153">
        <f>IF($K631="Padrão",BDI!$B$17,IF($K631="Diferenciado",BDI!$E$17,0))</f>
        <v>0.2039</v>
      </c>
      <c r="H631" s="151" t="str">
        <f t="shared" si="27"/>
        <v/>
      </c>
      <c r="I631" s="152" t="str">
        <f t="shared" si="28"/>
        <v/>
      </c>
      <c r="J631" s="154"/>
      <c r="K631" s="155" t="s">
        <v>2966</v>
      </c>
    </row>
    <row r="632" spans="1:11" hidden="1" x14ac:dyDescent="0.25">
      <c r="A632" s="148" t="s">
        <v>3820</v>
      </c>
      <c r="B632" s="149" t="s">
        <v>3821</v>
      </c>
      <c r="C632" s="150" t="s">
        <v>18</v>
      </c>
      <c r="D632" s="150">
        <v>0</v>
      </c>
      <c r="E632" s="151" t="s">
        <v>13</v>
      </c>
      <c r="F632" s="152" t="str">
        <f t="shared" si="29"/>
        <v/>
      </c>
      <c r="G632" s="153">
        <f>IF($K632="Padrão",BDI!$B$17,IF($K632="Diferenciado",BDI!$E$17,0))</f>
        <v>0.2039</v>
      </c>
      <c r="H632" s="151" t="str">
        <f t="shared" si="27"/>
        <v/>
      </c>
      <c r="I632" s="152" t="str">
        <f t="shared" si="28"/>
        <v/>
      </c>
      <c r="J632" s="154"/>
      <c r="K632" s="155" t="s">
        <v>2966</v>
      </c>
    </row>
    <row r="633" spans="1:11" hidden="1" x14ac:dyDescent="0.25">
      <c r="A633" s="148" t="s">
        <v>3822</v>
      </c>
      <c r="B633" s="149" t="s">
        <v>3823</v>
      </c>
      <c r="C633" s="150" t="s">
        <v>18</v>
      </c>
      <c r="D633" s="150">
        <v>0</v>
      </c>
      <c r="E633" s="151" t="s">
        <v>13</v>
      </c>
      <c r="F633" s="152" t="str">
        <f t="shared" si="29"/>
        <v/>
      </c>
      <c r="G633" s="153">
        <f>IF($K633="Padrão",BDI!$B$17,IF($K633="Diferenciado",BDI!$E$17,0))</f>
        <v>0.2039</v>
      </c>
      <c r="H633" s="151" t="str">
        <f t="shared" si="27"/>
        <v/>
      </c>
      <c r="I633" s="152" t="str">
        <f t="shared" si="28"/>
        <v/>
      </c>
      <c r="J633" s="154"/>
      <c r="K633" s="155" t="s">
        <v>2966</v>
      </c>
    </row>
    <row r="634" spans="1:11" hidden="1" x14ac:dyDescent="0.25">
      <c r="A634" s="148" t="s">
        <v>3824</v>
      </c>
      <c r="B634" s="149" t="s">
        <v>3825</v>
      </c>
      <c r="C634" s="150" t="s">
        <v>18</v>
      </c>
      <c r="D634" s="150">
        <v>0</v>
      </c>
      <c r="E634" s="151" t="s">
        <v>13</v>
      </c>
      <c r="F634" s="152" t="str">
        <f t="shared" si="29"/>
        <v/>
      </c>
      <c r="G634" s="153">
        <f>IF($K634="Padrão",BDI!$B$17,IF($K634="Diferenciado",BDI!$E$17,0))</f>
        <v>0.2039</v>
      </c>
      <c r="H634" s="151" t="str">
        <f t="shared" si="27"/>
        <v/>
      </c>
      <c r="I634" s="152" t="str">
        <f t="shared" si="28"/>
        <v/>
      </c>
      <c r="J634" s="154"/>
      <c r="K634" s="155" t="s">
        <v>2966</v>
      </c>
    </row>
    <row r="635" spans="1:11" hidden="1" x14ac:dyDescent="0.25">
      <c r="A635" s="148" t="s">
        <v>3826</v>
      </c>
      <c r="B635" s="149" t="s">
        <v>3827</v>
      </c>
      <c r="C635" s="150" t="s">
        <v>18</v>
      </c>
      <c r="D635" s="150">
        <v>0</v>
      </c>
      <c r="E635" s="151" t="s">
        <v>13</v>
      </c>
      <c r="F635" s="152" t="str">
        <f t="shared" si="29"/>
        <v/>
      </c>
      <c r="G635" s="153">
        <f>IF($K635="Padrão",BDI!$B$17,IF($K635="Diferenciado",BDI!$E$17,0))</f>
        <v>0.2039</v>
      </c>
      <c r="H635" s="151" t="str">
        <f t="shared" si="27"/>
        <v/>
      </c>
      <c r="I635" s="152" t="str">
        <f t="shared" si="28"/>
        <v/>
      </c>
      <c r="J635" s="154"/>
      <c r="K635" s="155" t="s">
        <v>2966</v>
      </c>
    </row>
    <row r="636" spans="1:11" hidden="1" x14ac:dyDescent="0.25">
      <c r="A636" s="148" t="s">
        <v>3828</v>
      </c>
      <c r="B636" s="149" t="s">
        <v>3829</v>
      </c>
      <c r="C636" s="150" t="s">
        <v>18</v>
      </c>
      <c r="D636" s="150">
        <v>0</v>
      </c>
      <c r="E636" s="151" t="s">
        <v>13</v>
      </c>
      <c r="F636" s="152" t="str">
        <f t="shared" si="29"/>
        <v/>
      </c>
      <c r="G636" s="153">
        <f>IF($K636="Padrão",BDI!$B$17,IF($K636="Diferenciado",BDI!$E$17,0))</f>
        <v>0.2039</v>
      </c>
      <c r="H636" s="151" t="str">
        <f t="shared" si="27"/>
        <v/>
      </c>
      <c r="I636" s="152" t="str">
        <f t="shared" si="28"/>
        <v/>
      </c>
      <c r="J636" s="154"/>
      <c r="K636" s="155" t="s">
        <v>2966</v>
      </c>
    </row>
    <row r="637" spans="1:11" hidden="1" x14ac:dyDescent="0.25">
      <c r="A637" s="148" t="s">
        <v>3830</v>
      </c>
      <c r="B637" s="149" t="s">
        <v>3831</v>
      </c>
      <c r="C637" s="150" t="s">
        <v>18</v>
      </c>
      <c r="D637" s="150">
        <v>0</v>
      </c>
      <c r="E637" s="151" t="s">
        <v>13</v>
      </c>
      <c r="F637" s="152" t="str">
        <f t="shared" si="29"/>
        <v/>
      </c>
      <c r="G637" s="153">
        <f>IF($K637="Padrão",BDI!$B$17,IF($K637="Diferenciado",BDI!$E$17,0))</f>
        <v>0.2039</v>
      </c>
      <c r="H637" s="151" t="str">
        <f t="shared" si="27"/>
        <v/>
      </c>
      <c r="I637" s="152" t="str">
        <f t="shared" si="28"/>
        <v/>
      </c>
      <c r="J637" s="154"/>
      <c r="K637" s="155" t="s">
        <v>2966</v>
      </c>
    </row>
    <row r="638" spans="1:11" hidden="1" x14ac:dyDescent="0.25">
      <c r="A638" s="148" t="s">
        <v>3832</v>
      </c>
      <c r="B638" s="149" t="s">
        <v>3833</v>
      </c>
      <c r="C638" s="150" t="s">
        <v>18</v>
      </c>
      <c r="D638" s="150">
        <v>0</v>
      </c>
      <c r="E638" s="151" t="s">
        <v>13</v>
      </c>
      <c r="F638" s="152" t="str">
        <f t="shared" si="29"/>
        <v/>
      </c>
      <c r="G638" s="153">
        <f>IF($K638="Padrão",BDI!$B$17,IF($K638="Diferenciado",BDI!$E$17,0))</f>
        <v>0.2039</v>
      </c>
      <c r="H638" s="151" t="str">
        <f t="shared" si="27"/>
        <v/>
      </c>
      <c r="I638" s="152" t="str">
        <f t="shared" si="28"/>
        <v/>
      </c>
      <c r="J638" s="154"/>
      <c r="K638" s="155" t="s">
        <v>2966</v>
      </c>
    </row>
    <row r="639" spans="1:11" hidden="1" x14ac:dyDescent="0.25">
      <c r="A639" s="148" t="s">
        <v>3834</v>
      </c>
      <c r="B639" s="149" t="s">
        <v>3835</v>
      </c>
      <c r="C639" s="150" t="s">
        <v>18</v>
      </c>
      <c r="D639" s="150">
        <v>0</v>
      </c>
      <c r="E639" s="151" t="s">
        <v>13</v>
      </c>
      <c r="F639" s="152" t="str">
        <f t="shared" si="29"/>
        <v/>
      </c>
      <c r="G639" s="153">
        <f>IF($K639="Padrão",BDI!$B$17,IF($K639="Diferenciado",BDI!$E$17,0))</f>
        <v>0.2039</v>
      </c>
      <c r="H639" s="151" t="str">
        <f t="shared" si="27"/>
        <v/>
      </c>
      <c r="I639" s="152" t="str">
        <f t="shared" si="28"/>
        <v/>
      </c>
      <c r="J639" s="154"/>
      <c r="K639" s="155" t="s">
        <v>2966</v>
      </c>
    </row>
    <row r="640" spans="1:11" hidden="1" x14ac:dyDescent="0.25">
      <c r="A640" s="148" t="s">
        <v>3836</v>
      </c>
      <c r="B640" s="149" t="s">
        <v>3837</v>
      </c>
      <c r="C640" s="150" t="s">
        <v>18</v>
      </c>
      <c r="D640" s="150">
        <v>0</v>
      </c>
      <c r="E640" s="151" t="s">
        <v>13</v>
      </c>
      <c r="F640" s="152" t="str">
        <f t="shared" si="29"/>
        <v/>
      </c>
      <c r="G640" s="153">
        <f>IF($K640="Padrão",BDI!$B$17,IF($K640="Diferenciado",BDI!$E$17,0))</f>
        <v>0.2039</v>
      </c>
      <c r="H640" s="151" t="str">
        <f t="shared" si="27"/>
        <v/>
      </c>
      <c r="I640" s="152" t="str">
        <f t="shared" si="28"/>
        <v/>
      </c>
      <c r="J640" s="154"/>
      <c r="K640" s="155" t="s">
        <v>2966</v>
      </c>
    </row>
    <row r="641" spans="1:11" hidden="1" x14ac:dyDescent="0.25">
      <c r="A641" s="148" t="s">
        <v>3838</v>
      </c>
      <c r="B641" s="149" t="s">
        <v>3839</v>
      </c>
      <c r="C641" s="150" t="s">
        <v>18</v>
      </c>
      <c r="D641" s="150">
        <v>0</v>
      </c>
      <c r="E641" s="151" t="s">
        <v>13</v>
      </c>
      <c r="F641" s="152" t="str">
        <f t="shared" si="29"/>
        <v/>
      </c>
      <c r="G641" s="153">
        <f>IF($K641="Padrão",BDI!$B$17,IF($K641="Diferenciado",BDI!$E$17,0))</f>
        <v>0.2039</v>
      </c>
      <c r="H641" s="151" t="str">
        <f t="shared" si="27"/>
        <v/>
      </c>
      <c r="I641" s="152" t="str">
        <f t="shared" si="28"/>
        <v/>
      </c>
      <c r="J641" s="154"/>
      <c r="K641" s="155" t="s">
        <v>2966</v>
      </c>
    </row>
    <row r="642" spans="1:11" hidden="1" x14ac:dyDescent="0.25">
      <c r="A642" s="148" t="s">
        <v>3840</v>
      </c>
      <c r="B642" s="149" t="s">
        <v>3841</v>
      </c>
      <c r="C642" s="150" t="s">
        <v>18</v>
      </c>
      <c r="D642" s="150">
        <v>0</v>
      </c>
      <c r="E642" s="151" t="s">
        <v>13</v>
      </c>
      <c r="F642" s="152" t="str">
        <f t="shared" si="29"/>
        <v/>
      </c>
      <c r="G642" s="153">
        <f>IF($K642="Padrão",BDI!$B$17,IF($K642="Diferenciado",BDI!$E$17,0))</f>
        <v>0.2039</v>
      </c>
      <c r="H642" s="151" t="str">
        <f t="shared" si="27"/>
        <v/>
      </c>
      <c r="I642" s="152" t="str">
        <f t="shared" si="28"/>
        <v/>
      </c>
      <c r="J642" s="154"/>
      <c r="K642" s="155" t="s">
        <v>2966</v>
      </c>
    </row>
    <row r="643" spans="1:11" hidden="1" x14ac:dyDescent="0.25">
      <c r="A643" s="148" t="s">
        <v>3842</v>
      </c>
      <c r="B643" s="149" t="s">
        <v>3843</v>
      </c>
      <c r="C643" s="150" t="s">
        <v>18</v>
      </c>
      <c r="D643" s="150">
        <v>0</v>
      </c>
      <c r="E643" s="151" t="s">
        <v>13</v>
      </c>
      <c r="F643" s="152" t="str">
        <f t="shared" si="29"/>
        <v/>
      </c>
      <c r="G643" s="153">
        <f>IF($K643="Padrão",BDI!$B$17,IF($K643="Diferenciado",BDI!$E$17,0))</f>
        <v>0.2039</v>
      </c>
      <c r="H643" s="151" t="str">
        <f t="shared" si="27"/>
        <v/>
      </c>
      <c r="I643" s="152" t="str">
        <f t="shared" si="28"/>
        <v/>
      </c>
      <c r="J643" s="154"/>
      <c r="K643" s="155" t="s">
        <v>2966</v>
      </c>
    </row>
    <row r="644" spans="1:11" hidden="1" x14ac:dyDescent="0.25">
      <c r="A644" s="148" t="s">
        <v>3844</v>
      </c>
      <c r="B644" s="149" t="s">
        <v>3845</v>
      </c>
      <c r="C644" s="150" t="s">
        <v>18</v>
      </c>
      <c r="D644" s="150">
        <v>0</v>
      </c>
      <c r="E644" s="151" t="s">
        <v>13</v>
      </c>
      <c r="F644" s="152" t="str">
        <f t="shared" si="29"/>
        <v/>
      </c>
      <c r="G644" s="153">
        <f>IF($K644="Padrão",BDI!$B$17,IF($K644="Diferenciado",BDI!$E$17,0))</f>
        <v>0.2039</v>
      </c>
      <c r="H644" s="151" t="str">
        <f t="shared" si="27"/>
        <v/>
      </c>
      <c r="I644" s="152" t="str">
        <f t="shared" si="28"/>
        <v/>
      </c>
      <c r="J644" s="154"/>
      <c r="K644" s="155" t="s">
        <v>2966</v>
      </c>
    </row>
    <row r="645" spans="1:11" hidden="1" x14ac:dyDescent="0.25">
      <c r="A645" s="148" t="s">
        <v>3846</v>
      </c>
      <c r="B645" s="149" t="s">
        <v>3847</v>
      </c>
      <c r="C645" s="150" t="s">
        <v>18</v>
      </c>
      <c r="D645" s="150">
        <v>0</v>
      </c>
      <c r="E645" s="151" t="s">
        <v>13</v>
      </c>
      <c r="F645" s="152" t="str">
        <f t="shared" si="29"/>
        <v/>
      </c>
      <c r="G645" s="153">
        <f>IF($K645="Padrão",BDI!$B$17,IF($K645="Diferenciado",BDI!$E$17,0))</f>
        <v>0.2039</v>
      </c>
      <c r="H645" s="151" t="str">
        <f t="shared" si="27"/>
        <v/>
      </c>
      <c r="I645" s="152" t="str">
        <f t="shared" si="28"/>
        <v/>
      </c>
      <c r="J645" s="154"/>
      <c r="K645" s="155" t="s">
        <v>2966</v>
      </c>
    </row>
    <row r="646" spans="1:11" hidden="1" x14ac:dyDescent="0.25">
      <c r="A646" s="148" t="s">
        <v>3848</v>
      </c>
      <c r="B646" s="149" t="s">
        <v>3849</v>
      </c>
      <c r="C646" s="150" t="s">
        <v>18</v>
      </c>
      <c r="D646" s="150">
        <v>0</v>
      </c>
      <c r="E646" s="151" t="s">
        <v>13</v>
      </c>
      <c r="F646" s="152" t="str">
        <f t="shared" si="29"/>
        <v/>
      </c>
      <c r="G646" s="153">
        <f>IF($K646="Padrão",BDI!$B$17,IF($K646="Diferenciado",BDI!$E$17,0))</f>
        <v>0.2039</v>
      </c>
      <c r="H646" s="151" t="str">
        <f t="shared" ref="H646:H709" si="30">IF(ISNUMBER(E646),ROUND(E646*(1+G646),2),"")</f>
        <v/>
      </c>
      <c r="I646" s="152" t="str">
        <f t="shared" ref="I646:I709" si="31">IF(ISNUMBER(E646),ROUND(H646*D646,2),"")</f>
        <v/>
      </c>
      <c r="J646" s="154"/>
      <c r="K646" s="155" t="s">
        <v>2966</v>
      </c>
    </row>
    <row r="647" spans="1:11" hidden="1" x14ac:dyDescent="0.25">
      <c r="A647" s="148" t="s">
        <v>3850</v>
      </c>
      <c r="B647" s="149" t="s">
        <v>3851</v>
      </c>
      <c r="C647" s="150" t="s">
        <v>18</v>
      </c>
      <c r="D647" s="150">
        <v>0</v>
      </c>
      <c r="E647" s="151" t="s">
        <v>13</v>
      </c>
      <c r="F647" s="152" t="str">
        <f t="shared" ref="F647:F710" si="32">IF(ISNUMBER(E647),D647*E647,"")</f>
        <v/>
      </c>
      <c r="G647" s="153">
        <f>IF($K647="Padrão",BDI!$B$17,IF($K647="Diferenciado",BDI!$E$17,0))</f>
        <v>0.2039</v>
      </c>
      <c r="H647" s="151" t="str">
        <f t="shared" si="30"/>
        <v/>
      </c>
      <c r="I647" s="152" t="str">
        <f t="shared" si="31"/>
        <v/>
      </c>
      <c r="J647" s="154"/>
      <c r="K647" s="155" t="s">
        <v>2966</v>
      </c>
    </row>
    <row r="648" spans="1:11" hidden="1" x14ac:dyDescent="0.25">
      <c r="A648" s="148" t="s">
        <v>3852</v>
      </c>
      <c r="B648" s="149" t="s">
        <v>3853</v>
      </c>
      <c r="C648" s="150" t="s">
        <v>18</v>
      </c>
      <c r="D648" s="150">
        <v>0</v>
      </c>
      <c r="E648" s="151" t="s">
        <v>13</v>
      </c>
      <c r="F648" s="152" t="str">
        <f t="shared" si="32"/>
        <v/>
      </c>
      <c r="G648" s="153">
        <f>IF($K648="Padrão",BDI!$B$17,IF($K648="Diferenciado",BDI!$E$17,0))</f>
        <v>0.2039</v>
      </c>
      <c r="H648" s="151" t="str">
        <f t="shared" si="30"/>
        <v/>
      </c>
      <c r="I648" s="152" t="str">
        <f t="shared" si="31"/>
        <v/>
      </c>
      <c r="J648" s="154"/>
      <c r="K648" s="155" t="s">
        <v>2966</v>
      </c>
    </row>
    <row r="649" spans="1:11" hidden="1" x14ac:dyDescent="0.25">
      <c r="A649" s="148" t="s">
        <v>3854</v>
      </c>
      <c r="B649" s="149" t="s">
        <v>3855</v>
      </c>
      <c r="C649" s="150" t="s">
        <v>72</v>
      </c>
      <c r="D649" s="150">
        <v>0</v>
      </c>
      <c r="E649" s="151" t="s">
        <v>13</v>
      </c>
      <c r="F649" s="152" t="str">
        <f t="shared" si="32"/>
        <v/>
      </c>
      <c r="G649" s="153">
        <f>IF($K649="Padrão",BDI!$B$17,IF($K649="Diferenciado",BDI!$E$17,0))</f>
        <v>0.2039</v>
      </c>
      <c r="H649" s="151" t="str">
        <f t="shared" si="30"/>
        <v/>
      </c>
      <c r="I649" s="152" t="str">
        <f t="shared" si="31"/>
        <v/>
      </c>
      <c r="J649" s="154"/>
      <c r="K649" s="155" t="s">
        <v>2966</v>
      </c>
    </row>
    <row r="650" spans="1:11" hidden="1" x14ac:dyDescent="0.25">
      <c r="A650" s="148" t="s">
        <v>3856</v>
      </c>
      <c r="B650" s="149" t="s">
        <v>3857</v>
      </c>
      <c r="C650" s="150" t="s">
        <v>70</v>
      </c>
      <c r="D650" s="150">
        <v>0</v>
      </c>
      <c r="E650" s="151" t="s">
        <v>13</v>
      </c>
      <c r="F650" s="152" t="str">
        <f t="shared" si="32"/>
        <v/>
      </c>
      <c r="G650" s="153">
        <f>IF($K650="Padrão",BDI!$B$17,IF($K650="Diferenciado",BDI!$E$17,0))</f>
        <v>0.2039</v>
      </c>
      <c r="H650" s="151" t="str">
        <f t="shared" si="30"/>
        <v/>
      </c>
      <c r="I650" s="152" t="str">
        <f t="shared" si="31"/>
        <v/>
      </c>
      <c r="J650" s="154"/>
      <c r="K650" s="155" t="s">
        <v>2966</v>
      </c>
    </row>
    <row r="651" spans="1:11" hidden="1" x14ac:dyDescent="0.25">
      <c r="A651" s="148" t="s">
        <v>3858</v>
      </c>
      <c r="B651" s="149" t="s">
        <v>3859</v>
      </c>
      <c r="C651" s="150" t="s">
        <v>70</v>
      </c>
      <c r="D651" s="150">
        <v>0</v>
      </c>
      <c r="E651" s="151" t="s">
        <v>13</v>
      </c>
      <c r="F651" s="152" t="str">
        <f t="shared" si="32"/>
        <v/>
      </c>
      <c r="G651" s="153">
        <f>IF($K651="Padrão",BDI!$B$17,IF($K651="Diferenciado",BDI!$E$17,0))</f>
        <v>0.2039</v>
      </c>
      <c r="H651" s="151" t="str">
        <f t="shared" si="30"/>
        <v/>
      </c>
      <c r="I651" s="152" t="str">
        <f t="shared" si="31"/>
        <v/>
      </c>
      <c r="J651" s="154"/>
      <c r="K651" s="155" t="s">
        <v>2966</v>
      </c>
    </row>
    <row r="652" spans="1:11" hidden="1" x14ac:dyDescent="0.25">
      <c r="A652" s="148" t="s">
        <v>3860</v>
      </c>
      <c r="B652" s="149" t="s">
        <v>3861</v>
      </c>
      <c r="C652" s="150" t="s">
        <v>70</v>
      </c>
      <c r="D652" s="150">
        <v>0</v>
      </c>
      <c r="E652" s="151" t="s">
        <v>13</v>
      </c>
      <c r="F652" s="152" t="str">
        <f t="shared" si="32"/>
        <v/>
      </c>
      <c r="G652" s="153">
        <f>IF($K652="Padrão",BDI!$B$17,IF($K652="Diferenciado",BDI!$E$17,0))</f>
        <v>0.2039</v>
      </c>
      <c r="H652" s="151" t="str">
        <f t="shared" si="30"/>
        <v/>
      </c>
      <c r="I652" s="152" t="str">
        <f t="shared" si="31"/>
        <v/>
      </c>
      <c r="J652" s="154"/>
      <c r="K652" s="155" t="s">
        <v>2966</v>
      </c>
    </row>
    <row r="653" spans="1:11" hidden="1" x14ac:dyDescent="0.25">
      <c r="A653" s="148" t="s">
        <v>3862</v>
      </c>
      <c r="B653" s="149" t="s">
        <v>3863</v>
      </c>
      <c r="C653" s="150" t="s">
        <v>70</v>
      </c>
      <c r="D653" s="150">
        <v>0</v>
      </c>
      <c r="E653" s="151" t="s">
        <v>13</v>
      </c>
      <c r="F653" s="152" t="str">
        <f t="shared" si="32"/>
        <v/>
      </c>
      <c r="G653" s="153">
        <f>IF($K653="Padrão",BDI!$B$17,IF($K653="Diferenciado",BDI!$E$17,0))</f>
        <v>0.2039</v>
      </c>
      <c r="H653" s="151" t="str">
        <f t="shared" si="30"/>
        <v/>
      </c>
      <c r="I653" s="152" t="str">
        <f t="shared" si="31"/>
        <v/>
      </c>
      <c r="J653" s="154"/>
      <c r="K653" s="155" t="s">
        <v>2966</v>
      </c>
    </row>
    <row r="654" spans="1:11" hidden="1" x14ac:dyDescent="0.25">
      <c r="A654" s="148" t="s">
        <v>3864</v>
      </c>
      <c r="B654" s="149" t="s">
        <v>3865</v>
      </c>
      <c r="C654" s="150" t="s">
        <v>70</v>
      </c>
      <c r="D654" s="150">
        <v>0</v>
      </c>
      <c r="E654" s="151" t="s">
        <v>13</v>
      </c>
      <c r="F654" s="152" t="str">
        <f t="shared" si="32"/>
        <v/>
      </c>
      <c r="G654" s="153">
        <f>IF($K654="Padrão",BDI!$B$17,IF($K654="Diferenciado",BDI!$E$17,0))</f>
        <v>0.2039</v>
      </c>
      <c r="H654" s="151" t="str">
        <f t="shared" si="30"/>
        <v/>
      </c>
      <c r="I654" s="152" t="str">
        <f t="shared" si="31"/>
        <v/>
      </c>
      <c r="J654" s="154"/>
      <c r="K654" s="155" t="s">
        <v>2966</v>
      </c>
    </row>
    <row r="655" spans="1:11" hidden="1" x14ac:dyDescent="0.25">
      <c r="A655" s="148" t="s">
        <v>3866</v>
      </c>
      <c r="B655" s="149" t="s">
        <v>3867</v>
      </c>
      <c r="C655" s="150" t="s">
        <v>18</v>
      </c>
      <c r="D655" s="150">
        <v>0</v>
      </c>
      <c r="E655" s="151" t="s">
        <v>13</v>
      </c>
      <c r="F655" s="152" t="str">
        <f t="shared" si="32"/>
        <v/>
      </c>
      <c r="G655" s="153">
        <f>IF($K655="Padrão",BDI!$B$17,IF($K655="Diferenciado",BDI!$E$17,0))</f>
        <v>0.2039</v>
      </c>
      <c r="H655" s="151" t="str">
        <f t="shared" si="30"/>
        <v/>
      </c>
      <c r="I655" s="152" t="str">
        <f t="shared" si="31"/>
        <v/>
      </c>
      <c r="J655" s="154"/>
      <c r="K655" s="155" t="s">
        <v>2966</v>
      </c>
    </row>
    <row r="656" spans="1:11" hidden="1" x14ac:dyDescent="0.25">
      <c r="A656" s="148" t="s">
        <v>3868</v>
      </c>
      <c r="B656" s="149" t="s">
        <v>3869</v>
      </c>
      <c r="C656" s="150" t="s">
        <v>72</v>
      </c>
      <c r="D656" s="150">
        <v>0</v>
      </c>
      <c r="E656" s="151" t="s">
        <v>13</v>
      </c>
      <c r="F656" s="152" t="str">
        <f t="shared" si="32"/>
        <v/>
      </c>
      <c r="G656" s="153">
        <f>IF($K656="Padrão",BDI!$B$17,IF($K656="Diferenciado",BDI!$E$17,0))</f>
        <v>0.2039</v>
      </c>
      <c r="H656" s="151" t="str">
        <f t="shared" si="30"/>
        <v/>
      </c>
      <c r="I656" s="152" t="str">
        <f t="shared" si="31"/>
        <v/>
      </c>
      <c r="J656" s="154"/>
      <c r="K656" s="155" t="s">
        <v>2966</v>
      </c>
    </row>
    <row r="657" spans="1:11" hidden="1" x14ac:dyDescent="0.25">
      <c r="A657" s="148" t="s">
        <v>3870</v>
      </c>
      <c r="B657" s="149" t="s">
        <v>3871</v>
      </c>
      <c r="C657" s="150" t="s">
        <v>18</v>
      </c>
      <c r="D657" s="150">
        <v>0</v>
      </c>
      <c r="E657" s="151" t="s">
        <v>13</v>
      </c>
      <c r="F657" s="152" t="str">
        <f t="shared" si="32"/>
        <v/>
      </c>
      <c r="G657" s="153">
        <f>IF($K657="Padrão",BDI!$B$17,IF($K657="Diferenciado",BDI!$E$17,0))</f>
        <v>0.2039</v>
      </c>
      <c r="H657" s="151" t="str">
        <f t="shared" si="30"/>
        <v/>
      </c>
      <c r="I657" s="152" t="str">
        <f t="shared" si="31"/>
        <v/>
      </c>
      <c r="J657" s="154"/>
      <c r="K657" s="155" t="s">
        <v>2966</v>
      </c>
    </row>
    <row r="658" spans="1:11" hidden="1" x14ac:dyDescent="0.25">
      <c r="A658" s="148" t="s">
        <v>3872</v>
      </c>
      <c r="B658" s="149" t="s">
        <v>3873</v>
      </c>
      <c r="C658" s="150" t="s">
        <v>18</v>
      </c>
      <c r="D658" s="150">
        <v>0</v>
      </c>
      <c r="E658" s="151" t="s">
        <v>13</v>
      </c>
      <c r="F658" s="152" t="str">
        <f t="shared" si="32"/>
        <v/>
      </c>
      <c r="G658" s="153">
        <f>IF($K658="Padrão",BDI!$B$17,IF($K658="Diferenciado",BDI!$E$17,0))</f>
        <v>0.2039</v>
      </c>
      <c r="H658" s="151" t="str">
        <f t="shared" si="30"/>
        <v/>
      </c>
      <c r="I658" s="152" t="str">
        <f t="shared" si="31"/>
        <v/>
      </c>
      <c r="J658" s="154"/>
      <c r="K658" s="155" t="s">
        <v>2966</v>
      </c>
    </row>
    <row r="659" spans="1:11" hidden="1" x14ac:dyDescent="0.25">
      <c r="A659" s="148" t="s">
        <v>3874</v>
      </c>
      <c r="B659" s="149" t="s">
        <v>3875</v>
      </c>
      <c r="C659" s="150" t="s">
        <v>18</v>
      </c>
      <c r="D659" s="150">
        <v>0</v>
      </c>
      <c r="E659" s="151" t="s">
        <v>13</v>
      </c>
      <c r="F659" s="152" t="str">
        <f t="shared" si="32"/>
        <v/>
      </c>
      <c r="G659" s="153">
        <f>IF($K659="Padrão",BDI!$B$17,IF($K659="Diferenciado",BDI!$E$17,0))</f>
        <v>0.2039</v>
      </c>
      <c r="H659" s="151" t="str">
        <f t="shared" si="30"/>
        <v/>
      </c>
      <c r="I659" s="152" t="str">
        <f t="shared" si="31"/>
        <v/>
      </c>
      <c r="J659" s="154"/>
      <c r="K659" s="155" t="s">
        <v>2966</v>
      </c>
    </row>
    <row r="660" spans="1:11" hidden="1" x14ac:dyDescent="0.25">
      <c r="A660" s="148" t="s">
        <v>3876</v>
      </c>
      <c r="B660" s="149" t="s">
        <v>3877</v>
      </c>
      <c r="C660" s="150" t="s">
        <v>18</v>
      </c>
      <c r="D660" s="150">
        <v>0</v>
      </c>
      <c r="E660" s="151" t="s">
        <v>13</v>
      </c>
      <c r="F660" s="152" t="str">
        <f t="shared" si="32"/>
        <v/>
      </c>
      <c r="G660" s="153">
        <f>IF($K660="Padrão",BDI!$B$17,IF($K660="Diferenciado",BDI!$E$17,0))</f>
        <v>0.2039</v>
      </c>
      <c r="H660" s="151" t="str">
        <f t="shared" si="30"/>
        <v/>
      </c>
      <c r="I660" s="152" t="str">
        <f t="shared" si="31"/>
        <v/>
      </c>
      <c r="J660" s="154"/>
      <c r="K660" s="155" t="s">
        <v>2966</v>
      </c>
    </row>
    <row r="661" spans="1:11" hidden="1" x14ac:dyDescent="0.25">
      <c r="A661" s="148" t="s">
        <v>3878</v>
      </c>
      <c r="B661" s="149" t="s">
        <v>3879</v>
      </c>
      <c r="C661" s="150" t="s">
        <v>18</v>
      </c>
      <c r="D661" s="150">
        <v>0</v>
      </c>
      <c r="E661" s="151" t="s">
        <v>13</v>
      </c>
      <c r="F661" s="152" t="str">
        <f t="shared" si="32"/>
        <v/>
      </c>
      <c r="G661" s="153">
        <f>IF($K661="Padrão",BDI!$B$17,IF($K661="Diferenciado",BDI!$E$17,0))</f>
        <v>0.2039</v>
      </c>
      <c r="H661" s="151" t="str">
        <f t="shared" si="30"/>
        <v/>
      </c>
      <c r="I661" s="152" t="str">
        <f t="shared" si="31"/>
        <v/>
      </c>
      <c r="J661" s="154"/>
      <c r="K661" s="155" t="s">
        <v>2966</v>
      </c>
    </row>
    <row r="662" spans="1:11" hidden="1" x14ac:dyDescent="0.25">
      <c r="A662" s="148" t="s">
        <v>3880</v>
      </c>
      <c r="B662" s="149" t="s">
        <v>3881</v>
      </c>
      <c r="C662" s="150" t="s">
        <v>18</v>
      </c>
      <c r="D662" s="150">
        <v>0</v>
      </c>
      <c r="E662" s="151" t="s">
        <v>13</v>
      </c>
      <c r="F662" s="152" t="str">
        <f t="shared" si="32"/>
        <v/>
      </c>
      <c r="G662" s="153">
        <f>IF($K662="Padrão",BDI!$B$17,IF($K662="Diferenciado",BDI!$E$17,0))</f>
        <v>0.2039</v>
      </c>
      <c r="H662" s="151" t="str">
        <f t="shared" si="30"/>
        <v/>
      </c>
      <c r="I662" s="152" t="str">
        <f t="shared" si="31"/>
        <v/>
      </c>
      <c r="J662" s="154"/>
      <c r="K662" s="155" t="s">
        <v>2966</v>
      </c>
    </row>
    <row r="663" spans="1:11" hidden="1" x14ac:dyDescent="0.25">
      <c r="A663" s="148" t="s">
        <v>3882</v>
      </c>
      <c r="B663" s="149" t="s">
        <v>3883</v>
      </c>
      <c r="C663" s="150" t="s">
        <v>18</v>
      </c>
      <c r="D663" s="150">
        <v>0</v>
      </c>
      <c r="E663" s="151" t="s">
        <v>13</v>
      </c>
      <c r="F663" s="152" t="str">
        <f t="shared" si="32"/>
        <v/>
      </c>
      <c r="G663" s="153">
        <f>IF($K663="Padrão",BDI!$B$17,IF($K663="Diferenciado",BDI!$E$17,0))</f>
        <v>0.2039</v>
      </c>
      <c r="H663" s="151" t="str">
        <f t="shared" si="30"/>
        <v/>
      </c>
      <c r="I663" s="152" t="str">
        <f t="shared" si="31"/>
        <v/>
      </c>
      <c r="J663" s="154"/>
      <c r="K663" s="155" t="s">
        <v>2966</v>
      </c>
    </row>
    <row r="664" spans="1:11" hidden="1" x14ac:dyDescent="0.25">
      <c r="A664" s="148" t="s">
        <v>3884</v>
      </c>
      <c r="B664" s="149" t="s">
        <v>3885</v>
      </c>
      <c r="C664" s="150" t="s">
        <v>18</v>
      </c>
      <c r="D664" s="150">
        <v>0</v>
      </c>
      <c r="E664" s="151" t="s">
        <v>13</v>
      </c>
      <c r="F664" s="152" t="str">
        <f t="shared" si="32"/>
        <v/>
      </c>
      <c r="G664" s="153">
        <f>IF($K664="Padrão",BDI!$B$17,IF($K664="Diferenciado",BDI!$E$17,0))</f>
        <v>0.2039</v>
      </c>
      <c r="H664" s="151" t="str">
        <f t="shared" si="30"/>
        <v/>
      </c>
      <c r="I664" s="152" t="str">
        <f t="shared" si="31"/>
        <v/>
      </c>
      <c r="J664" s="154"/>
      <c r="K664" s="155" t="s">
        <v>2966</v>
      </c>
    </row>
    <row r="665" spans="1:11" hidden="1" x14ac:dyDescent="0.25">
      <c r="A665" s="148" t="s">
        <v>3886</v>
      </c>
      <c r="B665" s="149" t="s">
        <v>3887</v>
      </c>
      <c r="C665" s="150" t="s">
        <v>18</v>
      </c>
      <c r="D665" s="150">
        <v>0</v>
      </c>
      <c r="E665" s="151" t="s">
        <v>13</v>
      </c>
      <c r="F665" s="152" t="str">
        <f t="shared" si="32"/>
        <v/>
      </c>
      <c r="G665" s="153">
        <f>IF($K665="Padrão",BDI!$B$17,IF($K665="Diferenciado",BDI!$E$17,0))</f>
        <v>0.2039</v>
      </c>
      <c r="H665" s="151" t="str">
        <f t="shared" si="30"/>
        <v/>
      </c>
      <c r="I665" s="152" t="str">
        <f t="shared" si="31"/>
        <v/>
      </c>
      <c r="J665" s="154"/>
      <c r="K665" s="155" t="s">
        <v>2966</v>
      </c>
    </row>
    <row r="666" spans="1:11" hidden="1" x14ac:dyDescent="0.25">
      <c r="A666" s="148" t="s">
        <v>3888</v>
      </c>
      <c r="B666" s="149" t="s">
        <v>3889</v>
      </c>
      <c r="C666" s="150" t="s">
        <v>18</v>
      </c>
      <c r="D666" s="150">
        <v>0</v>
      </c>
      <c r="E666" s="151" t="s">
        <v>13</v>
      </c>
      <c r="F666" s="152" t="str">
        <f t="shared" si="32"/>
        <v/>
      </c>
      <c r="G666" s="153">
        <f>IF($K666="Padrão",BDI!$B$17,IF($K666="Diferenciado",BDI!$E$17,0))</f>
        <v>0.2039</v>
      </c>
      <c r="H666" s="151" t="str">
        <f t="shared" si="30"/>
        <v/>
      </c>
      <c r="I666" s="152" t="str">
        <f t="shared" si="31"/>
        <v/>
      </c>
      <c r="J666" s="154"/>
      <c r="K666" s="155" t="s">
        <v>2966</v>
      </c>
    </row>
    <row r="667" spans="1:11" hidden="1" x14ac:dyDescent="0.25">
      <c r="A667" s="148" t="s">
        <v>3890</v>
      </c>
      <c r="B667" s="149" t="s">
        <v>3891</v>
      </c>
      <c r="C667" s="150" t="s">
        <v>18</v>
      </c>
      <c r="D667" s="150">
        <v>0</v>
      </c>
      <c r="E667" s="151" t="s">
        <v>13</v>
      </c>
      <c r="F667" s="152" t="str">
        <f t="shared" si="32"/>
        <v/>
      </c>
      <c r="G667" s="153">
        <f>IF($K667="Padrão",BDI!$B$17,IF($K667="Diferenciado",BDI!$E$17,0))</f>
        <v>0.2039</v>
      </c>
      <c r="H667" s="151" t="str">
        <f t="shared" si="30"/>
        <v/>
      </c>
      <c r="I667" s="152" t="str">
        <f t="shared" si="31"/>
        <v/>
      </c>
      <c r="J667" s="154"/>
      <c r="K667" s="155" t="s">
        <v>2966</v>
      </c>
    </row>
    <row r="668" spans="1:11" hidden="1" x14ac:dyDescent="0.25">
      <c r="A668" s="148" t="s">
        <v>3892</v>
      </c>
      <c r="B668" s="149" t="s">
        <v>3893</v>
      </c>
      <c r="C668" s="150" t="s">
        <v>18</v>
      </c>
      <c r="D668" s="150">
        <v>0</v>
      </c>
      <c r="E668" s="151" t="s">
        <v>13</v>
      </c>
      <c r="F668" s="152" t="str">
        <f t="shared" si="32"/>
        <v/>
      </c>
      <c r="G668" s="153">
        <f>IF($K668="Padrão",BDI!$B$17,IF($K668="Diferenciado",BDI!$E$17,0))</f>
        <v>0.2039</v>
      </c>
      <c r="H668" s="151" t="str">
        <f t="shared" si="30"/>
        <v/>
      </c>
      <c r="I668" s="152" t="str">
        <f t="shared" si="31"/>
        <v/>
      </c>
      <c r="J668" s="154"/>
      <c r="K668" s="155" t="s">
        <v>2966</v>
      </c>
    </row>
    <row r="669" spans="1:11" hidden="1" x14ac:dyDescent="0.25">
      <c r="A669" s="148" t="s">
        <v>3894</v>
      </c>
      <c r="B669" s="149" t="s">
        <v>3895</v>
      </c>
      <c r="C669" s="150" t="s">
        <v>18</v>
      </c>
      <c r="D669" s="150">
        <v>0</v>
      </c>
      <c r="E669" s="151" t="s">
        <v>13</v>
      </c>
      <c r="F669" s="152" t="str">
        <f t="shared" si="32"/>
        <v/>
      </c>
      <c r="G669" s="153">
        <f>IF($K669="Padrão",BDI!$B$17,IF($K669="Diferenciado",BDI!$E$17,0))</f>
        <v>0.2039</v>
      </c>
      <c r="H669" s="151" t="str">
        <f t="shared" si="30"/>
        <v/>
      </c>
      <c r="I669" s="152" t="str">
        <f t="shared" si="31"/>
        <v/>
      </c>
      <c r="J669" s="154"/>
      <c r="K669" s="155" t="s">
        <v>2966</v>
      </c>
    </row>
    <row r="670" spans="1:11" hidden="1" x14ac:dyDescent="0.25">
      <c r="A670" s="148" t="s">
        <v>3896</v>
      </c>
      <c r="B670" s="149" t="s">
        <v>3897</v>
      </c>
      <c r="C670" s="150" t="s">
        <v>18</v>
      </c>
      <c r="D670" s="150">
        <v>0</v>
      </c>
      <c r="E670" s="151" t="s">
        <v>13</v>
      </c>
      <c r="F670" s="152" t="str">
        <f t="shared" si="32"/>
        <v/>
      </c>
      <c r="G670" s="153">
        <f>IF($K670="Padrão",BDI!$B$17,IF($K670="Diferenciado",BDI!$E$17,0))</f>
        <v>0.2039</v>
      </c>
      <c r="H670" s="151" t="str">
        <f t="shared" si="30"/>
        <v/>
      </c>
      <c r="I670" s="152" t="str">
        <f t="shared" si="31"/>
        <v/>
      </c>
      <c r="J670" s="154"/>
      <c r="K670" s="155" t="s">
        <v>2966</v>
      </c>
    </row>
    <row r="671" spans="1:11" hidden="1" x14ac:dyDescent="0.25">
      <c r="A671" s="148" t="s">
        <v>3898</v>
      </c>
      <c r="B671" s="149" t="s">
        <v>3899</v>
      </c>
      <c r="C671" s="150" t="s">
        <v>70</v>
      </c>
      <c r="D671" s="150">
        <v>0</v>
      </c>
      <c r="E671" s="151" t="s">
        <v>13</v>
      </c>
      <c r="F671" s="152" t="str">
        <f t="shared" si="32"/>
        <v/>
      </c>
      <c r="G671" s="153">
        <f>IF($K671="Padrão",BDI!$B$17,IF($K671="Diferenciado",BDI!$E$17,0))</f>
        <v>0.2039</v>
      </c>
      <c r="H671" s="151" t="str">
        <f t="shared" si="30"/>
        <v/>
      </c>
      <c r="I671" s="152" t="str">
        <f t="shared" si="31"/>
        <v/>
      </c>
      <c r="J671" s="154"/>
      <c r="K671" s="155" t="s">
        <v>2966</v>
      </c>
    </row>
    <row r="672" spans="1:11" hidden="1" x14ac:dyDescent="0.25">
      <c r="A672" s="148" t="s">
        <v>3900</v>
      </c>
      <c r="B672" s="149" t="s">
        <v>3901</v>
      </c>
      <c r="C672" s="150" t="s">
        <v>18</v>
      </c>
      <c r="D672" s="150">
        <v>0</v>
      </c>
      <c r="E672" s="151" t="s">
        <v>13</v>
      </c>
      <c r="F672" s="152" t="str">
        <f t="shared" si="32"/>
        <v/>
      </c>
      <c r="G672" s="153">
        <f>IF($K672="Padrão",BDI!$B$17,IF($K672="Diferenciado",BDI!$E$17,0))</f>
        <v>0.2039</v>
      </c>
      <c r="H672" s="151" t="str">
        <f t="shared" si="30"/>
        <v/>
      </c>
      <c r="I672" s="152" t="str">
        <f t="shared" si="31"/>
        <v/>
      </c>
      <c r="J672" s="154"/>
      <c r="K672" s="155" t="s">
        <v>2966</v>
      </c>
    </row>
    <row r="673" spans="1:11" hidden="1" x14ac:dyDescent="0.25">
      <c r="A673" s="148" t="s">
        <v>3902</v>
      </c>
      <c r="B673" s="149" t="s">
        <v>3903</v>
      </c>
      <c r="C673" s="150" t="s">
        <v>18</v>
      </c>
      <c r="D673" s="150">
        <v>0</v>
      </c>
      <c r="E673" s="151" t="s">
        <v>13</v>
      </c>
      <c r="F673" s="152" t="str">
        <f t="shared" si="32"/>
        <v/>
      </c>
      <c r="G673" s="153">
        <f>IF($K673="Padrão",BDI!$B$17,IF($K673="Diferenciado",BDI!$E$17,0))</f>
        <v>0.2039</v>
      </c>
      <c r="H673" s="151" t="str">
        <f t="shared" si="30"/>
        <v/>
      </c>
      <c r="I673" s="152" t="str">
        <f t="shared" si="31"/>
        <v/>
      </c>
      <c r="J673" s="154"/>
      <c r="K673" s="155" t="s">
        <v>2966</v>
      </c>
    </row>
    <row r="674" spans="1:11" hidden="1" x14ac:dyDescent="0.25">
      <c r="A674" s="148" t="s">
        <v>3904</v>
      </c>
      <c r="B674" s="149" t="s">
        <v>3905</v>
      </c>
      <c r="C674" s="150" t="s">
        <v>18</v>
      </c>
      <c r="D674" s="150">
        <v>0</v>
      </c>
      <c r="E674" s="151" t="s">
        <v>13</v>
      </c>
      <c r="F674" s="152" t="str">
        <f t="shared" si="32"/>
        <v/>
      </c>
      <c r="G674" s="153">
        <f>IF($K674="Padrão",BDI!$B$17,IF($K674="Diferenciado",BDI!$E$17,0))</f>
        <v>0.2039</v>
      </c>
      <c r="H674" s="151" t="str">
        <f t="shared" si="30"/>
        <v/>
      </c>
      <c r="I674" s="152" t="str">
        <f t="shared" si="31"/>
        <v/>
      </c>
      <c r="J674" s="154"/>
      <c r="K674" s="155" t="s">
        <v>2966</v>
      </c>
    </row>
    <row r="675" spans="1:11" hidden="1" x14ac:dyDescent="0.25">
      <c r="A675" s="148" t="s">
        <v>3906</v>
      </c>
      <c r="B675" s="149" t="s">
        <v>3907</v>
      </c>
      <c r="C675" s="150" t="s">
        <v>18</v>
      </c>
      <c r="D675" s="150">
        <v>0</v>
      </c>
      <c r="E675" s="151" t="s">
        <v>13</v>
      </c>
      <c r="F675" s="152" t="str">
        <f t="shared" si="32"/>
        <v/>
      </c>
      <c r="G675" s="153">
        <f>IF($K675="Padrão",BDI!$B$17,IF($K675="Diferenciado",BDI!$E$17,0))</f>
        <v>0.2039</v>
      </c>
      <c r="H675" s="151" t="str">
        <f t="shared" si="30"/>
        <v/>
      </c>
      <c r="I675" s="152" t="str">
        <f t="shared" si="31"/>
        <v/>
      </c>
      <c r="J675" s="154"/>
      <c r="K675" s="155" t="s">
        <v>2966</v>
      </c>
    </row>
    <row r="676" spans="1:11" hidden="1" x14ac:dyDescent="0.25">
      <c r="A676" s="148" t="s">
        <v>3908</v>
      </c>
      <c r="B676" s="149" t="s">
        <v>3909</v>
      </c>
      <c r="C676" s="150" t="s">
        <v>18</v>
      </c>
      <c r="D676" s="150">
        <v>0</v>
      </c>
      <c r="E676" s="151" t="s">
        <v>13</v>
      </c>
      <c r="F676" s="152" t="str">
        <f t="shared" si="32"/>
        <v/>
      </c>
      <c r="G676" s="153">
        <f>IF($K676="Padrão",BDI!$B$17,IF($K676="Diferenciado",BDI!$E$17,0))</f>
        <v>0.2039</v>
      </c>
      <c r="H676" s="151" t="str">
        <f t="shared" si="30"/>
        <v/>
      </c>
      <c r="I676" s="152" t="str">
        <f t="shared" si="31"/>
        <v/>
      </c>
      <c r="J676" s="154"/>
      <c r="K676" s="155" t="s">
        <v>2966</v>
      </c>
    </row>
    <row r="677" spans="1:11" hidden="1" x14ac:dyDescent="0.25">
      <c r="A677" s="148" t="s">
        <v>3910</v>
      </c>
      <c r="B677" s="149" t="s">
        <v>3911</v>
      </c>
      <c r="C677" s="150" t="s">
        <v>18</v>
      </c>
      <c r="D677" s="150">
        <v>0</v>
      </c>
      <c r="E677" s="151" t="s">
        <v>13</v>
      </c>
      <c r="F677" s="152" t="str">
        <f t="shared" si="32"/>
        <v/>
      </c>
      <c r="G677" s="153">
        <f>IF($K677="Padrão",BDI!$B$17,IF($K677="Diferenciado",BDI!$E$17,0))</f>
        <v>0.2039</v>
      </c>
      <c r="H677" s="151" t="str">
        <f t="shared" si="30"/>
        <v/>
      </c>
      <c r="I677" s="152" t="str">
        <f t="shared" si="31"/>
        <v/>
      </c>
      <c r="J677" s="154"/>
      <c r="K677" s="155" t="s">
        <v>2966</v>
      </c>
    </row>
    <row r="678" spans="1:11" hidden="1" x14ac:dyDescent="0.25">
      <c r="A678" s="148" t="s">
        <v>3912</v>
      </c>
      <c r="B678" s="149" t="s">
        <v>3913</v>
      </c>
      <c r="C678" s="150" t="s">
        <v>18</v>
      </c>
      <c r="D678" s="150">
        <v>0</v>
      </c>
      <c r="E678" s="151" t="s">
        <v>13</v>
      </c>
      <c r="F678" s="152" t="str">
        <f t="shared" si="32"/>
        <v/>
      </c>
      <c r="G678" s="153">
        <f>IF($K678="Padrão",BDI!$B$17,IF($K678="Diferenciado",BDI!$E$17,0))</f>
        <v>0.2039</v>
      </c>
      <c r="H678" s="151" t="str">
        <f t="shared" si="30"/>
        <v/>
      </c>
      <c r="I678" s="152" t="str">
        <f t="shared" si="31"/>
        <v/>
      </c>
      <c r="J678" s="154"/>
      <c r="K678" s="155" t="s">
        <v>2966</v>
      </c>
    </row>
    <row r="679" spans="1:11" hidden="1" x14ac:dyDescent="0.25">
      <c r="A679" s="148" t="s">
        <v>3914</v>
      </c>
      <c r="B679" s="149" t="s">
        <v>3915</v>
      </c>
      <c r="C679" s="150" t="s">
        <v>18</v>
      </c>
      <c r="D679" s="150">
        <v>0</v>
      </c>
      <c r="E679" s="151" t="s">
        <v>13</v>
      </c>
      <c r="F679" s="152" t="str">
        <f t="shared" si="32"/>
        <v/>
      </c>
      <c r="G679" s="153">
        <f>IF($K679="Padrão",BDI!$B$17,IF($K679="Diferenciado",BDI!$E$17,0))</f>
        <v>0.2039</v>
      </c>
      <c r="H679" s="151" t="str">
        <f t="shared" si="30"/>
        <v/>
      </c>
      <c r="I679" s="152" t="str">
        <f t="shared" si="31"/>
        <v/>
      </c>
      <c r="J679" s="154"/>
      <c r="K679" s="155" t="s">
        <v>2966</v>
      </c>
    </row>
    <row r="680" spans="1:11" hidden="1" x14ac:dyDescent="0.25">
      <c r="A680" s="148" t="s">
        <v>3916</v>
      </c>
      <c r="B680" s="149" t="s">
        <v>3917</v>
      </c>
      <c r="C680" s="150" t="s">
        <v>18</v>
      </c>
      <c r="D680" s="150">
        <v>0</v>
      </c>
      <c r="E680" s="151" t="s">
        <v>13</v>
      </c>
      <c r="F680" s="152" t="str">
        <f t="shared" si="32"/>
        <v/>
      </c>
      <c r="G680" s="153">
        <f>IF($K680="Padrão",BDI!$B$17,IF($K680="Diferenciado",BDI!$E$17,0))</f>
        <v>0.2039</v>
      </c>
      <c r="H680" s="151" t="str">
        <f t="shared" si="30"/>
        <v/>
      </c>
      <c r="I680" s="152" t="str">
        <f t="shared" si="31"/>
        <v/>
      </c>
      <c r="J680" s="154"/>
      <c r="K680" s="155" t="s">
        <v>2966</v>
      </c>
    </row>
    <row r="681" spans="1:11" hidden="1" x14ac:dyDescent="0.25">
      <c r="A681" s="148" t="s">
        <v>3918</v>
      </c>
      <c r="B681" s="149" t="s">
        <v>3919</v>
      </c>
      <c r="C681" s="150" t="s">
        <v>18</v>
      </c>
      <c r="D681" s="150">
        <v>0</v>
      </c>
      <c r="E681" s="151" t="s">
        <v>13</v>
      </c>
      <c r="F681" s="152" t="str">
        <f t="shared" si="32"/>
        <v/>
      </c>
      <c r="G681" s="153">
        <f>IF($K681="Padrão",BDI!$B$17,IF($K681="Diferenciado",BDI!$E$17,0))</f>
        <v>0.2039</v>
      </c>
      <c r="H681" s="151" t="str">
        <f t="shared" si="30"/>
        <v/>
      </c>
      <c r="I681" s="152" t="str">
        <f t="shared" si="31"/>
        <v/>
      </c>
      <c r="J681" s="154"/>
      <c r="K681" s="155" t="s">
        <v>2966</v>
      </c>
    </row>
    <row r="682" spans="1:11" hidden="1" x14ac:dyDescent="0.25">
      <c r="A682" s="148" t="s">
        <v>3920</v>
      </c>
      <c r="B682" s="149" t="s">
        <v>3921</v>
      </c>
      <c r="C682" s="150" t="s">
        <v>18</v>
      </c>
      <c r="D682" s="150">
        <v>0</v>
      </c>
      <c r="E682" s="151" t="s">
        <v>13</v>
      </c>
      <c r="F682" s="152" t="str">
        <f t="shared" si="32"/>
        <v/>
      </c>
      <c r="G682" s="153">
        <f>IF($K682="Padrão",BDI!$B$17,IF($K682="Diferenciado",BDI!$E$17,0))</f>
        <v>0.2039</v>
      </c>
      <c r="H682" s="151" t="str">
        <f t="shared" si="30"/>
        <v/>
      </c>
      <c r="I682" s="152" t="str">
        <f t="shared" si="31"/>
        <v/>
      </c>
      <c r="J682" s="154"/>
      <c r="K682" s="155" t="s">
        <v>2966</v>
      </c>
    </row>
    <row r="683" spans="1:11" hidden="1" x14ac:dyDescent="0.25">
      <c r="A683" s="148" t="s">
        <v>3922</v>
      </c>
      <c r="B683" s="149" t="s">
        <v>3923</v>
      </c>
      <c r="C683" s="150" t="s">
        <v>18</v>
      </c>
      <c r="D683" s="150">
        <v>0</v>
      </c>
      <c r="E683" s="151" t="s">
        <v>13</v>
      </c>
      <c r="F683" s="152" t="str">
        <f t="shared" si="32"/>
        <v/>
      </c>
      <c r="G683" s="153">
        <f>IF($K683="Padrão",BDI!$B$17,IF($K683="Diferenciado",BDI!$E$17,0))</f>
        <v>0.2039</v>
      </c>
      <c r="H683" s="151" t="str">
        <f t="shared" si="30"/>
        <v/>
      </c>
      <c r="I683" s="152" t="str">
        <f t="shared" si="31"/>
        <v/>
      </c>
      <c r="J683" s="154"/>
      <c r="K683" s="155" t="s">
        <v>2966</v>
      </c>
    </row>
    <row r="684" spans="1:11" hidden="1" x14ac:dyDescent="0.25">
      <c r="A684" s="148" t="s">
        <v>3924</v>
      </c>
      <c r="B684" s="149" t="s">
        <v>3925</v>
      </c>
      <c r="C684" s="150" t="s">
        <v>18</v>
      </c>
      <c r="D684" s="150">
        <v>0</v>
      </c>
      <c r="E684" s="151" t="s">
        <v>13</v>
      </c>
      <c r="F684" s="152" t="str">
        <f t="shared" si="32"/>
        <v/>
      </c>
      <c r="G684" s="153">
        <f>IF($K684="Padrão",BDI!$B$17,IF($K684="Diferenciado",BDI!$E$17,0))</f>
        <v>0.2039</v>
      </c>
      <c r="H684" s="151" t="str">
        <f t="shared" si="30"/>
        <v/>
      </c>
      <c r="I684" s="152" t="str">
        <f t="shared" si="31"/>
        <v/>
      </c>
      <c r="J684" s="154"/>
      <c r="K684" s="155" t="s">
        <v>2966</v>
      </c>
    </row>
    <row r="685" spans="1:11" hidden="1" x14ac:dyDescent="0.25">
      <c r="A685" s="148" t="s">
        <v>3926</v>
      </c>
      <c r="B685" s="149" t="s">
        <v>3927</v>
      </c>
      <c r="C685" s="150" t="s">
        <v>18</v>
      </c>
      <c r="D685" s="150">
        <v>0</v>
      </c>
      <c r="E685" s="151" t="s">
        <v>13</v>
      </c>
      <c r="F685" s="152" t="str">
        <f t="shared" si="32"/>
        <v/>
      </c>
      <c r="G685" s="153">
        <f>IF($K685="Padrão",BDI!$B$17,IF($K685="Diferenciado",BDI!$E$17,0))</f>
        <v>0.2039</v>
      </c>
      <c r="H685" s="151" t="str">
        <f t="shared" si="30"/>
        <v/>
      </c>
      <c r="I685" s="152" t="str">
        <f t="shared" si="31"/>
        <v/>
      </c>
      <c r="J685" s="154"/>
      <c r="K685" s="155" t="s">
        <v>2966</v>
      </c>
    </row>
    <row r="686" spans="1:11" hidden="1" x14ac:dyDescent="0.25">
      <c r="A686" s="148" t="s">
        <v>666</v>
      </c>
      <c r="B686" s="149" t="s">
        <v>3928</v>
      </c>
      <c r="C686" s="150" t="s">
        <v>68</v>
      </c>
      <c r="D686" s="150">
        <v>0</v>
      </c>
      <c r="E686" s="151">
        <f ca="1">OFFSET(INDEX(Composições!A:H,MATCH(Orçamentária!A686,Composições!A:A,0),8),2,0)</f>
        <v>1.8619999999999999</v>
      </c>
      <c r="F686" s="152">
        <f t="shared" ca="1" si="32"/>
        <v>0</v>
      </c>
      <c r="G686" s="153">
        <f>IF($K686="Padrão",BDI!$B$17,IF($K686="Diferenciado",BDI!$E$17,0))</f>
        <v>0.2039</v>
      </c>
      <c r="H686" s="151">
        <f t="shared" ca="1" si="30"/>
        <v>2.2400000000000002</v>
      </c>
      <c r="I686" s="152">
        <f t="shared" ca="1" si="31"/>
        <v>0</v>
      </c>
      <c r="J686" s="154"/>
      <c r="K686" s="155" t="s">
        <v>2966</v>
      </c>
    </row>
    <row r="687" spans="1:11" hidden="1" x14ac:dyDescent="0.25">
      <c r="A687" s="148" t="s">
        <v>3929</v>
      </c>
      <c r="B687" s="149" t="s">
        <v>3930</v>
      </c>
      <c r="C687" s="150" t="s">
        <v>18</v>
      </c>
      <c r="D687" s="150">
        <v>0</v>
      </c>
      <c r="E687" s="151" t="s">
        <v>13</v>
      </c>
      <c r="F687" s="152" t="str">
        <f t="shared" si="32"/>
        <v/>
      </c>
      <c r="G687" s="153">
        <f>IF($K687="Padrão",BDI!$B$17,IF($K687="Diferenciado",BDI!$E$17,0))</f>
        <v>0.2039</v>
      </c>
      <c r="H687" s="151" t="str">
        <f t="shared" si="30"/>
        <v/>
      </c>
      <c r="I687" s="152" t="str">
        <f t="shared" si="31"/>
        <v/>
      </c>
      <c r="J687" s="154"/>
      <c r="K687" s="155" t="s">
        <v>2966</v>
      </c>
    </row>
    <row r="688" spans="1:11" hidden="1" x14ac:dyDescent="0.25">
      <c r="A688" s="148" t="s">
        <v>3931</v>
      </c>
      <c r="B688" s="149" t="s">
        <v>3932</v>
      </c>
      <c r="C688" s="150" t="s">
        <v>18</v>
      </c>
      <c r="D688" s="150">
        <v>0</v>
      </c>
      <c r="E688" s="151" t="s">
        <v>13</v>
      </c>
      <c r="F688" s="152" t="str">
        <f t="shared" si="32"/>
        <v/>
      </c>
      <c r="G688" s="153">
        <f>IF($K688="Padrão",BDI!$B$17,IF($K688="Diferenciado",BDI!$E$17,0))</f>
        <v>0.2039</v>
      </c>
      <c r="H688" s="151" t="str">
        <f t="shared" si="30"/>
        <v/>
      </c>
      <c r="I688" s="152" t="str">
        <f t="shared" si="31"/>
        <v/>
      </c>
      <c r="J688" s="154"/>
      <c r="K688" s="155" t="s">
        <v>2966</v>
      </c>
    </row>
    <row r="689" spans="1:11" hidden="1" x14ac:dyDescent="0.25">
      <c r="A689" s="148" t="s">
        <v>3933</v>
      </c>
      <c r="B689" s="149" t="s">
        <v>3934</v>
      </c>
      <c r="C689" s="150" t="s">
        <v>18</v>
      </c>
      <c r="D689" s="150">
        <v>0</v>
      </c>
      <c r="E689" s="151" t="s">
        <v>13</v>
      </c>
      <c r="F689" s="152" t="str">
        <f t="shared" si="32"/>
        <v/>
      </c>
      <c r="G689" s="153">
        <f>IF($K689="Padrão",BDI!$B$17,IF($K689="Diferenciado",BDI!$E$17,0))</f>
        <v>0.2039</v>
      </c>
      <c r="H689" s="151" t="str">
        <f t="shared" si="30"/>
        <v/>
      </c>
      <c r="I689" s="152" t="str">
        <f t="shared" si="31"/>
        <v/>
      </c>
      <c r="J689" s="154"/>
      <c r="K689" s="155" t="s">
        <v>2966</v>
      </c>
    </row>
    <row r="690" spans="1:11" hidden="1" x14ac:dyDescent="0.25">
      <c r="A690" s="148" t="s">
        <v>3935</v>
      </c>
      <c r="B690" s="149" t="s">
        <v>3936</v>
      </c>
      <c r="C690" s="150" t="s">
        <v>18</v>
      </c>
      <c r="D690" s="150">
        <v>0</v>
      </c>
      <c r="E690" s="151" t="s">
        <v>13</v>
      </c>
      <c r="F690" s="152" t="str">
        <f t="shared" si="32"/>
        <v/>
      </c>
      <c r="G690" s="153">
        <f>IF($K690="Padrão",BDI!$B$17,IF($K690="Diferenciado",BDI!$E$17,0))</f>
        <v>0.2039</v>
      </c>
      <c r="H690" s="151" t="str">
        <f t="shared" si="30"/>
        <v/>
      </c>
      <c r="I690" s="152" t="str">
        <f t="shared" si="31"/>
        <v/>
      </c>
      <c r="J690" s="154"/>
      <c r="K690" s="155" t="s">
        <v>2966</v>
      </c>
    </row>
    <row r="691" spans="1:11" hidden="1" x14ac:dyDescent="0.25">
      <c r="A691" s="148" t="s">
        <v>3937</v>
      </c>
      <c r="B691" s="149" t="s">
        <v>3938</v>
      </c>
      <c r="C691" s="150" t="s">
        <v>18</v>
      </c>
      <c r="D691" s="150">
        <v>0</v>
      </c>
      <c r="E691" s="151" t="s">
        <v>13</v>
      </c>
      <c r="F691" s="152" t="str">
        <f t="shared" si="32"/>
        <v/>
      </c>
      <c r="G691" s="153">
        <f>IF($K691="Padrão",BDI!$B$17,IF($K691="Diferenciado",BDI!$E$17,0))</f>
        <v>0.2039</v>
      </c>
      <c r="H691" s="151" t="str">
        <f t="shared" si="30"/>
        <v/>
      </c>
      <c r="I691" s="152" t="str">
        <f t="shared" si="31"/>
        <v/>
      </c>
      <c r="J691" s="154"/>
      <c r="K691" s="155" t="s">
        <v>2966</v>
      </c>
    </row>
    <row r="692" spans="1:11" hidden="1" x14ac:dyDescent="0.25">
      <c r="A692" s="148" t="s">
        <v>3939</v>
      </c>
      <c r="B692" s="149" t="s">
        <v>3940</v>
      </c>
      <c r="C692" s="150" t="s">
        <v>18</v>
      </c>
      <c r="D692" s="150">
        <v>0</v>
      </c>
      <c r="E692" s="151" t="s">
        <v>13</v>
      </c>
      <c r="F692" s="152" t="str">
        <f t="shared" si="32"/>
        <v/>
      </c>
      <c r="G692" s="153">
        <f>IF($K692="Padrão",BDI!$B$17,IF($K692="Diferenciado",BDI!$E$17,0))</f>
        <v>0.2039</v>
      </c>
      <c r="H692" s="151" t="str">
        <f t="shared" si="30"/>
        <v/>
      </c>
      <c r="I692" s="152" t="str">
        <f t="shared" si="31"/>
        <v/>
      </c>
      <c r="J692" s="154"/>
      <c r="K692" s="155" t="s">
        <v>2966</v>
      </c>
    </row>
    <row r="693" spans="1:11" hidden="1" x14ac:dyDescent="0.25">
      <c r="A693" s="148" t="s">
        <v>3941</v>
      </c>
      <c r="B693" s="149" t="s">
        <v>3942</v>
      </c>
      <c r="C693" s="150" t="s">
        <v>18</v>
      </c>
      <c r="D693" s="150">
        <v>0</v>
      </c>
      <c r="E693" s="151" t="s">
        <v>13</v>
      </c>
      <c r="F693" s="152" t="str">
        <f t="shared" si="32"/>
        <v/>
      </c>
      <c r="G693" s="153">
        <f>IF($K693="Padrão",BDI!$B$17,IF($K693="Diferenciado",BDI!$E$17,0))</f>
        <v>0.2039</v>
      </c>
      <c r="H693" s="151" t="str">
        <f t="shared" si="30"/>
        <v/>
      </c>
      <c r="I693" s="152" t="str">
        <f t="shared" si="31"/>
        <v/>
      </c>
      <c r="J693" s="154"/>
      <c r="K693" s="155" t="s">
        <v>2966</v>
      </c>
    </row>
    <row r="694" spans="1:11" hidden="1" x14ac:dyDescent="0.25">
      <c r="A694" s="148" t="s">
        <v>3943</v>
      </c>
      <c r="B694" s="149" t="s">
        <v>3944</v>
      </c>
      <c r="C694" s="150" t="s">
        <v>18</v>
      </c>
      <c r="D694" s="150">
        <v>0</v>
      </c>
      <c r="E694" s="151" t="s">
        <v>13</v>
      </c>
      <c r="F694" s="152" t="str">
        <f t="shared" si="32"/>
        <v/>
      </c>
      <c r="G694" s="153">
        <f>IF($K694="Padrão",BDI!$B$17,IF($K694="Diferenciado",BDI!$E$17,0))</f>
        <v>0.2039</v>
      </c>
      <c r="H694" s="151" t="str">
        <f t="shared" si="30"/>
        <v/>
      </c>
      <c r="I694" s="152" t="str">
        <f t="shared" si="31"/>
        <v/>
      </c>
      <c r="J694" s="154"/>
      <c r="K694" s="155" t="s">
        <v>2966</v>
      </c>
    </row>
    <row r="695" spans="1:11" hidden="1" x14ac:dyDescent="0.25">
      <c r="A695" s="148" t="s">
        <v>3945</v>
      </c>
      <c r="B695" s="149" t="s">
        <v>3946</v>
      </c>
      <c r="C695" s="150" t="s">
        <v>18</v>
      </c>
      <c r="D695" s="150">
        <v>0</v>
      </c>
      <c r="E695" s="151" t="s">
        <v>13</v>
      </c>
      <c r="F695" s="152" t="str">
        <f t="shared" si="32"/>
        <v/>
      </c>
      <c r="G695" s="153">
        <f>IF($K695="Padrão",BDI!$B$17,IF($K695="Diferenciado",BDI!$E$17,0))</f>
        <v>0.2039</v>
      </c>
      <c r="H695" s="151" t="str">
        <f t="shared" si="30"/>
        <v/>
      </c>
      <c r="I695" s="152" t="str">
        <f t="shared" si="31"/>
        <v/>
      </c>
      <c r="J695" s="154"/>
      <c r="K695" s="155" t="s">
        <v>2966</v>
      </c>
    </row>
    <row r="696" spans="1:11" hidden="1" x14ac:dyDescent="0.25">
      <c r="A696" s="148" t="s">
        <v>3947</v>
      </c>
      <c r="B696" s="149" t="s">
        <v>3948</v>
      </c>
      <c r="C696" s="150" t="s">
        <v>18</v>
      </c>
      <c r="D696" s="150">
        <v>0</v>
      </c>
      <c r="E696" s="151" t="s">
        <v>13</v>
      </c>
      <c r="F696" s="152" t="str">
        <f t="shared" si="32"/>
        <v/>
      </c>
      <c r="G696" s="153">
        <f>IF($K696="Padrão",BDI!$B$17,IF($K696="Diferenciado",BDI!$E$17,0))</f>
        <v>0.2039</v>
      </c>
      <c r="H696" s="151" t="str">
        <f t="shared" si="30"/>
        <v/>
      </c>
      <c r="I696" s="152" t="str">
        <f t="shared" si="31"/>
        <v/>
      </c>
      <c r="J696" s="154"/>
      <c r="K696" s="155" t="s">
        <v>2966</v>
      </c>
    </row>
    <row r="697" spans="1:11" hidden="1" x14ac:dyDescent="0.25">
      <c r="A697" s="148" t="s">
        <v>3949</v>
      </c>
      <c r="B697" s="149" t="s">
        <v>3950</v>
      </c>
      <c r="C697" s="150" t="s">
        <v>18</v>
      </c>
      <c r="D697" s="150">
        <v>0</v>
      </c>
      <c r="E697" s="151" t="s">
        <v>13</v>
      </c>
      <c r="F697" s="152" t="str">
        <f t="shared" si="32"/>
        <v/>
      </c>
      <c r="G697" s="153">
        <f>IF($K697="Padrão",BDI!$B$17,IF($K697="Diferenciado",BDI!$E$17,0))</f>
        <v>0.2039</v>
      </c>
      <c r="H697" s="151" t="str">
        <f t="shared" si="30"/>
        <v/>
      </c>
      <c r="I697" s="152" t="str">
        <f t="shared" si="31"/>
        <v/>
      </c>
      <c r="J697" s="154"/>
      <c r="K697" s="155" t="s">
        <v>2966</v>
      </c>
    </row>
    <row r="698" spans="1:11" hidden="1" x14ac:dyDescent="0.25">
      <c r="A698" s="148" t="s">
        <v>3951</v>
      </c>
      <c r="B698" s="149" t="s">
        <v>3952</v>
      </c>
      <c r="C698" s="150" t="s">
        <v>18</v>
      </c>
      <c r="D698" s="150">
        <v>0</v>
      </c>
      <c r="E698" s="151" t="s">
        <v>13</v>
      </c>
      <c r="F698" s="152" t="str">
        <f t="shared" si="32"/>
        <v/>
      </c>
      <c r="G698" s="153">
        <f>IF($K698="Padrão",BDI!$B$17,IF($K698="Diferenciado",BDI!$E$17,0))</f>
        <v>0.2039</v>
      </c>
      <c r="H698" s="151" t="str">
        <f t="shared" si="30"/>
        <v/>
      </c>
      <c r="I698" s="152" t="str">
        <f t="shared" si="31"/>
        <v/>
      </c>
      <c r="J698" s="154"/>
      <c r="K698" s="155" t="s">
        <v>2966</v>
      </c>
    </row>
    <row r="699" spans="1:11" hidden="1" x14ac:dyDescent="0.25">
      <c r="A699" s="148" t="s">
        <v>3953</v>
      </c>
      <c r="B699" s="149" t="s">
        <v>3954</v>
      </c>
      <c r="C699" s="150" t="s">
        <v>18</v>
      </c>
      <c r="D699" s="150">
        <v>0</v>
      </c>
      <c r="E699" s="151" t="s">
        <v>13</v>
      </c>
      <c r="F699" s="152" t="str">
        <f t="shared" si="32"/>
        <v/>
      </c>
      <c r="G699" s="153">
        <f>IF($K699="Padrão",BDI!$B$17,IF($K699="Diferenciado",BDI!$E$17,0))</f>
        <v>0.2039</v>
      </c>
      <c r="H699" s="151" t="str">
        <f t="shared" si="30"/>
        <v/>
      </c>
      <c r="I699" s="152" t="str">
        <f t="shared" si="31"/>
        <v/>
      </c>
      <c r="J699" s="154"/>
      <c r="K699" s="155" t="s">
        <v>2966</v>
      </c>
    </row>
    <row r="700" spans="1:11" hidden="1" x14ac:dyDescent="0.25">
      <c r="A700" s="148" t="s">
        <v>3955</v>
      </c>
      <c r="B700" s="149" t="s">
        <v>3956</v>
      </c>
      <c r="C700" s="150" t="s">
        <v>18</v>
      </c>
      <c r="D700" s="150">
        <v>0</v>
      </c>
      <c r="E700" s="151" t="s">
        <v>13</v>
      </c>
      <c r="F700" s="152" t="str">
        <f t="shared" si="32"/>
        <v/>
      </c>
      <c r="G700" s="153">
        <f>IF($K700="Padrão",BDI!$B$17,IF($K700="Diferenciado",BDI!$E$17,0))</f>
        <v>0.2039</v>
      </c>
      <c r="H700" s="151" t="str">
        <f t="shared" si="30"/>
        <v/>
      </c>
      <c r="I700" s="152" t="str">
        <f t="shared" si="31"/>
        <v/>
      </c>
      <c r="J700" s="154"/>
      <c r="K700" s="155" t="s">
        <v>2966</v>
      </c>
    </row>
    <row r="701" spans="1:11" hidden="1" x14ac:dyDescent="0.25">
      <c r="A701" s="148" t="s">
        <v>3957</v>
      </c>
      <c r="B701" s="149" t="s">
        <v>3958</v>
      </c>
      <c r="C701" s="150" t="s">
        <v>18</v>
      </c>
      <c r="D701" s="150">
        <v>0</v>
      </c>
      <c r="E701" s="151" t="s">
        <v>13</v>
      </c>
      <c r="F701" s="152" t="str">
        <f t="shared" si="32"/>
        <v/>
      </c>
      <c r="G701" s="153">
        <f>IF($K701="Padrão",BDI!$B$17,IF($K701="Diferenciado",BDI!$E$17,0))</f>
        <v>0.2039</v>
      </c>
      <c r="H701" s="151" t="str">
        <f t="shared" si="30"/>
        <v/>
      </c>
      <c r="I701" s="152" t="str">
        <f t="shared" si="31"/>
        <v/>
      </c>
      <c r="J701" s="154"/>
      <c r="K701" s="155" t="s">
        <v>2966</v>
      </c>
    </row>
    <row r="702" spans="1:11" hidden="1" x14ac:dyDescent="0.25">
      <c r="A702" s="148" t="s">
        <v>3959</v>
      </c>
      <c r="B702" s="149" t="s">
        <v>3960</v>
      </c>
      <c r="C702" s="150" t="s">
        <v>18</v>
      </c>
      <c r="D702" s="150">
        <v>0</v>
      </c>
      <c r="E702" s="151" t="s">
        <v>13</v>
      </c>
      <c r="F702" s="152" t="str">
        <f t="shared" si="32"/>
        <v/>
      </c>
      <c r="G702" s="153">
        <f>IF($K702="Padrão",BDI!$B$17,IF($K702="Diferenciado",BDI!$E$17,0))</f>
        <v>0.2039</v>
      </c>
      <c r="H702" s="151" t="str">
        <f t="shared" si="30"/>
        <v/>
      </c>
      <c r="I702" s="152" t="str">
        <f t="shared" si="31"/>
        <v/>
      </c>
      <c r="J702" s="154"/>
      <c r="K702" s="155" t="s">
        <v>2966</v>
      </c>
    </row>
    <row r="703" spans="1:11" hidden="1" x14ac:dyDescent="0.25">
      <c r="A703" s="148" t="s">
        <v>3961</v>
      </c>
      <c r="B703" s="149" t="s">
        <v>3962</v>
      </c>
      <c r="C703" s="150" t="s">
        <v>18</v>
      </c>
      <c r="D703" s="150">
        <v>0</v>
      </c>
      <c r="E703" s="151" t="s">
        <v>13</v>
      </c>
      <c r="F703" s="152" t="str">
        <f t="shared" si="32"/>
        <v/>
      </c>
      <c r="G703" s="153">
        <f>IF($K703="Padrão",BDI!$B$17,IF($K703="Diferenciado",BDI!$E$17,0))</f>
        <v>0.2039</v>
      </c>
      <c r="H703" s="151" t="str">
        <f t="shared" si="30"/>
        <v/>
      </c>
      <c r="I703" s="152" t="str">
        <f t="shared" si="31"/>
        <v/>
      </c>
      <c r="J703" s="154"/>
      <c r="K703" s="155" t="s">
        <v>2966</v>
      </c>
    </row>
    <row r="704" spans="1:11" hidden="1" x14ac:dyDescent="0.25">
      <c r="A704" s="148" t="s">
        <v>3963</v>
      </c>
      <c r="B704" s="149" t="s">
        <v>3964</v>
      </c>
      <c r="C704" s="150" t="s">
        <v>18</v>
      </c>
      <c r="D704" s="150">
        <v>0</v>
      </c>
      <c r="E704" s="151" t="s">
        <v>13</v>
      </c>
      <c r="F704" s="152" t="str">
        <f t="shared" si="32"/>
        <v/>
      </c>
      <c r="G704" s="153">
        <f>IF($K704="Padrão",BDI!$B$17,IF($K704="Diferenciado",BDI!$E$17,0))</f>
        <v>0.2039</v>
      </c>
      <c r="H704" s="151" t="str">
        <f t="shared" si="30"/>
        <v/>
      </c>
      <c r="I704" s="152" t="str">
        <f t="shared" si="31"/>
        <v/>
      </c>
      <c r="J704" s="154"/>
      <c r="K704" s="155" t="s">
        <v>2966</v>
      </c>
    </row>
    <row r="705" spans="1:11" hidden="1" x14ac:dyDescent="0.25">
      <c r="A705" s="148" t="s">
        <v>3965</v>
      </c>
      <c r="B705" s="149" t="s">
        <v>3966</v>
      </c>
      <c r="C705" s="150" t="s">
        <v>18</v>
      </c>
      <c r="D705" s="150">
        <v>0</v>
      </c>
      <c r="E705" s="151" t="s">
        <v>13</v>
      </c>
      <c r="F705" s="152" t="str">
        <f t="shared" si="32"/>
        <v/>
      </c>
      <c r="G705" s="153">
        <f>IF($K705="Padrão",BDI!$B$17,IF($K705="Diferenciado",BDI!$E$17,0))</f>
        <v>0.2039</v>
      </c>
      <c r="H705" s="151" t="str">
        <f t="shared" si="30"/>
        <v/>
      </c>
      <c r="I705" s="152" t="str">
        <f t="shared" si="31"/>
        <v/>
      </c>
      <c r="J705" s="154"/>
      <c r="K705" s="155" t="s">
        <v>2966</v>
      </c>
    </row>
    <row r="706" spans="1:11" hidden="1" x14ac:dyDescent="0.25">
      <c r="A706" s="148" t="s">
        <v>3967</v>
      </c>
      <c r="B706" s="149" t="s">
        <v>3968</v>
      </c>
      <c r="C706" s="150" t="s">
        <v>18</v>
      </c>
      <c r="D706" s="150">
        <v>0</v>
      </c>
      <c r="E706" s="151" t="s">
        <v>13</v>
      </c>
      <c r="F706" s="152" t="str">
        <f t="shared" si="32"/>
        <v/>
      </c>
      <c r="G706" s="153">
        <f>IF($K706="Padrão",BDI!$B$17,IF($K706="Diferenciado",BDI!$E$17,0))</f>
        <v>0.2039</v>
      </c>
      <c r="H706" s="151" t="str">
        <f t="shared" si="30"/>
        <v/>
      </c>
      <c r="I706" s="152" t="str">
        <f t="shared" si="31"/>
        <v/>
      </c>
      <c r="J706" s="154"/>
      <c r="K706" s="155" t="s">
        <v>2966</v>
      </c>
    </row>
    <row r="707" spans="1:11" hidden="1" x14ac:dyDescent="0.25">
      <c r="A707" s="148" t="s">
        <v>3969</v>
      </c>
      <c r="B707" s="149" t="s">
        <v>3970</v>
      </c>
      <c r="C707" s="150" t="s">
        <v>18</v>
      </c>
      <c r="D707" s="150">
        <v>0</v>
      </c>
      <c r="E707" s="151" t="s">
        <v>13</v>
      </c>
      <c r="F707" s="152" t="str">
        <f t="shared" si="32"/>
        <v/>
      </c>
      <c r="G707" s="153">
        <f>IF($K707="Padrão",BDI!$B$17,IF($K707="Diferenciado",BDI!$E$17,0))</f>
        <v>0.2039</v>
      </c>
      <c r="H707" s="151" t="str">
        <f t="shared" si="30"/>
        <v/>
      </c>
      <c r="I707" s="152" t="str">
        <f t="shared" si="31"/>
        <v/>
      </c>
      <c r="J707" s="154"/>
      <c r="K707" s="155" t="s">
        <v>2966</v>
      </c>
    </row>
    <row r="708" spans="1:11" hidden="1" x14ac:dyDescent="0.25">
      <c r="A708" s="148" t="s">
        <v>3971</v>
      </c>
      <c r="B708" s="149" t="s">
        <v>3972</v>
      </c>
      <c r="C708" s="150" t="s">
        <v>18</v>
      </c>
      <c r="D708" s="150">
        <v>0</v>
      </c>
      <c r="E708" s="151" t="s">
        <v>13</v>
      </c>
      <c r="F708" s="152" t="str">
        <f t="shared" si="32"/>
        <v/>
      </c>
      <c r="G708" s="153">
        <f>IF($K708="Padrão",BDI!$B$17,IF($K708="Diferenciado",BDI!$E$17,0))</f>
        <v>0.2039</v>
      </c>
      <c r="H708" s="151" t="str">
        <f t="shared" si="30"/>
        <v/>
      </c>
      <c r="I708" s="152" t="str">
        <f t="shared" si="31"/>
        <v/>
      </c>
      <c r="J708" s="154"/>
      <c r="K708" s="155" t="s">
        <v>2966</v>
      </c>
    </row>
    <row r="709" spans="1:11" hidden="1" x14ac:dyDescent="0.25">
      <c r="A709" s="148" t="s">
        <v>3973</v>
      </c>
      <c r="B709" s="149" t="s">
        <v>3974</v>
      </c>
      <c r="C709" s="150" t="s">
        <v>18</v>
      </c>
      <c r="D709" s="150">
        <v>0</v>
      </c>
      <c r="E709" s="151" t="s">
        <v>13</v>
      </c>
      <c r="F709" s="152" t="str">
        <f t="shared" si="32"/>
        <v/>
      </c>
      <c r="G709" s="153">
        <f>IF($K709="Padrão",BDI!$B$17,IF($K709="Diferenciado",BDI!$E$17,0))</f>
        <v>0.2039</v>
      </c>
      <c r="H709" s="151" t="str">
        <f t="shared" si="30"/>
        <v/>
      </c>
      <c r="I709" s="152" t="str">
        <f t="shared" si="31"/>
        <v/>
      </c>
      <c r="J709" s="154"/>
      <c r="K709" s="155" t="s">
        <v>2966</v>
      </c>
    </row>
    <row r="710" spans="1:11" hidden="1" x14ac:dyDescent="0.25">
      <c r="A710" s="148" t="s">
        <v>3975</v>
      </c>
      <c r="B710" s="149" t="s">
        <v>3976</v>
      </c>
      <c r="C710" s="150" t="s">
        <v>18</v>
      </c>
      <c r="D710" s="150">
        <v>0</v>
      </c>
      <c r="E710" s="151" t="s">
        <v>13</v>
      </c>
      <c r="F710" s="152" t="str">
        <f t="shared" si="32"/>
        <v/>
      </c>
      <c r="G710" s="153">
        <f>IF($K710="Padrão",BDI!$B$17,IF($K710="Diferenciado",BDI!$E$17,0))</f>
        <v>0.2039</v>
      </c>
      <c r="H710" s="151" t="str">
        <f t="shared" ref="H710:H773" si="33">IF(ISNUMBER(E710),ROUND(E710*(1+G710),2),"")</f>
        <v/>
      </c>
      <c r="I710" s="152" t="str">
        <f t="shared" ref="I710:I773" si="34">IF(ISNUMBER(E710),ROUND(H710*D710,2),"")</f>
        <v/>
      </c>
      <c r="J710" s="154"/>
      <c r="K710" s="155" t="s">
        <v>2966</v>
      </c>
    </row>
    <row r="711" spans="1:11" hidden="1" x14ac:dyDescent="0.25">
      <c r="A711" s="148" t="s">
        <v>3977</v>
      </c>
      <c r="B711" s="149" t="s">
        <v>3978</v>
      </c>
      <c r="C711" s="150" t="s">
        <v>18</v>
      </c>
      <c r="D711" s="150">
        <v>0</v>
      </c>
      <c r="E711" s="151" t="s">
        <v>13</v>
      </c>
      <c r="F711" s="152" t="str">
        <f t="shared" ref="F711:F774" si="35">IF(ISNUMBER(E711),D711*E711,"")</f>
        <v/>
      </c>
      <c r="G711" s="153">
        <f>IF($K711="Padrão",BDI!$B$17,IF($K711="Diferenciado",BDI!$E$17,0))</f>
        <v>0.2039</v>
      </c>
      <c r="H711" s="151" t="str">
        <f t="shared" si="33"/>
        <v/>
      </c>
      <c r="I711" s="152" t="str">
        <f t="shared" si="34"/>
        <v/>
      </c>
      <c r="J711" s="154"/>
      <c r="K711" s="155" t="s">
        <v>2966</v>
      </c>
    </row>
    <row r="712" spans="1:11" hidden="1" x14ac:dyDescent="0.25">
      <c r="A712" s="148" t="s">
        <v>3979</v>
      </c>
      <c r="B712" s="149" t="s">
        <v>3980</v>
      </c>
      <c r="C712" s="150" t="s">
        <v>18</v>
      </c>
      <c r="D712" s="150">
        <v>0</v>
      </c>
      <c r="E712" s="151" t="s">
        <v>13</v>
      </c>
      <c r="F712" s="152" t="str">
        <f t="shared" si="35"/>
        <v/>
      </c>
      <c r="G712" s="153">
        <f>IF($K712="Padrão",BDI!$B$17,IF($K712="Diferenciado",BDI!$E$17,0))</f>
        <v>0.2039</v>
      </c>
      <c r="H712" s="151" t="str">
        <f t="shared" si="33"/>
        <v/>
      </c>
      <c r="I712" s="152" t="str">
        <f t="shared" si="34"/>
        <v/>
      </c>
      <c r="J712" s="154"/>
      <c r="K712" s="155" t="s">
        <v>2966</v>
      </c>
    </row>
    <row r="713" spans="1:11" hidden="1" x14ac:dyDescent="0.25">
      <c r="A713" s="148" t="s">
        <v>667</v>
      </c>
      <c r="B713" s="149" t="s">
        <v>3981</v>
      </c>
      <c r="C713" s="150" t="s">
        <v>3982</v>
      </c>
      <c r="D713" s="150">
        <v>0</v>
      </c>
      <c r="E713" s="151" t="e">
        <f ca="1">OFFSET(INDEX(Composições!A:H,MATCH(Orçamentária!A713,Composições!A:A,0),8),2,0)</f>
        <v>#REF!</v>
      </c>
      <c r="F713" s="152" t="str">
        <f t="shared" ca="1" si="35"/>
        <v/>
      </c>
      <c r="G713" s="153">
        <f>IF($K713="Padrão",BDI!$B$17,IF($K713="Diferenciado",BDI!$E$17,0))</f>
        <v>0.2039</v>
      </c>
      <c r="H713" s="151" t="str">
        <f t="shared" ca="1" si="33"/>
        <v/>
      </c>
      <c r="I713" s="152" t="str">
        <f t="shared" ca="1" si="34"/>
        <v/>
      </c>
      <c r="J713" s="154"/>
      <c r="K713" s="155" t="s">
        <v>2966</v>
      </c>
    </row>
    <row r="714" spans="1:11" hidden="1" x14ac:dyDescent="0.25">
      <c r="A714" s="148" t="s">
        <v>669</v>
      </c>
      <c r="B714" s="149" t="s">
        <v>3983</v>
      </c>
      <c r="C714" s="150" t="s">
        <v>3982</v>
      </c>
      <c r="D714" s="150">
        <v>0</v>
      </c>
      <c r="E714" s="151" t="e">
        <f ca="1">OFFSET(INDEX(Composições!A:H,MATCH(Orçamentária!A714,Composições!A:A,0),8),2,0)</f>
        <v>#REF!</v>
      </c>
      <c r="F714" s="152" t="str">
        <f t="shared" ca="1" si="35"/>
        <v/>
      </c>
      <c r="G714" s="153">
        <f>IF($K714="Padrão",BDI!$B$17,IF($K714="Diferenciado",BDI!$E$17,0))</f>
        <v>0.2039</v>
      </c>
      <c r="H714" s="151" t="str">
        <f t="shared" ca="1" si="33"/>
        <v/>
      </c>
      <c r="I714" s="152" t="str">
        <f t="shared" ca="1" si="34"/>
        <v/>
      </c>
      <c r="J714" s="154"/>
      <c r="K714" s="155" t="s">
        <v>2966</v>
      </c>
    </row>
    <row r="715" spans="1:11" hidden="1" x14ac:dyDescent="0.25">
      <c r="A715" s="148" t="s">
        <v>670</v>
      </c>
      <c r="B715" s="149" t="s">
        <v>3984</v>
      </c>
      <c r="C715" s="150" t="s">
        <v>3982</v>
      </c>
      <c r="D715" s="150">
        <v>0</v>
      </c>
      <c r="E715" s="151" t="e">
        <f ca="1">OFFSET(INDEX(Composições!A:H,MATCH(Orçamentária!A715,Composições!A:A,0),8),2,0)</f>
        <v>#REF!</v>
      </c>
      <c r="F715" s="152" t="str">
        <f t="shared" ca="1" si="35"/>
        <v/>
      </c>
      <c r="G715" s="153">
        <f>IF($K715="Padrão",BDI!$B$17,IF($K715="Diferenciado",BDI!$E$17,0))</f>
        <v>0.2039</v>
      </c>
      <c r="H715" s="151" t="str">
        <f t="shared" ca="1" si="33"/>
        <v/>
      </c>
      <c r="I715" s="152" t="str">
        <f t="shared" ca="1" si="34"/>
        <v/>
      </c>
      <c r="J715" s="154"/>
      <c r="K715" s="155" t="s">
        <v>2966</v>
      </c>
    </row>
    <row r="716" spans="1:11" hidden="1" x14ac:dyDescent="0.25">
      <c r="A716" s="148" t="s">
        <v>671</v>
      </c>
      <c r="B716" s="149" t="s">
        <v>3985</v>
      </c>
      <c r="C716" s="150" t="s">
        <v>3982</v>
      </c>
      <c r="D716" s="150">
        <v>0</v>
      </c>
      <c r="E716" s="151" t="e">
        <f ca="1">OFFSET(INDEX(Composições!A:H,MATCH(Orçamentária!A716,Composições!A:A,0),8),2,0)</f>
        <v>#REF!</v>
      </c>
      <c r="F716" s="152" t="str">
        <f t="shared" ca="1" si="35"/>
        <v/>
      </c>
      <c r="G716" s="153">
        <f>IF($K716="Padrão",BDI!$B$17,IF($K716="Diferenciado",BDI!$E$17,0))</f>
        <v>0.2039</v>
      </c>
      <c r="H716" s="151" t="str">
        <f t="shared" ca="1" si="33"/>
        <v/>
      </c>
      <c r="I716" s="152" t="str">
        <f t="shared" ca="1" si="34"/>
        <v/>
      </c>
      <c r="J716" s="154"/>
      <c r="K716" s="155" t="s">
        <v>2966</v>
      </c>
    </row>
    <row r="717" spans="1:11" hidden="1" x14ac:dyDescent="0.25">
      <c r="A717" s="148" t="s">
        <v>672</v>
      </c>
      <c r="B717" s="149" t="s">
        <v>3986</v>
      </c>
      <c r="C717" s="150" t="s">
        <v>3982</v>
      </c>
      <c r="D717" s="150">
        <v>0</v>
      </c>
      <c r="E717" s="151" t="e">
        <f ca="1">OFFSET(INDEX(Composições!A:H,MATCH(Orçamentária!A717,Composições!A:A,0),8),2,0)</f>
        <v>#REF!</v>
      </c>
      <c r="F717" s="152" t="str">
        <f t="shared" ca="1" si="35"/>
        <v/>
      </c>
      <c r="G717" s="153">
        <f>IF($K717="Padrão",BDI!$B$17,IF($K717="Diferenciado",BDI!$E$17,0))</f>
        <v>0.2039</v>
      </c>
      <c r="H717" s="151" t="str">
        <f t="shared" ca="1" si="33"/>
        <v/>
      </c>
      <c r="I717" s="152" t="str">
        <f t="shared" ca="1" si="34"/>
        <v/>
      </c>
      <c r="J717" s="154"/>
      <c r="K717" s="155" t="s">
        <v>2966</v>
      </c>
    </row>
    <row r="718" spans="1:11" hidden="1" x14ac:dyDescent="0.25">
      <c r="A718" s="148" t="s">
        <v>673</v>
      </c>
      <c r="B718" s="149" t="s">
        <v>3987</v>
      </c>
      <c r="C718" s="150" t="s">
        <v>3982</v>
      </c>
      <c r="D718" s="150">
        <v>0</v>
      </c>
      <c r="E718" s="151" t="e">
        <f ca="1">OFFSET(INDEX(Composições!A:H,MATCH(Orçamentária!A718,Composições!A:A,0),8),2,0)</f>
        <v>#REF!</v>
      </c>
      <c r="F718" s="152" t="str">
        <f t="shared" ca="1" si="35"/>
        <v/>
      </c>
      <c r="G718" s="153">
        <f>IF($K718="Padrão",BDI!$B$17,IF($K718="Diferenciado",BDI!$E$17,0))</f>
        <v>0.2039</v>
      </c>
      <c r="H718" s="151" t="str">
        <f t="shared" ca="1" si="33"/>
        <v/>
      </c>
      <c r="I718" s="152" t="str">
        <f t="shared" ca="1" si="34"/>
        <v/>
      </c>
      <c r="J718" s="154"/>
      <c r="K718" s="155" t="s">
        <v>2966</v>
      </c>
    </row>
    <row r="719" spans="1:11" hidden="1" x14ac:dyDescent="0.25">
      <c r="A719" s="148" t="s">
        <v>674</v>
      </c>
      <c r="B719" s="149" t="s">
        <v>3988</v>
      </c>
      <c r="C719" s="150" t="s">
        <v>3982</v>
      </c>
      <c r="D719" s="150">
        <v>0</v>
      </c>
      <c r="E719" s="151" t="e">
        <f ca="1">OFFSET(INDEX(Composições!A:H,MATCH(Orçamentária!A719,Composições!A:A,0),8),2,0)</f>
        <v>#REF!</v>
      </c>
      <c r="F719" s="152" t="str">
        <f t="shared" ca="1" si="35"/>
        <v/>
      </c>
      <c r="G719" s="153">
        <f>IF($K719="Padrão",BDI!$B$17,IF($K719="Diferenciado",BDI!$E$17,0))</f>
        <v>0.2039</v>
      </c>
      <c r="H719" s="151" t="str">
        <f t="shared" ca="1" si="33"/>
        <v/>
      </c>
      <c r="I719" s="152" t="str">
        <f t="shared" ca="1" si="34"/>
        <v/>
      </c>
      <c r="J719" s="154"/>
      <c r="K719" s="155" t="s">
        <v>2966</v>
      </c>
    </row>
    <row r="720" spans="1:11" hidden="1" x14ac:dyDescent="0.25">
      <c r="A720" s="148" t="s">
        <v>675</v>
      </c>
      <c r="B720" s="149" t="s">
        <v>3989</v>
      </c>
      <c r="C720" s="150" t="s">
        <v>3982</v>
      </c>
      <c r="D720" s="150">
        <v>0</v>
      </c>
      <c r="E720" s="151" t="e">
        <f ca="1">OFFSET(INDEX(Composições!A:H,MATCH(Orçamentária!A720,Composições!A:A,0),8),2,0)</f>
        <v>#REF!</v>
      </c>
      <c r="F720" s="152" t="str">
        <f t="shared" ca="1" si="35"/>
        <v/>
      </c>
      <c r="G720" s="153">
        <f>IF($K720="Padrão",BDI!$B$17,IF($K720="Diferenciado",BDI!$E$17,0))</f>
        <v>0.2039</v>
      </c>
      <c r="H720" s="151" t="str">
        <f t="shared" ca="1" si="33"/>
        <v/>
      </c>
      <c r="I720" s="152" t="str">
        <f t="shared" ca="1" si="34"/>
        <v/>
      </c>
      <c r="J720" s="154"/>
      <c r="K720" s="155" t="s">
        <v>2966</v>
      </c>
    </row>
    <row r="721" spans="1:11" hidden="1" x14ac:dyDescent="0.25">
      <c r="A721" s="148" t="s">
        <v>676</v>
      </c>
      <c r="B721" s="149" t="s">
        <v>3990</v>
      </c>
      <c r="C721" s="150" t="s">
        <v>3982</v>
      </c>
      <c r="D721" s="150">
        <v>0</v>
      </c>
      <c r="E721" s="151" t="e">
        <f ca="1">OFFSET(INDEX(Composições!A:H,MATCH(Orçamentária!A721,Composições!A:A,0),8),2,0)</f>
        <v>#REF!</v>
      </c>
      <c r="F721" s="152" t="str">
        <f t="shared" ca="1" si="35"/>
        <v/>
      </c>
      <c r="G721" s="153">
        <f>IF($K721="Padrão",BDI!$B$17,IF($K721="Diferenciado",BDI!$E$17,0))</f>
        <v>0.2039</v>
      </c>
      <c r="H721" s="151" t="str">
        <f t="shared" ca="1" si="33"/>
        <v/>
      </c>
      <c r="I721" s="152" t="str">
        <f t="shared" ca="1" si="34"/>
        <v/>
      </c>
      <c r="J721" s="154"/>
      <c r="K721" s="155" t="s">
        <v>2966</v>
      </c>
    </row>
    <row r="722" spans="1:11" hidden="1" x14ac:dyDescent="0.25">
      <c r="A722" s="148" t="s">
        <v>677</v>
      </c>
      <c r="B722" s="149" t="s">
        <v>3991</v>
      </c>
      <c r="C722" s="150" t="s">
        <v>3982</v>
      </c>
      <c r="D722" s="150">
        <v>0</v>
      </c>
      <c r="E722" s="151" t="e">
        <f ca="1">OFFSET(INDEX(Composições!A:H,MATCH(Orçamentária!A722,Composições!A:A,0),8),2,0)</f>
        <v>#REF!</v>
      </c>
      <c r="F722" s="152" t="str">
        <f t="shared" ca="1" si="35"/>
        <v/>
      </c>
      <c r="G722" s="153">
        <f>IF($K722="Padrão",BDI!$B$17,IF($K722="Diferenciado",BDI!$E$17,0))</f>
        <v>0.2039</v>
      </c>
      <c r="H722" s="151" t="str">
        <f t="shared" ca="1" si="33"/>
        <v/>
      </c>
      <c r="I722" s="152" t="str">
        <f t="shared" ca="1" si="34"/>
        <v/>
      </c>
      <c r="J722" s="154"/>
      <c r="K722" s="155" t="s">
        <v>2966</v>
      </c>
    </row>
    <row r="723" spans="1:11" hidden="1" x14ac:dyDescent="0.25">
      <c r="A723" s="148" t="s">
        <v>678</v>
      </c>
      <c r="B723" s="149" t="s">
        <v>3992</v>
      </c>
      <c r="C723" s="150" t="s">
        <v>18</v>
      </c>
      <c r="D723" s="150">
        <v>0</v>
      </c>
      <c r="E723" s="151">
        <f ca="1">OFFSET(INDEX(Composições!A:H,MATCH(Orçamentária!A723,Composições!A:A,0),8),2,0)</f>
        <v>36.992999999999995</v>
      </c>
      <c r="F723" s="152">
        <f t="shared" ca="1" si="35"/>
        <v>0</v>
      </c>
      <c r="G723" s="153">
        <f>IF($K723="Padrão",BDI!$B$17,IF($K723="Diferenciado",BDI!$E$17,0))</f>
        <v>0.2039</v>
      </c>
      <c r="H723" s="151">
        <f t="shared" ca="1" si="33"/>
        <v>44.54</v>
      </c>
      <c r="I723" s="152">
        <f t="shared" ca="1" si="34"/>
        <v>0</v>
      </c>
      <c r="J723" s="154"/>
      <c r="K723" s="155" t="s">
        <v>2966</v>
      </c>
    </row>
    <row r="724" spans="1:11" hidden="1" x14ac:dyDescent="0.25">
      <c r="A724" s="148" t="s">
        <v>3993</v>
      </c>
      <c r="B724" s="149" t="s">
        <v>3994</v>
      </c>
      <c r="C724" s="150" t="s">
        <v>18</v>
      </c>
      <c r="D724" s="150">
        <v>0</v>
      </c>
      <c r="E724" s="151" t="s">
        <v>13</v>
      </c>
      <c r="F724" s="152" t="str">
        <f t="shared" si="35"/>
        <v/>
      </c>
      <c r="G724" s="153">
        <f>IF($K724="Padrão",BDI!$B$17,IF($K724="Diferenciado",BDI!$E$17,0))</f>
        <v>0.2039</v>
      </c>
      <c r="H724" s="151" t="str">
        <f t="shared" si="33"/>
        <v/>
      </c>
      <c r="I724" s="152" t="str">
        <f t="shared" si="34"/>
        <v/>
      </c>
      <c r="J724" s="154"/>
      <c r="K724" s="155" t="s">
        <v>2966</v>
      </c>
    </row>
    <row r="725" spans="1:11" hidden="1" x14ac:dyDescent="0.25">
      <c r="A725" s="148" t="s">
        <v>3995</v>
      </c>
      <c r="B725" s="149" t="s">
        <v>3996</v>
      </c>
      <c r="C725" s="150" t="s">
        <v>18</v>
      </c>
      <c r="D725" s="150">
        <v>0</v>
      </c>
      <c r="E725" s="151" t="s">
        <v>13</v>
      </c>
      <c r="F725" s="152" t="str">
        <f t="shared" si="35"/>
        <v/>
      </c>
      <c r="G725" s="153">
        <f>IF($K725="Padrão",BDI!$B$17,IF($K725="Diferenciado",BDI!$E$17,0))</f>
        <v>0.2039</v>
      </c>
      <c r="H725" s="151" t="str">
        <f t="shared" si="33"/>
        <v/>
      </c>
      <c r="I725" s="152" t="str">
        <f t="shared" si="34"/>
        <v/>
      </c>
      <c r="J725" s="154"/>
      <c r="K725" s="155" t="s">
        <v>2966</v>
      </c>
    </row>
    <row r="726" spans="1:11" hidden="1" x14ac:dyDescent="0.25">
      <c r="A726" s="148" t="s">
        <v>3997</v>
      </c>
      <c r="B726" s="149" t="s">
        <v>3998</v>
      </c>
      <c r="C726" s="150" t="s">
        <v>18</v>
      </c>
      <c r="D726" s="150">
        <v>0</v>
      </c>
      <c r="E726" s="151" t="s">
        <v>13</v>
      </c>
      <c r="F726" s="152" t="str">
        <f t="shared" si="35"/>
        <v/>
      </c>
      <c r="G726" s="153">
        <f>IF($K726="Padrão",BDI!$B$17,IF($K726="Diferenciado",BDI!$E$17,0))</f>
        <v>0.2039</v>
      </c>
      <c r="H726" s="151" t="str">
        <f t="shared" si="33"/>
        <v/>
      </c>
      <c r="I726" s="152" t="str">
        <f t="shared" si="34"/>
        <v/>
      </c>
      <c r="J726" s="154"/>
      <c r="K726" s="155" t="s">
        <v>2966</v>
      </c>
    </row>
    <row r="727" spans="1:11" hidden="1" x14ac:dyDescent="0.25">
      <c r="A727" s="148" t="s">
        <v>3999</v>
      </c>
      <c r="B727" s="149" t="s">
        <v>4000</v>
      </c>
      <c r="C727" s="150" t="s">
        <v>18</v>
      </c>
      <c r="D727" s="150">
        <v>0</v>
      </c>
      <c r="E727" s="151" t="s">
        <v>13</v>
      </c>
      <c r="F727" s="152" t="str">
        <f t="shared" si="35"/>
        <v/>
      </c>
      <c r="G727" s="153">
        <f>IF($K727="Padrão",BDI!$B$17,IF($K727="Diferenciado",BDI!$E$17,0))</f>
        <v>0.2039</v>
      </c>
      <c r="H727" s="151" t="str">
        <f t="shared" si="33"/>
        <v/>
      </c>
      <c r="I727" s="152" t="str">
        <f t="shared" si="34"/>
        <v/>
      </c>
      <c r="J727" s="154"/>
      <c r="K727" s="155" t="s">
        <v>2966</v>
      </c>
    </row>
    <row r="728" spans="1:11" hidden="1" x14ac:dyDescent="0.25">
      <c r="A728" s="148" t="s">
        <v>4001</v>
      </c>
      <c r="B728" s="149" t="s">
        <v>4002</v>
      </c>
      <c r="C728" s="150" t="s">
        <v>18</v>
      </c>
      <c r="D728" s="150">
        <v>0</v>
      </c>
      <c r="E728" s="151" t="s">
        <v>13</v>
      </c>
      <c r="F728" s="152" t="str">
        <f t="shared" si="35"/>
        <v/>
      </c>
      <c r="G728" s="153">
        <f>IF($K728="Padrão",BDI!$B$17,IF($K728="Diferenciado",BDI!$E$17,0))</f>
        <v>0.2039</v>
      </c>
      <c r="H728" s="151" t="str">
        <f t="shared" si="33"/>
        <v/>
      </c>
      <c r="I728" s="152" t="str">
        <f t="shared" si="34"/>
        <v/>
      </c>
      <c r="J728" s="154"/>
      <c r="K728" s="155" t="s">
        <v>2966</v>
      </c>
    </row>
    <row r="729" spans="1:11" hidden="1" x14ac:dyDescent="0.25">
      <c r="A729" s="148" t="s">
        <v>4003</v>
      </c>
      <c r="B729" s="149" t="s">
        <v>4004</v>
      </c>
      <c r="C729" s="150" t="s">
        <v>18</v>
      </c>
      <c r="D729" s="150">
        <v>0</v>
      </c>
      <c r="E729" s="151" t="s">
        <v>13</v>
      </c>
      <c r="F729" s="152" t="str">
        <f t="shared" si="35"/>
        <v/>
      </c>
      <c r="G729" s="153">
        <f>IF($K729="Padrão",BDI!$B$17,IF($K729="Diferenciado",BDI!$E$17,0))</f>
        <v>0.2039</v>
      </c>
      <c r="H729" s="151" t="str">
        <f t="shared" si="33"/>
        <v/>
      </c>
      <c r="I729" s="152" t="str">
        <f t="shared" si="34"/>
        <v/>
      </c>
      <c r="J729" s="154"/>
      <c r="K729" s="155" t="s">
        <v>2966</v>
      </c>
    </row>
    <row r="730" spans="1:11" hidden="1" x14ac:dyDescent="0.25">
      <c r="A730" s="148" t="s">
        <v>4005</v>
      </c>
      <c r="B730" s="149" t="s">
        <v>4006</v>
      </c>
      <c r="C730" s="150" t="s">
        <v>18</v>
      </c>
      <c r="D730" s="150">
        <v>0</v>
      </c>
      <c r="E730" s="151" t="s">
        <v>13</v>
      </c>
      <c r="F730" s="152" t="str">
        <f t="shared" si="35"/>
        <v/>
      </c>
      <c r="G730" s="153">
        <f>IF($K730="Padrão",BDI!$B$17,IF($K730="Diferenciado",BDI!$E$17,0))</f>
        <v>0.2039</v>
      </c>
      <c r="H730" s="151" t="str">
        <f t="shared" si="33"/>
        <v/>
      </c>
      <c r="I730" s="152" t="str">
        <f t="shared" si="34"/>
        <v/>
      </c>
      <c r="J730" s="154"/>
      <c r="K730" s="155" t="s">
        <v>2966</v>
      </c>
    </row>
    <row r="731" spans="1:11" hidden="1" x14ac:dyDescent="0.25">
      <c r="A731" s="148" t="s">
        <v>4007</v>
      </c>
      <c r="B731" s="149" t="s">
        <v>4008</v>
      </c>
      <c r="C731" s="150" t="s">
        <v>18</v>
      </c>
      <c r="D731" s="150">
        <v>0</v>
      </c>
      <c r="E731" s="151" t="s">
        <v>13</v>
      </c>
      <c r="F731" s="152" t="str">
        <f t="shared" si="35"/>
        <v/>
      </c>
      <c r="G731" s="153">
        <f>IF($K731="Padrão",BDI!$B$17,IF($K731="Diferenciado",BDI!$E$17,0))</f>
        <v>0.2039</v>
      </c>
      <c r="H731" s="151" t="str">
        <f t="shared" si="33"/>
        <v/>
      </c>
      <c r="I731" s="152" t="str">
        <f t="shared" si="34"/>
        <v/>
      </c>
      <c r="J731" s="154"/>
      <c r="K731" s="155" t="s">
        <v>2966</v>
      </c>
    </row>
    <row r="732" spans="1:11" hidden="1" x14ac:dyDescent="0.25">
      <c r="A732" s="148" t="s">
        <v>4009</v>
      </c>
      <c r="B732" s="149" t="s">
        <v>4010</v>
      </c>
      <c r="C732" s="150" t="s">
        <v>18</v>
      </c>
      <c r="D732" s="150">
        <v>0</v>
      </c>
      <c r="E732" s="151" t="s">
        <v>13</v>
      </c>
      <c r="F732" s="152" t="str">
        <f t="shared" si="35"/>
        <v/>
      </c>
      <c r="G732" s="153">
        <f>IF($K732="Padrão",BDI!$B$17,IF($K732="Diferenciado",BDI!$E$17,0))</f>
        <v>0.2039</v>
      </c>
      <c r="H732" s="151" t="str">
        <f t="shared" si="33"/>
        <v/>
      </c>
      <c r="I732" s="152" t="str">
        <f t="shared" si="34"/>
        <v/>
      </c>
      <c r="J732" s="154"/>
      <c r="K732" s="155" t="s">
        <v>2966</v>
      </c>
    </row>
    <row r="733" spans="1:11" hidden="1" x14ac:dyDescent="0.25">
      <c r="A733" s="148" t="s">
        <v>679</v>
      </c>
      <c r="B733" s="149" t="s">
        <v>4011</v>
      </c>
      <c r="C733" s="150" t="s">
        <v>18</v>
      </c>
      <c r="D733" s="150">
        <v>0</v>
      </c>
      <c r="E733" s="151">
        <f ca="1">OFFSET(INDEX(Composições!A:H,MATCH(Orçamentária!A733,Composições!A:A,0),8),2,0)</f>
        <v>211.66</v>
      </c>
      <c r="F733" s="152">
        <f t="shared" ca="1" si="35"/>
        <v>0</v>
      </c>
      <c r="G733" s="153">
        <f>IF($K733="Padrão",BDI!$B$17,IF($K733="Diferenciado",BDI!$E$17,0))</f>
        <v>0.2039</v>
      </c>
      <c r="H733" s="151">
        <f t="shared" ca="1" si="33"/>
        <v>254.82</v>
      </c>
      <c r="I733" s="152">
        <f t="shared" ca="1" si="34"/>
        <v>0</v>
      </c>
      <c r="J733" s="154"/>
      <c r="K733" s="155" t="s">
        <v>2966</v>
      </c>
    </row>
    <row r="734" spans="1:11" hidden="1" x14ac:dyDescent="0.25">
      <c r="A734" s="148" t="s">
        <v>4012</v>
      </c>
      <c r="B734" s="149" t="s">
        <v>4013</v>
      </c>
      <c r="C734" s="150" t="s">
        <v>18</v>
      </c>
      <c r="D734" s="150">
        <v>0</v>
      </c>
      <c r="E734" s="151" t="s">
        <v>13</v>
      </c>
      <c r="F734" s="152" t="str">
        <f t="shared" si="35"/>
        <v/>
      </c>
      <c r="G734" s="153">
        <f>IF($K734="Padrão",BDI!$B$17,IF($K734="Diferenciado",BDI!$E$17,0))</f>
        <v>0.2039</v>
      </c>
      <c r="H734" s="151" t="str">
        <f t="shared" si="33"/>
        <v/>
      </c>
      <c r="I734" s="152" t="str">
        <f t="shared" si="34"/>
        <v/>
      </c>
      <c r="J734" s="154"/>
      <c r="K734" s="155" t="s">
        <v>2966</v>
      </c>
    </row>
    <row r="735" spans="1:11" hidden="1" x14ac:dyDescent="0.25">
      <c r="A735" s="148" t="s">
        <v>4014</v>
      </c>
      <c r="B735" s="149" t="s">
        <v>4015</v>
      </c>
      <c r="C735" s="150" t="s">
        <v>18</v>
      </c>
      <c r="D735" s="150">
        <v>0</v>
      </c>
      <c r="E735" s="151" t="s">
        <v>13</v>
      </c>
      <c r="F735" s="152" t="str">
        <f t="shared" si="35"/>
        <v/>
      </c>
      <c r="G735" s="153">
        <f>IF($K735="Padrão",BDI!$B$17,IF($K735="Diferenciado",BDI!$E$17,0))</f>
        <v>0.2039</v>
      </c>
      <c r="H735" s="151" t="str">
        <f t="shared" si="33"/>
        <v/>
      </c>
      <c r="I735" s="152" t="str">
        <f t="shared" si="34"/>
        <v/>
      </c>
      <c r="J735" s="154"/>
      <c r="K735" s="155" t="s">
        <v>2966</v>
      </c>
    </row>
    <row r="736" spans="1:11" hidden="1" x14ac:dyDescent="0.25">
      <c r="A736" s="148" t="s">
        <v>4016</v>
      </c>
      <c r="B736" s="149" t="s">
        <v>4017</v>
      </c>
      <c r="C736" s="150" t="s">
        <v>18</v>
      </c>
      <c r="D736" s="150">
        <v>0</v>
      </c>
      <c r="E736" s="151" t="s">
        <v>13</v>
      </c>
      <c r="F736" s="152" t="str">
        <f t="shared" si="35"/>
        <v/>
      </c>
      <c r="G736" s="153">
        <f>IF($K736="Padrão",BDI!$B$17,IF($K736="Diferenciado",BDI!$E$17,0))</f>
        <v>0.2039</v>
      </c>
      <c r="H736" s="151" t="str">
        <f t="shared" si="33"/>
        <v/>
      </c>
      <c r="I736" s="152" t="str">
        <f t="shared" si="34"/>
        <v/>
      </c>
      <c r="J736" s="154"/>
      <c r="K736" s="155" t="s">
        <v>2966</v>
      </c>
    </row>
    <row r="737" spans="1:11" hidden="1" x14ac:dyDescent="0.25">
      <c r="A737" s="148" t="s">
        <v>4018</v>
      </c>
      <c r="B737" s="149" t="s">
        <v>4019</v>
      </c>
      <c r="C737" s="150" t="s">
        <v>18</v>
      </c>
      <c r="D737" s="150">
        <v>0</v>
      </c>
      <c r="E737" s="151" t="s">
        <v>13</v>
      </c>
      <c r="F737" s="152" t="str">
        <f t="shared" si="35"/>
        <v/>
      </c>
      <c r="G737" s="153">
        <f>IF($K737="Padrão",BDI!$B$17,IF($K737="Diferenciado",BDI!$E$17,0))</f>
        <v>0.2039</v>
      </c>
      <c r="H737" s="151" t="str">
        <f t="shared" si="33"/>
        <v/>
      </c>
      <c r="I737" s="152" t="str">
        <f t="shared" si="34"/>
        <v/>
      </c>
      <c r="J737" s="154"/>
      <c r="K737" s="155" t="s">
        <v>2966</v>
      </c>
    </row>
    <row r="738" spans="1:11" hidden="1" x14ac:dyDescent="0.25">
      <c r="A738" s="148" t="s">
        <v>4020</v>
      </c>
      <c r="B738" s="149" t="s">
        <v>4021</v>
      </c>
      <c r="C738" s="150" t="s">
        <v>18</v>
      </c>
      <c r="D738" s="150">
        <v>0</v>
      </c>
      <c r="E738" s="151" t="s">
        <v>13</v>
      </c>
      <c r="F738" s="152" t="str">
        <f t="shared" si="35"/>
        <v/>
      </c>
      <c r="G738" s="153">
        <f>IF($K738="Padrão",BDI!$B$17,IF($K738="Diferenciado",BDI!$E$17,0))</f>
        <v>0.2039</v>
      </c>
      <c r="H738" s="151" t="str">
        <f t="shared" si="33"/>
        <v/>
      </c>
      <c r="I738" s="152" t="str">
        <f t="shared" si="34"/>
        <v/>
      </c>
      <c r="J738" s="154"/>
      <c r="K738" s="155" t="s">
        <v>2966</v>
      </c>
    </row>
    <row r="739" spans="1:11" hidden="1" x14ac:dyDescent="0.25">
      <c r="A739" s="148" t="s">
        <v>4022</v>
      </c>
      <c r="B739" s="149" t="s">
        <v>4023</v>
      </c>
      <c r="C739" s="150" t="s">
        <v>18</v>
      </c>
      <c r="D739" s="150">
        <v>0</v>
      </c>
      <c r="E739" s="151" t="s">
        <v>13</v>
      </c>
      <c r="F739" s="152" t="str">
        <f t="shared" si="35"/>
        <v/>
      </c>
      <c r="G739" s="153">
        <f>IF($K739="Padrão",BDI!$B$17,IF($K739="Diferenciado",BDI!$E$17,0))</f>
        <v>0.2039</v>
      </c>
      <c r="H739" s="151" t="str">
        <f t="shared" si="33"/>
        <v/>
      </c>
      <c r="I739" s="152" t="str">
        <f t="shared" si="34"/>
        <v/>
      </c>
      <c r="J739" s="154"/>
      <c r="K739" s="155" t="s">
        <v>2966</v>
      </c>
    </row>
    <row r="740" spans="1:11" hidden="1" x14ac:dyDescent="0.25">
      <c r="A740" s="148" t="s">
        <v>4024</v>
      </c>
      <c r="B740" s="149" t="s">
        <v>4025</v>
      </c>
      <c r="C740" s="150" t="s">
        <v>18</v>
      </c>
      <c r="D740" s="150">
        <v>0</v>
      </c>
      <c r="E740" s="151" t="s">
        <v>13</v>
      </c>
      <c r="F740" s="152" t="str">
        <f t="shared" si="35"/>
        <v/>
      </c>
      <c r="G740" s="153">
        <f>IF($K740="Padrão",BDI!$B$17,IF($K740="Diferenciado",BDI!$E$17,0))</f>
        <v>0.2039</v>
      </c>
      <c r="H740" s="151" t="str">
        <f t="shared" si="33"/>
        <v/>
      </c>
      <c r="I740" s="152" t="str">
        <f t="shared" si="34"/>
        <v/>
      </c>
      <c r="J740" s="154"/>
      <c r="K740" s="155" t="s">
        <v>2966</v>
      </c>
    </row>
    <row r="741" spans="1:11" hidden="1" x14ac:dyDescent="0.25">
      <c r="A741" s="148" t="s">
        <v>4026</v>
      </c>
      <c r="B741" s="149" t="s">
        <v>4027</v>
      </c>
      <c r="C741" s="150" t="s">
        <v>18</v>
      </c>
      <c r="D741" s="150">
        <v>0</v>
      </c>
      <c r="E741" s="151" t="s">
        <v>13</v>
      </c>
      <c r="F741" s="152" t="str">
        <f t="shared" si="35"/>
        <v/>
      </c>
      <c r="G741" s="153">
        <f>IF($K741="Padrão",BDI!$B$17,IF($K741="Diferenciado",BDI!$E$17,0))</f>
        <v>0.2039</v>
      </c>
      <c r="H741" s="151" t="str">
        <f t="shared" si="33"/>
        <v/>
      </c>
      <c r="I741" s="152" t="str">
        <f t="shared" si="34"/>
        <v/>
      </c>
      <c r="J741" s="154"/>
      <c r="K741" s="155" t="s">
        <v>2966</v>
      </c>
    </row>
    <row r="742" spans="1:11" hidden="1" x14ac:dyDescent="0.25">
      <c r="A742" s="148" t="s">
        <v>680</v>
      </c>
      <c r="B742" s="149" t="s">
        <v>4028</v>
      </c>
      <c r="C742" s="150" t="s">
        <v>18</v>
      </c>
      <c r="D742" s="150">
        <v>0</v>
      </c>
      <c r="E742" s="151">
        <f ca="1">OFFSET(INDEX(Composições!A:H,MATCH(Orçamentária!A742,Composições!A:A,0),8),2,0)</f>
        <v>67.953499999999991</v>
      </c>
      <c r="F742" s="152">
        <f t="shared" ca="1" si="35"/>
        <v>0</v>
      </c>
      <c r="G742" s="153">
        <f>IF($K742="Padrão",BDI!$B$17,IF($K742="Diferenciado",BDI!$E$17,0))</f>
        <v>0.2039</v>
      </c>
      <c r="H742" s="151">
        <f t="shared" ca="1" si="33"/>
        <v>81.81</v>
      </c>
      <c r="I742" s="152">
        <f t="shared" ca="1" si="34"/>
        <v>0</v>
      </c>
      <c r="J742" s="154"/>
      <c r="K742" s="155" t="s">
        <v>2966</v>
      </c>
    </row>
    <row r="743" spans="1:11" hidden="1" x14ac:dyDescent="0.25">
      <c r="A743" s="148" t="s">
        <v>4029</v>
      </c>
      <c r="B743" s="149" t="s">
        <v>4030</v>
      </c>
      <c r="C743" s="150" t="s">
        <v>18</v>
      </c>
      <c r="D743" s="150">
        <v>0</v>
      </c>
      <c r="E743" s="151" t="s">
        <v>13</v>
      </c>
      <c r="F743" s="152" t="str">
        <f t="shared" si="35"/>
        <v/>
      </c>
      <c r="G743" s="153">
        <f>IF($K743="Padrão",BDI!$B$17,IF($K743="Diferenciado",BDI!$E$17,0))</f>
        <v>0.2039</v>
      </c>
      <c r="H743" s="151" t="str">
        <f t="shared" si="33"/>
        <v/>
      </c>
      <c r="I743" s="152" t="str">
        <f t="shared" si="34"/>
        <v/>
      </c>
      <c r="J743" s="154"/>
      <c r="K743" s="155" t="s">
        <v>2966</v>
      </c>
    </row>
    <row r="744" spans="1:11" hidden="1" x14ac:dyDescent="0.25">
      <c r="A744" s="148" t="s">
        <v>4031</v>
      </c>
      <c r="B744" s="149" t="s">
        <v>4032</v>
      </c>
      <c r="C744" s="150" t="s">
        <v>18</v>
      </c>
      <c r="D744" s="150">
        <v>0</v>
      </c>
      <c r="E744" s="151" t="s">
        <v>13</v>
      </c>
      <c r="F744" s="152" t="str">
        <f t="shared" si="35"/>
        <v/>
      </c>
      <c r="G744" s="153">
        <f>IF($K744="Padrão",BDI!$B$17,IF($K744="Diferenciado",BDI!$E$17,0))</f>
        <v>0.2039</v>
      </c>
      <c r="H744" s="151" t="str">
        <f t="shared" si="33"/>
        <v/>
      </c>
      <c r="I744" s="152" t="str">
        <f t="shared" si="34"/>
        <v/>
      </c>
      <c r="J744" s="154"/>
      <c r="K744" s="155" t="s">
        <v>2966</v>
      </c>
    </row>
    <row r="745" spans="1:11" hidden="1" x14ac:dyDescent="0.25">
      <c r="A745" s="148" t="s">
        <v>4033</v>
      </c>
      <c r="B745" s="149" t="s">
        <v>4034</v>
      </c>
      <c r="C745" s="150" t="s">
        <v>18</v>
      </c>
      <c r="D745" s="150">
        <v>0</v>
      </c>
      <c r="E745" s="151" t="s">
        <v>13</v>
      </c>
      <c r="F745" s="152" t="str">
        <f t="shared" si="35"/>
        <v/>
      </c>
      <c r="G745" s="153">
        <f>IF($K745="Padrão",BDI!$B$17,IF($K745="Diferenciado",BDI!$E$17,0))</f>
        <v>0.2039</v>
      </c>
      <c r="H745" s="151" t="str">
        <f t="shared" si="33"/>
        <v/>
      </c>
      <c r="I745" s="152" t="str">
        <f t="shared" si="34"/>
        <v/>
      </c>
      <c r="J745" s="154"/>
      <c r="K745" s="155" t="s">
        <v>2966</v>
      </c>
    </row>
    <row r="746" spans="1:11" hidden="1" x14ac:dyDescent="0.25">
      <c r="A746" s="148" t="s">
        <v>4035</v>
      </c>
      <c r="B746" s="149" t="s">
        <v>4036</v>
      </c>
      <c r="C746" s="150" t="s">
        <v>18</v>
      </c>
      <c r="D746" s="150">
        <v>0</v>
      </c>
      <c r="E746" s="151" t="s">
        <v>13</v>
      </c>
      <c r="F746" s="152" t="str">
        <f t="shared" si="35"/>
        <v/>
      </c>
      <c r="G746" s="153">
        <f>IF($K746="Padrão",BDI!$B$17,IF($K746="Diferenciado",BDI!$E$17,0))</f>
        <v>0.2039</v>
      </c>
      <c r="H746" s="151" t="str">
        <f t="shared" si="33"/>
        <v/>
      </c>
      <c r="I746" s="152" t="str">
        <f t="shared" si="34"/>
        <v/>
      </c>
      <c r="J746" s="154"/>
      <c r="K746" s="155" t="s">
        <v>2966</v>
      </c>
    </row>
    <row r="747" spans="1:11" hidden="1" x14ac:dyDescent="0.25">
      <c r="A747" s="148" t="s">
        <v>4037</v>
      </c>
      <c r="B747" s="149" t="s">
        <v>4038</v>
      </c>
      <c r="C747" s="150" t="s">
        <v>18</v>
      </c>
      <c r="D747" s="150">
        <v>0</v>
      </c>
      <c r="E747" s="151" t="s">
        <v>13</v>
      </c>
      <c r="F747" s="152" t="str">
        <f t="shared" si="35"/>
        <v/>
      </c>
      <c r="G747" s="153">
        <f>IF($K747="Padrão",BDI!$B$17,IF($K747="Diferenciado",BDI!$E$17,0))</f>
        <v>0.2039</v>
      </c>
      <c r="H747" s="151" t="str">
        <f t="shared" si="33"/>
        <v/>
      </c>
      <c r="I747" s="152" t="str">
        <f t="shared" si="34"/>
        <v/>
      </c>
      <c r="J747" s="154"/>
      <c r="K747" s="155" t="s">
        <v>2966</v>
      </c>
    </row>
    <row r="748" spans="1:11" hidden="1" x14ac:dyDescent="0.25">
      <c r="A748" s="148" t="s">
        <v>4039</v>
      </c>
      <c r="B748" s="149" t="s">
        <v>4040</v>
      </c>
      <c r="C748" s="150" t="s">
        <v>18</v>
      </c>
      <c r="D748" s="150">
        <v>0</v>
      </c>
      <c r="E748" s="151" t="s">
        <v>13</v>
      </c>
      <c r="F748" s="152" t="str">
        <f t="shared" si="35"/>
        <v/>
      </c>
      <c r="G748" s="153">
        <f>IF($K748="Padrão",BDI!$B$17,IF($K748="Diferenciado",BDI!$E$17,0))</f>
        <v>0.2039</v>
      </c>
      <c r="H748" s="151" t="str">
        <f t="shared" si="33"/>
        <v/>
      </c>
      <c r="I748" s="152" t="str">
        <f t="shared" si="34"/>
        <v/>
      </c>
      <c r="J748" s="154"/>
      <c r="K748" s="155" t="s">
        <v>2966</v>
      </c>
    </row>
    <row r="749" spans="1:11" hidden="1" x14ac:dyDescent="0.25">
      <c r="A749" s="148" t="s">
        <v>4041</v>
      </c>
      <c r="B749" s="149" t="s">
        <v>4042</v>
      </c>
      <c r="C749" s="150" t="s">
        <v>18</v>
      </c>
      <c r="D749" s="150">
        <v>0</v>
      </c>
      <c r="E749" s="151" t="s">
        <v>13</v>
      </c>
      <c r="F749" s="152" t="str">
        <f t="shared" si="35"/>
        <v/>
      </c>
      <c r="G749" s="153">
        <f>IF($K749="Padrão",BDI!$B$17,IF($K749="Diferenciado",BDI!$E$17,0))</f>
        <v>0.2039</v>
      </c>
      <c r="H749" s="151" t="str">
        <f t="shared" si="33"/>
        <v/>
      </c>
      <c r="I749" s="152" t="str">
        <f t="shared" si="34"/>
        <v/>
      </c>
      <c r="J749" s="154"/>
      <c r="K749" s="155" t="s">
        <v>2966</v>
      </c>
    </row>
    <row r="750" spans="1:11" hidden="1" x14ac:dyDescent="0.25">
      <c r="A750" s="148" t="s">
        <v>681</v>
      </c>
      <c r="B750" s="149" t="s">
        <v>4043</v>
      </c>
      <c r="C750" s="150" t="s">
        <v>18</v>
      </c>
      <c r="D750" s="150">
        <v>0</v>
      </c>
      <c r="E750" s="151">
        <f ca="1">OFFSET(INDEX(Composições!A:H,MATCH(Orçamentária!A750,Composições!A:A,0),8),2,0)</f>
        <v>12.8725</v>
      </c>
      <c r="F750" s="152">
        <f t="shared" ca="1" si="35"/>
        <v>0</v>
      </c>
      <c r="G750" s="153">
        <f>IF($K750="Padrão",BDI!$B$17,IF($K750="Diferenciado",BDI!$E$17,0))</f>
        <v>0.2039</v>
      </c>
      <c r="H750" s="151">
        <f t="shared" ca="1" si="33"/>
        <v>15.5</v>
      </c>
      <c r="I750" s="152">
        <f t="shared" ca="1" si="34"/>
        <v>0</v>
      </c>
      <c r="J750" s="154"/>
      <c r="K750" s="155" t="s">
        <v>2966</v>
      </c>
    </row>
    <row r="751" spans="1:11" hidden="1" x14ac:dyDescent="0.25">
      <c r="A751" s="148" t="s">
        <v>682</v>
      </c>
      <c r="B751" s="149" t="s">
        <v>4044</v>
      </c>
      <c r="C751" s="150" t="s">
        <v>18</v>
      </c>
      <c r="D751" s="150">
        <v>0</v>
      </c>
      <c r="E751" s="151">
        <f ca="1">OFFSET(INDEX(Composições!A:H,MATCH(Orçamentária!A751,Composições!A:A,0),8),2,0)</f>
        <v>21.422499999999999</v>
      </c>
      <c r="F751" s="152">
        <f t="shared" ca="1" si="35"/>
        <v>0</v>
      </c>
      <c r="G751" s="153">
        <f>IF($K751="Padrão",BDI!$B$17,IF($K751="Diferenciado",BDI!$E$17,0))</f>
        <v>0.2039</v>
      </c>
      <c r="H751" s="151">
        <f t="shared" ca="1" si="33"/>
        <v>25.79</v>
      </c>
      <c r="I751" s="152">
        <f t="shared" ca="1" si="34"/>
        <v>0</v>
      </c>
      <c r="J751" s="154"/>
      <c r="K751" s="155" t="s">
        <v>2966</v>
      </c>
    </row>
    <row r="752" spans="1:11" hidden="1" x14ac:dyDescent="0.25">
      <c r="A752" s="148" t="s">
        <v>4045</v>
      </c>
      <c r="B752" s="149" t="s">
        <v>4046</v>
      </c>
      <c r="C752" s="150" t="s">
        <v>18</v>
      </c>
      <c r="D752" s="150">
        <v>0</v>
      </c>
      <c r="E752" s="151" t="s">
        <v>13</v>
      </c>
      <c r="F752" s="152" t="str">
        <f t="shared" si="35"/>
        <v/>
      </c>
      <c r="G752" s="153">
        <f>IF($K752="Padrão",BDI!$B$17,IF($K752="Diferenciado",BDI!$E$17,0))</f>
        <v>0.2039</v>
      </c>
      <c r="H752" s="151" t="str">
        <f t="shared" si="33"/>
        <v/>
      </c>
      <c r="I752" s="152" t="str">
        <f t="shared" si="34"/>
        <v/>
      </c>
      <c r="J752" s="154"/>
      <c r="K752" s="155" t="s">
        <v>2966</v>
      </c>
    </row>
    <row r="753" spans="1:11" hidden="1" x14ac:dyDescent="0.25">
      <c r="A753" s="148" t="s">
        <v>4047</v>
      </c>
      <c r="B753" s="149" t="s">
        <v>4048</v>
      </c>
      <c r="C753" s="150" t="s">
        <v>18</v>
      </c>
      <c r="D753" s="150">
        <v>0</v>
      </c>
      <c r="E753" s="151" t="s">
        <v>13</v>
      </c>
      <c r="F753" s="152" t="str">
        <f t="shared" si="35"/>
        <v/>
      </c>
      <c r="G753" s="153">
        <f>IF($K753="Padrão",BDI!$B$17,IF($K753="Diferenciado",BDI!$E$17,0))</f>
        <v>0.2039</v>
      </c>
      <c r="H753" s="151" t="str">
        <f t="shared" si="33"/>
        <v/>
      </c>
      <c r="I753" s="152" t="str">
        <f t="shared" si="34"/>
        <v/>
      </c>
      <c r="J753" s="154"/>
      <c r="K753" s="155" t="s">
        <v>2966</v>
      </c>
    </row>
    <row r="754" spans="1:11" hidden="1" x14ac:dyDescent="0.25">
      <c r="A754" s="148" t="s">
        <v>4049</v>
      </c>
      <c r="B754" s="149" t="s">
        <v>4050</v>
      </c>
      <c r="C754" s="150" t="s">
        <v>18</v>
      </c>
      <c r="D754" s="150">
        <v>0</v>
      </c>
      <c r="E754" s="151" t="s">
        <v>13</v>
      </c>
      <c r="F754" s="152" t="str">
        <f t="shared" si="35"/>
        <v/>
      </c>
      <c r="G754" s="153">
        <f>IF($K754="Padrão",BDI!$B$17,IF($K754="Diferenciado",BDI!$E$17,0))</f>
        <v>0.2039</v>
      </c>
      <c r="H754" s="151" t="str">
        <f t="shared" si="33"/>
        <v/>
      </c>
      <c r="I754" s="152" t="str">
        <f t="shared" si="34"/>
        <v/>
      </c>
      <c r="J754" s="154"/>
      <c r="K754" s="155" t="s">
        <v>2966</v>
      </c>
    </row>
    <row r="755" spans="1:11" hidden="1" x14ac:dyDescent="0.25">
      <c r="A755" s="148" t="s">
        <v>4051</v>
      </c>
      <c r="B755" s="149" t="s">
        <v>4052</v>
      </c>
      <c r="C755" s="150" t="s">
        <v>18</v>
      </c>
      <c r="D755" s="150">
        <v>0</v>
      </c>
      <c r="E755" s="151" t="s">
        <v>13</v>
      </c>
      <c r="F755" s="152" t="str">
        <f t="shared" si="35"/>
        <v/>
      </c>
      <c r="G755" s="153">
        <f>IF($K755="Padrão",BDI!$B$17,IF($K755="Diferenciado",BDI!$E$17,0))</f>
        <v>0.2039</v>
      </c>
      <c r="H755" s="151" t="str">
        <f t="shared" si="33"/>
        <v/>
      </c>
      <c r="I755" s="152" t="str">
        <f t="shared" si="34"/>
        <v/>
      </c>
      <c r="J755" s="154"/>
      <c r="K755" s="155" t="s">
        <v>2966</v>
      </c>
    </row>
    <row r="756" spans="1:11" hidden="1" x14ac:dyDescent="0.25">
      <c r="A756" s="148" t="s">
        <v>4053</v>
      </c>
      <c r="B756" s="149" t="s">
        <v>4054</v>
      </c>
      <c r="C756" s="150" t="s">
        <v>18</v>
      </c>
      <c r="D756" s="150">
        <v>0</v>
      </c>
      <c r="E756" s="151" t="s">
        <v>13</v>
      </c>
      <c r="F756" s="152" t="str">
        <f t="shared" si="35"/>
        <v/>
      </c>
      <c r="G756" s="153">
        <f>IF($K756="Padrão",BDI!$B$17,IF($K756="Diferenciado",BDI!$E$17,0))</f>
        <v>0.2039</v>
      </c>
      <c r="H756" s="151" t="str">
        <f t="shared" si="33"/>
        <v/>
      </c>
      <c r="I756" s="152" t="str">
        <f t="shared" si="34"/>
        <v/>
      </c>
      <c r="J756" s="154"/>
      <c r="K756" s="155" t="s">
        <v>2966</v>
      </c>
    </row>
    <row r="757" spans="1:11" hidden="1" x14ac:dyDescent="0.25">
      <c r="A757" s="148" t="s">
        <v>4055</v>
      </c>
      <c r="B757" s="149" t="s">
        <v>4056</v>
      </c>
      <c r="C757" s="150" t="s">
        <v>461</v>
      </c>
      <c r="D757" s="150">
        <v>0</v>
      </c>
      <c r="E757" s="151" t="s">
        <v>13</v>
      </c>
      <c r="F757" s="152" t="str">
        <f t="shared" si="35"/>
        <v/>
      </c>
      <c r="G757" s="153">
        <f>IF($K757="Padrão",BDI!$B$17,IF($K757="Diferenciado",BDI!$E$17,0))</f>
        <v>0.2039</v>
      </c>
      <c r="H757" s="151" t="str">
        <f t="shared" si="33"/>
        <v/>
      </c>
      <c r="I757" s="152" t="str">
        <f t="shared" si="34"/>
        <v/>
      </c>
      <c r="J757" s="154"/>
      <c r="K757" s="155" t="s">
        <v>2966</v>
      </c>
    </row>
    <row r="758" spans="1:11" hidden="1" x14ac:dyDescent="0.25">
      <c r="A758" s="148" t="s">
        <v>4057</v>
      </c>
      <c r="B758" s="149" t="s">
        <v>4058</v>
      </c>
      <c r="C758" s="150" t="s">
        <v>18</v>
      </c>
      <c r="D758" s="150">
        <v>0</v>
      </c>
      <c r="E758" s="151" t="s">
        <v>13</v>
      </c>
      <c r="F758" s="152" t="str">
        <f t="shared" si="35"/>
        <v/>
      </c>
      <c r="G758" s="153">
        <f>IF($K758="Padrão",BDI!$B$17,IF($K758="Diferenciado",BDI!$E$17,0))</f>
        <v>0.2039</v>
      </c>
      <c r="H758" s="151" t="str">
        <f t="shared" si="33"/>
        <v/>
      </c>
      <c r="I758" s="152" t="str">
        <f t="shared" si="34"/>
        <v/>
      </c>
      <c r="J758" s="154"/>
      <c r="K758" s="155" t="s">
        <v>2966</v>
      </c>
    </row>
    <row r="759" spans="1:11" hidden="1" x14ac:dyDescent="0.25">
      <c r="A759" s="148" t="s">
        <v>4059</v>
      </c>
      <c r="B759" s="149" t="s">
        <v>4060</v>
      </c>
      <c r="C759" s="150" t="s">
        <v>18</v>
      </c>
      <c r="D759" s="150">
        <v>0</v>
      </c>
      <c r="E759" s="151" t="s">
        <v>13</v>
      </c>
      <c r="F759" s="152" t="str">
        <f t="shared" si="35"/>
        <v/>
      </c>
      <c r="G759" s="153">
        <f>IF($K759="Padrão",BDI!$B$17,IF($K759="Diferenciado",BDI!$E$17,0))</f>
        <v>0.2039</v>
      </c>
      <c r="H759" s="151" t="str">
        <f t="shared" si="33"/>
        <v/>
      </c>
      <c r="I759" s="152" t="str">
        <f t="shared" si="34"/>
        <v/>
      </c>
      <c r="J759" s="154"/>
      <c r="K759" s="155" t="s">
        <v>2966</v>
      </c>
    </row>
    <row r="760" spans="1:11" hidden="1" x14ac:dyDescent="0.25">
      <c r="A760" s="148" t="s">
        <v>4061</v>
      </c>
      <c r="B760" s="149" t="s">
        <v>4062</v>
      </c>
      <c r="C760" s="150" t="s">
        <v>18</v>
      </c>
      <c r="D760" s="150">
        <v>0</v>
      </c>
      <c r="E760" s="151" t="s">
        <v>13</v>
      </c>
      <c r="F760" s="152" t="str">
        <f t="shared" si="35"/>
        <v/>
      </c>
      <c r="G760" s="153">
        <f>IF($K760="Padrão",BDI!$B$17,IF($K760="Diferenciado",BDI!$E$17,0))</f>
        <v>0.2039</v>
      </c>
      <c r="H760" s="151" t="str">
        <f t="shared" si="33"/>
        <v/>
      </c>
      <c r="I760" s="152" t="str">
        <f t="shared" si="34"/>
        <v/>
      </c>
      <c r="J760" s="154"/>
      <c r="K760" s="155" t="s">
        <v>2966</v>
      </c>
    </row>
    <row r="761" spans="1:11" hidden="1" x14ac:dyDescent="0.25">
      <c r="A761" s="148" t="s">
        <v>4063</v>
      </c>
      <c r="B761" s="149" t="s">
        <v>4064</v>
      </c>
      <c r="C761" s="150" t="s">
        <v>18</v>
      </c>
      <c r="D761" s="150">
        <v>0</v>
      </c>
      <c r="E761" s="151" t="s">
        <v>13</v>
      </c>
      <c r="F761" s="152" t="str">
        <f t="shared" si="35"/>
        <v/>
      </c>
      <c r="G761" s="153">
        <f>IF($K761="Padrão",BDI!$B$17,IF($K761="Diferenciado",BDI!$E$17,0))</f>
        <v>0.2039</v>
      </c>
      <c r="H761" s="151" t="str">
        <f t="shared" si="33"/>
        <v/>
      </c>
      <c r="I761" s="152" t="str">
        <f t="shared" si="34"/>
        <v/>
      </c>
      <c r="J761" s="154"/>
      <c r="K761" s="155" t="s">
        <v>2966</v>
      </c>
    </row>
    <row r="762" spans="1:11" hidden="1" x14ac:dyDescent="0.25">
      <c r="A762" s="148" t="s">
        <v>4065</v>
      </c>
      <c r="B762" s="149" t="s">
        <v>4066</v>
      </c>
      <c r="C762" s="150" t="s">
        <v>18</v>
      </c>
      <c r="D762" s="150">
        <v>0</v>
      </c>
      <c r="E762" s="151" t="s">
        <v>13</v>
      </c>
      <c r="F762" s="152" t="str">
        <f t="shared" si="35"/>
        <v/>
      </c>
      <c r="G762" s="153">
        <f>IF($K762="Padrão",BDI!$B$17,IF($K762="Diferenciado",BDI!$E$17,0))</f>
        <v>0.2039</v>
      </c>
      <c r="H762" s="151" t="str">
        <f t="shared" si="33"/>
        <v/>
      </c>
      <c r="I762" s="152" t="str">
        <f t="shared" si="34"/>
        <v/>
      </c>
      <c r="J762" s="154"/>
      <c r="K762" s="155" t="s">
        <v>2966</v>
      </c>
    </row>
    <row r="763" spans="1:11" hidden="1" x14ac:dyDescent="0.25">
      <c r="A763" s="148" t="s">
        <v>4067</v>
      </c>
      <c r="B763" s="149" t="s">
        <v>4068</v>
      </c>
      <c r="C763" s="150" t="s">
        <v>18</v>
      </c>
      <c r="D763" s="150">
        <v>0</v>
      </c>
      <c r="E763" s="151" t="s">
        <v>13</v>
      </c>
      <c r="F763" s="152" t="str">
        <f t="shared" si="35"/>
        <v/>
      </c>
      <c r="G763" s="153">
        <f>IF($K763="Padrão",BDI!$B$17,IF($K763="Diferenciado",BDI!$E$17,0))</f>
        <v>0.2039</v>
      </c>
      <c r="H763" s="151" t="str">
        <f t="shared" si="33"/>
        <v/>
      </c>
      <c r="I763" s="152" t="str">
        <f t="shared" si="34"/>
        <v/>
      </c>
      <c r="J763" s="154"/>
      <c r="K763" s="155" t="s">
        <v>2966</v>
      </c>
    </row>
    <row r="764" spans="1:11" hidden="1" x14ac:dyDescent="0.25">
      <c r="A764" s="148" t="s">
        <v>4069</v>
      </c>
      <c r="B764" s="149" t="s">
        <v>4070</v>
      </c>
      <c r="C764" s="150" t="s">
        <v>18</v>
      </c>
      <c r="D764" s="150">
        <v>0</v>
      </c>
      <c r="E764" s="151" t="s">
        <v>13</v>
      </c>
      <c r="F764" s="152" t="str">
        <f t="shared" si="35"/>
        <v/>
      </c>
      <c r="G764" s="153">
        <f>IF($K764="Padrão",BDI!$B$17,IF($K764="Diferenciado",BDI!$E$17,0))</f>
        <v>0.2039</v>
      </c>
      <c r="H764" s="151" t="str">
        <f t="shared" si="33"/>
        <v/>
      </c>
      <c r="I764" s="152" t="str">
        <f t="shared" si="34"/>
        <v/>
      </c>
      <c r="J764" s="154"/>
      <c r="K764" s="155" t="s">
        <v>2966</v>
      </c>
    </row>
    <row r="765" spans="1:11" hidden="1" x14ac:dyDescent="0.25">
      <c r="A765" s="148" t="s">
        <v>4071</v>
      </c>
      <c r="B765" s="149" t="s">
        <v>4072</v>
      </c>
      <c r="C765" s="150" t="s">
        <v>18</v>
      </c>
      <c r="D765" s="150">
        <v>0</v>
      </c>
      <c r="E765" s="151" t="s">
        <v>13</v>
      </c>
      <c r="F765" s="152" t="str">
        <f t="shared" si="35"/>
        <v/>
      </c>
      <c r="G765" s="153">
        <f>IF($K765="Padrão",BDI!$B$17,IF($K765="Diferenciado",BDI!$E$17,0))</f>
        <v>0.2039</v>
      </c>
      <c r="H765" s="151" t="str">
        <f t="shared" si="33"/>
        <v/>
      </c>
      <c r="I765" s="152" t="str">
        <f t="shared" si="34"/>
        <v/>
      </c>
      <c r="J765" s="154"/>
      <c r="K765" s="155" t="s">
        <v>2966</v>
      </c>
    </row>
    <row r="766" spans="1:11" hidden="1" x14ac:dyDescent="0.25">
      <c r="A766" s="148" t="s">
        <v>4073</v>
      </c>
      <c r="B766" s="149" t="s">
        <v>4074</v>
      </c>
      <c r="C766" s="150" t="s">
        <v>18</v>
      </c>
      <c r="D766" s="150">
        <v>0</v>
      </c>
      <c r="E766" s="151" t="s">
        <v>13</v>
      </c>
      <c r="F766" s="152" t="str">
        <f t="shared" si="35"/>
        <v/>
      </c>
      <c r="G766" s="153">
        <f>IF($K766="Padrão",BDI!$B$17,IF($K766="Diferenciado",BDI!$E$17,0))</f>
        <v>0.2039</v>
      </c>
      <c r="H766" s="151" t="str">
        <f t="shared" si="33"/>
        <v/>
      </c>
      <c r="I766" s="152" t="str">
        <f t="shared" si="34"/>
        <v/>
      </c>
      <c r="J766" s="154"/>
      <c r="K766" s="155" t="s">
        <v>2966</v>
      </c>
    </row>
    <row r="767" spans="1:11" hidden="1" x14ac:dyDescent="0.25">
      <c r="A767" s="148" t="s">
        <v>4075</v>
      </c>
      <c r="B767" s="149" t="s">
        <v>4076</v>
      </c>
      <c r="C767" s="150" t="s">
        <v>18</v>
      </c>
      <c r="D767" s="150">
        <v>0</v>
      </c>
      <c r="E767" s="151" t="s">
        <v>13</v>
      </c>
      <c r="F767" s="152" t="str">
        <f t="shared" si="35"/>
        <v/>
      </c>
      <c r="G767" s="153">
        <f>IF($K767="Padrão",BDI!$B$17,IF($K767="Diferenciado",BDI!$E$17,0))</f>
        <v>0.2039</v>
      </c>
      <c r="H767" s="151" t="str">
        <f t="shared" si="33"/>
        <v/>
      </c>
      <c r="I767" s="152" t="str">
        <f t="shared" si="34"/>
        <v/>
      </c>
      <c r="J767" s="154"/>
      <c r="K767" s="155" t="s">
        <v>2966</v>
      </c>
    </row>
    <row r="768" spans="1:11" hidden="1" x14ac:dyDescent="0.25">
      <c r="A768" s="148" t="s">
        <v>4077</v>
      </c>
      <c r="B768" s="149" t="s">
        <v>4078</v>
      </c>
      <c r="C768" s="150" t="s">
        <v>18</v>
      </c>
      <c r="D768" s="150">
        <v>0</v>
      </c>
      <c r="E768" s="151" t="s">
        <v>13</v>
      </c>
      <c r="F768" s="152" t="str">
        <f t="shared" si="35"/>
        <v/>
      </c>
      <c r="G768" s="153">
        <f>IF($K768="Padrão",BDI!$B$17,IF($K768="Diferenciado",BDI!$E$17,0))</f>
        <v>0.2039</v>
      </c>
      <c r="H768" s="151" t="str">
        <f t="shared" si="33"/>
        <v/>
      </c>
      <c r="I768" s="152" t="str">
        <f t="shared" si="34"/>
        <v/>
      </c>
      <c r="J768" s="154"/>
      <c r="K768" s="155" t="s">
        <v>2966</v>
      </c>
    </row>
    <row r="769" spans="1:11" hidden="1" x14ac:dyDescent="0.25">
      <c r="A769" s="148" t="s">
        <v>4079</v>
      </c>
      <c r="B769" s="149" t="s">
        <v>4080</v>
      </c>
      <c r="C769" s="150" t="s">
        <v>18</v>
      </c>
      <c r="D769" s="150">
        <v>0</v>
      </c>
      <c r="E769" s="151" t="s">
        <v>13</v>
      </c>
      <c r="F769" s="152" t="str">
        <f t="shared" si="35"/>
        <v/>
      </c>
      <c r="G769" s="153">
        <f>IF($K769="Padrão",BDI!$B$17,IF($K769="Diferenciado",BDI!$E$17,0))</f>
        <v>0.2039</v>
      </c>
      <c r="H769" s="151" t="str">
        <f t="shared" si="33"/>
        <v/>
      </c>
      <c r="I769" s="152" t="str">
        <f t="shared" si="34"/>
        <v/>
      </c>
      <c r="J769" s="154"/>
      <c r="K769" s="155" t="s">
        <v>2966</v>
      </c>
    </row>
    <row r="770" spans="1:11" hidden="1" x14ac:dyDescent="0.25">
      <c r="A770" s="148" t="s">
        <v>4081</v>
      </c>
      <c r="B770" s="149" t="s">
        <v>4082</v>
      </c>
      <c r="C770" s="150" t="s">
        <v>18</v>
      </c>
      <c r="D770" s="150">
        <v>0</v>
      </c>
      <c r="E770" s="151" t="s">
        <v>13</v>
      </c>
      <c r="F770" s="152" t="str">
        <f t="shared" si="35"/>
        <v/>
      </c>
      <c r="G770" s="153">
        <f>IF($K770="Padrão",BDI!$B$17,IF($K770="Diferenciado",BDI!$E$17,0))</f>
        <v>0.2039</v>
      </c>
      <c r="H770" s="151" t="str">
        <f t="shared" si="33"/>
        <v/>
      </c>
      <c r="I770" s="152" t="str">
        <f t="shared" si="34"/>
        <v/>
      </c>
      <c r="J770" s="154"/>
      <c r="K770" s="155" t="s">
        <v>2966</v>
      </c>
    </row>
    <row r="771" spans="1:11" hidden="1" x14ac:dyDescent="0.25">
      <c r="A771" s="148" t="s">
        <v>4083</v>
      </c>
      <c r="B771" s="149" t="s">
        <v>4084</v>
      </c>
      <c r="C771" s="150" t="s">
        <v>18</v>
      </c>
      <c r="D771" s="150">
        <v>0</v>
      </c>
      <c r="E771" s="151" t="s">
        <v>13</v>
      </c>
      <c r="F771" s="152" t="str">
        <f t="shared" si="35"/>
        <v/>
      </c>
      <c r="G771" s="153">
        <f>IF($K771="Padrão",BDI!$B$17,IF($K771="Diferenciado",BDI!$E$17,0))</f>
        <v>0.2039</v>
      </c>
      <c r="H771" s="151" t="str">
        <f t="shared" si="33"/>
        <v/>
      </c>
      <c r="I771" s="152" t="str">
        <f t="shared" si="34"/>
        <v/>
      </c>
      <c r="J771" s="154"/>
      <c r="K771" s="155" t="s">
        <v>2966</v>
      </c>
    </row>
    <row r="772" spans="1:11" hidden="1" x14ac:dyDescent="0.25">
      <c r="A772" s="148" t="s">
        <v>4085</v>
      </c>
      <c r="B772" s="149" t="s">
        <v>4086</v>
      </c>
      <c r="C772" s="150" t="s">
        <v>18</v>
      </c>
      <c r="D772" s="150">
        <v>0</v>
      </c>
      <c r="E772" s="151" t="s">
        <v>13</v>
      </c>
      <c r="F772" s="152" t="str">
        <f t="shared" si="35"/>
        <v/>
      </c>
      <c r="G772" s="153">
        <f>IF($K772="Padrão",BDI!$B$17,IF($K772="Diferenciado",BDI!$E$17,0))</f>
        <v>0.2039</v>
      </c>
      <c r="H772" s="151" t="str">
        <f t="shared" si="33"/>
        <v/>
      </c>
      <c r="I772" s="152" t="str">
        <f t="shared" si="34"/>
        <v/>
      </c>
      <c r="J772" s="154"/>
      <c r="K772" s="155" t="s">
        <v>2966</v>
      </c>
    </row>
    <row r="773" spans="1:11" hidden="1" x14ac:dyDescent="0.25">
      <c r="A773" s="148" t="s">
        <v>4087</v>
      </c>
      <c r="B773" s="149" t="s">
        <v>4088</v>
      </c>
      <c r="C773" s="150" t="s">
        <v>18</v>
      </c>
      <c r="D773" s="150">
        <v>0</v>
      </c>
      <c r="E773" s="151" t="s">
        <v>13</v>
      </c>
      <c r="F773" s="152" t="str">
        <f t="shared" si="35"/>
        <v/>
      </c>
      <c r="G773" s="153">
        <f>IF($K773="Padrão",BDI!$B$17,IF($K773="Diferenciado",BDI!$E$17,0))</f>
        <v>0.2039</v>
      </c>
      <c r="H773" s="151" t="str">
        <f t="shared" si="33"/>
        <v/>
      </c>
      <c r="I773" s="152" t="str">
        <f t="shared" si="34"/>
        <v/>
      </c>
      <c r="J773" s="154"/>
      <c r="K773" s="155" t="s">
        <v>2966</v>
      </c>
    </row>
    <row r="774" spans="1:11" hidden="1" x14ac:dyDescent="0.25">
      <c r="A774" s="148" t="s">
        <v>683</v>
      </c>
      <c r="B774" s="149" t="s">
        <v>4089</v>
      </c>
      <c r="C774" s="150" t="s">
        <v>18</v>
      </c>
      <c r="D774" s="150">
        <v>0</v>
      </c>
      <c r="E774" s="151">
        <f ca="1">OFFSET(INDEX(Composições!A:H,MATCH(Orçamentária!A774,Composições!A:A,0),8),2,0)</f>
        <v>29.4785</v>
      </c>
      <c r="F774" s="152">
        <f t="shared" ca="1" si="35"/>
        <v>0</v>
      </c>
      <c r="G774" s="153">
        <f>IF($K774="Padrão",BDI!$B$17,IF($K774="Diferenciado",BDI!$E$17,0))</f>
        <v>0.2039</v>
      </c>
      <c r="H774" s="151">
        <f t="shared" ref="H774:H837" ca="1" si="36">IF(ISNUMBER(E774),ROUND(E774*(1+G774),2),"")</f>
        <v>35.49</v>
      </c>
      <c r="I774" s="152">
        <f t="shared" ref="I774:I837" ca="1" si="37">IF(ISNUMBER(E774),ROUND(H774*D774,2),"")</f>
        <v>0</v>
      </c>
      <c r="J774" s="154"/>
      <c r="K774" s="155" t="s">
        <v>2966</v>
      </c>
    </row>
    <row r="775" spans="1:11" hidden="1" x14ac:dyDescent="0.25">
      <c r="A775" s="148" t="s">
        <v>684</v>
      </c>
      <c r="B775" s="149" t="s">
        <v>4090</v>
      </c>
      <c r="C775" s="150" t="s">
        <v>18</v>
      </c>
      <c r="D775" s="150">
        <v>0</v>
      </c>
      <c r="E775" s="151">
        <f ca="1">OFFSET(INDEX(Composições!A:H,MATCH(Orçamentária!A775,Composições!A:A,0),8),2,0)</f>
        <v>34.095500000000001</v>
      </c>
      <c r="F775" s="152">
        <f t="shared" ref="F775:F838" ca="1" si="38">IF(ISNUMBER(E775),D775*E775,"")</f>
        <v>0</v>
      </c>
      <c r="G775" s="153">
        <f>IF($K775="Padrão",BDI!$B$17,IF($K775="Diferenciado",BDI!$E$17,0))</f>
        <v>0.2039</v>
      </c>
      <c r="H775" s="151">
        <f t="shared" ca="1" si="36"/>
        <v>41.05</v>
      </c>
      <c r="I775" s="152">
        <f t="shared" ca="1" si="37"/>
        <v>0</v>
      </c>
      <c r="J775" s="154"/>
      <c r="K775" s="155" t="s">
        <v>2966</v>
      </c>
    </row>
    <row r="776" spans="1:11" hidden="1" x14ac:dyDescent="0.25">
      <c r="A776" s="148" t="s">
        <v>4091</v>
      </c>
      <c r="B776" s="149" t="s">
        <v>4092</v>
      </c>
      <c r="C776" s="150" t="s">
        <v>18</v>
      </c>
      <c r="D776" s="150">
        <v>0</v>
      </c>
      <c r="E776" s="151" t="s">
        <v>13</v>
      </c>
      <c r="F776" s="152" t="str">
        <f t="shared" si="38"/>
        <v/>
      </c>
      <c r="G776" s="153">
        <f>IF($K776="Padrão",BDI!$B$17,IF($K776="Diferenciado",BDI!$E$17,0))</f>
        <v>0.2039</v>
      </c>
      <c r="H776" s="151" t="str">
        <f t="shared" si="36"/>
        <v/>
      </c>
      <c r="I776" s="152" t="str">
        <f t="shared" si="37"/>
        <v/>
      </c>
      <c r="J776" s="154"/>
      <c r="K776" s="155" t="s">
        <v>2966</v>
      </c>
    </row>
    <row r="777" spans="1:11" hidden="1" x14ac:dyDescent="0.25">
      <c r="A777" s="148" t="s">
        <v>685</v>
      </c>
      <c r="B777" s="149" t="s">
        <v>4093</v>
      </c>
      <c r="C777" s="150" t="s">
        <v>18</v>
      </c>
      <c r="D777" s="150">
        <v>0</v>
      </c>
      <c r="E777" s="151">
        <f ca="1">OFFSET(INDEX(Composições!A:H,MATCH(Orçamentária!A777,Composições!A:A,0),8),2,0)</f>
        <v>37.524999999999999</v>
      </c>
      <c r="F777" s="152">
        <f t="shared" ca="1" si="38"/>
        <v>0</v>
      </c>
      <c r="G777" s="153">
        <f>IF($K777="Padrão",BDI!$B$17,IF($K777="Diferenciado",BDI!$E$17,0))</f>
        <v>0.2039</v>
      </c>
      <c r="H777" s="151">
        <f t="shared" ca="1" si="36"/>
        <v>45.18</v>
      </c>
      <c r="I777" s="152">
        <f t="shared" ca="1" si="37"/>
        <v>0</v>
      </c>
      <c r="J777" s="154"/>
      <c r="K777" s="155" t="s">
        <v>2966</v>
      </c>
    </row>
    <row r="778" spans="1:11" hidden="1" x14ac:dyDescent="0.25">
      <c r="A778" s="148" t="s">
        <v>4094</v>
      </c>
      <c r="B778" s="149" t="s">
        <v>4095</v>
      </c>
      <c r="C778" s="150" t="s">
        <v>18</v>
      </c>
      <c r="D778" s="150">
        <v>0</v>
      </c>
      <c r="E778" s="151" t="s">
        <v>13</v>
      </c>
      <c r="F778" s="152" t="str">
        <f t="shared" si="38"/>
        <v/>
      </c>
      <c r="G778" s="153">
        <f>IF($K778="Padrão",BDI!$B$17,IF($K778="Diferenciado",BDI!$E$17,0))</f>
        <v>0.2039</v>
      </c>
      <c r="H778" s="151" t="str">
        <f t="shared" si="36"/>
        <v/>
      </c>
      <c r="I778" s="152" t="str">
        <f t="shared" si="37"/>
        <v/>
      </c>
      <c r="J778" s="154"/>
      <c r="K778" s="155" t="s">
        <v>2966</v>
      </c>
    </row>
    <row r="779" spans="1:11" hidden="1" x14ac:dyDescent="0.25">
      <c r="A779" s="148" t="s">
        <v>4096</v>
      </c>
      <c r="B779" s="149" t="s">
        <v>4097</v>
      </c>
      <c r="C779" s="150" t="s">
        <v>18</v>
      </c>
      <c r="D779" s="150">
        <v>0</v>
      </c>
      <c r="E779" s="151" t="s">
        <v>13</v>
      </c>
      <c r="F779" s="152" t="str">
        <f t="shared" si="38"/>
        <v/>
      </c>
      <c r="G779" s="153">
        <f>IF($K779="Padrão",BDI!$B$17,IF($K779="Diferenciado",BDI!$E$17,0))</f>
        <v>0.2039</v>
      </c>
      <c r="H779" s="151" t="str">
        <f t="shared" si="36"/>
        <v/>
      </c>
      <c r="I779" s="152" t="str">
        <f t="shared" si="37"/>
        <v/>
      </c>
      <c r="J779" s="154"/>
      <c r="K779" s="155" t="s">
        <v>2966</v>
      </c>
    </row>
    <row r="780" spans="1:11" hidden="1" x14ac:dyDescent="0.25">
      <c r="A780" s="148" t="s">
        <v>4098</v>
      </c>
      <c r="B780" s="149" t="s">
        <v>4099</v>
      </c>
      <c r="C780" s="150" t="s">
        <v>18</v>
      </c>
      <c r="D780" s="150">
        <v>0</v>
      </c>
      <c r="E780" s="151" t="s">
        <v>13</v>
      </c>
      <c r="F780" s="152" t="str">
        <f t="shared" si="38"/>
        <v/>
      </c>
      <c r="G780" s="153">
        <f>IF($K780="Padrão",BDI!$B$17,IF($K780="Diferenciado",BDI!$E$17,0))</f>
        <v>0.2039</v>
      </c>
      <c r="H780" s="151" t="str">
        <f t="shared" si="36"/>
        <v/>
      </c>
      <c r="I780" s="152" t="str">
        <f t="shared" si="37"/>
        <v/>
      </c>
      <c r="J780" s="154"/>
      <c r="K780" s="155" t="s">
        <v>2966</v>
      </c>
    </row>
    <row r="781" spans="1:11" hidden="1" x14ac:dyDescent="0.25">
      <c r="A781" s="148" t="s">
        <v>4100</v>
      </c>
      <c r="B781" s="149" t="s">
        <v>4101</v>
      </c>
      <c r="C781" s="150" t="s">
        <v>18</v>
      </c>
      <c r="D781" s="150">
        <v>0</v>
      </c>
      <c r="E781" s="151" t="s">
        <v>13</v>
      </c>
      <c r="F781" s="152" t="str">
        <f t="shared" si="38"/>
        <v/>
      </c>
      <c r="G781" s="153">
        <f>IF($K781="Padrão",BDI!$B$17,IF($K781="Diferenciado",BDI!$E$17,0))</f>
        <v>0.2039</v>
      </c>
      <c r="H781" s="151" t="str">
        <f t="shared" si="36"/>
        <v/>
      </c>
      <c r="I781" s="152" t="str">
        <f t="shared" si="37"/>
        <v/>
      </c>
      <c r="J781" s="154"/>
      <c r="K781" s="155" t="s">
        <v>2966</v>
      </c>
    </row>
    <row r="782" spans="1:11" hidden="1" x14ac:dyDescent="0.25">
      <c r="A782" s="148" t="s">
        <v>4102</v>
      </c>
      <c r="B782" s="149" t="s">
        <v>4103</v>
      </c>
      <c r="C782" s="150" t="s">
        <v>18</v>
      </c>
      <c r="D782" s="150">
        <v>0</v>
      </c>
      <c r="E782" s="151" t="s">
        <v>13</v>
      </c>
      <c r="F782" s="152" t="str">
        <f t="shared" si="38"/>
        <v/>
      </c>
      <c r="G782" s="153">
        <f>IF($K782="Padrão",BDI!$B$17,IF($K782="Diferenciado",BDI!$E$17,0))</f>
        <v>0.2039</v>
      </c>
      <c r="H782" s="151" t="str">
        <f t="shared" si="36"/>
        <v/>
      </c>
      <c r="I782" s="152" t="str">
        <f t="shared" si="37"/>
        <v/>
      </c>
      <c r="J782" s="154"/>
      <c r="K782" s="155" t="s">
        <v>2966</v>
      </c>
    </row>
    <row r="783" spans="1:11" hidden="1" x14ac:dyDescent="0.25">
      <c r="A783" s="148" t="s">
        <v>4104</v>
      </c>
      <c r="B783" s="149" t="s">
        <v>4105</v>
      </c>
      <c r="C783" s="150" t="s">
        <v>18</v>
      </c>
      <c r="D783" s="150">
        <v>0</v>
      </c>
      <c r="E783" s="151" t="s">
        <v>13</v>
      </c>
      <c r="F783" s="152" t="str">
        <f t="shared" si="38"/>
        <v/>
      </c>
      <c r="G783" s="153">
        <f>IF($K783="Padrão",BDI!$B$17,IF($K783="Diferenciado",BDI!$E$17,0))</f>
        <v>0.2039</v>
      </c>
      <c r="H783" s="151" t="str">
        <f t="shared" si="36"/>
        <v/>
      </c>
      <c r="I783" s="152" t="str">
        <f t="shared" si="37"/>
        <v/>
      </c>
      <c r="J783" s="154"/>
      <c r="K783" s="155" t="s">
        <v>2966</v>
      </c>
    </row>
    <row r="784" spans="1:11" hidden="1" x14ac:dyDescent="0.25">
      <c r="A784" s="148" t="s">
        <v>4106</v>
      </c>
      <c r="B784" s="149" t="s">
        <v>4107</v>
      </c>
      <c r="C784" s="150" t="s">
        <v>18</v>
      </c>
      <c r="D784" s="150">
        <v>0</v>
      </c>
      <c r="E784" s="151" t="s">
        <v>13</v>
      </c>
      <c r="F784" s="152" t="str">
        <f t="shared" si="38"/>
        <v/>
      </c>
      <c r="G784" s="153">
        <f>IF($K784="Padrão",BDI!$B$17,IF($K784="Diferenciado",BDI!$E$17,0))</f>
        <v>0.2039</v>
      </c>
      <c r="H784" s="151" t="str">
        <f t="shared" si="36"/>
        <v/>
      </c>
      <c r="I784" s="152" t="str">
        <f t="shared" si="37"/>
        <v/>
      </c>
      <c r="J784" s="154"/>
      <c r="K784" s="155" t="s">
        <v>2966</v>
      </c>
    </row>
    <row r="785" spans="1:11" hidden="1" x14ac:dyDescent="0.25">
      <c r="A785" s="148" t="s">
        <v>4108</v>
      </c>
      <c r="B785" s="149" t="s">
        <v>4109</v>
      </c>
      <c r="C785" s="150" t="s">
        <v>18</v>
      </c>
      <c r="D785" s="150">
        <v>0</v>
      </c>
      <c r="E785" s="151" t="s">
        <v>13</v>
      </c>
      <c r="F785" s="152" t="str">
        <f t="shared" si="38"/>
        <v/>
      </c>
      <c r="G785" s="153">
        <f>IF($K785="Padrão",BDI!$B$17,IF($K785="Diferenciado",BDI!$E$17,0))</f>
        <v>0.2039</v>
      </c>
      <c r="H785" s="151" t="str">
        <f t="shared" si="36"/>
        <v/>
      </c>
      <c r="I785" s="152" t="str">
        <f t="shared" si="37"/>
        <v/>
      </c>
      <c r="J785" s="154"/>
      <c r="K785" s="155" t="s">
        <v>2966</v>
      </c>
    </row>
    <row r="786" spans="1:11" hidden="1" x14ac:dyDescent="0.25">
      <c r="A786" s="148" t="s">
        <v>4110</v>
      </c>
      <c r="B786" s="149" t="s">
        <v>4111</v>
      </c>
      <c r="C786" s="150" t="s">
        <v>18</v>
      </c>
      <c r="D786" s="150">
        <v>0</v>
      </c>
      <c r="E786" s="151" t="s">
        <v>13</v>
      </c>
      <c r="F786" s="152" t="str">
        <f t="shared" si="38"/>
        <v/>
      </c>
      <c r="G786" s="153">
        <f>IF($K786="Padrão",BDI!$B$17,IF($K786="Diferenciado",BDI!$E$17,0))</f>
        <v>0.2039</v>
      </c>
      <c r="H786" s="151" t="str">
        <f t="shared" si="36"/>
        <v/>
      </c>
      <c r="I786" s="152" t="str">
        <f t="shared" si="37"/>
        <v/>
      </c>
      <c r="J786" s="154"/>
      <c r="K786" s="155" t="s">
        <v>2966</v>
      </c>
    </row>
    <row r="787" spans="1:11" hidden="1" x14ac:dyDescent="0.25">
      <c r="A787" s="148" t="s">
        <v>4112</v>
      </c>
      <c r="B787" s="149" t="s">
        <v>4113</v>
      </c>
      <c r="C787" s="150" t="s">
        <v>18</v>
      </c>
      <c r="D787" s="150">
        <v>0</v>
      </c>
      <c r="E787" s="151" t="s">
        <v>13</v>
      </c>
      <c r="F787" s="152" t="str">
        <f t="shared" si="38"/>
        <v/>
      </c>
      <c r="G787" s="153">
        <f>IF($K787="Padrão",BDI!$B$17,IF($K787="Diferenciado",BDI!$E$17,0))</f>
        <v>0.2039</v>
      </c>
      <c r="H787" s="151" t="str">
        <f t="shared" si="36"/>
        <v/>
      </c>
      <c r="I787" s="152" t="str">
        <f t="shared" si="37"/>
        <v/>
      </c>
      <c r="J787" s="154"/>
      <c r="K787" s="155" t="s">
        <v>2966</v>
      </c>
    </row>
    <row r="788" spans="1:11" hidden="1" x14ac:dyDescent="0.25">
      <c r="A788" s="148" t="s">
        <v>4114</v>
      </c>
      <c r="B788" s="149" t="s">
        <v>4115</v>
      </c>
      <c r="C788" s="150" t="s">
        <v>18</v>
      </c>
      <c r="D788" s="150">
        <v>0</v>
      </c>
      <c r="E788" s="151" t="s">
        <v>13</v>
      </c>
      <c r="F788" s="152" t="str">
        <f t="shared" si="38"/>
        <v/>
      </c>
      <c r="G788" s="153">
        <f>IF($K788="Padrão",BDI!$B$17,IF($K788="Diferenciado",BDI!$E$17,0))</f>
        <v>0.2039</v>
      </c>
      <c r="H788" s="151" t="str">
        <f t="shared" si="36"/>
        <v/>
      </c>
      <c r="I788" s="152" t="str">
        <f t="shared" si="37"/>
        <v/>
      </c>
      <c r="J788" s="154"/>
      <c r="K788" s="155" t="s">
        <v>2966</v>
      </c>
    </row>
    <row r="789" spans="1:11" hidden="1" x14ac:dyDescent="0.25">
      <c r="A789" s="148" t="s">
        <v>4116</v>
      </c>
      <c r="B789" s="149" t="s">
        <v>4117</v>
      </c>
      <c r="C789" s="150" t="s">
        <v>18</v>
      </c>
      <c r="D789" s="150">
        <v>0</v>
      </c>
      <c r="E789" s="151" t="s">
        <v>13</v>
      </c>
      <c r="F789" s="152" t="str">
        <f t="shared" si="38"/>
        <v/>
      </c>
      <c r="G789" s="153">
        <f>IF($K789="Padrão",BDI!$B$17,IF($K789="Diferenciado",BDI!$E$17,0))</f>
        <v>0.2039</v>
      </c>
      <c r="H789" s="151" t="str">
        <f t="shared" si="36"/>
        <v/>
      </c>
      <c r="I789" s="152" t="str">
        <f t="shared" si="37"/>
        <v/>
      </c>
      <c r="J789" s="154"/>
      <c r="K789" s="155" t="s">
        <v>2966</v>
      </c>
    </row>
    <row r="790" spans="1:11" hidden="1" x14ac:dyDescent="0.25">
      <c r="A790" s="148" t="s">
        <v>4118</v>
      </c>
      <c r="B790" s="149" t="s">
        <v>4119</v>
      </c>
      <c r="C790" s="150" t="s">
        <v>18</v>
      </c>
      <c r="D790" s="150">
        <v>0</v>
      </c>
      <c r="E790" s="151" t="s">
        <v>13</v>
      </c>
      <c r="F790" s="152" t="str">
        <f t="shared" si="38"/>
        <v/>
      </c>
      <c r="G790" s="153">
        <f>IF($K790="Padrão",BDI!$B$17,IF($K790="Diferenciado",BDI!$E$17,0))</f>
        <v>0.2039</v>
      </c>
      <c r="H790" s="151" t="str">
        <f t="shared" si="36"/>
        <v/>
      </c>
      <c r="I790" s="152" t="str">
        <f t="shared" si="37"/>
        <v/>
      </c>
      <c r="J790" s="154"/>
      <c r="K790" s="155" t="s">
        <v>2966</v>
      </c>
    </row>
    <row r="791" spans="1:11" hidden="1" x14ac:dyDescent="0.25">
      <c r="A791" s="148" t="s">
        <v>4120</v>
      </c>
      <c r="B791" s="149" t="s">
        <v>4121</v>
      </c>
      <c r="C791" s="150" t="s">
        <v>18</v>
      </c>
      <c r="D791" s="150">
        <v>0</v>
      </c>
      <c r="E791" s="151" t="s">
        <v>13</v>
      </c>
      <c r="F791" s="152" t="str">
        <f t="shared" si="38"/>
        <v/>
      </c>
      <c r="G791" s="153">
        <f>IF($K791="Padrão",BDI!$B$17,IF($K791="Diferenciado",BDI!$E$17,0))</f>
        <v>0.2039</v>
      </c>
      <c r="H791" s="151" t="str">
        <f t="shared" si="36"/>
        <v/>
      </c>
      <c r="I791" s="152" t="str">
        <f t="shared" si="37"/>
        <v/>
      </c>
      <c r="J791" s="154"/>
      <c r="K791" s="155" t="s">
        <v>2966</v>
      </c>
    </row>
    <row r="792" spans="1:11" hidden="1" x14ac:dyDescent="0.25">
      <c r="A792" s="148" t="s">
        <v>4122</v>
      </c>
      <c r="B792" s="149" t="s">
        <v>4123</v>
      </c>
      <c r="C792" s="150" t="s">
        <v>18</v>
      </c>
      <c r="D792" s="150">
        <v>0</v>
      </c>
      <c r="E792" s="151" t="s">
        <v>13</v>
      </c>
      <c r="F792" s="152" t="str">
        <f t="shared" si="38"/>
        <v/>
      </c>
      <c r="G792" s="153">
        <f>IF($K792="Padrão",BDI!$B$17,IF($K792="Diferenciado",BDI!$E$17,0))</f>
        <v>0.2039</v>
      </c>
      <c r="H792" s="151" t="str">
        <f t="shared" si="36"/>
        <v/>
      </c>
      <c r="I792" s="152" t="str">
        <f t="shared" si="37"/>
        <v/>
      </c>
      <c r="J792" s="154"/>
      <c r="K792" s="155" t="s">
        <v>2966</v>
      </c>
    </row>
    <row r="793" spans="1:11" hidden="1" x14ac:dyDescent="0.25">
      <c r="A793" s="148" t="s">
        <v>4124</v>
      </c>
      <c r="B793" s="149" t="s">
        <v>4125</v>
      </c>
      <c r="C793" s="150" t="s">
        <v>18</v>
      </c>
      <c r="D793" s="150">
        <v>0</v>
      </c>
      <c r="E793" s="151" t="s">
        <v>13</v>
      </c>
      <c r="F793" s="152" t="str">
        <f t="shared" si="38"/>
        <v/>
      </c>
      <c r="G793" s="153">
        <f>IF($K793="Padrão",BDI!$B$17,IF($K793="Diferenciado",BDI!$E$17,0))</f>
        <v>0.2039</v>
      </c>
      <c r="H793" s="151" t="str">
        <f t="shared" si="36"/>
        <v/>
      </c>
      <c r="I793" s="152" t="str">
        <f t="shared" si="37"/>
        <v/>
      </c>
      <c r="J793" s="154"/>
      <c r="K793" s="155" t="s">
        <v>2966</v>
      </c>
    </row>
    <row r="794" spans="1:11" hidden="1" x14ac:dyDescent="0.25">
      <c r="A794" s="148" t="s">
        <v>4126</v>
      </c>
      <c r="B794" s="149" t="s">
        <v>4127</v>
      </c>
      <c r="C794" s="150" t="s">
        <v>18</v>
      </c>
      <c r="D794" s="150">
        <v>0</v>
      </c>
      <c r="E794" s="151" t="s">
        <v>13</v>
      </c>
      <c r="F794" s="152" t="str">
        <f t="shared" si="38"/>
        <v/>
      </c>
      <c r="G794" s="153">
        <f>IF($K794="Padrão",BDI!$B$17,IF($K794="Diferenciado",BDI!$E$17,0))</f>
        <v>0.2039</v>
      </c>
      <c r="H794" s="151" t="str">
        <f t="shared" si="36"/>
        <v/>
      </c>
      <c r="I794" s="152" t="str">
        <f t="shared" si="37"/>
        <v/>
      </c>
      <c r="J794" s="154"/>
      <c r="K794" s="155" t="s">
        <v>2966</v>
      </c>
    </row>
    <row r="795" spans="1:11" hidden="1" x14ac:dyDescent="0.25">
      <c r="A795" s="148" t="s">
        <v>4128</v>
      </c>
      <c r="B795" s="149" t="s">
        <v>4129</v>
      </c>
      <c r="C795" s="150" t="s">
        <v>18</v>
      </c>
      <c r="D795" s="150">
        <v>0</v>
      </c>
      <c r="E795" s="151" t="s">
        <v>13</v>
      </c>
      <c r="F795" s="152" t="str">
        <f t="shared" si="38"/>
        <v/>
      </c>
      <c r="G795" s="153">
        <f>IF($K795="Padrão",BDI!$B$17,IF($K795="Diferenciado",BDI!$E$17,0))</f>
        <v>0.2039</v>
      </c>
      <c r="H795" s="151" t="str">
        <f t="shared" si="36"/>
        <v/>
      </c>
      <c r="I795" s="152" t="str">
        <f t="shared" si="37"/>
        <v/>
      </c>
      <c r="J795" s="154"/>
      <c r="K795" s="155" t="s">
        <v>2966</v>
      </c>
    </row>
    <row r="796" spans="1:11" hidden="1" x14ac:dyDescent="0.25">
      <c r="A796" s="148" t="s">
        <v>4130</v>
      </c>
      <c r="B796" s="149" t="s">
        <v>4131</v>
      </c>
      <c r="C796" s="150" t="s">
        <v>18</v>
      </c>
      <c r="D796" s="150">
        <v>0</v>
      </c>
      <c r="E796" s="151" t="s">
        <v>13</v>
      </c>
      <c r="F796" s="152" t="str">
        <f t="shared" si="38"/>
        <v/>
      </c>
      <c r="G796" s="153">
        <f>IF($K796="Padrão",BDI!$B$17,IF($K796="Diferenciado",BDI!$E$17,0))</f>
        <v>0.2039</v>
      </c>
      <c r="H796" s="151" t="str">
        <f t="shared" si="36"/>
        <v/>
      </c>
      <c r="I796" s="152" t="str">
        <f t="shared" si="37"/>
        <v/>
      </c>
      <c r="J796" s="154"/>
      <c r="K796" s="155" t="s">
        <v>2966</v>
      </c>
    </row>
    <row r="797" spans="1:11" hidden="1" x14ac:dyDescent="0.25">
      <c r="A797" s="148" t="s">
        <v>4132</v>
      </c>
      <c r="B797" s="149" t="s">
        <v>4133</v>
      </c>
      <c r="C797" s="150" t="s">
        <v>18</v>
      </c>
      <c r="D797" s="150">
        <v>0</v>
      </c>
      <c r="E797" s="151" t="s">
        <v>13</v>
      </c>
      <c r="F797" s="152" t="str">
        <f t="shared" si="38"/>
        <v/>
      </c>
      <c r="G797" s="153">
        <f>IF($K797="Padrão",BDI!$B$17,IF($K797="Diferenciado",BDI!$E$17,0))</f>
        <v>0.2039</v>
      </c>
      <c r="H797" s="151" t="str">
        <f t="shared" si="36"/>
        <v/>
      </c>
      <c r="I797" s="152" t="str">
        <f t="shared" si="37"/>
        <v/>
      </c>
      <c r="J797" s="154"/>
      <c r="K797" s="155" t="s">
        <v>2966</v>
      </c>
    </row>
    <row r="798" spans="1:11" hidden="1" x14ac:dyDescent="0.25">
      <c r="A798" s="148" t="s">
        <v>4134</v>
      </c>
      <c r="B798" s="149" t="s">
        <v>4135</v>
      </c>
      <c r="C798" s="150" t="s">
        <v>18</v>
      </c>
      <c r="D798" s="150">
        <v>0</v>
      </c>
      <c r="E798" s="151" t="s">
        <v>13</v>
      </c>
      <c r="F798" s="152" t="str">
        <f t="shared" si="38"/>
        <v/>
      </c>
      <c r="G798" s="153">
        <f>IF($K798="Padrão",BDI!$B$17,IF($K798="Diferenciado",BDI!$E$17,0))</f>
        <v>0.2039</v>
      </c>
      <c r="H798" s="151" t="str">
        <f t="shared" si="36"/>
        <v/>
      </c>
      <c r="I798" s="152" t="str">
        <f t="shared" si="37"/>
        <v/>
      </c>
      <c r="J798" s="154"/>
      <c r="K798" s="155" t="s">
        <v>2966</v>
      </c>
    </row>
    <row r="799" spans="1:11" hidden="1" x14ac:dyDescent="0.25">
      <c r="A799" s="148" t="s">
        <v>4136</v>
      </c>
      <c r="B799" s="149" t="s">
        <v>4137</v>
      </c>
      <c r="C799" s="150" t="s">
        <v>18</v>
      </c>
      <c r="D799" s="150">
        <v>0</v>
      </c>
      <c r="E799" s="151" t="s">
        <v>13</v>
      </c>
      <c r="F799" s="152" t="str">
        <f t="shared" si="38"/>
        <v/>
      </c>
      <c r="G799" s="153">
        <f>IF($K799="Padrão",BDI!$B$17,IF($K799="Diferenciado",BDI!$E$17,0))</f>
        <v>0.2039</v>
      </c>
      <c r="H799" s="151" t="str">
        <f t="shared" si="36"/>
        <v/>
      </c>
      <c r="I799" s="152" t="str">
        <f t="shared" si="37"/>
        <v/>
      </c>
      <c r="J799" s="154"/>
      <c r="K799" s="155" t="s">
        <v>2966</v>
      </c>
    </row>
    <row r="800" spans="1:11" hidden="1" x14ac:dyDescent="0.25">
      <c r="A800" s="148" t="s">
        <v>4138</v>
      </c>
      <c r="B800" s="149" t="s">
        <v>4139</v>
      </c>
      <c r="C800" s="150" t="s">
        <v>18</v>
      </c>
      <c r="D800" s="150">
        <v>0</v>
      </c>
      <c r="E800" s="151" t="s">
        <v>13</v>
      </c>
      <c r="F800" s="152" t="str">
        <f t="shared" si="38"/>
        <v/>
      </c>
      <c r="G800" s="153">
        <f>IF($K800="Padrão",BDI!$B$17,IF($K800="Diferenciado",BDI!$E$17,0))</f>
        <v>0.2039</v>
      </c>
      <c r="H800" s="151" t="str">
        <f t="shared" si="36"/>
        <v/>
      </c>
      <c r="I800" s="152" t="str">
        <f t="shared" si="37"/>
        <v/>
      </c>
      <c r="J800" s="154"/>
      <c r="K800" s="155" t="s">
        <v>2966</v>
      </c>
    </row>
    <row r="801" spans="1:11" hidden="1" x14ac:dyDescent="0.25">
      <c r="A801" s="148" t="s">
        <v>4140</v>
      </c>
      <c r="B801" s="149" t="s">
        <v>4141</v>
      </c>
      <c r="C801" s="150" t="s">
        <v>18</v>
      </c>
      <c r="D801" s="150">
        <v>0</v>
      </c>
      <c r="E801" s="151" t="s">
        <v>13</v>
      </c>
      <c r="F801" s="152" t="str">
        <f t="shared" si="38"/>
        <v/>
      </c>
      <c r="G801" s="153">
        <f>IF($K801="Padrão",BDI!$B$17,IF($K801="Diferenciado",BDI!$E$17,0))</f>
        <v>0.2039</v>
      </c>
      <c r="H801" s="151" t="str">
        <f t="shared" si="36"/>
        <v/>
      </c>
      <c r="I801" s="152" t="str">
        <f t="shared" si="37"/>
        <v/>
      </c>
      <c r="J801" s="154"/>
      <c r="K801" s="155" t="s">
        <v>2966</v>
      </c>
    </row>
    <row r="802" spans="1:11" hidden="1" x14ac:dyDescent="0.25">
      <c r="A802" s="148" t="s">
        <v>4142</v>
      </c>
      <c r="B802" s="149" t="s">
        <v>4143</v>
      </c>
      <c r="C802" s="150" t="s">
        <v>18</v>
      </c>
      <c r="D802" s="150">
        <v>0</v>
      </c>
      <c r="E802" s="151" t="s">
        <v>13</v>
      </c>
      <c r="F802" s="152" t="str">
        <f t="shared" si="38"/>
        <v/>
      </c>
      <c r="G802" s="153">
        <f>IF($K802="Padrão",BDI!$B$17,IF($K802="Diferenciado",BDI!$E$17,0))</f>
        <v>0.2039</v>
      </c>
      <c r="H802" s="151" t="str">
        <f t="shared" si="36"/>
        <v/>
      </c>
      <c r="I802" s="152" t="str">
        <f t="shared" si="37"/>
        <v/>
      </c>
      <c r="J802" s="154"/>
      <c r="K802" s="155" t="s">
        <v>2966</v>
      </c>
    </row>
    <row r="803" spans="1:11" hidden="1" x14ac:dyDescent="0.25">
      <c r="A803" s="148" t="s">
        <v>4144</v>
      </c>
      <c r="B803" s="149" t="s">
        <v>4145</v>
      </c>
      <c r="C803" s="150" t="s">
        <v>18</v>
      </c>
      <c r="D803" s="150">
        <v>0</v>
      </c>
      <c r="E803" s="151" t="s">
        <v>13</v>
      </c>
      <c r="F803" s="152" t="str">
        <f t="shared" si="38"/>
        <v/>
      </c>
      <c r="G803" s="153">
        <f>IF($K803="Padrão",BDI!$B$17,IF($K803="Diferenciado",BDI!$E$17,0))</f>
        <v>0.2039</v>
      </c>
      <c r="H803" s="151" t="str">
        <f t="shared" si="36"/>
        <v/>
      </c>
      <c r="I803" s="152" t="str">
        <f t="shared" si="37"/>
        <v/>
      </c>
      <c r="J803" s="154"/>
      <c r="K803" s="155" t="s">
        <v>2966</v>
      </c>
    </row>
    <row r="804" spans="1:11" hidden="1" x14ac:dyDescent="0.25">
      <c r="A804" s="148" t="s">
        <v>4146</v>
      </c>
      <c r="B804" s="149" t="s">
        <v>4147</v>
      </c>
      <c r="C804" s="150" t="s">
        <v>18</v>
      </c>
      <c r="D804" s="150">
        <v>0</v>
      </c>
      <c r="E804" s="151" t="s">
        <v>13</v>
      </c>
      <c r="F804" s="152" t="str">
        <f t="shared" si="38"/>
        <v/>
      </c>
      <c r="G804" s="153">
        <f>IF($K804="Padrão",BDI!$B$17,IF($K804="Diferenciado",BDI!$E$17,0))</f>
        <v>0.2039</v>
      </c>
      <c r="H804" s="151" t="str">
        <f t="shared" si="36"/>
        <v/>
      </c>
      <c r="I804" s="152" t="str">
        <f t="shared" si="37"/>
        <v/>
      </c>
      <c r="J804" s="154"/>
      <c r="K804" s="155" t="s">
        <v>2966</v>
      </c>
    </row>
    <row r="805" spans="1:11" hidden="1" x14ac:dyDescent="0.25">
      <c r="A805" s="148" t="s">
        <v>4148</v>
      </c>
      <c r="B805" s="149" t="s">
        <v>4149</v>
      </c>
      <c r="C805" s="150" t="s">
        <v>18</v>
      </c>
      <c r="D805" s="150">
        <v>0</v>
      </c>
      <c r="E805" s="151" t="s">
        <v>13</v>
      </c>
      <c r="F805" s="152" t="str">
        <f t="shared" si="38"/>
        <v/>
      </c>
      <c r="G805" s="153">
        <f>IF($K805="Padrão",BDI!$B$17,IF($K805="Diferenciado",BDI!$E$17,0))</f>
        <v>0.2039</v>
      </c>
      <c r="H805" s="151" t="str">
        <f t="shared" si="36"/>
        <v/>
      </c>
      <c r="I805" s="152" t="str">
        <f t="shared" si="37"/>
        <v/>
      </c>
      <c r="J805" s="154"/>
      <c r="K805" s="155" t="s">
        <v>2966</v>
      </c>
    </row>
    <row r="806" spans="1:11" hidden="1" x14ac:dyDescent="0.25">
      <c r="A806" s="148" t="s">
        <v>4150</v>
      </c>
      <c r="B806" s="149" t="s">
        <v>4151</v>
      </c>
      <c r="C806" s="150" t="s">
        <v>18</v>
      </c>
      <c r="D806" s="150">
        <v>0</v>
      </c>
      <c r="E806" s="151" t="s">
        <v>13</v>
      </c>
      <c r="F806" s="152" t="str">
        <f t="shared" si="38"/>
        <v/>
      </c>
      <c r="G806" s="153">
        <f>IF($K806="Padrão",BDI!$B$17,IF($K806="Diferenciado",BDI!$E$17,0))</f>
        <v>0.2039</v>
      </c>
      <c r="H806" s="151" t="str">
        <f t="shared" si="36"/>
        <v/>
      </c>
      <c r="I806" s="152" t="str">
        <f t="shared" si="37"/>
        <v/>
      </c>
      <c r="J806" s="154"/>
      <c r="K806" s="155" t="s">
        <v>2966</v>
      </c>
    </row>
    <row r="807" spans="1:11" hidden="1" x14ac:dyDescent="0.25">
      <c r="A807" s="148" t="s">
        <v>4152</v>
      </c>
      <c r="B807" s="149" t="s">
        <v>4153</v>
      </c>
      <c r="C807" s="150" t="s">
        <v>18</v>
      </c>
      <c r="D807" s="150">
        <v>0</v>
      </c>
      <c r="E807" s="151" t="s">
        <v>13</v>
      </c>
      <c r="F807" s="152" t="str">
        <f t="shared" si="38"/>
        <v/>
      </c>
      <c r="G807" s="153">
        <f>IF($K807="Padrão",BDI!$B$17,IF($K807="Diferenciado",BDI!$E$17,0))</f>
        <v>0.2039</v>
      </c>
      <c r="H807" s="151" t="str">
        <f t="shared" si="36"/>
        <v/>
      </c>
      <c r="I807" s="152" t="str">
        <f t="shared" si="37"/>
        <v/>
      </c>
      <c r="J807" s="154"/>
      <c r="K807" s="155" t="s">
        <v>2966</v>
      </c>
    </row>
    <row r="808" spans="1:11" hidden="1" x14ac:dyDescent="0.25">
      <c r="A808" s="148" t="s">
        <v>4154</v>
      </c>
      <c r="B808" s="149" t="s">
        <v>4155</v>
      </c>
      <c r="C808" s="150" t="s">
        <v>18</v>
      </c>
      <c r="D808" s="150">
        <v>0</v>
      </c>
      <c r="E808" s="151" t="s">
        <v>13</v>
      </c>
      <c r="F808" s="152" t="str">
        <f t="shared" si="38"/>
        <v/>
      </c>
      <c r="G808" s="153">
        <f>IF($K808="Padrão",BDI!$B$17,IF($K808="Diferenciado",BDI!$E$17,0))</f>
        <v>0.2039</v>
      </c>
      <c r="H808" s="151" t="str">
        <f t="shared" si="36"/>
        <v/>
      </c>
      <c r="I808" s="152" t="str">
        <f t="shared" si="37"/>
        <v/>
      </c>
      <c r="J808" s="154"/>
      <c r="K808" s="155" t="s">
        <v>2966</v>
      </c>
    </row>
    <row r="809" spans="1:11" hidden="1" x14ac:dyDescent="0.25">
      <c r="A809" s="148" t="s">
        <v>4156</v>
      </c>
      <c r="B809" s="149" t="s">
        <v>4157</v>
      </c>
      <c r="C809" s="150" t="s">
        <v>18</v>
      </c>
      <c r="D809" s="150">
        <v>0</v>
      </c>
      <c r="E809" s="151" t="s">
        <v>13</v>
      </c>
      <c r="F809" s="152" t="str">
        <f t="shared" si="38"/>
        <v/>
      </c>
      <c r="G809" s="153">
        <f>IF($K809="Padrão",BDI!$B$17,IF($K809="Diferenciado",BDI!$E$17,0))</f>
        <v>0.2039</v>
      </c>
      <c r="H809" s="151" t="str">
        <f t="shared" si="36"/>
        <v/>
      </c>
      <c r="I809" s="152" t="str">
        <f t="shared" si="37"/>
        <v/>
      </c>
      <c r="J809" s="154"/>
      <c r="K809" s="155" t="s">
        <v>2966</v>
      </c>
    </row>
    <row r="810" spans="1:11" hidden="1" x14ac:dyDescent="0.25">
      <c r="A810" s="148" t="s">
        <v>4158</v>
      </c>
      <c r="B810" s="149" t="s">
        <v>4159</v>
      </c>
      <c r="C810" s="150" t="s">
        <v>18</v>
      </c>
      <c r="D810" s="150">
        <v>0</v>
      </c>
      <c r="E810" s="151" t="s">
        <v>13</v>
      </c>
      <c r="F810" s="152" t="str">
        <f t="shared" si="38"/>
        <v/>
      </c>
      <c r="G810" s="153">
        <f>IF($K810="Padrão",BDI!$B$17,IF($K810="Diferenciado",BDI!$E$17,0))</f>
        <v>0.2039</v>
      </c>
      <c r="H810" s="151" t="str">
        <f t="shared" si="36"/>
        <v/>
      </c>
      <c r="I810" s="152" t="str">
        <f t="shared" si="37"/>
        <v/>
      </c>
      <c r="J810" s="154"/>
      <c r="K810" s="155" t="s">
        <v>2966</v>
      </c>
    </row>
    <row r="811" spans="1:11" hidden="1" x14ac:dyDescent="0.25">
      <c r="A811" s="148" t="s">
        <v>4160</v>
      </c>
      <c r="B811" s="149" t="s">
        <v>4161</v>
      </c>
      <c r="C811" s="150" t="s">
        <v>18</v>
      </c>
      <c r="D811" s="150">
        <v>0</v>
      </c>
      <c r="E811" s="151" t="s">
        <v>13</v>
      </c>
      <c r="F811" s="152" t="str">
        <f t="shared" si="38"/>
        <v/>
      </c>
      <c r="G811" s="153">
        <f>IF($K811="Padrão",BDI!$B$17,IF($K811="Diferenciado",BDI!$E$17,0))</f>
        <v>0.2039</v>
      </c>
      <c r="H811" s="151" t="str">
        <f t="shared" si="36"/>
        <v/>
      </c>
      <c r="I811" s="152" t="str">
        <f t="shared" si="37"/>
        <v/>
      </c>
      <c r="J811" s="154"/>
      <c r="K811" s="155" t="s">
        <v>2966</v>
      </c>
    </row>
    <row r="812" spans="1:11" hidden="1" x14ac:dyDescent="0.25">
      <c r="A812" s="148" t="s">
        <v>4162</v>
      </c>
      <c r="B812" s="149" t="s">
        <v>4163</v>
      </c>
      <c r="C812" s="150" t="s">
        <v>18</v>
      </c>
      <c r="D812" s="150">
        <v>0</v>
      </c>
      <c r="E812" s="151" t="s">
        <v>13</v>
      </c>
      <c r="F812" s="152" t="str">
        <f t="shared" si="38"/>
        <v/>
      </c>
      <c r="G812" s="153">
        <f>IF($K812="Padrão",BDI!$B$17,IF($K812="Diferenciado",BDI!$E$17,0))</f>
        <v>0.2039</v>
      </c>
      <c r="H812" s="151" t="str">
        <f t="shared" si="36"/>
        <v/>
      </c>
      <c r="I812" s="152" t="str">
        <f t="shared" si="37"/>
        <v/>
      </c>
      <c r="J812" s="154"/>
      <c r="K812" s="155" t="s">
        <v>2966</v>
      </c>
    </row>
    <row r="813" spans="1:11" hidden="1" x14ac:dyDescent="0.25">
      <c r="A813" s="148" t="s">
        <v>4164</v>
      </c>
      <c r="B813" s="149" t="s">
        <v>4165</v>
      </c>
      <c r="C813" s="150" t="s">
        <v>18</v>
      </c>
      <c r="D813" s="150">
        <v>0</v>
      </c>
      <c r="E813" s="151" t="s">
        <v>13</v>
      </c>
      <c r="F813" s="152" t="str">
        <f t="shared" si="38"/>
        <v/>
      </c>
      <c r="G813" s="153">
        <f>IF($K813="Padrão",BDI!$B$17,IF($K813="Diferenciado",BDI!$E$17,0))</f>
        <v>0.2039</v>
      </c>
      <c r="H813" s="151" t="str">
        <f t="shared" si="36"/>
        <v/>
      </c>
      <c r="I813" s="152" t="str">
        <f t="shared" si="37"/>
        <v/>
      </c>
      <c r="J813" s="154"/>
      <c r="K813" s="155" t="s">
        <v>2966</v>
      </c>
    </row>
    <row r="814" spans="1:11" hidden="1" x14ac:dyDescent="0.25">
      <c r="A814" s="148" t="s">
        <v>4166</v>
      </c>
      <c r="B814" s="149" t="s">
        <v>4167</v>
      </c>
      <c r="C814" s="150" t="s">
        <v>18</v>
      </c>
      <c r="D814" s="150">
        <v>0</v>
      </c>
      <c r="E814" s="151" t="s">
        <v>13</v>
      </c>
      <c r="F814" s="152" t="str">
        <f t="shared" si="38"/>
        <v/>
      </c>
      <c r="G814" s="153">
        <f>IF($K814="Padrão",BDI!$B$17,IF($K814="Diferenciado",BDI!$E$17,0))</f>
        <v>0.2039</v>
      </c>
      <c r="H814" s="151" t="str">
        <f t="shared" si="36"/>
        <v/>
      </c>
      <c r="I814" s="152" t="str">
        <f t="shared" si="37"/>
        <v/>
      </c>
      <c r="J814" s="154"/>
      <c r="K814" s="155" t="s">
        <v>2966</v>
      </c>
    </row>
    <row r="815" spans="1:11" hidden="1" x14ac:dyDescent="0.25">
      <c r="A815" s="148" t="s">
        <v>4168</v>
      </c>
      <c r="B815" s="149" t="s">
        <v>4169</v>
      </c>
      <c r="C815" s="150" t="s">
        <v>18</v>
      </c>
      <c r="D815" s="150">
        <v>0</v>
      </c>
      <c r="E815" s="151" t="s">
        <v>13</v>
      </c>
      <c r="F815" s="152" t="str">
        <f t="shared" si="38"/>
        <v/>
      </c>
      <c r="G815" s="153">
        <f>IF($K815="Padrão",BDI!$B$17,IF($K815="Diferenciado",BDI!$E$17,0))</f>
        <v>0.2039</v>
      </c>
      <c r="H815" s="151" t="str">
        <f t="shared" si="36"/>
        <v/>
      </c>
      <c r="I815" s="152" t="str">
        <f t="shared" si="37"/>
        <v/>
      </c>
      <c r="J815" s="154"/>
      <c r="K815" s="155" t="s">
        <v>2966</v>
      </c>
    </row>
    <row r="816" spans="1:11" hidden="1" x14ac:dyDescent="0.25">
      <c r="A816" s="148" t="s">
        <v>4170</v>
      </c>
      <c r="B816" s="149" t="s">
        <v>4171</v>
      </c>
      <c r="C816" s="150" t="s">
        <v>18</v>
      </c>
      <c r="D816" s="150">
        <v>0</v>
      </c>
      <c r="E816" s="151" t="s">
        <v>13</v>
      </c>
      <c r="F816" s="152" t="str">
        <f t="shared" si="38"/>
        <v/>
      </c>
      <c r="G816" s="153">
        <f>IF($K816="Padrão",BDI!$B$17,IF($K816="Diferenciado",BDI!$E$17,0))</f>
        <v>0.2039</v>
      </c>
      <c r="H816" s="151" t="str">
        <f t="shared" si="36"/>
        <v/>
      </c>
      <c r="I816" s="152" t="str">
        <f t="shared" si="37"/>
        <v/>
      </c>
      <c r="J816" s="154"/>
      <c r="K816" s="155" t="s">
        <v>2966</v>
      </c>
    </row>
    <row r="817" spans="1:11" hidden="1" x14ac:dyDescent="0.25">
      <c r="A817" s="148" t="s">
        <v>4172</v>
      </c>
      <c r="B817" s="149" t="s">
        <v>4173</v>
      </c>
      <c r="C817" s="150" t="s">
        <v>18</v>
      </c>
      <c r="D817" s="150">
        <v>0</v>
      </c>
      <c r="E817" s="151" t="s">
        <v>13</v>
      </c>
      <c r="F817" s="152" t="str">
        <f t="shared" si="38"/>
        <v/>
      </c>
      <c r="G817" s="153">
        <f>IF($K817="Padrão",BDI!$B$17,IF($K817="Diferenciado",BDI!$E$17,0))</f>
        <v>0.2039</v>
      </c>
      <c r="H817" s="151" t="str">
        <f t="shared" si="36"/>
        <v/>
      </c>
      <c r="I817" s="152" t="str">
        <f t="shared" si="37"/>
        <v/>
      </c>
      <c r="J817" s="154"/>
      <c r="K817" s="155" t="s">
        <v>2966</v>
      </c>
    </row>
    <row r="818" spans="1:11" hidden="1" x14ac:dyDescent="0.25">
      <c r="A818" s="148" t="s">
        <v>4174</v>
      </c>
      <c r="B818" s="149" t="s">
        <v>4175</v>
      </c>
      <c r="C818" s="150" t="s">
        <v>18</v>
      </c>
      <c r="D818" s="150">
        <v>0</v>
      </c>
      <c r="E818" s="151" t="s">
        <v>13</v>
      </c>
      <c r="F818" s="152" t="str">
        <f t="shared" si="38"/>
        <v/>
      </c>
      <c r="G818" s="153">
        <f>IF($K818="Padrão",BDI!$B$17,IF($K818="Diferenciado",BDI!$E$17,0))</f>
        <v>0.2039</v>
      </c>
      <c r="H818" s="151" t="str">
        <f t="shared" si="36"/>
        <v/>
      </c>
      <c r="I818" s="152" t="str">
        <f t="shared" si="37"/>
        <v/>
      </c>
      <c r="J818" s="154"/>
      <c r="K818" s="155" t="s">
        <v>2966</v>
      </c>
    </row>
    <row r="819" spans="1:11" hidden="1" x14ac:dyDescent="0.25">
      <c r="A819" s="148" t="s">
        <v>686</v>
      </c>
      <c r="B819" s="149" t="s">
        <v>4176</v>
      </c>
      <c r="C819" s="150" t="s">
        <v>18</v>
      </c>
      <c r="D819" s="150">
        <v>0</v>
      </c>
      <c r="E819" s="151">
        <f ca="1">OFFSET(INDEX(Composições!A:H,MATCH(Orçamentária!A819,Composições!A:A,0),8),2,0)</f>
        <v>13.328499999999998</v>
      </c>
      <c r="F819" s="152">
        <f t="shared" ca="1" si="38"/>
        <v>0</v>
      </c>
      <c r="G819" s="153">
        <f>IF($K819="Padrão",BDI!$B$17,IF($K819="Diferenciado",BDI!$E$17,0))</f>
        <v>0.2039</v>
      </c>
      <c r="H819" s="151">
        <f t="shared" ca="1" si="36"/>
        <v>16.05</v>
      </c>
      <c r="I819" s="152">
        <f t="shared" ca="1" si="37"/>
        <v>0</v>
      </c>
      <c r="J819" s="154"/>
      <c r="K819" s="155" t="s">
        <v>2966</v>
      </c>
    </row>
    <row r="820" spans="1:11" hidden="1" x14ac:dyDescent="0.25">
      <c r="A820" s="148" t="s">
        <v>687</v>
      </c>
      <c r="B820" s="149" t="s">
        <v>4177</v>
      </c>
      <c r="C820" s="150" t="s">
        <v>18</v>
      </c>
      <c r="D820" s="150">
        <v>0</v>
      </c>
      <c r="E820" s="151">
        <f ca="1">OFFSET(INDEX(Composições!A:H,MATCH(Orçamentária!A820,Composições!A:A,0),8),2,0)</f>
        <v>13.8985</v>
      </c>
      <c r="F820" s="152">
        <f t="shared" ca="1" si="38"/>
        <v>0</v>
      </c>
      <c r="G820" s="153">
        <f>IF($K820="Padrão",BDI!$B$17,IF($K820="Diferenciado",BDI!$E$17,0))</f>
        <v>0.2039</v>
      </c>
      <c r="H820" s="151">
        <f t="shared" ca="1" si="36"/>
        <v>16.73</v>
      </c>
      <c r="I820" s="152">
        <f t="shared" ca="1" si="37"/>
        <v>0</v>
      </c>
      <c r="J820" s="154"/>
      <c r="K820" s="155" t="s">
        <v>2966</v>
      </c>
    </row>
    <row r="821" spans="1:11" hidden="1" x14ac:dyDescent="0.25">
      <c r="A821" s="148" t="s">
        <v>4178</v>
      </c>
      <c r="B821" s="149" t="s">
        <v>4179</v>
      </c>
      <c r="C821" s="150" t="s">
        <v>18</v>
      </c>
      <c r="D821" s="150">
        <v>0</v>
      </c>
      <c r="E821" s="151" t="s">
        <v>13</v>
      </c>
      <c r="F821" s="152" t="str">
        <f t="shared" si="38"/>
        <v/>
      </c>
      <c r="G821" s="153">
        <f>IF($K821="Padrão",BDI!$B$17,IF($K821="Diferenciado",BDI!$E$17,0))</f>
        <v>0.2039</v>
      </c>
      <c r="H821" s="151" t="str">
        <f t="shared" si="36"/>
        <v/>
      </c>
      <c r="I821" s="152" t="str">
        <f t="shared" si="37"/>
        <v/>
      </c>
      <c r="J821" s="154"/>
      <c r="K821" s="155" t="s">
        <v>2966</v>
      </c>
    </row>
    <row r="822" spans="1:11" hidden="1" x14ac:dyDescent="0.25">
      <c r="A822" s="148" t="s">
        <v>4180</v>
      </c>
      <c r="B822" s="149" t="s">
        <v>4181</v>
      </c>
      <c r="C822" s="150" t="s">
        <v>18</v>
      </c>
      <c r="D822" s="150">
        <v>0</v>
      </c>
      <c r="E822" s="151" t="s">
        <v>13</v>
      </c>
      <c r="F822" s="152" t="str">
        <f t="shared" si="38"/>
        <v/>
      </c>
      <c r="G822" s="153">
        <f>IF($K822="Padrão",BDI!$B$17,IF($K822="Diferenciado",BDI!$E$17,0))</f>
        <v>0.2039</v>
      </c>
      <c r="H822" s="151" t="str">
        <f t="shared" si="36"/>
        <v/>
      </c>
      <c r="I822" s="152" t="str">
        <f t="shared" si="37"/>
        <v/>
      </c>
      <c r="J822" s="154"/>
      <c r="K822" s="155" t="s">
        <v>2966</v>
      </c>
    </row>
    <row r="823" spans="1:11" hidden="1" x14ac:dyDescent="0.25">
      <c r="A823" s="148" t="s">
        <v>4182</v>
      </c>
      <c r="B823" s="149" t="s">
        <v>4183</v>
      </c>
      <c r="C823" s="150" t="s">
        <v>18</v>
      </c>
      <c r="D823" s="150">
        <v>0</v>
      </c>
      <c r="E823" s="151" t="s">
        <v>13</v>
      </c>
      <c r="F823" s="152" t="str">
        <f t="shared" si="38"/>
        <v/>
      </c>
      <c r="G823" s="153">
        <f>IF($K823="Padrão",BDI!$B$17,IF($K823="Diferenciado",BDI!$E$17,0))</f>
        <v>0.2039</v>
      </c>
      <c r="H823" s="151" t="str">
        <f t="shared" si="36"/>
        <v/>
      </c>
      <c r="I823" s="152" t="str">
        <f t="shared" si="37"/>
        <v/>
      </c>
      <c r="J823" s="154"/>
      <c r="K823" s="155" t="s">
        <v>2966</v>
      </c>
    </row>
    <row r="824" spans="1:11" hidden="1" x14ac:dyDescent="0.25">
      <c r="A824" s="148" t="s">
        <v>4184</v>
      </c>
      <c r="B824" s="149" t="s">
        <v>4185</v>
      </c>
      <c r="C824" s="150" t="s">
        <v>18</v>
      </c>
      <c r="D824" s="150">
        <v>0</v>
      </c>
      <c r="E824" s="151" t="s">
        <v>13</v>
      </c>
      <c r="F824" s="152" t="str">
        <f t="shared" si="38"/>
        <v/>
      </c>
      <c r="G824" s="153">
        <f>IF($K824="Padrão",BDI!$B$17,IF($K824="Diferenciado",BDI!$E$17,0))</f>
        <v>0.2039</v>
      </c>
      <c r="H824" s="151" t="str">
        <f t="shared" si="36"/>
        <v/>
      </c>
      <c r="I824" s="152" t="str">
        <f t="shared" si="37"/>
        <v/>
      </c>
      <c r="J824" s="154"/>
      <c r="K824" s="155" t="s">
        <v>2966</v>
      </c>
    </row>
    <row r="825" spans="1:11" hidden="1" x14ac:dyDescent="0.25">
      <c r="A825" s="148" t="s">
        <v>4186</v>
      </c>
      <c r="B825" s="149" t="s">
        <v>4187</v>
      </c>
      <c r="C825" s="150" t="s">
        <v>18</v>
      </c>
      <c r="D825" s="150">
        <v>0</v>
      </c>
      <c r="E825" s="151" t="s">
        <v>13</v>
      </c>
      <c r="F825" s="152" t="str">
        <f t="shared" si="38"/>
        <v/>
      </c>
      <c r="G825" s="153">
        <f>IF($K825="Padrão",BDI!$B$17,IF($K825="Diferenciado",BDI!$E$17,0))</f>
        <v>0.2039</v>
      </c>
      <c r="H825" s="151" t="str">
        <f t="shared" si="36"/>
        <v/>
      </c>
      <c r="I825" s="152" t="str">
        <f t="shared" si="37"/>
        <v/>
      </c>
      <c r="J825" s="154"/>
      <c r="K825" s="155" t="s">
        <v>2966</v>
      </c>
    </row>
    <row r="826" spans="1:11" x14ac:dyDescent="0.25">
      <c r="A826" s="148" t="s">
        <v>4188</v>
      </c>
      <c r="B826" s="149" t="s">
        <v>4189</v>
      </c>
      <c r="C826" s="150" t="s">
        <v>4190</v>
      </c>
      <c r="D826" s="150">
        <v>10</v>
      </c>
      <c r="E826" s="207">
        <v>636.13</v>
      </c>
      <c r="F826" s="152">
        <f t="shared" si="38"/>
        <v>6361.3</v>
      </c>
      <c r="G826" s="153">
        <f>IF($K826="Padrão",BDI!$B$17,IF($K826="Diferenciado",BDI!$E$17,0))</f>
        <v>0.2039</v>
      </c>
      <c r="H826" s="151">
        <f t="shared" si="36"/>
        <v>765.84</v>
      </c>
      <c r="I826" s="152">
        <f t="shared" si="37"/>
        <v>7658.4</v>
      </c>
      <c r="J826" s="154"/>
      <c r="K826" s="155" t="s">
        <v>2966</v>
      </c>
    </row>
    <row r="827" spans="1:11" hidden="1" x14ac:dyDescent="0.25">
      <c r="A827" s="148" t="s">
        <v>4191</v>
      </c>
      <c r="B827" s="149" t="s">
        <v>4192</v>
      </c>
      <c r="C827" s="150" t="s">
        <v>18</v>
      </c>
      <c r="D827" s="150">
        <v>0</v>
      </c>
      <c r="E827" s="151" t="s">
        <v>13</v>
      </c>
      <c r="F827" s="152" t="str">
        <f t="shared" si="38"/>
        <v/>
      </c>
      <c r="G827" s="153">
        <f>IF($K827="Padrão",BDI!$B$17,IF($K827="Diferenciado",BDI!$E$17,0))</f>
        <v>0.2039</v>
      </c>
      <c r="H827" s="151" t="str">
        <f t="shared" si="36"/>
        <v/>
      </c>
      <c r="I827" s="152" t="str">
        <f t="shared" si="37"/>
        <v/>
      </c>
      <c r="J827" s="154"/>
      <c r="K827" s="155" t="s">
        <v>2966</v>
      </c>
    </row>
    <row r="828" spans="1:11" ht="25.5" hidden="1" x14ac:dyDescent="0.25">
      <c r="A828" s="148" t="s">
        <v>4193</v>
      </c>
      <c r="B828" s="149" t="s">
        <v>4194</v>
      </c>
      <c r="C828" s="150" t="s">
        <v>87</v>
      </c>
      <c r="D828" s="150">
        <v>0</v>
      </c>
      <c r="E828" s="151" t="s">
        <v>13</v>
      </c>
      <c r="F828" s="152" t="str">
        <f t="shared" si="38"/>
        <v/>
      </c>
      <c r="G828" s="153">
        <f>IF($K828="Padrão",BDI!$B$17,IF($K828="Diferenciado",BDI!$E$17,0))</f>
        <v>0.2039</v>
      </c>
      <c r="H828" s="151" t="str">
        <f t="shared" si="36"/>
        <v/>
      </c>
      <c r="I828" s="152" t="str">
        <f t="shared" si="37"/>
        <v/>
      </c>
      <c r="J828" s="154"/>
      <c r="K828" s="155" t="s">
        <v>2966</v>
      </c>
    </row>
    <row r="829" spans="1:11" ht="25.5" hidden="1" x14ac:dyDescent="0.25">
      <c r="A829" s="148" t="s">
        <v>4195</v>
      </c>
      <c r="B829" s="149" t="s">
        <v>4196</v>
      </c>
      <c r="C829" s="150" t="s">
        <v>87</v>
      </c>
      <c r="D829" s="150">
        <v>0</v>
      </c>
      <c r="E829" s="151" t="s">
        <v>13</v>
      </c>
      <c r="F829" s="152" t="str">
        <f t="shared" si="38"/>
        <v/>
      </c>
      <c r="G829" s="153">
        <f>IF($K829="Padrão",BDI!$B$17,IF($K829="Diferenciado",BDI!$E$17,0))</f>
        <v>0.2039</v>
      </c>
      <c r="H829" s="151" t="str">
        <f t="shared" si="36"/>
        <v/>
      </c>
      <c r="I829" s="152" t="str">
        <f t="shared" si="37"/>
        <v/>
      </c>
      <c r="J829" s="154"/>
      <c r="K829" s="155" t="s">
        <v>2966</v>
      </c>
    </row>
    <row r="830" spans="1:11" hidden="1" x14ac:dyDescent="0.25">
      <c r="A830" s="148" t="s">
        <v>4197</v>
      </c>
      <c r="B830" s="149" t="s">
        <v>4198</v>
      </c>
      <c r="C830" s="150" t="s">
        <v>18</v>
      </c>
      <c r="D830" s="150">
        <v>0</v>
      </c>
      <c r="E830" s="151" t="s">
        <v>13</v>
      </c>
      <c r="F830" s="152" t="str">
        <f t="shared" si="38"/>
        <v/>
      </c>
      <c r="G830" s="153">
        <f>IF($K830="Padrão",BDI!$B$17,IF($K830="Diferenciado",BDI!$E$17,0))</f>
        <v>0.2039</v>
      </c>
      <c r="H830" s="151" t="str">
        <f t="shared" si="36"/>
        <v/>
      </c>
      <c r="I830" s="152" t="str">
        <f t="shared" si="37"/>
        <v/>
      </c>
      <c r="J830" s="154"/>
      <c r="K830" s="155" t="s">
        <v>2966</v>
      </c>
    </row>
    <row r="831" spans="1:11" hidden="1" x14ac:dyDescent="0.25">
      <c r="A831" s="148" t="s">
        <v>4199</v>
      </c>
      <c r="B831" s="149" t="s">
        <v>4200</v>
      </c>
      <c r="C831" s="150" t="s">
        <v>87</v>
      </c>
      <c r="D831" s="150">
        <v>0</v>
      </c>
      <c r="E831" s="151" t="s">
        <v>13</v>
      </c>
      <c r="F831" s="152" t="str">
        <f t="shared" si="38"/>
        <v/>
      </c>
      <c r="G831" s="153">
        <f>IF($K831="Padrão",BDI!$B$17,IF($K831="Diferenciado",BDI!$E$17,0))</f>
        <v>0.2039</v>
      </c>
      <c r="H831" s="151" t="str">
        <f t="shared" si="36"/>
        <v/>
      </c>
      <c r="I831" s="152" t="str">
        <f t="shared" si="37"/>
        <v/>
      </c>
      <c r="J831" s="154"/>
      <c r="K831" s="155" t="s">
        <v>2966</v>
      </c>
    </row>
    <row r="832" spans="1:11" hidden="1" x14ac:dyDescent="0.25">
      <c r="A832" s="148" t="s">
        <v>4201</v>
      </c>
      <c r="B832" s="149" t="s">
        <v>4202</v>
      </c>
      <c r="C832" s="150" t="s">
        <v>3474</v>
      </c>
      <c r="D832" s="150">
        <v>0</v>
      </c>
      <c r="E832" s="151" t="s">
        <v>13</v>
      </c>
      <c r="F832" s="152" t="str">
        <f t="shared" si="38"/>
        <v/>
      </c>
      <c r="G832" s="153">
        <f>IF($K832="Padrão",BDI!$B$17,IF($K832="Diferenciado",BDI!$E$17,0))</f>
        <v>0.2039</v>
      </c>
      <c r="H832" s="151" t="str">
        <f t="shared" si="36"/>
        <v/>
      </c>
      <c r="I832" s="152" t="str">
        <f t="shared" si="37"/>
        <v/>
      </c>
      <c r="J832" s="154"/>
      <c r="K832" s="155" t="s">
        <v>2966</v>
      </c>
    </row>
    <row r="833" spans="1:11" hidden="1" x14ac:dyDescent="0.25">
      <c r="A833" s="148" t="s">
        <v>688</v>
      </c>
      <c r="B833" s="149" t="s">
        <v>4203</v>
      </c>
      <c r="C833" s="150" t="s">
        <v>3474</v>
      </c>
      <c r="D833" s="150">
        <v>0</v>
      </c>
      <c r="E833" s="151">
        <f ca="1">OFFSET(INDEX(Composições!A:H,MATCH(Orçamentária!A833,Composições!A:A,0),8),2,0)</f>
        <v>39.691000000000003</v>
      </c>
      <c r="F833" s="152">
        <f t="shared" ca="1" si="38"/>
        <v>0</v>
      </c>
      <c r="G833" s="153">
        <f>IF($K833="Padrão",BDI!$B$17,IF($K833="Diferenciado",BDI!$E$17,0))</f>
        <v>0.2039</v>
      </c>
      <c r="H833" s="151">
        <f t="shared" ca="1" si="36"/>
        <v>47.78</v>
      </c>
      <c r="I833" s="152">
        <f t="shared" ca="1" si="37"/>
        <v>0</v>
      </c>
      <c r="J833" s="154"/>
      <c r="K833" s="155" t="s">
        <v>2966</v>
      </c>
    </row>
    <row r="834" spans="1:11" hidden="1" x14ac:dyDescent="0.25">
      <c r="A834" s="148" t="s">
        <v>689</v>
      </c>
      <c r="B834" s="149" t="s">
        <v>4204</v>
      </c>
      <c r="C834" s="150" t="s">
        <v>18</v>
      </c>
      <c r="D834" s="150">
        <v>0</v>
      </c>
      <c r="E834" s="151">
        <f ca="1">OFFSET(INDEX(Composições!A:H,MATCH(Orçamentária!A834,Composições!A:A,0),8),2,0)</f>
        <v>19</v>
      </c>
      <c r="F834" s="152">
        <f t="shared" ca="1" si="38"/>
        <v>0</v>
      </c>
      <c r="G834" s="153">
        <f>IF($K834="Padrão",BDI!$B$17,IF($K834="Diferenciado",BDI!$E$17,0))</f>
        <v>0.2039</v>
      </c>
      <c r="H834" s="151">
        <f t="shared" ca="1" si="36"/>
        <v>22.87</v>
      </c>
      <c r="I834" s="152">
        <f t="shared" ca="1" si="37"/>
        <v>0</v>
      </c>
      <c r="J834" s="154"/>
      <c r="K834" s="155" t="s">
        <v>2966</v>
      </c>
    </row>
    <row r="835" spans="1:11" hidden="1" x14ac:dyDescent="0.25">
      <c r="A835" s="148" t="s">
        <v>4205</v>
      </c>
      <c r="B835" s="149" t="s">
        <v>4206</v>
      </c>
      <c r="C835" s="150" t="s">
        <v>18</v>
      </c>
      <c r="D835" s="150">
        <v>0</v>
      </c>
      <c r="E835" s="151" t="s">
        <v>13</v>
      </c>
      <c r="F835" s="152" t="str">
        <f t="shared" si="38"/>
        <v/>
      </c>
      <c r="G835" s="153">
        <f>IF($K835="Padrão",BDI!$B$17,IF($K835="Diferenciado",BDI!$E$17,0))</f>
        <v>0.2039</v>
      </c>
      <c r="H835" s="151" t="str">
        <f t="shared" si="36"/>
        <v/>
      </c>
      <c r="I835" s="152" t="str">
        <f t="shared" si="37"/>
        <v/>
      </c>
      <c r="J835" s="154"/>
      <c r="K835" s="155" t="s">
        <v>2966</v>
      </c>
    </row>
    <row r="836" spans="1:11" hidden="1" x14ac:dyDescent="0.25">
      <c r="A836" s="148" t="s">
        <v>4207</v>
      </c>
      <c r="B836" s="149" t="s">
        <v>4208</v>
      </c>
      <c r="C836" s="150" t="s">
        <v>18</v>
      </c>
      <c r="D836" s="150">
        <v>0</v>
      </c>
      <c r="E836" s="151" t="s">
        <v>13</v>
      </c>
      <c r="F836" s="152" t="str">
        <f t="shared" si="38"/>
        <v/>
      </c>
      <c r="G836" s="153">
        <f>IF($K836="Padrão",BDI!$B$17,IF($K836="Diferenciado",BDI!$E$17,0))</f>
        <v>0.2039</v>
      </c>
      <c r="H836" s="151" t="str">
        <f t="shared" si="36"/>
        <v/>
      </c>
      <c r="I836" s="152" t="str">
        <f t="shared" si="37"/>
        <v/>
      </c>
      <c r="J836" s="154"/>
      <c r="K836" s="155" t="s">
        <v>2966</v>
      </c>
    </row>
    <row r="837" spans="1:11" hidden="1" x14ac:dyDescent="0.25">
      <c r="A837" s="148" t="s">
        <v>4209</v>
      </c>
      <c r="B837" s="149" t="s">
        <v>4210</v>
      </c>
      <c r="C837" s="150" t="s">
        <v>87</v>
      </c>
      <c r="D837" s="150">
        <v>0</v>
      </c>
      <c r="E837" s="151" t="s">
        <v>13</v>
      </c>
      <c r="F837" s="152" t="str">
        <f t="shared" si="38"/>
        <v/>
      </c>
      <c r="G837" s="153">
        <f>IF($K837="Padrão",BDI!$B$17,IF($K837="Diferenciado",BDI!$E$17,0))</f>
        <v>0.2039</v>
      </c>
      <c r="H837" s="151" t="str">
        <f t="shared" si="36"/>
        <v/>
      </c>
      <c r="I837" s="152" t="str">
        <f t="shared" si="37"/>
        <v/>
      </c>
      <c r="J837" s="154"/>
      <c r="K837" s="155" t="s">
        <v>2966</v>
      </c>
    </row>
    <row r="838" spans="1:11" hidden="1" x14ac:dyDescent="0.25">
      <c r="A838" s="148" t="s">
        <v>4211</v>
      </c>
      <c r="B838" s="149" t="s">
        <v>4212</v>
      </c>
      <c r="C838" s="150" t="s">
        <v>87</v>
      </c>
      <c r="D838" s="150">
        <v>0</v>
      </c>
      <c r="E838" s="151" t="s">
        <v>13</v>
      </c>
      <c r="F838" s="152" t="str">
        <f t="shared" si="38"/>
        <v/>
      </c>
      <c r="G838" s="153">
        <f>IF($K838="Padrão",BDI!$B$17,IF($K838="Diferenciado",BDI!$E$17,0))</f>
        <v>0.2039</v>
      </c>
      <c r="H838" s="151" t="str">
        <f t="shared" ref="H838:H901" si="39">IF(ISNUMBER(E838),ROUND(E838*(1+G838),2),"")</f>
        <v/>
      </c>
      <c r="I838" s="152" t="str">
        <f t="shared" ref="I838:I901" si="40">IF(ISNUMBER(E838),ROUND(H838*D838,2),"")</f>
        <v/>
      </c>
      <c r="J838" s="154"/>
      <c r="K838" s="155" t="s">
        <v>2966</v>
      </c>
    </row>
    <row r="839" spans="1:11" hidden="1" x14ac:dyDescent="0.25">
      <c r="A839" s="148" t="s">
        <v>4213</v>
      </c>
      <c r="B839" s="149" t="s">
        <v>4214</v>
      </c>
      <c r="C839" s="150" t="s">
        <v>3474</v>
      </c>
      <c r="D839" s="150">
        <v>0</v>
      </c>
      <c r="E839" s="151" t="s">
        <v>13</v>
      </c>
      <c r="F839" s="152" t="str">
        <f t="shared" ref="F839:F902" si="41">IF(ISNUMBER(E839),D839*E839,"")</f>
        <v/>
      </c>
      <c r="G839" s="153">
        <f>IF($K839="Padrão",BDI!$B$17,IF($K839="Diferenciado",BDI!$E$17,0))</f>
        <v>0.2039</v>
      </c>
      <c r="H839" s="151" t="str">
        <f t="shared" si="39"/>
        <v/>
      </c>
      <c r="I839" s="152" t="str">
        <f t="shared" si="40"/>
        <v/>
      </c>
      <c r="J839" s="154"/>
      <c r="K839" s="155" t="s">
        <v>2966</v>
      </c>
    </row>
    <row r="840" spans="1:11" hidden="1" x14ac:dyDescent="0.25">
      <c r="A840" s="148" t="s">
        <v>4215</v>
      </c>
      <c r="B840" s="149" t="s">
        <v>4216</v>
      </c>
      <c r="C840" s="150" t="s">
        <v>18</v>
      </c>
      <c r="D840" s="150">
        <v>0</v>
      </c>
      <c r="E840" s="151" t="s">
        <v>13</v>
      </c>
      <c r="F840" s="152" t="str">
        <f t="shared" si="41"/>
        <v/>
      </c>
      <c r="G840" s="153">
        <f>IF($K840="Padrão",BDI!$B$17,IF($K840="Diferenciado",BDI!$E$17,0))</f>
        <v>0.2039</v>
      </c>
      <c r="H840" s="151" t="str">
        <f t="shared" si="39"/>
        <v/>
      </c>
      <c r="I840" s="152" t="str">
        <f t="shared" si="40"/>
        <v/>
      </c>
      <c r="J840" s="154"/>
      <c r="K840" s="155" t="s">
        <v>2966</v>
      </c>
    </row>
    <row r="841" spans="1:11" hidden="1" x14ac:dyDescent="0.25">
      <c r="A841" s="148" t="s">
        <v>4217</v>
      </c>
      <c r="B841" s="149" t="s">
        <v>4218</v>
      </c>
      <c r="C841" s="150" t="s">
        <v>18</v>
      </c>
      <c r="D841" s="150">
        <v>0</v>
      </c>
      <c r="E841" s="151" t="s">
        <v>13</v>
      </c>
      <c r="F841" s="152" t="str">
        <f t="shared" si="41"/>
        <v/>
      </c>
      <c r="G841" s="153">
        <f>IF($K841="Padrão",BDI!$B$17,IF($K841="Diferenciado",BDI!$E$17,0))</f>
        <v>0.2039</v>
      </c>
      <c r="H841" s="151" t="str">
        <f t="shared" si="39"/>
        <v/>
      </c>
      <c r="I841" s="152" t="str">
        <f t="shared" si="40"/>
        <v/>
      </c>
      <c r="J841" s="154"/>
      <c r="K841" s="155" t="s">
        <v>2966</v>
      </c>
    </row>
    <row r="842" spans="1:11" hidden="1" x14ac:dyDescent="0.25">
      <c r="A842" s="148" t="s">
        <v>4219</v>
      </c>
      <c r="B842" s="149" t="s">
        <v>4220</v>
      </c>
      <c r="C842" s="150" t="s">
        <v>18</v>
      </c>
      <c r="D842" s="150">
        <v>0</v>
      </c>
      <c r="E842" s="151" t="s">
        <v>13</v>
      </c>
      <c r="F842" s="152" t="str">
        <f t="shared" si="41"/>
        <v/>
      </c>
      <c r="G842" s="153">
        <f>IF($K842="Padrão",BDI!$B$17,IF($K842="Diferenciado",BDI!$E$17,0))</f>
        <v>0.2039</v>
      </c>
      <c r="H842" s="151" t="str">
        <f t="shared" si="39"/>
        <v/>
      </c>
      <c r="I842" s="152" t="str">
        <f t="shared" si="40"/>
        <v/>
      </c>
      <c r="J842" s="154"/>
      <c r="K842" s="155" t="s">
        <v>2966</v>
      </c>
    </row>
    <row r="843" spans="1:11" hidden="1" x14ac:dyDescent="0.25">
      <c r="A843" s="148" t="s">
        <v>4221</v>
      </c>
      <c r="B843" s="149" t="s">
        <v>4222</v>
      </c>
      <c r="C843" s="150" t="s">
        <v>18</v>
      </c>
      <c r="D843" s="150">
        <v>0</v>
      </c>
      <c r="E843" s="151" t="s">
        <v>13</v>
      </c>
      <c r="F843" s="152" t="str">
        <f t="shared" si="41"/>
        <v/>
      </c>
      <c r="G843" s="153">
        <f>IF($K843="Padrão",BDI!$B$17,IF($K843="Diferenciado",BDI!$E$17,0))</f>
        <v>0.2039</v>
      </c>
      <c r="H843" s="151" t="str">
        <f t="shared" si="39"/>
        <v/>
      </c>
      <c r="I843" s="152" t="str">
        <f t="shared" si="40"/>
        <v/>
      </c>
      <c r="J843" s="154"/>
      <c r="K843" s="155" t="s">
        <v>2966</v>
      </c>
    </row>
    <row r="844" spans="1:11" hidden="1" x14ac:dyDescent="0.25">
      <c r="A844" s="148" t="s">
        <v>4223</v>
      </c>
      <c r="B844" s="149" t="s">
        <v>4224</v>
      </c>
      <c r="C844" s="150" t="s">
        <v>18</v>
      </c>
      <c r="D844" s="150">
        <v>0</v>
      </c>
      <c r="E844" s="151" t="s">
        <v>13</v>
      </c>
      <c r="F844" s="152" t="str">
        <f t="shared" si="41"/>
        <v/>
      </c>
      <c r="G844" s="153">
        <f>IF($K844="Padrão",BDI!$B$17,IF($K844="Diferenciado",BDI!$E$17,0))</f>
        <v>0.2039</v>
      </c>
      <c r="H844" s="151" t="str">
        <f t="shared" si="39"/>
        <v/>
      </c>
      <c r="I844" s="152" t="str">
        <f t="shared" si="40"/>
        <v/>
      </c>
      <c r="J844" s="154"/>
      <c r="K844" s="155" t="s">
        <v>2966</v>
      </c>
    </row>
    <row r="845" spans="1:11" hidden="1" x14ac:dyDescent="0.25">
      <c r="A845" s="148" t="s">
        <v>690</v>
      </c>
      <c r="B845" s="149" t="s">
        <v>4225</v>
      </c>
      <c r="C845" s="150" t="s">
        <v>18</v>
      </c>
      <c r="D845" s="150">
        <v>0</v>
      </c>
      <c r="E845" s="151">
        <f ca="1">OFFSET(INDEX(Composições!A:H,MATCH(Orçamentária!A845,Composições!A:A,0),8),2,0)</f>
        <v>180.386</v>
      </c>
      <c r="F845" s="152">
        <f t="shared" ca="1" si="41"/>
        <v>0</v>
      </c>
      <c r="G845" s="153">
        <f>IF($K845="Padrão",BDI!$B$17,IF($K845="Diferenciado",BDI!$E$17,0))</f>
        <v>0.2039</v>
      </c>
      <c r="H845" s="151">
        <f t="shared" ca="1" si="39"/>
        <v>217.17</v>
      </c>
      <c r="I845" s="152">
        <f t="shared" ca="1" si="40"/>
        <v>0</v>
      </c>
      <c r="J845" s="154"/>
      <c r="K845" s="155" t="s">
        <v>2966</v>
      </c>
    </row>
    <row r="846" spans="1:11" hidden="1" x14ac:dyDescent="0.25">
      <c r="A846" s="148" t="s">
        <v>691</v>
      </c>
      <c r="B846" s="149" t="s">
        <v>4226</v>
      </c>
      <c r="C846" s="150" t="s">
        <v>18</v>
      </c>
      <c r="D846" s="150">
        <v>0</v>
      </c>
      <c r="E846" s="151">
        <f ca="1">OFFSET(INDEX(Composições!A:H,MATCH(Orçamentária!A846,Composições!A:A,0),8),2,0)</f>
        <v>158.18449999999999</v>
      </c>
      <c r="F846" s="152">
        <f t="shared" ca="1" si="41"/>
        <v>0</v>
      </c>
      <c r="G846" s="153">
        <f>IF($K846="Padrão",BDI!$B$17,IF($K846="Diferenciado",BDI!$E$17,0))</f>
        <v>0.2039</v>
      </c>
      <c r="H846" s="151">
        <f t="shared" ca="1" si="39"/>
        <v>190.44</v>
      </c>
      <c r="I846" s="152">
        <f t="shared" ca="1" si="40"/>
        <v>0</v>
      </c>
      <c r="J846" s="154"/>
      <c r="K846" s="155" t="s">
        <v>2966</v>
      </c>
    </row>
    <row r="847" spans="1:11" hidden="1" x14ac:dyDescent="0.25">
      <c r="A847" s="148" t="s">
        <v>4227</v>
      </c>
      <c r="B847" s="149" t="s">
        <v>4228</v>
      </c>
      <c r="C847" s="150" t="s">
        <v>18</v>
      </c>
      <c r="D847" s="150">
        <v>0</v>
      </c>
      <c r="E847" s="151" t="s">
        <v>13</v>
      </c>
      <c r="F847" s="152" t="str">
        <f t="shared" si="41"/>
        <v/>
      </c>
      <c r="G847" s="153">
        <f>IF($K847="Padrão",BDI!$B$17,IF($K847="Diferenciado",BDI!$E$17,0))</f>
        <v>0.2039</v>
      </c>
      <c r="H847" s="151" t="str">
        <f t="shared" si="39"/>
        <v/>
      </c>
      <c r="I847" s="152" t="str">
        <f t="shared" si="40"/>
        <v/>
      </c>
      <c r="J847" s="154"/>
      <c r="K847" s="155" t="s">
        <v>2966</v>
      </c>
    </row>
    <row r="848" spans="1:11" hidden="1" x14ac:dyDescent="0.25">
      <c r="A848" s="148" t="s">
        <v>4229</v>
      </c>
      <c r="B848" s="149" t="s">
        <v>4230</v>
      </c>
      <c r="C848" s="150" t="s">
        <v>87</v>
      </c>
      <c r="D848" s="150">
        <v>0</v>
      </c>
      <c r="E848" s="151" t="s">
        <v>13</v>
      </c>
      <c r="F848" s="152" t="str">
        <f t="shared" si="41"/>
        <v/>
      </c>
      <c r="G848" s="153">
        <f>IF($K848="Padrão",BDI!$B$17,IF($K848="Diferenciado",BDI!$E$17,0))</f>
        <v>0.2039</v>
      </c>
      <c r="H848" s="151" t="str">
        <f t="shared" si="39"/>
        <v/>
      </c>
      <c r="I848" s="152" t="str">
        <f t="shared" si="40"/>
        <v/>
      </c>
      <c r="J848" s="154"/>
      <c r="K848" s="155" t="s">
        <v>2966</v>
      </c>
    </row>
    <row r="849" spans="1:11" hidden="1" x14ac:dyDescent="0.25">
      <c r="A849" s="148" t="s">
        <v>692</v>
      </c>
      <c r="B849" s="149" t="s">
        <v>4231</v>
      </c>
      <c r="C849" s="150" t="s">
        <v>68</v>
      </c>
      <c r="D849" s="150">
        <v>0</v>
      </c>
      <c r="E849" s="151">
        <f ca="1">OFFSET(INDEX(Composições!A:H,MATCH(Orçamentária!A849,Composições!A:A,0),8),2,0)</f>
        <v>47.832499999999996</v>
      </c>
      <c r="F849" s="152">
        <f t="shared" ca="1" si="41"/>
        <v>0</v>
      </c>
      <c r="G849" s="153">
        <f>IF($K849="Padrão",BDI!$B$17,IF($K849="Diferenciado",BDI!$E$17,0))</f>
        <v>0.2039</v>
      </c>
      <c r="H849" s="151">
        <f t="shared" ca="1" si="39"/>
        <v>57.59</v>
      </c>
      <c r="I849" s="152">
        <f t="shared" ca="1" si="40"/>
        <v>0</v>
      </c>
      <c r="J849" s="154"/>
      <c r="K849" s="155" t="s">
        <v>2966</v>
      </c>
    </row>
    <row r="850" spans="1:11" hidden="1" x14ac:dyDescent="0.25">
      <c r="A850" s="148" t="s">
        <v>693</v>
      </c>
      <c r="B850" s="149" t="s">
        <v>4232</v>
      </c>
      <c r="C850" s="150" t="s">
        <v>68</v>
      </c>
      <c r="D850" s="150">
        <v>0</v>
      </c>
      <c r="E850" s="151">
        <f ca="1">OFFSET(INDEX(Composições!A:H,MATCH(Orçamentária!A850,Composições!A:A,0),8),2,0)</f>
        <v>353.42506099999991</v>
      </c>
      <c r="F850" s="152">
        <f t="shared" ca="1" si="41"/>
        <v>0</v>
      </c>
      <c r="G850" s="153">
        <f>IF($K850="Padrão",BDI!$B$17,IF($K850="Diferenciado",BDI!$E$17,0))</f>
        <v>0.2039</v>
      </c>
      <c r="H850" s="151">
        <f t="shared" ca="1" si="39"/>
        <v>425.49</v>
      </c>
      <c r="I850" s="152">
        <f t="shared" ca="1" si="40"/>
        <v>0</v>
      </c>
      <c r="J850" s="154"/>
      <c r="K850" s="155" t="s">
        <v>2966</v>
      </c>
    </row>
    <row r="851" spans="1:11" hidden="1" x14ac:dyDescent="0.25">
      <c r="A851" s="148" t="s">
        <v>694</v>
      </c>
      <c r="B851" s="149" t="s">
        <v>4233</v>
      </c>
      <c r="C851" s="150" t="s">
        <v>68</v>
      </c>
      <c r="D851" s="150">
        <v>0</v>
      </c>
      <c r="E851" s="151">
        <f ca="1">OFFSET(INDEX(Composições!A:H,MATCH(Orçamentária!A851,Composições!A:A,0),8),2,0)</f>
        <v>223.49699999999996</v>
      </c>
      <c r="F851" s="152">
        <f t="shared" ca="1" si="41"/>
        <v>0</v>
      </c>
      <c r="G851" s="153">
        <f>IF($K851="Padrão",BDI!$B$17,IF($K851="Diferenciado",BDI!$E$17,0))</f>
        <v>0.2039</v>
      </c>
      <c r="H851" s="151">
        <f t="shared" ca="1" si="39"/>
        <v>269.07</v>
      </c>
      <c r="I851" s="152">
        <f t="shared" ca="1" si="40"/>
        <v>0</v>
      </c>
      <c r="J851" s="154"/>
      <c r="K851" s="155" t="s">
        <v>2966</v>
      </c>
    </row>
    <row r="852" spans="1:11" hidden="1" x14ac:dyDescent="0.25">
      <c r="A852" s="148" t="s">
        <v>695</v>
      </c>
      <c r="B852" s="149" t="s">
        <v>4234</v>
      </c>
      <c r="C852" s="150" t="s">
        <v>106</v>
      </c>
      <c r="D852" s="150">
        <v>0</v>
      </c>
      <c r="E852" s="151">
        <f ca="1">OFFSET(INDEX(Composições!A:H,MATCH(Orçamentária!A852,Composições!A:A,0),8),2,0)</f>
        <v>26.177250000000001</v>
      </c>
      <c r="F852" s="152">
        <f t="shared" ca="1" si="41"/>
        <v>0</v>
      </c>
      <c r="G852" s="153">
        <f>IF($K852="Padrão",BDI!$B$17,IF($K852="Diferenciado",BDI!$E$17,0))</f>
        <v>0.2039</v>
      </c>
      <c r="H852" s="151">
        <f t="shared" ca="1" si="39"/>
        <v>31.51</v>
      </c>
      <c r="I852" s="152">
        <f t="shared" ca="1" si="40"/>
        <v>0</v>
      </c>
      <c r="J852" s="154"/>
      <c r="K852" s="155" t="s">
        <v>2966</v>
      </c>
    </row>
    <row r="853" spans="1:11" hidden="1" x14ac:dyDescent="0.25">
      <c r="A853" s="148" t="s">
        <v>696</v>
      </c>
      <c r="B853" s="149" t="s">
        <v>4235</v>
      </c>
      <c r="C853" s="150" t="s">
        <v>106</v>
      </c>
      <c r="D853" s="150">
        <v>0</v>
      </c>
      <c r="E853" s="151">
        <f ca="1">OFFSET(INDEX(Composições!A:H,MATCH(Orçamentária!A853,Composições!A:A,0),8),2,0)</f>
        <v>39.265875000000001</v>
      </c>
      <c r="F853" s="152">
        <f t="shared" ca="1" si="41"/>
        <v>0</v>
      </c>
      <c r="G853" s="153">
        <f>IF($K853="Padrão",BDI!$B$17,IF($K853="Diferenciado",BDI!$E$17,0))</f>
        <v>0.2039</v>
      </c>
      <c r="H853" s="151">
        <f t="shared" ca="1" si="39"/>
        <v>47.27</v>
      </c>
      <c r="I853" s="152">
        <f t="shared" ca="1" si="40"/>
        <v>0</v>
      </c>
      <c r="J853" s="154"/>
      <c r="K853" s="155" t="s">
        <v>2966</v>
      </c>
    </row>
    <row r="854" spans="1:11" hidden="1" x14ac:dyDescent="0.25">
      <c r="A854" s="148" t="s">
        <v>697</v>
      </c>
      <c r="B854" s="149" t="s">
        <v>4236</v>
      </c>
      <c r="C854" s="150" t="s">
        <v>68</v>
      </c>
      <c r="D854" s="150">
        <v>0</v>
      </c>
      <c r="E854" s="151">
        <f ca="1">OFFSET(INDEX(Composições!A:H,MATCH(Orçamentária!A854,Composições!A:A,0),8),2,0)</f>
        <v>409.82089899999994</v>
      </c>
      <c r="F854" s="152">
        <f t="shared" ca="1" si="41"/>
        <v>0</v>
      </c>
      <c r="G854" s="153">
        <f>IF($K854="Padrão",BDI!$B$17,IF($K854="Diferenciado",BDI!$E$17,0))</f>
        <v>0.2039</v>
      </c>
      <c r="H854" s="151">
        <f t="shared" ca="1" si="39"/>
        <v>493.38</v>
      </c>
      <c r="I854" s="152">
        <f t="shared" ca="1" si="40"/>
        <v>0</v>
      </c>
      <c r="J854" s="154"/>
      <c r="K854" s="155" t="s">
        <v>2966</v>
      </c>
    </row>
    <row r="855" spans="1:11" hidden="1" x14ac:dyDescent="0.25">
      <c r="A855" s="148" t="s">
        <v>698</v>
      </c>
      <c r="B855" s="149" t="s">
        <v>4237</v>
      </c>
      <c r="C855" s="150" t="s">
        <v>18</v>
      </c>
      <c r="D855" s="150">
        <v>0</v>
      </c>
      <c r="E855" s="151">
        <f ca="1">OFFSET(INDEX(Composições!A:H,MATCH(Orçamentária!A855,Composições!A:A,0),8),2,0)</f>
        <v>4.2992249999999999</v>
      </c>
      <c r="F855" s="152">
        <f t="shared" ca="1" si="41"/>
        <v>0</v>
      </c>
      <c r="G855" s="153">
        <f>IF($K855="Padrão",BDI!$B$17,IF($K855="Diferenciado",BDI!$E$17,0))</f>
        <v>0.2039</v>
      </c>
      <c r="H855" s="151">
        <f t="shared" ca="1" si="39"/>
        <v>5.18</v>
      </c>
      <c r="I855" s="152">
        <f t="shared" ca="1" si="40"/>
        <v>0</v>
      </c>
      <c r="J855" s="154"/>
      <c r="K855" s="155" t="s">
        <v>2966</v>
      </c>
    </row>
    <row r="856" spans="1:11" hidden="1" x14ac:dyDescent="0.25">
      <c r="A856" s="148" t="s">
        <v>700</v>
      </c>
      <c r="B856" s="149" t="s">
        <v>4238</v>
      </c>
      <c r="C856" s="150" t="s">
        <v>18</v>
      </c>
      <c r="D856" s="150">
        <v>0</v>
      </c>
      <c r="E856" s="151">
        <f ca="1">OFFSET(INDEX(Composições!A:H,MATCH(Orçamentária!A856,Composições!A:A,0),8),2,0)</f>
        <v>8.5984499999999997</v>
      </c>
      <c r="F856" s="152">
        <f t="shared" ca="1" si="41"/>
        <v>0</v>
      </c>
      <c r="G856" s="153">
        <f>IF($K856="Padrão",BDI!$B$17,IF($K856="Diferenciado",BDI!$E$17,0))</f>
        <v>0.2039</v>
      </c>
      <c r="H856" s="151">
        <f t="shared" ca="1" si="39"/>
        <v>10.35</v>
      </c>
      <c r="I856" s="152">
        <f t="shared" ca="1" si="40"/>
        <v>0</v>
      </c>
      <c r="J856" s="154"/>
      <c r="K856" s="155" t="s">
        <v>2966</v>
      </c>
    </row>
    <row r="857" spans="1:11" hidden="1" x14ac:dyDescent="0.25">
      <c r="A857" s="148" t="s">
        <v>702</v>
      </c>
      <c r="B857" s="149" t="s">
        <v>4239</v>
      </c>
      <c r="C857" s="150" t="s">
        <v>18</v>
      </c>
      <c r="D857" s="150">
        <v>0</v>
      </c>
      <c r="E857" s="151">
        <f ca="1">OFFSET(INDEX(Composições!A:H,MATCH(Orçamentária!A857,Composições!A:A,0),8),2,0)</f>
        <v>4.2992249999999999</v>
      </c>
      <c r="F857" s="152">
        <f t="shared" ca="1" si="41"/>
        <v>0</v>
      </c>
      <c r="G857" s="153">
        <f>IF($K857="Padrão",BDI!$B$17,IF($K857="Diferenciado",BDI!$E$17,0))</f>
        <v>0.2039</v>
      </c>
      <c r="H857" s="151">
        <f t="shared" ca="1" si="39"/>
        <v>5.18</v>
      </c>
      <c r="I857" s="152">
        <f t="shared" ca="1" si="40"/>
        <v>0</v>
      </c>
      <c r="J857" s="154"/>
      <c r="K857" s="155" t="s">
        <v>2966</v>
      </c>
    </row>
    <row r="858" spans="1:11" hidden="1" x14ac:dyDescent="0.25">
      <c r="A858" s="148" t="s">
        <v>704</v>
      </c>
      <c r="B858" s="149" t="s">
        <v>4240</v>
      </c>
      <c r="C858" s="150" t="s">
        <v>18</v>
      </c>
      <c r="D858" s="150">
        <v>0</v>
      </c>
      <c r="E858" s="151">
        <f ca="1">OFFSET(INDEX(Composições!A:H,MATCH(Orçamentária!A858,Composições!A:A,0),8),2,0)</f>
        <v>8.5984499999999997</v>
      </c>
      <c r="F858" s="152">
        <f t="shared" ca="1" si="41"/>
        <v>0</v>
      </c>
      <c r="G858" s="153">
        <f>IF($K858="Padrão",BDI!$B$17,IF($K858="Diferenciado",BDI!$E$17,0))</f>
        <v>0.2039</v>
      </c>
      <c r="H858" s="151">
        <f t="shared" ca="1" si="39"/>
        <v>10.35</v>
      </c>
      <c r="I858" s="152">
        <f t="shared" ca="1" si="40"/>
        <v>0</v>
      </c>
      <c r="J858" s="154"/>
      <c r="K858" s="155" t="s">
        <v>2966</v>
      </c>
    </row>
    <row r="859" spans="1:11" hidden="1" x14ac:dyDescent="0.25">
      <c r="A859" s="148" t="s">
        <v>707</v>
      </c>
      <c r="B859" s="149" t="s">
        <v>4241</v>
      </c>
      <c r="C859" s="150" t="s">
        <v>18</v>
      </c>
      <c r="D859" s="150">
        <v>0</v>
      </c>
      <c r="E859" s="151">
        <f ca="1">OFFSET(INDEX(Composições!A:H,MATCH(Orçamentária!A859,Composições!A:A,0),8),2,0)</f>
        <v>4.2992249999999999</v>
      </c>
      <c r="F859" s="152">
        <f t="shared" ca="1" si="41"/>
        <v>0</v>
      </c>
      <c r="G859" s="153">
        <f>IF($K859="Padrão",BDI!$B$17,IF($K859="Diferenciado",BDI!$E$17,0))</f>
        <v>0.2039</v>
      </c>
      <c r="H859" s="151">
        <f t="shared" ca="1" si="39"/>
        <v>5.18</v>
      </c>
      <c r="I859" s="152">
        <f t="shared" ca="1" si="40"/>
        <v>0</v>
      </c>
      <c r="J859" s="154"/>
      <c r="K859" s="155" t="s">
        <v>2966</v>
      </c>
    </row>
    <row r="860" spans="1:11" hidden="1" x14ac:dyDescent="0.25">
      <c r="A860" s="148" t="s">
        <v>709</v>
      </c>
      <c r="B860" s="149" t="s">
        <v>4242</v>
      </c>
      <c r="C860" s="150" t="s">
        <v>18</v>
      </c>
      <c r="D860" s="150">
        <v>0</v>
      </c>
      <c r="E860" s="151">
        <f ca="1">OFFSET(INDEX(Composições!A:H,MATCH(Orçamentária!A860,Composições!A:A,0),8),2,0)</f>
        <v>11.464600000000001</v>
      </c>
      <c r="F860" s="152">
        <f t="shared" ca="1" si="41"/>
        <v>0</v>
      </c>
      <c r="G860" s="153">
        <f>IF($K860="Padrão",BDI!$B$17,IF($K860="Diferenciado",BDI!$E$17,0))</f>
        <v>0.2039</v>
      </c>
      <c r="H860" s="151">
        <f t="shared" ca="1" si="39"/>
        <v>13.8</v>
      </c>
      <c r="I860" s="152">
        <f t="shared" ca="1" si="40"/>
        <v>0</v>
      </c>
      <c r="J860" s="154"/>
      <c r="K860" s="155" t="s">
        <v>2966</v>
      </c>
    </row>
    <row r="861" spans="1:11" hidden="1" x14ac:dyDescent="0.25">
      <c r="A861" s="148" t="s">
        <v>711</v>
      </c>
      <c r="B861" s="149" t="s">
        <v>4243</v>
      </c>
      <c r="C861" s="150" t="s">
        <v>18</v>
      </c>
      <c r="D861" s="150">
        <v>0</v>
      </c>
      <c r="E861" s="151">
        <f ca="1">OFFSET(INDEX(Composições!A:H,MATCH(Orçamentária!A861,Composições!A:A,0),8),2,0)</f>
        <v>11.464600000000001</v>
      </c>
      <c r="F861" s="152">
        <f t="shared" ca="1" si="41"/>
        <v>0</v>
      </c>
      <c r="G861" s="153">
        <f>IF($K861="Padrão",BDI!$B$17,IF($K861="Diferenciado",BDI!$E$17,0))</f>
        <v>0.2039</v>
      </c>
      <c r="H861" s="151">
        <f t="shared" ca="1" si="39"/>
        <v>13.8</v>
      </c>
      <c r="I861" s="152">
        <f t="shared" ca="1" si="40"/>
        <v>0</v>
      </c>
      <c r="J861" s="154"/>
      <c r="K861" s="155" t="s">
        <v>2966</v>
      </c>
    </row>
    <row r="862" spans="1:11" hidden="1" x14ac:dyDescent="0.25">
      <c r="A862" s="148" t="s">
        <v>713</v>
      </c>
      <c r="B862" s="149" t="s">
        <v>4244</v>
      </c>
      <c r="C862" s="150" t="s">
        <v>18</v>
      </c>
      <c r="D862" s="150">
        <v>0</v>
      </c>
      <c r="E862" s="151">
        <f ca="1">OFFSET(INDEX(Composições!A:H,MATCH(Orçamentária!A862,Composições!A:A,0),8),2,0)</f>
        <v>11.464600000000001</v>
      </c>
      <c r="F862" s="152">
        <f t="shared" ca="1" si="41"/>
        <v>0</v>
      </c>
      <c r="G862" s="153">
        <f>IF($K862="Padrão",BDI!$B$17,IF($K862="Diferenciado",BDI!$E$17,0))</f>
        <v>0.2039</v>
      </c>
      <c r="H862" s="151">
        <f t="shared" ca="1" si="39"/>
        <v>13.8</v>
      </c>
      <c r="I862" s="152">
        <f t="shared" ca="1" si="40"/>
        <v>0</v>
      </c>
      <c r="J862" s="154"/>
      <c r="K862" s="155" t="s">
        <v>2966</v>
      </c>
    </row>
    <row r="863" spans="1:11" hidden="1" x14ac:dyDescent="0.25">
      <c r="A863" s="148" t="s">
        <v>715</v>
      </c>
      <c r="B863" s="149" t="s">
        <v>4245</v>
      </c>
      <c r="C863" s="150" t="s">
        <v>18</v>
      </c>
      <c r="D863" s="150">
        <v>0</v>
      </c>
      <c r="E863" s="151">
        <f ca="1">OFFSET(INDEX(Composições!A:H,MATCH(Orçamentária!A863,Composições!A:A,0),8),2,0)</f>
        <v>7.165375</v>
      </c>
      <c r="F863" s="152">
        <f t="shared" ca="1" si="41"/>
        <v>0</v>
      </c>
      <c r="G863" s="153">
        <f>IF($K863="Padrão",BDI!$B$17,IF($K863="Diferenciado",BDI!$E$17,0))</f>
        <v>0.2039</v>
      </c>
      <c r="H863" s="151">
        <f t="shared" ca="1" si="39"/>
        <v>8.6300000000000008</v>
      </c>
      <c r="I863" s="152">
        <f t="shared" ca="1" si="40"/>
        <v>0</v>
      </c>
      <c r="J863" s="154"/>
      <c r="K863" s="155" t="s">
        <v>2966</v>
      </c>
    </row>
    <row r="864" spans="1:11" hidden="1" x14ac:dyDescent="0.25">
      <c r="A864" s="148" t="s">
        <v>717</v>
      </c>
      <c r="B864" s="149" t="s">
        <v>4246</v>
      </c>
      <c r="C864" s="150" t="s">
        <v>18</v>
      </c>
      <c r="D864" s="150">
        <v>0</v>
      </c>
      <c r="E864" s="151">
        <f ca="1">OFFSET(INDEX(Composições!A:H,MATCH(Orçamentária!A864,Composições!A:A,0),8),2,0)</f>
        <v>7.165375</v>
      </c>
      <c r="F864" s="152">
        <f t="shared" ca="1" si="41"/>
        <v>0</v>
      </c>
      <c r="G864" s="153">
        <f>IF($K864="Padrão",BDI!$B$17,IF($K864="Diferenciado",BDI!$E$17,0))</f>
        <v>0.2039</v>
      </c>
      <c r="H864" s="151">
        <f t="shared" ca="1" si="39"/>
        <v>8.6300000000000008</v>
      </c>
      <c r="I864" s="152">
        <f t="shared" ca="1" si="40"/>
        <v>0</v>
      </c>
      <c r="J864" s="154"/>
      <c r="K864" s="155" t="s">
        <v>2966</v>
      </c>
    </row>
    <row r="865" spans="1:11" hidden="1" x14ac:dyDescent="0.25">
      <c r="A865" s="148" t="s">
        <v>719</v>
      </c>
      <c r="B865" s="149" t="s">
        <v>4247</v>
      </c>
      <c r="C865" s="150" t="s">
        <v>18</v>
      </c>
      <c r="D865" s="150">
        <v>0</v>
      </c>
      <c r="E865" s="151">
        <f ca="1">OFFSET(INDEX(Composições!A:H,MATCH(Orçamentária!A865,Composições!A:A,0),8),2,0)</f>
        <v>7.165375</v>
      </c>
      <c r="F865" s="152">
        <f t="shared" ca="1" si="41"/>
        <v>0</v>
      </c>
      <c r="G865" s="153">
        <f>IF($K865="Padrão",BDI!$B$17,IF($K865="Diferenciado",BDI!$E$17,0))</f>
        <v>0.2039</v>
      </c>
      <c r="H865" s="151">
        <f t="shared" ca="1" si="39"/>
        <v>8.6300000000000008</v>
      </c>
      <c r="I865" s="152">
        <f t="shared" ca="1" si="40"/>
        <v>0</v>
      </c>
      <c r="J865" s="154"/>
      <c r="K865" s="155" t="s">
        <v>2966</v>
      </c>
    </row>
    <row r="866" spans="1:11" hidden="1" x14ac:dyDescent="0.25">
      <c r="A866" s="148" t="s">
        <v>721</v>
      </c>
      <c r="B866" s="149" t="s">
        <v>4248</v>
      </c>
      <c r="C866" s="150" t="s">
        <v>18</v>
      </c>
      <c r="D866" s="150">
        <v>0</v>
      </c>
      <c r="E866" s="151">
        <f ca="1">OFFSET(INDEX(Composições!A:H,MATCH(Orçamentária!A866,Composições!A:A,0),8),2,0)</f>
        <v>7.165375</v>
      </c>
      <c r="F866" s="152">
        <f t="shared" ca="1" si="41"/>
        <v>0</v>
      </c>
      <c r="G866" s="153">
        <f>IF($K866="Padrão",BDI!$B$17,IF($K866="Diferenciado",BDI!$E$17,0))</f>
        <v>0.2039</v>
      </c>
      <c r="H866" s="151">
        <f t="shared" ca="1" si="39"/>
        <v>8.6300000000000008</v>
      </c>
      <c r="I866" s="152">
        <f t="shared" ca="1" si="40"/>
        <v>0</v>
      </c>
      <c r="J866" s="154"/>
      <c r="K866" s="155" t="s">
        <v>2966</v>
      </c>
    </row>
    <row r="867" spans="1:11" hidden="1" x14ac:dyDescent="0.25">
      <c r="A867" s="148" t="s">
        <v>723</v>
      </c>
      <c r="B867" s="149" t="s">
        <v>4249</v>
      </c>
      <c r="C867" s="150" t="s">
        <v>18</v>
      </c>
      <c r="D867" s="150">
        <v>0</v>
      </c>
      <c r="E867" s="151">
        <f ca="1">OFFSET(INDEX(Composições!A:H,MATCH(Orçamentária!A867,Composições!A:A,0),8),2,0)</f>
        <v>93.972138000000001</v>
      </c>
      <c r="F867" s="152">
        <f t="shared" ca="1" si="41"/>
        <v>0</v>
      </c>
      <c r="G867" s="153">
        <f>IF($K867="Padrão",BDI!$B$17,IF($K867="Diferenciado",BDI!$E$17,0))</f>
        <v>0.2039</v>
      </c>
      <c r="H867" s="151">
        <f t="shared" ca="1" si="39"/>
        <v>113.13</v>
      </c>
      <c r="I867" s="152">
        <f t="shared" ca="1" si="40"/>
        <v>0</v>
      </c>
      <c r="J867" s="154"/>
      <c r="K867" s="155" t="s">
        <v>2966</v>
      </c>
    </row>
    <row r="868" spans="1:11" hidden="1" x14ac:dyDescent="0.25">
      <c r="A868" s="148" t="s">
        <v>724</v>
      </c>
      <c r="B868" s="149" t="s">
        <v>4250</v>
      </c>
      <c r="C868" s="150" t="s">
        <v>18</v>
      </c>
      <c r="D868" s="150">
        <v>0</v>
      </c>
      <c r="E868" s="151">
        <f ca="1">OFFSET(INDEX(Composições!A:H,MATCH(Orçamentária!A868,Composições!A:A,0),8),2,0)</f>
        <v>5.7323000000000004</v>
      </c>
      <c r="F868" s="152">
        <f t="shared" ca="1" si="41"/>
        <v>0</v>
      </c>
      <c r="G868" s="153">
        <f>IF($K868="Padrão",BDI!$B$17,IF($K868="Diferenciado",BDI!$E$17,0))</f>
        <v>0.2039</v>
      </c>
      <c r="H868" s="151">
        <f t="shared" ca="1" si="39"/>
        <v>6.9</v>
      </c>
      <c r="I868" s="152">
        <f t="shared" ca="1" si="40"/>
        <v>0</v>
      </c>
      <c r="J868" s="154"/>
      <c r="K868" s="155" t="s">
        <v>2966</v>
      </c>
    </row>
    <row r="869" spans="1:11" hidden="1" x14ac:dyDescent="0.25">
      <c r="A869" s="148" t="s">
        <v>726</v>
      </c>
      <c r="B869" s="149" t="s">
        <v>4251</v>
      </c>
      <c r="C869" s="150" t="s">
        <v>18</v>
      </c>
      <c r="D869" s="150">
        <v>0</v>
      </c>
      <c r="E869" s="151">
        <f ca="1">OFFSET(INDEX(Composições!A:H,MATCH(Orçamentária!A869,Composições!A:A,0),8),2,0)</f>
        <v>11.464600000000001</v>
      </c>
      <c r="F869" s="152">
        <f t="shared" ca="1" si="41"/>
        <v>0</v>
      </c>
      <c r="G869" s="153">
        <f>IF($K869="Padrão",BDI!$B$17,IF($K869="Diferenciado",BDI!$E$17,0))</f>
        <v>0.2039</v>
      </c>
      <c r="H869" s="151">
        <f t="shared" ca="1" si="39"/>
        <v>13.8</v>
      </c>
      <c r="I869" s="152">
        <f t="shared" ca="1" si="40"/>
        <v>0</v>
      </c>
      <c r="J869" s="154"/>
      <c r="K869" s="155" t="s">
        <v>2966</v>
      </c>
    </row>
    <row r="870" spans="1:11" hidden="1" x14ac:dyDescent="0.25">
      <c r="A870" s="148" t="s">
        <v>728</v>
      </c>
      <c r="B870" s="149" t="s">
        <v>4252</v>
      </c>
      <c r="C870" s="150" t="s">
        <v>18</v>
      </c>
      <c r="D870" s="150">
        <v>0</v>
      </c>
      <c r="E870" s="151">
        <f ca="1">OFFSET(INDEX(Composições!A:H,MATCH(Orçamentária!A870,Composições!A:A,0),8),2,0)</f>
        <v>8.5984499999999997</v>
      </c>
      <c r="F870" s="152">
        <f t="shared" ca="1" si="41"/>
        <v>0</v>
      </c>
      <c r="G870" s="153">
        <f>IF($K870="Padrão",BDI!$B$17,IF($K870="Diferenciado",BDI!$E$17,0))</f>
        <v>0.2039</v>
      </c>
      <c r="H870" s="151">
        <f t="shared" ca="1" si="39"/>
        <v>10.35</v>
      </c>
      <c r="I870" s="152">
        <f t="shared" ca="1" si="40"/>
        <v>0</v>
      </c>
      <c r="J870" s="154"/>
      <c r="K870" s="155" t="s">
        <v>2966</v>
      </c>
    </row>
    <row r="871" spans="1:11" hidden="1" x14ac:dyDescent="0.25">
      <c r="A871" s="148" t="s">
        <v>730</v>
      </c>
      <c r="B871" s="149" t="s">
        <v>4253</v>
      </c>
      <c r="C871" s="150" t="s">
        <v>106</v>
      </c>
      <c r="D871" s="150">
        <v>0</v>
      </c>
      <c r="E871" s="151">
        <f ca="1">OFFSET(INDEX(Composições!A:H,MATCH(Orçamentária!A871,Composições!A:A,0),8),2,0)</f>
        <v>13.522679999999999</v>
      </c>
      <c r="F871" s="152">
        <f t="shared" ca="1" si="41"/>
        <v>0</v>
      </c>
      <c r="G871" s="153">
        <f>IF($K871="Padrão",BDI!$B$17,IF($K871="Diferenciado",BDI!$E$17,0))</f>
        <v>0.2039</v>
      </c>
      <c r="H871" s="151">
        <f t="shared" ca="1" si="39"/>
        <v>16.28</v>
      </c>
      <c r="I871" s="152">
        <f t="shared" ca="1" si="40"/>
        <v>0</v>
      </c>
      <c r="J871" s="154"/>
      <c r="K871" s="155" t="s">
        <v>2966</v>
      </c>
    </row>
    <row r="872" spans="1:11" hidden="1" x14ac:dyDescent="0.25">
      <c r="A872" s="148" t="s">
        <v>733</v>
      </c>
      <c r="B872" s="149" t="s">
        <v>4254</v>
      </c>
      <c r="C872" s="150" t="s">
        <v>106</v>
      </c>
      <c r="D872" s="150">
        <v>0</v>
      </c>
      <c r="E872" s="151">
        <f ca="1">OFFSET(INDEX(Composições!A:H,MATCH(Orçamentária!A872,Composições!A:A,0),8),2,0)</f>
        <v>40.292996000000002</v>
      </c>
      <c r="F872" s="152">
        <f t="shared" ca="1" si="41"/>
        <v>0</v>
      </c>
      <c r="G872" s="153">
        <f>IF($K872="Padrão",BDI!$B$17,IF($K872="Diferenciado",BDI!$E$17,0))</f>
        <v>0.2039</v>
      </c>
      <c r="H872" s="151">
        <f t="shared" ca="1" si="39"/>
        <v>48.51</v>
      </c>
      <c r="I872" s="152">
        <f t="shared" ca="1" si="40"/>
        <v>0</v>
      </c>
      <c r="J872" s="154"/>
      <c r="K872" s="155" t="s">
        <v>2966</v>
      </c>
    </row>
    <row r="873" spans="1:11" hidden="1" x14ac:dyDescent="0.25">
      <c r="A873" s="148" t="s">
        <v>736</v>
      </c>
      <c r="B873" s="149" t="s">
        <v>4255</v>
      </c>
      <c r="C873" s="150" t="s">
        <v>106</v>
      </c>
      <c r="D873" s="150">
        <v>0</v>
      </c>
      <c r="E873" s="151">
        <f ca="1">OFFSET(INDEX(Composições!A:H,MATCH(Orçamentária!A873,Composições!A:A,0),8),2,0)</f>
        <v>17.253861999999998</v>
      </c>
      <c r="F873" s="152">
        <f t="shared" ca="1" si="41"/>
        <v>0</v>
      </c>
      <c r="G873" s="153">
        <f>IF($K873="Padrão",BDI!$B$17,IF($K873="Diferenciado",BDI!$E$17,0))</f>
        <v>0.2039</v>
      </c>
      <c r="H873" s="151">
        <f t="shared" ca="1" si="39"/>
        <v>20.77</v>
      </c>
      <c r="I873" s="152">
        <f t="shared" ca="1" si="40"/>
        <v>0</v>
      </c>
      <c r="J873" s="154"/>
      <c r="K873" s="155" t="s">
        <v>2966</v>
      </c>
    </row>
    <row r="874" spans="1:11" hidden="1" x14ac:dyDescent="0.25">
      <c r="A874" s="148" t="s">
        <v>738</v>
      </c>
      <c r="B874" s="149" t="s">
        <v>4256</v>
      </c>
      <c r="C874" s="150" t="s">
        <v>106</v>
      </c>
      <c r="D874" s="150">
        <v>0</v>
      </c>
      <c r="E874" s="151">
        <f ca="1">OFFSET(INDEX(Composições!A:H,MATCH(Orçamentária!A874,Composições!A:A,0),8),2,0)</f>
        <v>27.090351999999999</v>
      </c>
      <c r="F874" s="152">
        <f t="shared" ca="1" si="41"/>
        <v>0</v>
      </c>
      <c r="G874" s="153">
        <f>IF($K874="Padrão",BDI!$B$17,IF($K874="Diferenciado",BDI!$E$17,0))</f>
        <v>0.2039</v>
      </c>
      <c r="H874" s="151">
        <f t="shared" ca="1" si="39"/>
        <v>32.61</v>
      </c>
      <c r="I874" s="152">
        <f t="shared" ca="1" si="40"/>
        <v>0</v>
      </c>
      <c r="J874" s="154"/>
      <c r="K874" s="155" t="s">
        <v>2966</v>
      </c>
    </row>
    <row r="875" spans="1:11" hidden="1" x14ac:dyDescent="0.25">
      <c r="A875" s="148" t="s">
        <v>739</v>
      </c>
      <c r="B875" s="149" t="s">
        <v>4257</v>
      </c>
      <c r="C875" s="150" t="s">
        <v>106</v>
      </c>
      <c r="D875" s="150">
        <v>0</v>
      </c>
      <c r="E875" s="151">
        <f ca="1">OFFSET(INDEX(Composições!A:H,MATCH(Orçamentária!A875,Composições!A:A,0),8),2,0)</f>
        <v>8.8094450000000002</v>
      </c>
      <c r="F875" s="152">
        <f t="shared" ca="1" si="41"/>
        <v>0</v>
      </c>
      <c r="G875" s="153">
        <f>IF($K875="Padrão",BDI!$B$17,IF($K875="Diferenciado",BDI!$E$17,0))</f>
        <v>0.2039</v>
      </c>
      <c r="H875" s="151">
        <f t="shared" ca="1" si="39"/>
        <v>10.61</v>
      </c>
      <c r="I875" s="152">
        <f t="shared" ca="1" si="40"/>
        <v>0</v>
      </c>
      <c r="J875" s="154"/>
      <c r="K875" s="155" t="s">
        <v>2966</v>
      </c>
    </row>
    <row r="876" spans="1:11" hidden="1" x14ac:dyDescent="0.25">
      <c r="A876" s="148" t="s">
        <v>741</v>
      </c>
      <c r="B876" s="149" t="s">
        <v>4258</v>
      </c>
      <c r="C876" s="150" t="s">
        <v>18</v>
      </c>
      <c r="D876" s="150">
        <v>0</v>
      </c>
      <c r="E876" s="151">
        <f ca="1">OFFSET(INDEX(Composições!A:H,MATCH(Orçamentária!A876,Composições!A:A,0),8),2,0)</f>
        <v>8.5984499999999997</v>
      </c>
      <c r="F876" s="152">
        <f t="shared" ca="1" si="41"/>
        <v>0</v>
      </c>
      <c r="G876" s="153">
        <f>IF($K876="Padrão",BDI!$B$17,IF($K876="Diferenciado",BDI!$E$17,0))</f>
        <v>0.2039</v>
      </c>
      <c r="H876" s="151">
        <f t="shared" ca="1" si="39"/>
        <v>10.35</v>
      </c>
      <c r="I876" s="152">
        <f t="shared" ca="1" si="40"/>
        <v>0</v>
      </c>
      <c r="J876" s="154"/>
      <c r="K876" s="155" t="s">
        <v>2966</v>
      </c>
    </row>
    <row r="877" spans="1:11" hidden="1" x14ac:dyDescent="0.25">
      <c r="A877" s="148" t="s">
        <v>743</v>
      </c>
      <c r="B877" s="149" t="s">
        <v>4259</v>
      </c>
      <c r="C877" s="150" t="s">
        <v>106</v>
      </c>
      <c r="D877" s="150">
        <v>0</v>
      </c>
      <c r="E877" s="151">
        <f ca="1">OFFSET(INDEX(Composições!A:H,MATCH(Orçamentária!A877,Composições!A:A,0),8),2,0)</f>
        <v>8.5984499999999997</v>
      </c>
      <c r="F877" s="152">
        <f t="shared" ca="1" si="41"/>
        <v>0</v>
      </c>
      <c r="G877" s="153">
        <f>IF($K877="Padrão",BDI!$B$17,IF($K877="Diferenciado",BDI!$E$17,0))</f>
        <v>0.2039</v>
      </c>
      <c r="H877" s="151">
        <f t="shared" ca="1" si="39"/>
        <v>10.35</v>
      </c>
      <c r="I877" s="152">
        <f t="shared" ca="1" si="40"/>
        <v>0</v>
      </c>
      <c r="J877" s="154"/>
      <c r="K877" s="155" t="s">
        <v>2966</v>
      </c>
    </row>
    <row r="878" spans="1:11" hidden="1" x14ac:dyDescent="0.25">
      <c r="A878" s="148" t="s">
        <v>745</v>
      </c>
      <c r="B878" s="149" t="s">
        <v>4260</v>
      </c>
      <c r="C878" s="150" t="s">
        <v>18</v>
      </c>
      <c r="D878" s="150">
        <v>0</v>
      </c>
      <c r="E878" s="151">
        <f ca="1">OFFSET(INDEX(Composições!A:H,MATCH(Orçamentária!A878,Composições!A:A,0),8),2,0)</f>
        <v>4.2992249999999999</v>
      </c>
      <c r="F878" s="152">
        <f t="shared" ca="1" si="41"/>
        <v>0</v>
      </c>
      <c r="G878" s="153">
        <f>IF($K878="Padrão",BDI!$B$17,IF($K878="Diferenciado",BDI!$E$17,0))</f>
        <v>0.2039</v>
      </c>
      <c r="H878" s="151">
        <f t="shared" ca="1" si="39"/>
        <v>5.18</v>
      </c>
      <c r="I878" s="152">
        <f t="shared" ca="1" si="40"/>
        <v>0</v>
      </c>
      <c r="J878" s="154"/>
      <c r="K878" s="155" t="s">
        <v>2966</v>
      </c>
    </row>
    <row r="879" spans="1:11" hidden="1" x14ac:dyDescent="0.25">
      <c r="A879" s="148" t="s">
        <v>747</v>
      </c>
      <c r="B879" s="149" t="s">
        <v>4261</v>
      </c>
      <c r="C879" s="150" t="s">
        <v>18</v>
      </c>
      <c r="D879" s="150">
        <v>0</v>
      </c>
      <c r="E879" s="151">
        <f ca="1">OFFSET(INDEX(Composições!A:H,MATCH(Orçamentária!A879,Composições!A:A,0),8),2,0)</f>
        <v>4.2992249999999999</v>
      </c>
      <c r="F879" s="152">
        <f t="shared" ca="1" si="41"/>
        <v>0</v>
      </c>
      <c r="G879" s="153">
        <f>IF($K879="Padrão",BDI!$B$17,IF($K879="Diferenciado",BDI!$E$17,0))</f>
        <v>0.2039</v>
      </c>
      <c r="H879" s="151">
        <f t="shared" ca="1" si="39"/>
        <v>5.18</v>
      </c>
      <c r="I879" s="152">
        <f t="shared" ca="1" si="40"/>
        <v>0</v>
      </c>
      <c r="J879" s="154"/>
      <c r="K879" s="155" t="s">
        <v>2966</v>
      </c>
    </row>
    <row r="880" spans="1:11" hidden="1" x14ac:dyDescent="0.25">
      <c r="A880" s="148" t="s">
        <v>749</v>
      </c>
      <c r="B880" s="149" t="s">
        <v>4262</v>
      </c>
      <c r="C880" s="150" t="s">
        <v>18</v>
      </c>
      <c r="D880" s="150">
        <v>0</v>
      </c>
      <c r="E880" s="151">
        <f ca="1">OFFSET(INDEX(Composições!A:H,MATCH(Orçamentária!A880,Composições!A:A,0),8),2,0)</f>
        <v>2.8661500000000002</v>
      </c>
      <c r="F880" s="152">
        <f t="shared" ca="1" si="41"/>
        <v>0</v>
      </c>
      <c r="G880" s="153">
        <f>IF($K880="Padrão",BDI!$B$17,IF($K880="Diferenciado",BDI!$E$17,0))</f>
        <v>0.2039</v>
      </c>
      <c r="H880" s="151">
        <f t="shared" ca="1" si="39"/>
        <v>3.45</v>
      </c>
      <c r="I880" s="152">
        <f t="shared" ca="1" si="40"/>
        <v>0</v>
      </c>
      <c r="J880" s="154"/>
      <c r="K880" s="155" t="s">
        <v>2966</v>
      </c>
    </row>
    <row r="881" spans="1:11" hidden="1" x14ac:dyDescent="0.25">
      <c r="A881" s="148" t="s">
        <v>751</v>
      </c>
      <c r="B881" s="149" t="s">
        <v>4263</v>
      </c>
      <c r="C881" s="150" t="s">
        <v>18</v>
      </c>
      <c r="D881" s="150">
        <v>0</v>
      </c>
      <c r="E881" s="151">
        <f ca="1">OFFSET(INDEX(Composições!A:H,MATCH(Orçamentária!A881,Composições!A:A,0),8),2,0)</f>
        <v>11.464600000000001</v>
      </c>
      <c r="F881" s="152">
        <f t="shared" ca="1" si="41"/>
        <v>0</v>
      </c>
      <c r="G881" s="153">
        <f>IF($K881="Padrão",BDI!$B$17,IF($K881="Diferenciado",BDI!$E$17,0))</f>
        <v>0.2039</v>
      </c>
      <c r="H881" s="151">
        <f t="shared" ca="1" si="39"/>
        <v>13.8</v>
      </c>
      <c r="I881" s="152">
        <f t="shared" ca="1" si="40"/>
        <v>0</v>
      </c>
      <c r="J881" s="154"/>
      <c r="K881" s="155" t="s">
        <v>2966</v>
      </c>
    </row>
    <row r="882" spans="1:11" hidden="1" x14ac:dyDescent="0.25">
      <c r="A882" s="148" t="s">
        <v>753</v>
      </c>
      <c r="B882" s="149" t="s">
        <v>4264</v>
      </c>
      <c r="C882" s="150" t="s">
        <v>18</v>
      </c>
      <c r="D882" s="150">
        <v>0</v>
      </c>
      <c r="E882" s="151">
        <f ca="1">OFFSET(INDEX(Composições!A:H,MATCH(Orçamentária!A882,Composições!A:A,0),8),2,0)</f>
        <v>11.464600000000001</v>
      </c>
      <c r="F882" s="152">
        <f t="shared" ca="1" si="41"/>
        <v>0</v>
      </c>
      <c r="G882" s="153">
        <f>IF($K882="Padrão",BDI!$B$17,IF($K882="Diferenciado",BDI!$E$17,0))</f>
        <v>0.2039</v>
      </c>
      <c r="H882" s="151">
        <f t="shared" ca="1" si="39"/>
        <v>13.8</v>
      </c>
      <c r="I882" s="152">
        <f t="shared" ca="1" si="40"/>
        <v>0</v>
      </c>
      <c r="J882" s="154"/>
      <c r="K882" s="155" t="s">
        <v>2966</v>
      </c>
    </row>
    <row r="883" spans="1:11" hidden="1" x14ac:dyDescent="0.25">
      <c r="A883" s="148" t="s">
        <v>755</v>
      </c>
      <c r="B883" s="149" t="s">
        <v>4265</v>
      </c>
      <c r="C883" s="150" t="s">
        <v>18</v>
      </c>
      <c r="D883" s="150">
        <v>0</v>
      </c>
      <c r="E883" s="151">
        <f ca="1">OFFSET(INDEX(Composições!A:H,MATCH(Orçamentária!A883,Composições!A:A,0),8),2,0)</f>
        <v>8.5984499999999997</v>
      </c>
      <c r="F883" s="152">
        <f t="shared" ca="1" si="41"/>
        <v>0</v>
      </c>
      <c r="G883" s="153">
        <f>IF($K883="Padrão",BDI!$B$17,IF($K883="Diferenciado",BDI!$E$17,0))</f>
        <v>0.2039</v>
      </c>
      <c r="H883" s="151">
        <f t="shared" ca="1" si="39"/>
        <v>10.35</v>
      </c>
      <c r="I883" s="152">
        <f t="shared" ca="1" si="40"/>
        <v>0</v>
      </c>
      <c r="J883" s="154"/>
      <c r="K883" s="155" t="s">
        <v>2966</v>
      </c>
    </row>
    <row r="884" spans="1:11" hidden="1" x14ac:dyDescent="0.25">
      <c r="A884" s="148" t="s">
        <v>757</v>
      </c>
      <c r="B884" s="149" t="s">
        <v>4266</v>
      </c>
      <c r="C884" s="150" t="s">
        <v>18</v>
      </c>
      <c r="D884" s="150">
        <v>0</v>
      </c>
      <c r="E884" s="151">
        <f ca="1">OFFSET(INDEX(Composições!A:H,MATCH(Orçamentária!A884,Composições!A:A,0),8),2,0)</f>
        <v>5.7323000000000004</v>
      </c>
      <c r="F884" s="152">
        <f t="shared" ca="1" si="41"/>
        <v>0</v>
      </c>
      <c r="G884" s="153">
        <f>IF($K884="Padrão",BDI!$B$17,IF($K884="Diferenciado",BDI!$E$17,0))</f>
        <v>0.2039</v>
      </c>
      <c r="H884" s="151">
        <f t="shared" ca="1" si="39"/>
        <v>6.9</v>
      </c>
      <c r="I884" s="152">
        <f t="shared" ca="1" si="40"/>
        <v>0</v>
      </c>
      <c r="J884" s="154"/>
      <c r="K884" s="155" t="s">
        <v>2966</v>
      </c>
    </row>
    <row r="885" spans="1:11" hidden="1" x14ac:dyDescent="0.25">
      <c r="A885" s="148" t="s">
        <v>759</v>
      </c>
      <c r="B885" s="149" t="s">
        <v>4267</v>
      </c>
      <c r="C885" s="150" t="s">
        <v>18</v>
      </c>
      <c r="D885" s="150">
        <v>0</v>
      </c>
      <c r="E885" s="151">
        <f ca="1">OFFSET(INDEX(Composições!A:H,MATCH(Orçamentária!A885,Composições!A:A,0),8),2,0)</f>
        <v>5.7323000000000004</v>
      </c>
      <c r="F885" s="152">
        <f t="shared" ca="1" si="41"/>
        <v>0</v>
      </c>
      <c r="G885" s="153">
        <f>IF($K885="Padrão",BDI!$B$17,IF($K885="Diferenciado",BDI!$E$17,0))</f>
        <v>0.2039</v>
      </c>
      <c r="H885" s="151">
        <f t="shared" ca="1" si="39"/>
        <v>6.9</v>
      </c>
      <c r="I885" s="152">
        <f t="shared" ca="1" si="40"/>
        <v>0</v>
      </c>
      <c r="J885" s="154"/>
      <c r="K885" s="155" t="s">
        <v>2966</v>
      </c>
    </row>
    <row r="886" spans="1:11" hidden="1" x14ac:dyDescent="0.25">
      <c r="A886" s="148" t="s">
        <v>761</v>
      </c>
      <c r="B886" s="149" t="s">
        <v>4268</v>
      </c>
      <c r="C886" s="150" t="s">
        <v>68</v>
      </c>
      <c r="D886" s="150">
        <v>0</v>
      </c>
      <c r="E886" s="151">
        <f ca="1">OFFSET(INDEX(Composições!A:H,MATCH(Orçamentária!A886,Composições!A:A,0),8),2,0)</f>
        <v>899.26612399999988</v>
      </c>
      <c r="F886" s="152">
        <f t="shared" ca="1" si="41"/>
        <v>0</v>
      </c>
      <c r="G886" s="153">
        <f>IF($K886="Padrão",BDI!$B$17,IF($K886="Diferenciado",BDI!$E$17,0))</f>
        <v>0.2039</v>
      </c>
      <c r="H886" s="151">
        <f t="shared" ca="1" si="39"/>
        <v>1082.6300000000001</v>
      </c>
      <c r="I886" s="152">
        <f t="shared" ca="1" si="40"/>
        <v>0</v>
      </c>
      <c r="J886" s="154"/>
      <c r="K886" s="155" t="s">
        <v>2966</v>
      </c>
    </row>
    <row r="887" spans="1:11" hidden="1" x14ac:dyDescent="0.25">
      <c r="A887" s="148" t="s">
        <v>4269</v>
      </c>
      <c r="B887" s="149" t="s">
        <v>4270</v>
      </c>
      <c r="C887" s="150" t="s">
        <v>18</v>
      </c>
      <c r="D887" s="150">
        <v>0</v>
      </c>
      <c r="E887" s="151" t="s">
        <v>13</v>
      </c>
      <c r="F887" s="152" t="str">
        <f t="shared" si="41"/>
        <v/>
      </c>
      <c r="G887" s="153">
        <f>IF($K887="Padrão",BDI!$B$17,IF($K887="Diferenciado",BDI!$E$17,0))</f>
        <v>0.2039</v>
      </c>
      <c r="H887" s="151" t="str">
        <f t="shared" si="39"/>
        <v/>
      </c>
      <c r="I887" s="152" t="str">
        <f t="shared" si="40"/>
        <v/>
      </c>
      <c r="J887" s="154"/>
      <c r="K887" s="155" t="s">
        <v>2966</v>
      </c>
    </row>
    <row r="888" spans="1:11" hidden="1" x14ac:dyDescent="0.25">
      <c r="A888" s="148" t="s">
        <v>762</v>
      </c>
      <c r="B888" s="149" t="s">
        <v>4271</v>
      </c>
      <c r="C888" s="150" t="s">
        <v>18</v>
      </c>
      <c r="D888" s="150">
        <v>0</v>
      </c>
      <c r="E888" s="151">
        <f ca="1">OFFSET(INDEX(Composições!A:H,MATCH(Orçamentária!A888,Composições!A:A,0),8),2,0)</f>
        <v>5.7323000000000004</v>
      </c>
      <c r="F888" s="152">
        <f t="shared" ca="1" si="41"/>
        <v>0</v>
      </c>
      <c r="G888" s="153">
        <f>IF($K888="Padrão",BDI!$B$17,IF($K888="Diferenciado",BDI!$E$17,0))</f>
        <v>0.2039</v>
      </c>
      <c r="H888" s="151">
        <f t="shared" ca="1" si="39"/>
        <v>6.9</v>
      </c>
      <c r="I888" s="152">
        <f t="shared" ca="1" si="40"/>
        <v>0</v>
      </c>
      <c r="J888" s="154"/>
      <c r="K888" s="155" t="s">
        <v>2966</v>
      </c>
    </row>
    <row r="889" spans="1:11" hidden="1" x14ac:dyDescent="0.25">
      <c r="A889" s="148" t="s">
        <v>764</v>
      </c>
      <c r="B889" s="149" t="s">
        <v>4272</v>
      </c>
      <c r="C889" s="150" t="s">
        <v>18</v>
      </c>
      <c r="D889" s="150">
        <v>0</v>
      </c>
      <c r="E889" s="151">
        <f ca="1">OFFSET(INDEX(Composições!A:H,MATCH(Orçamentária!A889,Composições!A:A,0),8),2,0)</f>
        <v>5.7323000000000004</v>
      </c>
      <c r="F889" s="152">
        <f t="shared" ca="1" si="41"/>
        <v>0</v>
      </c>
      <c r="G889" s="153">
        <f>IF($K889="Padrão",BDI!$B$17,IF($K889="Diferenciado",BDI!$E$17,0))</f>
        <v>0.2039</v>
      </c>
      <c r="H889" s="151">
        <f t="shared" ca="1" si="39"/>
        <v>6.9</v>
      </c>
      <c r="I889" s="152">
        <f t="shared" ca="1" si="40"/>
        <v>0</v>
      </c>
      <c r="J889" s="154"/>
      <c r="K889" s="155" t="s">
        <v>2966</v>
      </c>
    </row>
    <row r="890" spans="1:11" hidden="1" x14ac:dyDescent="0.25">
      <c r="A890" s="148" t="s">
        <v>766</v>
      </c>
      <c r="B890" s="149" t="s">
        <v>4273</v>
      </c>
      <c r="C890" s="150" t="s">
        <v>18</v>
      </c>
      <c r="D890" s="150">
        <v>0</v>
      </c>
      <c r="E890" s="151">
        <f ca="1">OFFSET(INDEX(Composições!A:H,MATCH(Orçamentária!A890,Composições!A:A,0),8),2,0)</f>
        <v>5.7323000000000004</v>
      </c>
      <c r="F890" s="152">
        <f t="shared" ca="1" si="41"/>
        <v>0</v>
      </c>
      <c r="G890" s="153">
        <f>IF($K890="Padrão",BDI!$B$17,IF($K890="Diferenciado",BDI!$E$17,0))</f>
        <v>0.2039</v>
      </c>
      <c r="H890" s="151">
        <f t="shared" ca="1" si="39"/>
        <v>6.9</v>
      </c>
      <c r="I890" s="152">
        <f t="shared" ca="1" si="40"/>
        <v>0</v>
      </c>
      <c r="J890" s="154"/>
      <c r="K890" s="155" t="s">
        <v>2966</v>
      </c>
    </row>
    <row r="891" spans="1:11" hidden="1" x14ac:dyDescent="0.25">
      <c r="A891" s="148" t="s">
        <v>768</v>
      </c>
      <c r="B891" s="149" t="s">
        <v>4274</v>
      </c>
      <c r="C891" s="150" t="s">
        <v>18</v>
      </c>
      <c r="D891" s="150">
        <v>0</v>
      </c>
      <c r="E891" s="151">
        <f ca="1">OFFSET(INDEX(Composições!A:H,MATCH(Orçamentária!A891,Composições!A:A,0),8),2,0)</f>
        <v>42.992249999999999</v>
      </c>
      <c r="F891" s="152">
        <f t="shared" ca="1" si="41"/>
        <v>0</v>
      </c>
      <c r="G891" s="153">
        <f>IF($K891="Padrão",BDI!$B$17,IF($K891="Diferenciado",BDI!$E$17,0))</f>
        <v>0.2039</v>
      </c>
      <c r="H891" s="151">
        <f t="shared" ca="1" si="39"/>
        <v>51.76</v>
      </c>
      <c r="I891" s="152">
        <f t="shared" ca="1" si="40"/>
        <v>0</v>
      </c>
      <c r="J891" s="154"/>
      <c r="K891" s="155" t="s">
        <v>2966</v>
      </c>
    </row>
    <row r="892" spans="1:11" hidden="1" x14ac:dyDescent="0.25">
      <c r="A892" s="148" t="s">
        <v>770</v>
      </c>
      <c r="B892" s="149" t="s">
        <v>4275</v>
      </c>
      <c r="C892" s="150" t="s">
        <v>18</v>
      </c>
      <c r="D892" s="150">
        <v>0</v>
      </c>
      <c r="E892" s="151">
        <f ca="1">OFFSET(INDEX(Composições!A:H,MATCH(Orçamentária!A892,Composições!A:A,0),8),2,0)</f>
        <v>42.992249999999999</v>
      </c>
      <c r="F892" s="152">
        <f t="shared" ca="1" si="41"/>
        <v>0</v>
      </c>
      <c r="G892" s="153">
        <f>IF($K892="Padrão",BDI!$B$17,IF($K892="Diferenciado",BDI!$E$17,0))</f>
        <v>0.2039</v>
      </c>
      <c r="H892" s="151">
        <f t="shared" ca="1" si="39"/>
        <v>51.76</v>
      </c>
      <c r="I892" s="152">
        <f t="shared" ca="1" si="40"/>
        <v>0</v>
      </c>
      <c r="J892" s="154"/>
      <c r="K892" s="155" t="s">
        <v>2966</v>
      </c>
    </row>
    <row r="893" spans="1:11" hidden="1" x14ac:dyDescent="0.25">
      <c r="A893" s="148" t="s">
        <v>772</v>
      </c>
      <c r="B893" s="149" t="s">
        <v>4276</v>
      </c>
      <c r="C893" s="150" t="s">
        <v>18</v>
      </c>
      <c r="D893" s="150">
        <v>0</v>
      </c>
      <c r="E893" s="151">
        <f ca="1">OFFSET(INDEX(Composições!A:H,MATCH(Orçamentária!A893,Composições!A:A,0),8),2,0)</f>
        <v>28.6615</v>
      </c>
      <c r="F893" s="152">
        <f t="shared" ca="1" si="41"/>
        <v>0</v>
      </c>
      <c r="G893" s="153">
        <f>IF($K893="Padrão",BDI!$B$17,IF($K893="Diferenciado",BDI!$E$17,0))</f>
        <v>0.2039</v>
      </c>
      <c r="H893" s="151">
        <f t="shared" ca="1" si="39"/>
        <v>34.51</v>
      </c>
      <c r="I893" s="152">
        <f t="shared" ca="1" si="40"/>
        <v>0</v>
      </c>
      <c r="J893" s="154"/>
      <c r="K893" s="155" t="s">
        <v>2966</v>
      </c>
    </row>
    <row r="894" spans="1:11" hidden="1" x14ac:dyDescent="0.25">
      <c r="A894" s="148" t="s">
        <v>774</v>
      </c>
      <c r="B894" s="149" t="s">
        <v>4277</v>
      </c>
      <c r="C894" s="150" t="s">
        <v>18</v>
      </c>
      <c r="D894" s="150">
        <v>0</v>
      </c>
      <c r="E894" s="151">
        <f ca="1">OFFSET(INDEX(Composições!A:H,MATCH(Orçamentária!A894,Composições!A:A,0),8),2,0)</f>
        <v>2.8661500000000002</v>
      </c>
      <c r="F894" s="152">
        <f t="shared" ca="1" si="41"/>
        <v>0</v>
      </c>
      <c r="G894" s="153">
        <f>IF($K894="Padrão",BDI!$B$17,IF($K894="Diferenciado",BDI!$E$17,0))</f>
        <v>0.2039</v>
      </c>
      <c r="H894" s="151">
        <f t="shared" ca="1" si="39"/>
        <v>3.45</v>
      </c>
      <c r="I894" s="152">
        <f t="shared" ca="1" si="40"/>
        <v>0</v>
      </c>
      <c r="J894" s="154"/>
      <c r="K894" s="155" t="s">
        <v>2966</v>
      </c>
    </row>
    <row r="895" spans="1:11" hidden="1" x14ac:dyDescent="0.25">
      <c r="A895" s="148" t="s">
        <v>776</v>
      </c>
      <c r="B895" s="149" t="s">
        <v>4278</v>
      </c>
      <c r="C895" s="150" t="s">
        <v>18</v>
      </c>
      <c r="D895" s="150">
        <v>0</v>
      </c>
      <c r="E895" s="151">
        <f ca="1">OFFSET(INDEX(Composições!A:H,MATCH(Orçamentária!A895,Composições!A:A,0),8),2,0)</f>
        <v>5.7323000000000004</v>
      </c>
      <c r="F895" s="152">
        <f t="shared" ca="1" si="41"/>
        <v>0</v>
      </c>
      <c r="G895" s="153">
        <f>IF($K895="Padrão",BDI!$B$17,IF($K895="Diferenciado",BDI!$E$17,0))</f>
        <v>0.2039</v>
      </c>
      <c r="H895" s="151">
        <f t="shared" ca="1" si="39"/>
        <v>6.9</v>
      </c>
      <c r="I895" s="152">
        <f t="shared" ca="1" si="40"/>
        <v>0</v>
      </c>
      <c r="J895" s="154"/>
      <c r="K895" s="155" t="s">
        <v>2966</v>
      </c>
    </row>
    <row r="896" spans="1:11" hidden="1" x14ac:dyDescent="0.25">
      <c r="A896" s="148" t="s">
        <v>778</v>
      </c>
      <c r="B896" s="149" t="s">
        <v>4279</v>
      </c>
      <c r="C896" s="150" t="s">
        <v>18</v>
      </c>
      <c r="D896" s="150">
        <v>0</v>
      </c>
      <c r="E896" s="151">
        <f ca="1">OFFSET(INDEX(Composições!A:H,MATCH(Orçamentária!A896,Composições!A:A,0),8),2,0)</f>
        <v>5.7323000000000004</v>
      </c>
      <c r="F896" s="152">
        <f t="shared" ca="1" si="41"/>
        <v>0</v>
      </c>
      <c r="G896" s="153">
        <f>IF($K896="Padrão",BDI!$B$17,IF($K896="Diferenciado",BDI!$E$17,0))</f>
        <v>0.2039</v>
      </c>
      <c r="H896" s="151">
        <f t="shared" ca="1" si="39"/>
        <v>6.9</v>
      </c>
      <c r="I896" s="152">
        <f t="shared" ca="1" si="40"/>
        <v>0</v>
      </c>
      <c r="J896" s="154"/>
      <c r="K896" s="155" t="s">
        <v>2966</v>
      </c>
    </row>
    <row r="897" spans="1:11" hidden="1" x14ac:dyDescent="0.25">
      <c r="A897" s="148" t="s">
        <v>780</v>
      </c>
      <c r="B897" s="149" t="s">
        <v>4280</v>
      </c>
      <c r="C897" s="150" t="s">
        <v>106</v>
      </c>
      <c r="D897" s="150">
        <v>0</v>
      </c>
      <c r="E897" s="151">
        <f ca="1">OFFSET(INDEX(Composições!A:H,MATCH(Orçamentária!A897,Composições!A:A,0),8),2,0)</f>
        <v>42.140080999999995</v>
      </c>
      <c r="F897" s="152">
        <f t="shared" ca="1" si="41"/>
        <v>0</v>
      </c>
      <c r="G897" s="153">
        <f>IF($K897="Padrão",BDI!$B$17,IF($K897="Diferenciado",BDI!$E$17,0))</f>
        <v>0.2039</v>
      </c>
      <c r="H897" s="151">
        <f t="shared" ca="1" si="39"/>
        <v>50.73</v>
      </c>
      <c r="I897" s="152">
        <f t="shared" ca="1" si="40"/>
        <v>0</v>
      </c>
      <c r="J897" s="154"/>
      <c r="K897" s="155" t="s">
        <v>2966</v>
      </c>
    </row>
    <row r="898" spans="1:11" hidden="1" x14ac:dyDescent="0.25">
      <c r="A898" s="148" t="s">
        <v>782</v>
      </c>
      <c r="B898" s="149" t="s">
        <v>4281</v>
      </c>
      <c r="C898" s="150" t="s">
        <v>106</v>
      </c>
      <c r="D898" s="150">
        <v>0</v>
      </c>
      <c r="E898" s="151">
        <f ca="1">OFFSET(INDEX(Composições!A:H,MATCH(Orçamentária!A898,Composições!A:A,0),8),2,0)</f>
        <v>5.7323000000000004</v>
      </c>
      <c r="F898" s="152">
        <f t="shared" ca="1" si="41"/>
        <v>0</v>
      </c>
      <c r="G898" s="153">
        <f>IF($K898="Padrão",BDI!$B$17,IF($K898="Diferenciado",BDI!$E$17,0))</f>
        <v>0.2039</v>
      </c>
      <c r="H898" s="151">
        <f t="shared" ca="1" si="39"/>
        <v>6.9</v>
      </c>
      <c r="I898" s="152">
        <f t="shared" ca="1" si="40"/>
        <v>0</v>
      </c>
      <c r="J898" s="154"/>
      <c r="K898" s="155" t="s">
        <v>2966</v>
      </c>
    </row>
    <row r="899" spans="1:11" hidden="1" x14ac:dyDescent="0.25">
      <c r="A899" s="148" t="s">
        <v>784</v>
      </c>
      <c r="B899" s="149" t="s">
        <v>4282</v>
      </c>
      <c r="C899" s="150" t="s">
        <v>106</v>
      </c>
      <c r="D899" s="150">
        <v>0</v>
      </c>
      <c r="E899" s="151">
        <f ca="1">OFFSET(INDEX(Composições!A:H,MATCH(Orçamentária!A899,Composições!A:A,0),8),2,0)</f>
        <v>13.477687999999999</v>
      </c>
      <c r="F899" s="152">
        <f t="shared" ca="1" si="41"/>
        <v>0</v>
      </c>
      <c r="G899" s="153">
        <f>IF($K899="Padrão",BDI!$B$17,IF($K899="Diferenciado",BDI!$E$17,0))</f>
        <v>0.2039</v>
      </c>
      <c r="H899" s="151">
        <f t="shared" ca="1" si="39"/>
        <v>16.23</v>
      </c>
      <c r="I899" s="152">
        <f t="shared" ca="1" si="40"/>
        <v>0</v>
      </c>
      <c r="J899" s="154"/>
      <c r="K899" s="155" t="s">
        <v>2966</v>
      </c>
    </row>
    <row r="900" spans="1:11" hidden="1" x14ac:dyDescent="0.25">
      <c r="A900" s="148" t="s">
        <v>787</v>
      </c>
      <c r="B900" s="149" t="s">
        <v>4283</v>
      </c>
      <c r="C900" s="150" t="s">
        <v>18</v>
      </c>
      <c r="D900" s="150">
        <v>0</v>
      </c>
      <c r="E900" s="151">
        <f ca="1">OFFSET(INDEX(Composições!A:H,MATCH(Orçamentária!A900,Composições!A:A,0),8),2,0)</f>
        <v>42.992249999999999</v>
      </c>
      <c r="F900" s="152">
        <f t="shared" ca="1" si="41"/>
        <v>0</v>
      </c>
      <c r="G900" s="153">
        <f>IF($K900="Padrão",BDI!$B$17,IF($K900="Diferenciado",BDI!$E$17,0))</f>
        <v>0.2039</v>
      </c>
      <c r="H900" s="151">
        <f t="shared" ca="1" si="39"/>
        <v>51.76</v>
      </c>
      <c r="I900" s="152">
        <f t="shared" ca="1" si="40"/>
        <v>0</v>
      </c>
      <c r="J900" s="154"/>
      <c r="K900" s="155" t="s">
        <v>2966</v>
      </c>
    </row>
    <row r="901" spans="1:11" hidden="1" x14ac:dyDescent="0.25">
      <c r="A901" s="148" t="s">
        <v>788</v>
      </c>
      <c r="B901" s="149" t="s">
        <v>4284</v>
      </c>
      <c r="C901" s="150" t="s">
        <v>68</v>
      </c>
      <c r="D901" s="150">
        <v>0</v>
      </c>
      <c r="E901" s="151">
        <f ca="1">OFFSET(INDEX(Composições!A:H,MATCH(Orçamentária!A901,Composições!A:A,0),8),2,0)</f>
        <v>94.8015355</v>
      </c>
      <c r="F901" s="152">
        <f t="shared" ca="1" si="41"/>
        <v>0</v>
      </c>
      <c r="G901" s="153">
        <f>IF($K901="Padrão",BDI!$B$17,IF($K901="Diferenciado",BDI!$E$17,0))</f>
        <v>0.2039</v>
      </c>
      <c r="H901" s="151">
        <f t="shared" ca="1" si="39"/>
        <v>114.13</v>
      </c>
      <c r="I901" s="152">
        <f t="shared" ca="1" si="40"/>
        <v>0</v>
      </c>
      <c r="J901" s="154"/>
      <c r="K901" s="155" t="s">
        <v>2966</v>
      </c>
    </row>
    <row r="902" spans="1:11" hidden="1" x14ac:dyDescent="0.25">
      <c r="A902" s="148" t="s">
        <v>790</v>
      </c>
      <c r="B902" s="149" t="s">
        <v>4285</v>
      </c>
      <c r="C902" s="150" t="s">
        <v>18</v>
      </c>
      <c r="D902" s="150">
        <v>0</v>
      </c>
      <c r="E902" s="151">
        <f ca="1">OFFSET(INDEX(Composições!A:H,MATCH(Orçamentária!A902,Composições!A:A,0),8),2,0)</f>
        <v>11.464600000000001</v>
      </c>
      <c r="F902" s="152">
        <f t="shared" ca="1" si="41"/>
        <v>0</v>
      </c>
      <c r="G902" s="153">
        <f>IF($K902="Padrão",BDI!$B$17,IF($K902="Diferenciado",BDI!$E$17,0))</f>
        <v>0.2039</v>
      </c>
      <c r="H902" s="151">
        <f t="shared" ref="H902:H965" ca="1" si="42">IF(ISNUMBER(E902),ROUND(E902*(1+G902),2),"")</f>
        <v>13.8</v>
      </c>
      <c r="I902" s="152">
        <f t="shared" ref="I902:I965" ca="1" si="43">IF(ISNUMBER(E902),ROUND(H902*D902,2),"")</f>
        <v>0</v>
      </c>
      <c r="J902" s="154"/>
      <c r="K902" s="155" t="s">
        <v>2966</v>
      </c>
    </row>
    <row r="903" spans="1:11" hidden="1" x14ac:dyDescent="0.25">
      <c r="A903" s="148" t="s">
        <v>792</v>
      </c>
      <c r="B903" s="149" t="s">
        <v>4286</v>
      </c>
      <c r="C903" s="150" t="s">
        <v>72</v>
      </c>
      <c r="D903" s="150">
        <v>0</v>
      </c>
      <c r="E903" s="151">
        <f ca="1">OFFSET(INDEX(Composições!A:H,MATCH(Orçamentária!A903,Composições!A:A,0),8),2,0)</f>
        <v>11.8276672</v>
      </c>
      <c r="F903" s="152">
        <f t="shared" ref="F903:F966" ca="1" si="44">IF(ISNUMBER(E903),D903*E903,"")</f>
        <v>0</v>
      </c>
      <c r="G903" s="153">
        <f>IF($K903="Padrão",BDI!$B$17,IF($K903="Diferenciado",BDI!$E$17,0))</f>
        <v>0.2039</v>
      </c>
      <c r="H903" s="151">
        <f t="shared" ca="1" si="42"/>
        <v>14.24</v>
      </c>
      <c r="I903" s="152">
        <f t="shared" ca="1" si="43"/>
        <v>0</v>
      </c>
      <c r="J903" s="154"/>
      <c r="K903" s="155" t="s">
        <v>2966</v>
      </c>
    </row>
    <row r="904" spans="1:11" hidden="1" x14ac:dyDescent="0.25">
      <c r="A904" s="148" t="s">
        <v>793</v>
      </c>
      <c r="B904" s="149" t="s">
        <v>4287</v>
      </c>
      <c r="C904" s="150" t="s">
        <v>18</v>
      </c>
      <c r="D904" s="150">
        <v>0</v>
      </c>
      <c r="E904" s="151">
        <f ca="1">OFFSET(INDEX(Composições!A:H,MATCH(Orçamentária!A904,Composições!A:A,0),8),2,0)</f>
        <v>5.7323000000000004</v>
      </c>
      <c r="F904" s="152">
        <f t="shared" ca="1" si="44"/>
        <v>0</v>
      </c>
      <c r="G904" s="153">
        <f>IF($K904="Padrão",BDI!$B$17,IF($K904="Diferenciado",BDI!$E$17,0))</f>
        <v>0.2039</v>
      </c>
      <c r="H904" s="151">
        <f t="shared" ca="1" si="42"/>
        <v>6.9</v>
      </c>
      <c r="I904" s="152">
        <f t="shared" ca="1" si="43"/>
        <v>0</v>
      </c>
      <c r="J904" s="154"/>
      <c r="K904" s="155" t="s">
        <v>2966</v>
      </c>
    </row>
    <row r="905" spans="1:11" hidden="1" x14ac:dyDescent="0.25">
      <c r="A905" s="148" t="s">
        <v>795</v>
      </c>
      <c r="B905" s="149" t="s">
        <v>4288</v>
      </c>
      <c r="C905" s="150" t="s">
        <v>18</v>
      </c>
      <c r="D905" s="150">
        <v>0</v>
      </c>
      <c r="E905" s="151">
        <f ca="1">OFFSET(INDEX(Composições!A:H,MATCH(Orçamentária!A905,Composições!A:A,0),8),2,0)</f>
        <v>8.5984499999999997</v>
      </c>
      <c r="F905" s="152">
        <f t="shared" ca="1" si="44"/>
        <v>0</v>
      </c>
      <c r="G905" s="153">
        <f>IF($K905="Padrão",BDI!$B$17,IF($K905="Diferenciado",BDI!$E$17,0))</f>
        <v>0.2039</v>
      </c>
      <c r="H905" s="151">
        <f t="shared" ca="1" si="42"/>
        <v>10.35</v>
      </c>
      <c r="I905" s="152">
        <f t="shared" ca="1" si="43"/>
        <v>0</v>
      </c>
      <c r="J905" s="154"/>
      <c r="K905" s="155" t="s">
        <v>2966</v>
      </c>
    </row>
    <row r="906" spans="1:11" hidden="1" x14ac:dyDescent="0.25">
      <c r="A906" s="148" t="s">
        <v>797</v>
      </c>
      <c r="B906" s="149" t="s">
        <v>4289</v>
      </c>
      <c r="C906" s="150" t="s">
        <v>18</v>
      </c>
      <c r="D906" s="150">
        <v>0</v>
      </c>
      <c r="E906" s="151">
        <f ca="1">OFFSET(INDEX(Composições!A:H,MATCH(Orçamentária!A906,Composições!A:A,0),8),2,0)</f>
        <v>8.5984499999999997</v>
      </c>
      <c r="F906" s="152">
        <f t="shared" ca="1" si="44"/>
        <v>0</v>
      </c>
      <c r="G906" s="153">
        <f>IF($K906="Padrão",BDI!$B$17,IF($K906="Diferenciado",BDI!$E$17,0))</f>
        <v>0.2039</v>
      </c>
      <c r="H906" s="151">
        <f t="shared" ca="1" si="42"/>
        <v>10.35</v>
      </c>
      <c r="I906" s="152">
        <f t="shared" ca="1" si="43"/>
        <v>0</v>
      </c>
      <c r="J906" s="154"/>
      <c r="K906" s="155" t="s">
        <v>2966</v>
      </c>
    </row>
    <row r="907" spans="1:11" hidden="1" x14ac:dyDescent="0.25">
      <c r="A907" s="148" t="s">
        <v>799</v>
      </c>
      <c r="B907" s="149" t="s">
        <v>4290</v>
      </c>
      <c r="C907" s="150" t="s">
        <v>18</v>
      </c>
      <c r="D907" s="150">
        <v>0</v>
      </c>
      <c r="E907" s="151">
        <f ca="1">OFFSET(INDEX(Composições!A:H,MATCH(Orçamentária!A907,Composições!A:A,0),8),2,0)</f>
        <v>8.5984499999999997</v>
      </c>
      <c r="F907" s="152">
        <f t="shared" ca="1" si="44"/>
        <v>0</v>
      </c>
      <c r="G907" s="153">
        <f>IF($K907="Padrão",BDI!$B$17,IF($K907="Diferenciado",BDI!$E$17,0))</f>
        <v>0.2039</v>
      </c>
      <c r="H907" s="151">
        <f t="shared" ca="1" si="42"/>
        <v>10.35</v>
      </c>
      <c r="I907" s="152">
        <f t="shared" ca="1" si="43"/>
        <v>0</v>
      </c>
      <c r="J907" s="154"/>
      <c r="K907" s="155" t="s">
        <v>2966</v>
      </c>
    </row>
    <row r="908" spans="1:11" hidden="1" x14ac:dyDescent="0.25">
      <c r="A908" s="148" t="s">
        <v>801</v>
      </c>
      <c r="B908" s="149" t="s">
        <v>4291</v>
      </c>
      <c r="C908" s="150" t="s">
        <v>18</v>
      </c>
      <c r="D908" s="150">
        <v>0</v>
      </c>
      <c r="E908" s="151">
        <f ca="1">OFFSET(INDEX(Composições!A:H,MATCH(Orçamentária!A908,Composições!A:A,0),8),2,0)</f>
        <v>4.2992249999999999</v>
      </c>
      <c r="F908" s="152">
        <f t="shared" ca="1" si="44"/>
        <v>0</v>
      </c>
      <c r="G908" s="153">
        <f>IF($K908="Padrão",BDI!$B$17,IF($K908="Diferenciado",BDI!$E$17,0))</f>
        <v>0.2039</v>
      </c>
      <c r="H908" s="151">
        <f t="shared" ca="1" si="42"/>
        <v>5.18</v>
      </c>
      <c r="I908" s="152">
        <f t="shared" ca="1" si="43"/>
        <v>0</v>
      </c>
      <c r="J908" s="154"/>
      <c r="K908" s="155" t="s">
        <v>2966</v>
      </c>
    </row>
    <row r="909" spans="1:11" hidden="1" x14ac:dyDescent="0.25">
      <c r="A909" s="148" t="s">
        <v>803</v>
      </c>
      <c r="B909" s="149" t="s">
        <v>4292</v>
      </c>
      <c r="C909" s="150" t="s">
        <v>18</v>
      </c>
      <c r="D909" s="150">
        <v>0</v>
      </c>
      <c r="E909" s="151">
        <f ca="1">OFFSET(INDEX(Composições!A:H,MATCH(Orçamentária!A909,Composições!A:A,0),8),2,0)</f>
        <v>4.2992249999999999</v>
      </c>
      <c r="F909" s="152">
        <f t="shared" ca="1" si="44"/>
        <v>0</v>
      </c>
      <c r="G909" s="153">
        <f>IF($K909="Padrão",BDI!$B$17,IF($K909="Diferenciado",BDI!$E$17,0))</f>
        <v>0.2039</v>
      </c>
      <c r="H909" s="151">
        <f t="shared" ca="1" si="42"/>
        <v>5.18</v>
      </c>
      <c r="I909" s="152">
        <f t="shared" ca="1" si="43"/>
        <v>0</v>
      </c>
      <c r="J909" s="154"/>
      <c r="K909" s="155" t="s">
        <v>2966</v>
      </c>
    </row>
    <row r="910" spans="1:11" hidden="1" x14ac:dyDescent="0.25">
      <c r="A910" s="148" t="s">
        <v>805</v>
      </c>
      <c r="B910" s="149" t="s">
        <v>4293</v>
      </c>
      <c r="C910" s="150" t="s">
        <v>18</v>
      </c>
      <c r="D910" s="150">
        <v>0</v>
      </c>
      <c r="E910" s="151">
        <f ca="1">OFFSET(INDEX(Composições!A:H,MATCH(Orçamentária!A910,Composições!A:A,0),8),2,0)</f>
        <v>4.2992249999999999</v>
      </c>
      <c r="F910" s="152">
        <f t="shared" ca="1" si="44"/>
        <v>0</v>
      </c>
      <c r="G910" s="153">
        <f>IF($K910="Padrão",BDI!$B$17,IF($K910="Diferenciado",BDI!$E$17,0))</f>
        <v>0.2039</v>
      </c>
      <c r="H910" s="151">
        <f t="shared" ca="1" si="42"/>
        <v>5.18</v>
      </c>
      <c r="I910" s="152">
        <f t="shared" ca="1" si="43"/>
        <v>0</v>
      </c>
      <c r="J910" s="154"/>
      <c r="K910" s="155" t="s">
        <v>2966</v>
      </c>
    </row>
    <row r="911" spans="1:11" hidden="1" x14ac:dyDescent="0.25">
      <c r="A911" s="148" t="s">
        <v>807</v>
      </c>
      <c r="B911" s="149" t="s">
        <v>4294</v>
      </c>
      <c r="C911" s="150" t="s">
        <v>18</v>
      </c>
      <c r="D911" s="150">
        <v>0</v>
      </c>
      <c r="E911" s="151">
        <f ca="1">OFFSET(INDEX(Composições!A:H,MATCH(Orçamentária!A911,Composições!A:A,0),8),2,0)</f>
        <v>4.2992249999999999</v>
      </c>
      <c r="F911" s="152">
        <f t="shared" ca="1" si="44"/>
        <v>0</v>
      </c>
      <c r="G911" s="153">
        <f>IF($K911="Padrão",BDI!$B$17,IF($K911="Diferenciado",BDI!$E$17,0))</f>
        <v>0.2039</v>
      </c>
      <c r="H911" s="151">
        <f t="shared" ca="1" si="42"/>
        <v>5.18</v>
      </c>
      <c r="I911" s="152">
        <f t="shared" ca="1" si="43"/>
        <v>0</v>
      </c>
      <c r="J911" s="154"/>
      <c r="K911" s="155" t="s">
        <v>2966</v>
      </c>
    </row>
    <row r="912" spans="1:11" hidden="1" x14ac:dyDescent="0.25">
      <c r="A912" s="148" t="s">
        <v>809</v>
      </c>
      <c r="B912" s="149" t="s">
        <v>4295</v>
      </c>
      <c r="C912" s="150" t="s">
        <v>18</v>
      </c>
      <c r="D912" s="150">
        <v>0</v>
      </c>
      <c r="E912" s="151">
        <f ca="1">OFFSET(INDEX(Composições!A:H,MATCH(Orçamentária!A912,Composições!A:A,0),8),2,0)</f>
        <v>11.464600000000001</v>
      </c>
      <c r="F912" s="152">
        <f t="shared" ca="1" si="44"/>
        <v>0</v>
      </c>
      <c r="G912" s="153">
        <f>IF($K912="Padrão",BDI!$B$17,IF($K912="Diferenciado",BDI!$E$17,0))</f>
        <v>0.2039</v>
      </c>
      <c r="H912" s="151">
        <f t="shared" ca="1" si="42"/>
        <v>13.8</v>
      </c>
      <c r="I912" s="152">
        <f t="shared" ca="1" si="43"/>
        <v>0</v>
      </c>
      <c r="J912" s="154"/>
      <c r="K912" s="155" t="s">
        <v>2966</v>
      </c>
    </row>
    <row r="913" spans="1:11" hidden="1" x14ac:dyDescent="0.25">
      <c r="A913" s="148" t="s">
        <v>811</v>
      </c>
      <c r="B913" s="149" t="s">
        <v>4296</v>
      </c>
      <c r="C913" s="150" t="s">
        <v>4297</v>
      </c>
      <c r="D913" s="150">
        <v>0</v>
      </c>
      <c r="E913" s="151">
        <f ca="1">OFFSET(INDEX(Composições!A:H,MATCH(Orçamentária!A913,Composições!A:A,0),8),2,0)</f>
        <v>69.207252999999994</v>
      </c>
      <c r="F913" s="152">
        <f t="shared" ca="1" si="44"/>
        <v>0</v>
      </c>
      <c r="G913" s="153">
        <f>IF($K913="Padrão",BDI!$B$17,IF($K913="Diferenciado",BDI!$E$17,0))</f>
        <v>0.2039</v>
      </c>
      <c r="H913" s="151">
        <f t="shared" ca="1" si="42"/>
        <v>83.32</v>
      </c>
      <c r="I913" s="152">
        <f t="shared" ca="1" si="43"/>
        <v>0</v>
      </c>
      <c r="J913" s="154"/>
      <c r="K913" s="155" t="s">
        <v>2966</v>
      </c>
    </row>
    <row r="914" spans="1:11" hidden="1" x14ac:dyDescent="0.25">
      <c r="A914" s="148" t="s">
        <v>812</v>
      </c>
      <c r="B914" s="149" t="s">
        <v>4298</v>
      </c>
      <c r="C914" s="150" t="s">
        <v>68</v>
      </c>
      <c r="D914" s="150">
        <v>0</v>
      </c>
      <c r="E914" s="151">
        <f ca="1">OFFSET(INDEX(Composições!A:H,MATCH(Orçamentária!A914,Composições!A:A,0),8),2,0)</f>
        <v>192.16125</v>
      </c>
      <c r="F914" s="152">
        <f t="shared" ca="1" si="44"/>
        <v>0</v>
      </c>
      <c r="G914" s="153">
        <f>IF($K914="Padrão",BDI!$B$17,IF($K914="Diferenciado",BDI!$E$17,0))</f>
        <v>0.2039</v>
      </c>
      <c r="H914" s="151">
        <f t="shared" ca="1" si="42"/>
        <v>231.34</v>
      </c>
      <c r="I914" s="152">
        <f t="shared" ca="1" si="43"/>
        <v>0</v>
      </c>
      <c r="J914" s="154"/>
      <c r="K914" s="155" t="s">
        <v>2966</v>
      </c>
    </row>
    <row r="915" spans="1:11" hidden="1" x14ac:dyDescent="0.25">
      <c r="A915" s="148" t="s">
        <v>813</v>
      </c>
      <c r="B915" s="149" t="s">
        <v>4299</v>
      </c>
      <c r="C915" s="150" t="s">
        <v>68</v>
      </c>
      <c r="D915" s="150">
        <v>0</v>
      </c>
      <c r="E915" s="151">
        <f ca="1">OFFSET(INDEX(Composições!A:H,MATCH(Orçamentária!A915,Composições!A:A,0),8),2,0)</f>
        <v>283.40874999999994</v>
      </c>
      <c r="F915" s="152">
        <f t="shared" ca="1" si="44"/>
        <v>0</v>
      </c>
      <c r="G915" s="153">
        <f>IF($K915="Padrão",BDI!$B$17,IF($K915="Diferenciado",BDI!$E$17,0))</f>
        <v>0.2039</v>
      </c>
      <c r="H915" s="151">
        <f t="shared" ca="1" si="42"/>
        <v>341.2</v>
      </c>
      <c r="I915" s="152">
        <f t="shared" ca="1" si="43"/>
        <v>0</v>
      </c>
      <c r="J915" s="154"/>
      <c r="K915" s="155" t="s">
        <v>2966</v>
      </c>
    </row>
    <row r="916" spans="1:11" ht="25.5" hidden="1" x14ac:dyDescent="0.25">
      <c r="A916" s="148" t="s">
        <v>814</v>
      </c>
      <c r="B916" s="149" t="s">
        <v>4300</v>
      </c>
      <c r="C916" s="150" t="s">
        <v>106</v>
      </c>
      <c r="D916" s="150">
        <v>0</v>
      </c>
      <c r="E916" s="151">
        <f ca="1">OFFSET(INDEX(Composições!A:H,MATCH(Orçamentária!A916,Composições!A:A,0),8),2,0)</f>
        <v>39.424999999999997</v>
      </c>
      <c r="F916" s="152">
        <f t="shared" ca="1" si="44"/>
        <v>0</v>
      </c>
      <c r="G916" s="153">
        <f>IF($K916="Padrão",BDI!$B$17,IF($K916="Diferenciado",BDI!$E$17,0))</f>
        <v>0.2039</v>
      </c>
      <c r="H916" s="151">
        <f t="shared" ca="1" si="42"/>
        <v>47.46</v>
      </c>
      <c r="I916" s="152">
        <f t="shared" ca="1" si="43"/>
        <v>0</v>
      </c>
      <c r="J916" s="154"/>
      <c r="K916" s="155" t="s">
        <v>2966</v>
      </c>
    </row>
    <row r="917" spans="1:11" hidden="1" x14ac:dyDescent="0.25">
      <c r="A917" s="148" t="s">
        <v>815</v>
      </c>
      <c r="B917" s="149" t="s">
        <v>4301</v>
      </c>
      <c r="C917" s="150" t="s">
        <v>68</v>
      </c>
      <c r="D917" s="150">
        <v>0</v>
      </c>
      <c r="E917" s="151">
        <f ca="1">OFFSET(INDEX(Composições!A:H,MATCH(Orçamentária!A917,Composições!A:A,0),8),2,0)</f>
        <v>66.685249999999996</v>
      </c>
      <c r="F917" s="152">
        <f t="shared" ca="1" si="44"/>
        <v>0</v>
      </c>
      <c r="G917" s="153">
        <f>IF($K917="Padrão",BDI!$B$17,IF($K917="Diferenciado",BDI!$E$17,0))</f>
        <v>0.2039</v>
      </c>
      <c r="H917" s="151">
        <f t="shared" ca="1" si="42"/>
        <v>80.28</v>
      </c>
      <c r="I917" s="152">
        <f t="shared" ca="1" si="43"/>
        <v>0</v>
      </c>
      <c r="J917" s="154"/>
      <c r="K917" s="155" t="s">
        <v>2966</v>
      </c>
    </row>
    <row r="918" spans="1:11" hidden="1" x14ac:dyDescent="0.25">
      <c r="A918" s="148" t="s">
        <v>816</v>
      </c>
      <c r="B918" s="149" t="s">
        <v>817</v>
      </c>
      <c r="C918" s="150" t="s">
        <v>68</v>
      </c>
      <c r="D918" s="150">
        <v>0</v>
      </c>
      <c r="E918" s="151">
        <f ca="1">OFFSET(INDEX(Composições!A:H,MATCH(Orçamentária!A918,Composições!A:A,0),8),2,0)</f>
        <v>66.685249999999996</v>
      </c>
      <c r="F918" s="152">
        <f t="shared" ca="1" si="44"/>
        <v>0</v>
      </c>
      <c r="G918" s="153">
        <f>IF($K918="Padrão",BDI!$B$17,IF($K918="Diferenciado",BDI!$E$17,0))</f>
        <v>0.2039</v>
      </c>
      <c r="H918" s="151">
        <f t="shared" ca="1" si="42"/>
        <v>80.28</v>
      </c>
      <c r="I918" s="152">
        <f t="shared" ca="1" si="43"/>
        <v>0</v>
      </c>
      <c r="J918" s="154"/>
      <c r="K918" s="155" t="s">
        <v>2966</v>
      </c>
    </row>
    <row r="919" spans="1:11" hidden="1" x14ac:dyDescent="0.25">
      <c r="A919" s="148" t="s">
        <v>818</v>
      </c>
      <c r="B919" s="149" t="s">
        <v>4302</v>
      </c>
      <c r="C919" s="150" t="s">
        <v>18</v>
      </c>
      <c r="D919" s="150">
        <v>0</v>
      </c>
      <c r="E919" s="151">
        <f ca="1">OFFSET(INDEX(Composições!A:H,MATCH(Orçamentária!A919,Composições!A:A,0),8),2,0)</f>
        <v>9.6776499999999999</v>
      </c>
      <c r="F919" s="152">
        <f t="shared" ca="1" si="44"/>
        <v>0</v>
      </c>
      <c r="G919" s="153">
        <f>IF($K919="Padrão",BDI!$B$17,IF($K919="Diferenciado",BDI!$E$17,0))</f>
        <v>0.2039</v>
      </c>
      <c r="H919" s="151">
        <f t="shared" ca="1" si="42"/>
        <v>11.65</v>
      </c>
      <c r="I919" s="152">
        <f t="shared" ca="1" si="43"/>
        <v>0</v>
      </c>
      <c r="J919" s="154"/>
      <c r="K919" s="155" t="s">
        <v>2966</v>
      </c>
    </row>
    <row r="920" spans="1:11" hidden="1" x14ac:dyDescent="0.25">
      <c r="A920" s="148" t="s">
        <v>819</v>
      </c>
      <c r="B920" s="149" t="s">
        <v>4303</v>
      </c>
      <c r="C920" s="150" t="s">
        <v>1788</v>
      </c>
      <c r="D920" s="150">
        <v>0</v>
      </c>
      <c r="E920" s="151">
        <f ca="1">OFFSET(INDEX(Composições!A:H,MATCH(Orçamentária!A920,Composições!A:A,0),8),2,0)</f>
        <v>4825.0820938500001</v>
      </c>
      <c r="F920" s="152">
        <f t="shared" ca="1" si="44"/>
        <v>0</v>
      </c>
      <c r="G920" s="153">
        <f>IF($K920="Padrão",BDI!$B$17,IF($K920="Diferenciado",BDI!$E$17,0))</f>
        <v>0.2039</v>
      </c>
      <c r="H920" s="151">
        <f t="shared" ca="1" si="42"/>
        <v>5808.92</v>
      </c>
      <c r="I920" s="152">
        <f t="shared" ca="1" si="43"/>
        <v>0</v>
      </c>
      <c r="J920" s="154"/>
      <c r="K920" s="155" t="s">
        <v>2966</v>
      </c>
    </row>
    <row r="921" spans="1:11" hidden="1" x14ac:dyDescent="0.25">
      <c r="A921" s="148" t="s">
        <v>822</v>
      </c>
      <c r="B921" s="149" t="s">
        <v>4304</v>
      </c>
      <c r="C921" s="150" t="s">
        <v>72</v>
      </c>
      <c r="D921" s="150">
        <v>0</v>
      </c>
      <c r="E921" s="151">
        <f ca="1">OFFSET(INDEX(Composições!A:H,MATCH(Orçamentária!A921,Composições!A:A,0),8),2,0)</f>
        <v>8.7010690000000004</v>
      </c>
      <c r="F921" s="152">
        <f t="shared" ca="1" si="44"/>
        <v>0</v>
      </c>
      <c r="G921" s="153">
        <f>IF($K921="Padrão",BDI!$B$17,IF($K921="Diferenciado",BDI!$E$17,0))</f>
        <v>0.2039</v>
      </c>
      <c r="H921" s="151">
        <f t="shared" ca="1" si="42"/>
        <v>10.48</v>
      </c>
      <c r="I921" s="152">
        <f t="shared" ca="1" si="43"/>
        <v>0</v>
      </c>
      <c r="J921" s="154"/>
      <c r="K921" s="155" t="s">
        <v>2966</v>
      </c>
    </row>
    <row r="922" spans="1:11" hidden="1" x14ac:dyDescent="0.25">
      <c r="A922" s="148" t="s">
        <v>823</v>
      </c>
      <c r="B922" s="149" t="s">
        <v>4305</v>
      </c>
      <c r="C922" s="150" t="s">
        <v>72</v>
      </c>
      <c r="D922" s="150">
        <v>0</v>
      </c>
      <c r="E922" s="151">
        <f ca="1">OFFSET(INDEX(Composições!A:H,MATCH(Orçamentária!A922,Composições!A:A,0),8),2,0)</f>
        <v>8.3593407000000006</v>
      </c>
      <c r="F922" s="152">
        <f t="shared" ca="1" si="44"/>
        <v>0</v>
      </c>
      <c r="G922" s="153">
        <f>IF($K922="Padrão",BDI!$B$17,IF($K922="Diferenciado",BDI!$E$17,0))</f>
        <v>0.2039</v>
      </c>
      <c r="H922" s="151">
        <f t="shared" ca="1" si="42"/>
        <v>10.06</v>
      </c>
      <c r="I922" s="152">
        <f t="shared" ca="1" si="43"/>
        <v>0</v>
      </c>
      <c r="J922" s="154"/>
      <c r="K922" s="155" t="s">
        <v>2966</v>
      </c>
    </row>
    <row r="923" spans="1:11" hidden="1" x14ac:dyDescent="0.25">
      <c r="A923" s="148" t="s">
        <v>824</v>
      </c>
      <c r="B923" s="149" t="s">
        <v>4306</v>
      </c>
      <c r="C923" s="150" t="s">
        <v>18</v>
      </c>
      <c r="D923" s="150">
        <v>0</v>
      </c>
      <c r="E923" s="151">
        <f ca="1">OFFSET(INDEX(Composições!A:H,MATCH(Orçamentária!A923,Composições!A:A,0),8),2,0)</f>
        <v>44.558800000000005</v>
      </c>
      <c r="F923" s="152">
        <f t="shared" ca="1" si="44"/>
        <v>0</v>
      </c>
      <c r="G923" s="153">
        <f>IF($K923="Padrão",BDI!$B$17,IF($K923="Diferenciado",BDI!$E$17,0))</f>
        <v>0.2039</v>
      </c>
      <c r="H923" s="151">
        <f t="shared" ca="1" si="42"/>
        <v>53.64</v>
      </c>
      <c r="I923" s="152">
        <f t="shared" ca="1" si="43"/>
        <v>0</v>
      </c>
      <c r="J923" s="154"/>
      <c r="K923" s="155" t="s">
        <v>2966</v>
      </c>
    </row>
    <row r="924" spans="1:11" hidden="1" x14ac:dyDescent="0.25">
      <c r="A924" s="148" t="s">
        <v>825</v>
      </c>
      <c r="B924" s="149" t="s">
        <v>4307</v>
      </c>
      <c r="C924" s="150" t="s">
        <v>1788</v>
      </c>
      <c r="D924" s="150">
        <v>0</v>
      </c>
      <c r="E924" s="151">
        <f ca="1">OFFSET(INDEX(Composições!A:H,MATCH(Orçamentária!A924,Composições!A:A,0),8),2,0)</f>
        <v>93.723980423100002</v>
      </c>
      <c r="F924" s="152">
        <f t="shared" ca="1" si="44"/>
        <v>0</v>
      </c>
      <c r="G924" s="153">
        <f>IF($K924="Padrão",BDI!$B$17,IF($K924="Diferenciado",BDI!$E$17,0))</f>
        <v>0.2039</v>
      </c>
      <c r="H924" s="151">
        <f t="shared" ca="1" si="42"/>
        <v>112.83</v>
      </c>
      <c r="I924" s="152">
        <f t="shared" ca="1" si="43"/>
        <v>0</v>
      </c>
      <c r="J924" s="154"/>
      <c r="K924" s="155" t="s">
        <v>2966</v>
      </c>
    </row>
    <row r="925" spans="1:11" hidden="1" x14ac:dyDescent="0.25">
      <c r="A925" s="148" t="s">
        <v>826</v>
      </c>
      <c r="B925" s="149" t="s">
        <v>4308</v>
      </c>
      <c r="C925" s="150" t="s">
        <v>1788</v>
      </c>
      <c r="D925" s="150">
        <v>0</v>
      </c>
      <c r="E925" s="151">
        <f ca="1">OFFSET(INDEX(Composições!A:H,MATCH(Orçamentária!A925,Composições!A:A,0),8),2,0)</f>
        <v>27.070097999999998</v>
      </c>
      <c r="F925" s="152">
        <f t="shared" ca="1" si="44"/>
        <v>0</v>
      </c>
      <c r="G925" s="153">
        <f>IF($K925="Padrão",BDI!$B$17,IF($K925="Diferenciado",BDI!$E$17,0))</f>
        <v>0.2039</v>
      </c>
      <c r="H925" s="151">
        <f t="shared" ca="1" si="42"/>
        <v>32.590000000000003</v>
      </c>
      <c r="I925" s="152">
        <f t="shared" ca="1" si="43"/>
        <v>0</v>
      </c>
      <c r="J925" s="154"/>
      <c r="K925" s="155" t="s">
        <v>2966</v>
      </c>
    </row>
    <row r="926" spans="1:11" hidden="1" x14ac:dyDescent="0.25">
      <c r="A926" s="148" t="s">
        <v>827</v>
      </c>
      <c r="B926" s="149" t="s">
        <v>4309</v>
      </c>
      <c r="C926" s="150" t="s">
        <v>1788</v>
      </c>
      <c r="D926" s="150">
        <v>0</v>
      </c>
      <c r="E926" s="151">
        <f ca="1">OFFSET(INDEX(Composições!A:H,MATCH(Orçamentária!A926,Composições!A:A,0),8),2,0)</f>
        <v>171.18456861487499</v>
      </c>
      <c r="F926" s="152">
        <f t="shared" ca="1" si="44"/>
        <v>0</v>
      </c>
      <c r="G926" s="153">
        <f>IF($K926="Padrão",BDI!$B$17,IF($K926="Diferenciado",BDI!$E$17,0))</f>
        <v>0.2039</v>
      </c>
      <c r="H926" s="151">
        <f t="shared" ca="1" si="42"/>
        <v>206.09</v>
      </c>
      <c r="I926" s="152">
        <f t="shared" ca="1" si="43"/>
        <v>0</v>
      </c>
      <c r="J926" s="154"/>
      <c r="K926" s="155" t="s">
        <v>2966</v>
      </c>
    </row>
    <row r="927" spans="1:11" hidden="1" x14ac:dyDescent="0.25">
      <c r="A927" s="148" t="s">
        <v>829</v>
      </c>
      <c r="B927" s="149" t="s">
        <v>4310</v>
      </c>
      <c r="C927" s="150" t="s">
        <v>106</v>
      </c>
      <c r="D927" s="150">
        <v>0</v>
      </c>
      <c r="E927" s="151">
        <f ca="1">OFFSET(INDEX(Composições!A:H,MATCH(Orçamentária!A927,Composições!A:A,0),8),2,0)</f>
        <v>95.611537799999994</v>
      </c>
      <c r="F927" s="152">
        <f t="shared" ca="1" si="44"/>
        <v>0</v>
      </c>
      <c r="G927" s="153">
        <f>IF($K927="Padrão",BDI!$B$17,IF($K927="Diferenciado",BDI!$E$17,0))</f>
        <v>0.2039</v>
      </c>
      <c r="H927" s="151">
        <f t="shared" ca="1" si="42"/>
        <v>115.11</v>
      </c>
      <c r="I927" s="152">
        <f t="shared" ca="1" si="43"/>
        <v>0</v>
      </c>
      <c r="J927" s="154"/>
      <c r="K927" s="155" t="s">
        <v>2966</v>
      </c>
    </row>
    <row r="928" spans="1:11" hidden="1" x14ac:dyDescent="0.25">
      <c r="A928" s="148" t="s">
        <v>830</v>
      </c>
      <c r="B928" s="149" t="s">
        <v>4311</v>
      </c>
      <c r="C928" s="150" t="s">
        <v>106</v>
      </c>
      <c r="D928" s="150">
        <v>0</v>
      </c>
      <c r="E928" s="151">
        <f ca="1">OFFSET(INDEX(Composições!A:H,MATCH(Orçamentária!A928,Composições!A:A,0),8),2,0)</f>
        <v>120.02384264999999</v>
      </c>
      <c r="F928" s="152">
        <f t="shared" ca="1" si="44"/>
        <v>0</v>
      </c>
      <c r="G928" s="153">
        <f>IF($K928="Padrão",BDI!$B$17,IF($K928="Diferenciado",BDI!$E$17,0))</f>
        <v>0.2039</v>
      </c>
      <c r="H928" s="151">
        <f t="shared" ca="1" si="42"/>
        <v>144.5</v>
      </c>
      <c r="I928" s="152">
        <f t="shared" ca="1" si="43"/>
        <v>0</v>
      </c>
      <c r="J928" s="154"/>
      <c r="K928" s="155" t="s">
        <v>2966</v>
      </c>
    </row>
    <row r="929" spans="1:11" hidden="1" x14ac:dyDescent="0.25">
      <c r="A929" s="148" t="s">
        <v>831</v>
      </c>
      <c r="B929" s="149" t="s">
        <v>4312</v>
      </c>
      <c r="C929" s="150" t="s">
        <v>106</v>
      </c>
      <c r="D929" s="150">
        <v>0</v>
      </c>
      <c r="E929" s="151">
        <f ca="1">OFFSET(INDEX(Composições!A:H,MATCH(Orçamentária!A929,Composições!A:A,0),8),2,0)</f>
        <v>221.44923509999998</v>
      </c>
      <c r="F929" s="152">
        <f t="shared" ca="1" si="44"/>
        <v>0</v>
      </c>
      <c r="G929" s="153">
        <f>IF($K929="Padrão",BDI!$B$17,IF($K929="Diferenciado",BDI!$E$17,0))</f>
        <v>0.2039</v>
      </c>
      <c r="H929" s="151">
        <f t="shared" ca="1" si="42"/>
        <v>266.60000000000002</v>
      </c>
      <c r="I929" s="152">
        <f t="shared" ca="1" si="43"/>
        <v>0</v>
      </c>
      <c r="J929" s="154"/>
      <c r="K929" s="155" t="s">
        <v>2966</v>
      </c>
    </row>
    <row r="930" spans="1:11" hidden="1" x14ac:dyDescent="0.25">
      <c r="A930" s="148" t="s">
        <v>832</v>
      </c>
      <c r="B930" s="149" t="s">
        <v>4313</v>
      </c>
      <c r="C930" s="150" t="s">
        <v>18</v>
      </c>
      <c r="D930" s="150">
        <v>0</v>
      </c>
      <c r="E930" s="151">
        <f ca="1">OFFSET(INDEX(Composições!A:H,MATCH(Orçamentária!A930,Composições!A:A,0),8),2,0)</f>
        <v>721.67435330000001</v>
      </c>
      <c r="F930" s="152">
        <f t="shared" ca="1" si="44"/>
        <v>0</v>
      </c>
      <c r="G930" s="153">
        <f>IF($K930="Padrão",BDI!$B$17,IF($K930="Diferenciado",BDI!$E$17,0))</f>
        <v>0.2039</v>
      </c>
      <c r="H930" s="151">
        <f t="shared" ca="1" si="42"/>
        <v>868.82</v>
      </c>
      <c r="I930" s="152">
        <f t="shared" ca="1" si="43"/>
        <v>0</v>
      </c>
      <c r="J930" s="154"/>
      <c r="K930" s="155" t="s">
        <v>2966</v>
      </c>
    </row>
    <row r="931" spans="1:11" hidden="1" x14ac:dyDescent="0.25">
      <c r="A931" s="148" t="s">
        <v>833</v>
      </c>
      <c r="B931" s="149" t="s">
        <v>4314</v>
      </c>
      <c r="C931" s="150" t="s">
        <v>18</v>
      </c>
      <c r="D931" s="150">
        <v>0</v>
      </c>
      <c r="E931" s="151">
        <f ca="1">OFFSET(INDEX(Composições!A:H,MATCH(Orçamentária!A931,Composições!A:A,0),8),2,0)</f>
        <v>2.3693000000000004</v>
      </c>
      <c r="F931" s="152">
        <f t="shared" ca="1" si="44"/>
        <v>0</v>
      </c>
      <c r="G931" s="153">
        <f>IF($K931="Padrão",BDI!$B$17,IF($K931="Diferenciado",BDI!$E$17,0))</f>
        <v>0.2039</v>
      </c>
      <c r="H931" s="151">
        <f t="shared" ca="1" si="42"/>
        <v>2.85</v>
      </c>
      <c r="I931" s="152">
        <f t="shared" ca="1" si="43"/>
        <v>0</v>
      </c>
      <c r="J931" s="154"/>
      <c r="K931" s="155" t="s">
        <v>2966</v>
      </c>
    </row>
    <row r="932" spans="1:11" hidden="1" x14ac:dyDescent="0.25">
      <c r="A932" s="148" t="s">
        <v>835</v>
      </c>
      <c r="B932" s="149" t="s">
        <v>4315</v>
      </c>
      <c r="C932" s="150" t="s">
        <v>18</v>
      </c>
      <c r="D932" s="150">
        <v>0</v>
      </c>
      <c r="E932" s="151">
        <f ca="1">OFFSET(INDEX(Composições!A:H,MATCH(Orçamentária!A932,Composições!A:A,0),8),2,0)</f>
        <v>14.595262299999998</v>
      </c>
      <c r="F932" s="152">
        <f t="shared" ca="1" si="44"/>
        <v>0</v>
      </c>
      <c r="G932" s="153">
        <f>IF($K932="Padrão",BDI!$B$17,IF($K932="Diferenciado",BDI!$E$17,0))</f>
        <v>0.2039</v>
      </c>
      <c r="H932" s="151">
        <f t="shared" ca="1" si="42"/>
        <v>17.57</v>
      </c>
      <c r="I932" s="152">
        <f t="shared" ca="1" si="43"/>
        <v>0</v>
      </c>
      <c r="J932" s="154"/>
      <c r="K932" s="155" t="s">
        <v>2966</v>
      </c>
    </row>
    <row r="933" spans="1:11" ht="25.5" hidden="1" x14ac:dyDescent="0.25">
      <c r="A933" s="148" t="s">
        <v>837</v>
      </c>
      <c r="B933" s="149" t="s">
        <v>4316</v>
      </c>
      <c r="C933" s="150" t="s">
        <v>106</v>
      </c>
      <c r="D933" s="150">
        <v>0</v>
      </c>
      <c r="E933" s="151">
        <f ca="1">OFFSET(INDEX(Composições!A:H,MATCH(Orçamentária!A933,Composições!A:A,0),8),2,0)</f>
        <v>3.4673004999999999</v>
      </c>
      <c r="F933" s="152">
        <f t="shared" ca="1" si="44"/>
        <v>0</v>
      </c>
      <c r="G933" s="153">
        <f>IF($K933="Padrão",BDI!$B$17,IF($K933="Diferenciado",BDI!$E$17,0))</f>
        <v>0.2039</v>
      </c>
      <c r="H933" s="151">
        <f t="shared" ca="1" si="42"/>
        <v>4.17</v>
      </c>
      <c r="I933" s="152">
        <f t="shared" ca="1" si="43"/>
        <v>0</v>
      </c>
      <c r="J933" s="154"/>
      <c r="K933" s="155" t="s">
        <v>2966</v>
      </c>
    </row>
    <row r="934" spans="1:11" ht="25.5" hidden="1" x14ac:dyDescent="0.25">
      <c r="A934" s="148" t="s">
        <v>839</v>
      </c>
      <c r="B934" s="149" t="s">
        <v>4317</v>
      </c>
      <c r="C934" s="150" t="s">
        <v>106</v>
      </c>
      <c r="D934" s="150">
        <v>0</v>
      </c>
      <c r="E934" s="151">
        <f ca="1">OFFSET(INDEX(Composições!A:H,MATCH(Orçamentária!A934,Composições!A:A,0),8),2,0)</f>
        <v>3.9691047499999996</v>
      </c>
      <c r="F934" s="152">
        <f t="shared" ca="1" si="44"/>
        <v>0</v>
      </c>
      <c r="G934" s="153">
        <f>IF($K934="Padrão",BDI!$B$17,IF($K934="Diferenciado",BDI!$E$17,0))</f>
        <v>0.2039</v>
      </c>
      <c r="H934" s="151">
        <f t="shared" ca="1" si="42"/>
        <v>4.78</v>
      </c>
      <c r="I934" s="152">
        <f t="shared" ca="1" si="43"/>
        <v>0</v>
      </c>
      <c r="J934" s="154"/>
      <c r="K934" s="155" t="s">
        <v>2966</v>
      </c>
    </row>
    <row r="935" spans="1:11" ht="25.5" hidden="1" x14ac:dyDescent="0.25">
      <c r="A935" s="148" t="s">
        <v>841</v>
      </c>
      <c r="B935" s="149" t="s">
        <v>4318</v>
      </c>
      <c r="C935" s="150" t="s">
        <v>106</v>
      </c>
      <c r="D935" s="150">
        <v>0</v>
      </c>
      <c r="E935" s="151">
        <f ca="1">OFFSET(INDEX(Composições!A:H,MATCH(Orçamentária!A935,Composições!A:A,0),8),2,0)</f>
        <v>4.7189920000000001</v>
      </c>
      <c r="F935" s="152">
        <f t="shared" ca="1" si="44"/>
        <v>0</v>
      </c>
      <c r="G935" s="153">
        <f>IF($K935="Padrão",BDI!$B$17,IF($K935="Diferenciado",BDI!$E$17,0))</f>
        <v>0.2039</v>
      </c>
      <c r="H935" s="151">
        <f t="shared" ca="1" si="42"/>
        <v>5.68</v>
      </c>
      <c r="I935" s="152">
        <f t="shared" ca="1" si="43"/>
        <v>0</v>
      </c>
      <c r="J935" s="154"/>
      <c r="K935" s="155" t="s">
        <v>2966</v>
      </c>
    </row>
    <row r="936" spans="1:11" ht="25.5" hidden="1" x14ac:dyDescent="0.25">
      <c r="A936" s="148" t="s">
        <v>843</v>
      </c>
      <c r="B936" s="149" t="s">
        <v>4319</v>
      </c>
      <c r="C936" s="150" t="s">
        <v>106</v>
      </c>
      <c r="D936" s="150">
        <v>0</v>
      </c>
      <c r="E936" s="151">
        <f ca="1">OFFSET(INDEX(Composições!A:H,MATCH(Orçamentária!A936,Composições!A:A,0),8),2,0)</f>
        <v>5.7169622499999999</v>
      </c>
      <c r="F936" s="152">
        <f t="shared" ca="1" si="44"/>
        <v>0</v>
      </c>
      <c r="G936" s="153">
        <f>IF($K936="Padrão",BDI!$B$17,IF($K936="Diferenciado",BDI!$E$17,0))</f>
        <v>0.2039</v>
      </c>
      <c r="H936" s="151">
        <f t="shared" ca="1" si="42"/>
        <v>6.88</v>
      </c>
      <c r="I936" s="152">
        <f t="shared" ca="1" si="43"/>
        <v>0</v>
      </c>
      <c r="J936" s="154"/>
      <c r="K936" s="155" t="s">
        <v>2966</v>
      </c>
    </row>
    <row r="937" spans="1:11" ht="25.5" hidden="1" x14ac:dyDescent="0.25">
      <c r="A937" s="148" t="s">
        <v>845</v>
      </c>
      <c r="B937" s="149" t="s">
        <v>4320</v>
      </c>
      <c r="C937" s="150" t="s">
        <v>106</v>
      </c>
      <c r="D937" s="150">
        <v>0</v>
      </c>
      <c r="E937" s="151">
        <f ca="1">OFFSET(INDEX(Composições!A:H,MATCH(Orçamentária!A937,Composições!A:A,0),8),2,0)</f>
        <v>6.9630155000000009</v>
      </c>
      <c r="F937" s="152">
        <f t="shared" ca="1" si="44"/>
        <v>0</v>
      </c>
      <c r="G937" s="153">
        <f>IF($K937="Padrão",BDI!$B$17,IF($K937="Diferenciado",BDI!$E$17,0))</f>
        <v>0.2039</v>
      </c>
      <c r="H937" s="151">
        <f t="shared" ca="1" si="42"/>
        <v>8.3800000000000008</v>
      </c>
      <c r="I937" s="152">
        <f t="shared" ca="1" si="43"/>
        <v>0</v>
      </c>
      <c r="J937" s="154"/>
      <c r="K937" s="155" t="s">
        <v>2966</v>
      </c>
    </row>
    <row r="938" spans="1:11" ht="25.5" hidden="1" x14ac:dyDescent="0.25">
      <c r="A938" s="148" t="s">
        <v>847</v>
      </c>
      <c r="B938" s="149" t="s">
        <v>4321</v>
      </c>
      <c r="C938" s="150" t="s">
        <v>106</v>
      </c>
      <c r="D938" s="150">
        <v>0</v>
      </c>
      <c r="E938" s="151">
        <f ca="1">OFFSET(INDEX(Composições!A:H,MATCH(Orçamentária!A938,Composições!A:A,0),8),2,0)</f>
        <v>8.2147069999999989</v>
      </c>
      <c r="F938" s="152">
        <f t="shared" ca="1" si="44"/>
        <v>0</v>
      </c>
      <c r="G938" s="153">
        <f>IF($K938="Padrão",BDI!$B$17,IF($K938="Diferenciado",BDI!$E$17,0))</f>
        <v>0.2039</v>
      </c>
      <c r="H938" s="151">
        <f t="shared" ca="1" si="42"/>
        <v>9.89</v>
      </c>
      <c r="I938" s="152">
        <f t="shared" ca="1" si="43"/>
        <v>0</v>
      </c>
      <c r="J938" s="154"/>
      <c r="K938" s="155" t="s">
        <v>2966</v>
      </c>
    </row>
    <row r="939" spans="1:11" ht="25.5" hidden="1" x14ac:dyDescent="0.25">
      <c r="A939" s="148" t="s">
        <v>849</v>
      </c>
      <c r="B939" s="149" t="s">
        <v>4322</v>
      </c>
      <c r="C939" s="150" t="s">
        <v>106</v>
      </c>
      <c r="D939" s="150">
        <v>0</v>
      </c>
      <c r="E939" s="151">
        <f ca="1">OFFSET(INDEX(Composições!A:H,MATCH(Orçamentária!A939,Composições!A:A,0),8),2,0)</f>
        <v>9.708843250000001</v>
      </c>
      <c r="F939" s="152">
        <f t="shared" ca="1" si="44"/>
        <v>0</v>
      </c>
      <c r="G939" s="153">
        <f>IF($K939="Padrão",BDI!$B$17,IF($K939="Diferenciado",BDI!$E$17,0))</f>
        <v>0.2039</v>
      </c>
      <c r="H939" s="151">
        <f t="shared" ca="1" si="42"/>
        <v>11.69</v>
      </c>
      <c r="I939" s="152">
        <f t="shared" ca="1" si="43"/>
        <v>0</v>
      </c>
      <c r="J939" s="154"/>
      <c r="K939" s="155" t="s">
        <v>2966</v>
      </c>
    </row>
    <row r="940" spans="1:11" ht="25.5" hidden="1" x14ac:dyDescent="0.25">
      <c r="A940" s="148" t="s">
        <v>851</v>
      </c>
      <c r="B940" s="149" t="s">
        <v>4323</v>
      </c>
      <c r="C940" s="150" t="s">
        <v>106</v>
      </c>
      <c r="D940" s="150">
        <v>0</v>
      </c>
      <c r="E940" s="151">
        <f ca="1">OFFSET(INDEX(Composições!A:H,MATCH(Orçamentária!A940,Composições!A:A,0),8),2,0)</f>
        <v>11.45670075</v>
      </c>
      <c r="F940" s="152">
        <f t="shared" ca="1" si="44"/>
        <v>0</v>
      </c>
      <c r="G940" s="153">
        <f>IF($K940="Padrão",BDI!$B$17,IF($K940="Diferenciado",BDI!$E$17,0))</f>
        <v>0.2039</v>
      </c>
      <c r="H940" s="151">
        <f t="shared" ca="1" si="42"/>
        <v>13.79</v>
      </c>
      <c r="I940" s="152">
        <f t="shared" ca="1" si="43"/>
        <v>0</v>
      </c>
      <c r="J940" s="154"/>
      <c r="K940" s="155" t="s">
        <v>2966</v>
      </c>
    </row>
    <row r="941" spans="1:11" ht="25.5" hidden="1" x14ac:dyDescent="0.25">
      <c r="A941" s="148" t="s">
        <v>853</v>
      </c>
      <c r="B941" s="149" t="s">
        <v>4324</v>
      </c>
      <c r="C941" s="150" t="s">
        <v>106</v>
      </c>
      <c r="D941" s="150">
        <v>0</v>
      </c>
      <c r="E941" s="151">
        <f ca="1">OFFSET(INDEX(Composições!A:H,MATCH(Orçamentária!A941,Composições!A:A,0),8),2,0)</f>
        <v>14.2025285</v>
      </c>
      <c r="F941" s="152">
        <f t="shared" ca="1" si="44"/>
        <v>0</v>
      </c>
      <c r="G941" s="153">
        <f>IF($K941="Padrão",BDI!$B$17,IF($K941="Diferenciado",BDI!$E$17,0))</f>
        <v>0.2039</v>
      </c>
      <c r="H941" s="151">
        <f t="shared" ca="1" si="42"/>
        <v>17.100000000000001</v>
      </c>
      <c r="I941" s="152">
        <f t="shared" ca="1" si="43"/>
        <v>0</v>
      </c>
      <c r="J941" s="154"/>
      <c r="K941" s="155" t="s">
        <v>2966</v>
      </c>
    </row>
    <row r="942" spans="1:11" hidden="1" x14ac:dyDescent="0.25">
      <c r="A942" s="148" t="s">
        <v>855</v>
      </c>
      <c r="B942" s="149" t="s">
        <v>4325</v>
      </c>
      <c r="C942" s="150" t="s">
        <v>68</v>
      </c>
      <c r="D942" s="150">
        <v>0</v>
      </c>
      <c r="E942" s="151">
        <f ca="1">OFFSET(INDEX(Composições!A:H,MATCH(Orçamentária!A942,Composições!A:A,0),8),2,0)</f>
        <v>19.01071015902</v>
      </c>
      <c r="F942" s="152">
        <f t="shared" ca="1" si="44"/>
        <v>0</v>
      </c>
      <c r="G942" s="153">
        <f>IF($K942="Padrão",BDI!$B$17,IF($K942="Diferenciado",BDI!$E$17,0))</f>
        <v>0.2039</v>
      </c>
      <c r="H942" s="151">
        <f t="shared" ca="1" si="42"/>
        <v>22.89</v>
      </c>
      <c r="I942" s="152">
        <f t="shared" ca="1" si="43"/>
        <v>0</v>
      </c>
      <c r="J942" s="154"/>
      <c r="K942" s="155" t="s">
        <v>2966</v>
      </c>
    </row>
    <row r="943" spans="1:11" hidden="1" x14ac:dyDescent="0.25">
      <c r="A943" s="148" t="s">
        <v>856</v>
      </c>
      <c r="B943" s="149" t="s">
        <v>4326</v>
      </c>
      <c r="C943" s="150" t="s">
        <v>106</v>
      </c>
      <c r="D943" s="150">
        <v>0</v>
      </c>
      <c r="E943" s="151">
        <f ca="1">OFFSET(INDEX(Composições!A:H,MATCH(Orçamentária!A943,Composições!A:A,0),8),2,0)</f>
        <v>26.691536854799995</v>
      </c>
      <c r="F943" s="152">
        <f t="shared" ca="1" si="44"/>
        <v>0</v>
      </c>
      <c r="G943" s="153">
        <f>IF($K943="Padrão",BDI!$B$17,IF($K943="Diferenciado",BDI!$E$17,0))</f>
        <v>0.2039</v>
      </c>
      <c r="H943" s="151">
        <f t="shared" ca="1" si="42"/>
        <v>32.130000000000003</v>
      </c>
      <c r="I943" s="152">
        <f t="shared" ca="1" si="43"/>
        <v>0</v>
      </c>
      <c r="J943" s="154"/>
      <c r="K943" s="155" t="s">
        <v>2966</v>
      </c>
    </row>
    <row r="944" spans="1:11" hidden="1" x14ac:dyDescent="0.25">
      <c r="A944" s="148" t="s">
        <v>4327</v>
      </c>
      <c r="B944" s="149" t="s">
        <v>4328</v>
      </c>
      <c r="C944" s="150" t="s">
        <v>18</v>
      </c>
      <c r="D944" s="150">
        <v>0</v>
      </c>
      <c r="E944" s="151" t="s">
        <v>13</v>
      </c>
      <c r="F944" s="152" t="str">
        <f t="shared" si="44"/>
        <v/>
      </c>
      <c r="G944" s="153">
        <f>IF($K944="Padrão",BDI!$B$17,IF($K944="Diferenciado",BDI!$E$17,0))</f>
        <v>0.2039</v>
      </c>
      <c r="H944" s="151" t="str">
        <f t="shared" si="42"/>
        <v/>
      </c>
      <c r="I944" s="152" t="str">
        <f t="shared" si="43"/>
        <v/>
      </c>
      <c r="J944" s="154"/>
      <c r="K944" s="155" t="s">
        <v>2966</v>
      </c>
    </row>
    <row r="945" spans="1:11" hidden="1" x14ac:dyDescent="0.25">
      <c r="A945" s="148" t="s">
        <v>857</v>
      </c>
      <c r="B945" s="149" t="s">
        <v>4329</v>
      </c>
      <c r="C945" s="150" t="s">
        <v>3025</v>
      </c>
      <c r="D945" s="150">
        <v>0</v>
      </c>
      <c r="E945" s="151">
        <f ca="1">OFFSET(INDEX(Composições!A:H,MATCH(Orçamentária!A945,Composições!A:A,0),8),2,0)</f>
        <v>4.8292254779999997</v>
      </c>
      <c r="F945" s="152">
        <f t="shared" ca="1" si="44"/>
        <v>0</v>
      </c>
      <c r="G945" s="153">
        <f>IF($K945="Padrão",BDI!$B$17,IF($K945="Diferenciado",BDI!$E$17,0))</f>
        <v>0.2039</v>
      </c>
      <c r="H945" s="151">
        <f t="shared" ca="1" si="42"/>
        <v>5.81</v>
      </c>
      <c r="I945" s="152">
        <f t="shared" ca="1" si="43"/>
        <v>0</v>
      </c>
      <c r="J945" s="154"/>
      <c r="K945" s="155" t="s">
        <v>2966</v>
      </c>
    </row>
    <row r="946" spans="1:11" hidden="1" x14ac:dyDescent="0.25">
      <c r="A946" s="148" t="s">
        <v>4330</v>
      </c>
      <c r="B946" s="149" t="s">
        <v>4331</v>
      </c>
      <c r="C946" s="150" t="s">
        <v>4190</v>
      </c>
      <c r="D946" s="150">
        <v>0</v>
      </c>
      <c r="E946" s="151" t="s">
        <v>13</v>
      </c>
      <c r="F946" s="152" t="str">
        <f t="shared" si="44"/>
        <v/>
      </c>
      <c r="G946" s="153">
        <f>IF($K946="Padrão",BDI!$B$17,IF($K946="Diferenciado",BDI!$E$17,0))</f>
        <v>0.2039</v>
      </c>
      <c r="H946" s="151" t="str">
        <f t="shared" si="42"/>
        <v/>
      </c>
      <c r="I946" s="152" t="str">
        <f t="shared" si="43"/>
        <v/>
      </c>
      <c r="J946" s="154"/>
      <c r="K946" s="155" t="s">
        <v>2966</v>
      </c>
    </row>
    <row r="947" spans="1:11" hidden="1" x14ac:dyDescent="0.25">
      <c r="A947" s="148" t="s">
        <v>859</v>
      </c>
      <c r="B947" s="149" t="s">
        <v>4332</v>
      </c>
      <c r="C947" s="150" t="s">
        <v>18</v>
      </c>
      <c r="D947" s="150">
        <v>0</v>
      </c>
      <c r="E947" s="151">
        <f ca="1">OFFSET(INDEX(Composições!A:H,MATCH(Orçamentária!A947,Composições!A:A,0),8),2,0)</f>
        <v>199.69</v>
      </c>
      <c r="F947" s="152">
        <f t="shared" ca="1" si="44"/>
        <v>0</v>
      </c>
      <c r="G947" s="153">
        <f>IF($K947="Padrão",BDI!$B$17,IF($K947="Diferenciado",BDI!$E$17,0))</f>
        <v>0.2039</v>
      </c>
      <c r="H947" s="151">
        <f t="shared" ca="1" si="42"/>
        <v>240.41</v>
      </c>
      <c r="I947" s="152">
        <f t="shared" ca="1" si="43"/>
        <v>0</v>
      </c>
      <c r="J947" s="154"/>
      <c r="K947" s="155" t="s">
        <v>2966</v>
      </c>
    </row>
    <row r="948" spans="1:11" hidden="1" x14ac:dyDescent="0.25">
      <c r="A948" s="148" t="s">
        <v>860</v>
      </c>
      <c r="B948" s="149" t="s">
        <v>4333</v>
      </c>
      <c r="C948" s="150" t="s">
        <v>18</v>
      </c>
      <c r="D948" s="150">
        <v>0</v>
      </c>
      <c r="E948" s="151">
        <f ca="1">OFFSET(INDEX(Composições!A:H,MATCH(Orçamentária!A948,Composições!A:A,0),8),2,0)</f>
        <v>8.266556099999999</v>
      </c>
      <c r="F948" s="152">
        <f t="shared" ca="1" si="44"/>
        <v>0</v>
      </c>
      <c r="G948" s="153">
        <f>IF($K948="Padrão",BDI!$B$17,IF($K948="Diferenciado",BDI!$E$17,0))</f>
        <v>0.2039</v>
      </c>
      <c r="H948" s="151">
        <f t="shared" ca="1" si="42"/>
        <v>9.9499999999999993</v>
      </c>
      <c r="I948" s="152">
        <f t="shared" ca="1" si="43"/>
        <v>0</v>
      </c>
      <c r="J948" s="154"/>
      <c r="K948" s="155" t="s">
        <v>2966</v>
      </c>
    </row>
    <row r="949" spans="1:11" hidden="1" x14ac:dyDescent="0.25">
      <c r="A949" s="148" t="s">
        <v>862</v>
      </c>
      <c r="B949" s="149" t="s">
        <v>4334</v>
      </c>
      <c r="C949" s="150" t="s">
        <v>18</v>
      </c>
      <c r="D949" s="150">
        <v>0</v>
      </c>
      <c r="E949" s="151">
        <f ca="1">OFFSET(INDEX(Composições!A:H,MATCH(Orçamentária!A949,Composições!A:A,0),8),2,0)</f>
        <v>6.1463461000000006</v>
      </c>
      <c r="F949" s="152">
        <f t="shared" ca="1" si="44"/>
        <v>0</v>
      </c>
      <c r="G949" s="153">
        <f>IF($K949="Padrão",BDI!$B$17,IF($K949="Diferenciado",BDI!$E$17,0))</f>
        <v>0.2039</v>
      </c>
      <c r="H949" s="151">
        <f t="shared" ca="1" si="42"/>
        <v>7.4</v>
      </c>
      <c r="I949" s="152">
        <f t="shared" ca="1" si="43"/>
        <v>0</v>
      </c>
      <c r="J949" s="154"/>
      <c r="K949" s="155" t="s">
        <v>2966</v>
      </c>
    </row>
    <row r="950" spans="1:11" hidden="1" x14ac:dyDescent="0.25">
      <c r="A950" s="148" t="s">
        <v>4335</v>
      </c>
      <c r="B950" s="149" t="s">
        <v>4336</v>
      </c>
      <c r="C950" s="150" t="s">
        <v>18</v>
      </c>
      <c r="D950" s="150">
        <v>0</v>
      </c>
      <c r="E950" s="151" t="s">
        <v>13</v>
      </c>
      <c r="F950" s="152" t="str">
        <f t="shared" si="44"/>
        <v/>
      </c>
      <c r="G950" s="153">
        <f>IF($K950="Padrão",BDI!$B$17,IF($K950="Diferenciado",BDI!$E$17,0))</f>
        <v>0.2039</v>
      </c>
      <c r="H950" s="151" t="str">
        <f t="shared" si="42"/>
        <v/>
      </c>
      <c r="I950" s="152" t="str">
        <f t="shared" si="43"/>
        <v/>
      </c>
      <c r="J950" s="154"/>
      <c r="K950" s="155" t="s">
        <v>2966</v>
      </c>
    </row>
    <row r="951" spans="1:11" hidden="1" x14ac:dyDescent="0.25">
      <c r="A951" s="148" t="s">
        <v>864</v>
      </c>
      <c r="B951" s="149" t="s">
        <v>4337</v>
      </c>
      <c r="C951" s="150" t="s">
        <v>18</v>
      </c>
      <c r="D951" s="150">
        <v>0</v>
      </c>
      <c r="E951" s="151">
        <f ca="1">OFFSET(INDEX(Composições!A:H,MATCH(Orçamentária!A951,Composições!A:A,0),8),2,0)</f>
        <v>262.22714479583499</v>
      </c>
      <c r="F951" s="152">
        <f t="shared" ca="1" si="44"/>
        <v>0</v>
      </c>
      <c r="G951" s="153">
        <f>IF($K951="Padrão",BDI!$B$17,IF($K951="Diferenciado",BDI!$E$17,0))</f>
        <v>0.2039</v>
      </c>
      <c r="H951" s="151">
        <f t="shared" ca="1" si="42"/>
        <v>315.7</v>
      </c>
      <c r="I951" s="152">
        <f t="shared" ca="1" si="43"/>
        <v>0</v>
      </c>
      <c r="J951" s="154"/>
      <c r="K951" s="155" t="s">
        <v>2966</v>
      </c>
    </row>
    <row r="952" spans="1:11" hidden="1" x14ac:dyDescent="0.25">
      <c r="A952" s="148" t="s">
        <v>865</v>
      </c>
      <c r="B952" s="149" t="s">
        <v>4338</v>
      </c>
      <c r="C952" s="150" t="s">
        <v>2975</v>
      </c>
      <c r="D952" s="150">
        <v>0</v>
      </c>
      <c r="E952" s="151">
        <f ca="1">OFFSET(INDEX(Composições!A:H,MATCH(Orçamentária!A952,Composições!A:A,0),8),2,0)</f>
        <v>124.89649999999999</v>
      </c>
      <c r="F952" s="152">
        <f t="shared" ca="1" si="44"/>
        <v>0</v>
      </c>
      <c r="G952" s="153">
        <f>IF($K952="Padrão",BDI!$B$17,IF($K952="Diferenciado",BDI!$E$17,0))</f>
        <v>0.2039</v>
      </c>
      <c r="H952" s="151">
        <f t="shared" ca="1" si="42"/>
        <v>150.36000000000001</v>
      </c>
      <c r="I952" s="152">
        <f t="shared" ca="1" si="43"/>
        <v>0</v>
      </c>
      <c r="J952" s="154"/>
      <c r="K952" s="155" t="s">
        <v>2966</v>
      </c>
    </row>
    <row r="953" spans="1:11" hidden="1" x14ac:dyDescent="0.25">
      <c r="A953" s="148" t="s">
        <v>866</v>
      </c>
      <c r="B953" s="149" t="s">
        <v>4339</v>
      </c>
      <c r="C953" s="150" t="s">
        <v>4340</v>
      </c>
      <c r="D953" s="150">
        <v>0</v>
      </c>
      <c r="E953" s="151">
        <f ca="1">OFFSET(INDEX(Composições!A:H,MATCH(Orçamentária!A953,Composições!A:A,0),8),2,0)</f>
        <v>819.375</v>
      </c>
      <c r="F953" s="152">
        <f t="shared" ca="1" si="44"/>
        <v>0</v>
      </c>
      <c r="G953" s="153">
        <f>IF($K953="Padrão",BDI!$B$17,IF($K953="Diferenciado",BDI!$E$17,0))</f>
        <v>0.2039</v>
      </c>
      <c r="H953" s="151">
        <f t="shared" ca="1" si="42"/>
        <v>986.45</v>
      </c>
      <c r="I953" s="152">
        <f t="shared" ca="1" si="43"/>
        <v>0</v>
      </c>
      <c r="J953" s="154"/>
      <c r="K953" s="155" t="s">
        <v>2966</v>
      </c>
    </row>
    <row r="954" spans="1:11" hidden="1" x14ac:dyDescent="0.25">
      <c r="A954" s="148" t="s">
        <v>4341</v>
      </c>
      <c r="B954" s="149" t="s">
        <v>4342</v>
      </c>
      <c r="C954" s="150" t="s">
        <v>4340</v>
      </c>
      <c r="D954" s="150">
        <v>0</v>
      </c>
      <c r="E954" s="151" t="s">
        <v>13</v>
      </c>
      <c r="F954" s="152" t="str">
        <f t="shared" si="44"/>
        <v/>
      </c>
      <c r="G954" s="153">
        <f>IF($K954="Padrão",BDI!$B$17,IF($K954="Diferenciado",BDI!$E$17,0))</f>
        <v>0.2039</v>
      </c>
      <c r="H954" s="151" t="str">
        <f t="shared" si="42"/>
        <v/>
      </c>
      <c r="I954" s="152" t="str">
        <f t="shared" si="43"/>
        <v/>
      </c>
      <c r="J954" s="154"/>
      <c r="K954" s="155" t="s">
        <v>2966</v>
      </c>
    </row>
    <row r="955" spans="1:11" hidden="1" x14ac:dyDescent="0.25">
      <c r="A955" s="148" t="s">
        <v>867</v>
      </c>
      <c r="B955" s="149" t="s">
        <v>4343</v>
      </c>
      <c r="C955" s="150" t="s">
        <v>68</v>
      </c>
      <c r="D955" s="150">
        <v>0</v>
      </c>
      <c r="E955" s="151">
        <f ca="1">OFFSET(INDEX(Composições!A:H,MATCH(Orçamentária!A955,Composições!A:A,0),8),2,0)</f>
        <v>2.1582669999999999</v>
      </c>
      <c r="F955" s="152">
        <f t="shared" ca="1" si="44"/>
        <v>0</v>
      </c>
      <c r="G955" s="153">
        <f>IF($K955="Padrão",BDI!$B$17,IF($K955="Diferenciado",BDI!$E$17,0))</f>
        <v>0.2039</v>
      </c>
      <c r="H955" s="151">
        <f t="shared" ca="1" si="42"/>
        <v>2.6</v>
      </c>
      <c r="I955" s="152">
        <f t="shared" ca="1" si="43"/>
        <v>0</v>
      </c>
      <c r="J955" s="154"/>
      <c r="K955" s="155" t="s">
        <v>2966</v>
      </c>
    </row>
    <row r="956" spans="1:11" hidden="1" x14ac:dyDescent="0.25">
      <c r="A956" s="148" t="s">
        <v>868</v>
      </c>
      <c r="B956" s="149" t="s">
        <v>4344</v>
      </c>
      <c r="C956" s="150" t="s">
        <v>68</v>
      </c>
      <c r="D956" s="150">
        <v>0</v>
      </c>
      <c r="E956" s="151">
        <f ca="1">OFFSET(INDEX(Composições!A:H,MATCH(Orçamentária!A956,Composições!A:A,0),8),2,0)</f>
        <v>7.7282499999999992</v>
      </c>
      <c r="F956" s="152">
        <f t="shared" ca="1" si="44"/>
        <v>0</v>
      </c>
      <c r="G956" s="153">
        <f>IF($K956="Padrão",BDI!$B$17,IF($K956="Diferenciado",BDI!$E$17,0))</f>
        <v>0.2039</v>
      </c>
      <c r="H956" s="151">
        <f t="shared" ca="1" si="42"/>
        <v>9.3000000000000007</v>
      </c>
      <c r="I956" s="152">
        <f t="shared" ca="1" si="43"/>
        <v>0</v>
      </c>
      <c r="J956" s="154"/>
      <c r="K956" s="155" t="s">
        <v>2966</v>
      </c>
    </row>
    <row r="957" spans="1:11" hidden="1" x14ac:dyDescent="0.25">
      <c r="A957" s="148" t="s">
        <v>869</v>
      </c>
      <c r="B957" s="149" t="s">
        <v>4345</v>
      </c>
      <c r="C957" s="150" t="s">
        <v>68</v>
      </c>
      <c r="D957" s="150">
        <v>0</v>
      </c>
      <c r="E957" s="151">
        <f ca="1">OFFSET(INDEX(Composições!A:H,MATCH(Orçamentária!A957,Composições!A:A,0),8),2,0)</f>
        <v>29.616250000000001</v>
      </c>
      <c r="F957" s="152">
        <f t="shared" ca="1" si="44"/>
        <v>0</v>
      </c>
      <c r="G957" s="153">
        <f>IF($K957="Padrão",BDI!$B$17,IF($K957="Diferenciado",BDI!$E$17,0))</f>
        <v>0.2039</v>
      </c>
      <c r="H957" s="151">
        <f t="shared" ca="1" si="42"/>
        <v>35.659999999999997</v>
      </c>
      <c r="I957" s="152">
        <f t="shared" ca="1" si="43"/>
        <v>0</v>
      </c>
      <c r="J957" s="154"/>
      <c r="K957" s="155" t="s">
        <v>2966</v>
      </c>
    </row>
    <row r="958" spans="1:11" hidden="1" x14ac:dyDescent="0.25">
      <c r="A958" s="148" t="s">
        <v>870</v>
      </c>
      <c r="B958" s="149" t="s">
        <v>4346</v>
      </c>
      <c r="C958" s="150" t="s">
        <v>68</v>
      </c>
      <c r="D958" s="150">
        <v>0</v>
      </c>
      <c r="E958" s="151">
        <f ca="1">OFFSET(INDEX(Composições!A:H,MATCH(Orçamentária!A958,Composições!A:A,0),8),2,0)</f>
        <v>52.017269949999999</v>
      </c>
      <c r="F958" s="152">
        <f t="shared" ca="1" si="44"/>
        <v>0</v>
      </c>
      <c r="G958" s="153">
        <f>IF($K958="Padrão",BDI!$B$17,IF($K958="Diferenciado",BDI!$E$17,0))</f>
        <v>0.2039</v>
      </c>
      <c r="H958" s="151">
        <f t="shared" ca="1" si="42"/>
        <v>62.62</v>
      </c>
      <c r="I958" s="152">
        <f t="shared" ca="1" si="43"/>
        <v>0</v>
      </c>
      <c r="J958" s="154"/>
      <c r="K958" s="155" t="s">
        <v>2966</v>
      </c>
    </row>
    <row r="959" spans="1:11" hidden="1" x14ac:dyDescent="0.25">
      <c r="A959" s="148" t="s">
        <v>871</v>
      </c>
      <c r="B959" s="149" t="s">
        <v>4347</v>
      </c>
      <c r="C959" s="150" t="s">
        <v>68</v>
      </c>
      <c r="D959" s="150">
        <v>0</v>
      </c>
      <c r="E959" s="151">
        <f ca="1">OFFSET(INDEX(Composições!A:H,MATCH(Orçamentária!A959,Composições!A:A,0),8),2,0)</f>
        <v>61.262093032812501</v>
      </c>
      <c r="F959" s="152">
        <f t="shared" ca="1" si="44"/>
        <v>0</v>
      </c>
      <c r="G959" s="153">
        <f>IF($K959="Padrão",BDI!$B$17,IF($K959="Diferenciado",BDI!$E$17,0))</f>
        <v>0.2039</v>
      </c>
      <c r="H959" s="151">
        <f t="shared" ca="1" si="42"/>
        <v>73.75</v>
      </c>
      <c r="I959" s="152">
        <f t="shared" ca="1" si="43"/>
        <v>0</v>
      </c>
      <c r="J959" s="154"/>
      <c r="K959" s="155" t="s">
        <v>2966</v>
      </c>
    </row>
    <row r="960" spans="1:11" hidden="1" x14ac:dyDescent="0.25">
      <c r="A960" s="148" t="s">
        <v>872</v>
      </c>
      <c r="B960" s="149" t="s">
        <v>4348</v>
      </c>
      <c r="C960" s="150" t="s">
        <v>68</v>
      </c>
      <c r="D960" s="150">
        <v>0</v>
      </c>
      <c r="E960" s="151">
        <f ca="1">OFFSET(INDEX(Composições!A:H,MATCH(Orçamentária!A960,Composições!A:A,0),8),2,0)</f>
        <v>72.731597882812494</v>
      </c>
      <c r="F960" s="152">
        <f t="shared" ca="1" si="44"/>
        <v>0</v>
      </c>
      <c r="G960" s="153">
        <f>IF($K960="Padrão",BDI!$B$17,IF($K960="Diferenciado",BDI!$E$17,0))</f>
        <v>0.2039</v>
      </c>
      <c r="H960" s="151">
        <f t="shared" ca="1" si="42"/>
        <v>87.56</v>
      </c>
      <c r="I960" s="152">
        <f t="shared" ca="1" si="43"/>
        <v>0</v>
      </c>
      <c r="J960" s="154"/>
      <c r="K960" s="155" t="s">
        <v>2966</v>
      </c>
    </row>
    <row r="961" spans="1:11" hidden="1" x14ac:dyDescent="0.25">
      <c r="A961" s="148" t="s">
        <v>873</v>
      </c>
      <c r="B961" s="149" t="s">
        <v>4349</v>
      </c>
      <c r="C961" s="150" t="s">
        <v>68</v>
      </c>
      <c r="D961" s="150">
        <v>0</v>
      </c>
      <c r="E961" s="151">
        <f ca="1">OFFSET(INDEX(Composições!A:H,MATCH(Orçamentária!A961,Composições!A:A,0),8),2,0)</f>
        <v>21.842400000000001</v>
      </c>
      <c r="F961" s="152">
        <f t="shared" ca="1" si="44"/>
        <v>0</v>
      </c>
      <c r="G961" s="153">
        <f>IF($K961="Padrão",BDI!$B$17,IF($K961="Diferenciado",BDI!$E$17,0))</f>
        <v>0.2039</v>
      </c>
      <c r="H961" s="151">
        <f t="shared" ca="1" si="42"/>
        <v>26.3</v>
      </c>
      <c r="I961" s="152">
        <f t="shared" ca="1" si="43"/>
        <v>0</v>
      </c>
      <c r="J961" s="154"/>
      <c r="K961" s="155" t="s">
        <v>2966</v>
      </c>
    </row>
    <row r="962" spans="1:11" hidden="1" x14ac:dyDescent="0.25">
      <c r="A962" s="148" t="s">
        <v>874</v>
      </c>
      <c r="B962" s="149" t="s">
        <v>4350</v>
      </c>
      <c r="C962" s="150" t="s">
        <v>68</v>
      </c>
      <c r="D962" s="150">
        <v>0</v>
      </c>
      <c r="E962" s="151">
        <f ca="1">OFFSET(INDEX(Composições!A:H,MATCH(Orçamentária!A962,Composições!A:A,0),8),2,0)</f>
        <v>65.527199999999993</v>
      </c>
      <c r="F962" s="152">
        <f t="shared" ca="1" si="44"/>
        <v>0</v>
      </c>
      <c r="G962" s="153">
        <f>IF($K962="Padrão",BDI!$B$17,IF($K962="Diferenciado",BDI!$E$17,0))</f>
        <v>0.2039</v>
      </c>
      <c r="H962" s="151">
        <f t="shared" ca="1" si="42"/>
        <v>78.89</v>
      </c>
      <c r="I962" s="152">
        <f t="shared" ca="1" si="43"/>
        <v>0</v>
      </c>
      <c r="J962" s="154"/>
      <c r="K962" s="155" t="s">
        <v>2966</v>
      </c>
    </row>
    <row r="963" spans="1:11" hidden="1" x14ac:dyDescent="0.25">
      <c r="A963" s="148" t="s">
        <v>875</v>
      </c>
      <c r="B963" s="149" t="s">
        <v>4351</v>
      </c>
      <c r="C963" s="150" t="s">
        <v>68</v>
      </c>
      <c r="D963" s="150">
        <v>0</v>
      </c>
      <c r="E963" s="151">
        <f ca="1">OFFSET(INDEX(Composições!A:H,MATCH(Orçamentária!A963,Composições!A:A,0),8),2,0)</f>
        <v>10.184950000000001</v>
      </c>
      <c r="F963" s="152">
        <f t="shared" ca="1" si="44"/>
        <v>0</v>
      </c>
      <c r="G963" s="153">
        <f>IF($K963="Padrão",BDI!$B$17,IF($K963="Diferenciado",BDI!$E$17,0))</f>
        <v>0.2039</v>
      </c>
      <c r="H963" s="151">
        <f t="shared" ca="1" si="42"/>
        <v>12.26</v>
      </c>
      <c r="I963" s="152">
        <f t="shared" ca="1" si="43"/>
        <v>0</v>
      </c>
      <c r="J963" s="154"/>
      <c r="K963" s="155" t="s">
        <v>2966</v>
      </c>
    </row>
    <row r="964" spans="1:11" hidden="1" x14ac:dyDescent="0.25">
      <c r="A964" s="148" t="s">
        <v>876</v>
      </c>
      <c r="B964" s="149" t="s">
        <v>4352</v>
      </c>
      <c r="C964" s="150" t="s">
        <v>68</v>
      </c>
      <c r="D964" s="150">
        <v>0</v>
      </c>
      <c r="E964" s="151">
        <f ca="1">OFFSET(INDEX(Composições!A:H,MATCH(Orçamentária!A964,Composições!A:A,0),8),2,0)</f>
        <v>7.1078999999999999</v>
      </c>
      <c r="F964" s="152">
        <f t="shared" ca="1" si="44"/>
        <v>0</v>
      </c>
      <c r="G964" s="153">
        <f>IF($K964="Padrão",BDI!$B$17,IF($K964="Diferenciado",BDI!$E$17,0))</f>
        <v>0.2039</v>
      </c>
      <c r="H964" s="151">
        <f t="shared" ca="1" si="42"/>
        <v>8.56</v>
      </c>
      <c r="I964" s="152">
        <f t="shared" ca="1" si="43"/>
        <v>0</v>
      </c>
      <c r="J964" s="154"/>
      <c r="K964" s="155" t="s">
        <v>2966</v>
      </c>
    </row>
    <row r="965" spans="1:11" ht="25.5" hidden="1" x14ac:dyDescent="0.25">
      <c r="A965" s="148" t="s">
        <v>877</v>
      </c>
      <c r="B965" s="149" t="s">
        <v>4353</v>
      </c>
      <c r="C965" s="150" t="s">
        <v>18</v>
      </c>
      <c r="D965" s="150">
        <v>0</v>
      </c>
      <c r="E965" s="151">
        <f ca="1">OFFSET(INDEX(Composições!A:H,MATCH(Orçamentária!A965,Composições!A:A,0),8),2,0)</f>
        <v>2.3693000000000004</v>
      </c>
      <c r="F965" s="152">
        <f t="shared" ca="1" si="44"/>
        <v>0</v>
      </c>
      <c r="G965" s="153">
        <f>IF($K965="Padrão",BDI!$B$17,IF($K965="Diferenciado",BDI!$E$17,0))</f>
        <v>0.2039</v>
      </c>
      <c r="H965" s="151">
        <f t="shared" ca="1" si="42"/>
        <v>2.85</v>
      </c>
      <c r="I965" s="152">
        <f t="shared" ca="1" si="43"/>
        <v>0</v>
      </c>
      <c r="J965" s="154"/>
      <c r="K965" s="155" t="s">
        <v>2966</v>
      </c>
    </row>
    <row r="966" spans="1:11" ht="25.5" hidden="1" x14ac:dyDescent="0.25">
      <c r="A966" s="148" t="s">
        <v>878</v>
      </c>
      <c r="B966" s="149" t="s">
        <v>4354</v>
      </c>
      <c r="C966" s="150" t="s">
        <v>18</v>
      </c>
      <c r="D966" s="150">
        <v>0</v>
      </c>
      <c r="E966" s="151">
        <f ca="1">OFFSET(INDEX(Composições!A:H,MATCH(Orçamentária!A966,Composições!A:A,0),8),2,0)</f>
        <v>11.260342539851401</v>
      </c>
      <c r="F966" s="152">
        <f t="shared" ca="1" si="44"/>
        <v>0</v>
      </c>
      <c r="G966" s="153">
        <f>IF($K966="Padrão",BDI!$B$17,IF($K966="Diferenciado",BDI!$E$17,0))</f>
        <v>0.2039</v>
      </c>
      <c r="H966" s="151">
        <f t="shared" ref="H966:H1029" ca="1" si="45">IF(ISNUMBER(E966),ROUND(E966*(1+G966),2),"")</f>
        <v>13.56</v>
      </c>
      <c r="I966" s="152">
        <f t="shared" ref="I966:I1029" ca="1" si="46">IF(ISNUMBER(E966),ROUND(H966*D966,2),"")</f>
        <v>0</v>
      </c>
      <c r="J966" s="154"/>
      <c r="K966" s="155" t="s">
        <v>2966</v>
      </c>
    </row>
    <row r="967" spans="1:11" hidden="1" x14ac:dyDescent="0.25">
      <c r="A967" s="148" t="s">
        <v>883</v>
      </c>
      <c r="B967" s="149" t="s">
        <v>4355</v>
      </c>
      <c r="C967" s="150" t="s">
        <v>18</v>
      </c>
      <c r="D967" s="150">
        <v>0</v>
      </c>
      <c r="E967" s="151">
        <f ca="1">OFFSET(INDEX(Composições!A:H,MATCH(Orçamentária!A967,Composições!A:A,0),8),2,0)</f>
        <v>11.260342539851401</v>
      </c>
      <c r="F967" s="152">
        <f t="shared" ref="F967:F1030" ca="1" si="47">IF(ISNUMBER(E967),D967*E967,"")</f>
        <v>0</v>
      </c>
      <c r="G967" s="153">
        <f>IF($K967="Padrão",BDI!$B$17,IF($K967="Diferenciado",BDI!$E$17,0))</f>
        <v>0.2039</v>
      </c>
      <c r="H967" s="151">
        <f t="shared" ca="1" si="45"/>
        <v>13.56</v>
      </c>
      <c r="I967" s="152">
        <f t="shared" ca="1" si="46"/>
        <v>0</v>
      </c>
      <c r="J967" s="154"/>
      <c r="K967" s="155" t="s">
        <v>2966</v>
      </c>
    </row>
    <row r="968" spans="1:11" hidden="1" x14ac:dyDescent="0.25">
      <c r="A968" s="148" t="s">
        <v>885</v>
      </c>
      <c r="B968" s="149" t="s">
        <v>4356</v>
      </c>
      <c r="C968" s="150" t="s">
        <v>18</v>
      </c>
      <c r="D968" s="150">
        <v>0</v>
      </c>
      <c r="E968" s="151">
        <f ca="1">OFFSET(INDEX(Composições!A:H,MATCH(Orçamentária!A968,Composições!A:A,0),8),2,0)</f>
        <v>11.260342539851401</v>
      </c>
      <c r="F968" s="152">
        <f t="shared" ca="1" si="47"/>
        <v>0</v>
      </c>
      <c r="G968" s="153">
        <f>IF($K968="Padrão",BDI!$B$17,IF($K968="Diferenciado",BDI!$E$17,0))</f>
        <v>0.2039</v>
      </c>
      <c r="H968" s="151">
        <f t="shared" ca="1" si="45"/>
        <v>13.56</v>
      </c>
      <c r="I968" s="152">
        <f t="shared" ca="1" si="46"/>
        <v>0</v>
      </c>
      <c r="J968" s="154"/>
      <c r="K968" s="155" t="s">
        <v>2966</v>
      </c>
    </row>
    <row r="969" spans="1:11" hidden="1" x14ac:dyDescent="0.25">
      <c r="A969" s="148" t="s">
        <v>887</v>
      </c>
      <c r="B969" s="149" t="s">
        <v>4357</v>
      </c>
      <c r="C969" s="150" t="s">
        <v>68</v>
      </c>
      <c r="D969" s="150">
        <v>0</v>
      </c>
      <c r="E969" s="151">
        <f ca="1">OFFSET(INDEX(Composições!A:H,MATCH(Orçamentária!A969,Composições!A:A,0),8),2,0)</f>
        <v>64.962900000000005</v>
      </c>
      <c r="F969" s="152">
        <f t="shared" ca="1" si="47"/>
        <v>0</v>
      </c>
      <c r="G969" s="153">
        <f>IF($K969="Padrão",BDI!$B$17,IF($K969="Diferenciado",BDI!$E$17,0))</f>
        <v>0.2039</v>
      </c>
      <c r="H969" s="151">
        <f t="shared" ca="1" si="45"/>
        <v>78.209999999999994</v>
      </c>
      <c r="I969" s="152">
        <f t="shared" ca="1" si="46"/>
        <v>0</v>
      </c>
      <c r="J969" s="154"/>
      <c r="K969" s="155" t="s">
        <v>2966</v>
      </c>
    </row>
    <row r="970" spans="1:11" hidden="1" x14ac:dyDescent="0.25">
      <c r="A970" s="148" t="s">
        <v>889</v>
      </c>
      <c r="B970" s="149" t="s">
        <v>4358</v>
      </c>
      <c r="C970" s="150" t="s">
        <v>68</v>
      </c>
      <c r="D970" s="150">
        <v>0</v>
      </c>
      <c r="E970" s="151">
        <f ca="1">OFFSET(INDEX(Composições!A:H,MATCH(Orçamentária!A970,Composições!A:A,0),8),2,0)</f>
        <v>85.947210634962858</v>
      </c>
      <c r="F970" s="152">
        <f t="shared" ca="1" si="47"/>
        <v>0</v>
      </c>
      <c r="G970" s="153">
        <f>IF($K970="Padrão",BDI!$B$17,IF($K970="Diferenciado",BDI!$E$17,0))</f>
        <v>0.2039</v>
      </c>
      <c r="H970" s="151">
        <f t="shared" ca="1" si="45"/>
        <v>103.47</v>
      </c>
      <c r="I970" s="152">
        <f t="shared" ca="1" si="46"/>
        <v>0</v>
      </c>
      <c r="J970" s="154"/>
      <c r="K970" s="155" t="s">
        <v>2966</v>
      </c>
    </row>
    <row r="971" spans="1:11" hidden="1" x14ac:dyDescent="0.25">
      <c r="A971" s="148" t="s">
        <v>893</v>
      </c>
      <c r="B971" s="149" t="s">
        <v>4359</v>
      </c>
      <c r="C971" s="150" t="s">
        <v>68</v>
      </c>
      <c r="D971" s="150">
        <v>0</v>
      </c>
      <c r="E971" s="151">
        <f ca="1">OFFSET(INDEX(Composições!A:H,MATCH(Orçamentária!A971,Composições!A:A,0),8),2,0)</f>
        <v>64.962900000000005</v>
      </c>
      <c r="F971" s="152">
        <f t="shared" ca="1" si="47"/>
        <v>0</v>
      </c>
      <c r="G971" s="153">
        <f>IF($K971="Padrão",BDI!$B$17,IF($K971="Diferenciado",BDI!$E$17,0))</f>
        <v>0.2039</v>
      </c>
      <c r="H971" s="151">
        <f t="shared" ca="1" si="45"/>
        <v>78.209999999999994</v>
      </c>
      <c r="I971" s="152">
        <f t="shared" ca="1" si="46"/>
        <v>0</v>
      </c>
      <c r="J971" s="154"/>
      <c r="K971" s="155" t="s">
        <v>2966</v>
      </c>
    </row>
    <row r="972" spans="1:11" hidden="1" x14ac:dyDescent="0.25">
      <c r="A972" s="148" t="s">
        <v>895</v>
      </c>
      <c r="B972" s="149" t="s">
        <v>4360</v>
      </c>
      <c r="C972" s="150" t="s">
        <v>68</v>
      </c>
      <c r="D972" s="150">
        <v>0</v>
      </c>
      <c r="E972" s="151">
        <f ca="1">OFFSET(INDEX(Composições!A:H,MATCH(Orçamentária!A972,Composições!A:A,0),8),2,0)</f>
        <v>85.947210634962858</v>
      </c>
      <c r="F972" s="152">
        <f t="shared" ca="1" si="47"/>
        <v>0</v>
      </c>
      <c r="G972" s="153">
        <f>IF($K972="Padrão",BDI!$B$17,IF($K972="Diferenciado",BDI!$E$17,0))</f>
        <v>0.2039</v>
      </c>
      <c r="H972" s="151">
        <f t="shared" ca="1" si="45"/>
        <v>103.47</v>
      </c>
      <c r="I972" s="152">
        <f t="shared" ca="1" si="46"/>
        <v>0</v>
      </c>
      <c r="J972" s="154"/>
      <c r="K972" s="155" t="s">
        <v>2966</v>
      </c>
    </row>
    <row r="973" spans="1:11" ht="25.5" hidden="1" x14ac:dyDescent="0.25">
      <c r="A973" s="148" t="s">
        <v>896</v>
      </c>
      <c r="B973" s="149" t="s">
        <v>4361</v>
      </c>
      <c r="C973" s="150" t="s">
        <v>68</v>
      </c>
      <c r="D973" s="150">
        <v>0</v>
      </c>
      <c r="E973" s="151">
        <f ca="1">OFFSET(INDEX(Composições!A:H,MATCH(Orçamentária!A973,Composições!A:A,0),8),2,0)</f>
        <v>10.09755</v>
      </c>
      <c r="F973" s="152">
        <f t="shared" ca="1" si="47"/>
        <v>0</v>
      </c>
      <c r="G973" s="153">
        <f>IF($K973="Padrão",BDI!$B$17,IF($K973="Diferenciado",BDI!$E$17,0))</f>
        <v>0.2039</v>
      </c>
      <c r="H973" s="151">
        <f t="shared" ca="1" si="45"/>
        <v>12.16</v>
      </c>
      <c r="I973" s="152">
        <f t="shared" ca="1" si="46"/>
        <v>0</v>
      </c>
      <c r="J973" s="154"/>
      <c r="K973" s="155" t="s">
        <v>2966</v>
      </c>
    </row>
    <row r="974" spans="1:11" ht="25.5" hidden="1" x14ac:dyDescent="0.25">
      <c r="A974" s="148" t="s">
        <v>898</v>
      </c>
      <c r="B974" s="149" t="s">
        <v>4362</v>
      </c>
      <c r="C974" s="150" t="s">
        <v>68</v>
      </c>
      <c r="D974" s="150">
        <v>0</v>
      </c>
      <c r="E974" s="151">
        <f ca="1">OFFSET(INDEX(Composições!A:H,MATCH(Orçamentária!A974,Composições!A:A,0),8),2,0)</f>
        <v>10.09755</v>
      </c>
      <c r="F974" s="152">
        <f t="shared" ca="1" si="47"/>
        <v>0</v>
      </c>
      <c r="G974" s="153">
        <f>IF($K974="Padrão",BDI!$B$17,IF($K974="Diferenciado",BDI!$E$17,0))</f>
        <v>0.2039</v>
      </c>
      <c r="H974" s="151">
        <f t="shared" ca="1" si="45"/>
        <v>12.16</v>
      </c>
      <c r="I974" s="152">
        <f t="shared" ca="1" si="46"/>
        <v>0</v>
      </c>
      <c r="J974" s="154"/>
      <c r="K974" s="155" t="s">
        <v>2966</v>
      </c>
    </row>
    <row r="975" spans="1:11" hidden="1" x14ac:dyDescent="0.25">
      <c r="A975" s="148" t="s">
        <v>899</v>
      </c>
      <c r="B975" s="149" t="s">
        <v>4363</v>
      </c>
      <c r="C975" s="150" t="s">
        <v>68</v>
      </c>
      <c r="D975" s="150">
        <v>0</v>
      </c>
      <c r="E975" s="151">
        <f ca="1">OFFSET(INDEX(Composições!A:H,MATCH(Orçamentária!A975,Composições!A:A,0),8),2,0)</f>
        <v>64.962900000000005</v>
      </c>
      <c r="F975" s="152">
        <f t="shared" ca="1" si="47"/>
        <v>0</v>
      </c>
      <c r="G975" s="153">
        <f>IF($K975="Padrão",BDI!$B$17,IF($K975="Diferenciado",BDI!$E$17,0))</f>
        <v>0.2039</v>
      </c>
      <c r="H975" s="151">
        <f t="shared" ca="1" si="45"/>
        <v>78.209999999999994</v>
      </c>
      <c r="I975" s="152">
        <f t="shared" ca="1" si="46"/>
        <v>0</v>
      </c>
      <c r="J975" s="154"/>
      <c r="K975" s="155" t="s">
        <v>2966</v>
      </c>
    </row>
    <row r="976" spans="1:11" ht="25.5" hidden="1" x14ac:dyDescent="0.25">
      <c r="A976" s="148" t="s">
        <v>900</v>
      </c>
      <c r="B976" s="149" t="s">
        <v>4364</v>
      </c>
      <c r="C976" s="150" t="s">
        <v>68</v>
      </c>
      <c r="D976" s="150">
        <v>0</v>
      </c>
      <c r="E976" s="151">
        <f ca="1">OFFSET(INDEX(Composições!A:H,MATCH(Orçamentária!A976,Composições!A:A,0),8),2,0)</f>
        <v>85.947210634962858</v>
      </c>
      <c r="F976" s="152">
        <f t="shared" ca="1" si="47"/>
        <v>0</v>
      </c>
      <c r="G976" s="153">
        <f>IF($K976="Padrão",BDI!$B$17,IF($K976="Diferenciado",BDI!$E$17,0))</f>
        <v>0.2039</v>
      </c>
      <c r="H976" s="151">
        <f t="shared" ca="1" si="45"/>
        <v>103.47</v>
      </c>
      <c r="I976" s="152">
        <f t="shared" ca="1" si="46"/>
        <v>0</v>
      </c>
      <c r="J976" s="154"/>
      <c r="K976" s="155" t="s">
        <v>2966</v>
      </c>
    </row>
    <row r="977" spans="1:11" hidden="1" x14ac:dyDescent="0.25">
      <c r="A977" s="148" t="s">
        <v>901</v>
      </c>
      <c r="B977" s="149" t="s">
        <v>4365</v>
      </c>
      <c r="C977" s="150" t="s">
        <v>68</v>
      </c>
      <c r="D977" s="150">
        <v>0</v>
      </c>
      <c r="E977" s="151">
        <f ca="1">OFFSET(INDEX(Composições!A:H,MATCH(Orçamentária!A977,Composições!A:A,0),8),2,0)</f>
        <v>15.681650000000001</v>
      </c>
      <c r="F977" s="152">
        <f t="shared" ca="1" si="47"/>
        <v>0</v>
      </c>
      <c r="G977" s="153">
        <f>IF($K977="Padrão",BDI!$B$17,IF($K977="Diferenciado",BDI!$E$17,0))</f>
        <v>0.2039</v>
      </c>
      <c r="H977" s="151">
        <f t="shared" ca="1" si="45"/>
        <v>18.88</v>
      </c>
      <c r="I977" s="152">
        <f t="shared" ca="1" si="46"/>
        <v>0</v>
      </c>
      <c r="J977" s="154"/>
      <c r="K977" s="155" t="s">
        <v>2966</v>
      </c>
    </row>
    <row r="978" spans="1:11" hidden="1" x14ac:dyDescent="0.25">
      <c r="A978" s="148" t="s">
        <v>903</v>
      </c>
      <c r="B978" s="149" t="s">
        <v>4366</v>
      </c>
      <c r="C978" s="150" t="s">
        <v>106</v>
      </c>
      <c r="D978" s="150">
        <v>0</v>
      </c>
      <c r="E978" s="151">
        <f ca="1">OFFSET(INDEX(Composições!A:H,MATCH(Orçamentária!A978,Composições!A:A,0),8),2,0)</f>
        <v>28.024999999999999</v>
      </c>
      <c r="F978" s="152">
        <f t="shared" ca="1" si="47"/>
        <v>0</v>
      </c>
      <c r="G978" s="153">
        <f>IF($K978="Padrão",BDI!$B$17,IF($K978="Diferenciado",BDI!$E$17,0))</f>
        <v>0.2039</v>
      </c>
      <c r="H978" s="151">
        <f t="shared" ca="1" si="45"/>
        <v>33.74</v>
      </c>
      <c r="I978" s="152">
        <f t="shared" ca="1" si="46"/>
        <v>0</v>
      </c>
      <c r="J978" s="154"/>
      <c r="K978" s="155" t="s">
        <v>2966</v>
      </c>
    </row>
    <row r="979" spans="1:11" hidden="1" x14ac:dyDescent="0.25">
      <c r="A979" s="148" t="s">
        <v>905</v>
      </c>
      <c r="B979" s="149" t="s">
        <v>4367</v>
      </c>
      <c r="C979" s="150" t="s">
        <v>68</v>
      </c>
      <c r="D979" s="150">
        <v>0</v>
      </c>
      <c r="E979" s="151">
        <f ca="1">OFFSET(INDEX(Composições!A:H,MATCH(Orçamentária!A979,Composições!A:A,0),8),2,0)</f>
        <v>147.35334099999997</v>
      </c>
      <c r="F979" s="152">
        <f t="shared" ca="1" si="47"/>
        <v>0</v>
      </c>
      <c r="G979" s="153">
        <f>IF($K979="Padrão",BDI!$B$17,IF($K979="Diferenciado",BDI!$E$17,0))</f>
        <v>0.2039</v>
      </c>
      <c r="H979" s="151">
        <f t="shared" ca="1" si="45"/>
        <v>177.4</v>
      </c>
      <c r="I979" s="152">
        <f t="shared" ca="1" si="46"/>
        <v>0</v>
      </c>
      <c r="J979" s="154"/>
      <c r="K979" s="155" t="s">
        <v>2966</v>
      </c>
    </row>
    <row r="980" spans="1:11" ht="25.5" hidden="1" x14ac:dyDescent="0.25">
      <c r="A980" s="148" t="s">
        <v>907</v>
      </c>
      <c r="B980" s="149" t="s">
        <v>4368</v>
      </c>
      <c r="C980" s="150" t="s">
        <v>18</v>
      </c>
      <c r="D980" s="150">
        <v>0</v>
      </c>
      <c r="E980" s="151">
        <f ca="1">OFFSET(INDEX(Composições!A:H,MATCH(Orçamentária!A980,Composições!A:A,0),8),2,0)</f>
        <v>1.3547000000000002</v>
      </c>
      <c r="F980" s="152">
        <f t="shared" ca="1" si="47"/>
        <v>0</v>
      </c>
      <c r="G980" s="153">
        <f>IF($K980="Padrão",BDI!$B$17,IF($K980="Diferenciado",BDI!$E$17,0))</f>
        <v>0.2039</v>
      </c>
      <c r="H980" s="151">
        <f t="shared" ca="1" si="45"/>
        <v>1.63</v>
      </c>
      <c r="I980" s="152">
        <f t="shared" ca="1" si="46"/>
        <v>0</v>
      </c>
      <c r="J980" s="154"/>
      <c r="K980" s="155" t="s">
        <v>2966</v>
      </c>
    </row>
    <row r="981" spans="1:11" hidden="1" x14ac:dyDescent="0.25">
      <c r="A981" s="148" t="s">
        <v>911</v>
      </c>
      <c r="B981" s="149" t="s">
        <v>4369</v>
      </c>
      <c r="C981" s="150" t="s">
        <v>68</v>
      </c>
      <c r="D981" s="150">
        <v>0</v>
      </c>
      <c r="E981" s="151">
        <f ca="1">OFFSET(INDEX(Composições!A:H,MATCH(Orçamentária!A981,Composições!A:A,0),8),2,0)</f>
        <v>7.7223790000000001</v>
      </c>
      <c r="F981" s="152">
        <f t="shared" ca="1" si="47"/>
        <v>0</v>
      </c>
      <c r="G981" s="153">
        <f>IF($K981="Padrão",BDI!$B$17,IF($K981="Diferenciado",BDI!$E$17,0))</f>
        <v>0.2039</v>
      </c>
      <c r="H981" s="151">
        <f t="shared" ca="1" si="45"/>
        <v>9.3000000000000007</v>
      </c>
      <c r="I981" s="152">
        <f t="shared" ca="1" si="46"/>
        <v>0</v>
      </c>
      <c r="J981" s="154"/>
      <c r="K981" s="155" t="s">
        <v>2966</v>
      </c>
    </row>
    <row r="982" spans="1:11" hidden="1" x14ac:dyDescent="0.25">
      <c r="A982" s="148" t="s">
        <v>912</v>
      </c>
      <c r="B982" s="149" t="s">
        <v>4370</v>
      </c>
      <c r="C982" s="150" t="s">
        <v>106</v>
      </c>
      <c r="D982" s="150">
        <v>0</v>
      </c>
      <c r="E982" s="151">
        <f ca="1">OFFSET(INDEX(Composições!A:H,MATCH(Orçamentária!A982,Composições!A:A,0),8),2,0)</f>
        <v>105.136595</v>
      </c>
      <c r="F982" s="152">
        <f t="shared" ca="1" si="47"/>
        <v>0</v>
      </c>
      <c r="G982" s="153">
        <f>IF($K982="Padrão",BDI!$B$17,IF($K982="Diferenciado",BDI!$E$17,0))</f>
        <v>0.2039</v>
      </c>
      <c r="H982" s="151">
        <f t="shared" ca="1" si="45"/>
        <v>126.57</v>
      </c>
      <c r="I982" s="152">
        <f t="shared" ca="1" si="46"/>
        <v>0</v>
      </c>
      <c r="J982" s="154"/>
      <c r="K982" s="155" t="s">
        <v>2966</v>
      </c>
    </row>
    <row r="983" spans="1:11" hidden="1" x14ac:dyDescent="0.25">
      <c r="A983" s="148" t="s">
        <v>914</v>
      </c>
      <c r="B983" s="149" t="s">
        <v>4371</v>
      </c>
      <c r="C983" s="150" t="s">
        <v>106</v>
      </c>
      <c r="D983" s="150">
        <v>0</v>
      </c>
      <c r="E983" s="151">
        <f ca="1">OFFSET(INDEX(Composições!A:H,MATCH(Orçamentária!A983,Composições!A:A,0),8),2,0)</f>
        <v>34.427781499999995</v>
      </c>
      <c r="F983" s="152">
        <f t="shared" ca="1" si="47"/>
        <v>0</v>
      </c>
      <c r="G983" s="153">
        <f>IF($K983="Padrão",BDI!$B$17,IF($K983="Diferenciado",BDI!$E$17,0))</f>
        <v>0.2039</v>
      </c>
      <c r="H983" s="151">
        <f t="shared" ca="1" si="45"/>
        <v>41.45</v>
      </c>
      <c r="I983" s="152">
        <f t="shared" ca="1" si="46"/>
        <v>0</v>
      </c>
      <c r="J983" s="154"/>
      <c r="K983" s="155" t="s">
        <v>2966</v>
      </c>
    </row>
    <row r="984" spans="1:11" hidden="1" x14ac:dyDescent="0.25">
      <c r="A984" s="148" t="s">
        <v>4372</v>
      </c>
      <c r="B984" s="149" t="s">
        <v>4373</v>
      </c>
      <c r="C984" s="150" t="s">
        <v>18</v>
      </c>
      <c r="D984" s="150">
        <v>0</v>
      </c>
      <c r="E984" s="151" t="s">
        <v>13</v>
      </c>
      <c r="F984" s="152" t="str">
        <f t="shared" si="47"/>
        <v/>
      </c>
      <c r="G984" s="153">
        <f>IF($K984="Padrão",BDI!$B$17,IF($K984="Diferenciado",BDI!$E$17,0))</f>
        <v>0.2039</v>
      </c>
      <c r="H984" s="151" t="str">
        <f t="shared" si="45"/>
        <v/>
      </c>
      <c r="I984" s="152" t="str">
        <f t="shared" si="46"/>
        <v/>
      </c>
      <c r="J984" s="154"/>
      <c r="K984" s="155" t="s">
        <v>2966</v>
      </c>
    </row>
    <row r="985" spans="1:11" hidden="1" x14ac:dyDescent="0.25">
      <c r="A985" s="148" t="s">
        <v>915</v>
      </c>
      <c r="B985" s="149" t="s">
        <v>4374</v>
      </c>
      <c r="C985" s="150" t="s">
        <v>18</v>
      </c>
      <c r="D985" s="150">
        <v>0</v>
      </c>
      <c r="E985" s="151">
        <f ca="1">OFFSET(INDEX(Composições!A:H,MATCH(Orçamentária!A985,Composições!A:A,0),8),2,0)</f>
        <v>108.0851005</v>
      </c>
      <c r="F985" s="152">
        <f t="shared" ca="1" si="47"/>
        <v>0</v>
      </c>
      <c r="G985" s="153">
        <f>IF($K985="Padrão",BDI!$B$17,IF($K985="Diferenciado",BDI!$E$17,0))</f>
        <v>0.2039</v>
      </c>
      <c r="H985" s="151">
        <f t="shared" ca="1" si="45"/>
        <v>130.12</v>
      </c>
      <c r="I985" s="152">
        <f t="shared" ca="1" si="46"/>
        <v>0</v>
      </c>
      <c r="J985" s="154"/>
      <c r="K985" s="155" t="s">
        <v>2966</v>
      </c>
    </row>
    <row r="986" spans="1:11" hidden="1" x14ac:dyDescent="0.25">
      <c r="A986" s="148" t="s">
        <v>916</v>
      </c>
      <c r="B986" s="149" t="s">
        <v>4375</v>
      </c>
      <c r="C986" s="150" t="s">
        <v>1788</v>
      </c>
      <c r="D986" s="150">
        <v>0</v>
      </c>
      <c r="E986" s="151">
        <f ca="1">OFFSET(INDEX(Composições!A:H,MATCH(Orçamentária!A986,Composições!A:A,0),8),2,0)</f>
        <v>1030.6624524681349</v>
      </c>
      <c r="F986" s="152">
        <f t="shared" ca="1" si="47"/>
        <v>0</v>
      </c>
      <c r="G986" s="153">
        <f>IF($K986="Padrão",BDI!$B$17,IF($K986="Diferenciado",BDI!$E$17,0))</f>
        <v>0.2039</v>
      </c>
      <c r="H986" s="151">
        <f t="shared" ca="1" si="45"/>
        <v>1240.81</v>
      </c>
      <c r="I986" s="152">
        <f t="shared" ca="1" si="46"/>
        <v>0</v>
      </c>
      <c r="J986" s="154"/>
      <c r="K986" s="155" t="s">
        <v>2966</v>
      </c>
    </row>
    <row r="987" spans="1:11" hidden="1" x14ac:dyDescent="0.25">
      <c r="A987" s="148" t="s">
        <v>917</v>
      </c>
      <c r="B987" s="149" t="s">
        <v>4376</v>
      </c>
      <c r="C987" s="150" t="s">
        <v>68</v>
      </c>
      <c r="D987" s="150">
        <v>0</v>
      </c>
      <c r="E987" s="151">
        <f ca="1">OFFSET(INDEX(Composições!A:H,MATCH(Orçamentária!A987,Composições!A:A,0),8),2,0)</f>
        <v>116.01153094999999</v>
      </c>
      <c r="F987" s="152">
        <f t="shared" ca="1" si="47"/>
        <v>0</v>
      </c>
      <c r="G987" s="153">
        <f>IF($K987="Padrão",BDI!$B$17,IF($K987="Diferenciado",BDI!$E$17,0))</f>
        <v>0.2039</v>
      </c>
      <c r="H987" s="151">
        <f t="shared" ca="1" si="45"/>
        <v>139.66999999999999</v>
      </c>
      <c r="I987" s="152">
        <f t="shared" ca="1" si="46"/>
        <v>0</v>
      </c>
      <c r="J987" s="154"/>
      <c r="K987" s="155" t="s">
        <v>2966</v>
      </c>
    </row>
    <row r="988" spans="1:11" hidden="1" x14ac:dyDescent="0.25">
      <c r="A988" s="148" t="s">
        <v>918</v>
      </c>
      <c r="B988" s="149" t="s">
        <v>4377</v>
      </c>
      <c r="C988" s="150" t="s">
        <v>18</v>
      </c>
      <c r="D988" s="150">
        <v>0</v>
      </c>
      <c r="E988" s="151">
        <f ca="1">OFFSET(INDEX(Composições!A:H,MATCH(Orçamentária!A988,Composições!A:A,0),8),2,0)</f>
        <v>163.077</v>
      </c>
      <c r="F988" s="152">
        <f t="shared" ca="1" si="47"/>
        <v>0</v>
      </c>
      <c r="G988" s="153">
        <f>IF($K988="Padrão",BDI!$B$17,IF($K988="Diferenciado",BDI!$E$17,0))</f>
        <v>0.2039</v>
      </c>
      <c r="H988" s="151">
        <f t="shared" ca="1" si="45"/>
        <v>196.33</v>
      </c>
      <c r="I988" s="152">
        <f t="shared" ca="1" si="46"/>
        <v>0</v>
      </c>
      <c r="J988" s="154"/>
      <c r="K988" s="155" t="s">
        <v>2966</v>
      </c>
    </row>
    <row r="989" spans="1:11" hidden="1" x14ac:dyDescent="0.25">
      <c r="A989" s="148" t="s">
        <v>919</v>
      </c>
      <c r="B989" s="149" t="s">
        <v>4378</v>
      </c>
      <c r="C989" s="150" t="s">
        <v>4379</v>
      </c>
      <c r="D989" s="150">
        <v>0</v>
      </c>
      <c r="E989" s="151">
        <f ca="1">OFFSET(INDEX(Composições!A:H,MATCH(Orçamentária!A989,Composições!A:A,0),8),2,0)</f>
        <v>2.9193680499999997</v>
      </c>
      <c r="F989" s="152">
        <f t="shared" ca="1" si="47"/>
        <v>0</v>
      </c>
      <c r="G989" s="153">
        <f>IF($K989="Padrão",BDI!$B$17,IF($K989="Diferenciado",BDI!$E$17,0))</f>
        <v>0.2039</v>
      </c>
      <c r="H989" s="151">
        <f t="shared" ca="1" si="45"/>
        <v>3.51</v>
      </c>
      <c r="I989" s="152">
        <f t="shared" ca="1" si="46"/>
        <v>0</v>
      </c>
      <c r="J989" s="154"/>
      <c r="K989" s="155" t="s">
        <v>2966</v>
      </c>
    </row>
    <row r="990" spans="1:11" hidden="1" x14ac:dyDescent="0.25">
      <c r="A990" s="148" t="s">
        <v>4380</v>
      </c>
      <c r="B990" s="149" t="s">
        <v>4381</v>
      </c>
      <c r="C990" s="150" t="s">
        <v>4190</v>
      </c>
      <c r="D990" s="150">
        <v>0</v>
      </c>
      <c r="E990" s="151" t="s">
        <v>13</v>
      </c>
      <c r="F990" s="152" t="str">
        <f t="shared" si="47"/>
        <v/>
      </c>
      <c r="G990" s="153">
        <f>IF($K990="Padrão",BDI!$B$17,IF($K990="Diferenciado",BDI!$E$17,0))</f>
        <v>0.2039</v>
      </c>
      <c r="H990" s="151" t="str">
        <f t="shared" si="45"/>
        <v/>
      </c>
      <c r="I990" s="152" t="str">
        <f t="shared" si="46"/>
        <v/>
      </c>
      <c r="J990" s="154"/>
      <c r="K990" s="155" t="s">
        <v>2966</v>
      </c>
    </row>
    <row r="991" spans="1:11" hidden="1" x14ac:dyDescent="0.25">
      <c r="A991" s="148" t="s">
        <v>920</v>
      </c>
      <c r="B991" s="149" t="s">
        <v>4382</v>
      </c>
      <c r="C991" s="150" t="s">
        <v>72</v>
      </c>
      <c r="D991" s="150">
        <v>0</v>
      </c>
      <c r="E991" s="151">
        <f ca="1">OFFSET(INDEX(Composições!A:H,MATCH(Orçamentária!A991,Composições!A:A,0),8),2,0)</f>
        <v>8.1505724999999991</v>
      </c>
      <c r="F991" s="152">
        <f t="shared" ca="1" si="47"/>
        <v>0</v>
      </c>
      <c r="G991" s="153">
        <f>IF($K991="Padrão",BDI!$B$17,IF($K991="Diferenciado",BDI!$E$17,0))</f>
        <v>0.2039</v>
      </c>
      <c r="H991" s="151">
        <f t="shared" ca="1" si="45"/>
        <v>9.81</v>
      </c>
      <c r="I991" s="152">
        <f t="shared" ca="1" si="46"/>
        <v>0</v>
      </c>
      <c r="J991" s="154"/>
      <c r="K991" s="155" t="s">
        <v>2966</v>
      </c>
    </row>
    <row r="992" spans="1:11" hidden="1" x14ac:dyDescent="0.25">
      <c r="A992" s="148" t="s">
        <v>921</v>
      </c>
      <c r="B992" s="149" t="s">
        <v>4383</v>
      </c>
      <c r="C992" s="150" t="s">
        <v>1788</v>
      </c>
      <c r="D992" s="150">
        <v>0</v>
      </c>
      <c r="E992" s="151">
        <f ca="1">OFFSET(INDEX(Composições!A:H,MATCH(Orçamentária!A992,Composições!A:A,0),8),2,0)</f>
        <v>101.87990000000001</v>
      </c>
      <c r="F992" s="152">
        <f t="shared" ca="1" si="47"/>
        <v>0</v>
      </c>
      <c r="G992" s="153">
        <f>IF($K992="Padrão",BDI!$B$17,IF($K992="Diferenciado",BDI!$E$17,0))</f>
        <v>0.2039</v>
      </c>
      <c r="H992" s="151">
        <f t="shared" ca="1" si="45"/>
        <v>122.65</v>
      </c>
      <c r="I992" s="152">
        <f t="shared" ca="1" si="46"/>
        <v>0</v>
      </c>
      <c r="J992" s="154"/>
      <c r="K992" s="155" t="s">
        <v>2966</v>
      </c>
    </row>
    <row r="993" spans="1:11" hidden="1" x14ac:dyDescent="0.25">
      <c r="A993" s="148" t="s">
        <v>922</v>
      </c>
      <c r="B993" s="149" t="s">
        <v>4384</v>
      </c>
      <c r="C993" s="150" t="s">
        <v>1788</v>
      </c>
      <c r="D993" s="150">
        <v>0</v>
      </c>
      <c r="E993" s="151">
        <f ca="1">OFFSET(INDEX(Composições!A:H,MATCH(Orçamentária!A993,Composições!A:A,0),8),2,0)</f>
        <v>7.2230703914499994</v>
      </c>
      <c r="F993" s="152">
        <f t="shared" ca="1" si="47"/>
        <v>0</v>
      </c>
      <c r="G993" s="153">
        <f>IF($K993="Padrão",BDI!$B$17,IF($K993="Diferenciado",BDI!$E$17,0))</f>
        <v>0.2039</v>
      </c>
      <c r="H993" s="151">
        <f t="shared" ca="1" si="45"/>
        <v>8.6999999999999993</v>
      </c>
      <c r="I993" s="152">
        <f t="shared" ca="1" si="46"/>
        <v>0</v>
      </c>
      <c r="J993" s="154"/>
      <c r="K993" s="155" t="s">
        <v>2966</v>
      </c>
    </row>
    <row r="994" spans="1:11" hidden="1" x14ac:dyDescent="0.25">
      <c r="A994" s="148" t="s">
        <v>923</v>
      </c>
      <c r="B994" s="149" t="s">
        <v>4385</v>
      </c>
      <c r="C994" s="150" t="s">
        <v>68</v>
      </c>
      <c r="D994" s="150">
        <v>0</v>
      </c>
      <c r="E994" s="151">
        <f ca="1">OFFSET(INDEX(Composições!A:H,MATCH(Orçamentária!A994,Composições!A:A,0),8),2,0)</f>
        <v>64.712728170418998</v>
      </c>
      <c r="F994" s="152">
        <f t="shared" ca="1" si="47"/>
        <v>0</v>
      </c>
      <c r="G994" s="153">
        <f>IF($K994="Padrão",BDI!$B$17,IF($K994="Diferenciado",BDI!$E$17,0))</f>
        <v>0.2039</v>
      </c>
      <c r="H994" s="151">
        <f t="shared" ca="1" si="45"/>
        <v>77.91</v>
      </c>
      <c r="I994" s="152">
        <f t="shared" ca="1" si="46"/>
        <v>0</v>
      </c>
      <c r="J994" s="154"/>
      <c r="K994" s="155" t="s">
        <v>2966</v>
      </c>
    </row>
    <row r="995" spans="1:11" hidden="1" x14ac:dyDescent="0.25">
      <c r="A995" s="148" t="s">
        <v>925</v>
      </c>
      <c r="B995" s="149" t="s">
        <v>4386</v>
      </c>
      <c r="C995" s="150" t="s">
        <v>106</v>
      </c>
      <c r="D995" s="150">
        <v>0</v>
      </c>
      <c r="E995" s="151">
        <f ca="1">OFFSET(INDEX(Composições!A:H,MATCH(Orçamentária!A995,Composições!A:A,0),8),2,0)</f>
        <v>6.5983392375000012</v>
      </c>
      <c r="F995" s="152">
        <f t="shared" ca="1" si="47"/>
        <v>0</v>
      </c>
      <c r="G995" s="153">
        <f>IF($K995="Padrão",BDI!$B$17,IF($K995="Diferenciado",BDI!$E$17,0))</f>
        <v>0.2039</v>
      </c>
      <c r="H995" s="151">
        <f t="shared" ca="1" si="45"/>
        <v>7.94</v>
      </c>
      <c r="I995" s="152">
        <f t="shared" ca="1" si="46"/>
        <v>0</v>
      </c>
      <c r="J995" s="154"/>
      <c r="K995" s="155" t="s">
        <v>2966</v>
      </c>
    </row>
    <row r="996" spans="1:11" hidden="1" x14ac:dyDescent="0.25">
      <c r="A996" s="148" t="s">
        <v>927</v>
      </c>
      <c r="B996" s="149" t="s">
        <v>4387</v>
      </c>
      <c r="C996" s="150" t="s">
        <v>106</v>
      </c>
      <c r="D996" s="150">
        <v>0</v>
      </c>
      <c r="E996" s="151">
        <f ca="1">OFFSET(INDEX(Composições!A:H,MATCH(Orçamentária!A996,Composições!A:A,0),8),2,0)</f>
        <v>46.699469015082499</v>
      </c>
      <c r="F996" s="152">
        <f t="shared" ca="1" si="47"/>
        <v>0</v>
      </c>
      <c r="G996" s="153">
        <f>IF($K996="Padrão",BDI!$B$17,IF($K996="Diferenciado",BDI!$E$17,0))</f>
        <v>0.2039</v>
      </c>
      <c r="H996" s="151">
        <f t="shared" ca="1" si="45"/>
        <v>56.22</v>
      </c>
      <c r="I996" s="152">
        <f t="shared" ca="1" si="46"/>
        <v>0</v>
      </c>
      <c r="J996" s="154"/>
      <c r="K996" s="155" t="s">
        <v>2966</v>
      </c>
    </row>
    <row r="997" spans="1:11" hidden="1" x14ac:dyDescent="0.25">
      <c r="A997" s="148" t="s">
        <v>929</v>
      </c>
      <c r="B997" s="149" t="s">
        <v>4388</v>
      </c>
      <c r="C997" s="150" t="s">
        <v>106</v>
      </c>
      <c r="D997" s="150">
        <v>0</v>
      </c>
      <c r="E997" s="151">
        <f ca="1">OFFSET(INDEX(Composições!A:H,MATCH(Orçamentária!A997,Composições!A:A,0),8),2,0)</f>
        <v>161.7931004125</v>
      </c>
      <c r="F997" s="152">
        <f t="shared" ca="1" si="47"/>
        <v>0</v>
      </c>
      <c r="G997" s="153">
        <f>IF($K997="Padrão",BDI!$B$17,IF($K997="Diferenciado",BDI!$E$17,0))</f>
        <v>0.2039</v>
      </c>
      <c r="H997" s="151">
        <f t="shared" ca="1" si="45"/>
        <v>194.78</v>
      </c>
      <c r="I997" s="152">
        <f t="shared" ca="1" si="46"/>
        <v>0</v>
      </c>
      <c r="J997" s="154"/>
      <c r="K997" s="155" t="s">
        <v>2966</v>
      </c>
    </row>
    <row r="998" spans="1:11" hidden="1" x14ac:dyDescent="0.25">
      <c r="A998" s="148" t="s">
        <v>4389</v>
      </c>
      <c r="B998" s="149" t="s">
        <v>4390</v>
      </c>
      <c r="C998" s="150" t="s">
        <v>68</v>
      </c>
      <c r="D998" s="150">
        <v>0</v>
      </c>
      <c r="E998" s="151" t="s">
        <v>13</v>
      </c>
      <c r="F998" s="152" t="str">
        <f t="shared" si="47"/>
        <v/>
      </c>
      <c r="G998" s="153">
        <f>IF($K998="Padrão",BDI!$B$17,IF($K998="Diferenciado",BDI!$E$17,0))</f>
        <v>0.2039</v>
      </c>
      <c r="H998" s="151" t="str">
        <f t="shared" si="45"/>
        <v/>
      </c>
      <c r="I998" s="152" t="str">
        <f t="shared" si="46"/>
        <v/>
      </c>
      <c r="J998" s="154"/>
      <c r="K998" s="155" t="s">
        <v>2966</v>
      </c>
    </row>
    <row r="999" spans="1:11" hidden="1" x14ac:dyDescent="0.25">
      <c r="A999" s="148" t="s">
        <v>931</v>
      </c>
      <c r="B999" s="149" t="s">
        <v>4391</v>
      </c>
      <c r="C999" s="150" t="s">
        <v>18</v>
      </c>
      <c r="D999" s="150">
        <v>0</v>
      </c>
      <c r="E999" s="151">
        <f ca="1">OFFSET(INDEX(Composições!A:H,MATCH(Orçamentária!A999,Composições!A:A,0),8),2,0)</f>
        <v>11.260342539851401</v>
      </c>
      <c r="F999" s="152">
        <f t="shared" ca="1" si="47"/>
        <v>0</v>
      </c>
      <c r="G999" s="153">
        <f>IF($K999="Padrão",BDI!$B$17,IF($K999="Diferenciado",BDI!$E$17,0))</f>
        <v>0.2039</v>
      </c>
      <c r="H999" s="151">
        <f t="shared" ca="1" si="45"/>
        <v>13.56</v>
      </c>
      <c r="I999" s="152">
        <f t="shared" ca="1" si="46"/>
        <v>0</v>
      </c>
      <c r="J999" s="154"/>
      <c r="K999" s="155" t="s">
        <v>2966</v>
      </c>
    </row>
    <row r="1000" spans="1:11" hidden="1" x14ac:dyDescent="0.25">
      <c r="A1000" s="148" t="s">
        <v>4392</v>
      </c>
      <c r="B1000" s="149" t="s">
        <v>4393</v>
      </c>
      <c r="C1000" s="150" t="s">
        <v>18</v>
      </c>
      <c r="D1000" s="150">
        <v>0</v>
      </c>
      <c r="E1000" s="151" t="s">
        <v>13</v>
      </c>
      <c r="F1000" s="152" t="str">
        <f t="shared" si="47"/>
        <v/>
      </c>
      <c r="G1000" s="153">
        <f>IF($K1000="Padrão",BDI!$B$17,IF($K1000="Diferenciado",BDI!$E$17,0))</f>
        <v>0.2039</v>
      </c>
      <c r="H1000" s="151" t="str">
        <f t="shared" si="45"/>
        <v/>
      </c>
      <c r="I1000" s="152" t="str">
        <f t="shared" si="46"/>
        <v/>
      </c>
      <c r="J1000" s="154"/>
      <c r="K1000" s="155" t="s">
        <v>2966</v>
      </c>
    </row>
    <row r="1001" spans="1:11" hidden="1" x14ac:dyDescent="0.25">
      <c r="A1001" s="148" t="s">
        <v>4394</v>
      </c>
      <c r="B1001" s="149" t="s">
        <v>4395</v>
      </c>
      <c r="C1001" s="150" t="s">
        <v>18</v>
      </c>
      <c r="D1001" s="150">
        <v>0</v>
      </c>
      <c r="E1001" s="151" t="s">
        <v>13</v>
      </c>
      <c r="F1001" s="152" t="str">
        <f t="shared" si="47"/>
        <v/>
      </c>
      <c r="G1001" s="153">
        <f>IF($K1001="Padrão",BDI!$B$17,IF($K1001="Diferenciado",BDI!$E$17,0))</f>
        <v>0.2039</v>
      </c>
      <c r="H1001" s="151" t="str">
        <f t="shared" si="45"/>
        <v/>
      </c>
      <c r="I1001" s="152" t="str">
        <f t="shared" si="46"/>
        <v/>
      </c>
      <c r="J1001" s="154"/>
      <c r="K1001" s="155" t="s">
        <v>2966</v>
      </c>
    </row>
    <row r="1002" spans="1:11" hidden="1" x14ac:dyDescent="0.25">
      <c r="A1002" s="148" t="s">
        <v>4396</v>
      </c>
      <c r="B1002" s="149" t="s">
        <v>4397</v>
      </c>
      <c r="C1002" s="150" t="s">
        <v>18</v>
      </c>
      <c r="D1002" s="150">
        <v>0</v>
      </c>
      <c r="E1002" s="151" t="s">
        <v>13</v>
      </c>
      <c r="F1002" s="152" t="str">
        <f t="shared" si="47"/>
        <v/>
      </c>
      <c r="G1002" s="153">
        <f>IF($K1002="Padrão",BDI!$B$17,IF($K1002="Diferenciado",BDI!$E$17,0))</f>
        <v>0.2039</v>
      </c>
      <c r="H1002" s="151" t="str">
        <f t="shared" si="45"/>
        <v/>
      </c>
      <c r="I1002" s="152" t="str">
        <f t="shared" si="46"/>
        <v/>
      </c>
      <c r="J1002" s="154"/>
      <c r="K1002" s="155" t="s">
        <v>2966</v>
      </c>
    </row>
    <row r="1003" spans="1:11" hidden="1" x14ac:dyDescent="0.25">
      <c r="A1003" s="148" t="s">
        <v>4398</v>
      </c>
      <c r="B1003" s="149" t="s">
        <v>4399</v>
      </c>
      <c r="C1003" s="150" t="s">
        <v>4400</v>
      </c>
      <c r="D1003" s="150">
        <v>0</v>
      </c>
      <c r="E1003" s="151" t="s">
        <v>13</v>
      </c>
      <c r="F1003" s="152" t="str">
        <f t="shared" si="47"/>
        <v/>
      </c>
      <c r="G1003" s="153">
        <f>IF($K1003="Padrão",BDI!$B$17,IF($K1003="Diferenciado",BDI!$E$17,0))</f>
        <v>0.2039</v>
      </c>
      <c r="H1003" s="151" t="str">
        <f t="shared" si="45"/>
        <v/>
      </c>
      <c r="I1003" s="152" t="str">
        <f t="shared" si="46"/>
        <v/>
      </c>
      <c r="J1003" s="154"/>
      <c r="K1003" s="155" t="s">
        <v>2966</v>
      </c>
    </row>
    <row r="1004" spans="1:11" hidden="1" x14ac:dyDescent="0.25">
      <c r="A1004" s="148" t="s">
        <v>4401</v>
      </c>
      <c r="B1004" s="149" t="s">
        <v>4402</v>
      </c>
      <c r="C1004" s="150" t="s">
        <v>18</v>
      </c>
      <c r="D1004" s="150">
        <v>0</v>
      </c>
      <c r="E1004" s="151" t="s">
        <v>13</v>
      </c>
      <c r="F1004" s="152" t="str">
        <f t="shared" si="47"/>
        <v/>
      </c>
      <c r="G1004" s="153">
        <f>IF($K1004="Padrão",BDI!$B$17,IF($K1004="Diferenciado",BDI!$E$17,0))</f>
        <v>0.2039</v>
      </c>
      <c r="H1004" s="151" t="str">
        <f t="shared" si="45"/>
        <v/>
      </c>
      <c r="I1004" s="152" t="str">
        <f t="shared" si="46"/>
        <v/>
      </c>
      <c r="J1004" s="154"/>
      <c r="K1004" s="155" t="s">
        <v>2966</v>
      </c>
    </row>
    <row r="1005" spans="1:11" hidden="1" x14ac:dyDescent="0.25">
      <c r="A1005" s="148" t="s">
        <v>4403</v>
      </c>
      <c r="B1005" s="149" t="s">
        <v>4404</v>
      </c>
      <c r="C1005" s="150" t="s">
        <v>106</v>
      </c>
      <c r="D1005" s="150">
        <v>0</v>
      </c>
      <c r="E1005" s="151" t="s">
        <v>13</v>
      </c>
      <c r="F1005" s="152" t="str">
        <f t="shared" si="47"/>
        <v/>
      </c>
      <c r="G1005" s="153">
        <f>IF($K1005="Padrão",BDI!$B$17,IF($K1005="Diferenciado",BDI!$E$17,0))</f>
        <v>0.2039</v>
      </c>
      <c r="H1005" s="151" t="str">
        <f t="shared" si="45"/>
        <v/>
      </c>
      <c r="I1005" s="152" t="str">
        <f t="shared" si="46"/>
        <v/>
      </c>
      <c r="J1005" s="154"/>
      <c r="K1005" s="155" t="s">
        <v>2966</v>
      </c>
    </row>
    <row r="1006" spans="1:11" hidden="1" x14ac:dyDescent="0.25">
      <c r="A1006" s="148" t="s">
        <v>932</v>
      </c>
      <c r="B1006" s="149" t="s">
        <v>4405</v>
      </c>
      <c r="C1006" s="150" t="s">
        <v>4340</v>
      </c>
      <c r="D1006" s="150">
        <v>0</v>
      </c>
      <c r="E1006" s="151">
        <f ca="1">OFFSET(INDEX(Composições!A:H,MATCH(Orçamentária!A1006,Composições!A:A,0),8),2,0)</f>
        <v>1567.5</v>
      </c>
      <c r="F1006" s="152">
        <f t="shared" ca="1" si="47"/>
        <v>0</v>
      </c>
      <c r="G1006" s="153">
        <f>IF($K1006="Padrão",BDI!$B$17,IF($K1006="Diferenciado",BDI!$E$17,0))</f>
        <v>0.2039</v>
      </c>
      <c r="H1006" s="151">
        <f t="shared" ca="1" si="45"/>
        <v>1887.11</v>
      </c>
      <c r="I1006" s="152">
        <f t="shared" ca="1" si="46"/>
        <v>0</v>
      </c>
      <c r="J1006" s="154"/>
      <c r="K1006" s="155" t="s">
        <v>2966</v>
      </c>
    </row>
    <row r="1007" spans="1:11" hidden="1" x14ac:dyDescent="0.25">
      <c r="A1007" s="148" t="s">
        <v>4406</v>
      </c>
      <c r="B1007" s="149" t="s">
        <v>4407</v>
      </c>
      <c r="C1007" s="150" t="s">
        <v>106</v>
      </c>
      <c r="D1007" s="150">
        <v>0</v>
      </c>
      <c r="E1007" s="151" t="s">
        <v>13</v>
      </c>
      <c r="F1007" s="152" t="str">
        <f t="shared" si="47"/>
        <v/>
      </c>
      <c r="G1007" s="153">
        <f>IF($K1007="Padrão",BDI!$B$17,IF($K1007="Diferenciado",BDI!$E$17,0))</f>
        <v>0.2039</v>
      </c>
      <c r="H1007" s="151" t="str">
        <f t="shared" si="45"/>
        <v/>
      </c>
      <c r="I1007" s="152" t="str">
        <f t="shared" si="46"/>
        <v/>
      </c>
      <c r="J1007" s="154"/>
      <c r="K1007" s="155" t="s">
        <v>2966</v>
      </c>
    </row>
    <row r="1008" spans="1:11" hidden="1" x14ac:dyDescent="0.25">
      <c r="A1008" s="148" t="s">
        <v>4408</v>
      </c>
      <c r="B1008" s="149" t="s">
        <v>4409</v>
      </c>
      <c r="C1008" s="150" t="s">
        <v>68</v>
      </c>
      <c r="D1008" s="150">
        <v>0</v>
      </c>
      <c r="E1008" s="151" t="s">
        <v>13</v>
      </c>
      <c r="F1008" s="152" t="str">
        <f t="shared" si="47"/>
        <v/>
      </c>
      <c r="G1008" s="153">
        <f>IF($K1008="Padrão",BDI!$B$17,IF($K1008="Diferenciado",BDI!$E$17,0))</f>
        <v>0.2039</v>
      </c>
      <c r="H1008" s="151" t="str">
        <f t="shared" si="45"/>
        <v/>
      </c>
      <c r="I1008" s="152" t="str">
        <f t="shared" si="46"/>
        <v/>
      </c>
      <c r="J1008" s="154"/>
      <c r="K1008" s="155" t="s">
        <v>2966</v>
      </c>
    </row>
    <row r="1009" spans="1:11" hidden="1" x14ac:dyDescent="0.25">
      <c r="A1009" s="148" t="s">
        <v>4410</v>
      </c>
      <c r="B1009" s="149" t="s">
        <v>4411</v>
      </c>
      <c r="C1009" s="150" t="s">
        <v>68</v>
      </c>
      <c r="D1009" s="150">
        <v>0</v>
      </c>
      <c r="E1009" s="151" t="s">
        <v>13</v>
      </c>
      <c r="F1009" s="152" t="str">
        <f t="shared" si="47"/>
        <v/>
      </c>
      <c r="G1009" s="153">
        <f>IF($K1009="Padrão",BDI!$B$17,IF($K1009="Diferenciado",BDI!$E$17,0))</f>
        <v>0.2039</v>
      </c>
      <c r="H1009" s="151" t="str">
        <f t="shared" si="45"/>
        <v/>
      </c>
      <c r="I1009" s="152" t="str">
        <f t="shared" si="46"/>
        <v/>
      </c>
      <c r="J1009" s="154"/>
      <c r="K1009" s="155" t="s">
        <v>2966</v>
      </c>
    </row>
    <row r="1010" spans="1:11" hidden="1" x14ac:dyDescent="0.25">
      <c r="A1010" s="148" t="s">
        <v>4412</v>
      </c>
      <c r="B1010" s="149" t="s">
        <v>4413</v>
      </c>
      <c r="C1010" s="150" t="s">
        <v>68</v>
      </c>
      <c r="D1010" s="150">
        <v>0</v>
      </c>
      <c r="E1010" s="151" t="s">
        <v>13</v>
      </c>
      <c r="F1010" s="152" t="str">
        <f t="shared" si="47"/>
        <v/>
      </c>
      <c r="G1010" s="153">
        <f>IF($K1010="Padrão",BDI!$B$17,IF($K1010="Diferenciado",BDI!$E$17,0))</f>
        <v>0.2039</v>
      </c>
      <c r="H1010" s="151" t="str">
        <f t="shared" si="45"/>
        <v/>
      </c>
      <c r="I1010" s="152" t="str">
        <f t="shared" si="46"/>
        <v/>
      </c>
      <c r="J1010" s="154"/>
      <c r="K1010" s="155" t="s">
        <v>2966</v>
      </c>
    </row>
    <row r="1011" spans="1:11" hidden="1" x14ac:dyDescent="0.25">
      <c r="A1011" s="148" t="s">
        <v>4414</v>
      </c>
      <c r="B1011" s="149" t="s">
        <v>4415</v>
      </c>
      <c r="C1011" s="150" t="s">
        <v>68</v>
      </c>
      <c r="D1011" s="150">
        <v>0</v>
      </c>
      <c r="E1011" s="151" t="s">
        <v>13</v>
      </c>
      <c r="F1011" s="152" t="str">
        <f t="shared" si="47"/>
        <v/>
      </c>
      <c r="G1011" s="153">
        <f>IF($K1011="Padrão",BDI!$B$17,IF($K1011="Diferenciado",BDI!$E$17,0))</f>
        <v>0.2039</v>
      </c>
      <c r="H1011" s="151" t="str">
        <f t="shared" si="45"/>
        <v/>
      </c>
      <c r="I1011" s="152" t="str">
        <f t="shared" si="46"/>
        <v/>
      </c>
      <c r="J1011" s="154"/>
      <c r="K1011" s="155" t="s">
        <v>2966</v>
      </c>
    </row>
    <row r="1012" spans="1:11" hidden="1" x14ac:dyDescent="0.25">
      <c r="A1012" s="148" t="s">
        <v>4416</v>
      </c>
      <c r="B1012" s="149" t="s">
        <v>4417</v>
      </c>
      <c r="C1012" s="150" t="s">
        <v>68</v>
      </c>
      <c r="D1012" s="150">
        <v>0</v>
      </c>
      <c r="E1012" s="151" t="s">
        <v>13</v>
      </c>
      <c r="F1012" s="152" t="str">
        <f t="shared" si="47"/>
        <v/>
      </c>
      <c r="G1012" s="153">
        <f>IF($K1012="Padrão",BDI!$B$17,IF($K1012="Diferenciado",BDI!$E$17,0))</f>
        <v>0.2039</v>
      </c>
      <c r="H1012" s="151" t="str">
        <f t="shared" si="45"/>
        <v/>
      </c>
      <c r="I1012" s="152" t="str">
        <f t="shared" si="46"/>
        <v/>
      </c>
      <c r="J1012" s="154"/>
      <c r="K1012" s="155" t="s">
        <v>2966</v>
      </c>
    </row>
    <row r="1013" spans="1:11" hidden="1" x14ac:dyDescent="0.25">
      <c r="A1013" s="148" t="s">
        <v>4418</v>
      </c>
      <c r="B1013" s="149" t="s">
        <v>4419</v>
      </c>
      <c r="C1013" s="150" t="s">
        <v>18</v>
      </c>
      <c r="D1013" s="150">
        <v>0</v>
      </c>
      <c r="E1013" s="151" t="s">
        <v>13</v>
      </c>
      <c r="F1013" s="152" t="str">
        <f t="shared" si="47"/>
        <v/>
      </c>
      <c r="G1013" s="153">
        <f>IF($K1013="Padrão",BDI!$B$17,IF($K1013="Diferenciado",BDI!$E$17,0))</f>
        <v>0.2039</v>
      </c>
      <c r="H1013" s="151" t="str">
        <f t="shared" si="45"/>
        <v/>
      </c>
      <c r="I1013" s="152" t="str">
        <f t="shared" si="46"/>
        <v/>
      </c>
      <c r="J1013" s="154"/>
      <c r="K1013" s="155" t="s">
        <v>2966</v>
      </c>
    </row>
    <row r="1014" spans="1:11" hidden="1" x14ac:dyDescent="0.25">
      <c r="A1014" s="148" t="s">
        <v>4420</v>
      </c>
      <c r="B1014" s="149" t="s">
        <v>4421</v>
      </c>
      <c r="C1014" s="150" t="s">
        <v>72</v>
      </c>
      <c r="D1014" s="150">
        <v>0</v>
      </c>
      <c r="E1014" s="151" t="s">
        <v>13</v>
      </c>
      <c r="F1014" s="152" t="str">
        <f t="shared" si="47"/>
        <v/>
      </c>
      <c r="G1014" s="153">
        <f>IF($K1014="Padrão",BDI!$B$17,IF($K1014="Diferenciado",BDI!$E$17,0))</f>
        <v>0.2039</v>
      </c>
      <c r="H1014" s="151" t="str">
        <f t="shared" si="45"/>
        <v/>
      </c>
      <c r="I1014" s="152" t="str">
        <f t="shared" si="46"/>
        <v/>
      </c>
      <c r="J1014" s="154"/>
      <c r="K1014" s="155" t="s">
        <v>2966</v>
      </c>
    </row>
    <row r="1015" spans="1:11" hidden="1" x14ac:dyDescent="0.25">
      <c r="A1015" s="148" t="s">
        <v>4422</v>
      </c>
      <c r="B1015" s="149" t="s">
        <v>4423</v>
      </c>
      <c r="C1015" s="150" t="s">
        <v>18</v>
      </c>
      <c r="D1015" s="150">
        <v>0</v>
      </c>
      <c r="E1015" s="151" t="s">
        <v>13</v>
      </c>
      <c r="F1015" s="152" t="str">
        <f t="shared" si="47"/>
        <v/>
      </c>
      <c r="G1015" s="153">
        <f>IF($K1015="Padrão",BDI!$B$17,IF($K1015="Diferenciado",BDI!$E$17,0))</f>
        <v>0.2039</v>
      </c>
      <c r="H1015" s="151" t="str">
        <f t="shared" si="45"/>
        <v/>
      </c>
      <c r="I1015" s="152" t="str">
        <f t="shared" si="46"/>
        <v/>
      </c>
      <c r="J1015" s="154"/>
      <c r="K1015" s="155" t="s">
        <v>2966</v>
      </c>
    </row>
    <row r="1016" spans="1:11" hidden="1" x14ac:dyDescent="0.25">
      <c r="A1016" s="148" t="s">
        <v>933</v>
      </c>
      <c r="B1016" s="149" t="s">
        <v>4424</v>
      </c>
      <c r="C1016" s="150" t="s">
        <v>106</v>
      </c>
      <c r="D1016" s="150">
        <v>0</v>
      </c>
      <c r="E1016" s="151">
        <f ca="1">OFFSET(INDEX(Composições!A:H,MATCH(Orçamentária!A1016,Composições!A:A,0),8),2,0)</f>
        <v>43.502963272076251</v>
      </c>
      <c r="F1016" s="152">
        <f t="shared" ca="1" si="47"/>
        <v>0</v>
      </c>
      <c r="G1016" s="153">
        <f>IF($K1016="Padrão",BDI!$B$17,IF($K1016="Diferenciado",BDI!$E$17,0))</f>
        <v>0.2039</v>
      </c>
      <c r="H1016" s="151">
        <f t="shared" ca="1" si="45"/>
        <v>52.37</v>
      </c>
      <c r="I1016" s="152">
        <f t="shared" ca="1" si="46"/>
        <v>0</v>
      </c>
      <c r="J1016" s="154"/>
      <c r="K1016" s="155" t="s">
        <v>2966</v>
      </c>
    </row>
    <row r="1017" spans="1:11" hidden="1" x14ac:dyDescent="0.25">
      <c r="A1017" s="148" t="s">
        <v>934</v>
      </c>
      <c r="B1017" s="149" t="s">
        <v>4425</v>
      </c>
      <c r="C1017" s="150" t="s">
        <v>72</v>
      </c>
      <c r="D1017" s="150">
        <v>0</v>
      </c>
      <c r="E1017" s="151">
        <f ca="1">OFFSET(INDEX(Composições!A:H,MATCH(Orçamentária!A1017,Composições!A:A,0),8),2,0)</f>
        <v>14.598069943289225</v>
      </c>
      <c r="F1017" s="152">
        <f t="shared" ca="1" si="47"/>
        <v>0</v>
      </c>
      <c r="G1017" s="153">
        <f>IF($K1017="Padrão",BDI!$B$17,IF($K1017="Diferenciado",BDI!$E$17,0))</f>
        <v>0.2039</v>
      </c>
      <c r="H1017" s="151">
        <f t="shared" ca="1" si="45"/>
        <v>17.57</v>
      </c>
      <c r="I1017" s="152">
        <f t="shared" ca="1" si="46"/>
        <v>0</v>
      </c>
      <c r="J1017" s="154"/>
      <c r="K1017" s="155" t="s">
        <v>2966</v>
      </c>
    </row>
    <row r="1018" spans="1:11" hidden="1" x14ac:dyDescent="0.25">
      <c r="A1018" s="148" t="s">
        <v>935</v>
      </c>
      <c r="B1018" s="149" t="s">
        <v>4426</v>
      </c>
      <c r="C1018" s="150" t="s">
        <v>68</v>
      </c>
      <c r="D1018" s="150">
        <v>0</v>
      </c>
      <c r="E1018" s="151">
        <f ca="1">OFFSET(INDEX(Composições!A:H,MATCH(Orçamentária!A1018,Composições!A:A,0),8),2,0)</f>
        <v>25.741199999999996</v>
      </c>
      <c r="F1018" s="152">
        <f t="shared" ca="1" si="47"/>
        <v>0</v>
      </c>
      <c r="G1018" s="153">
        <f>IF($K1018="Padrão",BDI!$B$17,IF($K1018="Diferenciado",BDI!$E$17,0))</f>
        <v>0.2039</v>
      </c>
      <c r="H1018" s="151">
        <f t="shared" ca="1" si="45"/>
        <v>30.99</v>
      </c>
      <c r="I1018" s="152">
        <f t="shared" ca="1" si="46"/>
        <v>0</v>
      </c>
      <c r="J1018" s="154"/>
      <c r="K1018" s="155" t="s">
        <v>2966</v>
      </c>
    </row>
    <row r="1019" spans="1:11" hidden="1" x14ac:dyDescent="0.25">
      <c r="A1019" s="148" t="s">
        <v>939</v>
      </c>
      <c r="B1019" s="149" t="s">
        <v>4427</v>
      </c>
      <c r="C1019" s="150" t="s">
        <v>68</v>
      </c>
      <c r="D1019" s="150">
        <v>0</v>
      </c>
      <c r="E1019" s="151">
        <f ca="1">OFFSET(INDEX(Composições!A:H,MATCH(Orçamentária!A1019,Composições!A:A,0),8),2,0)</f>
        <v>114.52572049999998</v>
      </c>
      <c r="F1019" s="152">
        <f t="shared" ca="1" si="47"/>
        <v>0</v>
      </c>
      <c r="G1019" s="153">
        <f>IF($K1019="Padrão",BDI!$B$17,IF($K1019="Diferenciado",BDI!$E$17,0))</f>
        <v>0.2039</v>
      </c>
      <c r="H1019" s="151">
        <f t="shared" ca="1" si="45"/>
        <v>137.88</v>
      </c>
      <c r="I1019" s="152">
        <f t="shared" ca="1" si="46"/>
        <v>0</v>
      </c>
      <c r="J1019" s="154"/>
      <c r="K1019" s="155" t="s">
        <v>2966</v>
      </c>
    </row>
    <row r="1020" spans="1:11" hidden="1" x14ac:dyDescent="0.25">
      <c r="A1020" s="148" t="s">
        <v>4428</v>
      </c>
      <c r="B1020" s="149" t="s">
        <v>4429</v>
      </c>
      <c r="C1020" s="150" t="s">
        <v>18</v>
      </c>
      <c r="D1020" s="150">
        <v>0</v>
      </c>
      <c r="E1020" s="151" t="s">
        <v>13</v>
      </c>
      <c r="F1020" s="152" t="str">
        <f t="shared" si="47"/>
        <v/>
      </c>
      <c r="G1020" s="153">
        <f>IF($K1020="Padrão",BDI!$B$17,IF($K1020="Diferenciado",BDI!$E$17,0))</f>
        <v>0.2039</v>
      </c>
      <c r="H1020" s="151" t="str">
        <f t="shared" si="45"/>
        <v/>
      </c>
      <c r="I1020" s="152" t="str">
        <f t="shared" si="46"/>
        <v/>
      </c>
      <c r="J1020" s="154"/>
      <c r="K1020" s="155" t="s">
        <v>2966</v>
      </c>
    </row>
    <row r="1021" spans="1:11" hidden="1" x14ac:dyDescent="0.25">
      <c r="A1021" s="148" t="s">
        <v>4430</v>
      </c>
      <c r="B1021" s="149" t="s">
        <v>4431</v>
      </c>
      <c r="C1021" s="150" t="s">
        <v>18</v>
      </c>
      <c r="D1021" s="150">
        <v>0</v>
      </c>
      <c r="E1021" s="151" t="s">
        <v>13</v>
      </c>
      <c r="F1021" s="152" t="str">
        <f t="shared" si="47"/>
        <v/>
      </c>
      <c r="G1021" s="153">
        <f>IF($K1021="Padrão",BDI!$B$17,IF($K1021="Diferenciado",BDI!$E$17,0))</f>
        <v>0.2039</v>
      </c>
      <c r="H1021" s="151" t="str">
        <f t="shared" si="45"/>
        <v/>
      </c>
      <c r="I1021" s="152" t="str">
        <f t="shared" si="46"/>
        <v/>
      </c>
      <c r="J1021" s="154"/>
      <c r="K1021" s="155" t="s">
        <v>2966</v>
      </c>
    </row>
    <row r="1022" spans="1:11" ht="25.5" hidden="1" x14ac:dyDescent="0.25">
      <c r="A1022" s="148" t="s">
        <v>4432</v>
      </c>
      <c r="B1022" s="149" t="s">
        <v>4433</v>
      </c>
      <c r="C1022" s="150" t="s">
        <v>18</v>
      </c>
      <c r="D1022" s="150">
        <v>0</v>
      </c>
      <c r="E1022" s="151" t="s">
        <v>13</v>
      </c>
      <c r="F1022" s="152" t="str">
        <f t="shared" si="47"/>
        <v/>
      </c>
      <c r="G1022" s="153">
        <f>IF($K1022="Padrão",BDI!$B$17,IF($K1022="Diferenciado",BDI!$E$17,0))</f>
        <v>0.2039</v>
      </c>
      <c r="H1022" s="151" t="str">
        <f t="shared" si="45"/>
        <v/>
      </c>
      <c r="I1022" s="152" t="str">
        <f t="shared" si="46"/>
        <v/>
      </c>
      <c r="J1022" s="154"/>
      <c r="K1022" s="155" t="s">
        <v>2966</v>
      </c>
    </row>
    <row r="1023" spans="1:11" ht="25.5" hidden="1" x14ac:dyDescent="0.25">
      <c r="A1023" s="148" t="s">
        <v>4434</v>
      </c>
      <c r="B1023" s="149" t="s">
        <v>4435</v>
      </c>
      <c r="C1023" s="150" t="s">
        <v>18</v>
      </c>
      <c r="D1023" s="150">
        <v>0</v>
      </c>
      <c r="E1023" s="151" t="s">
        <v>13</v>
      </c>
      <c r="F1023" s="152" t="str">
        <f t="shared" si="47"/>
        <v/>
      </c>
      <c r="G1023" s="153">
        <f>IF($K1023="Padrão",BDI!$B$17,IF($K1023="Diferenciado",BDI!$E$17,0))</f>
        <v>0.2039</v>
      </c>
      <c r="H1023" s="151" t="str">
        <f t="shared" si="45"/>
        <v/>
      </c>
      <c r="I1023" s="152" t="str">
        <f t="shared" si="46"/>
        <v/>
      </c>
      <c r="J1023" s="154"/>
      <c r="K1023" s="155" t="s">
        <v>2966</v>
      </c>
    </row>
    <row r="1024" spans="1:11" ht="25.5" hidden="1" x14ac:dyDescent="0.25">
      <c r="A1024" s="148" t="s">
        <v>4436</v>
      </c>
      <c r="B1024" s="149" t="s">
        <v>4437</v>
      </c>
      <c r="C1024" s="150" t="s">
        <v>18</v>
      </c>
      <c r="D1024" s="150">
        <v>0</v>
      </c>
      <c r="E1024" s="151" t="s">
        <v>13</v>
      </c>
      <c r="F1024" s="152" t="str">
        <f t="shared" si="47"/>
        <v/>
      </c>
      <c r="G1024" s="153">
        <f>IF($K1024="Padrão",BDI!$B$17,IF($K1024="Diferenciado",BDI!$E$17,0))</f>
        <v>0.2039</v>
      </c>
      <c r="H1024" s="151" t="str">
        <f t="shared" si="45"/>
        <v/>
      </c>
      <c r="I1024" s="152" t="str">
        <f t="shared" si="46"/>
        <v/>
      </c>
      <c r="J1024" s="154"/>
      <c r="K1024" s="155" t="s">
        <v>2966</v>
      </c>
    </row>
    <row r="1025" spans="1:11" ht="25.5" hidden="1" x14ac:dyDescent="0.25">
      <c r="A1025" s="148" t="s">
        <v>4438</v>
      </c>
      <c r="B1025" s="149" t="s">
        <v>4439</v>
      </c>
      <c r="C1025" s="150" t="s">
        <v>18</v>
      </c>
      <c r="D1025" s="150">
        <v>0</v>
      </c>
      <c r="E1025" s="151" t="s">
        <v>13</v>
      </c>
      <c r="F1025" s="152" t="str">
        <f t="shared" si="47"/>
        <v/>
      </c>
      <c r="G1025" s="153">
        <f>IF($K1025="Padrão",BDI!$B$17,IF($K1025="Diferenciado",BDI!$E$17,0))</f>
        <v>0.2039</v>
      </c>
      <c r="H1025" s="151" t="str">
        <f t="shared" si="45"/>
        <v/>
      </c>
      <c r="I1025" s="152" t="str">
        <f t="shared" si="46"/>
        <v/>
      </c>
      <c r="J1025" s="154"/>
      <c r="K1025" s="155" t="s">
        <v>2966</v>
      </c>
    </row>
    <row r="1026" spans="1:11" ht="25.5" hidden="1" x14ac:dyDescent="0.25">
      <c r="A1026" s="148" t="s">
        <v>4440</v>
      </c>
      <c r="B1026" s="149" t="s">
        <v>4441</v>
      </c>
      <c r="C1026" s="150" t="s">
        <v>18</v>
      </c>
      <c r="D1026" s="150">
        <v>0</v>
      </c>
      <c r="E1026" s="151" t="s">
        <v>13</v>
      </c>
      <c r="F1026" s="152" t="str">
        <f t="shared" si="47"/>
        <v/>
      </c>
      <c r="G1026" s="153">
        <f>IF($K1026="Padrão",BDI!$B$17,IF($K1026="Diferenciado",BDI!$E$17,0))</f>
        <v>0.2039</v>
      </c>
      <c r="H1026" s="151" t="str">
        <f t="shared" si="45"/>
        <v/>
      </c>
      <c r="I1026" s="152" t="str">
        <f t="shared" si="46"/>
        <v/>
      </c>
      <c r="J1026" s="154"/>
      <c r="K1026" s="155" t="s">
        <v>2966</v>
      </c>
    </row>
    <row r="1027" spans="1:11" hidden="1" x14ac:dyDescent="0.25">
      <c r="A1027" s="148" t="s">
        <v>4442</v>
      </c>
      <c r="B1027" s="149" t="s">
        <v>4443</v>
      </c>
      <c r="C1027" s="150" t="s">
        <v>106</v>
      </c>
      <c r="D1027" s="150">
        <v>0</v>
      </c>
      <c r="E1027" s="151" t="s">
        <v>13</v>
      </c>
      <c r="F1027" s="152" t="str">
        <f t="shared" si="47"/>
        <v/>
      </c>
      <c r="G1027" s="153">
        <f>IF($K1027="Padrão",BDI!$B$17,IF($K1027="Diferenciado",BDI!$E$17,0))</f>
        <v>0.2039</v>
      </c>
      <c r="H1027" s="151" t="str">
        <f t="shared" si="45"/>
        <v/>
      </c>
      <c r="I1027" s="152" t="str">
        <f t="shared" si="46"/>
        <v/>
      </c>
      <c r="J1027" s="154"/>
      <c r="K1027" s="155" t="s">
        <v>2966</v>
      </c>
    </row>
    <row r="1028" spans="1:11" hidden="1" x14ac:dyDescent="0.25">
      <c r="A1028" s="148" t="s">
        <v>4444</v>
      </c>
      <c r="B1028" s="149" t="s">
        <v>4445</v>
      </c>
      <c r="C1028" s="150" t="s">
        <v>106</v>
      </c>
      <c r="D1028" s="150">
        <v>0</v>
      </c>
      <c r="E1028" s="151" t="s">
        <v>13</v>
      </c>
      <c r="F1028" s="152" t="str">
        <f t="shared" si="47"/>
        <v/>
      </c>
      <c r="G1028" s="153">
        <f>IF($K1028="Padrão",BDI!$B$17,IF($K1028="Diferenciado",BDI!$E$17,0))</f>
        <v>0.2039</v>
      </c>
      <c r="H1028" s="151" t="str">
        <f t="shared" si="45"/>
        <v/>
      </c>
      <c r="I1028" s="152" t="str">
        <f t="shared" si="46"/>
        <v/>
      </c>
      <c r="J1028" s="154"/>
      <c r="K1028" s="155" t="s">
        <v>2966</v>
      </c>
    </row>
    <row r="1029" spans="1:11" hidden="1" x14ac:dyDescent="0.25">
      <c r="A1029" s="148" t="s">
        <v>4446</v>
      </c>
      <c r="B1029" s="149" t="s">
        <v>4447</v>
      </c>
      <c r="C1029" s="150" t="s">
        <v>106</v>
      </c>
      <c r="D1029" s="150">
        <v>0</v>
      </c>
      <c r="E1029" s="151" t="s">
        <v>13</v>
      </c>
      <c r="F1029" s="152" t="str">
        <f t="shared" si="47"/>
        <v/>
      </c>
      <c r="G1029" s="153">
        <f>IF($K1029="Padrão",BDI!$B$17,IF($K1029="Diferenciado",BDI!$E$17,0))</f>
        <v>0.2039</v>
      </c>
      <c r="H1029" s="151" t="str">
        <f t="shared" si="45"/>
        <v/>
      </c>
      <c r="I1029" s="152" t="str">
        <f t="shared" si="46"/>
        <v/>
      </c>
      <c r="J1029" s="154"/>
      <c r="K1029" s="155" t="s">
        <v>2966</v>
      </c>
    </row>
    <row r="1030" spans="1:11" hidden="1" x14ac:dyDescent="0.25">
      <c r="A1030" s="148" t="s">
        <v>4448</v>
      </c>
      <c r="B1030" s="149" t="s">
        <v>4449</v>
      </c>
      <c r="C1030" s="150" t="s">
        <v>106</v>
      </c>
      <c r="D1030" s="150">
        <v>0</v>
      </c>
      <c r="E1030" s="151" t="s">
        <v>13</v>
      </c>
      <c r="F1030" s="152" t="str">
        <f t="shared" si="47"/>
        <v/>
      </c>
      <c r="G1030" s="153">
        <f>IF($K1030="Padrão",BDI!$B$17,IF($K1030="Diferenciado",BDI!$E$17,0))</f>
        <v>0.2039</v>
      </c>
      <c r="H1030" s="151" t="str">
        <f t="shared" ref="H1030:H1093" si="48">IF(ISNUMBER(E1030),ROUND(E1030*(1+G1030),2),"")</f>
        <v/>
      </c>
      <c r="I1030" s="152" t="str">
        <f t="shared" ref="I1030:I1093" si="49">IF(ISNUMBER(E1030),ROUND(H1030*D1030,2),"")</f>
        <v/>
      </c>
      <c r="J1030" s="154"/>
      <c r="K1030" s="155" t="s">
        <v>2966</v>
      </c>
    </row>
    <row r="1031" spans="1:11" hidden="1" x14ac:dyDescent="0.25">
      <c r="A1031" s="148" t="s">
        <v>4450</v>
      </c>
      <c r="B1031" s="149" t="s">
        <v>4451</v>
      </c>
      <c r="C1031" s="150" t="s">
        <v>106</v>
      </c>
      <c r="D1031" s="150">
        <v>0</v>
      </c>
      <c r="E1031" s="151" t="s">
        <v>13</v>
      </c>
      <c r="F1031" s="152" t="str">
        <f t="shared" ref="F1031:F1094" si="50">IF(ISNUMBER(E1031),D1031*E1031,"")</f>
        <v/>
      </c>
      <c r="G1031" s="153">
        <f>IF($K1031="Padrão",BDI!$B$17,IF($K1031="Diferenciado",BDI!$E$17,0))</f>
        <v>0.2039</v>
      </c>
      <c r="H1031" s="151" t="str">
        <f t="shared" si="48"/>
        <v/>
      </c>
      <c r="I1031" s="152" t="str">
        <f t="shared" si="49"/>
        <v/>
      </c>
      <c r="J1031" s="154"/>
      <c r="K1031" s="155" t="s">
        <v>2966</v>
      </c>
    </row>
    <row r="1032" spans="1:11" hidden="1" x14ac:dyDescent="0.25">
      <c r="A1032" s="148" t="s">
        <v>4452</v>
      </c>
      <c r="B1032" s="149" t="s">
        <v>4453</v>
      </c>
      <c r="C1032" s="150" t="s">
        <v>106</v>
      </c>
      <c r="D1032" s="150">
        <v>0</v>
      </c>
      <c r="E1032" s="151" t="s">
        <v>13</v>
      </c>
      <c r="F1032" s="152" t="str">
        <f t="shared" si="50"/>
        <v/>
      </c>
      <c r="G1032" s="153">
        <f>IF($K1032="Padrão",BDI!$B$17,IF($K1032="Diferenciado",BDI!$E$17,0))</f>
        <v>0.2039</v>
      </c>
      <c r="H1032" s="151" t="str">
        <f t="shared" si="48"/>
        <v/>
      </c>
      <c r="I1032" s="152" t="str">
        <f t="shared" si="49"/>
        <v/>
      </c>
      <c r="J1032" s="154"/>
      <c r="K1032" s="155" t="s">
        <v>2966</v>
      </c>
    </row>
    <row r="1033" spans="1:11" hidden="1" x14ac:dyDescent="0.25">
      <c r="A1033" s="148" t="s">
        <v>4454</v>
      </c>
      <c r="B1033" s="149" t="s">
        <v>4455</v>
      </c>
      <c r="C1033" s="150" t="s">
        <v>106</v>
      </c>
      <c r="D1033" s="150">
        <v>0</v>
      </c>
      <c r="E1033" s="151" t="s">
        <v>13</v>
      </c>
      <c r="F1033" s="152" t="str">
        <f t="shared" si="50"/>
        <v/>
      </c>
      <c r="G1033" s="153">
        <f>IF($K1033="Padrão",BDI!$B$17,IF($K1033="Diferenciado",BDI!$E$17,0))</f>
        <v>0.2039</v>
      </c>
      <c r="H1033" s="151" t="str">
        <f t="shared" si="48"/>
        <v/>
      </c>
      <c r="I1033" s="152" t="str">
        <f t="shared" si="49"/>
        <v/>
      </c>
      <c r="J1033" s="154"/>
      <c r="K1033" s="155" t="s">
        <v>2966</v>
      </c>
    </row>
    <row r="1034" spans="1:11" hidden="1" x14ac:dyDescent="0.25">
      <c r="A1034" s="148" t="s">
        <v>940</v>
      </c>
      <c r="B1034" s="149" t="s">
        <v>4456</v>
      </c>
      <c r="C1034" s="150" t="s">
        <v>4340</v>
      </c>
      <c r="D1034" s="150">
        <v>0</v>
      </c>
      <c r="E1034" s="151">
        <f ca="1">OFFSET(INDEX(Composições!A:H,MATCH(Orçamentária!A1034,Composições!A:A,0),8),2,0)</f>
        <v>1959.375</v>
      </c>
      <c r="F1034" s="152">
        <f t="shared" ca="1" si="50"/>
        <v>0</v>
      </c>
      <c r="G1034" s="153">
        <f>IF($K1034="Padrão",BDI!$B$17,IF($K1034="Diferenciado",BDI!$E$17,0))</f>
        <v>0.2039</v>
      </c>
      <c r="H1034" s="151">
        <f t="shared" ca="1" si="48"/>
        <v>2358.89</v>
      </c>
      <c r="I1034" s="152">
        <f t="shared" ca="1" si="49"/>
        <v>0</v>
      </c>
      <c r="J1034" s="154"/>
      <c r="K1034" s="155" t="s">
        <v>2966</v>
      </c>
    </row>
    <row r="1035" spans="1:11" hidden="1" x14ac:dyDescent="0.25">
      <c r="A1035" s="148" t="s">
        <v>941</v>
      </c>
      <c r="B1035" s="149" t="s">
        <v>4457</v>
      </c>
      <c r="C1035" s="150" t="s">
        <v>4340</v>
      </c>
      <c r="D1035" s="150">
        <v>0</v>
      </c>
      <c r="E1035" s="151">
        <f ca="1">OFFSET(INDEX(Composições!A:H,MATCH(Orçamentária!A1035,Composições!A:A,0),8),2,0)</f>
        <v>1224.607</v>
      </c>
      <c r="F1035" s="152">
        <f t="shared" ca="1" si="50"/>
        <v>0</v>
      </c>
      <c r="G1035" s="153">
        <f>IF($K1035="Padrão",BDI!$B$17,IF($K1035="Diferenciado",BDI!$E$17,0))</f>
        <v>0.2039</v>
      </c>
      <c r="H1035" s="151">
        <f t="shared" ca="1" si="48"/>
        <v>1474.3</v>
      </c>
      <c r="I1035" s="152">
        <f t="shared" ca="1" si="49"/>
        <v>0</v>
      </c>
      <c r="J1035" s="154"/>
      <c r="K1035" s="155" t="s">
        <v>2966</v>
      </c>
    </row>
    <row r="1036" spans="1:11" hidden="1" x14ac:dyDescent="0.25">
      <c r="A1036" s="148" t="s">
        <v>942</v>
      </c>
      <c r="B1036" s="149" t="s">
        <v>4458</v>
      </c>
      <c r="C1036" s="150" t="s">
        <v>68</v>
      </c>
      <c r="D1036" s="150">
        <v>0</v>
      </c>
      <c r="E1036" s="151">
        <f ca="1">OFFSET(INDEX(Composições!A:H,MATCH(Orçamentária!A1036,Composições!A:A,0),8),2,0)</f>
        <v>380</v>
      </c>
      <c r="F1036" s="152">
        <f t="shared" ca="1" si="50"/>
        <v>0</v>
      </c>
      <c r="G1036" s="153">
        <f>IF($K1036="Padrão",BDI!$B$17,IF($K1036="Diferenciado",BDI!$E$17,0))</f>
        <v>0.2039</v>
      </c>
      <c r="H1036" s="151">
        <f t="shared" ca="1" si="48"/>
        <v>457.48</v>
      </c>
      <c r="I1036" s="152">
        <f t="shared" ca="1" si="49"/>
        <v>0</v>
      </c>
      <c r="J1036" s="154"/>
      <c r="K1036" s="155" t="s">
        <v>2966</v>
      </c>
    </row>
    <row r="1037" spans="1:11" ht="25.5" hidden="1" x14ac:dyDescent="0.25">
      <c r="A1037" s="148" t="s">
        <v>943</v>
      </c>
      <c r="B1037" s="149" t="s">
        <v>4459</v>
      </c>
      <c r="C1037" s="150" t="s">
        <v>3982</v>
      </c>
      <c r="D1037" s="150">
        <v>0</v>
      </c>
      <c r="E1037" s="151" t="e">
        <f ca="1">OFFSET(INDEX(Composições!A:H,MATCH(Orçamentária!A1037,Composições!A:A,0),8),2,0)</f>
        <v>#REF!</v>
      </c>
      <c r="F1037" s="152" t="str">
        <f t="shared" ca="1" si="50"/>
        <v/>
      </c>
      <c r="G1037" s="153">
        <f>IF($K1037="Padrão",BDI!$B$17,IF($K1037="Diferenciado",BDI!$E$17,0))</f>
        <v>0.2039</v>
      </c>
      <c r="H1037" s="151" t="str">
        <f t="shared" ca="1" si="48"/>
        <v/>
      </c>
      <c r="I1037" s="152" t="str">
        <f t="shared" ca="1" si="49"/>
        <v/>
      </c>
      <c r="J1037" s="154"/>
      <c r="K1037" s="155" t="s">
        <v>2966</v>
      </c>
    </row>
    <row r="1038" spans="1:11" hidden="1" x14ac:dyDescent="0.25">
      <c r="A1038" s="148" t="s">
        <v>944</v>
      </c>
      <c r="B1038" s="149" t="s">
        <v>4460</v>
      </c>
      <c r="C1038" s="150" t="s">
        <v>3982</v>
      </c>
      <c r="D1038" s="150">
        <v>0</v>
      </c>
      <c r="E1038" s="151" t="e">
        <f ca="1">OFFSET(INDEX(Composições!A:H,MATCH(Orçamentária!A1038,Composições!A:A,0),8),2,0)</f>
        <v>#REF!</v>
      </c>
      <c r="F1038" s="152" t="str">
        <f t="shared" ca="1" si="50"/>
        <v/>
      </c>
      <c r="G1038" s="153">
        <f>IF($K1038="Padrão",BDI!$B$17,IF($K1038="Diferenciado",BDI!$E$17,0))</f>
        <v>0.2039</v>
      </c>
      <c r="H1038" s="151" t="str">
        <f t="shared" ca="1" si="48"/>
        <v/>
      </c>
      <c r="I1038" s="152" t="str">
        <f t="shared" ca="1" si="49"/>
        <v/>
      </c>
      <c r="J1038" s="154"/>
      <c r="K1038" s="155" t="s">
        <v>2966</v>
      </c>
    </row>
    <row r="1039" spans="1:11" hidden="1" x14ac:dyDescent="0.25">
      <c r="A1039" s="148" t="s">
        <v>945</v>
      </c>
      <c r="B1039" s="149" t="s">
        <v>4461</v>
      </c>
      <c r="C1039" s="150" t="s">
        <v>3982</v>
      </c>
      <c r="D1039" s="150">
        <v>0</v>
      </c>
      <c r="E1039" s="151" t="e">
        <f ca="1">OFFSET(INDEX(Composições!A:H,MATCH(Orçamentária!A1039,Composições!A:A,0),8),2,0)</f>
        <v>#REF!</v>
      </c>
      <c r="F1039" s="152" t="str">
        <f t="shared" ca="1" si="50"/>
        <v/>
      </c>
      <c r="G1039" s="153">
        <f>IF($K1039="Padrão",BDI!$B$17,IF($K1039="Diferenciado",BDI!$E$17,0))</f>
        <v>0.2039</v>
      </c>
      <c r="H1039" s="151" t="str">
        <f t="shared" ca="1" si="48"/>
        <v/>
      </c>
      <c r="I1039" s="152" t="str">
        <f t="shared" ca="1" si="49"/>
        <v/>
      </c>
      <c r="J1039" s="154"/>
      <c r="K1039" s="155" t="s">
        <v>2966</v>
      </c>
    </row>
    <row r="1040" spans="1:11" hidden="1" x14ac:dyDescent="0.25">
      <c r="A1040" s="148" t="s">
        <v>946</v>
      </c>
      <c r="B1040" s="149" t="s">
        <v>4462</v>
      </c>
      <c r="C1040" s="150" t="s">
        <v>3982</v>
      </c>
      <c r="D1040" s="150">
        <v>0</v>
      </c>
      <c r="E1040" s="151" t="e">
        <f ca="1">OFFSET(INDEX(Composições!A:H,MATCH(Orçamentária!A1040,Composições!A:A,0),8),2,0)</f>
        <v>#REF!</v>
      </c>
      <c r="F1040" s="152" t="str">
        <f t="shared" ca="1" si="50"/>
        <v/>
      </c>
      <c r="G1040" s="153">
        <f>IF($K1040="Padrão",BDI!$B$17,IF($K1040="Diferenciado",BDI!$E$17,0))</f>
        <v>0.2039</v>
      </c>
      <c r="H1040" s="151" t="str">
        <f t="shared" ca="1" si="48"/>
        <v/>
      </c>
      <c r="I1040" s="152" t="str">
        <f t="shared" ca="1" si="49"/>
        <v/>
      </c>
      <c r="J1040" s="154"/>
      <c r="K1040" s="155" t="s">
        <v>2966</v>
      </c>
    </row>
    <row r="1041" spans="1:11" hidden="1" x14ac:dyDescent="0.25">
      <c r="A1041" s="148" t="s">
        <v>947</v>
      </c>
      <c r="B1041" s="149" t="s">
        <v>4463</v>
      </c>
      <c r="C1041" s="150" t="s">
        <v>3982</v>
      </c>
      <c r="D1041" s="150">
        <v>0</v>
      </c>
      <c r="E1041" s="151" t="e">
        <f ca="1">OFFSET(INDEX(Composições!A:H,MATCH(Orçamentária!A1041,Composições!A:A,0),8),2,0)</f>
        <v>#REF!</v>
      </c>
      <c r="F1041" s="152" t="str">
        <f t="shared" ca="1" si="50"/>
        <v/>
      </c>
      <c r="G1041" s="153">
        <f>IF($K1041="Padrão",BDI!$B$17,IF($K1041="Diferenciado",BDI!$E$17,0))</f>
        <v>0.2039</v>
      </c>
      <c r="H1041" s="151" t="str">
        <f t="shared" ca="1" si="48"/>
        <v/>
      </c>
      <c r="I1041" s="152" t="str">
        <f t="shared" ca="1" si="49"/>
        <v/>
      </c>
      <c r="J1041" s="154"/>
      <c r="K1041" s="155" t="s">
        <v>2966</v>
      </c>
    </row>
    <row r="1042" spans="1:11" hidden="1" x14ac:dyDescent="0.25">
      <c r="A1042" s="148" t="s">
        <v>948</v>
      </c>
      <c r="B1042" s="149" t="s">
        <v>4464</v>
      </c>
      <c r="C1042" s="150" t="s">
        <v>3982</v>
      </c>
      <c r="D1042" s="150">
        <v>0</v>
      </c>
      <c r="E1042" s="151" t="e">
        <f ca="1">OFFSET(INDEX(Composições!A:H,MATCH(Orçamentária!A1042,Composições!A:A,0),8),2,0)</f>
        <v>#REF!</v>
      </c>
      <c r="F1042" s="152" t="str">
        <f t="shared" ca="1" si="50"/>
        <v/>
      </c>
      <c r="G1042" s="153">
        <f>IF($K1042="Padrão",BDI!$B$17,IF($K1042="Diferenciado",BDI!$E$17,0))</f>
        <v>0.2039</v>
      </c>
      <c r="H1042" s="151" t="str">
        <f t="shared" ca="1" si="48"/>
        <v/>
      </c>
      <c r="I1042" s="152" t="str">
        <f t="shared" ca="1" si="49"/>
        <v/>
      </c>
      <c r="J1042" s="154"/>
      <c r="K1042" s="155" t="s">
        <v>2966</v>
      </c>
    </row>
    <row r="1043" spans="1:11" hidden="1" x14ac:dyDescent="0.25">
      <c r="A1043" s="148" t="s">
        <v>949</v>
      </c>
      <c r="B1043" s="149" t="s">
        <v>4465</v>
      </c>
      <c r="C1043" s="150" t="s">
        <v>3982</v>
      </c>
      <c r="D1043" s="150">
        <v>0</v>
      </c>
      <c r="E1043" s="151" t="e">
        <f ca="1">OFFSET(INDEX(Composições!A:H,MATCH(Orçamentária!A1043,Composições!A:A,0),8),2,0)</f>
        <v>#REF!</v>
      </c>
      <c r="F1043" s="152" t="str">
        <f t="shared" ca="1" si="50"/>
        <v/>
      </c>
      <c r="G1043" s="153">
        <f>IF($K1043="Padrão",BDI!$B$17,IF($K1043="Diferenciado",BDI!$E$17,0))</f>
        <v>0.2039</v>
      </c>
      <c r="H1043" s="151" t="str">
        <f t="shared" ca="1" si="48"/>
        <v/>
      </c>
      <c r="I1043" s="152" t="str">
        <f t="shared" ca="1" si="49"/>
        <v/>
      </c>
      <c r="J1043" s="154"/>
      <c r="K1043" s="155" t="s">
        <v>2966</v>
      </c>
    </row>
    <row r="1044" spans="1:11" hidden="1" x14ac:dyDescent="0.25">
      <c r="A1044" s="148" t="s">
        <v>950</v>
      </c>
      <c r="B1044" s="149" t="s">
        <v>4466</v>
      </c>
      <c r="C1044" s="150" t="s">
        <v>3982</v>
      </c>
      <c r="D1044" s="150">
        <v>0</v>
      </c>
      <c r="E1044" s="151" t="e">
        <f ca="1">OFFSET(INDEX(Composições!A:H,MATCH(Orçamentária!A1044,Composições!A:A,0),8),2,0)</f>
        <v>#REF!</v>
      </c>
      <c r="F1044" s="152" t="str">
        <f t="shared" ca="1" si="50"/>
        <v/>
      </c>
      <c r="G1044" s="153">
        <f>IF($K1044="Padrão",BDI!$B$17,IF($K1044="Diferenciado",BDI!$E$17,0))</f>
        <v>0.2039</v>
      </c>
      <c r="H1044" s="151" t="str">
        <f t="shared" ca="1" si="48"/>
        <v/>
      </c>
      <c r="I1044" s="152" t="str">
        <f t="shared" ca="1" si="49"/>
        <v/>
      </c>
      <c r="J1044" s="154"/>
      <c r="K1044" s="155" t="s">
        <v>2966</v>
      </c>
    </row>
    <row r="1045" spans="1:11" hidden="1" x14ac:dyDescent="0.25">
      <c r="A1045" s="148" t="s">
        <v>951</v>
      </c>
      <c r="B1045" s="149" t="s">
        <v>4467</v>
      </c>
      <c r="C1045" s="150" t="s">
        <v>3982</v>
      </c>
      <c r="D1045" s="150">
        <v>0</v>
      </c>
      <c r="E1045" s="151" t="e">
        <f ca="1">OFFSET(INDEX(Composições!A:H,MATCH(Orçamentária!A1045,Composições!A:A,0),8),2,0)</f>
        <v>#REF!</v>
      </c>
      <c r="F1045" s="152" t="str">
        <f t="shared" ca="1" si="50"/>
        <v/>
      </c>
      <c r="G1045" s="153">
        <f>IF($K1045="Padrão",BDI!$B$17,IF($K1045="Diferenciado",BDI!$E$17,0))</f>
        <v>0.2039</v>
      </c>
      <c r="H1045" s="151" t="str">
        <f t="shared" ca="1" si="48"/>
        <v/>
      </c>
      <c r="I1045" s="152" t="str">
        <f t="shared" ca="1" si="49"/>
        <v/>
      </c>
      <c r="J1045" s="154"/>
      <c r="K1045" s="155" t="s">
        <v>2966</v>
      </c>
    </row>
    <row r="1046" spans="1:11" hidden="1" x14ac:dyDescent="0.25">
      <c r="A1046" s="148" t="s">
        <v>952</v>
      </c>
      <c r="B1046" s="149" t="s">
        <v>4468</v>
      </c>
      <c r="C1046" s="150" t="s">
        <v>3982</v>
      </c>
      <c r="D1046" s="150">
        <v>0</v>
      </c>
      <c r="E1046" s="151" t="e">
        <f ca="1">OFFSET(INDEX(Composições!A:H,MATCH(Orçamentária!A1046,Composições!A:A,0),8),2,0)</f>
        <v>#REF!</v>
      </c>
      <c r="F1046" s="152" t="str">
        <f t="shared" ca="1" si="50"/>
        <v/>
      </c>
      <c r="G1046" s="153">
        <f>IF($K1046="Padrão",BDI!$B$17,IF($K1046="Diferenciado",BDI!$E$17,0))</f>
        <v>0.2039</v>
      </c>
      <c r="H1046" s="151" t="str">
        <f t="shared" ca="1" si="48"/>
        <v/>
      </c>
      <c r="I1046" s="152" t="str">
        <f t="shared" ca="1" si="49"/>
        <v/>
      </c>
      <c r="J1046" s="154"/>
      <c r="K1046" s="155" t="s">
        <v>2966</v>
      </c>
    </row>
    <row r="1047" spans="1:11" hidden="1" x14ac:dyDescent="0.25">
      <c r="A1047" s="148" t="s">
        <v>4469</v>
      </c>
      <c r="B1047" s="149" t="s">
        <v>4470</v>
      </c>
      <c r="C1047" s="150" t="s">
        <v>87</v>
      </c>
      <c r="D1047" s="150">
        <v>0</v>
      </c>
      <c r="E1047" s="151" t="s">
        <v>13</v>
      </c>
      <c r="F1047" s="152" t="str">
        <f t="shared" si="50"/>
        <v/>
      </c>
      <c r="G1047" s="153">
        <f>IF($K1047="Padrão",BDI!$B$17,IF($K1047="Diferenciado",BDI!$E$17,0))</f>
        <v>0.2039</v>
      </c>
      <c r="H1047" s="151" t="str">
        <f t="shared" si="48"/>
        <v/>
      </c>
      <c r="I1047" s="152" t="str">
        <f t="shared" si="49"/>
        <v/>
      </c>
      <c r="J1047" s="154"/>
      <c r="K1047" s="155" t="s">
        <v>2966</v>
      </c>
    </row>
    <row r="1048" spans="1:11" hidden="1" x14ac:dyDescent="0.25">
      <c r="A1048" s="148" t="s">
        <v>4471</v>
      </c>
      <c r="B1048" s="149" t="s">
        <v>4472</v>
      </c>
      <c r="C1048" s="150" t="s">
        <v>87</v>
      </c>
      <c r="D1048" s="150">
        <v>0</v>
      </c>
      <c r="E1048" s="151" t="s">
        <v>13</v>
      </c>
      <c r="F1048" s="152" t="str">
        <f t="shared" si="50"/>
        <v/>
      </c>
      <c r="G1048" s="153">
        <f>IF($K1048="Padrão",BDI!$B$17,IF($K1048="Diferenciado",BDI!$E$17,0))</f>
        <v>0.2039</v>
      </c>
      <c r="H1048" s="151" t="str">
        <f t="shared" si="48"/>
        <v/>
      </c>
      <c r="I1048" s="152" t="str">
        <f t="shared" si="49"/>
        <v/>
      </c>
      <c r="J1048" s="154"/>
      <c r="K1048" s="155" t="s">
        <v>2966</v>
      </c>
    </row>
    <row r="1049" spans="1:11" hidden="1" x14ac:dyDescent="0.25">
      <c r="A1049" s="148" t="s">
        <v>4473</v>
      </c>
      <c r="B1049" s="149" t="s">
        <v>4474</v>
      </c>
      <c r="C1049" s="150" t="s">
        <v>87</v>
      </c>
      <c r="D1049" s="150">
        <v>0</v>
      </c>
      <c r="E1049" s="151" t="s">
        <v>13</v>
      </c>
      <c r="F1049" s="152" t="str">
        <f t="shared" si="50"/>
        <v/>
      </c>
      <c r="G1049" s="153">
        <f>IF($K1049="Padrão",BDI!$B$17,IF($K1049="Diferenciado",BDI!$E$17,0))</f>
        <v>0.2039</v>
      </c>
      <c r="H1049" s="151" t="str">
        <f t="shared" si="48"/>
        <v/>
      </c>
      <c r="I1049" s="152" t="str">
        <f t="shared" si="49"/>
        <v/>
      </c>
      <c r="J1049" s="154"/>
      <c r="K1049" s="155" t="s">
        <v>2966</v>
      </c>
    </row>
    <row r="1050" spans="1:11" hidden="1" x14ac:dyDescent="0.25">
      <c r="A1050" s="148" t="s">
        <v>4475</v>
      </c>
      <c r="B1050" s="149" t="s">
        <v>4476</v>
      </c>
      <c r="C1050" s="150" t="s">
        <v>87</v>
      </c>
      <c r="D1050" s="150">
        <v>0</v>
      </c>
      <c r="E1050" s="151" t="s">
        <v>13</v>
      </c>
      <c r="F1050" s="152" t="str">
        <f t="shared" si="50"/>
        <v/>
      </c>
      <c r="G1050" s="153">
        <f>IF($K1050="Padrão",BDI!$B$17,IF($K1050="Diferenciado",BDI!$E$17,0))</f>
        <v>0.2039</v>
      </c>
      <c r="H1050" s="151" t="str">
        <f t="shared" si="48"/>
        <v/>
      </c>
      <c r="I1050" s="152" t="str">
        <f t="shared" si="49"/>
        <v/>
      </c>
      <c r="J1050" s="154"/>
      <c r="K1050" s="155" t="s">
        <v>2966</v>
      </c>
    </row>
    <row r="1051" spans="1:11" hidden="1" x14ac:dyDescent="0.25">
      <c r="A1051" s="148" t="s">
        <v>4477</v>
      </c>
      <c r="B1051" s="149" t="s">
        <v>4478</v>
      </c>
      <c r="C1051" s="150" t="s">
        <v>18</v>
      </c>
      <c r="D1051" s="150">
        <v>0</v>
      </c>
      <c r="E1051" s="151" t="s">
        <v>13</v>
      </c>
      <c r="F1051" s="152" t="str">
        <f t="shared" si="50"/>
        <v/>
      </c>
      <c r="G1051" s="153">
        <f>IF($K1051="Padrão",BDI!$B$17,IF($K1051="Diferenciado",BDI!$E$17,0))</f>
        <v>0.2039</v>
      </c>
      <c r="H1051" s="151" t="str">
        <f t="shared" si="48"/>
        <v/>
      </c>
      <c r="I1051" s="152" t="str">
        <f t="shared" si="49"/>
        <v/>
      </c>
      <c r="J1051" s="154"/>
      <c r="K1051" s="155" t="s">
        <v>2966</v>
      </c>
    </row>
    <row r="1052" spans="1:11" hidden="1" x14ac:dyDescent="0.25">
      <c r="A1052" s="148" t="s">
        <v>4479</v>
      </c>
      <c r="B1052" s="149" t="s">
        <v>4480</v>
      </c>
      <c r="C1052" s="150" t="s">
        <v>461</v>
      </c>
      <c r="D1052" s="150">
        <v>0</v>
      </c>
      <c r="E1052" s="151" t="s">
        <v>13</v>
      </c>
      <c r="F1052" s="152" t="str">
        <f t="shared" si="50"/>
        <v/>
      </c>
      <c r="G1052" s="153">
        <f>IF($K1052="Padrão",BDI!$B$17,IF($K1052="Diferenciado",BDI!$E$17,0))</f>
        <v>0.2039</v>
      </c>
      <c r="H1052" s="151" t="str">
        <f t="shared" si="48"/>
        <v/>
      </c>
      <c r="I1052" s="152" t="str">
        <f t="shared" si="49"/>
        <v/>
      </c>
      <c r="J1052" s="154"/>
      <c r="K1052" s="155" t="s">
        <v>2966</v>
      </c>
    </row>
    <row r="1053" spans="1:11" hidden="1" x14ac:dyDescent="0.25">
      <c r="A1053" s="148" t="s">
        <v>4481</v>
      </c>
      <c r="B1053" s="149" t="s">
        <v>4482</v>
      </c>
      <c r="C1053" s="150" t="s">
        <v>461</v>
      </c>
      <c r="D1053" s="150">
        <v>0</v>
      </c>
      <c r="E1053" s="151" t="s">
        <v>13</v>
      </c>
      <c r="F1053" s="152" t="str">
        <f t="shared" si="50"/>
        <v/>
      </c>
      <c r="G1053" s="153">
        <f>IF($K1053="Padrão",BDI!$B$17,IF($K1053="Diferenciado",BDI!$E$17,0))</f>
        <v>0.2039</v>
      </c>
      <c r="H1053" s="151" t="str">
        <f t="shared" si="48"/>
        <v/>
      </c>
      <c r="I1053" s="152" t="str">
        <f t="shared" si="49"/>
        <v/>
      </c>
      <c r="J1053" s="154"/>
      <c r="K1053" s="155" t="s">
        <v>2966</v>
      </c>
    </row>
    <row r="1054" spans="1:11" hidden="1" x14ac:dyDescent="0.25">
      <c r="A1054" s="148" t="s">
        <v>4483</v>
      </c>
      <c r="B1054" s="149" t="s">
        <v>4484</v>
      </c>
      <c r="C1054" s="150" t="s">
        <v>87</v>
      </c>
      <c r="D1054" s="150">
        <v>0</v>
      </c>
      <c r="E1054" s="151" t="s">
        <v>13</v>
      </c>
      <c r="F1054" s="152" t="str">
        <f t="shared" si="50"/>
        <v/>
      </c>
      <c r="G1054" s="153">
        <f>IF($K1054="Padrão",BDI!$B$17,IF($K1054="Diferenciado",BDI!$E$17,0))</f>
        <v>0.2039</v>
      </c>
      <c r="H1054" s="151" t="str">
        <f t="shared" si="48"/>
        <v/>
      </c>
      <c r="I1054" s="152" t="str">
        <f t="shared" si="49"/>
        <v/>
      </c>
      <c r="J1054" s="154"/>
      <c r="K1054" s="155" t="s">
        <v>2966</v>
      </c>
    </row>
    <row r="1055" spans="1:11" hidden="1" x14ac:dyDescent="0.25">
      <c r="A1055" s="148" t="s">
        <v>4485</v>
      </c>
      <c r="B1055" s="149" t="s">
        <v>4486</v>
      </c>
      <c r="C1055" s="150" t="s">
        <v>18</v>
      </c>
      <c r="D1055" s="150">
        <v>0</v>
      </c>
      <c r="E1055" s="151" t="s">
        <v>13</v>
      </c>
      <c r="F1055" s="152" t="str">
        <f t="shared" si="50"/>
        <v/>
      </c>
      <c r="G1055" s="153">
        <f>IF($K1055="Padrão",BDI!$B$17,IF($K1055="Diferenciado",BDI!$E$17,0))</f>
        <v>0.2039</v>
      </c>
      <c r="H1055" s="151" t="str">
        <f t="shared" si="48"/>
        <v/>
      </c>
      <c r="I1055" s="152" t="str">
        <f t="shared" si="49"/>
        <v/>
      </c>
      <c r="J1055" s="154"/>
      <c r="K1055" s="155" t="s">
        <v>2966</v>
      </c>
    </row>
    <row r="1056" spans="1:11" hidden="1" x14ac:dyDescent="0.25">
      <c r="A1056" s="148" t="s">
        <v>4487</v>
      </c>
      <c r="B1056" s="149" t="s">
        <v>4488</v>
      </c>
      <c r="C1056" s="150" t="s">
        <v>87</v>
      </c>
      <c r="D1056" s="150">
        <v>0</v>
      </c>
      <c r="E1056" s="151" t="s">
        <v>13</v>
      </c>
      <c r="F1056" s="152" t="str">
        <f t="shared" si="50"/>
        <v/>
      </c>
      <c r="G1056" s="153">
        <f>IF($K1056="Padrão",BDI!$B$17,IF($K1056="Diferenciado",BDI!$E$17,0))</f>
        <v>0.2039</v>
      </c>
      <c r="H1056" s="151" t="str">
        <f t="shared" si="48"/>
        <v/>
      </c>
      <c r="I1056" s="152" t="str">
        <f t="shared" si="49"/>
        <v/>
      </c>
      <c r="J1056" s="154"/>
      <c r="K1056" s="155" t="s">
        <v>2966</v>
      </c>
    </row>
    <row r="1057" spans="1:11" hidden="1" x14ac:dyDescent="0.25">
      <c r="A1057" s="148" t="s">
        <v>4489</v>
      </c>
      <c r="B1057" s="149" t="s">
        <v>4490</v>
      </c>
      <c r="C1057" s="150" t="s">
        <v>3474</v>
      </c>
      <c r="D1057" s="150">
        <v>0</v>
      </c>
      <c r="E1057" s="151" t="s">
        <v>13</v>
      </c>
      <c r="F1057" s="152" t="str">
        <f t="shared" si="50"/>
        <v/>
      </c>
      <c r="G1057" s="153">
        <f>IF($K1057="Padrão",BDI!$B$17,IF($K1057="Diferenciado",BDI!$E$17,0))</f>
        <v>0.2039</v>
      </c>
      <c r="H1057" s="151" t="str">
        <f t="shared" si="48"/>
        <v/>
      </c>
      <c r="I1057" s="152" t="str">
        <f t="shared" si="49"/>
        <v/>
      </c>
      <c r="J1057" s="154"/>
      <c r="K1057" s="155" t="s">
        <v>2966</v>
      </c>
    </row>
    <row r="1058" spans="1:11" hidden="1" x14ac:dyDescent="0.25">
      <c r="A1058" s="148" t="s">
        <v>953</v>
      </c>
      <c r="B1058" s="149" t="s">
        <v>4491</v>
      </c>
      <c r="C1058" s="150" t="s">
        <v>4492</v>
      </c>
      <c r="D1058" s="150">
        <v>0</v>
      </c>
      <c r="E1058" s="151">
        <f ca="1">OFFSET(INDEX(Composições!A:H,MATCH(Orçamentária!A1058,Composições!A:A,0),8),2,0)</f>
        <v>0.30912999999999996</v>
      </c>
      <c r="F1058" s="152">
        <f t="shared" ca="1" si="50"/>
        <v>0</v>
      </c>
      <c r="G1058" s="153">
        <f>IF($K1058="Padrão",BDI!$B$17,IF($K1058="Diferenciado",BDI!$E$17,0))</f>
        <v>0.2039</v>
      </c>
      <c r="H1058" s="151">
        <f t="shared" ca="1" si="48"/>
        <v>0.37</v>
      </c>
      <c r="I1058" s="152">
        <f t="shared" ca="1" si="49"/>
        <v>0</v>
      </c>
      <c r="J1058" s="154"/>
      <c r="K1058" s="155" t="s">
        <v>2966</v>
      </c>
    </row>
    <row r="1059" spans="1:11" hidden="1" x14ac:dyDescent="0.25">
      <c r="A1059" s="148" t="s">
        <v>955</v>
      </c>
      <c r="B1059" s="149" t="s">
        <v>4493</v>
      </c>
      <c r="C1059" s="150" t="s">
        <v>106</v>
      </c>
      <c r="D1059" s="150">
        <v>0</v>
      </c>
      <c r="E1059" s="151">
        <f ca="1">OFFSET(INDEX(Composições!A:H,MATCH(Orçamentária!A1059,Composições!A:A,0),8),2,0)</f>
        <v>45.563032916617502</v>
      </c>
      <c r="F1059" s="152">
        <f t="shared" ca="1" si="50"/>
        <v>0</v>
      </c>
      <c r="G1059" s="153">
        <f>IF($K1059="Padrão",BDI!$B$17,IF($K1059="Diferenciado",BDI!$E$17,0))</f>
        <v>0.2039</v>
      </c>
      <c r="H1059" s="151">
        <f t="shared" ca="1" si="48"/>
        <v>54.85</v>
      </c>
      <c r="I1059" s="152">
        <f t="shared" ca="1" si="49"/>
        <v>0</v>
      </c>
      <c r="J1059" s="154"/>
      <c r="K1059" s="155" t="s">
        <v>2966</v>
      </c>
    </row>
    <row r="1060" spans="1:11" hidden="1" x14ac:dyDescent="0.25">
      <c r="A1060" s="148" t="s">
        <v>4494</v>
      </c>
      <c r="B1060" s="149" t="s">
        <v>4495</v>
      </c>
      <c r="C1060" s="150" t="s">
        <v>18</v>
      </c>
      <c r="D1060" s="150">
        <v>0</v>
      </c>
      <c r="E1060" s="151" t="s">
        <v>13</v>
      </c>
      <c r="F1060" s="152" t="str">
        <f t="shared" si="50"/>
        <v/>
      </c>
      <c r="G1060" s="153">
        <f>IF($K1060="Padrão",BDI!$B$17,IF($K1060="Diferenciado",BDI!$E$17,0))</f>
        <v>0.2039</v>
      </c>
      <c r="H1060" s="151" t="str">
        <f t="shared" si="48"/>
        <v/>
      </c>
      <c r="I1060" s="152" t="str">
        <f t="shared" si="49"/>
        <v/>
      </c>
      <c r="J1060" s="154"/>
      <c r="K1060" s="155" t="s">
        <v>2966</v>
      </c>
    </row>
    <row r="1061" spans="1:11" ht="25.5" hidden="1" x14ac:dyDescent="0.25">
      <c r="A1061" s="148" t="s">
        <v>4496</v>
      </c>
      <c r="B1061" s="149" t="s">
        <v>4497</v>
      </c>
      <c r="C1061" s="150" t="s">
        <v>18</v>
      </c>
      <c r="D1061" s="150">
        <v>0</v>
      </c>
      <c r="E1061" s="151" t="s">
        <v>13</v>
      </c>
      <c r="F1061" s="152" t="str">
        <f t="shared" si="50"/>
        <v/>
      </c>
      <c r="G1061" s="153">
        <f>IF($K1061="Padrão",BDI!$B$17,IF($K1061="Diferenciado",BDI!$E$17,0))</f>
        <v>0.2039</v>
      </c>
      <c r="H1061" s="151" t="str">
        <f t="shared" si="48"/>
        <v/>
      </c>
      <c r="I1061" s="152" t="str">
        <f t="shared" si="49"/>
        <v/>
      </c>
      <c r="J1061" s="154"/>
      <c r="K1061" s="155" t="s">
        <v>2966</v>
      </c>
    </row>
    <row r="1062" spans="1:11" hidden="1" x14ac:dyDescent="0.25">
      <c r="A1062" s="148" t="s">
        <v>4498</v>
      </c>
      <c r="B1062" s="149" t="s">
        <v>4499</v>
      </c>
      <c r="C1062" s="150" t="s">
        <v>18</v>
      </c>
      <c r="D1062" s="150">
        <v>0</v>
      </c>
      <c r="E1062" s="151" t="s">
        <v>13</v>
      </c>
      <c r="F1062" s="152" t="str">
        <f t="shared" si="50"/>
        <v/>
      </c>
      <c r="G1062" s="153">
        <f>IF($K1062="Padrão",BDI!$B$17,IF($K1062="Diferenciado",BDI!$E$17,0))</f>
        <v>0.2039</v>
      </c>
      <c r="H1062" s="151" t="str">
        <f t="shared" si="48"/>
        <v/>
      </c>
      <c r="I1062" s="152" t="str">
        <f t="shared" si="49"/>
        <v/>
      </c>
      <c r="J1062" s="154"/>
      <c r="K1062" s="155" t="s">
        <v>2966</v>
      </c>
    </row>
    <row r="1063" spans="1:11" hidden="1" x14ac:dyDescent="0.25">
      <c r="A1063" s="148" t="s">
        <v>4500</v>
      </c>
      <c r="B1063" s="149" t="s">
        <v>4501</v>
      </c>
      <c r="C1063" s="150" t="s">
        <v>18</v>
      </c>
      <c r="D1063" s="150">
        <v>0</v>
      </c>
      <c r="E1063" s="151" t="s">
        <v>13</v>
      </c>
      <c r="F1063" s="152" t="str">
        <f t="shared" si="50"/>
        <v/>
      </c>
      <c r="G1063" s="153">
        <f>IF($K1063="Padrão",BDI!$B$17,IF($K1063="Diferenciado",BDI!$E$17,0))</f>
        <v>0.2039</v>
      </c>
      <c r="H1063" s="151" t="str">
        <f t="shared" si="48"/>
        <v/>
      </c>
      <c r="I1063" s="152" t="str">
        <f t="shared" si="49"/>
        <v/>
      </c>
      <c r="J1063" s="154"/>
      <c r="K1063" s="155" t="s">
        <v>2966</v>
      </c>
    </row>
    <row r="1064" spans="1:11" hidden="1" x14ac:dyDescent="0.25">
      <c r="A1064" s="148" t="s">
        <v>958</v>
      </c>
      <c r="B1064" s="149" t="s">
        <v>4502</v>
      </c>
      <c r="C1064" s="150" t="s">
        <v>68</v>
      </c>
      <c r="D1064" s="150">
        <v>0</v>
      </c>
      <c r="E1064" s="151">
        <f ca="1">OFFSET(INDEX(Composições!A:H,MATCH(Orçamentária!A1064,Composições!A:A,0),8),2,0)</f>
        <v>145.54905729999999</v>
      </c>
      <c r="F1064" s="152">
        <f t="shared" ca="1" si="50"/>
        <v>0</v>
      </c>
      <c r="G1064" s="153">
        <f>IF($K1064="Padrão",BDI!$B$17,IF($K1064="Diferenciado",BDI!$E$17,0))</f>
        <v>0.2039</v>
      </c>
      <c r="H1064" s="151">
        <f t="shared" ca="1" si="48"/>
        <v>175.23</v>
      </c>
      <c r="I1064" s="152">
        <f t="shared" ca="1" si="49"/>
        <v>0</v>
      </c>
      <c r="J1064" s="154"/>
      <c r="K1064" s="155" t="s">
        <v>2966</v>
      </c>
    </row>
    <row r="1065" spans="1:11" hidden="1" x14ac:dyDescent="0.25">
      <c r="A1065" s="148" t="s">
        <v>960</v>
      </c>
      <c r="B1065" s="149" t="s">
        <v>4503</v>
      </c>
      <c r="C1065" s="150" t="s">
        <v>68</v>
      </c>
      <c r="D1065" s="150">
        <v>0</v>
      </c>
      <c r="E1065" s="151">
        <f ca="1">OFFSET(INDEX(Composições!A:H,MATCH(Orçamentária!A1065,Composições!A:A,0),8),2,0)</f>
        <v>619.34095085000001</v>
      </c>
      <c r="F1065" s="152">
        <f t="shared" ca="1" si="50"/>
        <v>0</v>
      </c>
      <c r="G1065" s="153">
        <f>IF($K1065="Padrão",BDI!$B$17,IF($K1065="Diferenciado",BDI!$E$17,0))</f>
        <v>0.2039</v>
      </c>
      <c r="H1065" s="151">
        <f t="shared" ca="1" si="48"/>
        <v>745.62</v>
      </c>
      <c r="I1065" s="152">
        <f t="shared" ca="1" si="49"/>
        <v>0</v>
      </c>
      <c r="J1065" s="154"/>
      <c r="K1065" s="155" t="s">
        <v>2966</v>
      </c>
    </row>
    <row r="1066" spans="1:11" hidden="1" x14ac:dyDescent="0.25">
      <c r="A1066" s="148" t="s">
        <v>961</v>
      </c>
      <c r="B1066" s="149" t="s">
        <v>4504</v>
      </c>
      <c r="C1066" s="150" t="s">
        <v>68</v>
      </c>
      <c r="D1066" s="150">
        <v>0</v>
      </c>
      <c r="E1066" s="151">
        <f ca="1">OFFSET(INDEX(Composições!A:H,MATCH(Orçamentária!A1066,Composições!A:A,0),8),2,0)</f>
        <v>633.87074292814998</v>
      </c>
      <c r="F1066" s="152">
        <f t="shared" ca="1" si="50"/>
        <v>0</v>
      </c>
      <c r="G1066" s="153">
        <f>IF($K1066="Padrão",BDI!$B$17,IF($K1066="Diferenciado",BDI!$E$17,0))</f>
        <v>0.2039</v>
      </c>
      <c r="H1066" s="151">
        <f t="shared" ca="1" si="48"/>
        <v>763.12</v>
      </c>
      <c r="I1066" s="152">
        <f t="shared" ca="1" si="49"/>
        <v>0</v>
      </c>
      <c r="J1066" s="154"/>
      <c r="K1066" s="155" t="s">
        <v>2966</v>
      </c>
    </row>
    <row r="1067" spans="1:11" hidden="1" x14ac:dyDescent="0.25">
      <c r="A1067" s="148" t="s">
        <v>962</v>
      </c>
      <c r="B1067" s="149" t="s">
        <v>4505</v>
      </c>
      <c r="C1067" s="150" t="s">
        <v>68</v>
      </c>
      <c r="D1067" s="150">
        <v>0</v>
      </c>
      <c r="E1067" s="151">
        <f ca="1">OFFSET(INDEX(Composições!A:H,MATCH(Orçamentária!A1067,Composições!A:A,0),8),2,0)</f>
        <v>368.64503515375003</v>
      </c>
      <c r="F1067" s="152">
        <f t="shared" ca="1" si="50"/>
        <v>0</v>
      </c>
      <c r="G1067" s="153">
        <f>IF($K1067="Padrão",BDI!$B$17,IF($K1067="Diferenciado",BDI!$E$17,0))</f>
        <v>0.2039</v>
      </c>
      <c r="H1067" s="151">
        <f t="shared" ca="1" si="48"/>
        <v>443.81</v>
      </c>
      <c r="I1067" s="152">
        <f t="shared" ca="1" si="49"/>
        <v>0</v>
      </c>
      <c r="J1067" s="154"/>
      <c r="K1067" s="155" t="s">
        <v>2966</v>
      </c>
    </row>
    <row r="1068" spans="1:11" hidden="1" x14ac:dyDescent="0.25">
      <c r="A1068" s="148" t="s">
        <v>963</v>
      </c>
      <c r="B1068" s="149" t="s">
        <v>4506</v>
      </c>
      <c r="C1068" s="150" t="s">
        <v>18</v>
      </c>
      <c r="D1068" s="150">
        <v>0</v>
      </c>
      <c r="E1068" s="151">
        <f ca="1">OFFSET(INDEX(Composições!A:H,MATCH(Orçamentária!A1068,Composições!A:A,0),8),2,0)</f>
        <v>713.30510409999999</v>
      </c>
      <c r="F1068" s="152">
        <f t="shared" ca="1" si="50"/>
        <v>0</v>
      </c>
      <c r="G1068" s="153">
        <f>IF($K1068="Padrão",BDI!$B$17,IF($K1068="Diferenciado",BDI!$E$17,0))</f>
        <v>0.2039</v>
      </c>
      <c r="H1068" s="151">
        <f t="shared" ca="1" si="48"/>
        <v>858.75</v>
      </c>
      <c r="I1068" s="152">
        <f t="shared" ca="1" si="49"/>
        <v>0</v>
      </c>
      <c r="J1068" s="154"/>
      <c r="K1068" s="155" t="s">
        <v>2966</v>
      </c>
    </row>
    <row r="1069" spans="1:11" hidden="1" x14ac:dyDescent="0.25">
      <c r="A1069" s="148" t="s">
        <v>965</v>
      </c>
      <c r="B1069" s="149" t="s">
        <v>4507</v>
      </c>
      <c r="C1069" s="150" t="s">
        <v>18</v>
      </c>
      <c r="D1069" s="150">
        <v>0</v>
      </c>
      <c r="E1069" s="151">
        <f ca="1">OFFSET(INDEX(Composições!A:H,MATCH(Orçamentária!A1069,Composições!A:A,0),8),2,0)</f>
        <v>6.1463461000000006</v>
      </c>
      <c r="F1069" s="152">
        <f t="shared" ca="1" si="50"/>
        <v>0</v>
      </c>
      <c r="G1069" s="153">
        <f>IF($K1069="Padrão",BDI!$B$17,IF($K1069="Diferenciado",BDI!$E$17,0))</f>
        <v>0.2039</v>
      </c>
      <c r="H1069" s="151">
        <f t="shared" ca="1" si="48"/>
        <v>7.4</v>
      </c>
      <c r="I1069" s="152">
        <f t="shared" ca="1" si="49"/>
        <v>0</v>
      </c>
      <c r="J1069" s="154"/>
      <c r="K1069" s="155" t="s">
        <v>2966</v>
      </c>
    </row>
    <row r="1070" spans="1:11" hidden="1" x14ac:dyDescent="0.25">
      <c r="A1070" s="148" t="s">
        <v>967</v>
      </c>
      <c r="B1070" s="149" t="s">
        <v>4508</v>
      </c>
      <c r="C1070" s="150" t="s">
        <v>1788</v>
      </c>
      <c r="D1070" s="150">
        <v>0</v>
      </c>
      <c r="E1070" s="151">
        <f ca="1">OFFSET(INDEX(Composições!A:H,MATCH(Orçamentária!A1070,Composições!A:A,0),8),2,0)</f>
        <v>1670.6946504951247</v>
      </c>
      <c r="F1070" s="152">
        <f t="shared" ca="1" si="50"/>
        <v>0</v>
      </c>
      <c r="G1070" s="153">
        <f>IF($K1070="Padrão",BDI!$B$17,IF($K1070="Diferenciado",BDI!$E$17,0))</f>
        <v>0.2039</v>
      </c>
      <c r="H1070" s="151">
        <f t="shared" ca="1" si="48"/>
        <v>2011.35</v>
      </c>
      <c r="I1070" s="152">
        <f t="shared" ca="1" si="49"/>
        <v>0</v>
      </c>
      <c r="J1070" s="154"/>
      <c r="K1070" s="155" t="s">
        <v>2966</v>
      </c>
    </row>
    <row r="1071" spans="1:11" hidden="1" x14ac:dyDescent="0.25">
      <c r="A1071" s="148" t="s">
        <v>968</v>
      </c>
      <c r="B1071" s="149" t="s">
        <v>4509</v>
      </c>
      <c r="C1071" s="150" t="s">
        <v>106</v>
      </c>
      <c r="D1071" s="150">
        <v>0</v>
      </c>
      <c r="E1071" s="151">
        <f ca="1">OFFSET(INDEX(Composições!A:H,MATCH(Orçamentária!A1071,Composições!A:A,0),8),2,0)</f>
        <v>17.663145750000002</v>
      </c>
      <c r="F1071" s="152">
        <f t="shared" ca="1" si="50"/>
        <v>0</v>
      </c>
      <c r="G1071" s="153">
        <f>IF($K1071="Padrão",BDI!$B$17,IF($K1071="Diferenciado",BDI!$E$17,0))</f>
        <v>0.2039</v>
      </c>
      <c r="H1071" s="151">
        <f t="shared" ca="1" si="48"/>
        <v>21.26</v>
      </c>
      <c r="I1071" s="152">
        <f t="shared" ca="1" si="49"/>
        <v>0</v>
      </c>
      <c r="J1071" s="154"/>
      <c r="K1071" s="155" t="s">
        <v>2966</v>
      </c>
    </row>
    <row r="1072" spans="1:11" hidden="1" x14ac:dyDescent="0.25">
      <c r="A1072" s="148" t="s">
        <v>4510</v>
      </c>
      <c r="B1072" s="149" t="s">
        <v>4511</v>
      </c>
      <c r="C1072" s="150" t="s">
        <v>18</v>
      </c>
      <c r="D1072" s="150">
        <v>0</v>
      </c>
      <c r="E1072" s="151" t="s">
        <v>13</v>
      </c>
      <c r="F1072" s="152" t="str">
        <f t="shared" si="50"/>
        <v/>
      </c>
      <c r="G1072" s="153">
        <f>IF($K1072="Padrão",BDI!$B$17,IF($K1072="Diferenciado",BDI!$E$17,0))</f>
        <v>0.2039</v>
      </c>
      <c r="H1072" s="151" t="str">
        <f t="shared" si="48"/>
        <v/>
      </c>
      <c r="I1072" s="152" t="str">
        <f t="shared" si="49"/>
        <v/>
      </c>
      <c r="J1072" s="154"/>
      <c r="K1072" s="155" t="s">
        <v>2966</v>
      </c>
    </row>
    <row r="1073" spans="1:11" ht="25.5" hidden="1" x14ac:dyDescent="0.25">
      <c r="A1073" s="148" t="s">
        <v>969</v>
      </c>
      <c r="B1073" s="149" t="s">
        <v>4512</v>
      </c>
      <c r="C1073" s="150" t="s">
        <v>106</v>
      </c>
      <c r="D1073" s="150">
        <v>0</v>
      </c>
      <c r="E1073" s="151">
        <f ca="1">OFFSET(INDEX(Composições!A:H,MATCH(Orçamentária!A1073,Composições!A:A,0),8),2,0)</f>
        <v>56.3825</v>
      </c>
      <c r="F1073" s="152">
        <f t="shared" ca="1" si="50"/>
        <v>0</v>
      </c>
      <c r="G1073" s="153">
        <f>IF($K1073="Padrão",BDI!$B$17,IF($K1073="Diferenciado",BDI!$E$17,0))</f>
        <v>0.2039</v>
      </c>
      <c r="H1073" s="151">
        <f t="shared" ca="1" si="48"/>
        <v>67.88</v>
      </c>
      <c r="I1073" s="152">
        <f t="shared" ca="1" si="49"/>
        <v>0</v>
      </c>
      <c r="J1073" s="154"/>
      <c r="K1073" s="155" t="s">
        <v>2966</v>
      </c>
    </row>
    <row r="1074" spans="1:11" ht="25.5" hidden="1" x14ac:dyDescent="0.25">
      <c r="A1074" s="148" t="s">
        <v>971</v>
      </c>
      <c r="B1074" s="149" t="s">
        <v>4513</v>
      </c>
      <c r="C1074" s="150" t="s">
        <v>106</v>
      </c>
      <c r="D1074" s="150">
        <v>0</v>
      </c>
      <c r="E1074" s="151">
        <f ca="1">OFFSET(INDEX(Composições!A:H,MATCH(Orçamentária!A1074,Composições!A:A,0),8),2,0)</f>
        <v>36.681494999999998</v>
      </c>
      <c r="F1074" s="152">
        <f t="shared" ca="1" si="50"/>
        <v>0</v>
      </c>
      <c r="G1074" s="153">
        <f>IF($K1074="Padrão",BDI!$B$17,IF($K1074="Diferenciado",BDI!$E$17,0))</f>
        <v>0.2039</v>
      </c>
      <c r="H1074" s="151">
        <f t="shared" ca="1" si="48"/>
        <v>44.16</v>
      </c>
      <c r="I1074" s="152">
        <f t="shared" ca="1" si="49"/>
        <v>0</v>
      </c>
      <c r="J1074" s="154"/>
      <c r="K1074" s="155" t="s">
        <v>2966</v>
      </c>
    </row>
    <row r="1075" spans="1:11" hidden="1" x14ac:dyDescent="0.25">
      <c r="A1075" s="148" t="s">
        <v>973</v>
      </c>
      <c r="B1075" s="149" t="s">
        <v>4514</v>
      </c>
      <c r="C1075" s="150" t="s">
        <v>68</v>
      </c>
      <c r="D1075" s="150">
        <v>0</v>
      </c>
      <c r="E1075" s="151">
        <f ca="1">OFFSET(INDEX(Composições!A:H,MATCH(Orçamentária!A1075,Composições!A:A,0),8),2,0)</f>
        <v>171.12959710000001</v>
      </c>
      <c r="F1075" s="152">
        <f t="shared" ca="1" si="50"/>
        <v>0</v>
      </c>
      <c r="G1075" s="153">
        <f>IF($K1075="Padrão",BDI!$B$17,IF($K1075="Diferenciado",BDI!$E$17,0))</f>
        <v>0.2039</v>
      </c>
      <c r="H1075" s="151">
        <f t="shared" ca="1" si="48"/>
        <v>206.02</v>
      </c>
      <c r="I1075" s="152">
        <f t="shared" ca="1" si="49"/>
        <v>0</v>
      </c>
      <c r="J1075" s="154"/>
      <c r="K1075" s="155" t="s">
        <v>2966</v>
      </c>
    </row>
    <row r="1076" spans="1:11" hidden="1" x14ac:dyDescent="0.25">
      <c r="A1076" s="148" t="s">
        <v>975</v>
      </c>
      <c r="B1076" s="149" t="s">
        <v>4515</v>
      </c>
      <c r="C1076" s="150" t="s">
        <v>18</v>
      </c>
      <c r="D1076" s="150">
        <v>0</v>
      </c>
      <c r="E1076" s="151">
        <f ca="1">OFFSET(INDEX(Composições!A:H,MATCH(Orçamentária!A1076,Composições!A:A,0),8),2,0)</f>
        <v>18.211233287500001</v>
      </c>
      <c r="F1076" s="152">
        <f t="shared" ca="1" si="50"/>
        <v>0</v>
      </c>
      <c r="G1076" s="153">
        <f>IF($K1076="Padrão",BDI!$B$17,IF($K1076="Diferenciado",BDI!$E$17,0))</f>
        <v>0.2039</v>
      </c>
      <c r="H1076" s="151">
        <f t="shared" ca="1" si="48"/>
        <v>21.92</v>
      </c>
      <c r="I1076" s="152">
        <f t="shared" ca="1" si="49"/>
        <v>0</v>
      </c>
      <c r="J1076" s="154"/>
      <c r="K1076" s="155" t="s">
        <v>2966</v>
      </c>
    </row>
    <row r="1077" spans="1:11" hidden="1" x14ac:dyDescent="0.25">
      <c r="A1077" s="148" t="s">
        <v>977</v>
      </c>
      <c r="B1077" s="149" t="s">
        <v>4516</v>
      </c>
      <c r="C1077" s="150" t="s">
        <v>68</v>
      </c>
      <c r="D1077" s="150">
        <v>0</v>
      </c>
      <c r="E1077" s="151">
        <f ca="1">OFFSET(INDEX(Composições!A:H,MATCH(Orçamentária!A1077,Composições!A:A,0),8),2,0)</f>
        <v>156.06381500000003</v>
      </c>
      <c r="F1077" s="152">
        <f t="shared" ca="1" si="50"/>
        <v>0</v>
      </c>
      <c r="G1077" s="153">
        <f>IF($K1077="Padrão",BDI!$B$17,IF($K1077="Diferenciado",BDI!$E$17,0))</f>
        <v>0.2039</v>
      </c>
      <c r="H1077" s="151">
        <f t="shared" ca="1" si="48"/>
        <v>187.89</v>
      </c>
      <c r="I1077" s="152">
        <f t="shared" ca="1" si="49"/>
        <v>0</v>
      </c>
      <c r="J1077" s="154"/>
      <c r="K1077" s="155" t="s">
        <v>2966</v>
      </c>
    </row>
    <row r="1078" spans="1:11" hidden="1" x14ac:dyDescent="0.25">
      <c r="A1078" s="148" t="s">
        <v>978</v>
      </c>
      <c r="B1078" s="149" t="s">
        <v>4517</v>
      </c>
      <c r="C1078" s="150" t="s">
        <v>68</v>
      </c>
      <c r="D1078" s="150">
        <v>0</v>
      </c>
      <c r="E1078" s="151">
        <f ca="1">OFFSET(INDEX(Composições!A:H,MATCH(Orçamentária!A1078,Composições!A:A,0),8),2,0)</f>
        <v>128.36960499999998</v>
      </c>
      <c r="F1078" s="152">
        <f t="shared" ca="1" si="50"/>
        <v>0</v>
      </c>
      <c r="G1078" s="153">
        <f>IF($K1078="Padrão",BDI!$B$17,IF($K1078="Diferenciado",BDI!$E$17,0))</f>
        <v>0.2039</v>
      </c>
      <c r="H1078" s="151">
        <f t="shared" ca="1" si="48"/>
        <v>154.54</v>
      </c>
      <c r="I1078" s="152">
        <f t="shared" ca="1" si="49"/>
        <v>0</v>
      </c>
      <c r="J1078" s="154"/>
      <c r="K1078" s="155" t="s">
        <v>2966</v>
      </c>
    </row>
    <row r="1079" spans="1:11" hidden="1" x14ac:dyDescent="0.25">
      <c r="A1079" s="148" t="s">
        <v>980</v>
      </c>
      <c r="B1079" s="149" t="s">
        <v>4518</v>
      </c>
      <c r="C1079" s="150" t="s">
        <v>18</v>
      </c>
      <c r="D1079" s="150">
        <v>0</v>
      </c>
      <c r="E1079" s="151">
        <f ca="1">OFFSET(INDEX(Composições!A:H,MATCH(Orçamentária!A1079,Composições!A:A,0),8),2,0)</f>
        <v>136.77014479583499</v>
      </c>
      <c r="F1079" s="152">
        <f t="shared" ca="1" si="50"/>
        <v>0</v>
      </c>
      <c r="G1079" s="153">
        <f>IF($K1079="Padrão",BDI!$B$17,IF($K1079="Diferenciado",BDI!$E$17,0))</f>
        <v>0.2039</v>
      </c>
      <c r="H1079" s="151">
        <f t="shared" ca="1" si="48"/>
        <v>164.66</v>
      </c>
      <c r="I1079" s="152">
        <f t="shared" ca="1" si="49"/>
        <v>0</v>
      </c>
      <c r="J1079" s="154"/>
      <c r="K1079" s="155" t="s">
        <v>2966</v>
      </c>
    </row>
    <row r="1080" spans="1:11" hidden="1" x14ac:dyDescent="0.25">
      <c r="A1080" s="148" t="s">
        <v>4519</v>
      </c>
      <c r="B1080" s="149" t="s">
        <v>4520</v>
      </c>
      <c r="C1080" s="150" t="s">
        <v>18</v>
      </c>
      <c r="D1080" s="150">
        <v>0</v>
      </c>
      <c r="E1080" s="151" t="s">
        <v>13</v>
      </c>
      <c r="F1080" s="152" t="str">
        <f t="shared" si="50"/>
        <v/>
      </c>
      <c r="G1080" s="153">
        <f>IF($K1080="Padrão",BDI!$B$17,IF($K1080="Diferenciado",BDI!$E$17,0))</f>
        <v>0.2039</v>
      </c>
      <c r="H1080" s="151" t="str">
        <f t="shared" si="48"/>
        <v/>
      </c>
      <c r="I1080" s="152" t="str">
        <f t="shared" si="49"/>
        <v/>
      </c>
      <c r="J1080" s="154"/>
      <c r="K1080" s="155" t="s">
        <v>2966</v>
      </c>
    </row>
    <row r="1081" spans="1:11" hidden="1" x14ac:dyDescent="0.25">
      <c r="A1081" s="148" t="s">
        <v>981</v>
      </c>
      <c r="B1081" s="149" t="s">
        <v>4521</v>
      </c>
      <c r="C1081" s="150" t="s">
        <v>68</v>
      </c>
      <c r="D1081" s="150">
        <v>0</v>
      </c>
      <c r="E1081" s="151">
        <f ca="1">OFFSET(INDEX(Composições!A:H,MATCH(Orçamentária!A1081,Composições!A:A,0),8),2,0)</f>
        <v>37.089721400000002</v>
      </c>
      <c r="F1081" s="152">
        <f t="shared" ca="1" si="50"/>
        <v>0</v>
      </c>
      <c r="G1081" s="153">
        <f>IF($K1081="Padrão",BDI!$B$17,IF($K1081="Diferenciado",BDI!$E$17,0))</f>
        <v>0.2039</v>
      </c>
      <c r="H1081" s="151">
        <f t="shared" ca="1" si="48"/>
        <v>44.65</v>
      </c>
      <c r="I1081" s="152">
        <f t="shared" ca="1" si="49"/>
        <v>0</v>
      </c>
      <c r="J1081" s="154"/>
      <c r="K1081" s="155" t="s">
        <v>2966</v>
      </c>
    </row>
    <row r="1082" spans="1:11" hidden="1" x14ac:dyDescent="0.25">
      <c r="A1082" s="148" t="s">
        <v>983</v>
      </c>
      <c r="B1082" s="149" t="s">
        <v>4522</v>
      </c>
      <c r="C1082" s="150" t="s">
        <v>1788</v>
      </c>
      <c r="D1082" s="150">
        <v>0</v>
      </c>
      <c r="E1082" s="151">
        <f ca="1">OFFSET(INDEX(Composições!A:H,MATCH(Orçamentária!A1082,Composições!A:A,0),8),2,0)</f>
        <v>258.73040786487502</v>
      </c>
      <c r="F1082" s="152">
        <f t="shared" ca="1" si="50"/>
        <v>0</v>
      </c>
      <c r="G1082" s="153">
        <f>IF($K1082="Padrão",BDI!$B$17,IF($K1082="Diferenciado",BDI!$E$17,0))</f>
        <v>0.2039</v>
      </c>
      <c r="H1082" s="151">
        <f t="shared" ca="1" si="48"/>
        <v>311.49</v>
      </c>
      <c r="I1082" s="152">
        <f t="shared" ca="1" si="49"/>
        <v>0</v>
      </c>
      <c r="J1082" s="154"/>
      <c r="K1082" s="155" t="s">
        <v>2966</v>
      </c>
    </row>
    <row r="1083" spans="1:11" hidden="1" x14ac:dyDescent="0.25">
      <c r="A1083" s="148" t="s">
        <v>984</v>
      </c>
      <c r="B1083" s="149" t="s">
        <v>4523</v>
      </c>
      <c r="C1083" s="150" t="s">
        <v>106</v>
      </c>
      <c r="D1083" s="150">
        <v>0</v>
      </c>
      <c r="E1083" s="151">
        <f ca="1">OFFSET(INDEX(Composições!A:H,MATCH(Orçamentária!A1083,Composições!A:A,0),8),2,0)</f>
        <v>1116.0222279999998</v>
      </c>
      <c r="F1083" s="152">
        <f t="shared" ca="1" si="50"/>
        <v>0</v>
      </c>
      <c r="G1083" s="153">
        <f>IF($K1083="Padrão",BDI!$B$17,IF($K1083="Diferenciado",BDI!$E$17,0))</f>
        <v>0.2039</v>
      </c>
      <c r="H1083" s="151">
        <f t="shared" ca="1" si="48"/>
        <v>1343.58</v>
      </c>
      <c r="I1083" s="152">
        <f t="shared" ca="1" si="49"/>
        <v>0</v>
      </c>
      <c r="J1083" s="154"/>
      <c r="K1083" s="155" t="s">
        <v>2966</v>
      </c>
    </row>
    <row r="1084" spans="1:11" hidden="1" x14ac:dyDescent="0.25">
      <c r="A1084" s="148" t="s">
        <v>4524</v>
      </c>
      <c r="B1084" s="149" t="s">
        <v>4525</v>
      </c>
      <c r="C1084" s="150" t="s">
        <v>68</v>
      </c>
      <c r="D1084" s="150">
        <v>0</v>
      </c>
      <c r="E1084" s="151" t="s">
        <v>13</v>
      </c>
      <c r="F1084" s="152" t="str">
        <f t="shared" si="50"/>
        <v/>
      </c>
      <c r="G1084" s="153">
        <f>IF($K1084="Padrão",BDI!$B$17,IF($K1084="Diferenciado",BDI!$E$17,0))</f>
        <v>0.2039</v>
      </c>
      <c r="H1084" s="151" t="str">
        <f t="shared" si="48"/>
        <v/>
      </c>
      <c r="I1084" s="152" t="str">
        <f t="shared" si="49"/>
        <v/>
      </c>
      <c r="J1084" s="154"/>
      <c r="K1084" s="155" t="s">
        <v>2966</v>
      </c>
    </row>
    <row r="1085" spans="1:11" hidden="1" x14ac:dyDescent="0.25">
      <c r="A1085" s="148" t="s">
        <v>985</v>
      </c>
      <c r="B1085" s="149" t="s">
        <v>4526</v>
      </c>
      <c r="C1085" s="150" t="s">
        <v>106</v>
      </c>
      <c r="D1085" s="150">
        <v>0</v>
      </c>
      <c r="E1085" s="151">
        <f ca="1">OFFSET(INDEX(Composições!A:H,MATCH(Orçamentária!A1085,Composições!A:A,0),8),2,0)</f>
        <v>2.8661500000000002</v>
      </c>
      <c r="F1085" s="152">
        <f t="shared" ca="1" si="50"/>
        <v>0</v>
      </c>
      <c r="G1085" s="153">
        <f>IF($K1085="Padrão",BDI!$B$17,IF($K1085="Diferenciado",BDI!$E$17,0))</f>
        <v>0.2039</v>
      </c>
      <c r="H1085" s="151">
        <f t="shared" ca="1" si="48"/>
        <v>3.45</v>
      </c>
      <c r="I1085" s="152">
        <f t="shared" ca="1" si="49"/>
        <v>0</v>
      </c>
      <c r="J1085" s="154"/>
      <c r="K1085" s="155" t="s">
        <v>2966</v>
      </c>
    </row>
    <row r="1086" spans="1:11" hidden="1" x14ac:dyDescent="0.25">
      <c r="A1086" s="148" t="s">
        <v>4527</v>
      </c>
      <c r="B1086" s="149" t="s">
        <v>4528</v>
      </c>
      <c r="C1086" s="150" t="s">
        <v>106</v>
      </c>
      <c r="D1086" s="150">
        <v>0</v>
      </c>
      <c r="E1086" s="151" t="s">
        <v>13</v>
      </c>
      <c r="F1086" s="152" t="str">
        <f t="shared" si="50"/>
        <v/>
      </c>
      <c r="G1086" s="153">
        <f>IF($K1086="Padrão",BDI!$B$17,IF($K1086="Diferenciado",BDI!$E$17,0))</f>
        <v>0.2039</v>
      </c>
      <c r="H1086" s="151" t="str">
        <f t="shared" si="48"/>
        <v/>
      </c>
      <c r="I1086" s="152" t="str">
        <f t="shared" si="49"/>
        <v/>
      </c>
      <c r="J1086" s="154"/>
      <c r="K1086" s="155" t="s">
        <v>2966</v>
      </c>
    </row>
    <row r="1087" spans="1:11" hidden="1" x14ac:dyDescent="0.25">
      <c r="A1087" s="148" t="s">
        <v>987</v>
      </c>
      <c r="B1087" s="149" t="s">
        <v>4529</v>
      </c>
      <c r="C1087" s="150" t="s">
        <v>4530</v>
      </c>
      <c r="D1087" s="150">
        <v>0</v>
      </c>
      <c r="E1087" s="151">
        <f ca="1">OFFSET(INDEX(Composições!A:H,MATCH(Orçamentária!A1087,Composições!A:A,0),8),2,0)</f>
        <v>3.7524999999999999</v>
      </c>
      <c r="F1087" s="152">
        <f t="shared" ca="1" si="50"/>
        <v>0</v>
      </c>
      <c r="G1087" s="153">
        <f>IF($K1087="Padrão",BDI!$B$17,IF($K1087="Diferenciado",BDI!$E$17,0))</f>
        <v>0.2039</v>
      </c>
      <c r="H1087" s="151">
        <f t="shared" ca="1" si="48"/>
        <v>4.5199999999999996</v>
      </c>
      <c r="I1087" s="152">
        <f t="shared" ca="1" si="49"/>
        <v>0</v>
      </c>
      <c r="J1087" s="154"/>
      <c r="K1087" s="155" t="s">
        <v>2966</v>
      </c>
    </row>
    <row r="1088" spans="1:11" hidden="1" x14ac:dyDescent="0.25">
      <c r="A1088" s="148" t="s">
        <v>988</v>
      </c>
      <c r="B1088" s="149" t="s">
        <v>4531</v>
      </c>
      <c r="C1088" s="150" t="s">
        <v>4530</v>
      </c>
      <c r="D1088" s="150">
        <v>0</v>
      </c>
      <c r="E1088" s="151">
        <f ca="1">OFFSET(INDEX(Composições!A:H,MATCH(Orçamentária!A1088,Composições!A:A,0),8),2,0)</f>
        <v>1.4249999999999998</v>
      </c>
      <c r="F1088" s="152">
        <f t="shared" ca="1" si="50"/>
        <v>0</v>
      </c>
      <c r="G1088" s="153">
        <f>IF($K1088="Padrão",BDI!$B$17,IF($K1088="Diferenciado",BDI!$E$17,0))</f>
        <v>0.2039</v>
      </c>
      <c r="H1088" s="151">
        <f t="shared" ca="1" si="48"/>
        <v>1.72</v>
      </c>
      <c r="I1088" s="152">
        <f t="shared" ca="1" si="49"/>
        <v>0</v>
      </c>
      <c r="J1088" s="154"/>
      <c r="K1088" s="155" t="s">
        <v>2966</v>
      </c>
    </row>
    <row r="1089" spans="1:11" hidden="1" x14ac:dyDescent="0.25">
      <c r="A1089" s="148" t="s">
        <v>4532</v>
      </c>
      <c r="B1089" s="149" t="s">
        <v>4533</v>
      </c>
      <c r="C1089" s="150" t="s">
        <v>18</v>
      </c>
      <c r="D1089" s="150">
        <v>0</v>
      </c>
      <c r="E1089" s="151" t="s">
        <v>13</v>
      </c>
      <c r="F1089" s="152" t="str">
        <f t="shared" si="50"/>
        <v/>
      </c>
      <c r="G1089" s="153">
        <f>IF($K1089="Padrão",BDI!$B$17,IF($K1089="Diferenciado",BDI!$E$17,0))</f>
        <v>0.2039</v>
      </c>
      <c r="H1089" s="151" t="str">
        <f t="shared" si="48"/>
        <v/>
      </c>
      <c r="I1089" s="152" t="str">
        <f t="shared" si="49"/>
        <v/>
      </c>
      <c r="J1089" s="154"/>
      <c r="K1089" s="155" t="s">
        <v>2966</v>
      </c>
    </row>
    <row r="1090" spans="1:11" hidden="1" x14ac:dyDescent="0.25">
      <c r="A1090" s="148" t="s">
        <v>4534</v>
      </c>
      <c r="B1090" s="149" t="s">
        <v>4535</v>
      </c>
      <c r="C1090" s="150" t="s">
        <v>18</v>
      </c>
      <c r="D1090" s="150">
        <v>0</v>
      </c>
      <c r="E1090" s="151" t="s">
        <v>13</v>
      </c>
      <c r="F1090" s="152" t="str">
        <f t="shared" si="50"/>
        <v/>
      </c>
      <c r="G1090" s="153">
        <f>IF($K1090="Padrão",BDI!$B$17,IF($K1090="Diferenciado",BDI!$E$17,0))</f>
        <v>0.2039</v>
      </c>
      <c r="H1090" s="151" t="str">
        <f t="shared" si="48"/>
        <v/>
      </c>
      <c r="I1090" s="152" t="str">
        <f t="shared" si="49"/>
        <v/>
      </c>
      <c r="J1090" s="154"/>
      <c r="K1090" s="155" t="s">
        <v>2966</v>
      </c>
    </row>
    <row r="1091" spans="1:11" hidden="1" x14ac:dyDescent="0.25">
      <c r="A1091" s="148" t="s">
        <v>4536</v>
      </c>
      <c r="B1091" s="149" t="s">
        <v>4537</v>
      </c>
      <c r="C1091" s="150" t="s">
        <v>18</v>
      </c>
      <c r="D1091" s="150">
        <v>0</v>
      </c>
      <c r="E1091" s="151" t="s">
        <v>13</v>
      </c>
      <c r="F1091" s="152" t="str">
        <f t="shared" si="50"/>
        <v/>
      </c>
      <c r="G1091" s="153">
        <f>IF($K1091="Padrão",BDI!$B$17,IF($K1091="Diferenciado",BDI!$E$17,0))</f>
        <v>0.2039</v>
      </c>
      <c r="H1091" s="151" t="str">
        <f t="shared" si="48"/>
        <v/>
      </c>
      <c r="I1091" s="152" t="str">
        <f t="shared" si="49"/>
        <v/>
      </c>
      <c r="J1091" s="154"/>
      <c r="K1091" s="155" t="s">
        <v>2966</v>
      </c>
    </row>
    <row r="1092" spans="1:11" hidden="1" x14ac:dyDescent="0.25">
      <c r="A1092" s="148" t="s">
        <v>4538</v>
      </c>
      <c r="B1092" s="149" t="s">
        <v>4539</v>
      </c>
      <c r="C1092" s="150" t="s">
        <v>3474</v>
      </c>
      <c r="D1092" s="150">
        <v>0</v>
      </c>
      <c r="E1092" s="151" t="s">
        <v>13</v>
      </c>
      <c r="F1092" s="152" t="str">
        <f t="shared" si="50"/>
        <v/>
      </c>
      <c r="G1092" s="153">
        <f>IF($K1092="Padrão",BDI!$B$17,IF($K1092="Diferenciado",BDI!$E$17,0))</f>
        <v>0.2039</v>
      </c>
      <c r="H1092" s="151" t="str">
        <f t="shared" si="48"/>
        <v/>
      </c>
      <c r="I1092" s="152" t="str">
        <f t="shared" si="49"/>
        <v/>
      </c>
      <c r="J1092" s="154"/>
      <c r="K1092" s="155" t="s">
        <v>2966</v>
      </c>
    </row>
    <row r="1093" spans="1:11" hidden="1" x14ac:dyDescent="0.25">
      <c r="A1093" s="148" t="s">
        <v>989</v>
      </c>
      <c r="B1093" s="149" t="s">
        <v>4540</v>
      </c>
      <c r="C1093" s="150" t="s">
        <v>18</v>
      </c>
      <c r="D1093" s="150">
        <v>0</v>
      </c>
      <c r="E1093" s="151">
        <f ca="1">OFFSET(INDEX(Composições!A:H,MATCH(Orçamentária!A1093,Composições!A:A,0),8),2,0)</f>
        <v>75.500233499999993</v>
      </c>
      <c r="F1093" s="152">
        <f t="shared" ca="1" si="50"/>
        <v>0</v>
      </c>
      <c r="G1093" s="153">
        <f>IF($K1093="Padrão",BDI!$B$17,IF($K1093="Diferenciado",BDI!$E$17,0))</f>
        <v>0.2039</v>
      </c>
      <c r="H1093" s="151">
        <f t="shared" ca="1" si="48"/>
        <v>90.89</v>
      </c>
      <c r="I1093" s="152">
        <f t="shared" ca="1" si="49"/>
        <v>0</v>
      </c>
      <c r="J1093" s="154"/>
      <c r="K1093" s="155" t="s">
        <v>2966</v>
      </c>
    </row>
    <row r="1094" spans="1:11" hidden="1" x14ac:dyDescent="0.25">
      <c r="A1094" s="148" t="s">
        <v>990</v>
      </c>
      <c r="B1094" s="149" t="s">
        <v>4541</v>
      </c>
      <c r="C1094" s="150" t="s">
        <v>18</v>
      </c>
      <c r="D1094" s="150">
        <v>0</v>
      </c>
      <c r="E1094" s="151">
        <f ca="1">OFFSET(INDEX(Composições!A:H,MATCH(Orçamentária!A1094,Composições!A:A,0),8),2,0)</f>
        <v>115.55676309999998</v>
      </c>
      <c r="F1094" s="152">
        <f t="shared" ca="1" si="50"/>
        <v>0</v>
      </c>
      <c r="G1094" s="153">
        <f>IF($K1094="Padrão",BDI!$B$17,IF($K1094="Diferenciado",BDI!$E$17,0))</f>
        <v>0.2039</v>
      </c>
      <c r="H1094" s="151">
        <f t="shared" ref="H1094:H1157" ca="1" si="51">IF(ISNUMBER(E1094),ROUND(E1094*(1+G1094),2),"")</f>
        <v>139.12</v>
      </c>
      <c r="I1094" s="152">
        <f t="shared" ref="I1094:I1157" ca="1" si="52">IF(ISNUMBER(E1094),ROUND(H1094*D1094,2),"")</f>
        <v>0</v>
      </c>
      <c r="J1094" s="154"/>
      <c r="K1094" s="155" t="s">
        <v>2966</v>
      </c>
    </row>
    <row r="1095" spans="1:11" hidden="1" x14ac:dyDescent="0.25">
      <c r="A1095" s="148" t="s">
        <v>991</v>
      </c>
      <c r="B1095" s="149" t="s">
        <v>4542</v>
      </c>
      <c r="C1095" s="150" t="s">
        <v>18</v>
      </c>
      <c r="D1095" s="150">
        <v>0</v>
      </c>
      <c r="E1095" s="151">
        <f ca="1">OFFSET(INDEX(Composições!A:H,MATCH(Orçamentária!A1095,Composições!A:A,0),8),2,0)</f>
        <v>26.047073399999999</v>
      </c>
      <c r="F1095" s="152">
        <f t="shared" ref="F1095:F1158" ca="1" si="53">IF(ISNUMBER(E1095),D1095*E1095,"")</f>
        <v>0</v>
      </c>
      <c r="G1095" s="153">
        <f>IF($K1095="Padrão",BDI!$B$17,IF($K1095="Diferenciado",BDI!$E$17,0))</f>
        <v>0.2039</v>
      </c>
      <c r="H1095" s="151">
        <f t="shared" ca="1" si="51"/>
        <v>31.36</v>
      </c>
      <c r="I1095" s="152">
        <f t="shared" ca="1" si="52"/>
        <v>0</v>
      </c>
      <c r="J1095" s="154"/>
      <c r="K1095" s="155" t="s">
        <v>2966</v>
      </c>
    </row>
    <row r="1096" spans="1:11" hidden="1" x14ac:dyDescent="0.25">
      <c r="A1096" s="148" t="s">
        <v>4543</v>
      </c>
      <c r="B1096" s="149" t="s">
        <v>4544</v>
      </c>
      <c r="C1096" s="150" t="s">
        <v>18</v>
      </c>
      <c r="D1096" s="150">
        <v>0</v>
      </c>
      <c r="E1096" s="151" t="s">
        <v>13</v>
      </c>
      <c r="F1096" s="152" t="str">
        <f t="shared" si="53"/>
        <v/>
      </c>
      <c r="G1096" s="153">
        <f>IF($K1096="Padrão",BDI!$B$17,IF($K1096="Diferenciado",BDI!$E$17,0))</f>
        <v>0.2039</v>
      </c>
      <c r="H1096" s="151" t="str">
        <f t="shared" si="51"/>
        <v/>
      </c>
      <c r="I1096" s="152" t="str">
        <f t="shared" si="52"/>
        <v/>
      </c>
      <c r="J1096" s="154"/>
      <c r="K1096" s="155" t="s">
        <v>2966</v>
      </c>
    </row>
    <row r="1097" spans="1:11" hidden="1" x14ac:dyDescent="0.25">
      <c r="A1097" s="148" t="s">
        <v>992</v>
      </c>
      <c r="B1097" s="149" t="s">
        <v>4545</v>
      </c>
      <c r="C1097" s="150" t="s">
        <v>18</v>
      </c>
      <c r="D1097" s="150">
        <v>0</v>
      </c>
      <c r="E1097" s="151">
        <f ca="1">OFFSET(INDEX(Composições!A:H,MATCH(Orçamentária!A1097,Composições!A:A,0),8),2,0)</f>
        <v>48.873629699999995</v>
      </c>
      <c r="F1097" s="152">
        <f t="shared" ca="1" si="53"/>
        <v>0</v>
      </c>
      <c r="G1097" s="153">
        <f>IF($K1097="Padrão",BDI!$B$17,IF($K1097="Diferenciado",BDI!$E$17,0))</f>
        <v>0.2039</v>
      </c>
      <c r="H1097" s="151">
        <f t="shared" ca="1" si="51"/>
        <v>58.84</v>
      </c>
      <c r="I1097" s="152">
        <f t="shared" ca="1" si="52"/>
        <v>0</v>
      </c>
      <c r="J1097" s="154"/>
      <c r="K1097" s="155" t="s">
        <v>2966</v>
      </c>
    </row>
    <row r="1098" spans="1:11" hidden="1" x14ac:dyDescent="0.25">
      <c r="A1098" s="148" t="s">
        <v>993</v>
      </c>
      <c r="B1098" s="149" t="s">
        <v>4546</v>
      </c>
      <c r="C1098" s="150" t="s">
        <v>18</v>
      </c>
      <c r="D1098" s="150">
        <v>0</v>
      </c>
      <c r="E1098" s="151">
        <f ca="1">OFFSET(INDEX(Composições!A:H,MATCH(Orçamentária!A1098,Composições!A:A,0),8),2,0)</f>
        <v>65.058633399999991</v>
      </c>
      <c r="F1098" s="152">
        <f t="shared" ca="1" si="53"/>
        <v>0</v>
      </c>
      <c r="G1098" s="153">
        <f>IF($K1098="Padrão",BDI!$B$17,IF($K1098="Diferenciado",BDI!$E$17,0))</f>
        <v>0.2039</v>
      </c>
      <c r="H1098" s="151">
        <f t="shared" ca="1" si="51"/>
        <v>78.319999999999993</v>
      </c>
      <c r="I1098" s="152">
        <f t="shared" ca="1" si="52"/>
        <v>0</v>
      </c>
      <c r="J1098" s="154"/>
      <c r="K1098" s="155" t="s">
        <v>2966</v>
      </c>
    </row>
    <row r="1099" spans="1:11" hidden="1" x14ac:dyDescent="0.25">
      <c r="A1099" s="148" t="s">
        <v>994</v>
      </c>
      <c r="B1099" s="149" t="s">
        <v>4547</v>
      </c>
      <c r="C1099" s="150" t="s">
        <v>18</v>
      </c>
      <c r="D1099" s="150">
        <v>0</v>
      </c>
      <c r="E1099" s="151">
        <f ca="1">OFFSET(INDEX(Composições!A:H,MATCH(Orçamentária!A1099,Composições!A:A,0),8),2,0)</f>
        <v>14.5526111</v>
      </c>
      <c r="F1099" s="152">
        <f t="shared" ca="1" si="53"/>
        <v>0</v>
      </c>
      <c r="G1099" s="153">
        <f>IF($K1099="Padrão",BDI!$B$17,IF($K1099="Diferenciado",BDI!$E$17,0))</f>
        <v>0.2039</v>
      </c>
      <c r="H1099" s="151">
        <f t="shared" ca="1" si="51"/>
        <v>17.52</v>
      </c>
      <c r="I1099" s="152">
        <f t="shared" ca="1" si="52"/>
        <v>0</v>
      </c>
      <c r="J1099" s="154"/>
      <c r="K1099" s="155" t="s">
        <v>2966</v>
      </c>
    </row>
    <row r="1100" spans="1:11" hidden="1" x14ac:dyDescent="0.25">
      <c r="A1100" s="148" t="s">
        <v>995</v>
      </c>
      <c r="B1100" s="149" t="s">
        <v>4548</v>
      </c>
      <c r="C1100" s="150" t="s">
        <v>18</v>
      </c>
      <c r="D1100" s="150">
        <v>0</v>
      </c>
      <c r="E1100" s="151">
        <f ca="1">OFFSET(INDEX(Composições!A:H,MATCH(Orçamentária!A1100,Composições!A:A,0),8),2,0)</f>
        <v>971.77469254999983</v>
      </c>
      <c r="F1100" s="152">
        <f t="shared" ca="1" si="53"/>
        <v>0</v>
      </c>
      <c r="G1100" s="153">
        <f>IF($K1100="Padrão",BDI!$B$17,IF($K1100="Diferenciado",BDI!$E$17,0))</f>
        <v>0.2039</v>
      </c>
      <c r="H1100" s="151">
        <f t="shared" ca="1" si="51"/>
        <v>1169.92</v>
      </c>
      <c r="I1100" s="152">
        <f t="shared" ca="1" si="52"/>
        <v>0</v>
      </c>
      <c r="J1100" s="154"/>
      <c r="K1100" s="155" t="s">
        <v>2966</v>
      </c>
    </row>
    <row r="1101" spans="1:11" hidden="1" x14ac:dyDescent="0.25">
      <c r="A1101" s="148" t="s">
        <v>997</v>
      </c>
      <c r="B1101" s="149" t="s">
        <v>4549</v>
      </c>
      <c r="C1101" s="150" t="s">
        <v>18</v>
      </c>
      <c r="D1101" s="150">
        <v>0</v>
      </c>
      <c r="E1101" s="151">
        <f ca="1">OFFSET(INDEX(Composições!A:H,MATCH(Orçamentária!A1101,Composições!A:A,0),8),2,0)</f>
        <v>971.77469254999983</v>
      </c>
      <c r="F1101" s="152">
        <f t="shared" ca="1" si="53"/>
        <v>0</v>
      </c>
      <c r="G1101" s="153">
        <f>IF($K1101="Padrão",BDI!$B$17,IF($K1101="Diferenciado",BDI!$E$17,0))</f>
        <v>0.2039</v>
      </c>
      <c r="H1101" s="151">
        <f t="shared" ca="1" si="51"/>
        <v>1169.92</v>
      </c>
      <c r="I1101" s="152">
        <f t="shared" ca="1" si="52"/>
        <v>0</v>
      </c>
      <c r="J1101" s="154"/>
      <c r="K1101" s="155" t="s">
        <v>2966</v>
      </c>
    </row>
    <row r="1102" spans="1:11" hidden="1" x14ac:dyDescent="0.25">
      <c r="A1102" s="148" t="s">
        <v>999</v>
      </c>
      <c r="B1102" s="149" t="s">
        <v>4550</v>
      </c>
      <c r="C1102" s="150" t="s">
        <v>106</v>
      </c>
      <c r="D1102" s="150">
        <v>0</v>
      </c>
      <c r="E1102" s="151">
        <f ca="1">OFFSET(INDEX(Composições!A:H,MATCH(Orçamentária!A1102,Composições!A:A,0),8),2,0)</f>
        <v>247.57551475</v>
      </c>
      <c r="F1102" s="152">
        <f t="shared" ca="1" si="53"/>
        <v>0</v>
      </c>
      <c r="G1102" s="153">
        <f>IF($K1102="Padrão",BDI!$B$17,IF($K1102="Diferenciado",BDI!$E$17,0))</f>
        <v>0.2039</v>
      </c>
      <c r="H1102" s="151">
        <f t="shared" ca="1" si="51"/>
        <v>298.06</v>
      </c>
      <c r="I1102" s="152">
        <f t="shared" ca="1" si="52"/>
        <v>0</v>
      </c>
      <c r="J1102" s="154"/>
      <c r="K1102" s="155" t="s">
        <v>2966</v>
      </c>
    </row>
    <row r="1103" spans="1:11" hidden="1" x14ac:dyDescent="0.25">
      <c r="A1103" s="148" t="s">
        <v>1000</v>
      </c>
      <c r="B1103" s="149" t="s">
        <v>4551</v>
      </c>
      <c r="C1103" s="150" t="s">
        <v>106</v>
      </c>
      <c r="D1103" s="150">
        <v>0</v>
      </c>
      <c r="E1103" s="151">
        <f ca="1">OFFSET(INDEX(Composições!A:H,MATCH(Orçamentária!A1103,Composições!A:A,0),8),2,0)</f>
        <v>297.88673384999993</v>
      </c>
      <c r="F1103" s="152">
        <f t="shared" ca="1" si="53"/>
        <v>0</v>
      </c>
      <c r="G1103" s="153">
        <f>IF($K1103="Padrão",BDI!$B$17,IF($K1103="Diferenciado",BDI!$E$17,0))</f>
        <v>0.2039</v>
      </c>
      <c r="H1103" s="151">
        <f t="shared" ca="1" si="51"/>
        <v>358.63</v>
      </c>
      <c r="I1103" s="152">
        <f t="shared" ca="1" si="52"/>
        <v>0</v>
      </c>
      <c r="J1103" s="154"/>
      <c r="K1103" s="155" t="s">
        <v>2966</v>
      </c>
    </row>
    <row r="1104" spans="1:11" hidden="1" x14ac:dyDescent="0.25">
      <c r="A1104" s="148" t="s">
        <v>4552</v>
      </c>
      <c r="B1104" s="149" t="s">
        <v>4553</v>
      </c>
      <c r="C1104" s="150" t="s">
        <v>18</v>
      </c>
      <c r="D1104" s="150">
        <v>0</v>
      </c>
      <c r="E1104" s="151" t="s">
        <v>13</v>
      </c>
      <c r="F1104" s="152" t="str">
        <f t="shared" si="53"/>
        <v/>
      </c>
      <c r="G1104" s="153">
        <f>IF($K1104="Padrão",BDI!$B$17,IF($K1104="Diferenciado",BDI!$E$17,0))</f>
        <v>0.2039</v>
      </c>
      <c r="H1104" s="151" t="str">
        <f t="shared" si="51"/>
        <v/>
      </c>
      <c r="I1104" s="152" t="str">
        <f t="shared" si="52"/>
        <v/>
      </c>
      <c r="J1104" s="154"/>
      <c r="K1104" s="155" t="s">
        <v>2966</v>
      </c>
    </row>
    <row r="1105" spans="1:11" hidden="1" x14ac:dyDescent="0.25">
      <c r="A1105" s="148" t="s">
        <v>4554</v>
      </c>
      <c r="B1105" s="149" t="s">
        <v>4555</v>
      </c>
      <c r="C1105" s="150" t="s">
        <v>18</v>
      </c>
      <c r="D1105" s="150">
        <v>0</v>
      </c>
      <c r="E1105" s="151" t="s">
        <v>13</v>
      </c>
      <c r="F1105" s="152" t="str">
        <f t="shared" si="53"/>
        <v/>
      </c>
      <c r="G1105" s="153">
        <f>IF($K1105="Padrão",BDI!$B$17,IF($K1105="Diferenciado",BDI!$E$17,0))</f>
        <v>0.2039</v>
      </c>
      <c r="H1105" s="151" t="str">
        <f t="shared" si="51"/>
        <v/>
      </c>
      <c r="I1105" s="152" t="str">
        <f t="shared" si="52"/>
        <v/>
      </c>
      <c r="J1105" s="154"/>
      <c r="K1105" s="155" t="s">
        <v>2966</v>
      </c>
    </row>
    <row r="1106" spans="1:11" hidden="1" x14ac:dyDescent="0.25">
      <c r="A1106" s="148" t="s">
        <v>1001</v>
      </c>
      <c r="B1106" s="149" t="s">
        <v>4556</v>
      </c>
      <c r="C1106" s="150" t="s">
        <v>106</v>
      </c>
      <c r="D1106" s="150">
        <v>0</v>
      </c>
      <c r="E1106" s="151">
        <f ca="1">OFFSET(INDEX(Composições!A:H,MATCH(Orçamentária!A1106,Composições!A:A,0),8),2,0)</f>
        <v>29.708447500000002</v>
      </c>
      <c r="F1106" s="152">
        <f t="shared" ca="1" si="53"/>
        <v>0</v>
      </c>
      <c r="G1106" s="153">
        <f>IF($K1106="Padrão",BDI!$B$17,IF($K1106="Diferenciado",BDI!$E$17,0))</f>
        <v>0.2039</v>
      </c>
      <c r="H1106" s="151">
        <f t="shared" ca="1" si="51"/>
        <v>35.770000000000003</v>
      </c>
      <c r="I1106" s="152">
        <f t="shared" ca="1" si="52"/>
        <v>0</v>
      </c>
      <c r="J1106" s="154"/>
      <c r="K1106" s="155" t="s">
        <v>2966</v>
      </c>
    </row>
    <row r="1107" spans="1:11" hidden="1" x14ac:dyDescent="0.25">
      <c r="A1107" s="148" t="s">
        <v>1002</v>
      </c>
      <c r="B1107" s="149" t="s">
        <v>4557</v>
      </c>
      <c r="C1107" s="150" t="s">
        <v>3982</v>
      </c>
      <c r="D1107" s="150">
        <v>0</v>
      </c>
      <c r="E1107" s="151" t="e">
        <f ca="1">OFFSET(INDEX(Composições!A:H,MATCH(Orçamentária!A1107,Composições!A:A,0),8),2,0)</f>
        <v>#REF!</v>
      </c>
      <c r="F1107" s="152" t="str">
        <f t="shared" ca="1" si="53"/>
        <v/>
      </c>
      <c r="G1107" s="153">
        <f>IF($K1107="Padrão",BDI!$B$17,IF($K1107="Diferenciado",BDI!$E$17,0))</f>
        <v>0.2039</v>
      </c>
      <c r="H1107" s="151" t="str">
        <f t="shared" ca="1" si="51"/>
        <v/>
      </c>
      <c r="I1107" s="152" t="str">
        <f t="shared" ca="1" si="52"/>
        <v/>
      </c>
      <c r="J1107" s="154"/>
      <c r="K1107" s="155" t="s">
        <v>2966</v>
      </c>
    </row>
    <row r="1108" spans="1:11" hidden="1" x14ac:dyDescent="0.25">
      <c r="A1108" s="148" t="s">
        <v>4558</v>
      </c>
      <c r="B1108" s="149" t="s">
        <v>4559</v>
      </c>
      <c r="C1108" s="150" t="s">
        <v>4190</v>
      </c>
      <c r="D1108" s="150">
        <v>0</v>
      </c>
      <c r="E1108" s="151" t="s">
        <v>13</v>
      </c>
      <c r="F1108" s="152" t="str">
        <f t="shared" si="53"/>
        <v/>
      </c>
      <c r="G1108" s="153">
        <f>IF($K1108="Padrão",BDI!$B$17,IF($K1108="Diferenciado",BDI!$E$17,0))</f>
        <v>0.2039</v>
      </c>
      <c r="H1108" s="151" t="str">
        <f t="shared" si="51"/>
        <v/>
      </c>
      <c r="I1108" s="152" t="str">
        <f t="shared" si="52"/>
        <v/>
      </c>
      <c r="J1108" s="154"/>
      <c r="K1108" s="155" t="s">
        <v>2966</v>
      </c>
    </row>
    <row r="1109" spans="1:11" hidden="1" x14ac:dyDescent="0.25">
      <c r="A1109" s="148" t="s">
        <v>1003</v>
      </c>
      <c r="B1109" s="149" t="s">
        <v>4560</v>
      </c>
      <c r="C1109" s="150" t="s">
        <v>68</v>
      </c>
      <c r="D1109" s="150">
        <v>0</v>
      </c>
      <c r="E1109" s="151">
        <f ca="1">OFFSET(INDEX(Composições!A:H,MATCH(Orçamentária!A1109,Composições!A:A,0),8),2,0)</f>
        <v>14.275650000000002</v>
      </c>
      <c r="F1109" s="152">
        <f t="shared" ca="1" si="53"/>
        <v>0</v>
      </c>
      <c r="G1109" s="153">
        <f>IF($K1109="Padrão",BDI!$B$17,IF($K1109="Diferenciado",BDI!$E$17,0))</f>
        <v>0.2039</v>
      </c>
      <c r="H1109" s="151">
        <f t="shared" ca="1" si="51"/>
        <v>17.190000000000001</v>
      </c>
      <c r="I1109" s="152">
        <f t="shared" ca="1" si="52"/>
        <v>0</v>
      </c>
      <c r="J1109" s="154"/>
      <c r="K1109" s="155" t="s">
        <v>2966</v>
      </c>
    </row>
    <row r="1110" spans="1:11" hidden="1" x14ac:dyDescent="0.25">
      <c r="A1110" s="148" t="s">
        <v>1004</v>
      </c>
      <c r="B1110" s="149" t="s">
        <v>4561</v>
      </c>
      <c r="C1110" s="150" t="s">
        <v>68</v>
      </c>
      <c r="D1110" s="150">
        <v>0</v>
      </c>
      <c r="E1110" s="151">
        <f ca="1">OFFSET(INDEX(Composições!A:H,MATCH(Orçamentária!A1110,Composições!A:A,0),8),2,0)</f>
        <v>42.960330000000006</v>
      </c>
      <c r="F1110" s="152">
        <f t="shared" ca="1" si="53"/>
        <v>0</v>
      </c>
      <c r="G1110" s="153">
        <f>IF($K1110="Padrão",BDI!$B$17,IF($K1110="Diferenciado",BDI!$E$17,0))</f>
        <v>0.2039</v>
      </c>
      <c r="H1110" s="151">
        <f t="shared" ca="1" si="51"/>
        <v>51.72</v>
      </c>
      <c r="I1110" s="152">
        <f t="shared" ca="1" si="52"/>
        <v>0</v>
      </c>
      <c r="J1110" s="154"/>
      <c r="K1110" s="155" t="s">
        <v>2966</v>
      </c>
    </row>
    <row r="1111" spans="1:11" ht="25.5" hidden="1" x14ac:dyDescent="0.25">
      <c r="A1111" s="148" t="s">
        <v>1006</v>
      </c>
      <c r="B1111" s="149" t="s">
        <v>4562</v>
      </c>
      <c r="C1111" s="150" t="s">
        <v>68</v>
      </c>
      <c r="D1111" s="150">
        <v>0</v>
      </c>
      <c r="E1111" s="151">
        <f ca="1">OFFSET(INDEX(Composições!A:H,MATCH(Orçamentária!A1111,Composições!A:A,0),8),2,0)</f>
        <v>66.587856000000002</v>
      </c>
      <c r="F1111" s="152">
        <f t="shared" ca="1" si="53"/>
        <v>0</v>
      </c>
      <c r="G1111" s="153">
        <f>IF($K1111="Padrão",BDI!$B$17,IF($K1111="Diferenciado",BDI!$E$17,0))</f>
        <v>0.2039</v>
      </c>
      <c r="H1111" s="151">
        <f t="shared" ca="1" si="51"/>
        <v>80.17</v>
      </c>
      <c r="I1111" s="152">
        <f t="shared" ca="1" si="52"/>
        <v>0</v>
      </c>
      <c r="J1111" s="154"/>
      <c r="K1111" s="155" t="s">
        <v>2966</v>
      </c>
    </row>
    <row r="1112" spans="1:11" hidden="1" x14ac:dyDescent="0.25">
      <c r="A1112" s="148" t="s">
        <v>1008</v>
      </c>
      <c r="B1112" s="149" t="s">
        <v>4563</v>
      </c>
      <c r="C1112" s="150" t="s">
        <v>68</v>
      </c>
      <c r="D1112" s="150">
        <v>0</v>
      </c>
      <c r="E1112" s="151">
        <f ca="1">OFFSET(INDEX(Composições!A:H,MATCH(Orçamentária!A1112,Composições!A:A,0),8),2,0)</f>
        <v>66.587856000000002</v>
      </c>
      <c r="F1112" s="152">
        <f t="shared" ca="1" si="53"/>
        <v>0</v>
      </c>
      <c r="G1112" s="153">
        <f>IF($K1112="Padrão",BDI!$B$17,IF($K1112="Diferenciado",BDI!$E$17,0))</f>
        <v>0.2039</v>
      </c>
      <c r="H1112" s="151">
        <f t="shared" ca="1" si="51"/>
        <v>80.17</v>
      </c>
      <c r="I1112" s="152">
        <f t="shared" ca="1" si="52"/>
        <v>0</v>
      </c>
      <c r="J1112" s="154"/>
      <c r="K1112" s="155" t="s">
        <v>2966</v>
      </c>
    </row>
    <row r="1113" spans="1:11" ht="25.5" hidden="1" x14ac:dyDescent="0.25">
      <c r="A1113" s="148" t="s">
        <v>1010</v>
      </c>
      <c r="B1113" s="149" t="s">
        <v>4564</v>
      </c>
      <c r="C1113" s="150" t="s">
        <v>68</v>
      </c>
      <c r="D1113" s="150">
        <v>0</v>
      </c>
      <c r="E1113" s="151">
        <f ca="1">OFFSET(INDEX(Composições!A:H,MATCH(Orçamentária!A1113,Composições!A:A,0),8),2,0)</f>
        <v>114.99735559999996</v>
      </c>
      <c r="F1113" s="152">
        <f t="shared" ca="1" si="53"/>
        <v>0</v>
      </c>
      <c r="G1113" s="153">
        <f>IF($K1113="Padrão",BDI!$B$17,IF($K1113="Diferenciado",BDI!$E$17,0))</f>
        <v>0.2039</v>
      </c>
      <c r="H1113" s="151">
        <f t="shared" ca="1" si="51"/>
        <v>138.44999999999999</v>
      </c>
      <c r="I1113" s="152">
        <f t="shared" ca="1" si="52"/>
        <v>0</v>
      </c>
      <c r="J1113" s="154"/>
      <c r="K1113" s="155" t="s">
        <v>2966</v>
      </c>
    </row>
    <row r="1114" spans="1:11" hidden="1" x14ac:dyDescent="0.25">
      <c r="A1114" s="148" t="s">
        <v>1011</v>
      </c>
      <c r="B1114" s="149" t="s">
        <v>4565</v>
      </c>
      <c r="C1114" s="150" t="s">
        <v>68</v>
      </c>
      <c r="D1114" s="150">
        <v>0</v>
      </c>
      <c r="E1114" s="151">
        <f ca="1">OFFSET(INDEX(Composições!A:H,MATCH(Orçamentária!A1114,Composições!A:A,0),8),2,0)</f>
        <v>112.57499999999999</v>
      </c>
      <c r="F1114" s="152">
        <f t="shared" ca="1" si="53"/>
        <v>0</v>
      </c>
      <c r="G1114" s="153">
        <f>IF($K1114="Padrão",BDI!$B$17,IF($K1114="Diferenciado",BDI!$E$17,0))</f>
        <v>0.2039</v>
      </c>
      <c r="H1114" s="151">
        <f t="shared" ca="1" si="51"/>
        <v>135.53</v>
      </c>
      <c r="I1114" s="152">
        <f t="shared" ca="1" si="52"/>
        <v>0</v>
      </c>
      <c r="J1114" s="154"/>
      <c r="K1114" s="155" t="s">
        <v>2966</v>
      </c>
    </row>
    <row r="1115" spans="1:11" hidden="1" x14ac:dyDescent="0.25">
      <c r="A1115" s="148" t="s">
        <v>1012</v>
      </c>
      <c r="B1115" s="149" t="s">
        <v>4566</v>
      </c>
      <c r="C1115" s="150" t="s">
        <v>68</v>
      </c>
      <c r="D1115" s="150">
        <v>0</v>
      </c>
      <c r="E1115" s="151">
        <f ca="1">OFFSET(INDEX(Composições!A:H,MATCH(Orçamentária!A1115,Composições!A:A,0),8),2,0)</f>
        <v>30.705899999999993</v>
      </c>
      <c r="F1115" s="152">
        <f t="shared" ca="1" si="53"/>
        <v>0</v>
      </c>
      <c r="G1115" s="153">
        <f>IF($K1115="Padrão",BDI!$B$17,IF($K1115="Diferenciado",BDI!$E$17,0))</f>
        <v>0.2039</v>
      </c>
      <c r="H1115" s="151">
        <f t="shared" ca="1" si="51"/>
        <v>36.97</v>
      </c>
      <c r="I1115" s="152">
        <f t="shared" ca="1" si="52"/>
        <v>0</v>
      </c>
      <c r="J1115" s="154"/>
      <c r="K1115" s="155" t="s">
        <v>2966</v>
      </c>
    </row>
    <row r="1116" spans="1:11" hidden="1" x14ac:dyDescent="0.25">
      <c r="A1116" s="148" t="s">
        <v>1015</v>
      </c>
      <c r="B1116" s="149" t="s">
        <v>4567</v>
      </c>
      <c r="C1116" s="150" t="s">
        <v>106</v>
      </c>
      <c r="D1116" s="150">
        <v>0</v>
      </c>
      <c r="E1116" s="151">
        <f ca="1">OFFSET(INDEX(Composições!A:H,MATCH(Orçamentária!A1116,Composições!A:A,0),8),2,0)</f>
        <v>78.128095000000002</v>
      </c>
      <c r="F1116" s="152">
        <f t="shared" ca="1" si="53"/>
        <v>0</v>
      </c>
      <c r="G1116" s="153">
        <f>IF($K1116="Padrão",BDI!$B$17,IF($K1116="Diferenciado",BDI!$E$17,0))</f>
        <v>0.2039</v>
      </c>
      <c r="H1116" s="151">
        <f t="shared" ca="1" si="51"/>
        <v>94.06</v>
      </c>
      <c r="I1116" s="152">
        <f t="shared" ca="1" si="52"/>
        <v>0</v>
      </c>
      <c r="J1116" s="154"/>
      <c r="K1116" s="155" t="s">
        <v>2966</v>
      </c>
    </row>
    <row r="1117" spans="1:11" hidden="1" x14ac:dyDescent="0.25">
      <c r="A1117" s="148" t="s">
        <v>1019</v>
      </c>
      <c r="B1117" s="149" t="s">
        <v>4568</v>
      </c>
      <c r="C1117" s="150" t="s">
        <v>68</v>
      </c>
      <c r="D1117" s="150">
        <v>0</v>
      </c>
      <c r="E1117" s="151">
        <f ca="1">OFFSET(INDEX(Composições!A:H,MATCH(Orçamentária!A1117,Composições!A:A,0),8),2,0)</f>
        <v>22.347799999999999</v>
      </c>
      <c r="F1117" s="152">
        <f t="shared" ca="1" si="53"/>
        <v>0</v>
      </c>
      <c r="G1117" s="153">
        <f>IF($K1117="Padrão",BDI!$B$17,IF($K1117="Diferenciado",BDI!$E$17,0))</f>
        <v>0.2039</v>
      </c>
      <c r="H1117" s="151">
        <f t="shared" ca="1" si="51"/>
        <v>26.9</v>
      </c>
      <c r="I1117" s="152">
        <f t="shared" ca="1" si="52"/>
        <v>0</v>
      </c>
      <c r="J1117" s="154"/>
      <c r="K1117" s="155" t="s">
        <v>2966</v>
      </c>
    </row>
    <row r="1118" spans="1:11" hidden="1" x14ac:dyDescent="0.25">
      <c r="A1118" s="148" t="s">
        <v>1025</v>
      </c>
      <c r="B1118" s="149" t="s">
        <v>4569</v>
      </c>
      <c r="C1118" s="150" t="s">
        <v>68</v>
      </c>
      <c r="D1118" s="150">
        <v>0</v>
      </c>
      <c r="E1118" s="151">
        <f ca="1">OFFSET(INDEX(Composições!A:H,MATCH(Orçamentária!A1118,Composições!A:A,0),8),2,0)</f>
        <v>0</v>
      </c>
      <c r="F1118" s="152">
        <f t="shared" ca="1" si="53"/>
        <v>0</v>
      </c>
      <c r="G1118" s="153">
        <f>IF($K1118="Padrão",BDI!$B$17,IF($K1118="Diferenciado",BDI!$E$17,0))</f>
        <v>0.2039</v>
      </c>
      <c r="H1118" s="151">
        <f t="shared" ca="1" si="51"/>
        <v>0</v>
      </c>
      <c r="I1118" s="152">
        <f t="shared" ca="1" si="52"/>
        <v>0</v>
      </c>
      <c r="J1118" s="154"/>
      <c r="K1118" s="155" t="s">
        <v>2966</v>
      </c>
    </row>
    <row r="1119" spans="1:11" hidden="1" x14ac:dyDescent="0.25">
      <c r="A1119" s="148" t="s">
        <v>1027</v>
      </c>
      <c r="B1119" s="149" t="s">
        <v>4570</v>
      </c>
      <c r="C1119" s="150" t="s">
        <v>68</v>
      </c>
      <c r="D1119" s="150">
        <v>0</v>
      </c>
      <c r="E1119" s="151">
        <f ca="1">OFFSET(INDEX(Composições!A:H,MATCH(Orçamentária!A1119,Composições!A:A,0),8),2,0)</f>
        <v>331.17961589999999</v>
      </c>
      <c r="F1119" s="152">
        <f t="shared" ca="1" si="53"/>
        <v>0</v>
      </c>
      <c r="G1119" s="153">
        <f>IF($K1119="Padrão",BDI!$B$17,IF($K1119="Diferenciado",BDI!$E$17,0))</f>
        <v>0.2039</v>
      </c>
      <c r="H1119" s="151">
        <f t="shared" ca="1" si="51"/>
        <v>398.71</v>
      </c>
      <c r="I1119" s="152">
        <f t="shared" ca="1" si="52"/>
        <v>0</v>
      </c>
      <c r="J1119" s="154"/>
      <c r="K1119" s="155" t="s">
        <v>2966</v>
      </c>
    </row>
    <row r="1120" spans="1:11" hidden="1" x14ac:dyDescent="0.25">
      <c r="A1120" s="148" t="s">
        <v>1028</v>
      </c>
      <c r="B1120" s="149" t="s">
        <v>4571</v>
      </c>
      <c r="C1120" s="150" t="s">
        <v>68</v>
      </c>
      <c r="D1120" s="150">
        <v>0</v>
      </c>
      <c r="E1120" s="151">
        <f ca="1">OFFSET(INDEX(Composições!A:H,MATCH(Orçamentária!A1120,Composições!A:A,0),8),2,0)</f>
        <v>106.35968389999999</v>
      </c>
      <c r="F1120" s="152">
        <f t="shared" ca="1" si="53"/>
        <v>0</v>
      </c>
      <c r="G1120" s="153">
        <f>IF($K1120="Padrão",BDI!$B$17,IF($K1120="Diferenciado",BDI!$E$17,0))</f>
        <v>0.2039</v>
      </c>
      <c r="H1120" s="151">
        <f t="shared" ca="1" si="51"/>
        <v>128.05000000000001</v>
      </c>
      <c r="I1120" s="152">
        <f t="shared" ca="1" si="52"/>
        <v>0</v>
      </c>
      <c r="J1120" s="154"/>
      <c r="K1120" s="155" t="s">
        <v>2966</v>
      </c>
    </row>
    <row r="1121" spans="1:11" hidden="1" x14ac:dyDescent="0.25">
      <c r="A1121" s="148" t="s">
        <v>1029</v>
      </c>
      <c r="B1121" s="149" t="s">
        <v>4572</v>
      </c>
      <c r="C1121" s="150" t="s">
        <v>68</v>
      </c>
      <c r="D1121" s="150">
        <v>0</v>
      </c>
      <c r="E1121" s="151">
        <f ca="1">OFFSET(INDEX(Composições!A:H,MATCH(Orçamentária!A1121,Composições!A:A,0),8),2,0)</f>
        <v>18.031016340000001</v>
      </c>
      <c r="F1121" s="152">
        <f t="shared" ca="1" si="53"/>
        <v>0</v>
      </c>
      <c r="G1121" s="153">
        <f>IF($K1121="Padrão",BDI!$B$17,IF($K1121="Diferenciado",BDI!$E$17,0))</f>
        <v>0.2039</v>
      </c>
      <c r="H1121" s="151">
        <f t="shared" ca="1" si="51"/>
        <v>21.71</v>
      </c>
      <c r="I1121" s="152">
        <f t="shared" ca="1" si="52"/>
        <v>0</v>
      </c>
      <c r="J1121" s="154"/>
      <c r="K1121" s="155" t="s">
        <v>2966</v>
      </c>
    </row>
    <row r="1122" spans="1:11" hidden="1" x14ac:dyDescent="0.25">
      <c r="A1122" s="148" t="s">
        <v>1031</v>
      </c>
      <c r="B1122" s="149" t="s">
        <v>4573</v>
      </c>
      <c r="C1122" s="150" t="s">
        <v>68</v>
      </c>
      <c r="D1122" s="150">
        <v>0</v>
      </c>
      <c r="E1122" s="151">
        <f ca="1">OFFSET(INDEX(Composições!A:H,MATCH(Orçamentária!A1122,Composições!A:A,0),8),2,0)</f>
        <v>13.257059999999999</v>
      </c>
      <c r="F1122" s="152">
        <f t="shared" ca="1" si="53"/>
        <v>0</v>
      </c>
      <c r="G1122" s="153">
        <f>IF($K1122="Padrão",BDI!$B$17,IF($K1122="Diferenciado",BDI!$E$17,0))</f>
        <v>0.2039</v>
      </c>
      <c r="H1122" s="151">
        <f t="shared" ca="1" si="51"/>
        <v>15.96</v>
      </c>
      <c r="I1122" s="152">
        <f t="shared" ca="1" si="52"/>
        <v>0</v>
      </c>
      <c r="J1122" s="154"/>
      <c r="K1122" s="155" t="s">
        <v>2966</v>
      </c>
    </row>
    <row r="1123" spans="1:11" hidden="1" x14ac:dyDescent="0.25">
      <c r="A1123" s="148" t="s">
        <v>1033</v>
      </c>
      <c r="B1123" s="149" t="s">
        <v>4574</v>
      </c>
      <c r="C1123" s="150" t="s">
        <v>68</v>
      </c>
      <c r="D1123" s="150">
        <v>0</v>
      </c>
      <c r="E1123" s="151">
        <f ca="1">OFFSET(INDEX(Composições!A:H,MATCH(Orçamentária!A1123,Composições!A:A,0),8),2,0)</f>
        <v>13.257059999999999</v>
      </c>
      <c r="F1123" s="152">
        <f t="shared" ca="1" si="53"/>
        <v>0</v>
      </c>
      <c r="G1123" s="153">
        <f>IF($K1123="Padrão",BDI!$B$17,IF($K1123="Diferenciado",BDI!$E$17,0))</f>
        <v>0.2039</v>
      </c>
      <c r="H1123" s="151">
        <f t="shared" ca="1" si="51"/>
        <v>15.96</v>
      </c>
      <c r="I1123" s="152">
        <f t="shared" ca="1" si="52"/>
        <v>0</v>
      </c>
      <c r="J1123" s="154"/>
      <c r="K1123" s="155" t="s">
        <v>2966</v>
      </c>
    </row>
    <row r="1124" spans="1:11" hidden="1" x14ac:dyDescent="0.25">
      <c r="A1124" s="148" t="s">
        <v>1035</v>
      </c>
      <c r="B1124" s="149" t="s">
        <v>4575</v>
      </c>
      <c r="C1124" s="150" t="s">
        <v>68</v>
      </c>
      <c r="D1124" s="150">
        <v>0</v>
      </c>
      <c r="E1124" s="151">
        <f ca="1">OFFSET(INDEX(Composições!A:H,MATCH(Orçamentária!A1124,Composições!A:A,0),8),2,0)</f>
        <v>53.695478199999997</v>
      </c>
      <c r="F1124" s="152">
        <f t="shared" ca="1" si="53"/>
        <v>0</v>
      </c>
      <c r="G1124" s="153">
        <f>IF($K1124="Padrão",BDI!$B$17,IF($K1124="Diferenciado",BDI!$E$17,0))</f>
        <v>0.2039</v>
      </c>
      <c r="H1124" s="151">
        <f t="shared" ca="1" si="51"/>
        <v>64.64</v>
      </c>
      <c r="I1124" s="152">
        <f t="shared" ca="1" si="52"/>
        <v>0</v>
      </c>
      <c r="J1124" s="154"/>
      <c r="K1124" s="155" t="s">
        <v>2966</v>
      </c>
    </row>
    <row r="1125" spans="1:11" hidden="1" x14ac:dyDescent="0.25">
      <c r="A1125" s="148" t="s">
        <v>1036</v>
      </c>
      <c r="B1125" s="149" t="s">
        <v>4576</v>
      </c>
      <c r="C1125" s="150" t="s">
        <v>68</v>
      </c>
      <c r="D1125" s="150">
        <v>0</v>
      </c>
      <c r="E1125" s="151">
        <f ca="1">OFFSET(INDEX(Composições!A:H,MATCH(Orçamentária!A1125,Composições!A:A,0),8),2,0)</f>
        <v>14.77845175</v>
      </c>
      <c r="F1125" s="152">
        <f t="shared" ca="1" si="53"/>
        <v>0</v>
      </c>
      <c r="G1125" s="153">
        <f>IF($K1125="Padrão",BDI!$B$17,IF($K1125="Diferenciado",BDI!$E$17,0))</f>
        <v>0.2039</v>
      </c>
      <c r="H1125" s="151">
        <f t="shared" ca="1" si="51"/>
        <v>17.79</v>
      </c>
      <c r="I1125" s="152">
        <f t="shared" ca="1" si="52"/>
        <v>0</v>
      </c>
      <c r="J1125" s="154"/>
      <c r="K1125" s="155" t="s">
        <v>2966</v>
      </c>
    </row>
    <row r="1126" spans="1:11" hidden="1" x14ac:dyDescent="0.25">
      <c r="A1126" s="148" t="s">
        <v>1037</v>
      </c>
      <c r="B1126" s="149" t="s">
        <v>4577</v>
      </c>
      <c r="C1126" s="150" t="s">
        <v>68</v>
      </c>
      <c r="D1126" s="150">
        <v>0</v>
      </c>
      <c r="E1126" s="151">
        <f ca="1">OFFSET(INDEX(Composições!A:H,MATCH(Orçamentária!A1126,Composições!A:A,0),8),2,0)</f>
        <v>15.099699949999998</v>
      </c>
      <c r="F1126" s="152">
        <f t="shared" ca="1" si="53"/>
        <v>0</v>
      </c>
      <c r="G1126" s="153">
        <f>IF($K1126="Padrão",BDI!$B$17,IF($K1126="Diferenciado",BDI!$E$17,0))</f>
        <v>0.2039</v>
      </c>
      <c r="H1126" s="151">
        <f t="shared" ca="1" si="51"/>
        <v>18.18</v>
      </c>
      <c r="I1126" s="152">
        <f t="shared" ca="1" si="52"/>
        <v>0</v>
      </c>
      <c r="J1126" s="154"/>
      <c r="K1126" s="155" t="s">
        <v>2966</v>
      </c>
    </row>
    <row r="1127" spans="1:11" hidden="1" x14ac:dyDescent="0.25">
      <c r="A1127" s="148" t="s">
        <v>4578</v>
      </c>
      <c r="B1127" s="149" t="s">
        <v>4579</v>
      </c>
      <c r="C1127" s="150" t="s">
        <v>68</v>
      </c>
      <c r="D1127" s="150">
        <v>0</v>
      </c>
      <c r="E1127" s="151" t="s">
        <v>13</v>
      </c>
      <c r="F1127" s="152" t="str">
        <f t="shared" si="53"/>
        <v/>
      </c>
      <c r="G1127" s="153">
        <f>IF($K1127="Padrão",BDI!$B$17,IF($K1127="Diferenciado",BDI!$E$17,0))</f>
        <v>0.2039</v>
      </c>
      <c r="H1127" s="151" t="str">
        <f t="shared" si="51"/>
        <v/>
      </c>
      <c r="I1127" s="152" t="str">
        <f t="shared" si="52"/>
        <v/>
      </c>
      <c r="J1127" s="154"/>
      <c r="K1127" s="155" t="s">
        <v>2966</v>
      </c>
    </row>
    <row r="1128" spans="1:11" hidden="1" x14ac:dyDescent="0.25">
      <c r="A1128" s="148" t="s">
        <v>1039</v>
      </c>
      <c r="B1128" s="149" t="s">
        <v>4580</v>
      </c>
      <c r="C1128" s="150" t="s">
        <v>68</v>
      </c>
      <c r="D1128" s="150">
        <v>0</v>
      </c>
      <c r="E1128" s="151">
        <f ca="1">OFFSET(INDEX(Composições!A:H,MATCH(Orçamentária!A1128,Composições!A:A,0),8),2,0)</f>
        <v>27.516132500000001</v>
      </c>
      <c r="F1128" s="152">
        <f t="shared" ca="1" si="53"/>
        <v>0</v>
      </c>
      <c r="G1128" s="153">
        <f>IF($K1128="Padrão",BDI!$B$17,IF($K1128="Diferenciado",BDI!$E$17,0))</f>
        <v>0.2039</v>
      </c>
      <c r="H1128" s="151">
        <f t="shared" ca="1" si="51"/>
        <v>33.130000000000003</v>
      </c>
      <c r="I1128" s="152">
        <f t="shared" ca="1" si="52"/>
        <v>0</v>
      </c>
      <c r="J1128" s="154"/>
      <c r="K1128" s="155" t="s">
        <v>2966</v>
      </c>
    </row>
    <row r="1129" spans="1:11" hidden="1" x14ac:dyDescent="0.25">
      <c r="A1129" s="148" t="s">
        <v>1040</v>
      </c>
      <c r="B1129" s="149" t="s">
        <v>4581</v>
      </c>
      <c r="C1129" s="150" t="s">
        <v>68</v>
      </c>
      <c r="D1129" s="150">
        <v>0</v>
      </c>
      <c r="E1129" s="151">
        <f ca="1">OFFSET(INDEX(Composições!A:H,MATCH(Orçamentária!A1129,Composições!A:A,0),8),2,0)</f>
        <v>72.021356299999994</v>
      </c>
      <c r="F1129" s="152">
        <f t="shared" ca="1" si="53"/>
        <v>0</v>
      </c>
      <c r="G1129" s="153">
        <f>IF($K1129="Padrão",BDI!$B$17,IF($K1129="Diferenciado",BDI!$E$17,0))</f>
        <v>0.2039</v>
      </c>
      <c r="H1129" s="151">
        <f t="shared" ca="1" si="51"/>
        <v>86.71</v>
      </c>
      <c r="I1129" s="152">
        <f t="shared" ca="1" si="52"/>
        <v>0</v>
      </c>
      <c r="J1129" s="154"/>
      <c r="K1129" s="155" t="s">
        <v>2966</v>
      </c>
    </row>
    <row r="1130" spans="1:11" ht="25.5" hidden="1" x14ac:dyDescent="0.25">
      <c r="A1130" s="148" t="s">
        <v>1041</v>
      </c>
      <c r="B1130" s="149" t="s">
        <v>4582</v>
      </c>
      <c r="C1130" s="150" t="s">
        <v>68</v>
      </c>
      <c r="D1130" s="150">
        <v>0</v>
      </c>
      <c r="E1130" s="151">
        <f ca="1">OFFSET(INDEX(Composições!A:H,MATCH(Orçamentária!A1130,Composições!A:A,0),8),2,0)</f>
        <v>26.74991</v>
      </c>
      <c r="F1130" s="152">
        <f t="shared" ca="1" si="53"/>
        <v>0</v>
      </c>
      <c r="G1130" s="153">
        <f>IF($K1130="Padrão",BDI!$B$17,IF($K1130="Diferenciado",BDI!$E$17,0))</f>
        <v>0.2039</v>
      </c>
      <c r="H1130" s="151">
        <f t="shared" ca="1" si="51"/>
        <v>32.200000000000003</v>
      </c>
      <c r="I1130" s="152">
        <f t="shared" ca="1" si="52"/>
        <v>0</v>
      </c>
      <c r="J1130" s="154"/>
      <c r="K1130" s="155" t="s">
        <v>2966</v>
      </c>
    </row>
    <row r="1131" spans="1:11" hidden="1" x14ac:dyDescent="0.25">
      <c r="A1131" s="148" t="s">
        <v>1045</v>
      </c>
      <c r="B1131" s="149" t="s">
        <v>4583</v>
      </c>
      <c r="C1131" s="150" t="s">
        <v>68</v>
      </c>
      <c r="D1131" s="150">
        <v>0</v>
      </c>
      <c r="E1131" s="151">
        <f ca="1">OFFSET(INDEX(Composições!A:H,MATCH(Orçamentária!A1131,Composições!A:A,0),8),2,0)</f>
        <v>1.6348170000000002</v>
      </c>
      <c r="F1131" s="152">
        <f t="shared" ca="1" si="53"/>
        <v>0</v>
      </c>
      <c r="G1131" s="153">
        <f>IF($K1131="Padrão",BDI!$B$17,IF($K1131="Diferenciado",BDI!$E$17,0))</f>
        <v>0.2039</v>
      </c>
      <c r="H1131" s="151">
        <f t="shared" ca="1" si="51"/>
        <v>1.97</v>
      </c>
      <c r="I1131" s="152">
        <f t="shared" ca="1" si="52"/>
        <v>0</v>
      </c>
      <c r="J1131" s="154"/>
      <c r="K1131" s="155" t="s">
        <v>2966</v>
      </c>
    </row>
    <row r="1132" spans="1:11" hidden="1" x14ac:dyDescent="0.25">
      <c r="A1132" s="148" t="s">
        <v>1047</v>
      </c>
      <c r="B1132" s="149" t="s">
        <v>4584</v>
      </c>
      <c r="C1132" s="150" t="s">
        <v>68</v>
      </c>
      <c r="D1132" s="150">
        <v>0</v>
      </c>
      <c r="E1132" s="151">
        <f ca="1">OFFSET(INDEX(Composições!A:H,MATCH(Orçamentária!A1132,Composições!A:A,0),8),2,0)</f>
        <v>39.050606899999991</v>
      </c>
      <c r="F1132" s="152">
        <f t="shared" ca="1" si="53"/>
        <v>0</v>
      </c>
      <c r="G1132" s="153">
        <f>IF($K1132="Padrão",BDI!$B$17,IF($K1132="Diferenciado",BDI!$E$17,0))</f>
        <v>0.2039</v>
      </c>
      <c r="H1132" s="151">
        <f t="shared" ca="1" si="51"/>
        <v>47.01</v>
      </c>
      <c r="I1132" s="152">
        <f t="shared" ca="1" si="52"/>
        <v>0</v>
      </c>
      <c r="J1132" s="154"/>
      <c r="K1132" s="155" t="s">
        <v>2966</v>
      </c>
    </row>
    <row r="1133" spans="1:11" hidden="1" x14ac:dyDescent="0.25">
      <c r="A1133" s="148" t="s">
        <v>1048</v>
      </c>
      <c r="B1133" s="149" t="s">
        <v>4585</v>
      </c>
      <c r="C1133" s="150" t="s">
        <v>106</v>
      </c>
      <c r="D1133" s="150">
        <v>0</v>
      </c>
      <c r="E1133" s="151">
        <f ca="1">OFFSET(INDEX(Composições!A:H,MATCH(Orçamentária!A1133,Composições!A:A,0),8),2,0)</f>
        <v>22.156508949999999</v>
      </c>
      <c r="F1133" s="152">
        <f t="shared" ca="1" si="53"/>
        <v>0</v>
      </c>
      <c r="G1133" s="153">
        <f>IF($K1133="Padrão",BDI!$B$17,IF($K1133="Diferenciado",BDI!$E$17,0))</f>
        <v>0.2039</v>
      </c>
      <c r="H1133" s="151">
        <f t="shared" ca="1" si="51"/>
        <v>26.67</v>
      </c>
      <c r="I1133" s="152">
        <f t="shared" ca="1" si="52"/>
        <v>0</v>
      </c>
      <c r="J1133" s="154"/>
      <c r="K1133" s="155" t="s">
        <v>2966</v>
      </c>
    </row>
    <row r="1134" spans="1:11" hidden="1" x14ac:dyDescent="0.25">
      <c r="A1134" s="148" t="s">
        <v>1054</v>
      </c>
      <c r="B1134" s="149" t="s">
        <v>4586</v>
      </c>
      <c r="C1134" s="150" t="s">
        <v>68</v>
      </c>
      <c r="D1134" s="150">
        <v>0</v>
      </c>
      <c r="E1134" s="151">
        <f ca="1">OFFSET(INDEX(Composições!A:H,MATCH(Orçamentária!A1134,Composições!A:A,0),8),2,0)</f>
        <v>99.234717710499979</v>
      </c>
      <c r="F1134" s="152">
        <f t="shared" ca="1" si="53"/>
        <v>0</v>
      </c>
      <c r="G1134" s="153">
        <f>IF($K1134="Padrão",BDI!$B$17,IF($K1134="Diferenciado",BDI!$E$17,0))</f>
        <v>0.2039</v>
      </c>
      <c r="H1134" s="151">
        <f t="shared" ca="1" si="51"/>
        <v>119.47</v>
      </c>
      <c r="I1134" s="152">
        <f t="shared" ca="1" si="52"/>
        <v>0</v>
      </c>
      <c r="J1134" s="154"/>
      <c r="K1134" s="155" t="s">
        <v>2966</v>
      </c>
    </row>
    <row r="1135" spans="1:11" hidden="1" x14ac:dyDescent="0.25">
      <c r="A1135" s="148" t="s">
        <v>1056</v>
      </c>
      <c r="B1135" s="149" t="s">
        <v>4587</v>
      </c>
      <c r="C1135" s="150" t="s">
        <v>1788</v>
      </c>
      <c r="D1135" s="150">
        <v>0</v>
      </c>
      <c r="E1135" s="151">
        <f ca="1">OFFSET(INDEX(Composições!A:H,MATCH(Orçamentária!A1135,Composições!A:A,0),8),2,0)</f>
        <v>506.48165195000001</v>
      </c>
      <c r="F1135" s="152">
        <f t="shared" ca="1" si="53"/>
        <v>0</v>
      </c>
      <c r="G1135" s="153">
        <f>IF($K1135="Padrão",BDI!$B$17,IF($K1135="Diferenciado",BDI!$E$17,0))</f>
        <v>0.2039</v>
      </c>
      <c r="H1135" s="151">
        <f t="shared" ca="1" si="51"/>
        <v>609.75</v>
      </c>
      <c r="I1135" s="152">
        <f t="shared" ca="1" si="52"/>
        <v>0</v>
      </c>
      <c r="J1135" s="154"/>
      <c r="K1135" s="155" t="s">
        <v>2966</v>
      </c>
    </row>
    <row r="1136" spans="1:11" hidden="1" x14ac:dyDescent="0.25">
      <c r="A1136" s="148" t="s">
        <v>1058</v>
      </c>
      <c r="B1136" s="149" t="s">
        <v>4588</v>
      </c>
      <c r="C1136" s="150" t="s">
        <v>1788</v>
      </c>
      <c r="D1136" s="150">
        <v>0</v>
      </c>
      <c r="E1136" s="151">
        <f ca="1">OFFSET(INDEX(Composições!A:H,MATCH(Orçamentária!A1136,Composições!A:A,0),8),2,0)</f>
        <v>284.31600000000003</v>
      </c>
      <c r="F1136" s="152">
        <f t="shared" ca="1" si="53"/>
        <v>0</v>
      </c>
      <c r="G1136" s="153">
        <f>IF($K1136="Padrão",BDI!$B$17,IF($K1136="Diferenciado",BDI!$E$17,0))</f>
        <v>0.2039</v>
      </c>
      <c r="H1136" s="151">
        <f t="shared" ca="1" si="51"/>
        <v>342.29</v>
      </c>
      <c r="I1136" s="152">
        <f t="shared" ca="1" si="52"/>
        <v>0</v>
      </c>
      <c r="J1136" s="154"/>
      <c r="K1136" s="155" t="s">
        <v>2966</v>
      </c>
    </row>
    <row r="1137" spans="1:11" ht="25.5" hidden="1" x14ac:dyDescent="0.25">
      <c r="A1137" s="148" t="s">
        <v>1061</v>
      </c>
      <c r="B1137" s="149" t="s">
        <v>4589</v>
      </c>
      <c r="C1137" s="150" t="s">
        <v>68</v>
      </c>
      <c r="D1137" s="150">
        <v>0</v>
      </c>
      <c r="E1137" s="151">
        <f ca="1">OFFSET(INDEX(Composições!A:H,MATCH(Orçamentária!A1137,Composições!A:A,0),8),2,0)</f>
        <v>36.029025500000003</v>
      </c>
      <c r="F1137" s="152">
        <f t="shared" ca="1" si="53"/>
        <v>0</v>
      </c>
      <c r="G1137" s="153">
        <f>IF($K1137="Padrão",BDI!$B$17,IF($K1137="Diferenciado",BDI!$E$17,0))</f>
        <v>0.2039</v>
      </c>
      <c r="H1137" s="151">
        <f t="shared" ca="1" si="51"/>
        <v>43.38</v>
      </c>
      <c r="I1137" s="152">
        <f t="shared" ca="1" si="52"/>
        <v>0</v>
      </c>
      <c r="J1137" s="154"/>
      <c r="K1137" s="155" t="s">
        <v>2966</v>
      </c>
    </row>
    <row r="1138" spans="1:11" hidden="1" x14ac:dyDescent="0.25">
      <c r="A1138" s="148" t="s">
        <v>1062</v>
      </c>
      <c r="B1138" s="149" t="s">
        <v>4590</v>
      </c>
      <c r="C1138" s="150" t="s">
        <v>68</v>
      </c>
      <c r="D1138" s="150">
        <v>0</v>
      </c>
      <c r="E1138" s="151">
        <f ca="1">OFFSET(INDEX(Composições!A:H,MATCH(Orçamentária!A1138,Composições!A:A,0),8),2,0)</f>
        <v>63.901944749999998</v>
      </c>
      <c r="F1138" s="152">
        <f t="shared" ca="1" si="53"/>
        <v>0</v>
      </c>
      <c r="G1138" s="153">
        <f>IF($K1138="Padrão",BDI!$B$17,IF($K1138="Diferenciado",BDI!$E$17,0))</f>
        <v>0.2039</v>
      </c>
      <c r="H1138" s="151">
        <f t="shared" ca="1" si="51"/>
        <v>76.930000000000007</v>
      </c>
      <c r="I1138" s="152">
        <f t="shared" ca="1" si="52"/>
        <v>0</v>
      </c>
      <c r="J1138" s="154"/>
      <c r="K1138" s="155" t="s">
        <v>2966</v>
      </c>
    </row>
    <row r="1139" spans="1:11" hidden="1" x14ac:dyDescent="0.25">
      <c r="A1139" s="148" t="s">
        <v>1063</v>
      </c>
      <c r="B1139" s="149" t="s">
        <v>4591</v>
      </c>
      <c r="C1139" s="150" t="s">
        <v>106</v>
      </c>
      <c r="D1139" s="150">
        <v>0</v>
      </c>
      <c r="E1139" s="151">
        <f ca="1">OFFSET(INDEX(Composições!A:H,MATCH(Orçamentária!A1139,Composições!A:A,0),8),2,0)</f>
        <v>11.906663500000001</v>
      </c>
      <c r="F1139" s="152">
        <f t="shared" ca="1" si="53"/>
        <v>0</v>
      </c>
      <c r="G1139" s="153">
        <f>IF($K1139="Padrão",BDI!$B$17,IF($K1139="Diferenciado",BDI!$E$17,0))</f>
        <v>0.2039</v>
      </c>
      <c r="H1139" s="151">
        <f t="shared" ca="1" si="51"/>
        <v>14.33</v>
      </c>
      <c r="I1139" s="152">
        <f t="shared" ca="1" si="52"/>
        <v>0</v>
      </c>
      <c r="J1139" s="154"/>
      <c r="K1139" s="155" t="s">
        <v>2966</v>
      </c>
    </row>
    <row r="1140" spans="1:11" hidden="1" x14ac:dyDescent="0.25">
      <c r="A1140" s="148" t="s">
        <v>1065</v>
      </c>
      <c r="B1140" s="149" t="s">
        <v>4592</v>
      </c>
      <c r="C1140" s="150" t="s">
        <v>68</v>
      </c>
      <c r="D1140" s="150">
        <v>0</v>
      </c>
      <c r="E1140" s="151">
        <f ca="1">OFFSET(INDEX(Composições!A:H,MATCH(Orçamentária!A1140,Composições!A:A,0),8),2,0)</f>
        <v>13.357593749999999</v>
      </c>
      <c r="F1140" s="152">
        <f t="shared" ca="1" si="53"/>
        <v>0</v>
      </c>
      <c r="G1140" s="153">
        <f>IF($K1140="Padrão",BDI!$B$17,IF($K1140="Diferenciado",BDI!$E$17,0))</f>
        <v>0.2039</v>
      </c>
      <c r="H1140" s="151">
        <f t="shared" ca="1" si="51"/>
        <v>16.079999999999998</v>
      </c>
      <c r="I1140" s="152">
        <f t="shared" ca="1" si="52"/>
        <v>0</v>
      </c>
      <c r="J1140" s="154"/>
      <c r="K1140" s="155" t="s">
        <v>2966</v>
      </c>
    </row>
    <row r="1141" spans="1:11" hidden="1" x14ac:dyDescent="0.25">
      <c r="A1141" s="148" t="s">
        <v>1067</v>
      </c>
      <c r="B1141" s="149" t="s">
        <v>4593</v>
      </c>
      <c r="C1141" s="150" t="s">
        <v>106</v>
      </c>
      <c r="D1141" s="150">
        <v>0</v>
      </c>
      <c r="E1141" s="151">
        <f ca="1">OFFSET(INDEX(Composições!A:H,MATCH(Orçamentária!A1141,Composições!A:A,0),8),2,0)</f>
        <v>11.906663500000001</v>
      </c>
      <c r="F1141" s="152">
        <f t="shared" ca="1" si="53"/>
        <v>0</v>
      </c>
      <c r="G1141" s="153">
        <f>IF($K1141="Padrão",BDI!$B$17,IF($K1141="Diferenciado",BDI!$E$17,0))</f>
        <v>0.2039</v>
      </c>
      <c r="H1141" s="151">
        <f t="shared" ca="1" si="51"/>
        <v>14.33</v>
      </c>
      <c r="I1141" s="152">
        <f t="shared" ca="1" si="52"/>
        <v>0</v>
      </c>
      <c r="J1141" s="154"/>
      <c r="K1141" s="155" t="s">
        <v>2966</v>
      </c>
    </row>
    <row r="1142" spans="1:11" hidden="1" x14ac:dyDescent="0.25">
      <c r="A1142" s="148" t="s">
        <v>1069</v>
      </c>
      <c r="B1142" s="149" t="s">
        <v>4594</v>
      </c>
      <c r="C1142" s="150" t="s">
        <v>68</v>
      </c>
      <c r="D1142" s="150">
        <v>0</v>
      </c>
      <c r="E1142" s="151">
        <f ca="1">OFFSET(INDEX(Composições!A:H,MATCH(Orçamentária!A1142,Composições!A:A,0),8),2,0)</f>
        <v>23.3187</v>
      </c>
      <c r="F1142" s="152">
        <f t="shared" ca="1" si="53"/>
        <v>0</v>
      </c>
      <c r="G1142" s="153">
        <f>IF($K1142="Padrão",BDI!$B$17,IF($K1142="Diferenciado",BDI!$E$17,0))</f>
        <v>0.2039</v>
      </c>
      <c r="H1142" s="151">
        <f t="shared" ca="1" si="51"/>
        <v>28.07</v>
      </c>
      <c r="I1142" s="152">
        <f t="shared" ca="1" si="52"/>
        <v>0</v>
      </c>
      <c r="J1142" s="154"/>
      <c r="K1142" s="155" t="s">
        <v>2966</v>
      </c>
    </row>
    <row r="1143" spans="1:11" ht="25.5" hidden="1" x14ac:dyDescent="0.25">
      <c r="A1143" s="148" t="s">
        <v>1075</v>
      </c>
      <c r="B1143" s="149" t="s">
        <v>4595</v>
      </c>
      <c r="C1143" s="150" t="s">
        <v>106</v>
      </c>
      <c r="D1143" s="150">
        <v>0</v>
      </c>
      <c r="E1143" s="151">
        <f ca="1">OFFSET(INDEX(Composições!A:H,MATCH(Orçamentária!A1143,Composições!A:A,0),8),2,0)</f>
        <v>3.2421600000000002</v>
      </c>
      <c r="F1143" s="152">
        <f t="shared" ca="1" si="53"/>
        <v>0</v>
      </c>
      <c r="G1143" s="153">
        <f>IF($K1143="Padrão",BDI!$B$17,IF($K1143="Diferenciado",BDI!$E$17,0))</f>
        <v>0.2039</v>
      </c>
      <c r="H1143" s="151">
        <f t="shared" ca="1" si="51"/>
        <v>3.9</v>
      </c>
      <c r="I1143" s="152">
        <f t="shared" ca="1" si="52"/>
        <v>0</v>
      </c>
      <c r="J1143" s="154"/>
      <c r="K1143" s="155" t="s">
        <v>2966</v>
      </c>
    </row>
    <row r="1144" spans="1:11" hidden="1" x14ac:dyDescent="0.25">
      <c r="A1144" s="148" t="s">
        <v>1077</v>
      </c>
      <c r="B1144" s="149" t="s">
        <v>4596</v>
      </c>
      <c r="C1144" s="150" t="s">
        <v>106</v>
      </c>
      <c r="D1144" s="150">
        <v>0</v>
      </c>
      <c r="E1144" s="151">
        <f ca="1">OFFSET(INDEX(Composições!A:H,MATCH(Orçamentária!A1144,Composições!A:A,0),8),2,0)</f>
        <v>3.2421600000000002</v>
      </c>
      <c r="F1144" s="152">
        <f t="shared" ca="1" si="53"/>
        <v>0</v>
      </c>
      <c r="G1144" s="153">
        <f>IF($K1144="Padrão",BDI!$B$17,IF($K1144="Diferenciado",BDI!$E$17,0))</f>
        <v>0.2039</v>
      </c>
      <c r="H1144" s="151">
        <f t="shared" ca="1" si="51"/>
        <v>3.9</v>
      </c>
      <c r="I1144" s="152">
        <f t="shared" ca="1" si="52"/>
        <v>0</v>
      </c>
      <c r="J1144" s="154"/>
      <c r="K1144" s="155" t="s">
        <v>2966</v>
      </c>
    </row>
    <row r="1145" spans="1:11" hidden="1" x14ac:dyDescent="0.25">
      <c r="A1145" s="148" t="s">
        <v>1079</v>
      </c>
      <c r="B1145" s="149" t="s">
        <v>4597</v>
      </c>
      <c r="C1145" s="150" t="s">
        <v>68</v>
      </c>
      <c r="D1145" s="150">
        <v>0</v>
      </c>
      <c r="E1145" s="151">
        <f ca="1">OFFSET(INDEX(Composições!A:H,MATCH(Orçamentária!A1145,Composições!A:A,0),8),2,0)</f>
        <v>38.975509400000007</v>
      </c>
      <c r="F1145" s="152">
        <f t="shared" ca="1" si="53"/>
        <v>0</v>
      </c>
      <c r="G1145" s="153">
        <f>IF($K1145="Padrão",BDI!$B$17,IF($K1145="Diferenciado",BDI!$E$17,0))</f>
        <v>0.2039</v>
      </c>
      <c r="H1145" s="151">
        <f t="shared" ca="1" si="51"/>
        <v>46.92</v>
      </c>
      <c r="I1145" s="152">
        <f t="shared" ca="1" si="52"/>
        <v>0</v>
      </c>
      <c r="J1145" s="154"/>
      <c r="K1145" s="155" t="s">
        <v>2966</v>
      </c>
    </row>
    <row r="1146" spans="1:11" hidden="1" x14ac:dyDescent="0.25">
      <c r="A1146" s="148" t="s">
        <v>1080</v>
      </c>
      <c r="B1146" s="149" t="s">
        <v>4598</v>
      </c>
      <c r="C1146" s="150" t="s">
        <v>106</v>
      </c>
      <c r="D1146" s="150">
        <v>0</v>
      </c>
      <c r="E1146" s="151">
        <f ca="1">OFFSET(INDEX(Composições!A:H,MATCH(Orçamentária!A1146,Composições!A:A,0),8),2,0)</f>
        <v>66.325199999999995</v>
      </c>
      <c r="F1146" s="152">
        <f t="shared" ca="1" si="53"/>
        <v>0</v>
      </c>
      <c r="G1146" s="153">
        <f>IF($K1146="Padrão",BDI!$B$17,IF($K1146="Diferenciado",BDI!$E$17,0))</f>
        <v>0.2039</v>
      </c>
      <c r="H1146" s="151">
        <f t="shared" ca="1" si="51"/>
        <v>79.849999999999994</v>
      </c>
      <c r="I1146" s="152">
        <f t="shared" ca="1" si="52"/>
        <v>0</v>
      </c>
      <c r="J1146" s="154"/>
      <c r="K1146" s="155" t="s">
        <v>2966</v>
      </c>
    </row>
    <row r="1147" spans="1:11" hidden="1" x14ac:dyDescent="0.25">
      <c r="A1147" s="148" t="s">
        <v>1081</v>
      </c>
      <c r="B1147" s="149" t="s">
        <v>4599</v>
      </c>
      <c r="C1147" s="150" t="s">
        <v>106</v>
      </c>
      <c r="D1147" s="150">
        <v>0</v>
      </c>
      <c r="E1147" s="151">
        <f ca="1">OFFSET(INDEX(Composições!A:H,MATCH(Orçamentária!A1147,Composições!A:A,0),8),2,0)</f>
        <v>71.021325499999989</v>
      </c>
      <c r="F1147" s="152">
        <f t="shared" ca="1" si="53"/>
        <v>0</v>
      </c>
      <c r="G1147" s="153">
        <f>IF($K1147="Padrão",BDI!$B$17,IF($K1147="Diferenciado",BDI!$E$17,0))</f>
        <v>0.2039</v>
      </c>
      <c r="H1147" s="151">
        <f t="shared" ca="1" si="51"/>
        <v>85.5</v>
      </c>
      <c r="I1147" s="152">
        <f t="shared" ca="1" si="52"/>
        <v>0</v>
      </c>
      <c r="J1147" s="154"/>
      <c r="K1147" s="155" t="s">
        <v>2966</v>
      </c>
    </row>
    <row r="1148" spans="1:11" hidden="1" x14ac:dyDescent="0.25">
      <c r="A1148" s="148" t="s">
        <v>1082</v>
      </c>
      <c r="B1148" s="149" t="s">
        <v>4600</v>
      </c>
      <c r="C1148" s="150" t="s">
        <v>68</v>
      </c>
      <c r="D1148" s="150">
        <v>0</v>
      </c>
      <c r="E1148" s="151">
        <f ca="1">OFFSET(INDEX(Composições!A:H,MATCH(Orçamentária!A1148,Composições!A:A,0),8),2,0)</f>
        <v>8.1053999999999995</v>
      </c>
      <c r="F1148" s="152">
        <f t="shared" ca="1" si="53"/>
        <v>0</v>
      </c>
      <c r="G1148" s="153">
        <f>IF($K1148="Padrão",BDI!$B$17,IF($K1148="Diferenciado",BDI!$E$17,0))</f>
        <v>0.2039</v>
      </c>
      <c r="H1148" s="151">
        <f t="shared" ca="1" si="51"/>
        <v>9.76</v>
      </c>
      <c r="I1148" s="152">
        <f t="shared" ca="1" si="52"/>
        <v>0</v>
      </c>
      <c r="J1148" s="154"/>
      <c r="K1148" s="155" t="s">
        <v>2966</v>
      </c>
    </row>
    <row r="1149" spans="1:11" hidden="1" x14ac:dyDescent="0.25">
      <c r="A1149" s="148" t="s">
        <v>4601</v>
      </c>
      <c r="B1149" s="149" t="s">
        <v>4602</v>
      </c>
      <c r="C1149" s="150" t="s">
        <v>18</v>
      </c>
      <c r="D1149" s="150">
        <v>0</v>
      </c>
      <c r="E1149" s="151" t="s">
        <v>13</v>
      </c>
      <c r="F1149" s="152" t="str">
        <f t="shared" si="53"/>
        <v/>
      </c>
      <c r="G1149" s="153">
        <f>IF($K1149="Padrão",BDI!$B$17,IF($K1149="Diferenciado",BDI!$E$17,0))</f>
        <v>0.2039</v>
      </c>
      <c r="H1149" s="151" t="str">
        <f t="shared" si="51"/>
        <v/>
      </c>
      <c r="I1149" s="152" t="str">
        <f t="shared" si="52"/>
        <v/>
      </c>
      <c r="J1149" s="154"/>
      <c r="K1149" s="155" t="s">
        <v>2966</v>
      </c>
    </row>
    <row r="1150" spans="1:11" hidden="1" x14ac:dyDescent="0.25">
      <c r="A1150" s="148" t="s">
        <v>4603</v>
      </c>
      <c r="B1150" s="149" t="s">
        <v>4604</v>
      </c>
      <c r="C1150" s="150" t="s">
        <v>18</v>
      </c>
      <c r="D1150" s="150">
        <v>0</v>
      </c>
      <c r="E1150" s="151" t="s">
        <v>13</v>
      </c>
      <c r="F1150" s="152" t="str">
        <f t="shared" si="53"/>
        <v/>
      </c>
      <c r="G1150" s="153">
        <f>IF($K1150="Padrão",BDI!$B$17,IF($K1150="Diferenciado",BDI!$E$17,0))</f>
        <v>0.2039</v>
      </c>
      <c r="H1150" s="151" t="str">
        <f t="shared" si="51"/>
        <v/>
      </c>
      <c r="I1150" s="152" t="str">
        <f t="shared" si="52"/>
        <v/>
      </c>
      <c r="J1150" s="154"/>
      <c r="K1150" s="155" t="s">
        <v>2966</v>
      </c>
    </row>
    <row r="1151" spans="1:11" hidden="1" x14ac:dyDescent="0.25">
      <c r="A1151" s="148" t="s">
        <v>4605</v>
      </c>
      <c r="B1151" s="149" t="s">
        <v>4606</v>
      </c>
      <c r="C1151" s="150" t="s">
        <v>3062</v>
      </c>
      <c r="D1151" s="150">
        <v>0</v>
      </c>
      <c r="E1151" s="151" t="s">
        <v>13</v>
      </c>
      <c r="F1151" s="152" t="str">
        <f t="shared" si="53"/>
        <v/>
      </c>
      <c r="G1151" s="153">
        <f>IF($K1151="Padrão",BDI!$B$17,IF($K1151="Diferenciado",BDI!$E$17,0))</f>
        <v>0.2039</v>
      </c>
      <c r="H1151" s="151" t="str">
        <f t="shared" si="51"/>
        <v/>
      </c>
      <c r="I1151" s="152" t="str">
        <f t="shared" si="52"/>
        <v/>
      </c>
      <c r="J1151" s="154"/>
      <c r="K1151" s="155" t="s">
        <v>2966</v>
      </c>
    </row>
    <row r="1152" spans="1:11" hidden="1" x14ac:dyDescent="0.25">
      <c r="A1152" s="148" t="s">
        <v>1085</v>
      </c>
      <c r="B1152" s="149" t="s">
        <v>4607</v>
      </c>
      <c r="C1152" s="150" t="s">
        <v>106</v>
      </c>
      <c r="D1152" s="150">
        <v>0</v>
      </c>
      <c r="E1152" s="151">
        <f ca="1">OFFSET(INDEX(Composições!A:H,MATCH(Orçamentária!A1152,Composições!A:A,0),8),2,0)</f>
        <v>323.46239128115621</v>
      </c>
      <c r="F1152" s="152">
        <f t="shared" ca="1" si="53"/>
        <v>0</v>
      </c>
      <c r="G1152" s="153">
        <f>IF($K1152="Padrão",BDI!$B$17,IF($K1152="Diferenciado",BDI!$E$17,0))</f>
        <v>0.2039</v>
      </c>
      <c r="H1152" s="151">
        <f t="shared" ca="1" si="51"/>
        <v>389.42</v>
      </c>
      <c r="I1152" s="152">
        <f t="shared" ca="1" si="52"/>
        <v>0</v>
      </c>
      <c r="J1152" s="154"/>
      <c r="K1152" s="155" t="s">
        <v>2966</v>
      </c>
    </row>
    <row r="1153" spans="1:11" hidden="1" x14ac:dyDescent="0.25">
      <c r="A1153" s="148" t="s">
        <v>1086</v>
      </c>
      <c r="B1153" s="149" t="s">
        <v>4608</v>
      </c>
      <c r="C1153" s="150" t="s">
        <v>106</v>
      </c>
      <c r="D1153" s="150">
        <v>0</v>
      </c>
      <c r="E1153" s="151">
        <f ca="1">OFFSET(INDEX(Composições!A:H,MATCH(Orçamentária!A1153,Composições!A:A,0),8),2,0)</f>
        <v>73.240685968656251</v>
      </c>
      <c r="F1153" s="152">
        <f t="shared" ca="1" si="53"/>
        <v>0</v>
      </c>
      <c r="G1153" s="153">
        <f>IF($K1153="Padrão",BDI!$B$17,IF($K1153="Diferenciado",BDI!$E$17,0))</f>
        <v>0.2039</v>
      </c>
      <c r="H1153" s="151">
        <f t="shared" ca="1" si="51"/>
        <v>88.17</v>
      </c>
      <c r="I1153" s="152">
        <f t="shared" ca="1" si="52"/>
        <v>0</v>
      </c>
      <c r="J1153" s="154"/>
      <c r="K1153" s="155" t="s">
        <v>2966</v>
      </c>
    </row>
    <row r="1154" spans="1:11" hidden="1" x14ac:dyDescent="0.25">
      <c r="A1154" s="148" t="s">
        <v>1087</v>
      </c>
      <c r="B1154" s="149" t="s">
        <v>4609</v>
      </c>
      <c r="C1154" s="150" t="s">
        <v>68</v>
      </c>
      <c r="D1154" s="150">
        <v>0</v>
      </c>
      <c r="E1154" s="151">
        <f ca="1">OFFSET(INDEX(Composições!A:H,MATCH(Orçamentária!A1154,Composições!A:A,0),8),2,0)</f>
        <v>2.60623</v>
      </c>
      <c r="F1154" s="152">
        <f t="shared" ca="1" si="53"/>
        <v>0</v>
      </c>
      <c r="G1154" s="153">
        <f>IF($K1154="Padrão",BDI!$B$17,IF($K1154="Diferenciado",BDI!$E$17,0))</f>
        <v>0.2039</v>
      </c>
      <c r="H1154" s="151">
        <f t="shared" ca="1" si="51"/>
        <v>3.14</v>
      </c>
      <c r="I1154" s="152">
        <f t="shared" ca="1" si="52"/>
        <v>0</v>
      </c>
      <c r="J1154" s="154"/>
      <c r="K1154" s="155" t="s">
        <v>2966</v>
      </c>
    </row>
    <row r="1155" spans="1:11" hidden="1" x14ac:dyDescent="0.25">
      <c r="A1155" s="148" t="s">
        <v>1091</v>
      </c>
      <c r="B1155" s="149" t="s">
        <v>4610</v>
      </c>
      <c r="C1155" s="150" t="s">
        <v>18</v>
      </c>
      <c r="D1155" s="150">
        <v>0</v>
      </c>
      <c r="E1155" s="151">
        <f ca="1">OFFSET(INDEX(Composições!A:H,MATCH(Orçamentária!A1155,Composições!A:A,0),8),2,0)</f>
        <v>237.9423314</v>
      </c>
      <c r="F1155" s="152">
        <f t="shared" ca="1" si="53"/>
        <v>0</v>
      </c>
      <c r="G1155" s="153">
        <f>IF($K1155="Padrão",BDI!$B$17,IF($K1155="Diferenciado",BDI!$E$17,0))</f>
        <v>0.2039</v>
      </c>
      <c r="H1155" s="151">
        <f t="shared" ca="1" si="51"/>
        <v>286.45999999999998</v>
      </c>
      <c r="I1155" s="152">
        <f t="shared" ca="1" si="52"/>
        <v>0</v>
      </c>
      <c r="J1155" s="154"/>
      <c r="K1155" s="155" t="s">
        <v>2966</v>
      </c>
    </row>
    <row r="1156" spans="1:11" hidden="1" x14ac:dyDescent="0.25">
      <c r="A1156" s="148" t="s">
        <v>1092</v>
      </c>
      <c r="B1156" s="149" t="s">
        <v>4611</v>
      </c>
      <c r="C1156" s="150" t="s">
        <v>18</v>
      </c>
      <c r="D1156" s="150">
        <v>0</v>
      </c>
      <c r="E1156" s="151">
        <f ca="1">OFFSET(INDEX(Composições!A:H,MATCH(Orçamentária!A1156,Composições!A:A,0),8),2,0)</f>
        <v>55.883303499999997</v>
      </c>
      <c r="F1156" s="152">
        <f t="shared" ca="1" si="53"/>
        <v>0</v>
      </c>
      <c r="G1156" s="153">
        <f>IF($K1156="Padrão",BDI!$B$17,IF($K1156="Diferenciado",BDI!$E$17,0))</f>
        <v>0.2039</v>
      </c>
      <c r="H1156" s="151">
        <f t="shared" ca="1" si="51"/>
        <v>67.28</v>
      </c>
      <c r="I1156" s="152">
        <f t="shared" ca="1" si="52"/>
        <v>0</v>
      </c>
      <c r="J1156" s="154"/>
      <c r="K1156" s="155" t="s">
        <v>2966</v>
      </c>
    </row>
    <row r="1157" spans="1:11" hidden="1" x14ac:dyDescent="0.25">
      <c r="A1157" s="148" t="s">
        <v>1093</v>
      </c>
      <c r="B1157" s="149" t="s">
        <v>4612</v>
      </c>
      <c r="C1157" s="150" t="s">
        <v>68</v>
      </c>
      <c r="D1157" s="150">
        <v>0</v>
      </c>
      <c r="E1157" s="151">
        <f ca="1">OFFSET(INDEX(Composições!A:H,MATCH(Orçamentária!A1157,Composições!A:A,0),8),2,0)</f>
        <v>47.908584871669994</v>
      </c>
      <c r="F1157" s="152">
        <f t="shared" ca="1" si="53"/>
        <v>0</v>
      </c>
      <c r="G1157" s="153">
        <f>IF($K1157="Padrão",BDI!$B$17,IF($K1157="Diferenciado",BDI!$E$17,0))</f>
        <v>0.2039</v>
      </c>
      <c r="H1157" s="151">
        <f t="shared" ca="1" si="51"/>
        <v>57.68</v>
      </c>
      <c r="I1157" s="152">
        <f t="shared" ca="1" si="52"/>
        <v>0</v>
      </c>
      <c r="J1157" s="154"/>
      <c r="K1157" s="155" t="s">
        <v>2966</v>
      </c>
    </row>
    <row r="1158" spans="1:11" hidden="1" x14ac:dyDescent="0.25">
      <c r="A1158" s="148" t="s">
        <v>1094</v>
      </c>
      <c r="B1158" s="149" t="s">
        <v>4613</v>
      </c>
      <c r="C1158" s="150" t="s">
        <v>68</v>
      </c>
      <c r="D1158" s="150">
        <v>0</v>
      </c>
      <c r="E1158" s="151">
        <f ca="1">OFFSET(INDEX(Composições!A:H,MATCH(Orçamentária!A1158,Composições!A:A,0),8),2,0)</f>
        <v>64.902219582770002</v>
      </c>
      <c r="F1158" s="152">
        <f t="shared" ca="1" si="53"/>
        <v>0</v>
      </c>
      <c r="G1158" s="153">
        <f>IF($K1158="Padrão",BDI!$B$17,IF($K1158="Diferenciado",BDI!$E$17,0))</f>
        <v>0.2039</v>
      </c>
      <c r="H1158" s="151">
        <f t="shared" ref="H1158:H1221" ca="1" si="54">IF(ISNUMBER(E1158),ROUND(E1158*(1+G1158),2),"")</f>
        <v>78.14</v>
      </c>
      <c r="I1158" s="152">
        <f t="shared" ref="I1158:I1221" ca="1" si="55">IF(ISNUMBER(E1158),ROUND(H1158*D1158,2),"")</f>
        <v>0</v>
      </c>
      <c r="J1158" s="154"/>
      <c r="K1158" s="155" t="s">
        <v>2966</v>
      </c>
    </row>
    <row r="1159" spans="1:11" hidden="1" x14ac:dyDescent="0.25">
      <c r="A1159" s="148" t="s">
        <v>1095</v>
      </c>
      <c r="B1159" s="149" t="s">
        <v>4614</v>
      </c>
      <c r="C1159" s="150" t="s">
        <v>68</v>
      </c>
      <c r="D1159" s="150">
        <v>0</v>
      </c>
      <c r="E1159" s="151">
        <f ca="1">OFFSET(INDEX(Composições!A:H,MATCH(Orçamentária!A1159,Composições!A:A,0),8),2,0)</f>
        <v>8.0953299999999988</v>
      </c>
      <c r="F1159" s="152">
        <f t="shared" ref="F1159:F1222" ca="1" si="56">IF(ISNUMBER(E1159),D1159*E1159,"")</f>
        <v>0</v>
      </c>
      <c r="G1159" s="153">
        <f>IF($K1159="Padrão",BDI!$B$17,IF($K1159="Diferenciado",BDI!$E$17,0))</f>
        <v>0.2039</v>
      </c>
      <c r="H1159" s="151">
        <f t="shared" ca="1" si="54"/>
        <v>9.75</v>
      </c>
      <c r="I1159" s="152">
        <f t="shared" ca="1" si="55"/>
        <v>0</v>
      </c>
      <c r="J1159" s="154"/>
      <c r="K1159" s="155" t="s">
        <v>2966</v>
      </c>
    </row>
    <row r="1160" spans="1:11" hidden="1" x14ac:dyDescent="0.25">
      <c r="A1160" s="148" t="s">
        <v>1096</v>
      </c>
      <c r="B1160" s="149" t="s">
        <v>4615</v>
      </c>
      <c r="C1160" s="150" t="s">
        <v>68</v>
      </c>
      <c r="D1160" s="150">
        <v>0</v>
      </c>
      <c r="E1160" s="151">
        <f ca="1">OFFSET(INDEX(Composições!A:H,MATCH(Orçamentária!A1160,Composições!A:A,0),8),2,0)</f>
        <v>11.069875</v>
      </c>
      <c r="F1160" s="152">
        <f t="shared" ca="1" si="56"/>
        <v>0</v>
      </c>
      <c r="G1160" s="153">
        <f>IF($K1160="Padrão",BDI!$B$17,IF($K1160="Diferenciado",BDI!$E$17,0))</f>
        <v>0.2039</v>
      </c>
      <c r="H1160" s="151">
        <f t="shared" ca="1" si="54"/>
        <v>13.33</v>
      </c>
      <c r="I1160" s="152">
        <f t="shared" ca="1" si="55"/>
        <v>0</v>
      </c>
      <c r="J1160" s="154"/>
      <c r="K1160" s="155" t="s">
        <v>2966</v>
      </c>
    </row>
    <row r="1161" spans="1:11" hidden="1" x14ac:dyDescent="0.25">
      <c r="A1161" s="148" t="s">
        <v>1097</v>
      </c>
      <c r="B1161" s="149" t="s">
        <v>4616</v>
      </c>
      <c r="C1161" s="150" t="s">
        <v>68</v>
      </c>
      <c r="D1161" s="150">
        <v>0</v>
      </c>
      <c r="E1161" s="151">
        <f ca="1">OFFSET(INDEX(Composições!A:H,MATCH(Orçamentária!A1161,Composições!A:A,0),8),2,0)</f>
        <v>36.964646006450003</v>
      </c>
      <c r="F1161" s="152">
        <f t="shared" ca="1" si="56"/>
        <v>0</v>
      </c>
      <c r="G1161" s="153">
        <f>IF($K1161="Padrão",BDI!$B$17,IF($K1161="Diferenciado",BDI!$E$17,0))</f>
        <v>0.2039</v>
      </c>
      <c r="H1161" s="151">
        <f t="shared" ca="1" si="54"/>
        <v>44.5</v>
      </c>
      <c r="I1161" s="152">
        <f t="shared" ca="1" si="55"/>
        <v>0</v>
      </c>
      <c r="J1161" s="154"/>
      <c r="K1161" s="155" t="s">
        <v>2966</v>
      </c>
    </row>
    <row r="1162" spans="1:11" hidden="1" x14ac:dyDescent="0.25">
      <c r="A1162" s="148" t="s">
        <v>1099</v>
      </c>
      <c r="B1162" s="149" t="s">
        <v>4617</v>
      </c>
      <c r="C1162" s="150" t="s">
        <v>68</v>
      </c>
      <c r="D1162" s="150">
        <v>0</v>
      </c>
      <c r="E1162" s="151">
        <f ca="1">OFFSET(INDEX(Composições!A:H,MATCH(Orçamentária!A1162,Composições!A:A,0),8),2,0)</f>
        <v>86.854373841250009</v>
      </c>
      <c r="F1162" s="152">
        <f t="shared" ca="1" si="56"/>
        <v>0</v>
      </c>
      <c r="G1162" s="153">
        <f>IF($K1162="Padrão",BDI!$B$17,IF($K1162="Diferenciado",BDI!$E$17,0))</f>
        <v>0.2039</v>
      </c>
      <c r="H1162" s="151">
        <f t="shared" ca="1" si="54"/>
        <v>104.56</v>
      </c>
      <c r="I1162" s="152">
        <f t="shared" ca="1" si="55"/>
        <v>0</v>
      </c>
      <c r="J1162" s="154"/>
      <c r="K1162" s="155" t="s">
        <v>2966</v>
      </c>
    </row>
    <row r="1163" spans="1:11" hidden="1" x14ac:dyDescent="0.25">
      <c r="A1163" s="148" t="s">
        <v>1100</v>
      </c>
      <c r="B1163" s="149" t="s">
        <v>4618</v>
      </c>
      <c r="C1163" s="150" t="s">
        <v>68</v>
      </c>
      <c r="D1163" s="150">
        <v>0</v>
      </c>
      <c r="E1163" s="151">
        <f ca="1">OFFSET(INDEX(Composições!A:H,MATCH(Orçamentária!A1163,Composições!A:A,0),8),2,0)</f>
        <v>14.779259250000001</v>
      </c>
      <c r="F1163" s="152">
        <f t="shared" ca="1" si="56"/>
        <v>0</v>
      </c>
      <c r="G1163" s="153">
        <f>IF($K1163="Padrão",BDI!$B$17,IF($K1163="Diferenciado",BDI!$E$17,0))</f>
        <v>0.2039</v>
      </c>
      <c r="H1163" s="151">
        <f t="shared" ca="1" si="54"/>
        <v>17.79</v>
      </c>
      <c r="I1163" s="152">
        <f t="shared" ca="1" si="55"/>
        <v>0</v>
      </c>
      <c r="J1163" s="154"/>
      <c r="K1163" s="155" t="s">
        <v>2966</v>
      </c>
    </row>
    <row r="1164" spans="1:11" hidden="1" x14ac:dyDescent="0.25">
      <c r="A1164" s="148" t="s">
        <v>1102</v>
      </c>
      <c r="B1164" s="149" t="s">
        <v>4619</v>
      </c>
      <c r="C1164" s="150" t="s">
        <v>68</v>
      </c>
      <c r="D1164" s="150">
        <v>0</v>
      </c>
      <c r="E1164" s="151">
        <f ca="1">OFFSET(INDEX(Composições!A:H,MATCH(Orçamentária!A1164,Composições!A:A,0),8),2,0)</f>
        <v>8.3322599999999998</v>
      </c>
      <c r="F1164" s="152">
        <f t="shared" ca="1" si="56"/>
        <v>0</v>
      </c>
      <c r="G1164" s="153">
        <f>IF($K1164="Padrão",BDI!$B$17,IF($K1164="Diferenciado",BDI!$E$17,0))</f>
        <v>0.2039</v>
      </c>
      <c r="H1164" s="151">
        <f t="shared" ca="1" si="54"/>
        <v>10.029999999999999</v>
      </c>
      <c r="I1164" s="152">
        <f t="shared" ca="1" si="55"/>
        <v>0</v>
      </c>
      <c r="J1164" s="154"/>
      <c r="K1164" s="155" t="s">
        <v>2966</v>
      </c>
    </row>
    <row r="1165" spans="1:11" hidden="1" x14ac:dyDescent="0.25">
      <c r="A1165" s="148" t="s">
        <v>1104</v>
      </c>
      <c r="B1165" s="149" t="s">
        <v>4620</v>
      </c>
      <c r="C1165" s="150" t="s">
        <v>68</v>
      </c>
      <c r="D1165" s="150">
        <v>0</v>
      </c>
      <c r="E1165" s="151">
        <f ca="1">OFFSET(INDEX(Composições!A:H,MATCH(Orçamentária!A1165,Composições!A:A,0),8),2,0)</f>
        <v>164.34030525</v>
      </c>
      <c r="F1165" s="152">
        <f t="shared" ca="1" si="56"/>
        <v>0</v>
      </c>
      <c r="G1165" s="153">
        <f>IF($K1165="Padrão",BDI!$B$17,IF($K1165="Diferenciado",BDI!$E$17,0))</f>
        <v>0.2039</v>
      </c>
      <c r="H1165" s="151">
        <f t="shared" ca="1" si="54"/>
        <v>197.85</v>
      </c>
      <c r="I1165" s="152">
        <f t="shared" ca="1" si="55"/>
        <v>0</v>
      </c>
      <c r="J1165" s="154"/>
      <c r="K1165" s="155" t="s">
        <v>2966</v>
      </c>
    </row>
    <row r="1166" spans="1:11" hidden="1" x14ac:dyDescent="0.25">
      <c r="A1166" s="148" t="s">
        <v>1105</v>
      </c>
      <c r="B1166" s="149" t="s">
        <v>4621</v>
      </c>
      <c r="C1166" s="150" t="s">
        <v>68</v>
      </c>
      <c r="D1166" s="150">
        <v>0</v>
      </c>
      <c r="E1166" s="151">
        <f ca="1">OFFSET(INDEX(Composições!A:H,MATCH(Orçamentária!A1166,Composições!A:A,0),8),2,0)</f>
        <v>189.133847</v>
      </c>
      <c r="F1166" s="152">
        <f t="shared" ca="1" si="56"/>
        <v>0</v>
      </c>
      <c r="G1166" s="153">
        <f>IF($K1166="Padrão",BDI!$B$17,IF($K1166="Diferenciado",BDI!$E$17,0))</f>
        <v>0.2039</v>
      </c>
      <c r="H1166" s="151">
        <f t="shared" ca="1" si="54"/>
        <v>227.7</v>
      </c>
      <c r="I1166" s="152">
        <f t="shared" ca="1" si="55"/>
        <v>0</v>
      </c>
      <c r="J1166" s="154"/>
      <c r="K1166" s="155" t="s">
        <v>2966</v>
      </c>
    </row>
    <row r="1167" spans="1:11" hidden="1" x14ac:dyDescent="0.25">
      <c r="A1167" s="148" t="s">
        <v>4622</v>
      </c>
      <c r="B1167" s="149" t="s">
        <v>4623</v>
      </c>
      <c r="C1167" s="150" t="s">
        <v>72</v>
      </c>
      <c r="D1167" s="150">
        <v>0</v>
      </c>
      <c r="E1167" s="151" t="s">
        <v>13</v>
      </c>
      <c r="F1167" s="152" t="str">
        <f t="shared" si="56"/>
        <v/>
      </c>
      <c r="G1167" s="153">
        <f>IF($K1167="Padrão",BDI!$B$17,IF($K1167="Diferenciado",BDI!$E$17,0))</f>
        <v>0.2039</v>
      </c>
      <c r="H1167" s="151" t="str">
        <f t="shared" si="54"/>
        <v/>
      </c>
      <c r="I1167" s="152" t="str">
        <f t="shared" si="55"/>
        <v/>
      </c>
      <c r="J1167" s="154"/>
      <c r="K1167" s="155" t="s">
        <v>2966</v>
      </c>
    </row>
    <row r="1168" spans="1:11" hidden="1" x14ac:dyDescent="0.25">
      <c r="A1168" s="148" t="s">
        <v>1106</v>
      </c>
      <c r="B1168" s="149" t="s">
        <v>4624</v>
      </c>
      <c r="C1168" s="150" t="s">
        <v>106</v>
      </c>
      <c r="D1168" s="150">
        <v>0</v>
      </c>
      <c r="E1168" s="151">
        <f ca="1">OFFSET(INDEX(Composições!A:H,MATCH(Orçamentária!A1168,Composições!A:A,0),8),2,0)</f>
        <v>140.4899465375</v>
      </c>
      <c r="F1168" s="152">
        <f t="shared" ca="1" si="56"/>
        <v>0</v>
      </c>
      <c r="G1168" s="153">
        <f>IF($K1168="Padrão",BDI!$B$17,IF($K1168="Diferenciado",BDI!$E$17,0))</f>
        <v>0.2039</v>
      </c>
      <c r="H1168" s="151">
        <f t="shared" ca="1" si="54"/>
        <v>169.14</v>
      </c>
      <c r="I1168" s="152">
        <f t="shared" ca="1" si="55"/>
        <v>0</v>
      </c>
      <c r="J1168" s="154"/>
      <c r="K1168" s="155" t="s">
        <v>2966</v>
      </c>
    </row>
    <row r="1169" spans="1:11" ht="25.5" hidden="1" x14ac:dyDescent="0.25">
      <c r="A1169" s="148" t="s">
        <v>1108</v>
      </c>
      <c r="B1169" s="149" t="s">
        <v>4625</v>
      </c>
      <c r="C1169" s="150" t="s">
        <v>68</v>
      </c>
      <c r="D1169" s="150">
        <v>0</v>
      </c>
      <c r="E1169" s="151">
        <f ca="1">OFFSET(INDEX(Composições!A:H,MATCH(Orçamentária!A1169,Composições!A:A,0),8),2,0)</f>
        <v>13.5765203</v>
      </c>
      <c r="F1169" s="152">
        <f t="shared" ca="1" si="56"/>
        <v>0</v>
      </c>
      <c r="G1169" s="153">
        <f>IF($K1169="Padrão",BDI!$B$17,IF($K1169="Diferenciado",BDI!$E$17,0))</f>
        <v>0.2039</v>
      </c>
      <c r="H1169" s="151">
        <f t="shared" ca="1" si="54"/>
        <v>16.34</v>
      </c>
      <c r="I1169" s="152">
        <f t="shared" ca="1" si="55"/>
        <v>0</v>
      </c>
      <c r="J1169" s="154"/>
      <c r="K1169" s="155" t="s">
        <v>2966</v>
      </c>
    </row>
    <row r="1170" spans="1:11" hidden="1" x14ac:dyDescent="0.25">
      <c r="A1170" s="148" t="s">
        <v>1109</v>
      </c>
      <c r="B1170" s="149" t="s">
        <v>4626</v>
      </c>
      <c r="C1170" s="150" t="s">
        <v>68</v>
      </c>
      <c r="D1170" s="150">
        <v>0</v>
      </c>
      <c r="E1170" s="151">
        <f ca="1">OFFSET(INDEX(Composições!A:H,MATCH(Orçamentária!A1170,Composições!A:A,0),8),2,0)</f>
        <v>45.135007299999998</v>
      </c>
      <c r="F1170" s="152">
        <f t="shared" ca="1" si="56"/>
        <v>0</v>
      </c>
      <c r="G1170" s="153">
        <f>IF($K1170="Padrão",BDI!$B$17,IF($K1170="Diferenciado",BDI!$E$17,0))</f>
        <v>0.2039</v>
      </c>
      <c r="H1170" s="151">
        <f t="shared" ca="1" si="54"/>
        <v>54.34</v>
      </c>
      <c r="I1170" s="152">
        <f t="shared" ca="1" si="55"/>
        <v>0</v>
      </c>
      <c r="J1170" s="154"/>
      <c r="K1170" s="155" t="s">
        <v>2966</v>
      </c>
    </row>
    <row r="1171" spans="1:11" hidden="1" x14ac:dyDescent="0.25">
      <c r="A1171" s="148" t="s">
        <v>1110</v>
      </c>
      <c r="B1171" s="149" t="s">
        <v>4627</v>
      </c>
      <c r="C1171" s="150" t="s">
        <v>68</v>
      </c>
      <c r="D1171" s="150">
        <v>0</v>
      </c>
      <c r="E1171" s="151">
        <f ca="1">OFFSET(INDEX(Composições!A:H,MATCH(Orçamentária!A1171,Composições!A:A,0),8),2,0)</f>
        <v>9.1551500000000008</v>
      </c>
      <c r="F1171" s="152">
        <f t="shared" ca="1" si="56"/>
        <v>0</v>
      </c>
      <c r="G1171" s="153">
        <f>IF($K1171="Padrão",BDI!$B$17,IF($K1171="Diferenciado",BDI!$E$17,0))</f>
        <v>0.2039</v>
      </c>
      <c r="H1171" s="151">
        <f t="shared" ca="1" si="54"/>
        <v>11.02</v>
      </c>
      <c r="I1171" s="152">
        <f t="shared" ca="1" si="55"/>
        <v>0</v>
      </c>
      <c r="J1171" s="154"/>
      <c r="K1171" s="155" t="s">
        <v>2966</v>
      </c>
    </row>
    <row r="1172" spans="1:11" hidden="1" x14ac:dyDescent="0.25">
      <c r="A1172" s="148" t="s">
        <v>1113</v>
      </c>
      <c r="B1172" s="149" t="s">
        <v>4628</v>
      </c>
      <c r="C1172" s="150" t="s">
        <v>68</v>
      </c>
      <c r="D1172" s="150">
        <v>0</v>
      </c>
      <c r="E1172" s="151">
        <f ca="1">OFFSET(INDEX(Composições!A:H,MATCH(Orçamentária!A1172,Composições!A:A,0),8),2,0)</f>
        <v>9.1551500000000008</v>
      </c>
      <c r="F1172" s="152">
        <f t="shared" ca="1" si="56"/>
        <v>0</v>
      </c>
      <c r="G1172" s="153">
        <f>IF($K1172="Padrão",BDI!$B$17,IF($K1172="Diferenciado",BDI!$E$17,0))</f>
        <v>0.2039</v>
      </c>
      <c r="H1172" s="151">
        <f t="shared" ca="1" si="54"/>
        <v>11.02</v>
      </c>
      <c r="I1172" s="152">
        <f t="shared" ca="1" si="55"/>
        <v>0</v>
      </c>
      <c r="J1172" s="154"/>
      <c r="K1172" s="155" t="s">
        <v>2966</v>
      </c>
    </row>
    <row r="1173" spans="1:11" hidden="1" x14ac:dyDescent="0.25">
      <c r="A1173" s="148" t="s">
        <v>1115</v>
      </c>
      <c r="B1173" s="149" t="s">
        <v>4629</v>
      </c>
      <c r="C1173" s="150" t="s">
        <v>1788</v>
      </c>
      <c r="D1173" s="150">
        <v>0</v>
      </c>
      <c r="E1173" s="151">
        <f ca="1">OFFSET(INDEX(Composições!A:H,MATCH(Orçamentária!A1173,Composições!A:A,0),8),2,0)</f>
        <v>1078.8023162724999</v>
      </c>
      <c r="F1173" s="152">
        <f t="shared" ca="1" si="56"/>
        <v>0</v>
      </c>
      <c r="G1173" s="153">
        <f>IF($K1173="Padrão",BDI!$B$17,IF($K1173="Diferenciado",BDI!$E$17,0))</f>
        <v>0.2039</v>
      </c>
      <c r="H1173" s="151">
        <f t="shared" ca="1" si="54"/>
        <v>1298.77</v>
      </c>
      <c r="I1173" s="152">
        <f t="shared" ca="1" si="55"/>
        <v>0</v>
      </c>
      <c r="J1173" s="154"/>
      <c r="K1173" s="155" t="s">
        <v>2966</v>
      </c>
    </row>
    <row r="1174" spans="1:11" hidden="1" x14ac:dyDescent="0.25">
      <c r="A1174" s="148" t="s">
        <v>1117</v>
      </c>
      <c r="B1174" s="149" t="s">
        <v>4630</v>
      </c>
      <c r="C1174" s="150" t="s">
        <v>68</v>
      </c>
      <c r="D1174" s="150">
        <v>0</v>
      </c>
      <c r="E1174" s="151">
        <f ca="1">OFFSET(INDEX(Composições!A:H,MATCH(Orçamentária!A1174,Composições!A:A,0),8),2,0)</f>
        <v>7.8764652000000002</v>
      </c>
      <c r="F1174" s="152">
        <f t="shared" ca="1" si="56"/>
        <v>0</v>
      </c>
      <c r="G1174" s="153">
        <f>IF($K1174="Padrão",BDI!$B$17,IF($K1174="Diferenciado",BDI!$E$17,0))</f>
        <v>0.2039</v>
      </c>
      <c r="H1174" s="151">
        <f t="shared" ca="1" si="54"/>
        <v>9.48</v>
      </c>
      <c r="I1174" s="152">
        <f t="shared" ca="1" si="55"/>
        <v>0</v>
      </c>
      <c r="J1174" s="154"/>
      <c r="K1174" s="155" t="s">
        <v>2966</v>
      </c>
    </row>
    <row r="1175" spans="1:11" hidden="1" x14ac:dyDescent="0.25">
      <c r="A1175" s="148" t="s">
        <v>1120</v>
      </c>
      <c r="B1175" s="149" t="s">
        <v>4631</v>
      </c>
      <c r="C1175" s="150" t="s">
        <v>68</v>
      </c>
      <c r="D1175" s="150">
        <v>0</v>
      </c>
      <c r="E1175" s="151">
        <f ca="1">OFFSET(INDEX(Composições!A:H,MATCH(Orçamentária!A1175,Composições!A:A,0),8),2,0)</f>
        <v>207.63994484999998</v>
      </c>
      <c r="F1175" s="152">
        <f t="shared" ca="1" si="56"/>
        <v>0</v>
      </c>
      <c r="G1175" s="153">
        <f>IF($K1175="Padrão",BDI!$B$17,IF($K1175="Diferenciado",BDI!$E$17,0))</f>
        <v>0.2039</v>
      </c>
      <c r="H1175" s="151">
        <f t="shared" ca="1" si="54"/>
        <v>249.98</v>
      </c>
      <c r="I1175" s="152">
        <f t="shared" ca="1" si="55"/>
        <v>0</v>
      </c>
      <c r="J1175" s="154"/>
      <c r="K1175" s="155" t="s">
        <v>2966</v>
      </c>
    </row>
    <row r="1176" spans="1:11" hidden="1" x14ac:dyDescent="0.25">
      <c r="A1176" s="148" t="s">
        <v>1121</v>
      </c>
      <c r="B1176" s="149" t="s">
        <v>4632</v>
      </c>
      <c r="C1176" s="150" t="s">
        <v>68</v>
      </c>
      <c r="D1176" s="150">
        <v>0</v>
      </c>
      <c r="E1176" s="151">
        <f ca="1">OFFSET(INDEX(Composições!A:H,MATCH(Orçamentária!A1176,Composições!A:A,0),8),2,0)</f>
        <v>115.62270544999998</v>
      </c>
      <c r="F1176" s="152">
        <f t="shared" ca="1" si="56"/>
        <v>0</v>
      </c>
      <c r="G1176" s="153">
        <f>IF($K1176="Padrão",BDI!$B$17,IF($K1176="Diferenciado",BDI!$E$17,0))</f>
        <v>0.2039</v>
      </c>
      <c r="H1176" s="151">
        <f t="shared" ca="1" si="54"/>
        <v>139.19999999999999</v>
      </c>
      <c r="I1176" s="152">
        <f t="shared" ca="1" si="55"/>
        <v>0</v>
      </c>
      <c r="J1176" s="154"/>
      <c r="K1176" s="155" t="s">
        <v>2966</v>
      </c>
    </row>
    <row r="1177" spans="1:11" hidden="1" x14ac:dyDescent="0.25">
      <c r="A1177" s="148" t="s">
        <v>1122</v>
      </c>
      <c r="B1177" s="149" t="s">
        <v>4633</v>
      </c>
      <c r="C1177" s="150" t="s">
        <v>68</v>
      </c>
      <c r="D1177" s="150">
        <v>0</v>
      </c>
      <c r="E1177" s="151">
        <f ca="1">OFFSET(INDEX(Composições!A:H,MATCH(Orçamentária!A1177,Composições!A:A,0),8),2,0)</f>
        <v>45.287005399999991</v>
      </c>
      <c r="F1177" s="152">
        <f t="shared" ca="1" si="56"/>
        <v>0</v>
      </c>
      <c r="G1177" s="153">
        <f>IF($K1177="Padrão",BDI!$B$17,IF($K1177="Diferenciado",BDI!$E$17,0))</f>
        <v>0.2039</v>
      </c>
      <c r="H1177" s="151">
        <f t="shared" ca="1" si="54"/>
        <v>54.52</v>
      </c>
      <c r="I1177" s="152">
        <f t="shared" ca="1" si="55"/>
        <v>0</v>
      </c>
      <c r="J1177" s="154"/>
      <c r="K1177" s="155" t="s">
        <v>2966</v>
      </c>
    </row>
    <row r="1178" spans="1:11" ht="25.5" hidden="1" x14ac:dyDescent="0.25">
      <c r="A1178" s="148" t="s">
        <v>1124</v>
      </c>
      <c r="B1178" s="149" t="s">
        <v>4634</v>
      </c>
      <c r="C1178" s="150" t="s">
        <v>68</v>
      </c>
      <c r="D1178" s="150">
        <v>0</v>
      </c>
      <c r="E1178" s="151">
        <f ca="1">OFFSET(INDEX(Composições!A:H,MATCH(Orçamentária!A1178,Composições!A:A,0),8),2,0)</f>
        <v>51.399749999999997</v>
      </c>
      <c r="F1178" s="152">
        <f t="shared" ca="1" si="56"/>
        <v>0</v>
      </c>
      <c r="G1178" s="153">
        <f>IF($K1178="Padrão",BDI!$B$17,IF($K1178="Diferenciado",BDI!$E$17,0))</f>
        <v>0.2039</v>
      </c>
      <c r="H1178" s="151">
        <f t="shared" ca="1" si="54"/>
        <v>61.88</v>
      </c>
      <c r="I1178" s="152">
        <f t="shared" ca="1" si="55"/>
        <v>0</v>
      </c>
      <c r="J1178" s="154"/>
      <c r="K1178" s="155" t="s">
        <v>2966</v>
      </c>
    </row>
    <row r="1179" spans="1:11" hidden="1" x14ac:dyDescent="0.25">
      <c r="A1179" s="148" t="s">
        <v>1130</v>
      </c>
      <c r="B1179" s="149" t="s">
        <v>4635</v>
      </c>
      <c r="C1179" s="150" t="s">
        <v>68</v>
      </c>
      <c r="D1179" s="150">
        <v>0</v>
      </c>
      <c r="E1179" s="151">
        <f ca="1">OFFSET(INDEX(Composições!A:H,MATCH(Orçamentária!A1179,Composições!A:A,0),8),2,0)</f>
        <v>55.180190449999998</v>
      </c>
      <c r="F1179" s="152">
        <f t="shared" ca="1" si="56"/>
        <v>0</v>
      </c>
      <c r="G1179" s="153">
        <f>IF($K1179="Padrão",BDI!$B$17,IF($K1179="Diferenciado",BDI!$E$17,0))</f>
        <v>0.2039</v>
      </c>
      <c r="H1179" s="151">
        <f t="shared" ca="1" si="54"/>
        <v>66.430000000000007</v>
      </c>
      <c r="I1179" s="152">
        <f t="shared" ca="1" si="55"/>
        <v>0</v>
      </c>
      <c r="J1179" s="154"/>
      <c r="K1179" s="155" t="s">
        <v>2966</v>
      </c>
    </row>
    <row r="1180" spans="1:11" hidden="1" x14ac:dyDescent="0.25">
      <c r="A1180" s="148" t="s">
        <v>1131</v>
      </c>
      <c r="B1180" s="149" t="s">
        <v>4636</v>
      </c>
      <c r="C1180" s="150" t="s">
        <v>68</v>
      </c>
      <c r="D1180" s="150">
        <v>0</v>
      </c>
      <c r="E1180" s="151">
        <f ca="1">OFFSET(INDEX(Composições!A:H,MATCH(Orçamentária!A1180,Composições!A:A,0),8),2,0)</f>
        <v>6.2110999999999992</v>
      </c>
      <c r="F1180" s="152">
        <f t="shared" ca="1" si="56"/>
        <v>0</v>
      </c>
      <c r="G1180" s="153">
        <f>IF($K1180="Padrão",BDI!$B$17,IF($K1180="Diferenciado",BDI!$E$17,0))</f>
        <v>0.2039</v>
      </c>
      <c r="H1180" s="151">
        <f t="shared" ca="1" si="54"/>
        <v>7.48</v>
      </c>
      <c r="I1180" s="152">
        <f t="shared" ca="1" si="55"/>
        <v>0</v>
      </c>
      <c r="J1180" s="154"/>
      <c r="K1180" s="155" t="s">
        <v>2966</v>
      </c>
    </row>
    <row r="1181" spans="1:11" hidden="1" x14ac:dyDescent="0.25">
      <c r="A1181" s="148" t="s">
        <v>1135</v>
      </c>
      <c r="B1181" s="149" t="s">
        <v>4637</v>
      </c>
      <c r="C1181" s="150" t="s">
        <v>68</v>
      </c>
      <c r="D1181" s="150">
        <v>0</v>
      </c>
      <c r="E1181" s="151">
        <f ca="1">OFFSET(INDEX(Composições!A:H,MATCH(Orçamentária!A1181,Composições!A:A,0),8),2,0)</f>
        <v>195.04286029999997</v>
      </c>
      <c r="F1181" s="152">
        <f t="shared" ca="1" si="56"/>
        <v>0</v>
      </c>
      <c r="G1181" s="153">
        <f>IF($K1181="Padrão",BDI!$B$17,IF($K1181="Diferenciado",BDI!$E$17,0))</f>
        <v>0.2039</v>
      </c>
      <c r="H1181" s="151">
        <f t="shared" ca="1" si="54"/>
        <v>234.81</v>
      </c>
      <c r="I1181" s="152">
        <f t="shared" ca="1" si="55"/>
        <v>0</v>
      </c>
      <c r="J1181" s="154"/>
      <c r="K1181" s="155" t="s">
        <v>2966</v>
      </c>
    </row>
    <row r="1182" spans="1:11" hidden="1" x14ac:dyDescent="0.25">
      <c r="A1182" s="148" t="s">
        <v>1136</v>
      </c>
      <c r="B1182" s="149" t="s">
        <v>4638</v>
      </c>
      <c r="C1182" s="150" t="s">
        <v>68</v>
      </c>
      <c r="D1182" s="150">
        <v>0</v>
      </c>
      <c r="E1182" s="151">
        <f ca="1">OFFSET(INDEX(Composições!A:H,MATCH(Orçamentária!A1182,Composições!A:A,0),8),2,0)</f>
        <v>199.28543869999999</v>
      </c>
      <c r="F1182" s="152">
        <f t="shared" ca="1" si="56"/>
        <v>0</v>
      </c>
      <c r="G1182" s="153">
        <f>IF($K1182="Padrão",BDI!$B$17,IF($K1182="Diferenciado",BDI!$E$17,0))</f>
        <v>0.2039</v>
      </c>
      <c r="H1182" s="151">
        <f t="shared" ca="1" si="54"/>
        <v>239.92</v>
      </c>
      <c r="I1182" s="152">
        <f t="shared" ca="1" si="55"/>
        <v>0</v>
      </c>
      <c r="J1182" s="154"/>
      <c r="K1182" s="155" t="s">
        <v>2966</v>
      </c>
    </row>
    <row r="1183" spans="1:11" hidden="1" x14ac:dyDescent="0.25">
      <c r="A1183" s="148" t="s">
        <v>1137</v>
      </c>
      <c r="B1183" s="149" t="s">
        <v>4639</v>
      </c>
      <c r="C1183" s="150" t="s">
        <v>72</v>
      </c>
      <c r="D1183" s="150">
        <v>0</v>
      </c>
      <c r="E1183" s="151">
        <f ca="1">OFFSET(INDEX(Composições!A:H,MATCH(Orçamentária!A1183,Composições!A:A,0),8),2,0)</f>
        <v>0</v>
      </c>
      <c r="F1183" s="152">
        <f t="shared" ca="1" si="56"/>
        <v>0</v>
      </c>
      <c r="G1183" s="153">
        <f>IF($K1183="Padrão",BDI!$B$17,IF($K1183="Diferenciado",BDI!$E$17,0))</f>
        <v>0.2039</v>
      </c>
      <c r="H1183" s="151">
        <f t="shared" ca="1" si="54"/>
        <v>0</v>
      </c>
      <c r="I1183" s="152">
        <f t="shared" ca="1" si="55"/>
        <v>0</v>
      </c>
      <c r="J1183" s="154"/>
      <c r="K1183" s="155" t="s">
        <v>2966</v>
      </c>
    </row>
    <row r="1184" spans="1:11" hidden="1" x14ac:dyDescent="0.25">
      <c r="A1184" s="148" t="s">
        <v>1139</v>
      </c>
      <c r="B1184" s="149" t="s">
        <v>4640</v>
      </c>
      <c r="C1184" s="150" t="s">
        <v>72</v>
      </c>
      <c r="D1184" s="150">
        <v>0</v>
      </c>
      <c r="E1184" s="151">
        <f ca="1">OFFSET(INDEX(Composições!A:H,MATCH(Orçamentária!A1184,Composições!A:A,0),8),2,0)</f>
        <v>8.8945650000000001</v>
      </c>
      <c r="F1184" s="152">
        <f t="shared" ca="1" si="56"/>
        <v>0</v>
      </c>
      <c r="G1184" s="153">
        <f>IF($K1184="Padrão",BDI!$B$17,IF($K1184="Diferenciado",BDI!$E$17,0))</f>
        <v>0.2039</v>
      </c>
      <c r="H1184" s="151">
        <f t="shared" ca="1" si="54"/>
        <v>10.71</v>
      </c>
      <c r="I1184" s="152">
        <f t="shared" ca="1" si="55"/>
        <v>0</v>
      </c>
      <c r="J1184" s="154"/>
      <c r="K1184" s="155" t="s">
        <v>2966</v>
      </c>
    </row>
    <row r="1185" spans="1:11" hidden="1" x14ac:dyDescent="0.25">
      <c r="A1185" s="148" t="s">
        <v>1141</v>
      </c>
      <c r="B1185" s="149" t="s">
        <v>4641</v>
      </c>
      <c r="C1185" s="150" t="s">
        <v>1788</v>
      </c>
      <c r="D1185" s="150">
        <v>0</v>
      </c>
      <c r="E1185" s="151">
        <f ca="1">OFFSET(INDEX(Composições!A:H,MATCH(Orçamentária!A1185,Composições!A:A,0),8),2,0)</f>
        <v>262.80108874999996</v>
      </c>
      <c r="F1185" s="152">
        <f t="shared" ca="1" si="56"/>
        <v>0</v>
      </c>
      <c r="G1185" s="153">
        <f>IF($K1185="Padrão",BDI!$B$17,IF($K1185="Diferenciado",BDI!$E$17,0))</f>
        <v>0.2039</v>
      </c>
      <c r="H1185" s="151">
        <f t="shared" ca="1" si="54"/>
        <v>316.39</v>
      </c>
      <c r="I1185" s="152">
        <f t="shared" ca="1" si="55"/>
        <v>0</v>
      </c>
      <c r="J1185" s="154"/>
      <c r="K1185" s="155" t="s">
        <v>2966</v>
      </c>
    </row>
    <row r="1186" spans="1:11" hidden="1" x14ac:dyDescent="0.25">
      <c r="A1186" s="148" t="s">
        <v>4642</v>
      </c>
      <c r="B1186" s="149" t="s">
        <v>4643</v>
      </c>
      <c r="C1186" s="150" t="s">
        <v>18</v>
      </c>
      <c r="D1186" s="150">
        <v>0</v>
      </c>
      <c r="E1186" s="151" t="s">
        <v>13</v>
      </c>
      <c r="F1186" s="152" t="str">
        <f t="shared" si="56"/>
        <v/>
      </c>
      <c r="G1186" s="153">
        <f>IF($K1186="Padrão",BDI!$B$17,IF($K1186="Diferenciado",BDI!$E$17,0))</f>
        <v>0.2039</v>
      </c>
      <c r="H1186" s="151" t="str">
        <f t="shared" si="54"/>
        <v/>
      </c>
      <c r="I1186" s="152" t="str">
        <f t="shared" si="55"/>
        <v/>
      </c>
      <c r="J1186" s="154"/>
      <c r="K1186" s="155" t="s">
        <v>2966</v>
      </c>
    </row>
    <row r="1187" spans="1:11" hidden="1" x14ac:dyDescent="0.25">
      <c r="A1187" s="148" t="s">
        <v>4644</v>
      </c>
      <c r="B1187" s="149" t="s">
        <v>4645</v>
      </c>
      <c r="C1187" s="150" t="s">
        <v>18</v>
      </c>
      <c r="D1187" s="150">
        <v>0</v>
      </c>
      <c r="E1187" s="151" t="s">
        <v>13</v>
      </c>
      <c r="F1187" s="152" t="str">
        <f t="shared" si="56"/>
        <v/>
      </c>
      <c r="G1187" s="153">
        <f>IF($K1187="Padrão",BDI!$B$17,IF($K1187="Diferenciado",BDI!$E$17,0))</f>
        <v>0.2039</v>
      </c>
      <c r="H1187" s="151" t="str">
        <f t="shared" si="54"/>
        <v/>
      </c>
      <c r="I1187" s="152" t="str">
        <f t="shared" si="55"/>
        <v/>
      </c>
      <c r="J1187" s="154"/>
      <c r="K1187" s="155" t="s">
        <v>2966</v>
      </c>
    </row>
    <row r="1188" spans="1:11" hidden="1" x14ac:dyDescent="0.25">
      <c r="A1188" s="148" t="s">
        <v>4646</v>
      </c>
      <c r="B1188" s="149" t="s">
        <v>4647</v>
      </c>
      <c r="C1188" s="150" t="s">
        <v>18</v>
      </c>
      <c r="D1188" s="150">
        <v>0</v>
      </c>
      <c r="E1188" s="151" t="s">
        <v>13</v>
      </c>
      <c r="F1188" s="152" t="str">
        <f t="shared" si="56"/>
        <v/>
      </c>
      <c r="G1188" s="153">
        <f>IF($K1188="Padrão",BDI!$B$17,IF($K1188="Diferenciado",BDI!$E$17,0))</f>
        <v>0.2039</v>
      </c>
      <c r="H1188" s="151" t="str">
        <f t="shared" si="54"/>
        <v/>
      </c>
      <c r="I1188" s="152" t="str">
        <f t="shared" si="55"/>
        <v/>
      </c>
      <c r="J1188" s="154"/>
      <c r="K1188" s="155" t="s">
        <v>2966</v>
      </c>
    </row>
    <row r="1189" spans="1:11" hidden="1" x14ac:dyDescent="0.25">
      <c r="A1189" s="148" t="s">
        <v>1143</v>
      </c>
      <c r="B1189" s="149" t="s">
        <v>4648</v>
      </c>
      <c r="C1189" s="150" t="s">
        <v>106</v>
      </c>
      <c r="D1189" s="150">
        <v>0</v>
      </c>
      <c r="E1189" s="151">
        <f ca="1">OFFSET(INDEX(Composições!A:H,MATCH(Orçamentária!A1189,Composições!A:A,0),8),2,0)</f>
        <v>55.636749999999992</v>
      </c>
      <c r="F1189" s="152">
        <f t="shared" ca="1" si="56"/>
        <v>0</v>
      </c>
      <c r="G1189" s="153">
        <f>IF($K1189="Padrão",BDI!$B$17,IF($K1189="Diferenciado",BDI!$E$17,0))</f>
        <v>0.2039</v>
      </c>
      <c r="H1189" s="151">
        <f t="shared" ca="1" si="54"/>
        <v>66.98</v>
      </c>
      <c r="I1189" s="152">
        <f t="shared" ca="1" si="55"/>
        <v>0</v>
      </c>
      <c r="J1189" s="154"/>
      <c r="K1189" s="155" t="s">
        <v>2966</v>
      </c>
    </row>
    <row r="1190" spans="1:11" hidden="1" x14ac:dyDescent="0.25">
      <c r="A1190" s="148" t="s">
        <v>1144</v>
      </c>
      <c r="B1190" s="149" t="s">
        <v>4649</v>
      </c>
      <c r="C1190" s="150" t="s">
        <v>106</v>
      </c>
      <c r="D1190" s="150">
        <v>0</v>
      </c>
      <c r="E1190" s="151">
        <f ca="1">OFFSET(INDEX(Composições!A:H,MATCH(Orçamentária!A1190,Composições!A:A,0),8),2,0)</f>
        <v>92.085400000000007</v>
      </c>
      <c r="F1190" s="152">
        <f t="shared" ca="1" si="56"/>
        <v>0</v>
      </c>
      <c r="G1190" s="153">
        <f>IF($K1190="Padrão",BDI!$B$17,IF($K1190="Diferenciado",BDI!$E$17,0))</f>
        <v>0.2039</v>
      </c>
      <c r="H1190" s="151">
        <f t="shared" ca="1" si="54"/>
        <v>110.86</v>
      </c>
      <c r="I1190" s="152">
        <f t="shared" ca="1" si="55"/>
        <v>0</v>
      </c>
      <c r="J1190" s="154"/>
      <c r="K1190" s="155" t="s">
        <v>2966</v>
      </c>
    </row>
    <row r="1191" spans="1:11" hidden="1" x14ac:dyDescent="0.25">
      <c r="A1191" s="148" t="s">
        <v>4650</v>
      </c>
      <c r="B1191" s="149" t="s">
        <v>4651</v>
      </c>
      <c r="C1191" s="150" t="s">
        <v>18</v>
      </c>
      <c r="D1191" s="150">
        <v>0</v>
      </c>
      <c r="E1191" s="151" t="s">
        <v>13</v>
      </c>
      <c r="F1191" s="152" t="str">
        <f t="shared" si="56"/>
        <v/>
      </c>
      <c r="G1191" s="153">
        <f>IF($K1191="Padrão",BDI!$B$17,IF($K1191="Diferenciado",BDI!$E$17,0))</f>
        <v>0.2039</v>
      </c>
      <c r="H1191" s="151" t="str">
        <f t="shared" si="54"/>
        <v/>
      </c>
      <c r="I1191" s="152" t="str">
        <f t="shared" si="55"/>
        <v/>
      </c>
      <c r="J1191" s="154"/>
      <c r="K1191" s="155" t="s">
        <v>2966</v>
      </c>
    </row>
    <row r="1192" spans="1:11" hidden="1" x14ac:dyDescent="0.25">
      <c r="A1192" s="148" t="s">
        <v>4652</v>
      </c>
      <c r="B1192" s="149" t="s">
        <v>4653</v>
      </c>
      <c r="C1192" s="150" t="s">
        <v>18</v>
      </c>
      <c r="D1192" s="150">
        <v>0</v>
      </c>
      <c r="E1192" s="151" t="s">
        <v>13</v>
      </c>
      <c r="F1192" s="152" t="str">
        <f t="shared" si="56"/>
        <v/>
      </c>
      <c r="G1192" s="153">
        <f>IF($K1192="Padrão",BDI!$B$17,IF($K1192="Diferenciado",BDI!$E$17,0))</f>
        <v>0.2039</v>
      </c>
      <c r="H1192" s="151" t="str">
        <f t="shared" si="54"/>
        <v/>
      </c>
      <c r="I1192" s="152" t="str">
        <f t="shared" si="55"/>
        <v/>
      </c>
      <c r="J1192" s="154"/>
      <c r="K1192" s="155" t="s">
        <v>2966</v>
      </c>
    </row>
    <row r="1193" spans="1:11" hidden="1" x14ac:dyDescent="0.25">
      <c r="A1193" s="148" t="s">
        <v>4654</v>
      </c>
      <c r="B1193" s="149" t="s">
        <v>4655</v>
      </c>
      <c r="C1193" s="150" t="s">
        <v>18</v>
      </c>
      <c r="D1193" s="150">
        <v>0</v>
      </c>
      <c r="E1193" s="151" t="s">
        <v>13</v>
      </c>
      <c r="F1193" s="152" t="str">
        <f t="shared" si="56"/>
        <v/>
      </c>
      <c r="G1193" s="153">
        <f>IF($K1193="Padrão",BDI!$B$17,IF($K1193="Diferenciado",BDI!$E$17,0))</f>
        <v>0.2039</v>
      </c>
      <c r="H1193" s="151" t="str">
        <f t="shared" si="54"/>
        <v/>
      </c>
      <c r="I1193" s="152" t="str">
        <f t="shared" si="55"/>
        <v/>
      </c>
      <c r="J1193" s="154"/>
      <c r="K1193" s="155" t="s">
        <v>2966</v>
      </c>
    </row>
    <row r="1194" spans="1:11" hidden="1" x14ac:dyDescent="0.25">
      <c r="A1194" s="148" t="s">
        <v>4656</v>
      </c>
      <c r="B1194" s="149" t="s">
        <v>4657</v>
      </c>
      <c r="C1194" s="150" t="s">
        <v>18</v>
      </c>
      <c r="D1194" s="150">
        <v>0</v>
      </c>
      <c r="E1194" s="151" t="s">
        <v>13</v>
      </c>
      <c r="F1194" s="152" t="str">
        <f t="shared" si="56"/>
        <v/>
      </c>
      <c r="G1194" s="153">
        <f>IF($K1194="Padrão",BDI!$B$17,IF($K1194="Diferenciado",BDI!$E$17,0))</f>
        <v>0.2039</v>
      </c>
      <c r="H1194" s="151" t="str">
        <f t="shared" si="54"/>
        <v/>
      </c>
      <c r="I1194" s="152" t="str">
        <f t="shared" si="55"/>
        <v/>
      </c>
      <c r="J1194" s="154"/>
      <c r="K1194" s="155" t="s">
        <v>2966</v>
      </c>
    </row>
    <row r="1195" spans="1:11" hidden="1" x14ac:dyDescent="0.25">
      <c r="A1195" s="148" t="s">
        <v>4658</v>
      </c>
      <c r="B1195" s="149" t="s">
        <v>4659</v>
      </c>
      <c r="C1195" s="150" t="s">
        <v>18</v>
      </c>
      <c r="D1195" s="150">
        <v>0</v>
      </c>
      <c r="E1195" s="151" t="s">
        <v>13</v>
      </c>
      <c r="F1195" s="152" t="str">
        <f t="shared" si="56"/>
        <v/>
      </c>
      <c r="G1195" s="153">
        <f>IF($K1195="Padrão",BDI!$B$17,IF($K1195="Diferenciado",BDI!$E$17,0))</f>
        <v>0.2039</v>
      </c>
      <c r="H1195" s="151" t="str">
        <f t="shared" si="54"/>
        <v/>
      </c>
      <c r="I1195" s="152" t="str">
        <f t="shared" si="55"/>
        <v/>
      </c>
      <c r="J1195" s="154"/>
      <c r="K1195" s="155" t="s">
        <v>2966</v>
      </c>
    </row>
    <row r="1196" spans="1:11" hidden="1" x14ac:dyDescent="0.25">
      <c r="A1196" s="148" t="s">
        <v>4660</v>
      </c>
      <c r="B1196" s="149" t="s">
        <v>4661</v>
      </c>
      <c r="C1196" s="150" t="s">
        <v>461</v>
      </c>
      <c r="D1196" s="150">
        <v>0</v>
      </c>
      <c r="E1196" s="151" t="s">
        <v>13</v>
      </c>
      <c r="F1196" s="152" t="str">
        <f t="shared" si="56"/>
        <v/>
      </c>
      <c r="G1196" s="153">
        <f>IF($K1196="Padrão",BDI!$B$17,IF($K1196="Diferenciado",BDI!$E$17,0))</f>
        <v>0.2039</v>
      </c>
      <c r="H1196" s="151" t="str">
        <f t="shared" si="54"/>
        <v/>
      </c>
      <c r="I1196" s="152" t="str">
        <f t="shared" si="55"/>
        <v/>
      </c>
      <c r="J1196" s="154"/>
      <c r="K1196" s="155" t="s">
        <v>2966</v>
      </c>
    </row>
    <row r="1197" spans="1:11" hidden="1" x14ac:dyDescent="0.25">
      <c r="A1197" s="148" t="s">
        <v>4662</v>
      </c>
      <c r="B1197" s="149" t="s">
        <v>4663</v>
      </c>
      <c r="C1197" s="150" t="s">
        <v>461</v>
      </c>
      <c r="D1197" s="150">
        <v>0</v>
      </c>
      <c r="E1197" s="151" t="s">
        <v>13</v>
      </c>
      <c r="F1197" s="152" t="str">
        <f t="shared" si="56"/>
        <v/>
      </c>
      <c r="G1197" s="153">
        <f>IF($K1197="Padrão",BDI!$B$17,IF($K1197="Diferenciado",BDI!$E$17,0))</f>
        <v>0.2039</v>
      </c>
      <c r="H1197" s="151" t="str">
        <f t="shared" si="54"/>
        <v/>
      </c>
      <c r="I1197" s="152" t="str">
        <f t="shared" si="55"/>
        <v/>
      </c>
      <c r="J1197" s="154"/>
      <c r="K1197" s="155" t="s">
        <v>2966</v>
      </c>
    </row>
    <row r="1198" spans="1:11" hidden="1" x14ac:dyDescent="0.25">
      <c r="A1198" s="148" t="s">
        <v>4664</v>
      </c>
      <c r="B1198" s="149" t="s">
        <v>4665</v>
      </c>
      <c r="C1198" s="150" t="s">
        <v>18</v>
      </c>
      <c r="D1198" s="150">
        <v>0</v>
      </c>
      <c r="E1198" s="151" t="s">
        <v>13</v>
      </c>
      <c r="F1198" s="152" t="str">
        <f t="shared" si="56"/>
        <v/>
      </c>
      <c r="G1198" s="153">
        <f>IF($K1198="Padrão",BDI!$B$17,IF($K1198="Diferenciado",BDI!$E$17,0))</f>
        <v>0.2039</v>
      </c>
      <c r="H1198" s="151" t="str">
        <f t="shared" si="54"/>
        <v/>
      </c>
      <c r="I1198" s="152" t="str">
        <f t="shared" si="55"/>
        <v/>
      </c>
      <c r="J1198" s="154"/>
      <c r="K1198" s="155" t="s">
        <v>2966</v>
      </c>
    </row>
    <row r="1199" spans="1:11" hidden="1" x14ac:dyDescent="0.25">
      <c r="A1199" s="148" t="s">
        <v>4666</v>
      </c>
      <c r="B1199" s="149" t="s">
        <v>4667</v>
      </c>
      <c r="C1199" s="150" t="s">
        <v>461</v>
      </c>
      <c r="D1199" s="150">
        <v>0</v>
      </c>
      <c r="E1199" s="151" t="s">
        <v>13</v>
      </c>
      <c r="F1199" s="152" t="str">
        <f t="shared" si="56"/>
        <v/>
      </c>
      <c r="G1199" s="153">
        <f>IF($K1199="Padrão",BDI!$B$17,IF($K1199="Diferenciado",BDI!$E$17,0))</f>
        <v>0.2039</v>
      </c>
      <c r="H1199" s="151" t="str">
        <f t="shared" si="54"/>
        <v/>
      </c>
      <c r="I1199" s="152" t="str">
        <f t="shared" si="55"/>
        <v/>
      </c>
      <c r="J1199" s="154"/>
      <c r="K1199" s="155" t="s">
        <v>2966</v>
      </c>
    </row>
    <row r="1200" spans="1:11" hidden="1" x14ac:dyDescent="0.25">
      <c r="A1200" s="148" t="s">
        <v>4668</v>
      </c>
      <c r="B1200" s="149" t="s">
        <v>4669</v>
      </c>
      <c r="C1200" s="150" t="s">
        <v>461</v>
      </c>
      <c r="D1200" s="150">
        <v>0</v>
      </c>
      <c r="E1200" s="151" t="s">
        <v>13</v>
      </c>
      <c r="F1200" s="152" t="str">
        <f t="shared" si="56"/>
        <v/>
      </c>
      <c r="G1200" s="153">
        <f>IF($K1200="Padrão",BDI!$B$17,IF($K1200="Diferenciado",BDI!$E$17,0))</f>
        <v>0.2039</v>
      </c>
      <c r="H1200" s="151" t="str">
        <f t="shared" si="54"/>
        <v/>
      </c>
      <c r="I1200" s="152" t="str">
        <f t="shared" si="55"/>
        <v/>
      </c>
      <c r="J1200" s="154"/>
      <c r="K1200" s="155" t="s">
        <v>2966</v>
      </c>
    </row>
    <row r="1201" spans="1:11" hidden="1" x14ac:dyDescent="0.25">
      <c r="A1201" s="148" t="s">
        <v>4670</v>
      </c>
      <c r="B1201" s="149" t="s">
        <v>4671</v>
      </c>
      <c r="C1201" s="150" t="s">
        <v>461</v>
      </c>
      <c r="D1201" s="150">
        <v>0</v>
      </c>
      <c r="E1201" s="151" t="s">
        <v>13</v>
      </c>
      <c r="F1201" s="152" t="str">
        <f t="shared" si="56"/>
        <v/>
      </c>
      <c r="G1201" s="153">
        <f>IF($K1201="Padrão",BDI!$B$17,IF($K1201="Diferenciado",BDI!$E$17,0))</f>
        <v>0.2039</v>
      </c>
      <c r="H1201" s="151" t="str">
        <f t="shared" si="54"/>
        <v/>
      </c>
      <c r="I1201" s="152" t="str">
        <f t="shared" si="55"/>
        <v/>
      </c>
      <c r="J1201" s="154"/>
      <c r="K1201" s="155" t="s">
        <v>2966</v>
      </c>
    </row>
    <row r="1202" spans="1:11" hidden="1" x14ac:dyDescent="0.25">
      <c r="A1202" s="148" t="s">
        <v>4672</v>
      </c>
      <c r="B1202" s="149" t="s">
        <v>4673</v>
      </c>
      <c r="C1202" s="150" t="s">
        <v>18</v>
      </c>
      <c r="D1202" s="150">
        <v>0</v>
      </c>
      <c r="E1202" s="151" t="s">
        <v>13</v>
      </c>
      <c r="F1202" s="152" t="str">
        <f t="shared" si="56"/>
        <v/>
      </c>
      <c r="G1202" s="153">
        <f>IF($K1202="Padrão",BDI!$B$17,IF($K1202="Diferenciado",BDI!$E$17,0))</f>
        <v>0.2039</v>
      </c>
      <c r="H1202" s="151" t="str">
        <f t="shared" si="54"/>
        <v/>
      </c>
      <c r="I1202" s="152" t="str">
        <f t="shared" si="55"/>
        <v/>
      </c>
      <c r="J1202" s="154"/>
      <c r="K1202" s="155" t="s">
        <v>2966</v>
      </c>
    </row>
    <row r="1203" spans="1:11" hidden="1" x14ac:dyDescent="0.25">
      <c r="A1203" s="148" t="s">
        <v>4674</v>
      </c>
      <c r="B1203" s="149" t="s">
        <v>4675</v>
      </c>
      <c r="C1203" s="150" t="s">
        <v>18</v>
      </c>
      <c r="D1203" s="150">
        <v>0</v>
      </c>
      <c r="E1203" s="151" t="s">
        <v>13</v>
      </c>
      <c r="F1203" s="152" t="str">
        <f t="shared" si="56"/>
        <v/>
      </c>
      <c r="G1203" s="153">
        <f>IF($K1203="Padrão",BDI!$B$17,IF($K1203="Diferenciado",BDI!$E$17,0))</f>
        <v>0.2039</v>
      </c>
      <c r="H1203" s="151" t="str">
        <f t="shared" si="54"/>
        <v/>
      </c>
      <c r="I1203" s="152" t="str">
        <f t="shared" si="55"/>
        <v/>
      </c>
      <c r="J1203" s="154"/>
      <c r="K1203" s="155" t="s">
        <v>2966</v>
      </c>
    </row>
    <row r="1204" spans="1:11" hidden="1" x14ac:dyDescent="0.25">
      <c r="A1204" s="148" t="s">
        <v>4676</v>
      </c>
      <c r="B1204" s="149" t="s">
        <v>4677</v>
      </c>
      <c r="C1204" s="150" t="s">
        <v>18</v>
      </c>
      <c r="D1204" s="150">
        <v>0</v>
      </c>
      <c r="E1204" s="151" t="s">
        <v>13</v>
      </c>
      <c r="F1204" s="152" t="str">
        <f t="shared" si="56"/>
        <v/>
      </c>
      <c r="G1204" s="153">
        <f>IF($K1204="Padrão",BDI!$B$17,IF($K1204="Diferenciado",BDI!$E$17,0))</f>
        <v>0.2039</v>
      </c>
      <c r="H1204" s="151" t="str">
        <f t="shared" si="54"/>
        <v/>
      </c>
      <c r="I1204" s="152" t="str">
        <f t="shared" si="55"/>
        <v/>
      </c>
      <c r="J1204" s="154"/>
      <c r="K1204" s="155" t="s">
        <v>2966</v>
      </c>
    </row>
    <row r="1205" spans="1:11" hidden="1" x14ac:dyDescent="0.25">
      <c r="A1205" s="148" t="s">
        <v>4678</v>
      </c>
      <c r="B1205" s="149" t="s">
        <v>4679</v>
      </c>
      <c r="C1205" s="150" t="s">
        <v>461</v>
      </c>
      <c r="D1205" s="150">
        <v>0</v>
      </c>
      <c r="E1205" s="151" t="s">
        <v>13</v>
      </c>
      <c r="F1205" s="152" t="str">
        <f t="shared" si="56"/>
        <v/>
      </c>
      <c r="G1205" s="153">
        <f>IF($K1205="Padrão",BDI!$B$17,IF($K1205="Diferenciado",BDI!$E$17,0))</f>
        <v>0.2039</v>
      </c>
      <c r="H1205" s="151" t="str">
        <f t="shared" si="54"/>
        <v/>
      </c>
      <c r="I1205" s="152" t="str">
        <f t="shared" si="55"/>
        <v/>
      </c>
      <c r="J1205" s="154"/>
      <c r="K1205" s="155" t="s">
        <v>2966</v>
      </c>
    </row>
    <row r="1206" spans="1:11" hidden="1" x14ac:dyDescent="0.25">
      <c r="A1206" s="148" t="s">
        <v>1145</v>
      </c>
      <c r="B1206" s="149" t="s">
        <v>4680</v>
      </c>
      <c r="C1206" s="150" t="s">
        <v>18</v>
      </c>
      <c r="D1206" s="150">
        <v>0</v>
      </c>
      <c r="E1206" s="151">
        <f ca="1">OFFSET(INDEX(Composições!A:H,MATCH(Orçamentária!A1206,Composições!A:A,0),8),2,0)</f>
        <v>71.078999999999994</v>
      </c>
      <c r="F1206" s="152">
        <f t="shared" ca="1" si="56"/>
        <v>0</v>
      </c>
      <c r="G1206" s="153">
        <f>IF($K1206="Padrão",BDI!$B$17,IF($K1206="Diferenciado",BDI!$E$17,0))</f>
        <v>0.2039</v>
      </c>
      <c r="H1206" s="151">
        <f t="shared" ca="1" si="54"/>
        <v>85.57</v>
      </c>
      <c r="I1206" s="152">
        <f t="shared" ca="1" si="55"/>
        <v>0</v>
      </c>
      <c r="J1206" s="154"/>
      <c r="K1206" s="155" t="s">
        <v>2966</v>
      </c>
    </row>
    <row r="1207" spans="1:11" hidden="1" x14ac:dyDescent="0.25">
      <c r="A1207" s="148" t="s">
        <v>4681</v>
      </c>
      <c r="B1207" s="149" t="s">
        <v>4682</v>
      </c>
      <c r="C1207" s="150" t="s">
        <v>18</v>
      </c>
      <c r="D1207" s="150">
        <v>0</v>
      </c>
      <c r="E1207" s="151" t="s">
        <v>13</v>
      </c>
      <c r="F1207" s="152" t="str">
        <f t="shared" si="56"/>
        <v/>
      </c>
      <c r="G1207" s="153">
        <f>IF($K1207="Padrão",BDI!$B$17,IF($K1207="Diferenciado",BDI!$E$17,0))</f>
        <v>0.2039</v>
      </c>
      <c r="H1207" s="151" t="str">
        <f t="shared" si="54"/>
        <v/>
      </c>
      <c r="I1207" s="152" t="str">
        <f t="shared" si="55"/>
        <v/>
      </c>
      <c r="J1207" s="154"/>
      <c r="K1207" s="155" t="s">
        <v>2966</v>
      </c>
    </row>
    <row r="1208" spans="1:11" hidden="1" x14ac:dyDescent="0.25">
      <c r="A1208" s="148" t="s">
        <v>4683</v>
      </c>
      <c r="B1208" s="149" t="s">
        <v>4684</v>
      </c>
      <c r="C1208" s="150" t="s">
        <v>18</v>
      </c>
      <c r="D1208" s="150">
        <v>0</v>
      </c>
      <c r="E1208" s="151" t="s">
        <v>13</v>
      </c>
      <c r="F1208" s="152" t="str">
        <f t="shared" si="56"/>
        <v/>
      </c>
      <c r="G1208" s="153">
        <f>IF($K1208="Padrão",BDI!$B$17,IF($K1208="Diferenciado",BDI!$E$17,0))</f>
        <v>0.2039</v>
      </c>
      <c r="H1208" s="151" t="str">
        <f t="shared" si="54"/>
        <v/>
      </c>
      <c r="I1208" s="152" t="str">
        <f t="shared" si="55"/>
        <v/>
      </c>
      <c r="J1208" s="154"/>
      <c r="K1208" s="155" t="s">
        <v>2966</v>
      </c>
    </row>
    <row r="1209" spans="1:11" hidden="1" x14ac:dyDescent="0.25">
      <c r="A1209" s="148" t="s">
        <v>4685</v>
      </c>
      <c r="B1209" s="149" t="s">
        <v>4686</v>
      </c>
      <c r="C1209" s="150" t="s">
        <v>18</v>
      </c>
      <c r="D1209" s="150">
        <v>0</v>
      </c>
      <c r="E1209" s="151" t="s">
        <v>13</v>
      </c>
      <c r="F1209" s="152" t="str">
        <f t="shared" si="56"/>
        <v/>
      </c>
      <c r="G1209" s="153">
        <f>IF($K1209="Padrão",BDI!$B$17,IF($K1209="Diferenciado",BDI!$E$17,0))</f>
        <v>0.2039</v>
      </c>
      <c r="H1209" s="151" t="str">
        <f t="shared" si="54"/>
        <v/>
      </c>
      <c r="I1209" s="152" t="str">
        <f t="shared" si="55"/>
        <v/>
      </c>
      <c r="J1209" s="154"/>
      <c r="K1209" s="155" t="s">
        <v>2966</v>
      </c>
    </row>
    <row r="1210" spans="1:11" hidden="1" x14ac:dyDescent="0.25">
      <c r="A1210" s="148" t="s">
        <v>1146</v>
      </c>
      <c r="B1210" s="149" t="s">
        <v>4687</v>
      </c>
      <c r="C1210" s="150" t="s">
        <v>87</v>
      </c>
      <c r="D1210" s="150">
        <v>0</v>
      </c>
      <c r="E1210" s="151">
        <f ca="1">OFFSET(INDEX(Composições!A:H,MATCH(Orçamentária!A1210,Composições!A:A,0),8),2,0)</f>
        <v>67.953499999999991</v>
      </c>
      <c r="F1210" s="152">
        <f t="shared" ca="1" si="56"/>
        <v>0</v>
      </c>
      <c r="G1210" s="153">
        <f>IF($K1210="Padrão",BDI!$B$17,IF($K1210="Diferenciado",BDI!$E$17,0))</f>
        <v>0.2039</v>
      </c>
      <c r="H1210" s="151">
        <f t="shared" ca="1" si="54"/>
        <v>81.81</v>
      </c>
      <c r="I1210" s="152">
        <f t="shared" ca="1" si="55"/>
        <v>0</v>
      </c>
      <c r="J1210" s="154"/>
      <c r="K1210" s="155" t="s">
        <v>2966</v>
      </c>
    </row>
    <row r="1211" spans="1:11" hidden="1" x14ac:dyDescent="0.25">
      <c r="A1211" s="148" t="s">
        <v>1147</v>
      </c>
      <c r="B1211" s="149" t="s">
        <v>4688</v>
      </c>
      <c r="C1211" s="150" t="s">
        <v>18</v>
      </c>
      <c r="D1211" s="150">
        <v>0</v>
      </c>
      <c r="E1211" s="151">
        <f ca="1">OFFSET(INDEX(Composições!A:H,MATCH(Orçamentária!A1211,Composições!A:A,0),8),2,0)</f>
        <v>260.0625</v>
      </c>
      <c r="F1211" s="152">
        <f t="shared" ca="1" si="56"/>
        <v>0</v>
      </c>
      <c r="G1211" s="153">
        <f>IF($K1211="Padrão",BDI!$B$17,IF($K1211="Diferenciado",BDI!$E$17,0))</f>
        <v>0.2039</v>
      </c>
      <c r="H1211" s="151">
        <f t="shared" ca="1" si="54"/>
        <v>313.08999999999997</v>
      </c>
      <c r="I1211" s="152">
        <f t="shared" ca="1" si="55"/>
        <v>0</v>
      </c>
      <c r="J1211" s="154"/>
      <c r="K1211" s="155" t="s">
        <v>2966</v>
      </c>
    </row>
    <row r="1212" spans="1:11" hidden="1" x14ac:dyDescent="0.25">
      <c r="A1212" s="148" t="s">
        <v>4689</v>
      </c>
      <c r="B1212" s="149" t="s">
        <v>4690</v>
      </c>
      <c r="C1212" s="150" t="s">
        <v>18</v>
      </c>
      <c r="D1212" s="150">
        <v>0</v>
      </c>
      <c r="E1212" s="151" t="s">
        <v>13</v>
      </c>
      <c r="F1212" s="152" t="str">
        <f t="shared" si="56"/>
        <v/>
      </c>
      <c r="G1212" s="153">
        <f>IF($K1212="Padrão",BDI!$B$17,IF($K1212="Diferenciado",BDI!$E$17,0))</f>
        <v>0.2039</v>
      </c>
      <c r="H1212" s="151" t="str">
        <f t="shared" si="54"/>
        <v/>
      </c>
      <c r="I1212" s="152" t="str">
        <f t="shared" si="55"/>
        <v/>
      </c>
      <c r="J1212" s="154"/>
      <c r="K1212" s="155" t="s">
        <v>2966</v>
      </c>
    </row>
    <row r="1213" spans="1:11" hidden="1" x14ac:dyDescent="0.25">
      <c r="A1213" s="148" t="s">
        <v>4691</v>
      </c>
      <c r="B1213" s="149" t="s">
        <v>4692</v>
      </c>
      <c r="C1213" s="150" t="s">
        <v>18</v>
      </c>
      <c r="D1213" s="150">
        <v>0</v>
      </c>
      <c r="E1213" s="151" t="s">
        <v>13</v>
      </c>
      <c r="F1213" s="152" t="str">
        <f t="shared" si="56"/>
        <v/>
      </c>
      <c r="G1213" s="153">
        <f>IF($K1213="Padrão",BDI!$B$17,IF($K1213="Diferenciado",BDI!$E$17,0))</f>
        <v>0.2039</v>
      </c>
      <c r="H1213" s="151" t="str">
        <f t="shared" si="54"/>
        <v/>
      </c>
      <c r="I1213" s="152" t="str">
        <f t="shared" si="55"/>
        <v/>
      </c>
      <c r="J1213" s="154"/>
      <c r="K1213" s="155" t="s">
        <v>2966</v>
      </c>
    </row>
    <row r="1214" spans="1:11" hidden="1" x14ac:dyDescent="0.25">
      <c r="A1214" s="148" t="s">
        <v>4693</v>
      </c>
      <c r="B1214" s="149" t="s">
        <v>4694</v>
      </c>
      <c r="C1214" s="150" t="s">
        <v>18</v>
      </c>
      <c r="D1214" s="150">
        <v>0</v>
      </c>
      <c r="E1214" s="151" t="s">
        <v>13</v>
      </c>
      <c r="F1214" s="152" t="str">
        <f t="shared" si="56"/>
        <v/>
      </c>
      <c r="G1214" s="153">
        <f>IF($K1214="Padrão",BDI!$B$17,IF($K1214="Diferenciado",BDI!$E$17,0))</f>
        <v>0.2039</v>
      </c>
      <c r="H1214" s="151" t="str">
        <f t="shared" si="54"/>
        <v/>
      </c>
      <c r="I1214" s="152" t="str">
        <f t="shared" si="55"/>
        <v/>
      </c>
      <c r="J1214" s="154"/>
      <c r="K1214" s="155" t="s">
        <v>2966</v>
      </c>
    </row>
    <row r="1215" spans="1:11" hidden="1" x14ac:dyDescent="0.25">
      <c r="A1215" s="148" t="s">
        <v>4695</v>
      </c>
      <c r="B1215" s="149" t="s">
        <v>4696</v>
      </c>
      <c r="C1215" s="150" t="s">
        <v>18</v>
      </c>
      <c r="D1215" s="150">
        <v>0</v>
      </c>
      <c r="E1215" s="151" t="s">
        <v>13</v>
      </c>
      <c r="F1215" s="152" t="str">
        <f t="shared" si="56"/>
        <v/>
      </c>
      <c r="G1215" s="153">
        <f>IF($K1215="Padrão",BDI!$B$17,IF($K1215="Diferenciado",BDI!$E$17,0))</f>
        <v>0.2039</v>
      </c>
      <c r="H1215" s="151" t="str">
        <f t="shared" si="54"/>
        <v/>
      </c>
      <c r="I1215" s="152" t="str">
        <f t="shared" si="55"/>
        <v/>
      </c>
      <c r="J1215" s="154"/>
      <c r="K1215" s="155" t="s">
        <v>2966</v>
      </c>
    </row>
    <row r="1216" spans="1:11" hidden="1" x14ac:dyDescent="0.25">
      <c r="A1216" s="148" t="s">
        <v>4697</v>
      </c>
      <c r="B1216" s="149" t="s">
        <v>4698</v>
      </c>
      <c r="C1216" s="150" t="s">
        <v>18</v>
      </c>
      <c r="D1216" s="150">
        <v>0</v>
      </c>
      <c r="E1216" s="151" t="s">
        <v>13</v>
      </c>
      <c r="F1216" s="152" t="str">
        <f t="shared" si="56"/>
        <v/>
      </c>
      <c r="G1216" s="153">
        <f>IF($K1216="Padrão",BDI!$B$17,IF($K1216="Diferenciado",BDI!$E$17,0))</f>
        <v>0.2039</v>
      </c>
      <c r="H1216" s="151" t="str">
        <f t="shared" si="54"/>
        <v/>
      </c>
      <c r="I1216" s="152" t="str">
        <f t="shared" si="55"/>
        <v/>
      </c>
      <c r="J1216" s="154"/>
      <c r="K1216" s="155" t="s">
        <v>2966</v>
      </c>
    </row>
    <row r="1217" spans="1:11" hidden="1" x14ac:dyDescent="0.25">
      <c r="A1217" s="148" t="s">
        <v>4699</v>
      </c>
      <c r="B1217" s="149" t="s">
        <v>4700</v>
      </c>
      <c r="C1217" s="150" t="s">
        <v>461</v>
      </c>
      <c r="D1217" s="150">
        <v>0</v>
      </c>
      <c r="E1217" s="151" t="s">
        <v>13</v>
      </c>
      <c r="F1217" s="152" t="str">
        <f t="shared" si="56"/>
        <v/>
      </c>
      <c r="G1217" s="153">
        <f>IF($K1217="Padrão",BDI!$B$17,IF($K1217="Diferenciado",BDI!$E$17,0))</f>
        <v>0.2039</v>
      </c>
      <c r="H1217" s="151" t="str">
        <f t="shared" si="54"/>
        <v/>
      </c>
      <c r="I1217" s="152" t="str">
        <f t="shared" si="55"/>
        <v/>
      </c>
      <c r="J1217" s="154"/>
      <c r="K1217" s="155" t="s">
        <v>2966</v>
      </c>
    </row>
    <row r="1218" spans="1:11" hidden="1" x14ac:dyDescent="0.25">
      <c r="A1218" s="148" t="s">
        <v>4701</v>
      </c>
      <c r="B1218" s="149" t="s">
        <v>4702</v>
      </c>
      <c r="C1218" s="150" t="s">
        <v>461</v>
      </c>
      <c r="D1218" s="150">
        <v>0</v>
      </c>
      <c r="E1218" s="151" t="s">
        <v>13</v>
      </c>
      <c r="F1218" s="152" t="str">
        <f t="shared" si="56"/>
        <v/>
      </c>
      <c r="G1218" s="153">
        <f>IF($K1218="Padrão",BDI!$B$17,IF($K1218="Diferenciado",BDI!$E$17,0))</f>
        <v>0.2039</v>
      </c>
      <c r="H1218" s="151" t="str">
        <f t="shared" si="54"/>
        <v/>
      </c>
      <c r="I1218" s="152" t="str">
        <f t="shared" si="55"/>
        <v/>
      </c>
      <c r="J1218" s="154"/>
      <c r="K1218" s="155" t="s">
        <v>2966</v>
      </c>
    </row>
    <row r="1219" spans="1:11" ht="25.5" hidden="1" x14ac:dyDescent="0.25">
      <c r="A1219" s="148" t="s">
        <v>1148</v>
      </c>
      <c r="B1219" s="149" t="s">
        <v>4703</v>
      </c>
      <c r="C1219" s="150" t="s">
        <v>18</v>
      </c>
      <c r="D1219" s="150">
        <v>0</v>
      </c>
      <c r="E1219" s="151">
        <f ca="1">OFFSET(INDEX(Composições!A:H,MATCH(Orçamentária!A1219,Composições!A:A,0),8),2,0)</f>
        <v>47.879999999999995</v>
      </c>
      <c r="F1219" s="152">
        <f t="shared" ca="1" si="56"/>
        <v>0</v>
      </c>
      <c r="G1219" s="153">
        <f>IF($K1219="Padrão",BDI!$B$17,IF($K1219="Diferenciado",BDI!$E$17,0))</f>
        <v>0.2039</v>
      </c>
      <c r="H1219" s="151">
        <f t="shared" ca="1" si="54"/>
        <v>57.64</v>
      </c>
      <c r="I1219" s="152">
        <f t="shared" ca="1" si="55"/>
        <v>0</v>
      </c>
      <c r="J1219" s="154"/>
      <c r="K1219" s="155" t="s">
        <v>2966</v>
      </c>
    </row>
    <row r="1220" spans="1:11" hidden="1" x14ac:dyDescent="0.25">
      <c r="A1220" s="148" t="s">
        <v>4704</v>
      </c>
      <c r="B1220" s="149" t="s">
        <v>4705</v>
      </c>
      <c r="C1220" s="150" t="s">
        <v>18</v>
      </c>
      <c r="D1220" s="150">
        <v>0</v>
      </c>
      <c r="E1220" s="151" t="s">
        <v>13</v>
      </c>
      <c r="F1220" s="152" t="str">
        <f t="shared" si="56"/>
        <v/>
      </c>
      <c r="G1220" s="153">
        <f>IF($K1220="Padrão",BDI!$B$17,IF($K1220="Diferenciado",BDI!$E$17,0))</f>
        <v>0.2039</v>
      </c>
      <c r="H1220" s="151" t="str">
        <f t="shared" si="54"/>
        <v/>
      </c>
      <c r="I1220" s="152" t="str">
        <f t="shared" si="55"/>
        <v/>
      </c>
      <c r="J1220" s="154"/>
      <c r="K1220" s="155" t="s">
        <v>2966</v>
      </c>
    </row>
    <row r="1221" spans="1:11" hidden="1" x14ac:dyDescent="0.25">
      <c r="A1221" s="148" t="s">
        <v>4706</v>
      </c>
      <c r="B1221" s="149" t="s">
        <v>4707</v>
      </c>
      <c r="C1221" s="150" t="s">
        <v>18</v>
      </c>
      <c r="D1221" s="150">
        <v>0</v>
      </c>
      <c r="E1221" s="151" t="s">
        <v>13</v>
      </c>
      <c r="F1221" s="152" t="str">
        <f t="shared" si="56"/>
        <v/>
      </c>
      <c r="G1221" s="153">
        <f>IF($K1221="Padrão",BDI!$B$17,IF($K1221="Diferenciado",BDI!$E$17,0))</f>
        <v>0.2039</v>
      </c>
      <c r="H1221" s="151" t="str">
        <f t="shared" si="54"/>
        <v/>
      </c>
      <c r="I1221" s="152" t="str">
        <f t="shared" si="55"/>
        <v/>
      </c>
      <c r="J1221" s="154"/>
      <c r="K1221" s="155" t="s">
        <v>2966</v>
      </c>
    </row>
    <row r="1222" spans="1:11" hidden="1" x14ac:dyDescent="0.25">
      <c r="A1222" s="148" t="s">
        <v>4708</v>
      </c>
      <c r="B1222" s="149" t="s">
        <v>4709</v>
      </c>
      <c r="C1222" s="150" t="s">
        <v>18</v>
      </c>
      <c r="D1222" s="150">
        <v>0</v>
      </c>
      <c r="E1222" s="151" t="s">
        <v>13</v>
      </c>
      <c r="F1222" s="152" t="str">
        <f t="shared" si="56"/>
        <v/>
      </c>
      <c r="G1222" s="153">
        <f>IF($K1222="Padrão",BDI!$B$17,IF($K1222="Diferenciado",BDI!$E$17,0))</f>
        <v>0.2039</v>
      </c>
      <c r="H1222" s="151" t="str">
        <f t="shared" ref="H1222:H1285" si="57">IF(ISNUMBER(E1222),ROUND(E1222*(1+G1222),2),"")</f>
        <v/>
      </c>
      <c r="I1222" s="152" t="str">
        <f t="shared" ref="I1222:I1285" si="58">IF(ISNUMBER(E1222),ROUND(H1222*D1222,2),"")</f>
        <v/>
      </c>
      <c r="J1222" s="154"/>
      <c r="K1222" s="155" t="s">
        <v>2966</v>
      </c>
    </row>
    <row r="1223" spans="1:11" hidden="1" x14ac:dyDescent="0.25">
      <c r="A1223" s="148" t="s">
        <v>4710</v>
      </c>
      <c r="B1223" s="149" t="s">
        <v>4711</v>
      </c>
      <c r="C1223" s="150" t="s">
        <v>87</v>
      </c>
      <c r="D1223" s="150">
        <v>0</v>
      </c>
      <c r="E1223" s="151" t="s">
        <v>13</v>
      </c>
      <c r="F1223" s="152" t="str">
        <f t="shared" ref="F1223:F1286" si="59">IF(ISNUMBER(E1223),D1223*E1223,"")</f>
        <v/>
      </c>
      <c r="G1223" s="153">
        <f>IF($K1223="Padrão",BDI!$B$17,IF($K1223="Diferenciado",BDI!$E$17,0))</f>
        <v>0.2039</v>
      </c>
      <c r="H1223" s="151" t="str">
        <f t="shared" si="57"/>
        <v/>
      </c>
      <c r="I1223" s="152" t="str">
        <f t="shared" si="58"/>
        <v/>
      </c>
      <c r="J1223" s="154"/>
      <c r="K1223" s="155" t="s">
        <v>2966</v>
      </c>
    </row>
    <row r="1224" spans="1:11" hidden="1" x14ac:dyDescent="0.25">
      <c r="A1224" s="148" t="s">
        <v>1149</v>
      </c>
      <c r="B1224" s="149" t="s">
        <v>4712</v>
      </c>
      <c r="C1224" s="150" t="s">
        <v>18</v>
      </c>
      <c r="D1224" s="150">
        <v>0</v>
      </c>
      <c r="E1224" s="151">
        <f ca="1">OFFSET(INDEX(Composições!A:H,MATCH(Orçamentária!A1224,Composições!A:A,0),8),2,0)</f>
        <v>936.32949999999994</v>
      </c>
      <c r="F1224" s="152">
        <f t="shared" ca="1" si="59"/>
        <v>0</v>
      </c>
      <c r="G1224" s="153">
        <f>IF($K1224="Padrão",BDI!$B$17,IF($K1224="Diferenciado",BDI!$E$17,0))</f>
        <v>0.2039</v>
      </c>
      <c r="H1224" s="151">
        <f t="shared" ca="1" si="57"/>
        <v>1127.25</v>
      </c>
      <c r="I1224" s="152">
        <f t="shared" ca="1" si="58"/>
        <v>0</v>
      </c>
      <c r="J1224" s="154"/>
      <c r="K1224" s="155" t="s">
        <v>2966</v>
      </c>
    </row>
    <row r="1225" spans="1:11" hidden="1" x14ac:dyDescent="0.25">
      <c r="A1225" s="148" t="s">
        <v>4713</v>
      </c>
      <c r="B1225" s="149" t="s">
        <v>4714</v>
      </c>
      <c r="C1225" s="150" t="s">
        <v>18</v>
      </c>
      <c r="D1225" s="150">
        <v>0</v>
      </c>
      <c r="E1225" s="151" t="s">
        <v>13</v>
      </c>
      <c r="F1225" s="152" t="str">
        <f t="shared" si="59"/>
        <v/>
      </c>
      <c r="G1225" s="153">
        <f>IF($K1225="Padrão",BDI!$B$17,IF($K1225="Diferenciado",BDI!$E$17,0))</f>
        <v>0.2039</v>
      </c>
      <c r="H1225" s="151" t="str">
        <f t="shared" si="57"/>
        <v/>
      </c>
      <c r="I1225" s="152" t="str">
        <f t="shared" si="58"/>
        <v/>
      </c>
      <c r="J1225" s="154"/>
      <c r="K1225" s="155" t="s">
        <v>2966</v>
      </c>
    </row>
    <row r="1226" spans="1:11" hidden="1" x14ac:dyDescent="0.25">
      <c r="A1226" s="148" t="s">
        <v>4715</v>
      </c>
      <c r="B1226" s="149" t="s">
        <v>4716</v>
      </c>
      <c r="C1226" s="150" t="s">
        <v>18</v>
      </c>
      <c r="D1226" s="150">
        <v>0</v>
      </c>
      <c r="E1226" s="151" t="s">
        <v>13</v>
      </c>
      <c r="F1226" s="152" t="str">
        <f t="shared" si="59"/>
        <v/>
      </c>
      <c r="G1226" s="153">
        <f>IF($K1226="Padrão",BDI!$B$17,IF($K1226="Diferenciado",BDI!$E$17,0))</f>
        <v>0.2039</v>
      </c>
      <c r="H1226" s="151" t="str">
        <f t="shared" si="57"/>
        <v/>
      </c>
      <c r="I1226" s="152" t="str">
        <f t="shared" si="58"/>
        <v/>
      </c>
      <c r="J1226" s="154"/>
      <c r="K1226" s="155" t="s">
        <v>2966</v>
      </c>
    </row>
    <row r="1227" spans="1:11" hidden="1" x14ac:dyDescent="0.25">
      <c r="A1227" s="148" t="s">
        <v>4717</v>
      </c>
      <c r="B1227" s="149" t="s">
        <v>4718</v>
      </c>
      <c r="C1227" s="150" t="s">
        <v>18</v>
      </c>
      <c r="D1227" s="150">
        <v>0</v>
      </c>
      <c r="E1227" s="151" t="s">
        <v>13</v>
      </c>
      <c r="F1227" s="152" t="str">
        <f t="shared" si="59"/>
        <v/>
      </c>
      <c r="G1227" s="153">
        <f>IF($K1227="Padrão",BDI!$B$17,IF($K1227="Diferenciado",BDI!$E$17,0))</f>
        <v>0.2039</v>
      </c>
      <c r="H1227" s="151" t="str">
        <f t="shared" si="57"/>
        <v/>
      </c>
      <c r="I1227" s="152" t="str">
        <f t="shared" si="58"/>
        <v/>
      </c>
      <c r="J1227" s="154"/>
      <c r="K1227" s="155" t="s">
        <v>2966</v>
      </c>
    </row>
    <row r="1228" spans="1:11" hidden="1" x14ac:dyDescent="0.25">
      <c r="A1228" s="148" t="s">
        <v>4719</v>
      </c>
      <c r="B1228" s="149" t="s">
        <v>4720</v>
      </c>
      <c r="C1228" s="150" t="s">
        <v>106</v>
      </c>
      <c r="D1228" s="150">
        <v>0</v>
      </c>
      <c r="E1228" s="151" t="s">
        <v>13</v>
      </c>
      <c r="F1228" s="152" t="str">
        <f t="shared" si="59"/>
        <v/>
      </c>
      <c r="G1228" s="153">
        <f>IF($K1228="Padrão",BDI!$B$17,IF($K1228="Diferenciado",BDI!$E$17,0))</f>
        <v>0.2039</v>
      </c>
      <c r="H1228" s="151" t="str">
        <f t="shared" si="57"/>
        <v/>
      </c>
      <c r="I1228" s="152" t="str">
        <f t="shared" si="58"/>
        <v/>
      </c>
      <c r="J1228" s="154"/>
      <c r="K1228" s="155" t="s">
        <v>2966</v>
      </c>
    </row>
    <row r="1229" spans="1:11" hidden="1" x14ac:dyDescent="0.25">
      <c r="A1229" s="148" t="s">
        <v>4721</v>
      </c>
      <c r="B1229" s="149" t="s">
        <v>4722</v>
      </c>
      <c r="C1229" s="150" t="s">
        <v>18</v>
      </c>
      <c r="D1229" s="150">
        <v>0</v>
      </c>
      <c r="E1229" s="151" t="s">
        <v>13</v>
      </c>
      <c r="F1229" s="152" t="str">
        <f t="shared" si="59"/>
        <v/>
      </c>
      <c r="G1229" s="153">
        <f>IF($K1229="Padrão",BDI!$B$17,IF($K1229="Diferenciado",BDI!$E$17,0))</f>
        <v>0.2039</v>
      </c>
      <c r="H1229" s="151" t="str">
        <f t="shared" si="57"/>
        <v/>
      </c>
      <c r="I1229" s="152" t="str">
        <f t="shared" si="58"/>
        <v/>
      </c>
      <c r="J1229" s="154"/>
      <c r="K1229" s="155" t="s">
        <v>2966</v>
      </c>
    </row>
    <row r="1230" spans="1:11" hidden="1" x14ac:dyDescent="0.25">
      <c r="A1230" s="148" t="s">
        <v>1150</v>
      </c>
      <c r="B1230" s="149" t="s">
        <v>4723</v>
      </c>
      <c r="C1230" s="150" t="s">
        <v>68</v>
      </c>
      <c r="D1230" s="150">
        <v>0</v>
      </c>
      <c r="E1230" s="151">
        <f ca="1">OFFSET(INDEX(Composições!A:H,MATCH(Orçamentária!A1230,Composições!A:A,0),8),2,0)</f>
        <v>48.905999999999992</v>
      </c>
      <c r="F1230" s="152">
        <f t="shared" ca="1" si="59"/>
        <v>0</v>
      </c>
      <c r="G1230" s="153">
        <f>IF($K1230="Padrão",BDI!$B$17,IF($K1230="Diferenciado",BDI!$E$17,0))</f>
        <v>0.2039</v>
      </c>
      <c r="H1230" s="151">
        <f t="shared" ca="1" si="57"/>
        <v>58.88</v>
      </c>
      <c r="I1230" s="152">
        <f t="shared" ca="1" si="58"/>
        <v>0</v>
      </c>
      <c r="J1230" s="154"/>
      <c r="K1230" s="155" t="s">
        <v>2966</v>
      </c>
    </row>
    <row r="1231" spans="1:11" hidden="1" x14ac:dyDescent="0.25">
      <c r="A1231" s="148" t="s">
        <v>1151</v>
      </c>
      <c r="B1231" s="149" t="s">
        <v>4724</v>
      </c>
      <c r="C1231" s="150" t="s">
        <v>70</v>
      </c>
      <c r="D1231" s="150">
        <v>0</v>
      </c>
      <c r="E1231" s="151">
        <f ca="1">OFFSET(INDEX(Composições!A:H,MATCH(Orçamentária!A1231,Composições!A:A,0),8),2,0)</f>
        <v>15.760499999999999</v>
      </c>
      <c r="F1231" s="152">
        <f t="shared" ca="1" si="59"/>
        <v>0</v>
      </c>
      <c r="G1231" s="153">
        <f>IF($K1231="Padrão",BDI!$B$17,IF($K1231="Diferenciado",BDI!$E$17,0))</f>
        <v>0.2039</v>
      </c>
      <c r="H1231" s="151">
        <f t="shared" ca="1" si="57"/>
        <v>18.97</v>
      </c>
      <c r="I1231" s="152">
        <f t="shared" ca="1" si="58"/>
        <v>0</v>
      </c>
      <c r="J1231" s="154"/>
      <c r="K1231" s="155" t="s">
        <v>2966</v>
      </c>
    </row>
    <row r="1232" spans="1:11" ht="38.25" hidden="1" x14ac:dyDescent="0.25">
      <c r="A1232" s="148" t="s">
        <v>4725</v>
      </c>
      <c r="B1232" s="149" t="s">
        <v>4726</v>
      </c>
      <c r="C1232" s="150" t="s">
        <v>18</v>
      </c>
      <c r="D1232" s="150">
        <v>0</v>
      </c>
      <c r="E1232" s="151" t="s">
        <v>13</v>
      </c>
      <c r="F1232" s="152" t="str">
        <f t="shared" si="59"/>
        <v/>
      </c>
      <c r="G1232" s="153">
        <f>IF($K1232="Padrão",BDI!$B$17,IF($K1232="Diferenciado",BDI!$E$17,0))</f>
        <v>0.2039</v>
      </c>
      <c r="H1232" s="151" t="str">
        <f t="shared" si="57"/>
        <v/>
      </c>
      <c r="I1232" s="152" t="str">
        <f t="shared" si="58"/>
        <v/>
      </c>
      <c r="J1232" s="154"/>
      <c r="K1232" s="155" t="s">
        <v>2966</v>
      </c>
    </row>
    <row r="1233" spans="1:11" ht="38.25" hidden="1" x14ac:dyDescent="0.25">
      <c r="A1233" s="148" t="s">
        <v>4727</v>
      </c>
      <c r="B1233" s="149" t="s">
        <v>4728</v>
      </c>
      <c r="C1233" s="150" t="s">
        <v>18</v>
      </c>
      <c r="D1233" s="150">
        <v>0</v>
      </c>
      <c r="E1233" s="151" t="s">
        <v>13</v>
      </c>
      <c r="F1233" s="152" t="str">
        <f t="shared" si="59"/>
        <v/>
      </c>
      <c r="G1233" s="153">
        <f>IF($K1233="Padrão",BDI!$B$17,IF($K1233="Diferenciado",BDI!$E$17,0))</f>
        <v>0.2039</v>
      </c>
      <c r="H1233" s="151" t="str">
        <f t="shared" si="57"/>
        <v/>
      </c>
      <c r="I1233" s="152" t="str">
        <f t="shared" si="58"/>
        <v/>
      </c>
      <c r="J1233" s="154"/>
      <c r="K1233" s="155" t="s">
        <v>2966</v>
      </c>
    </row>
    <row r="1234" spans="1:11" ht="25.5" hidden="1" x14ac:dyDescent="0.25">
      <c r="A1234" s="148" t="s">
        <v>4729</v>
      </c>
      <c r="B1234" s="149" t="s">
        <v>4730</v>
      </c>
      <c r="C1234" s="150" t="s">
        <v>18</v>
      </c>
      <c r="D1234" s="150">
        <v>0</v>
      </c>
      <c r="E1234" s="151" t="s">
        <v>13</v>
      </c>
      <c r="F1234" s="152" t="str">
        <f t="shared" si="59"/>
        <v/>
      </c>
      <c r="G1234" s="153">
        <f>IF($K1234="Padrão",BDI!$B$17,IF($K1234="Diferenciado",BDI!$E$17,0))</f>
        <v>0.2039</v>
      </c>
      <c r="H1234" s="151" t="str">
        <f t="shared" si="57"/>
        <v/>
      </c>
      <c r="I1234" s="152" t="str">
        <f t="shared" si="58"/>
        <v/>
      </c>
      <c r="J1234" s="154"/>
      <c r="K1234" s="155" t="s">
        <v>2966</v>
      </c>
    </row>
    <row r="1235" spans="1:11" hidden="1" x14ac:dyDescent="0.25">
      <c r="A1235" s="148" t="s">
        <v>4731</v>
      </c>
      <c r="B1235" s="149" t="s">
        <v>4732</v>
      </c>
      <c r="C1235" s="150" t="s">
        <v>18</v>
      </c>
      <c r="D1235" s="150">
        <v>0</v>
      </c>
      <c r="E1235" s="151" t="s">
        <v>13</v>
      </c>
      <c r="F1235" s="152" t="str">
        <f t="shared" si="59"/>
        <v/>
      </c>
      <c r="G1235" s="153">
        <f>IF($K1235="Padrão",BDI!$B$17,IF($K1235="Diferenciado",BDI!$E$17,0))</f>
        <v>0.2039</v>
      </c>
      <c r="H1235" s="151" t="str">
        <f t="shared" si="57"/>
        <v/>
      </c>
      <c r="I1235" s="152" t="str">
        <f t="shared" si="58"/>
        <v/>
      </c>
      <c r="J1235" s="154"/>
      <c r="K1235" s="155" t="s">
        <v>2966</v>
      </c>
    </row>
    <row r="1236" spans="1:11" hidden="1" x14ac:dyDescent="0.25">
      <c r="A1236" s="148" t="s">
        <v>4733</v>
      </c>
      <c r="B1236" s="149" t="s">
        <v>4734</v>
      </c>
      <c r="C1236" s="150" t="s">
        <v>4735</v>
      </c>
      <c r="D1236" s="150">
        <v>0</v>
      </c>
      <c r="E1236" s="151" t="s">
        <v>13</v>
      </c>
      <c r="F1236" s="152" t="str">
        <f t="shared" si="59"/>
        <v/>
      </c>
      <c r="G1236" s="153">
        <f>IF($K1236="Padrão",BDI!$B$17,IF($K1236="Diferenciado",BDI!$E$17,0))</f>
        <v>0.2039</v>
      </c>
      <c r="H1236" s="151" t="str">
        <f t="shared" si="57"/>
        <v/>
      </c>
      <c r="I1236" s="152" t="str">
        <f t="shared" si="58"/>
        <v/>
      </c>
      <c r="J1236" s="154"/>
      <c r="K1236" s="155" t="s">
        <v>2966</v>
      </c>
    </row>
    <row r="1237" spans="1:11" hidden="1" x14ac:dyDescent="0.25">
      <c r="A1237" s="148" t="s">
        <v>1152</v>
      </c>
      <c r="B1237" s="149" t="s">
        <v>4736</v>
      </c>
      <c r="C1237" s="150" t="s">
        <v>68</v>
      </c>
      <c r="D1237" s="150">
        <v>0</v>
      </c>
      <c r="E1237" s="151">
        <f ca="1">OFFSET(INDEX(Composições!A:H,MATCH(Orçamentária!A1237,Composições!A:A,0),8),2,0)</f>
        <v>17.393550000000001</v>
      </c>
      <c r="F1237" s="152">
        <f t="shared" ca="1" si="59"/>
        <v>0</v>
      </c>
      <c r="G1237" s="153">
        <f>IF($K1237="Padrão",BDI!$B$17,IF($K1237="Diferenciado",BDI!$E$17,0))</f>
        <v>0.2039</v>
      </c>
      <c r="H1237" s="151">
        <f t="shared" ca="1" si="57"/>
        <v>20.94</v>
      </c>
      <c r="I1237" s="152">
        <f t="shared" ca="1" si="58"/>
        <v>0</v>
      </c>
      <c r="J1237" s="154"/>
      <c r="K1237" s="155" t="s">
        <v>2966</v>
      </c>
    </row>
    <row r="1238" spans="1:11" hidden="1" x14ac:dyDescent="0.25">
      <c r="A1238" s="148" t="s">
        <v>1156</v>
      </c>
      <c r="B1238" s="149" t="s">
        <v>4737</v>
      </c>
      <c r="C1238" s="150" t="s">
        <v>68</v>
      </c>
      <c r="D1238" s="150">
        <v>0</v>
      </c>
      <c r="E1238" s="151">
        <f ca="1">OFFSET(INDEX(Composições!A:H,MATCH(Orçamentária!A1238,Composições!A:A,0),8),2,0)</f>
        <v>2.6798550000000003</v>
      </c>
      <c r="F1238" s="152">
        <f t="shared" ca="1" si="59"/>
        <v>0</v>
      </c>
      <c r="G1238" s="153">
        <f>IF($K1238="Padrão",BDI!$B$17,IF($K1238="Diferenciado",BDI!$E$17,0))</f>
        <v>0.2039</v>
      </c>
      <c r="H1238" s="151">
        <f t="shared" ca="1" si="57"/>
        <v>3.23</v>
      </c>
      <c r="I1238" s="152">
        <f t="shared" ca="1" si="58"/>
        <v>0</v>
      </c>
      <c r="J1238" s="154"/>
      <c r="K1238" s="155" t="s">
        <v>2966</v>
      </c>
    </row>
    <row r="1239" spans="1:11" hidden="1" x14ac:dyDescent="0.25">
      <c r="A1239" s="148" t="s">
        <v>1157</v>
      </c>
      <c r="B1239" s="149" t="s">
        <v>4738</v>
      </c>
      <c r="C1239" s="150" t="s">
        <v>18</v>
      </c>
      <c r="D1239" s="150">
        <v>0</v>
      </c>
      <c r="E1239" s="151">
        <f ca="1">OFFSET(INDEX(Composições!A:H,MATCH(Orçamentária!A1239,Composições!A:A,0),8),2,0)</f>
        <v>2.3693000000000004</v>
      </c>
      <c r="F1239" s="152">
        <f t="shared" ca="1" si="59"/>
        <v>0</v>
      </c>
      <c r="G1239" s="153">
        <f>IF($K1239="Padrão",BDI!$B$17,IF($K1239="Diferenciado",BDI!$E$17,0))</f>
        <v>0.2039</v>
      </c>
      <c r="H1239" s="151">
        <f t="shared" ca="1" si="57"/>
        <v>2.85</v>
      </c>
      <c r="I1239" s="152">
        <f t="shared" ca="1" si="58"/>
        <v>0</v>
      </c>
      <c r="J1239" s="154"/>
      <c r="K1239" s="155" t="s">
        <v>2966</v>
      </c>
    </row>
    <row r="1240" spans="1:11" hidden="1" x14ac:dyDescent="0.25">
      <c r="A1240" s="148" t="s">
        <v>1159</v>
      </c>
      <c r="B1240" s="149" t="s">
        <v>4739</v>
      </c>
      <c r="C1240" s="150" t="s">
        <v>18</v>
      </c>
      <c r="D1240" s="150">
        <v>0</v>
      </c>
      <c r="E1240" s="151">
        <f ca="1">OFFSET(INDEX(Composições!A:H,MATCH(Orçamentária!A1240,Composições!A:A,0),8),2,0)</f>
        <v>1053.7593245199998</v>
      </c>
      <c r="F1240" s="152">
        <f t="shared" ca="1" si="59"/>
        <v>0</v>
      </c>
      <c r="G1240" s="153">
        <f>IF($K1240="Padrão",BDI!$B$17,IF($K1240="Diferenciado",BDI!$E$17,0))</f>
        <v>0.2039</v>
      </c>
      <c r="H1240" s="151">
        <f t="shared" ca="1" si="57"/>
        <v>1268.6199999999999</v>
      </c>
      <c r="I1240" s="152">
        <f t="shared" ca="1" si="58"/>
        <v>0</v>
      </c>
      <c r="J1240" s="154"/>
      <c r="K1240" s="155" t="s">
        <v>2966</v>
      </c>
    </row>
    <row r="1241" spans="1:11" hidden="1" x14ac:dyDescent="0.25">
      <c r="A1241" s="148" t="s">
        <v>1160</v>
      </c>
      <c r="B1241" s="149" t="s">
        <v>4740</v>
      </c>
      <c r="C1241" s="150" t="s">
        <v>18</v>
      </c>
      <c r="D1241" s="150">
        <v>0</v>
      </c>
      <c r="E1241" s="151">
        <f ca="1">OFFSET(INDEX(Composições!A:H,MATCH(Orçamentária!A1241,Composições!A:A,0),8),2,0)</f>
        <v>1091.9286053999997</v>
      </c>
      <c r="F1241" s="152">
        <f t="shared" ca="1" si="59"/>
        <v>0</v>
      </c>
      <c r="G1241" s="153">
        <f>IF($K1241="Padrão",BDI!$B$17,IF($K1241="Diferenciado",BDI!$E$17,0))</f>
        <v>0.2039</v>
      </c>
      <c r="H1241" s="151">
        <f t="shared" ca="1" si="57"/>
        <v>1314.57</v>
      </c>
      <c r="I1241" s="152">
        <f t="shared" ca="1" si="58"/>
        <v>0</v>
      </c>
      <c r="J1241" s="154"/>
      <c r="K1241" s="155" t="s">
        <v>2966</v>
      </c>
    </row>
    <row r="1242" spans="1:11" hidden="1" x14ac:dyDescent="0.25">
      <c r="A1242" s="148" t="s">
        <v>4741</v>
      </c>
      <c r="B1242" s="149" t="s">
        <v>4742</v>
      </c>
      <c r="C1242" s="150" t="s">
        <v>18</v>
      </c>
      <c r="D1242" s="150">
        <v>0</v>
      </c>
      <c r="E1242" s="151" t="s">
        <v>13</v>
      </c>
      <c r="F1242" s="152" t="str">
        <f t="shared" si="59"/>
        <v/>
      </c>
      <c r="G1242" s="153">
        <f>IF($K1242="Padrão",BDI!$B$17,IF($K1242="Diferenciado",BDI!$E$17,0))</f>
        <v>0.2039</v>
      </c>
      <c r="H1242" s="151" t="str">
        <f t="shared" si="57"/>
        <v/>
      </c>
      <c r="I1242" s="152" t="str">
        <f t="shared" si="58"/>
        <v/>
      </c>
      <c r="J1242" s="154"/>
      <c r="K1242" s="155" t="s">
        <v>2966</v>
      </c>
    </row>
    <row r="1243" spans="1:11" hidden="1" x14ac:dyDescent="0.25">
      <c r="A1243" s="148" t="s">
        <v>4743</v>
      </c>
      <c r="B1243" s="149" t="s">
        <v>4744</v>
      </c>
      <c r="C1243" s="150" t="s">
        <v>18</v>
      </c>
      <c r="D1243" s="150">
        <v>0</v>
      </c>
      <c r="E1243" s="151" t="s">
        <v>13</v>
      </c>
      <c r="F1243" s="152" t="str">
        <f t="shared" si="59"/>
        <v/>
      </c>
      <c r="G1243" s="153">
        <f>IF($K1243="Padrão",BDI!$B$17,IF($K1243="Diferenciado",BDI!$E$17,0))</f>
        <v>0.2039</v>
      </c>
      <c r="H1243" s="151" t="str">
        <f t="shared" si="57"/>
        <v/>
      </c>
      <c r="I1243" s="152" t="str">
        <f t="shared" si="58"/>
        <v/>
      </c>
      <c r="J1243" s="154"/>
      <c r="K1243" s="155" t="s">
        <v>2966</v>
      </c>
    </row>
    <row r="1244" spans="1:11" hidden="1" x14ac:dyDescent="0.25">
      <c r="A1244" s="148" t="s">
        <v>4745</v>
      </c>
      <c r="B1244" s="149" t="s">
        <v>4746</v>
      </c>
      <c r="C1244" s="150" t="s">
        <v>18</v>
      </c>
      <c r="D1244" s="150">
        <v>0</v>
      </c>
      <c r="E1244" s="151" t="s">
        <v>13</v>
      </c>
      <c r="F1244" s="152" t="str">
        <f t="shared" si="59"/>
        <v/>
      </c>
      <c r="G1244" s="153">
        <f>IF($K1244="Padrão",BDI!$B$17,IF($K1244="Diferenciado",BDI!$E$17,0))</f>
        <v>0.2039</v>
      </c>
      <c r="H1244" s="151" t="str">
        <f t="shared" si="57"/>
        <v/>
      </c>
      <c r="I1244" s="152" t="str">
        <f t="shared" si="58"/>
        <v/>
      </c>
      <c r="J1244" s="154"/>
      <c r="K1244" s="155" t="s">
        <v>2966</v>
      </c>
    </row>
    <row r="1245" spans="1:11" hidden="1" x14ac:dyDescent="0.25">
      <c r="A1245" s="148" t="s">
        <v>1161</v>
      </c>
      <c r="B1245" s="149" t="s">
        <v>4747</v>
      </c>
      <c r="C1245" s="150" t="s">
        <v>18</v>
      </c>
      <c r="D1245" s="150">
        <v>0</v>
      </c>
      <c r="E1245" s="151">
        <f ca="1">OFFSET(INDEX(Composições!A:H,MATCH(Orçamentária!A1245,Composições!A:A,0),8),2,0)</f>
        <v>4.2992249999999999</v>
      </c>
      <c r="F1245" s="152">
        <f t="shared" ca="1" si="59"/>
        <v>0</v>
      </c>
      <c r="G1245" s="153">
        <f>IF($K1245="Padrão",BDI!$B$17,IF($K1245="Diferenciado",BDI!$E$17,0))</f>
        <v>0.2039</v>
      </c>
      <c r="H1245" s="151">
        <f t="shared" ca="1" si="57"/>
        <v>5.18</v>
      </c>
      <c r="I1245" s="152">
        <f t="shared" ca="1" si="58"/>
        <v>0</v>
      </c>
      <c r="J1245" s="154"/>
      <c r="K1245" s="155" t="s">
        <v>2966</v>
      </c>
    </row>
    <row r="1246" spans="1:11" hidden="1" x14ac:dyDescent="0.25">
      <c r="A1246" s="148" t="s">
        <v>1163</v>
      </c>
      <c r="B1246" s="149" t="s">
        <v>4748</v>
      </c>
      <c r="C1246" s="150" t="s">
        <v>18</v>
      </c>
      <c r="D1246" s="150">
        <v>0</v>
      </c>
      <c r="E1246" s="151">
        <f ca="1">OFFSET(INDEX(Composições!A:H,MATCH(Orçamentária!A1246,Composições!A:A,0),8),2,0)</f>
        <v>4.2992249999999999</v>
      </c>
      <c r="F1246" s="152">
        <f t="shared" ca="1" si="59"/>
        <v>0</v>
      </c>
      <c r="G1246" s="153">
        <f>IF($K1246="Padrão",BDI!$B$17,IF($K1246="Diferenciado",BDI!$E$17,0))</f>
        <v>0.2039</v>
      </c>
      <c r="H1246" s="151">
        <f t="shared" ca="1" si="57"/>
        <v>5.18</v>
      </c>
      <c r="I1246" s="152">
        <f t="shared" ca="1" si="58"/>
        <v>0</v>
      </c>
      <c r="J1246" s="154"/>
      <c r="K1246" s="155" t="s">
        <v>2966</v>
      </c>
    </row>
    <row r="1247" spans="1:11" hidden="1" x14ac:dyDescent="0.25">
      <c r="A1247" s="148" t="s">
        <v>1165</v>
      </c>
      <c r="B1247" s="149" t="s">
        <v>4749</v>
      </c>
      <c r="C1247" s="150" t="s">
        <v>18</v>
      </c>
      <c r="D1247" s="150">
        <v>0</v>
      </c>
      <c r="E1247" s="151">
        <f ca="1">OFFSET(INDEX(Composições!A:H,MATCH(Orçamentária!A1247,Composições!A:A,0),8),2,0)</f>
        <v>4.2992249999999999</v>
      </c>
      <c r="F1247" s="152">
        <f t="shared" ca="1" si="59"/>
        <v>0</v>
      </c>
      <c r="G1247" s="153">
        <f>IF($K1247="Padrão",BDI!$B$17,IF($K1247="Diferenciado",BDI!$E$17,0))</f>
        <v>0.2039</v>
      </c>
      <c r="H1247" s="151">
        <f t="shared" ca="1" si="57"/>
        <v>5.18</v>
      </c>
      <c r="I1247" s="152">
        <f t="shared" ca="1" si="58"/>
        <v>0</v>
      </c>
      <c r="J1247" s="154"/>
      <c r="K1247" s="155" t="s">
        <v>2966</v>
      </c>
    </row>
    <row r="1248" spans="1:11" ht="25.5" hidden="1" x14ac:dyDescent="0.25">
      <c r="A1248" s="148" t="s">
        <v>1167</v>
      </c>
      <c r="B1248" s="149" t="s">
        <v>4750</v>
      </c>
      <c r="C1248" s="150" t="s">
        <v>106</v>
      </c>
      <c r="D1248" s="150">
        <v>0</v>
      </c>
      <c r="E1248" s="151">
        <f ca="1">OFFSET(INDEX(Composições!A:H,MATCH(Orçamentária!A1248,Composições!A:A,0),8),2,0)</f>
        <v>10.898551999999999</v>
      </c>
      <c r="F1248" s="152">
        <f t="shared" ca="1" si="59"/>
        <v>0</v>
      </c>
      <c r="G1248" s="153">
        <f>IF($K1248="Padrão",BDI!$B$17,IF($K1248="Diferenciado",BDI!$E$17,0))</f>
        <v>0.2039</v>
      </c>
      <c r="H1248" s="151">
        <f t="shared" ca="1" si="57"/>
        <v>13.12</v>
      </c>
      <c r="I1248" s="152">
        <f t="shared" ca="1" si="58"/>
        <v>0</v>
      </c>
      <c r="J1248" s="154"/>
      <c r="K1248" s="155" t="s">
        <v>2966</v>
      </c>
    </row>
    <row r="1249" spans="1:11" hidden="1" x14ac:dyDescent="0.25">
      <c r="A1249" s="148" t="s">
        <v>1170</v>
      </c>
      <c r="B1249" s="149" t="s">
        <v>4751</v>
      </c>
      <c r="C1249" s="150" t="s">
        <v>106</v>
      </c>
      <c r="D1249" s="150">
        <v>0</v>
      </c>
      <c r="E1249" s="151">
        <f ca="1">OFFSET(INDEX(Composições!A:H,MATCH(Orçamentária!A1249,Composições!A:A,0),8),2,0)</f>
        <v>14.957749999999999</v>
      </c>
      <c r="F1249" s="152">
        <f t="shared" ca="1" si="59"/>
        <v>0</v>
      </c>
      <c r="G1249" s="153">
        <f>IF($K1249="Padrão",BDI!$B$17,IF($K1249="Diferenciado",BDI!$E$17,0))</f>
        <v>0.2039</v>
      </c>
      <c r="H1249" s="151">
        <f t="shared" ca="1" si="57"/>
        <v>18.010000000000002</v>
      </c>
      <c r="I1249" s="152">
        <f t="shared" ca="1" si="58"/>
        <v>0</v>
      </c>
      <c r="J1249" s="154"/>
      <c r="K1249" s="155" t="s">
        <v>2966</v>
      </c>
    </row>
    <row r="1250" spans="1:11" hidden="1" x14ac:dyDescent="0.25">
      <c r="A1250" s="148" t="s">
        <v>1172</v>
      </c>
      <c r="B1250" s="149" t="s">
        <v>4752</v>
      </c>
      <c r="C1250" s="150" t="s">
        <v>106</v>
      </c>
      <c r="D1250" s="150">
        <v>0</v>
      </c>
      <c r="E1250" s="151">
        <f ca="1">OFFSET(INDEX(Composições!A:H,MATCH(Orçamentária!A1250,Composições!A:A,0),8),2,0)</f>
        <v>6.554335</v>
      </c>
      <c r="F1250" s="152">
        <f t="shared" ca="1" si="59"/>
        <v>0</v>
      </c>
      <c r="G1250" s="153">
        <f>IF($K1250="Padrão",BDI!$B$17,IF($K1250="Diferenciado",BDI!$E$17,0))</f>
        <v>0.2039</v>
      </c>
      <c r="H1250" s="151">
        <f t="shared" ca="1" si="57"/>
        <v>7.89</v>
      </c>
      <c r="I1250" s="152">
        <f t="shared" ca="1" si="58"/>
        <v>0</v>
      </c>
      <c r="J1250" s="154"/>
      <c r="K1250" s="155" t="s">
        <v>2966</v>
      </c>
    </row>
    <row r="1251" spans="1:11" hidden="1" x14ac:dyDescent="0.25">
      <c r="A1251" s="148" t="s">
        <v>1174</v>
      </c>
      <c r="B1251" s="149" t="s">
        <v>4753</v>
      </c>
      <c r="C1251" s="150" t="s">
        <v>106</v>
      </c>
      <c r="D1251" s="150">
        <v>0</v>
      </c>
      <c r="E1251" s="151">
        <f ca="1">OFFSET(INDEX(Composições!A:H,MATCH(Orçamentária!A1251,Composições!A:A,0),8),2,0)</f>
        <v>17.126866</v>
      </c>
      <c r="F1251" s="152">
        <f t="shared" ca="1" si="59"/>
        <v>0</v>
      </c>
      <c r="G1251" s="153">
        <f>IF($K1251="Padrão",BDI!$B$17,IF($K1251="Diferenciado",BDI!$E$17,0))</f>
        <v>0.2039</v>
      </c>
      <c r="H1251" s="151">
        <f t="shared" ca="1" si="57"/>
        <v>20.62</v>
      </c>
      <c r="I1251" s="152">
        <f t="shared" ca="1" si="58"/>
        <v>0</v>
      </c>
      <c r="J1251" s="154"/>
      <c r="K1251" s="155" t="s">
        <v>2966</v>
      </c>
    </row>
    <row r="1252" spans="1:11" hidden="1" x14ac:dyDescent="0.25">
      <c r="A1252" s="148" t="s">
        <v>1176</v>
      </c>
      <c r="B1252" s="149" t="s">
        <v>4754</v>
      </c>
      <c r="C1252" s="150" t="s">
        <v>106</v>
      </c>
      <c r="D1252" s="150">
        <v>0</v>
      </c>
      <c r="E1252" s="151">
        <f ca="1">OFFSET(INDEX(Composições!A:H,MATCH(Orçamentária!A1252,Composições!A:A,0),8),2,0)</f>
        <v>19.217967999999999</v>
      </c>
      <c r="F1252" s="152">
        <f t="shared" ca="1" si="59"/>
        <v>0</v>
      </c>
      <c r="G1252" s="153">
        <f>IF($K1252="Padrão",BDI!$B$17,IF($K1252="Diferenciado",BDI!$E$17,0))</f>
        <v>0.2039</v>
      </c>
      <c r="H1252" s="151">
        <f t="shared" ca="1" si="57"/>
        <v>23.14</v>
      </c>
      <c r="I1252" s="152">
        <f t="shared" ca="1" si="58"/>
        <v>0</v>
      </c>
      <c r="J1252" s="154"/>
      <c r="K1252" s="155" t="s">
        <v>2966</v>
      </c>
    </row>
    <row r="1253" spans="1:11" hidden="1" x14ac:dyDescent="0.25">
      <c r="A1253" s="148" t="s">
        <v>1178</v>
      </c>
      <c r="B1253" s="149" t="s">
        <v>4755</v>
      </c>
      <c r="C1253" s="150" t="s">
        <v>106</v>
      </c>
      <c r="D1253" s="150">
        <v>0</v>
      </c>
      <c r="E1253" s="151">
        <f ca="1">OFFSET(INDEX(Composições!A:H,MATCH(Orçamentária!A1253,Composições!A:A,0),8),2,0)</f>
        <v>30.575521999999999</v>
      </c>
      <c r="F1253" s="152">
        <f t="shared" ca="1" si="59"/>
        <v>0</v>
      </c>
      <c r="G1253" s="153">
        <f>IF($K1253="Padrão",BDI!$B$17,IF($K1253="Diferenciado",BDI!$E$17,0))</f>
        <v>0.2039</v>
      </c>
      <c r="H1253" s="151">
        <f t="shared" ca="1" si="57"/>
        <v>36.81</v>
      </c>
      <c r="I1253" s="152">
        <f t="shared" ca="1" si="58"/>
        <v>0</v>
      </c>
      <c r="J1253" s="154"/>
      <c r="K1253" s="155" t="s">
        <v>2966</v>
      </c>
    </row>
    <row r="1254" spans="1:11" hidden="1" x14ac:dyDescent="0.25">
      <c r="A1254" s="148" t="s">
        <v>1180</v>
      </c>
      <c r="B1254" s="149" t="s">
        <v>4756</v>
      </c>
      <c r="C1254" s="150" t="s">
        <v>106</v>
      </c>
      <c r="D1254" s="150">
        <v>0</v>
      </c>
      <c r="E1254" s="151">
        <f ca="1">OFFSET(INDEX(Composições!A:H,MATCH(Orçamentária!A1254,Composições!A:A,0),8),2,0)</f>
        <v>10.037510000000001</v>
      </c>
      <c r="F1254" s="152">
        <f t="shared" ca="1" si="59"/>
        <v>0</v>
      </c>
      <c r="G1254" s="153">
        <f>IF($K1254="Padrão",BDI!$B$17,IF($K1254="Diferenciado",BDI!$E$17,0))</f>
        <v>0.2039</v>
      </c>
      <c r="H1254" s="151">
        <f t="shared" ca="1" si="57"/>
        <v>12.08</v>
      </c>
      <c r="I1254" s="152">
        <f t="shared" ca="1" si="58"/>
        <v>0</v>
      </c>
      <c r="J1254" s="154"/>
      <c r="K1254" s="155" t="s">
        <v>2966</v>
      </c>
    </row>
    <row r="1255" spans="1:11" hidden="1" x14ac:dyDescent="0.25">
      <c r="A1255" s="148" t="s">
        <v>1182</v>
      </c>
      <c r="B1255" s="149" t="s">
        <v>4757</v>
      </c>
      <c r="C1255" s="150" t="s">
        <v>106</v>
      </c>
      <c r="D1255" s="150">
        <v>0</v>
      </c>
      <c r="E1255" s="151">
        <f ca="1">OFFSET(INDEX(Composições!A:H,MATCH(Orçamentária!A1255,Composições!A:A,0),8),2,0)</f>
        <v>10.611537999999999</v>
      </c>
      <c r="F1255" s="152">
        <f t="shared" ca="1" si="59"/>
        <v>0</v>
      </c>
      <c r="G1255" s="153">
        <f>IF($K1255="Padrão",BDI!$B$17,IF($K1255="Diferenciado",BDI!$E$17,0))</f>
        <v>0.2039</v>
      </c>
      <c r="H1255" s="151">
        <f t="shared" ca="1" si="57"/>
        <v>12.78</v>
      </c>
      <c r="I1255" s="152">
        <f t="shared" ca="1" si="58"/>
        <v>0</v>
      </c>
      <c r="J1255" s="154"/>
      <c r="K1255" s="155" t="s">
        <v>2966</v>
      </c>
    </row>
    <row r="1256" spans="1:11" hidden="1" x14ac:dyDescent="0.25">
      <c r="A1256" s="148" t="s">
        <v>1184</v>
      </c>
      <c r="B1256" s="149" t="s">
        <v>4758</v>
      </c>
      <c r="C1256" s="150" t="s">
        <v>18</v>
      </c>
      <c r="D1256" s="150">
        <v>0</v>
      </c>
      <c r="E1256" s="151">
        <f ca="1">OFFSET(INDEX(Composições!A:H,MATCH(Orçamentária!A1256,Composições!A:A,0),8),2,0)</f>
        <v>84.426995899999994</v>
      </c>
      <c r="F1256" s="152">
        <f t="shared" ca="1" si="59"/>
        <v>0</v>
      </c>
      <c r="G1256" s="153">
        <f>IF($K1256="Padrão",BDI!$B$17,IF($K1256="Diferenciado",BDI!$E$17,0))</f>
        <v>0.2039</v>
      </c>
      <c r="H1256" s="151">
        <f t="shared" ca="1" si="57"/>
        <v>101.64</v>
      </c>
      <c r="I1256" s="152">
        <f t="shared" ca="1" si="58"/>
        <v>0</v>
      </c>
      <c r="J1256" s="154"/>
      <c r="K1256" s="155" t="s">
        <v>2966</v>
      </c>
    </row>
    <row r="1257" spans="1:11" hidden="1" x14ac:dyDescent="0.25">
      <c r="A1257" s="148" t="s">
        <v>1186</v>
      </c>
      <c r="B1257" s="149" t="s">
        <v>4759</v>
      </c>
      <c r="C1257" s="150" t="s">
        <v>18</v>
      </c>
      <c r="D1257" s="150">
        <v>0</v>
      </c>
      <c r="E1257" s="151">
        <f ca="1">OFFSET(INDEX(Composições!A:H,MATCH(Orçamentária!A1257,Composições!A:A,0),8),2,0)</f>
        <v>84.426995899999994</v>
      </c>
      <c r="F1257" s="152">
        <f t="shared" ca="1" si="59"/>
        <v>0</v>
      </c>
      <c r="G1257" s="153">
        <f>IF($K1257="Padrão",BDI!$B$17,IF($K1257="Diferenciado",BDI!$E$17,0))</f>
        <v>0.2039</v>
      </c>
      <c r="H1257" s="151">
        <f t="shared" ca="1" si="57"/>
        <v>101.64</v>
      </c>
      <c r="I1257" s="152">
        <f t="shared" ca="1" si="58"/>
        <v>0</v>
      </c>
      <c r="J1257" s="154"/>
      <c r="K1257" s="155" t="s">
        <v>2966</v>
      </c>
    </row>
    <row r="1258" spans="1:11" hidden="1" x14ac:dyDescent="0.25">
      <c r="A1258" s="148" t="s">
        <v>4760</v>
      </c>
      <c r="B1258" s="149" t="s">
        <v>4761</v>
      </c>
      <c r="C1258" s="150" t="s">
        <v>68</v>
      </c>
      <c r="D1258" s="150">
        <v>0</v>
      </c>
      <c r="E1258" s="151" t="s">
        <v>13</v>
      </c>
      <c r="F1258" s="152" t="str">
        <f t="shared" si="59"/>
        <v/>
      </c>
      <c r="G1258" s="153">
        <f>IF($K1258="Padrão",BDI!$B$17,IF($K1258="Diferenciado",BDI!$E$17,0))</f>
        <v>0.2039</v>
      </c>
      <c r="H1258" s="151" t="str">
        <f t="shared" si="57"/>
        <v/>
      </c>
      <c r="I1258" s="152" t="str">
        <f t="shared" si="58"/>
        <v/>
      </c>
      <c r="J1258" s="154"/>
      <c r="K1258" s="155" t="s">
        <v>2966</v>
      </c>
    </row>
    <row r="1259" spans="1:11" hidden="1" x14ac:dyDescent="0.25">
      <c r="A1259" s="148" t="s">
        <v>4762</v>
      </c>
      <c r="B1259" s="149" t="s">
        <v>4763</v>
      </c>
      <c r="C1259" s="150" t="s">
        <v>68</v>
      </c>
      <c r="D1259" s="150">
        <v>0</v>
      </c>
      <c r="E1259" s="151" t="s">
        <v>13</v>
      </c>
      <c r="F1259" s="152" t="str">
        <f t="shared" si="59"/>
        <v/>
      </c>
      <c r="G1259" s="153">
        <f>IF($K1259="Padrão",BDI!$B$17,IF($K1259="Diferenciado",BDI!$E$17,0))</f>
        <v>0.2039</v>
      </c>
      <c r="H1259" s="151" t="str">
        <f t="shared" si="57"/>
        <v/>
      </c>
      <c r="I1259" s="152" t="str">
        <f t="shared" si="58"/>
        <v/>
      </c>
      <c r="J1259" s="154"/>
      <c r="K1259" s="155" t="s">
        <v>2966</v>
      </c>
    </row>
    <row r="1260" spans="1:11" hidden="1" x14ac:dyDescent="0.25">
      <c r="A1260" s="148" t="s">
        <v>1188</v>
      </c>
      <c r="B1260" s="149" t="s">
        <v>4764</v>
      </c>
      <c r="C1260" s="150" t="s">
        <v>18</v>
      </c>
      <c r="D1260" s="150">
        <v>0</v>
      </c>
      <c r="E1260" s="151">
        <f ca="1">OFFSET(INDEX(Composições!A:H,MATCH(Orçamentária!A1260,Composições!A:A,0),8),2,0)</f>
        <v>16.980100499999999</v>
      </c>
      <c r="F1260" s="152">
        <f t="shared" ca="1" si="59"/>
        <v>0</v>
      </c>
      <c r="G1260" s="153">
        <f>IF($K1260="Padrão",BDI!$B$17,IF($K1260="Diferenciado",BDI!$E$17,0))</f>
        <v>0.2039</v>
      </c>
      <c r="H1260" s="151">
        <f t="shared" ca="1" si="57"/>
        <v>20.440000000000001</v>
      </c>
      <c r="I1260" s="152">
        <f t="shared" ca="1" si="58"/>
        <v>0</v>
      </c>
      <c r="J1260" s="154"/>
      <c r="K1260" s="155" t="s">
        <v>2966</v>
      </c>
    </row>
    <row r="1261" spans="1:11" hidden="1" x14ac:dyDescent="0.25">
      <c r="A1261" s="148" t="s">
        <v>1190</v>
      </c>
      <c r="B1261" s="149" t="s">
        <v>4765</v>
      </c>
      <c r="C1261" s="150" t="s">
        <v>18</v>
      </c>
      <c r="D1261" s="150">
        <v>0</v>
      </c>
      <c r="E1261" s="151">
        <f ca="1">OFFSET(INDEX(Composições!A:H,MATCH(Orçamentária!A1261,Composições!A:A,0),8),2,0)</f>
        <v>17.6934726</v>
      </c>
      <c r="F1261" s="152">
        <f t="shared" ca="1" si="59"/>
        <v>0</v>
      </c>
      <c r="G1261" s="153">
        <f>IF($K1261="Padrão",BDI!$B$17,IF($K1261="Diferenciado",BDI!$E$17,0))</f>
        <v>0.2039</v>
      </c>
      <c r="H1261" s="151">
        <f t="shared" ca="1" si="57"/>
        <v>21.3</v>
      </c>
      <c r="I1261" s="152">
        <f t="shared" ca="1" si="58"/>
        <v>0</v>
      </c>
      <c r="J1261" s="154"/>
      <c r="K1261" s="155" t="s">
        <v>2966</v>
      </c>
    </row>
    <row r="1262" spans="1:11" hidden="1" x14ac:dyDescent="0.25">
      <c r="A1262" s="148" t="s">
        <v>1192</v>
      </c>
      <c r="B1262" s="149" t="s">
        <v>4766</v>
      </c>
      <c r="C1262" s="150" t="s">
        <v>18</v>
      </c>
      <c r="D1262" s="150">
        <v>0</v>
      </c>
      <c r="E1262" s="151">
        <f ca="1">OFFSET(INDEX(Composições!A:H,MATCH(Orçamentária!A1262,Composições!A:A,0),8),2,0)</f>
        <v>8.7392893999999988</v>
      </c>
      <c r="F1262" s="152">
        <f t="shared" ca="1" si="59"/>
        <v>0</v>
      </c>
      <c r="G1262" s="153">
        <f>IF($K1262="Padrão",BDI!$B$17,IF($K1262="Diferenciado",BDI!$E$17,0))</f>
        <v>0.2039</v>
      </c>
      <c r="H1262" s="151">
        <f t="shared" ca="1" si="57"/>
        <v>10.52</v>
      </c>
      <c r="I1262" s="152">
        <f t="shared" ca="1" si="58"/>
        <v>0</v>
      </c>
      <c r="J1262" s="154"/>
      <c r="K1262" s="155" t="s">
        <v>2966</v>
      </c>
    </row>
    <row r="1263" spans="1:11" hidden="1" x14ac:dyDescent="0.25">
      <c r="A1263" s="148" t="s">
        <v>1194</v>
      </c>
      <c r="B1263" s="149" t="s">
        <v>4767</v>
      </c>
      <c r="C1263" s="150" t="s">
        <v>18</v>
      </c>
      <c r="D1263" s="150">
        <v>0</v>
      </c>
      <c r="E1263" s="151">
        <f ca="1">OFFSET(INDEX(Composições!A:H,MATCH(Orçamentária!A1263,Composições!A:A,0),8),2,0)</f>
        <v>17.6934726</v>
      </c>
      <c r="F1263" s="152">
        <f t="shared" ca="1" si="59"/>
        <v>0</v>
      </c>
      <c r="G1263" s="153">
        <f>IF($K1263="Padrão",BDI!$B$17,IF($K1263="Diferenciado",BDI!$E$17,0))</f>
        <v>0.2039</v>
      </c>
      <c r="H1263" s="151">
        <f t="shared" ca="1" si="57"/>
        <v>21.3</v>
      </c>
      <c r="I1263" s="152">
        <f t="shared" ca="1" si="58"/>
        <v>0</v>
      </c>
      <c r="J1263" s="154"/>
      <c r="K1263" s="155" t="s">
        <v>2966</v>
      </c>
    </row>
    <row r="1264" spans="1:11" hidden="1" x14ac:dyDescent="0.25">
      <c r="A1264" s="148" t="s">
        <v>1196</v>
      </c>
      <c r="B1264" s="149" t="s">
        <v>4768</v>
      </c>
      <c r="C1264" s="150" t="s">
        <v>18</v>
      </c>
      <c r="D1264" s="150">
        <v>0</v>
      </c>
      <c r="E1264" s="151">
        <f ca="1">OFFSET(INDEX(Composições!A:H,MATCH(Orçamentária!A1264,Composições!A:A,0),8),2,0)</f>
        <v>8.7392893999999988</v>
      </c>
      <c r="F1264" s="152">
        <f t="shared" ca="1" si="59"/>
        <v>0</v>
      </c>
      <c r="G1264" s="153">
        <f>IF($K1264="Padrão",BDI!$B$17,IF($K1264="Diferenciado",BDI!$E$17,0))</f>
        <v>0.2039</v>
      </c>
      <c r="H1264" s="151">
        <f t="shared" ca="1" si="57"/>
        <v>10.52</v>
      </c>
      <c r="I1264" s="152">
        <f t="shared" ca="1" si="58"/>
        <v>0</v>
      </c>
      <c r="J1264" s="154"/>
      <c r="K1264" s="155" t="s">
        <v>2966</v>
      </c>
    </row>
    <row r="1265" spans="1:11" hidden="1" x14ac:dyDescent="0.25">
      <c r="A1265" s="148" t="s">
        <v>1198</v>
      </c>
      <c r="B1265" s="149" t="s">
        <v>4769</v>
      </c>
      <c r="C1265" s="150" t="s">
        <v>18</v>
      </c>
      <c r="D1265" s="150">
        <v>0</v>
      </c>
      <c r="E1265" s="151">
        <f ca="1">OFFSET(INDEX(Composições!A:H,MATCH(Orçamentária!A1265,Composições!A:A,0),8),2,0)</f>
        <v>8.5984499999999997</v>
      </c>
      <c r="F1265" s="152">
        <f t="shared" ca="1" si="59"/>
        <v>0</v>
      </c>
      <c r="G1265" s="153">
        <f>IF($K1265="Padrão",BDI!$B$17,IF($K1265="Diferenciado",BDI!$E$17,0))</f>
        <v>0.2039</v>
      </c>
      <c r="H1265" s="151">
        <f t="shared" ca="1" si="57"/>
        <v>10.35</v>
      </c>
      <c r="I1265" s="152">
        <f t="shared" ca="1" si="58"/>
        <v>0</v>
      </c>
      <c r="J1265" s="154"/>
      <c r="K1265" s="155" t="s">
        <v>2966</v>
      </c>
    </row>
    <row r="1266" spans="1:11" hidden="1" x14ac:dyDescent="0.25">
      <c r="A1266" s="148" t="s">
        <v>1200</v>
      </c>
      <c r="B1266" s="149" t="s">
        <v>4770</v>
      </c>
      <c r="C1266" s="150" t="s">
        <v>18</v>
      </c>
      <c r="D1266" s="150">
        <v>0</v>
      </c>
      <c r="E1266" s="151">
        <f ca="1">OFFSET(INDEX(Composições!A:H,MATCH(Orçamentária!A1266,Composições!A:A,0),8),2,0)</f>
        <v>15.041333137500001</v>
      </c>
      <c r="F1266" s="152">
        <f t="shared" ca="1" si="59"/>
        <v>0</v>
      </c>
      <c r="G1266" s="153">
        <f>IF($K1266="Padrão",BDI!$B$17,IF($K1266="Diferenciado",BDI!$E$17,0))</f>
        <v>0.2039</v>
      </c>
      <c r="H1266" s="151">
        <f t="shared" ca="1" si="57"/>
        <v>18.11</v>
      </c>
      <c r="I1266" s="152">
        <f t="shared" ca="1" si="58"/>
        <v>0</v>
      </c>
      <c r="J1266" s="154"/>
      <c r="K1266" s="155" t="s">
        <v>2966</v>
      </c>
    </row>
    <row r="1267" spans="1:11" hidden="1" x14ac:dyDescent="0.25">
      <c r="A1267" s="148" t="s">
        <v>1203</v>
      </c>
      <c r="B1267" s="149" t="s">
        <v>4771</v>
      </c>
      <c r="C1267" s="150" t="s">
        <v>18</v>
      </c>
      <c r="D1267" s="150">
        <v>0</v>
      </c>
      <c r="E1267" s="151">
        <f ca="1">OFFSET(INDEX(Composições!A:H,MATCH(Orçamentária!A1267,Composições!A:A,0),8),2,0)</f>
        <v>47.5855836</v>
      </c>
      <c r="F1267" s="152">
        <f t="shared" ca="1" si="59"/>
        <v>0</v>
      </c>
      <c r="G1267" s="153">
        <f>IF($K1267="Padrão",BDI!$B$17,IF($K1267="Diferenciado",BDI!$E$17,0))</f>
        <v>0.2039</v>
      </c>
      <c r="H1267" s="151">
        <f t="shared" ca="1" si="57"/>
        <v>57.29</v>
      </c>
      <c r="I1267" s="152">
        <f t="shared" ca="1" si="58"/>
        <v>0</v>
      </c>
      <c r="J1267" s="154"/>
      <c r="K1267" s="155" t="s">
        <v>2966</v>
      </c>
    </row>
    <row r="1268" spans="1:11" hidden="1" x14ac:dyDescent="0.25">
      <c r="A1268" s="148" t="s">
        <v>1204</v>
      </c>
      <c r="B1268" s="149" t="s">
        <v>4772</v>
      </c>
      <c r="C1268" s="150" t="s">
        <v>18</v>
      </c>
      <c r="D1268" s="150">
        <v>0</v>
      </c>
      <c r="E1268" s="151">
        <f ca="1">OFFSET(INDEX(Composições!A:H,MATCH(Orçamentária!A1268,Composições!A:A,0),8),2,0)</f>
        <v>40.502761700000001</v>
      </c>
      <c r="F1268" s="152">
        <f t="shared" ca="1" si="59"/>
        <v>0</v>
      </c>
      <c r="G1268" s="153">
        <f>IF($K1268="Padrão",BDI!$B$17,IF($K1268="Diferenciado",BDI!$E$17,0))</f>
        <v>0.2039</v>
      </c>
      <c r="H1268" s="151">
        <f t="shared" ca="1" si="57"/>
        <v>48.76</v>
      </c>
      <c r="I1268" s="152">
        <f t="shared" ca="1" si="58"/>
        <v>0</v>
      </c>
      <c r="J1268" s="154"/>
      <c r="K1268" s="155" t="s">
        <v>2966</v>
      </c>
    </row>
    <row r="1269" spans="1:11" hidden="1" x14ac:dyDescent="0.25">
      <c r="A1269" s="148" t="s">
        <v>1206</v>
      </c>
      <c r="B1269" s="149" t="s">
        <v>4773</v>
      </c>
      <c r="C1269" s="150" t="s">
        <v>18</v>
      </c>
      <c r="D1269" s="150">
        <v>0</v>
      </c>
      <c r="E1269" s="151">
        <f ca="1">OFFSET(INDEX(Composições!A:H,MATCH(Orçamentária!A1269,Composições!A:A,0),8),2,0)</f>
        <v>40.502761700000001</v>
      </c>
      <c r="F1269" s="152">
        <f t="shared" ca="1" si="59"/>
        <v>0</v>
      </c>
      <c r="G1269" s="153">
        <f>IF($K1269="Padrão",BDI!$B$17,IF($K1269="Diferenciado",BDI!$E$17,0))</f>
        <v>0.2039</v>
      </c>
      <c r="H1269" s="151">
        <f t="shared" ca="1" si="57"/>
        <v>48.76</v>
      </c>
      <c r="I1269" s="152">
        <f t="shared" ca="1" si="58"/>
        <v>0</v>
      </c>
      <c r="J1269" s="154"/>
      <c r="K1269" s="155" t="s">
        <v>2966</v>
      </c>
    </row>
    <row r="1270" spans="1:11" hidden="1" x14ac:dyDescent="0.25">
      <c r="A1270" s="148" t="s">
        <v>1208</v>
      </c>
      <c r="B1270" s="149" t="s">
        <v>4774</v>
      </c>
      <c r="C1270" s="150" t="s">
        <v>18</v>
      </c>
      <c r="D1270" s="150">
        <v>0</v>
      </c>
      <c r="E1270" s="151">
        <f ca="1">OFFSET(INDEX(Composições!A:H,MATCH(Orçamentária!A1270,Composições!A:A,0),8),2,0)</f>
        <v>18.302699999999998</v>
      </c>
      <c r="F1270" s="152">
        <f t="shared" ca="1" si="59"/>
        <v>0</v>
      </c>
      <c r="G1270" s="153">
        <f>IF($K1270="Padrão",BDI!$B$17,IF($K1270="Diferenciado",BDI!$E$17,0))</f>
        <v>0.2039</v>
      </c>
      <c r="H1270" s="151">
        <f t="shared" ca="1" si="57"/>
        <v>22.03</v>
      </c>
      <c r="I1270" s="152">
        <f t="shared" ca="1" si="58"/>
        <v>0</v>
      </c>
      <c r="J1270" s="154"/>
      <c r="K1270" s="155" t="s">
        <v>2966</v>
      </c>
    </row>
    <row r="1271" spans="1:11" hidden="1" x14ac:dyDescent="0.25">
      <c r="A1271" s="148" t="s">
        <v>1209</v>
      </c>
      <c r="B1271" s="149" t="s">
        <v>4775</v>
      </c>
      <c r="C1271" s="150" t="s">
        <v>18</v>
      </c>
      <c r="D1271" s="150">
        <v>0</v>
      </c>
      <c r="E1271" s="151">
        <f ca="1">OFFSET(INDEX(Composições!A:H,MATCH(Orçamentária!A1271,Composições!A:A,0),8),2,0)</f>
        <v>292.61998800000003</v>
      </c>
      <c r="F1271" s="152">
        <f t="shared" ca="1" si="59"/>
        <v>0</v>
      </c>
      <c r="G1271" s="153">
        <f>IF($K1271="Padrão",BDI!$B$17,IF($K1271="Diferenciado",BDI!$E$17,0))</f>
        <v>0.2039</v>
      </c>
      <c r="H1271" s="151">
        <f t="shared" ca="1" si="57"/>
        <v>352.29</v>
      </c>
      <c r="I1271" s="152">
        <f t="shared" ca="1" si="58"/>
        <v>0</v>
      </c>
      <c r="J1271" s="154"/>
      <c r="K1271" s="155" t="s">
        <v>2966</v>
      </c>
    </row>
    <row r="1272" spans="1:11" hidden="1" x14ac:dyDescent="0.25">
      <c r="A1272" s="148" t="s">
        <v>1210</v>
      </c>
      <c r="B1272" s="149" t="s">
        <v>4776</v>
      </c>
      <c r="C1272" s="150" t="s">
        <v>18</v>
      </c>
      <c r="D1272" s="150">
        <v>0</v>
      </c>
      <c r="E1272" s="151">
        <f ca="1">OFFSET(INDEX(Composições!A:H,MATCH(Orçamentária!A1272,Composições!A:A,0),8),2,0)</f>
        <v>318.74787599999996</v>
      </c>
      <c r="F1272" s="152">
        <f t="shared" ca="1" si="59"/>
        <v>0</v>
      </c>
      <c r="G1272" s="153">
        <f>IF($K1272="Padrão",BDI!$B$17,IF($K1272="Diferenciado",BDI!$E$17,0))</f>
        <v>0.2039</v>
      </c>
      <c r="H1272" s="151">
        <f t="shared" ca="1" si="57"/>
        <v>383.74</v>
      </c>
      <c r="I1272" s="152">
        <f t="shared" ca="1" si="58"/>
        <v>0</v>
      </c>
      <c r="J1272" s="154"/>
      <c r="K1272" s="155" t="s">
        <v>2966</v>
      </c>
    </row>
    <row r="1273" spans="1:11" hidden="1" x14ac:dyDescent="0.25">
      <c r="A1273" s="148" t="s">
        <v>1211</v>
      </c>
      <c r="B1273" s="149" t="s">
        <v>4777</v>
      </c>
      <c r="C1273" s="150" t="s">
        <v>18</v>
      </c>
      <c r="D1273" s="150">
        <v>0</v>
      </c>
      <c r="E1273" s="151">
        <f ca="1">OFFSET(INDEX(Composições!A:H,MATCH(Orçamentária!A1273,Composições!A:A,0),8),2,0)</f>
        <v>358.31826399999994</v>
      </c>
      <c r="F1273" s="152">
        <f t="shared" ca="1" si="59"/>
        <v>0</v>
      </c>
      <c r="G1273" s="153">
        <f>IF($K1273="Padrão",BDI!$B$17,IF($K1273="Diferenciado",BDI!$E$17,0))</f>
        <v>0.2039</v>
      </c>
      <c r="H1273" s="151">
        <f t="shared" ca="1" si="57"/>
        <v>431.38</v>
      </c>
      <c r="I1273" s="152">
        <f t="shared" ca="1" si="58"/>
        <v>0</v>
      </c>
      <c r="J1273" s="154"/>
      <c r="K1273" s="155" t="s">
        <v>2966</v>
      </c>
    </row>
    <row r="1274" spans="1:11" hidden="1" x14ac:dyDescent="0.25">
      <c r="A1274" s="148" t="s">
        <v>1212</v>
      </c>
      <c r="B1274" s="149" t="s">
        <v>4778</v>
      </c>
      <c r="C1274" s="150" t="s">
        <v>18</v>
      </c>
      <c r="D1274" s="150">
        <v>0</v>
      </c>
      <c r="E1274" s="151">
        <f ca="1">OFFSET(INDEX(Composições!A:H,MATCH(Orçamentária!A1274,Composições!A:A,0),8),2,0)</f>
        <v>398.80065199999996</v>
      </c>
      <c r="F1274" s="152">
        <f t="shared" ca="1" si="59"/>
        <v>0</v>
      </c>
      <c r="G1274" s="153">
        <f>IF($K1274="Padrão",BDI!$B$17,IF($K1274="Diferenciado",BDI!$E$17,0))</f>
        <v>0.2039</v>
      </c>
      <c r="H1274" s="151">
        <f t="shared" ca="1" si="57"/>
        <v>480.12</v>
      </c>
      <c r="I1274" s="152">
        <f t="shared" ca="1" si="58"/>
        <v>0</v>
      </c>
      <c r="J1274" s="154"/>
      <c r="K1274" s="155" t="s">
        <v>2966</v>
      </c>
    </row>
    <row r="1275" spans="1:11" hidden="1" x14ac:dyDescent="0.25">
      <c r="A1275" s="148" t="s">
        <v>1213</v>
      </c>
      <c r="B1275" s="149" t="s">
        <v>4779</v>
      </c>
      <c r="C1275" s="150" t="s">
        <v>18</v>
      </c>
      <c r="D1275" s="150">
        <v>0</v>
      </c>
      <c r="E1275" s="151">
        <f ca="1">OFFSET(INDEX(Composições!A:H,MATCH(Orçamentária!A1275,Composições!A:A,0),8),2,0)</f>
        <v>99.060299999999984</v>
      </c>
      <c r="F1275" s="152">
        <f t="shared" ca="1" si="59"/>
        <v>0</v>
      </c>
      <c r="G1275" s="153">
        <f>IF($K1275="Padrão",BDI!$B$17,IF($K1275="Diferenciado",BDI!$E$17,0))</f>
        <v>0.2039</v>
      </c>
      <c r="H1275" s="151">
        <f t="shared" ca="1" si="57"/>
        <v>119.26</v>
      </c>
      <c r="I1275" s="152">
        <f t="shared" ca="1" si="58"/>
        <v>0</v>
      </c>
      <c r="J1275" s="154"/>
      <c r="K1275" s="155" t="s">
        <v>2966</v>
      </c>
    </row>
    <row r="1276" spans="1:11" hidden="1" x14ac:dyDescent="0.25">
      <c r="A1276" s="148" t="s">
        <v>1214</v>
      </c>
      <c r="B1276" s="149" t="s">
        <v>4780</v>
      </c>
      <c r="C1276" s="150" t="s">
        <v>68</v>
      </c>
      <c r="D1276" s="150">
        <v>0</v>
      </c>
      <c r="E1276" s="151">
        <f ca="1">OFFSET(INDEX(Composições!A:H,MATCH(Orçamentária!A1276,Composições!A:A,0),8),2,0)</f>
        <v>32.75562</v>
      </c>
      <c r="F1276" s="152">
        <f t="shared" ca="1" si="59"/>
        <v>0</v>
      </c>
      <c r="G1276" s="153">
        <f>IF($K1276="Padrão",BDI!$B$17,IF($K1276="Diferenciado",BDI!$E$17,0))</f>
        <v>0.2039</v>
      </c>
      <c r="H1276" s="151">
        <f t="shared" ca="1" si="57"/>
        <v>39.43</v>
      </c>
      <c r="I1276" s="152">
        <f t="shared" ca="1" si="58"/>
        <v>0</v>
      </c>
      <c r="J1276" s="154"/>
      <c r="K1276" s="155" t="s">
        <v>2966</v>
      </c>
    </row>
    <row r="1277" spans="1:11" hidden="1" x14ac:dyDescent="0.25">
      <c r="A1277" s="148" t="s">
        <v>1215</v>
      </c>
      <c r="B1277" s="149" t="s">
        <v>4781</v>
      </c>
      <c r="C1277" s="150" t="s">
        <v>68</v>
      </c>
      <c r="D1277" s="150">
        <v>0</v>
      </c>
      <c r="E1277" s="151">
        <f ca="1">OFFSET(INDEX(Composições!A:H,MATCH(Orçamentária!A1277,Composições!A:A,0),8),2,0)</f>
        <v>37.089721400000002</v>
      </c>
      <c r="F1277" s="152">
        <f t="shared" ca="1" si="59"/>
        <v>0</v>
      </c>
      <c r="G1277" s="153">
        <f>IF($K1277="Padrão",BDI!$B$17,IF($K1277="Diferenciado",BDI!$E$17,0))</f>
        <v>0.2039</v>
      </c>
      <c r="H1277" s="151">
        <f t="shared" ca="1" si="57"/>
        <v>44.65</v>
      </c>
      <c r="I1277" s="152">
        <f t="shared" ca="1" si="58"/>
        <v>0</v>
      </c>
      <c r="J1277" s="154"/>
      <c r="K1277" s="155" t="s">
        <v>2966</v>
      </c>
    </row>
    <row r="1278" spans="1:11" hidden="1" x14ac:dyDescent="0.25">
      <c r="A1278" s="148" t="s">
        <v>1217</v>
      </c>
      <c r="B1278" s="149" t="s">
        <v>4782</v>
      </c>
      <c r="C1278" s="150" t="s">
        <v>68</v>
      </c>
      <c r="D1278" s="150">
        <v>0</v>
      </c>
      <c r="E1278" s="151">
        <f ca="1">OFFSET(INDEX(Composições!A:H,MATCH(Orçamentária!A1278,Composições!A:A,0),8),2,0)</f>
        <v>49.804815899999994</v>
      </c>
      <c r="F1278" s="152">
        <f t="shared" ca="1" si="59"/>
        <v>0</v>
      </c>
      <c r="G1278" s="153">
        <f>IF($K1278="Padrão",BDI!$B$17,IF($K1278="Diferenciado",BDI!$E$17,0))</f>
        <v>0.2039</v>
      </c>
      <c r="H1278" s="151">
        <f t="shared" ca="1" si="57"/>
        <v>59.96</v>
      </c>
      <c r="I1278" s="152">
        <f t="shared" ca="1" si="58"/>
        <v>0</v>
      </c>
      <c r="J1278" s="154"/>
      <c r="K1278" s="155" t="s">
        <v>2966</v>
      </c>
    </row>
    <row r="1279" spans="1:11" hidden="1" x14ac:dyDescent="0.25">
      <c r="A1279" s="148" t="s">
        <v>4783</v>
      </c>
      <c r="B1279" s="149" t="s">
        <v>4784</v>
      </c>
      <c r="C1279" s="150" t="s">
        <v>106</v>
      </c>
      <c r="D1279" s="150">
        <v>0</v>
      </c>
      <c r="E1279" s="151" t="s">
        <v>13</v>
      </c>
      <c r="F1279" s="152" t="str">
        <f t="shared" si="59"/>
        <v/>
      </c>
      <c r="G1279" s="153">
        <f>IF($K1279="Padrão",BDI!$B$17,IF($K1279="Diferenciado",BDI!$E$17,0))</f>
        <v>0.2039</v>
      </c>
      <c r="H1279" s="151" t="str">
        <f t="shared" si="57"/>
        <v/>
      </c>
      <c r="I1279" s="152" t="str">
        <f t="shared" si="58"/>
        <v/>
      </c>
      <c r="J1279" s="154"/>
      <c r="K1279" s="155" t="s">
        <v>2966</v>
      </c>
    </row>
    <row r="1280" spans="1:11" hidden="1" x14ac:dyDescent="0.25">
      <c r="A1280" s="148" t="s">
        <v>4785</v>
      </c>
      <c r="B1280" s="149" t="s">
        <v>4786</v>
      </c>
      <c r="C1280" s="150" t="s">
        <v>106</v>
      </c>
      <c r="D1280" s="150">
        <v>0</v>
      </c>
      <c r="E1280" s="151" t="s">
        <v>13</v>
      </c>
      <c r="F1280" s="152" t="str">
        <f t="shared" si="59"/>
        <v/>
      </c>
      <c r="G1280" s="153">
        <f>IF($K1280="Padrão",BDI!$B$17,IF($K1280="Diferenciado",BDI!$E$17,0))</f>
        <v>0.2039</v>
      </c>
      <c r="H1280" s="151" t="str">
        <f t="shared" si="57"/>
        <v/>
      </c>
      <c r="I1280" s="152" t="str">
        <f t="shared" si="58"/>
        <v/>
      </c>
      <c r="J1280" s="154"/>
      <c r="K1280" s="155" t="s">
        <v>2966</v>
      </c>
    </row>
    <row r="1281" spans="1:11" hidden="1" x14ac:dyDescent="0.25">
      <c r="A1281" s="148" t="s">
        <v>4787</v>
      </c>
      <c r="B1281" s="149" t="s">
        <v>4788</v>
      </c>
      <c r="C1281" s="150" t="s">
        <v>106</v>
      </c>
      <c r="D1281" s="150">
        <v>0</v>
      </c>
      <c r="E1281" s="151" t="s">
        <v>13</v>
      </c>
      <c r="F1281" s="152" t="str">
        <f t="shared" si="59"/>
        <v/>
      </c>
      <c r="G1281" s="153">
        <f>IF($K1281="Padrão",BDI!$B$17,IF($K1281="Diferenciado",BDI!$E$17,0))</f>
        <v>0.2039</v>
      </c>
      <c r="H1281" s="151" t="str">
        <f t="shared" si="57"/>
        <v/>
      </c>
      <c r="I1281" s="152" t="str">
        <f t="shared" si="58"/>
        <v/>
      </c>
      <c r="J1281" s="154"/>
      <c r="K1281" s="155" t="s">
        <v>2966</v>
      </c>
    </row>
    <row r="1282" spans="1:11" hidden="1" x14ac:dyDescent="0.25">
      <c r="A1282" s="148" t="s">
        <v>4789</v>
      </c>
      <c r="B1282" s="149" t="s">
        <v>4790</v>
      </c>
      <c r="C1282" s="150" t="s">
        <v>106</v>
      </c>
      <c r="D1282" s="150">
        <v>0</v>
      </c>
      <c r="E1282" s="151" t="s">
        <v>13</v>
      </c>
      <c r="F1282" s="152" t="str">
        <f t="shared" si="59"/>
        <v/>
      </c>
      <c r="G1282" s="153">
        <f>IF($K1282="Padrão",BDI!$B$17,IF($K1282="Diferenciado",BDI!$E$17,0))</f>
        <v>0.2039</v>
      </c>
      <c r="H1282" s="151" t="str">
        <f t="shared" si="57"/>
        <v/>
      </c>
      <c r="I1282" s="152" t="str">
        <f t="shared" si="58"/>
        <v/>
      </c>
      <c r="J1282" s="154"/>
      <c r="K1282" s="155" t="s">
        <v>2966</v>
      </c>
    </row>
    <row r="1283" spans="1:11" hidden="1" x14ac:dyDescent="0.25">
      <c r="A1283" s="148" t="s">
        <v>1218</v>
      </c>
      <c r="B1283" s="149" t="s">
        <v>4791</v>
      </c>
      <c r="C1283" s="150" t="s">
        <v>106</v>
      </c>
      <c r="D1283" s="150">
        <v>0</v>
      </c>
      <c r="E1283" s="151">
        <f ca="1">OFFSET(INDEX(Composições!A:H,MATCH(Orçamentária!A1283,Composições!A:A,0),8),2,0)</f>
        <v>12.179</v>
      </c>
      <c r="F1283" s="152">
        <f t="shared" ca="1" si="59"/>
        <v>0</v>
      </c>
      <c r="G1283" s="153">
        <f>IF($K1283="Padrão",BDI!$B$17,IF($K1283="Diferenciado",BDI!$E$17,0))</f>
        <v>0.2039</v>
      </c>
      <c r="H1283" s="151">
        <f t="shared" ca="1" si="57"/>
        <v>14.66</v>
      </c>
      <c r="I1283" s="152">
        <f t="shared" ca="1" si="58"/>
        <v>0</v>
      </c>
      <c r="J1283" s="154"/>
      <c r="K1283" s="155" t="s">
        <v>2966</v>
      </c>
    </row>
    <row r="1284" spans="1:11" hidden="1" x14ac:dyDescent="0.25">
      <c r="A1284" s="148" t="s">
        <v>1219</v>
      </c>
      <c r="B1284" s="149" t="s">
        <v>4792</v>
      </c>
      <c r="C1284" s="150" t="s">
        <v>106</v>
      </c>
      <c r="D1284" s="150">
        <v>0</v>
      </c>
      <c r="E1284" s="151">
        <f ca="1">OFFSET(INDEX(Composições!A:H,MATCH(Orçamentária!A1284,Composições!A:A,0),8),2,0)</f>
        <v>37.884879949999998</v>
      </c>
      <c r="F1284" s="152">
        <f t="shared" ca="1" si="59"/>
        <v>0</v>
      </c>
      <c r="G1284" s="153">
        <f>IF($K1284="Padrão",BDI!$B$17,IF($K1284="Diferenciado",BDI!$E$17,0))</f>
        <v>0.2039</v>
      </c>
      <c r="H1284" s="151">
        <f t="shared" ca="1" si="57"/>
        <v>45.61</v>
      </c>
      <c r="I1284" s="152">
        <f t="shared" ca="1" si="58"/>
        <v>0</v>
      </c>
      <c r="J1284" s="154"/>
      <c r="K1284" s="155" t="s">
        <v>2966</v>
      </c>
    </row>
    <row r="1285" spans="1:11" hidden="1" x14ac:dyDescent="0.25">
      <c r="A1285" s="148" t="s">
        <v>1220</v>
      </c>
      <c r="B1285" s="149" t="s">
        <v>4793</v>
      </c>
      <c r="C1285" s="150" t="s">
        <v>106</v>
      </c>
      <c r="D1285" s="150">
        <v>0</v>
      </c>
      <c r="E1285" s="151">
        <f ca="1">OFFSET(INDEX(Composições!A:H,MATCH(Orçamentária!A1285,Composições!A:A,0),8),2,0)</f>
        <v>54.964329549999995</v>
      </c>
      <c r="F1285" s="152">
        <f t="shared" ca="1" si="59"/>
        <v>0</v>
      </c>
      <c r="G1285" s="153">
        <f>IF($K1285="Padrão",BDI!$B$17,IF($K1285="Diferenciado",BDI!$E$17,0))</f>
        <v>0.2039</v>
      </c>
      <c r="H1285" s="151">
        <f t="shared" ca="1" si="57"/>
        <v>66.17</v>
      </c>
      <c r="I1285" s="152">
        <f t="shared" ca="1" si="58"/>
        <v>0</v>
      </c>
      <c r="J1285" s="154"/>
      <c r="K1285" s="155" t="s">
        <v>2966</v>
      </c>
    </row>
    <row r="1286" spans="1:11" hidden="1" x14ac:dyDescent="0.25">
      <c r="A1286" s="148" t="s">
        <v>1221</v>
      </c>
      <c r="B1286" s="149" t="s">
        <v>4794</v>
      </c>
      <c r="C1286" s="150" t="s">
        <v>18</v>
      </c>
      <c r="D1286" s="150">
        <v>0</v>
      </c>
      <c r="E1286" s="151">
        <f ca="1">OFFSET(INDEX(Composições!A:H,MATCH(Orçamentária!A1286,Composições!A:A,0),8),2,0)</f>
        <v>84.426995899999994</v>
      </c>
      <c r="F1286" s="152">
        <f t="shared" ca="1" si="59"/>
        <v>0</v>
      </c>
      <c r="G1286" s="153">
        <f>IF($K1286="Padrão",BDI!$B$17,IF($K1286="Diferenciado",BDI!$E$17,0))</f>
        <v>0.2039</v>
      </c>
      <c r="H1286" s="151">
        <f t="shared" ref="H1286:H1349" ca="1" si="60">IF(ISNUMBER(E1286),ROUND(E1286*(1+G1286),2),"")</f>
        <v>101.64</v>
      </c>
      <c r="I1286" s="152">
        <f t="shared" ref="I1286:I1349" ca="1" si="61">IF(ISNUMBER(E1286),ROUND(H1286*D1286,2),"")</f>
        <v>0</v>
      </c>
      <c r="J1286" s="154"/>
      <c r="K1286" s="155" t="s">
        <v>2966</v>
      </c>
    </row>
    <row r="1287" spans="1:11" hidden="1" x14ac:dyDescent="0.25">
      <c r="A1287" s="148" t="s">
        <v>1222</v>
      </c>
      <c r="B1287" s="149" t="s">
        <v>4795</v>
      </c>
      <c r="C1287" s="150" t="s">
        <v>18</v>
      </c>
      <c r="D1287" s="150">
        <v>0</v>
      </c>
      <c r="E1287" s="151">
        <f ca="1">OFFSET(INDEX(Composições!A:H,MATCH(Orçamentária!A1287,Composições!A:A,0),8),2,0)</f>
        <v>27.317825699999997</v>
      </c>
      <c r="F1287" s="152">
        <f t="shared" ref="F1287:F1350" ca="1" si="62">IF(ISNUMBER(E1287),D1287*E1287,"")</f>
        <v>0</v>
      </c>
      <c r="G1287" s="153">
        <f>IF($K1287="Padrão",BDI!$B$17,IF($K1287="Diferenciado",BDI!$E$17,0))</f>
        <v>0.2039</v>
      </c>
      <c r="H1287" s="151">
        <f t="shared" ca="1" si="60"/>
        <v>32.89</v>
      </c>
      <c r="I1287" s="152">
        <f t="shared" ca="1" si="61"/>
        <v>0</v>
      </c>
      <c r="J1287" s="154"/>
      <c r="K1287" s="155" t="s">
        <v>2966</v>
      </c>
    </row>
    <row r="1288" spans="1:11" hidden="1" x14ac:dyDescent="0.25">
      <c r="A1288" s="148" t="s">
        <v>1224</v>
      </c>
      <c r="B1288" s="149" t="s">
        <v>4796</v>
      </c>
      <c r="C1288" s="150" t="s">
        <v>18</v>
      </c>
      <c r="D1288" s="150">
        <v>0</v>
      </c>
      <c r="E1288" s="151">
        <f ca="1">OFFSET(INDEX(Composições!A:H,MATCH(Orçamentária!A1288,Composições!A:A,0),8),2,0)</f>
        <v>16.980100499999999</v>
      </c>
      <c r="F1288" s="152">
        <f t="shared" ca="1" si="62"/>
        <v>0</v>
      </c>
      <c r="G1288" s="153">
        <f>IF($K1288="Padrão",BDI!$B$17,IF($K1288="Diferenciado",BDI!$E$17,0))</f>
        <v>0.2039</v>
      </c>
      <c r="H1288" s="151">
        <f t="shared" ca="1" si="60"/>
        <v>20.440000000000001</v>
      </c>
      <c r="I1288" s="152">
        <f t="shared" ca="1" si="61"/>
        <v>0</v>
      </c>
      <c r="J1288" s="154"/>
      <c r="K1288" s="155" t="s">
        <v>2966</v>
      </c>
    </row>
    <row r="1289" spans="1:11" hidden="1" x14ac:dyDescent="0.25">
      <c r="A1289" s="148" t="s">
        <v>1226</v>
      </c>
      <c r="B1289" s="149" t="s">
        <v>4797</v>
      </c>
      <c r="C1289" s="150" t="s">
        <v>18</v>
      </c>
      <c r="D1289" s="150">
        <v>0</v>
      </c>
      <c r="E1289" s="151">
        <f ca="1">OFFSET(INDEX(Composições!A:H,MATCH(Orçamentária!A1289,Composições!A:A,0),8),2,0)</f>
        <v>330.55417199999994</v>
      </c>
      <c r="F1289" s="152">
        <f t="shared" ca="1" si="62"/>
        <v>0</v>
      </c>
      <c r="G1289" s="153">
        <f>IF($K1289="Padrão",BDI!$B$17,IF($K1289="Diferenciado",BDI!$E$17,0))</f>
        <v>0.2039</v>
      </c>
      <c r="H1289" s="151">
        <f t="shared" ca="1" si="60"/>
        <v>397.95</v>
      </c>
      <c r="I1289" s="152">
        <f t="shared" ca="1" si="61"/>
        <v>0</v>
      </c>
      <c r="J1289" s="154"/>
      <c r="K1289" s="155" t="s">
        <v>2966</v>
      </c>
    </row>
    <row r="1290" spans="1:11" hidden="1" x14ac:dyDescent="0.25">
      <c r="A1290" s="148" t="s">
        <v>1227</v>
      </c>
      <c r="B1290" s="149" t="s">
        <v>4798</v>
      </c>
      <c r="C1290" s="150" t="s">
        <v>18</v>
      </c>
      <c r="D1290" s="150">
        <v>0</v>
      </c>
      <c r="E1290" s="151">
        <f ca="1">OFFSET(INDEX(Composições!A:H,MATCH(Orçamentária!A1290,Composições!A:A,0),8),2,0)</f>
        <v>23.917538199999999</v>
      </c>
      <c r="F1290" s="152">
        <f t="shared" ca="1" si="62"/>
        <v>0</v>
      </c>
      <c r="G1290" s="153">
        <f>IF($K1290="Padrão",BDI!$B$17,IF($K1290="Diferenciado",BDI!$E$17,0))</f>
        <v>0.2039</v>
      </c>
      <c r="H1290" s="151">
        <f t="shared" ca="1" si="60"/>
        <v>28.79</v>
      </c>
      <c r="I1290" s="152">
        <f t="shared" ca="1" si="61"/>
        <v>0</v>
      </c>
      <c r="J1290" s="154"/>
      <c r="K1290" s="155" t="s">
        <v>2966</v>
      </c>
    </row>
    <row r="1291" spans="1:11" hidden="1" x14ac:dyDescent="0.25">
      <c r="A1291" s="148" t="s">
        <v>1229</v>
      </c>
      <c r="B1291" s="149" t="s">
        <v>4799</v>
      </c>
      <c r="C1291" s="150" t="s">
        <v>18</v>
      </c>
      <c r="D1291" s="150">
        <v>0</v>
      </c>
      <c r="E1291" s="151">
        <f ca="1">OFFSET(INDEX(Composições!A:H,MATCH(Orçamentária!A1291,Composições!A:A,0),8),2,0)</f>
        <v>11.960287199999998</v>
      </c>
      <c r="F1291" s="152">
        <f t="shared" ca="1" si="62"/>
        <v>0</v>
      </c>
      <c r="G1291" s="153">
        <f>IF($K1291="Padrão",BDI!$B$17,IF($K1291="Diferenciado",BDI!$E$17,0))</f>
        <v>0.2039</v>
      </c>
      <c r="H1291" s="151">
        <f t="shared" ca="1" si="60"/>
        <v>14.4</v>
      </c>
      <c r="I1291" s="152">
        <f t="shared" ca="1" si="61"/>
        <v>0</v>
      </c>
      <c r="J1291" s="154"/>
      <c r="K1291" s="155" t="s">
        <v>2966</v>
      </c>
    </row>
    <row r="1292" spans="1:11" hidden="1" x14ac:dyDescent="0.25">
      <c r="A1292" s="148" t="s">
        <v>1231</v>
      </c>
      <c r="B1292" s="149" t="s">
        <v>4800</v>
      </c>
      <c r="C1292" s="150" t="s">
        <v>18</v>
      </c>
      <c r="D1292" s="150">
        <v>0</v>
      </c>
      <c r="E1292" s="151">
        <f ca="1">OFFSET(INDEX(Composições!A:H,MATCH(Orçamentária!A1292,Composições!A:A,0),8),2,0)</f>
        <v>20.354082499999997</v>
      </c>
      <c r="F1292" s="152">
        <f t="shared" ca="1" si="62"/>
        <v>0</v>
      </c>
      <c r="G1292" s="153">
        <f>IF($K1292="Padrão",BDI!$B$17,IF($K1292="Diferenciado",BDI!$E$17,0))</f>
        <v>0.2039</v>
      </c>
      <c r="H1292" s="151">
        <f t="shared" ca="1" si="60"/>
        <v>24.5</v>
      </c>
      <c r="I1292" s="152">
        <f t="shared" ca="1" si="61"/>
        <v>0</v>
      </c>
      <c r="J1292" s="154"/>
      <c r="K1292" s="155" t="s">
        <v>2966</v>
      </c>
    </row>
    <row r="1293" spans="1:11" hidden="1" x14ac:dyDescent="0.25">
      <c r="A1293" s="148" t="s">
        <v>1233</v>
      </c>
      <c r="B1293" s="149" t="s">
        <v>4801</v>
      </c>
      <c r="C1293" s="150" t="s">
        <v>18</v>
      </c>
      <c r="D1293" s="150">
        <v>0</v>
      </c>
      <c r="E1293" s="151">
        <f ca="1">OFFSET(INDEX(Composições!A:H,MATCH(Orçamentária!A1293,Composições!A:A,0),8),2,0)</f>
        <v>21.041740000000001</v>
      </c>
      <c r="F1293" s="152">
        <f t="shared" ca="1" si="62"/>
        <v>0</v>
      </c>
      <c r="G1293" s="153">
        <f>IF($K1293="Padrão",BDI!$B$17,IF($K1293="Diferenciado",BDI!$E$17,0))</f>
        <v>0.2039</v>
      </c>
      <c r="H1293" s="151">
        <f t="shared" ca="1" si="60"/>
        <v>25.33</v>
      </c>
      <c r="I1293" s="152">
        <f t="shared" ca="1" si="61"/>
        <v>0</v>
      </c>
      <c r="J1293" s="154"/>
      <c r="K1293" s="155" t="s">
        <v>2966</v>
      </c>
    </row>
    <row r="1294" spans="1:11" hidden="1" x14ac:dyDescent="0.25">
      <c r="A1294" s="148" t="s">
        <v>1234</v>
      </c>
      <c r="B1294" s="149" t="s">
        <v>4802</v>
      </c>
      <c r="C1294" s="150" t="s">
        <v>18</v>
      </c>
      <c r="D1294" s="150">
        <v>0</v>
      </c>
      <c r="E1294" s="151">
        <f ca="1">OFFSET(INDEX(Composições!A:H,MATCH(Orçamentária!A1294,Composições!A:A,0),8),2,0)</f>
        <v>56.840537218949997</v>
      </c>
      <c r="F1294" s="152">
        <f t="shared" ca="1" si="62"/>
        <v>0</v>
      </c>
      <c r="G1294" s="153">
        <f>IF($K1294="Padrão",BDI!$B$17,IF($K1294="Diferenciado",BDI!$E$17,0))</f>
        <v>0.2039</v>
      </c>
      <c r="H1294" s="151">
        <f t="shared" ca="1" si="60"/>
        <v>68.430000000000007</v>
      </c>
      <c r="I1294" s="152">
        <f t="shared" ca="1" si="61"/>
        <v>0</v>
      </c>
      <c r="J1294" s="154"/>
      <c r="K1294" s="155" t="s">
        <v>2966</v>
      </c>
    </row>
    <row r="1295" spans="1:11" hidden="1" x14ac:dyDescent="0.25">
      <c r="A1295" s="148" t="s">
        <v>4803</v>
      </c>
      <c r="B1295" s="149" t="s">
        <v>4804</v>
      </c>
      <c r="C1295" s="150" t="s">
        <v>18</v>
      </c>
      <c r="D1295" s="150">
        <v>0</v>
      </c>
      <c r="E1295" s="151" t="s">
        <v>13</v>
      </c>
      <c r="F1295" s="152" t="str">
        <f t="shared" si="62"/>
        <v/>
      </c>
      <c r="G1295" s="153">
        <f>IF($K1295="Padrão",BDI!$B$17,IF($K1295="Diferenciado",BDI!$E$17,0))</f>
        <v>0.2039</v>
      </c>
      <c r="H1295" s="151" t="str">
        <f t="shared" si="60"/>
        <v/>
      </c>
      <c r="I1295" s="152" t="str">
        <f t="shared" si="61"/>
        <v/>
      </c>
      <c r="J1295" s="154"/>
      <c r="K1295" s="155" t="s">
        <v>2966</v>
      </c>
    </row>
    <row r="1296" spans="1:11" hidden="1" x14ac:dyDescent="0.25">
      <c r="A1296" s="148" t="s">
        <v>4805</v>
      </c>
      <c r="B1296" s="149" t="s">
        <v>4806</v>
      </c>
      <c r="C1296" s="150" t="s">
        <v>68</v>
      </c>
      <c r="D1296" s="150">
        <v>0</v>
      </c>
      <c r="E1296" s="151" t="s">
        <v>13</v>
      </c>
      <c r="F1296" s="152" t="str">
        <f t="shared" si="62"/>
        <v/>
      </c>
      <c r="G1296" s="153">
        <f>IF($K1296="Padrão",BDI!$B$17,IF($K1296="Diferenciado",BDI!$E$17,0))</f>
        <v>0.2039</v>
      </c>
      <c r="H1296" s="151" t="str">
        <f t="shared" si="60"/>
        <v/>
      </c>
      <c r="I1296" s="152" t="str">
        <f t="shared" si="61"/>
        <v/>
      </c>
      <c r="J1296" s="154"/>
      <c r="K1296" s="155" t="s">
        <v>2966</v>
      </c>
    </row>
    <row r="1297" spans="1:11" hidden="1" x14ac:dyDescent="0.25">
      <c r="A1297" s="148" t="s">
        <v>4807</v>
      </c>
      <c r="B1297" s="149" t="s">
        <v>4808</v>
      </c>
      <c r="C1297" s="150" t="s">
        <v>18</v>
      </c>
      <c r="D1297" s="150">
        <v>0</v>
      </c>
      <c r="E1297" s="151" t="s">
        <v>13</v>
      </c>
      <c r="F1297" s="152" t="str">
        <f t="shared" si="62"/>
        <v/>
      </c>
      <c r="G1297" s="153">
        <f>IF($K1297="Padrão",BDI!$B$17,IF($K1297="Diferenciado",BDI!$E$17,0))</f>
        <v>0.2039</v>
      </c>
      <c r="H1297" s="151" t="str">
        <f t="shared" si="60"/>
        <v/>
      </c>
      <c r="I1297" s="152" t="str">
        <f t="shared" si="61"/>
        <v/>
      </c>
      <c r="J1297" s="154"/>
      <c r="K1297" s="155" t="s">
        <v>2966</v>
      </c>
    </row>
    <row r="1298" spans="1:11" hidden="1" x14ac:dyDescent="0.25">
      <c r="A1298" s="148" t="s">
        <v>4809</v>
      </c>
      <c r="B1298" s="149" t="s">
        <v>4810</v>
      </c>
      <c r="C1298" s="150" t="s">
        <v>18</v>
      </c>
      <c r="D1298" s="150">
        <v>0</v>
      </c>
      <c r="E1298" s="151" t="s">
        <v>13</v>
      </c>
      <c r="F1298" s="152" t="str">
        <f t="shared" si="62"/>
        <v/>
      </c>
      <c r="G1298" s="153">
        <f>IF($K1298="Padrão",BDI!$B$17,IF($K1298="Diferenciado",BDI!$E$17,0))</f>
        <v>0.2039</v>
      </c>
      <c r="H1298" s="151" t="str">
        <f t="shared" si="60"/>
        <v/>
      </c>
      <c r="I1298" s="152" t="str">
        <f t="shared" si="61"/>
        <v/>
      </c>
      <c r="J1298" s="154"/>
      <c r="K1298" s="155" t="s">
        <v>2966</v>
      </c>
    </row>
    <row r="1299" spans="1:11" hidden="1" x14ac:dyDescent="0.25">
      <c r="A1299" s="148" t="s">
        <v>4811</v>
      </c>
      <c r="B1299" s="149" t="s">
        <v>4812</v>
      </c>
      <c r="C1299" s="150" t="s">
        <v>18</v>
      </c>
      <c r="D1299" s="150">
        <v>0</v>
      </c>
      <c r="E1299" s="151" t="s">
        <v>13</v>
      </c>
      <c r="F1299" s="152" t="str">
        <f t="shared" si="62"/>
        <v/>
      </c>
      <c r="G1299" s="153">
        <f>IF($K1299="Padrão",BDI!$B$17,IF($K1299="Diferenciado",BDI!$E$17,0))</f>
        <v>0.2039</v>
      </c>
      <c r="H1299" s="151" t="str">
        <f t="shared" si="60"/>
        <v/>
      </c>
      <c r="I1299" s="152" t="str">
        <f t="shared" si="61"/>
        <v/>
      </c>
      <c r="J1299" s="154"/>
      <c r="K1299" s="155" t="s">
        <v>2966</v>
      </c>
    </row>
    <row r="1300" spans="1:11" hidden="1" x14ac:dyDescent="0.25">
      <c r="A1300" s="148" t="s">
        <v>1235</v>
      </c>
      <c r="B1300" s="149" t="s">
        <v>4813</v>
      </c>
      <c r="C1300" s="150" t="s">
        <v>68</v>
      </c>
      <c r="D1300" s="150">
        <v>0</v>
      </c>
      <c r="E1300" s="151">
        <f ca="1">OFFSET(INDEX(Composições!A:H,MATCH(Orçamentária!A1300,Composições!A:A,0),8),2,0)</f>
        <v>239.11319861904761</v>
      </c>
      <c r="F1300" s="152">
        <f t="shared" ca="1" si="62"/>
        <v>0</v>
      </c>
      <c r="G1300" s="153">
        <f>IF($K1300="Padrão",BDI!$B$17,IF($K1300="Diferenciado",BDI!$E$17,0))</f>
        <v>0.2039</v>
      </c>
      <c r="H1300" s="151">
        <f t="shared" ca="1" si="60"/>
        <v>287.87</v>
      </c>
      <c r="I1300" s="152">
        <f t="shared" ca="1" si="61"/>
        <v>0</v>
      </c>
      <c r="J1300" s="154"/>
      <c r="K1300" s="155" t="s">
        <v>2966</v>
      </c>
    </row>
    <row r="1301" spans="1:11" hidden="1" x14ac:dyDescent="0.25">
      <c r="A1301" s="148" t="s">
        <v>1236</v>
      </c>
      <c r="B1301" s="149" t="s">
        <v>4814</v>
      </c>
      <c r="C1301" s="150" t="s">
        <v>68</v>
      </c>
      <c r="D1301" s="150">
        <v>0</v>
      </c>
      <c r="E1301" s="151">
        <f ca="1">OFFSET(INDEX(Composições!A:H,MATCH(Orçamentária!A1301,Composições!A:A,0),8),2,0)</f>
        <v>257.96288419047619</v>
      </c>
      <c r="F1301" s="152">
        <f t="shared" ca="1" si="62"/>
        <v>0</v>
      </c>
      <c r="G1301" s="153">
        <f>IF($K1301="Padrão",BDI!$B$17,IF($K1301="Diferenciado",BDI!$E$17,0))</f>
        <v>0.2039</v>
      </c>
      <c r="H1301" s="151">
        <f t="shared" ca="1" si="60"/>
        <v>310.56</v>
      </c>
      <c r="I1301" s="152">
        <f t="shared" ca="1" si="61"/>
        <v>0</v>
      </c>
      <c r="J1301" s="154"/>
      <c r="K1301" s="155" t="s">
        <v>2966</v>
      </c>
    </row>
    <row r="1302" spans="1:11" ht="25.5" hidden="1" x14ac:dyDescent="0.25">
      <c r="A1302" s="148" t="s">
        <v>4815</v>
      </c>
      <c r="B1302" s="149" t="s">
        <v>4816</v>
      </c>
      <c r="C1302" s="150" t="s">
        <v>18</v>
      </c>
      <c r="D1302" s="150">
        <v>0</v>
      </c>
      <c r="E1302" s="151" t="s">
        <v>13</v>
      </c>
      <c r="F1302" s="152" t="str">
        <f t="shared" si="62"/>
        <v/>
      </c>
      <c r="G1302" s="153">
        <f>IF($K1302="Padrão",BDI!$B$17,IF($K1302="Diferenciado",BDI!$E$17,0))</f>
        <v>0.2039</v>
      </c>
      <c r="H1302" s="151" t="str">
        <f t="shared" si="60"/>
        <v/>
      </c>
      <c r="I1302" s="152" t="str">
        <f t="shared" si="61"/>
        <v/>
      </c>
      <c r="J1302" s="154"/>
      <c r="K1302" s="155" t="s">
        <v>2966</v>
      </c>
    </row>
    <row r="1303" spans="1:11" ht="25.5" hidden="1" x14ac:dyDescent="0.25">
      <c r="A1303" s="148" t="s">
        <v>4817</v>
      </c>
      <c r="B1303" s="149" t="s">
        <v>4818</v>
      </c>
      <c r="C1303" s="150" t="s">
        <v>18</v>
      </c>
      <c r="D1303" s="150">
        <v>0</v>
      </c>
      <c r="E1303" s="151" t="s">
        <v>13</v>
      </c>
      <c r="F1303" s="152" t="str">
        <f t="shared" si="62"/>
        <v/>
      </c>
      <c r="G1303" s="153">
        <f>IF($K1303="Padrão",BDI!$B$17,IF($K1303="Diferenciado",BDI!$E$17,0))</f>
        <v>0.2039</v>
      </c>
      <c r="H1303" s="151" t="str">
        <f t="shared" si="60"/>
        <v/>
      </c>
      <c r="I1303" s="152" t="str">
        <f t="shared" si="61"/>
        <v/>
      </c>
      <c r="J1303" s="154"/>
      <c r="K1303" s="155" t="s">
        <v>2966</v>
      </c>
    </row>
    <row r="1304" spans="1:11" ht="25.5" hidden="1" x14ac:dyDescent="0.25">
      <c r="A1304" s="148" t="s">
        <v>4819</v>
      </c>
      <c r="B1304" s="149" t="s">
        <v>4820</v>
      </c>
      <c r="C1304" s="150" t="s">
        <v>18</v>
      </c>
      <c r="D1304" s="150">
        <v>0</v>
      </c>
      <c r="E1304" s="151" t="s">
        <v>13</v>
      </c>
      <c r="F1304" s="152" t="str">
        <f t="shared" si="62"/>
        <v/>
      </c>
      <c r="G1304" s="153">
        <f>IF($K1304="Padrão",BDI!$B$17,IF($K1304="Diferenciado",BDI!$E$17,0))</f>
        <v>0.2039</v>
      </c>
      <c r="H1304" s="151" t="str">
        <f t="shared" si="60"/>
        <v/>
      </c>
      <c r="I1304" s="152" t="str">
        <f t="shared" si="61"/>
        <v/>
      </c>
      <c r="J1304" s="154"/>
      <c r="K1304" s="155" t="s">
        <v>2966</v>
      </c>
    </row>
    <row r="1305" spans="1:11" ht="25.5" hidden="1" x14ac:dyDescent="0.25">
      <c r="A1305" s="148" t="s">
        <v>4821</v>
      </c>
      <c r="B1305" s="149" t="s">
        <v>4822</v>
      </c>
      <c r="C1305" s="150" t="s">
        <v>18</v>
      </c>
      <c r="D1305" s="150">
        <v>0</v>
      </c>
      <c r="E1305" s="151" t="s">
        <v>13</v>
      </c>
      <c r="F1305" s="152" t="str">
        <f t="shared" si="62"/>
        <v/>
      </c>
      <c r="G1305" s="153">
        <f>IF($K1305="Padrão",BDI!$B$17,IF($K1305="Diferenciado",BDI!$E$17,0))</f>
        <v>0.2039</v>
      </c>
      <c r="H1305" s="151" t="str">
        <f t="shared" si="60"/>
        <v/>
      </c>
      <c r="I1305" s="152" t="str">
        <f t="shared" si="61"/>
        <v/>
      </c>
      <c r="J1305" s="154"/>
      <c r="K1305" s="155" t="s">
        <v>2966</v>
      </c>
    </row>
    <row r="1306" spans="1:11" ht="38.25" hidden="1" x14ac:dyDescent="0.25">
      <c r="A1306" s="148" t="s">
        <v>4823</v>
      </c>
      <c r="B1306" s="149" t="s">
        <v>4824</v>
      </c>
      <c r="C1306" s="150" t="s">
        <v>18</v>
      </c>
      <c r="D1306" s="150">
        <v>0</v>
      </c>
      <c r="E1306" s="151" t="s">
        <v>13</v>
      </c>
      <c r="F1306" s="152" t="str">
        <f t="shared" si="62"/>
        <v/>
      </c>
      <c r="G1306" s="153">
        <f>IF($K1306="Padrão",BDI!$B$17,IF($K1306="Diferenciado",BDI!$E$17,0))</f>
        <v>0.2039</v>
      </c>
      <c r="H1306" s="151" t="str">
        <f t="shared" si="60"/>
        <v/>
      </c>
      <c r="I1306" s="152" t="str">
        <f t="shared" si="61"/>
        <v/>
      </c>
      <c r="J1306" s="154"/>
      <c r="K1306" s="155" t="s">
        <v>2966</v>
      </c>
    </row>
    <row r="1307" spans="1:11" ht="25.5" hidden="1" x14ac:dyDescent="0.25">
      <c r="A1307" s="148" t="s">
        <v>4825</v>
      </c>
      <c r="B1307" s="149" t="s">
        <v>4826</v>
      </c>
      <c r="C1307" s="150" t="s">
        <v>18</v>
      </c>
      <c r="D1307" s="150">
        <v>0</v>
      </c>
      <c r="E1307" s="151" t="s">
        <v>13</v>
      </c>
      <c r="F1307" s="152" t="str">
        <f t="shared" si="62"/>
        <v/>
      </c>
      <c r="G1307" s="153">
        <f>IF($K1307="Padrão",BDI!$B$17,IF($K1307="Diferenciado",BDI!$E$17,0))</f>
        <v>0.2039</v>
      </c>
      <c r="H1307" s="151" t="str">
        <f t="shared" si="60"/>
        <v/>
      </c>
      <c r="I1307" s="152" t="str">
        <f t="shared" si="61"/>
        <v/>
      </c>
      <c r="J1307" s="154"/>
      <c r="K1307" s="155" t="s">
        <v>2966</v>
      </c>
    </row>
    <row r="1308" spans="1:11" ht="25.5" hidden="1" x14ac:dyDescent="0.25">
      <c r="A1308" s="148" t="s">
        <v>4827</v>
      </c>
      <c r="B1308" s="149" t="s">
        <v>4828</v>
      </c>
      <c r="C1308" s="150" t="s">
        <v>18</v>
      </c>
      <c r="D1308" s="150">
        <v>0</v>
      </c>
      <c r="E1308" s="151" t="s">
        <v>13</v>
      </c>
      <c r="F1308" s="152" t="str">
        <f t="shared" si="62"/>
        <v/>
      </c>
      <c r="G1308" s="153">
        <f>IF($K1308="Padrão",BDI!$B$17,IF($K1308="Diferenciado",BDI!$E$17,0))</f>
        <v>0.2039</v>
      </c>
      <c r="H1308" s="151" t="str">
        <f t="shared" si="60"/>
        <v/>
      </c>
      <c r="I1308" s="152" t="str">
        <f t="shared" si="61"/>
        <v/>
      </c>
      <c r="J1308" s="154"/>
      <c r="K1308" s="155" t="s">
        <v>2966</v>
      </c>
    </row>
    <row r="1309" spans="1:11" ht="38.25" hidden="1" x14ac:dyDescent="0.25">
      <c r="A1309" s="148" t="s">
        <v>4829</v>
      </c>
      <c r="B1309" s="149" t="s">
        <v>4830</v>
      </c>
      <c r="C1309" s="150" t="s">
        <v>18</v>
      </c>
      <c r="D1309" s="150">
        <v>0</v>
      </c>
      <c r="E1309" s="151" t="s">
        <v>13</v>
      </c>
      <c r="F1309" s="152" t="str">
        <f t="shared" si="62"/>
        <v/>
      </c>
      <c r="G1309" s="153">
        <f>IF($K1309="Padrão",BDI!$B$17,IF($K1309="Diferenciado",BDI!$E$17,0))</f>
        <v>0.2039</v>
      </c>
      <c r="H1309" s="151" t="str">
        <f t="shared" si="60"/>
        <v/>
      </c>
      <c r="I1309" s="152" t="str">
        <f t="shared" si="61"/>
        <v/>
      </c>
      <c r="J1309" s="154"/>
      <c r="K1309" s="155" t="s">
        <v>2966</v>
      </c>
    </row>
    <row r="1310" spans="1:11" ht="38.25" hidden="1" x14ac:dyDescent="0.25">
      <c r="A1310" s="148" t="s">
        <v>4831</v>
      </c>
      <c r="B1310" s="149" t="s">
        <v>4832</v>
      </c>
      <c r="C1310" s="150" t="s">
        <v>18</v>
      </c>
      <c r="D1310" s="150">
        <v>0</v>
      </c>
      <c r="E1310" s="151" t="s">
        <v>13</v>
      </c>
      <c r="F1310" s="152" t="str">
        <f t="shared" si="62"/>
        <v/>
      </c>
      <c r="G1310" s="153">
        <f>IF($K1310="Padrão",BDI!$B$17,IF($K1310="Diferenciado",BDI!$E$17,0))</f>
        <v>0.2039</v>
      </c>
      <c r="H1310" s="151" t="str">
        <f t="shared" si="60"/>
        <v/>
      </c>
      <c r="I1310" s="152" t="str">
        <f t="shared" si="61"/>
        <v/>
      </c>
      <c r="J1310" s="154"/>
      <c r="K1310" s="155" t="s">
        <v>2966</v>
      </c>
    </row>
    <row r="1311" spans="1:11" ht="25.5" hidden="1" x14ac:dyDescent="0.25">
      <c r="A1311" s="148" t="s">
        <v>4833</v>
      </c>
      <c r="B1311" s="149" t="s">
        <v>4834</v>
      </c>
      <c r="C1311" s="150" t="s">
        <v>18</v>
      </c>
      <c r="D1311" s="150">
        <v>0</v>
      </c>
      <c r="E1311" s="151" t="s">
        <v>13</v>
      </c>
      <c r="F1311" s="152" t="str">
        <f t="shared" si="62"/>
        <v/>
      </c>
      <c r="G1311" s="153">
        <f>IF($K1311="Padrão",BDI!$B$17,IF($K1311="Diferenciado",BDI!$E$17,0))</f>
        <v>0.2039</v>
      </c>
      <c r="H1311" s="151" t="str">
        <f t="shared" si="60"/>
        <v/>
      </c>
      <c r="I1311" s="152" t="str">
        <f t="shared" si="61"/>
        <v/>
      </c>
      <c r="J1311" s="154"/>
      <c r="K1311" s="155" t="s">
        <v>2966</v>
      </c>
    </row>
    <row r="1312" spans="1:11" ht="38.25" hidden="1" x14ac:dyDescent="0.25">
      <c r="A1312" s="148" t="s">
        <v>4835</v>
      </c>
      <c r="B1312" s="149" t="s">
        <v>4836</v>
      </c>
      <c r="C1312" s="150" t="s">
        <v>18</v>
      </c>
      <c r="D1312" s="150">
        <v>0</v>
      </c>
      <c r="E1312" s="151" t="s">
        <v>13</v>
      </c>
      <c r="F1312" s="152" t="str">
        <f t="shared" si="62"/>
        <v/>
      </c>
      <c r="G1312" s="153">
        <f>IF($K1312="Padrão",BDI!$B$17,IF($K1312="Diferenciado",BDI!$E$17,0))</f>
        <v>0.2039</v>
      </c>
      <c r="H1312" s="151" t="str">
        <f t="shared" si="60"/>
        <v/>
      </c>
      <c r="I1312" s="152" t="str">
        <f t="shared" si="61"/>
        <v/>
      </c>
      <c r="J1312" s="154"/>
      <c r="K1312" s="155" t="s">
        <v>2966</v>
      </c>
    </row>
    <row r="1313" spans="1:11" ht="25.5" hidden="1" x14ac:dyDescent="0.25">
      <c r="A1313" s="148" t="s">
        <v>4837</v>
      </c>
      <c r="B1313" s="149" t="s">
        <v>4838</v>
      </c>
      <c r="C1313" s="150" t="s">
        <v>18</v>
      </c>
      <c r="D1313" s="150">
        <v>0</v>
      </c>
      <c r="E1313" s="151" t="s">
        <v>13</v>
      </c>
      <c r="F1313" s="152" t="str">
        <f t="shared" si="62"/>
        <v/>
      </c>
      <c r="G1313" s="153">
        <f>IF($K1313="Padrão",BDI!$B$17,IF($K1313="Diferenciado",BDI!$E$17,0))</f>
        <v>0.2039</v>
      </c>
      <c r="H1313" s="151" t="str">
        <f t="shared" si="60"/>
        <v/>
      </c>
      <c r="I1313" s="152" t="str">
        <f t="shared" si="61"/>
        <v/>
      </c>
      <c r="J1313" s="154"/>
      <c r="K1313" s="155" t="s">
        <v>2966</v>
      </c>
    </row>
    <row r="1314" spans="1:11" ht="38.25" hidden="1" x14ac:dyDescent="0.25">
      <c r="A1314" s="148" t="s">
        <v>4839</v>
      </c>
      <c r="B1314" s="149" t="s">
        <v>4840</v>
      </c>
      <c r="C1314" s="150" t="s">
        <v>18</v>
      </c>
      <c r="D1314" s="150">
        <v>0</v>
      </c>
      <c r="E1314" s="151" t="s">
        <v>13</v>
      </c>
      <c r="F1314" s="152" t="str">
        <f t="shared" si="62"/>
        <v/>
      </c>
      <c r="G1314" s="153">
        <f>IF($K1314="Padrão",BDI!$B$17,IF($K1314="Diferenciado",BDI!$E$17,0))</f>
        <v>0.2039</v>
      </c>
      <c r="H1314" s="151" t="str">
        <f t="shared" si="60"/>
        <v/>
      </c>
      <c r="I1314" s="152" t="str">
        <f t="shared" si="61"/>
        <v/>
      </c>
      <c r="J1314" s="154"/>
      <c r="K1314" s="155" t="s">
        <v>2966</v>
      </c>
    </row>
    <row r="1315" spans="1:11" hidden="1" x14ac:dyDescent="0.25">
      <c r="A1315" s="148" t="s">
        <v>1237</v>
      </c>
      <c r="B1315" s="149" t="s">
        <v>4841</v>
      </c>
      <c r="C1315" s="150" t="s">
        <v>18</v>
      </c>
      <c r="D1315" s="150">
        <v>0</v>
      </c>
      <c r="E1315" s="151">
        <f ca="1">OFFSET(INDEX(Composições!A:H,MATCH(Orçamentária!A1315,Composições!A:A,0),8),2,0)</f>
        <v>50.553870000000003</v>
      </c>
      <c r="F1315" s="152">
        <f t="shared" ca="1" si="62"/>
        <v>0</v>
      </c>
      <c r="G1315" s="153">
        <f>IF($K1315="Padrão",BDI!$B$17,IF($K1315="Diferenciado",BDI!$E$17,0))</f>
        <v>0.2039</v>
      </c>
      <c r="H1315" s="151">
        <f t="shared" ca="1" si="60"/>
        <v>60.86</v>
      </c>
      <c r="I1315" s="152">
        <f t="shared" ca="1" si="61"/>
        <v>0</v>
      </c>
      <c r="J1315" s="154"/>
      <c r="K1315" s="155" t="s">
        <v>2966</v>
      </c>
    </row>
    <row r="1316" spans="1:11" hidden="1" x14ac:dyDescent="0.25">
      <c r="A1316" s="148" t="s">
        <v>1239</v>
      </c>
      <c r="B1316" s="149" t="s">
        <v>4842</v>
      </c>
      <c r="C1316" s="150" t="s">
        <v>18</v>
      </c>
      <c r="D1316" s="150">
        <v>0</v>
      </c>
      <c r="E1316" s="151">
        <f ca="1">OFFSET(INDEX(Composições!A:H,MATCH(Orçamentária!A1316,Composições!A:A,0),8),2,0)</f>
        <v>108.72550975</v>
      </c>
      <c r="F1316" s="152">
        <f t="shared" ca="1" si="62"/>
        <v>0</v>
      </c>
      <c r="G1316" s="153">
        <f>IF($K1316="Padrão",BDI!$B$17,IF($K1316="Diferenciado",BDI!$E$17,0))</f>
        <v>0.2039</v>
      </c>
      <c r="H1316" s="151">
        <f t="shared" ca="1" si="60"/>
        <v>130.88999999999999</v>
      </c>
      <c r="I1316" s="152">
        <f t="shared" ca="1" si="61"/>
        <v>0</v>
      </c>
      <c r="J1316" s="154"/>
      <c r="K1316" s="155" t="s">
        <v>2966</v>
      </c>
    </row>
    <row r="1317" spans="1:11" hidden="1" x14ac:dyDescent="0.25">
      <c r="A1317" s="148" t="s">
        <v>1241</v>
      </c>
      <c r="B1317" s="149" t="s">
        <v>4843</v>
      </c>
      <c r="C1317" s="150" t="s">
        <v>18</v>
      </c>
      <c r="D1317" s="150">
        <v>0</v>
      </c>
      <c r="E1317" s="151">
        <f ca="1">OFFSET(INDEX(Composições!A:H,MATCH(Orçamentária!A1317,Composições!A:A,0),8),2,0)</f>
        <v>108.72550975</v>
      </c>
      <c r="F1317" s="152">
        <f t="shared" ca="1" si="62"/>
        <v>0</v>
      </c>
      <c r="G1317" s="153">
        <f>IF($K1317="Padrão",BDI!$B$17,IF($K1317="Diferenciado",BDI!$E$17,0))</f>
        <v>0.2039</v>
      </c>
      <c r="H1317" s="151">
        <f t="shared" ca="1" si="60"/>
        <v>130.88999999999999</v>
      </c>
      <c r="I1317" s="152">
        <f t="shared" ca="1" si="61"/>
        <v>0</v>
      </c>
      <c r="J1317" s="154"/>
      <c r="K1317" s="155" t="s">
        <v>2966</v>
      </c>
    </row>
    <row r="1318" spans="1:11" hidden="1" x14ac:dyDescent="0.25">
      <c r="A1318" s="148" t="s">
        <v>1243</v>
      </c>
      <c r="B1318" s="149" t="s">
        <v>4844</v>
      </c>
      <c r="C1318" s="150" t="s">
        <v>18</v>
      </c>
      <c r="D1318" s="150">
        <v>0</v>
      </c>
      <c r="E1318" s="151">
        <f ca="1">OFFSET(INDEX(Composições!A:H,MATCH(Orçamentária!A1318,Composições!A:A,0),8),2,0)</f>
        <v>108.72550975</v>
      </c>
      <c r="F1318" s="152">
        <f t="shared" ca="1" si="62"/>
        <v>0</v>
      </c>
      <c r="G1318" s="153">
        <f>IF($K1318="Padrão",BDI!$B$17,IF($K1318="Diferenciado",BDI!$E$17,0))</f>
        <v>0.2039</v>
      </c>
      <c r="H1318" s="151">
        <f t="shared" ca="1" si="60"/>
        <v>130.88999999999999</v>
      </c>
      <c r="I1318" s="152">
        <f t="shared" ca="1" si="61"/>
        <v>0</v>
      </c>
      <c r="J1318" s="154"/>
      <c r="K1318" s="155" t="s">
        <v>2966</v>
      </c>
    </row>
    <row r="1319" spans="1:11" hidden="1" x14ac:dyDescent="0.25">
      <c r="A1319" s="148" t="s">
        <v>1245</v>
      </c>
      <c r="B1319" s="149" t="s">
        <v>4845</v>
      </c>
      <c r="C1319" s="150" t="s">
        <v>18</v>
      </c>
      <c r="D1319" s="150">
        <v>0</v>
      </c>
      <c r="E1319" s="151">
        <f ca="1">OFFSET(INDEX(Composições!A:H,MATCH(Orçamentária!A1319,Composições!A:A,0),8),2,0)</f>
        <v>125.45251124999999</v>
      </c>
      <c r="F1319" s="152">
        <f t="shared" ca="1" si="62"/>
        <v>0</v>
      </c>
      <c r="G1319" s="153">
        <f>IF($K1319="Padrão",BDI!$B$17,IF($K1319="Diferenciado",BDI!$E$17,0))</f>
        <v>0.2039</v>
      </c>
      <c r="H1319" s="151">
        <f t="shared" ca="1" si="60"/>
        <v>151.03</v>
      </c>
      <c r="I1319" s="152">
        <f t="shared" ca="1" si="61"/>
        <v>0</v>
      </c>
      <c r="J1319" s="154"/>
      <c r="K1319" s="155" t="s">
        <v>2966</v>
      </c>
    </row>
    <row r="1320" spans="1:11" hidden="1" x14ac:dyDescent="0.25">
      <c r="A1320" s="148" t="s">
        <v>1247</v>
      </c>
      <c r="B1320" s="149" t="s">
        <v>4846</v>
      </c>
      <c r="C1320" s="150" t="s">
        <v>18</v>
      </c>
      <c r="D1320" s="150">
        <v>0</v>
      </c>
      <c r="E1320" s="151">
        <f ca="1">OFFSET(INDEX(Composições!A:H,MATCH(Orçamentária!A1320,Composições!A:A,0),8),2,0)</f>
        <v>21.308728000000002</v>
      </c>
      <c r="F1320" s="152">
        <f t="shared" ca="1" si="62"/>
        <v>0</v>
      </c>
      <c r="G1320" s="153">
        <f>IF($K1320="Padrão",BDI!$B$17,IF($K1320="Diferenciado",BDI!$E$17,0))</f>
        <v>0.2039</v>
      </c>
      <c r="H1320" s="151">
        <f t="shared" ca="1" si="60"/>
        <v>25.65</v>
      </c>
      <c r="I1320" s="152">
        <f t="shared" ca="1" si="61"/>
        <v>0</v>
      </c>
      <c r="J1320" s="154"/>
      <c r="K1320" s="155" t="s">
        <v>2966</v>
      </c>
    </row>
    <row r="1321" spans="1:11" hidden="1" x14ac:dyDescent="0.25">
      <c r="A1321" s="148" t="s">
        <v>1249</v>
      </c>
      <c r="B1321" s="149" t="s">
        <v>4847</v>
      </c>
      <c r="C1321" s="150" t="s">
        <v>18</v>
      </c>
      <c r="D1321" s="150">
        <v>0</v>
      </c>
      <c r="E1321" s="151">
        <f ca="1">OFFSET(INDEX(Composições!A:H,MATCH(Orçamentária!A1321,Composições!A:A,0),8),2,0)</f>
        <v>108.72550975</v>
      </c>
      <c r="F1321" s="152">
        <f t="shared" ca="1" si="62"/>
        <v>0</v>
      </c>
      <c r="G1321" s="153">
        <f>IF($K1321="Padrão",BDI!$B$17,IF($K1321="Diferenciado",BDI!$E$17,0))</f>
        <v>0.2039</v>
      </c>
      <c r="H1321" s="151">
        <f t="shared" ca="1" si="60"/>
        <v>130.88999999999999</v>
      </c>
      <c r="I1321" s="152">
        <f t="shared" ca="1" si="61"/>
        <v>0</v>
      </c>
      <c r="J1321" s="154"/>
      <c r="K1321" s="155" t="s">
        <v>2966</v>
      </c>
    </row>
    <row r="1322" spans="1:11" hidden="1" x14ac:dyDescent="0.25">
      <c r="A1322" s="148" t="s">
        <v>1251</v>
      </c>
      <c r="B1322" s="149" t="s">
        <v>4848</v>
      </c>
      <c r="C1322" s="150" t="s">
        <v>106</v>
      </c>
      <c r="D1322" s="150">
        <v>0</v>
      </c>
      <c r="E1322" s="151">
        <f ca="1">OFFSET(INDEX(Composições!A:H,MATCH(Orçamentária!A1322,Composições!A:A,0),8),2,0)</f>
        <v>2.5766165999999999</v>
      </c>
      <c r="F1322" s="152">
        <f t="shared" ca="1" si="62"/>
        <v>0</v>
      </c>
      <c r="G1322" s="153">
        <f>IF($K1322="Padrão",BDI!$B$17,IF($K1322="Diferenciado",BDI!$E$17,0))</f>
        <v>0.2039</v>
      </c>
      <c r="H1322" s="151">
        <f t="shared" ca="1" si="60"/>
        <v>3.1</v>
      </c>
      <c r="I1322" s="152">
        <f t="shared" ca="1" si="61"/>
        <v>0</v>
      </c>
      <c r="J1322" s="154"/>
      <c r="K1322" s="155" t="s">
        <v>2966</v>
      </c>
    </row>
    <row r="1323" spans="1:11" hidden="1" x14ac:dyDescent="0.25">
      <c r="A1323" s="148" t="s">
        <v>1253</v>
      </c>
      <c r="B1323" s="149" t="s">
        <v>4849</v>
      </c>
      <c r="C1323" s="150" t="s">
        <v>18</v>
      </c>
      <c r="D1323" s="150">
        <v>0</v>
      </c>
      <c r="E1323" s="151">
        <f ca="1">OFFSET(INDEX(Composições!A:H,MATCH(Orçamentária!A1323,Composições!A:A,0),8),2,0)</f>
        <v>10.175383499999999</v>
      </c>
      <c r="F1323" s="152">
        <f t="shared" ca="1" si="62"/>
        <v>0</v>
      </c>
      <c r="G1323" s="153">
        <f>IF($K1323="Padrão",BDI!$B$17,IF($K1323="Diferenciado",BDI!$E$17,0))</f>
        <v>0.2039</v>
      </c>
      <c r="H1323" s="151">
        <f t="shared" ca="1" si="60"/>
        <v>12.25</v>
      </c>
      <c r="I1323" s="152">
        <f t="shared" ca="1" si="61"/>
        <v>0</v>
      </c>
      <c r="J1323" s="154"/>
      <c r="K1323" s="155" t="s">
        <v>2966</v>
      </c>
    </row>
    <row r="1324" spans="1:11" ht="25.5" hidden="1" x14ac:dyDescent="0.25">
      <c r="A1324" s="148" t="s">
        <v>1255</v>
      </c>
      <c r="B1324" s="149" t="s">
        <v>4850</v>
      </c>
      <c r="C1324" s="150" t="s">
        <v>18</v>
      </c>
      <c r="D1324" s="150">
        <v>0</v>
      </c>
      <c r="E1324" s="151">
        <f ca="1">OFFSET(INDEX(Composições!A:H,MATCH(Orçamentária!A1324,Composições!A:A,0),8),2,0)</f>
        <v>74.031642750000003</v>
      </c>
      <c r="F1324" s="152">
        <f t="shared" ca="1" si="62"/>
        <v>0</v>
      </c>
      <c r="G1324" s="153">
        <f>IF($K1324="Padrão",BDI!$B$17,IF($K1324="Diferenciado",BDI!$E$17,0))</f>
        <v>0.2039</v>
      </c>
      <c r="H1324" s="151">
        <f t="shared" ca="1" si="60"/>
        <v>89.13</v>
      </c>
      <c r="I1324" s="152">
        <f t="shared" ca="1" si="61"/>
        <v>0</v>
      </c>
      <c r="J1324" s="154"/>
      <c r="K1324" s="155" t="s">
        <v>2966</v>
      </c>
    </row>
    <row r="1325" spans="1:11" hidden="1" x14ac:dyDescent="0.25">
      <c r="A1325" s="148" t="s">
        <v>4851</v>
      </c>
      <c r="B1325" s="149" t="s">
        <v>4852</v>
      </c>
      <c r="C1325" s="150" t="s">
        <v>18</v>
      </c>
      <c r="D1325" s="150">
        <v>0</v>
      </c>
      <c r="E1325" s="151" t="s">
        <v>13</v>
      </c>
      <c r="F1325" s="152" t="str">
        <f t="shared" si="62"/>
        <v/>
      </c>
      <c r="G1325" s="153">
        <f>IF($K1325="Padrão",BDI!$B$17,IF($K1325="Diferenciado",BDI!$E$17,0))</f>
        <v>0.2039</v>
      </c>
      <c r="H1325" s="151" t="str">
        <f t="shared" si="60"/>
        <v/>
      </c>
      <c r="I1325" s="152" t="str">
        <f t="shared" si="61"/>
        <v/>
      </c>
      <c r="J1325" s="154"/>
      <c r="K1325" s="155" t="s">
        <v>2966</v>
      </c>
    </row>
    <row r="1326" spans="1:11" hidden="1" x14ac:dyDescent="0.25">
      <c r="A1326" s="148" t="s">
        <v>4853</v>
      </c>
      <c r="B1326" s="149" t="s">
        <v>4854</v>
      </c>
      <c r="C1326" s="150" t="s">
        <v>18</v>
      </c>
      <c r="D1326" s="150">
        <v>0</v>
      </c>
      <c r="E1326" s="151" t="s">
        <v>13</v>
      </c>
      <c r="F1326" s="152" t="str">
        <f t="shared" si="62"/>
        <v/>
      </c>
      <c r="G1326" s="153">
        <f>IF($K1326="Padrão",BDI!$B$17,IF($K1326="Diferenciado",BDI!$E$17,0))</f>
        <v>0.2039</v>
      </c>
      <c r="H1326" s="151" t="str">
        <f t="shared" si="60"/>
        <v/>
      </c>
      <c r="I1326" s="152" t="str">
        <f t="shared" si="61"/>
        <v/>
      </c>
      <c r="J1326" s="154"/>
      <c r="K1326" s="155" t="s">
        <v>2966</v>
      </c>
    </row>
    <row r="1327" spans="1:11" hidden="1" x14ac:dyDescent="0.25">
      <c r="A1327" s="148" t="s">
        <v>4855</v>
      </c>
      <c r="B1327" s="149" t="s">
        <v>4856</v>
      </c>
      <c r="C1327" s="150" t="s">
        <v>18</v>
      </c>
      <c r="D1327" s="150">
        <v>0</v>
      </c>
      <c r="E1327" s="151" t="s">
        <v>13</v>
      </c>
      <c r="F1327" s="152" t="str">
        <f t="shared" si="62"/>
        <v/>
      </c>
      <c r="G1327" s="153">
        <f>IF($K1327="Padrão",BDI!$B$17,IF($K1327="Diferenciado",BDI!$E$17,0))</f>
        <v>0.2039</v>
      </c>
      <c r="H1327" s="151" t="str">
        <f t="shared" si="60"/>
        <v/>
      </c>
      <c r="I1327" s="152" t="str">
        <f t="shared" si="61"/>
        <v/>
      </c>
      <c r="J1327" s="154"/>
      <c r="K1327" s="155" t="s">
        <v>2966</v>
      </c>
    </row>
    <row r="1328" spans="1:11" hidden="1" x14ac:dyDescent="0.25">
      <c r="A1328" s="148" t="s">
        <v>4857</v>
      </c>
      <c r="B1328" s="149" t="s">
        <v>4858</v>
      </c>
      <c r="C1328" s="150" t="s">
        <v>18</v>
      </c>
      <c r="D1328" s="150">
        <v>0</v>
      </c>
      <c r="E1328" s="151" t="s">
        <v>13</v>
      </c>
      <c r="F1328" s="152" t="str">
        <f t="shared" si="62"/>
        <v/>
      </c>
      <c r="G1328" s="153">
        <f>IF($K1328="Padrão",BDI!$B$17,IF($K1328="Diferenciado",BDI!$E$17,0))</f>
        <v>0.2039</v>
      </c>
      <c r="H1328" s="151" t="str">
        <f t="shared" si="60"/>
        <v/>
      </c>
      <c r="I1328" s="152" t="str">
        <f t="shared" si="61"/>
        <v/>
      </c>
      <c r="J1328" s="154"/>
      <c r="K1328" s="155" t="s">
        <v>2966</v>
      </c>
    </row>
    <row r="1329" spans="1:11" hidden="1" x14ac:dyDescent="0.25">
      <c r="A1329" s="148" t="s">
        <v>4859</v>
      </c>
      <c r="B1329" s="149" t="s">
        <v>4860</v>
      </c>
      <c r="C1329" s="150" t="s">
        <v>18</v>
      </c>
      <c r="D1329" s="150">
        <v>0</v>
      </c>
      <c r="E1329" s="151" t="s">
        <v>13</v>
      </c>
      <c r="F1329" s="152" t="str">
        <f t="shared" si="62"/>
        <v/>
      </c>
      <c r="G1329" s="153">
        <f>IF($K1329="Padrão",BDI!$B$17,IF($K1329="Diferenciado",BDI!$E$17,0))</f>
        <v>0.2039</v>
      </c>
      <c r="H1329" s="151" t="str">
        <f t="shared" si="60"/>
        <v/>
      </c>
      <c r="I1329" s="152" t="str">
        <f t="shared" si="61"/>
        <v/>
      </c>
      <c r="J1329" s="154"/>
      <c r="K1329" s="155" t="s">
        <v>2966</v>
      </c>
    </row>
    <row r="1330" spans="1:11" hidden="1" x14ac:dyDescent="0.25">
      <c r="A1330" s="148" t="s">
        <v>1257</v>
      </c>
      <c r="B1330" s="149" t="s">
        <v>4861</v>
      </c>
      <c r="C1330" s="150" t="s">
        <v>18</v>
      </c>
      <c r="D1330" s="150">
        <v>0</v>
      </c>
      <c r="E1330" s="151">
        <f ca="1">OFFSET(INDEX(Composições!A:H,MATCH(Orçamentária!A1330,Composições!A:A,0),8),2,0)</f>
        <v>114.60267714999998</v>
      </c>
      <c r="F1330" s="152">
        <f t="shared" ca="1" si="62"/>
        <v>0</v>
      </c>
      <c r="G1330" s="153">
        <f>IF($K1330="Padrão",BDI!$B$17,IF($K1330="Diferenciado",BDI!$E$17,0))</f>
        <v>0.2039</v>
      </c>
      <c r="H1330" s="151">
        <f t="shared" ca="1" si="60"/>
        <v>137.97</v>
      </c>
      <c r="I1330" s="152">
        <f t="shared" ca="1" si="61"/>
        <v>0</v>
      </c>
      <c r="J1330" s="154"/>
      <c r="K1330" s="155" t="s">
        <v>2966</v>
      </c>
    </row>
    <row r="1331" spans="1:11" hidden="1" x14ac:dyDescent="0.25">
      <c r="A1331" s="148" t="s">
        <v>1259</v>
      </c>
      <c r="B1331" s="149" t="s">
        <v>4862</v>
      </c>
      <c r="C1331" s="150" t="s">
        <v>106</v>
      </c>
      <c r="D1331" s="150">
        <v>0</v>
      </c>
      <c r="E1331" s="151">
        <f ca="1">OFFSET(INDEX(Composições!A:H,MATCH(Orçamentária!A1331,Composições!A:A,0),8),2,0)</f>
        <v>616.12600326963752</v>
      </c>
      <c r="F1331" s="152">
        <f t="shared" ca="1" si="62"/>
        <v>0</v>
      </c>
      <c r="G1331" s="153">
        <f>IF($K1331="Padrão",BDI!$B$17,IF($K1331="Diferenciado",BDI!$E$17,0))</f>
        <v>0.2039</v>
      </c>
      <c r="H1331" s="151">
        <f t="shared" ca="1" si="60"/>
        <v>741.75</v>
      </c>
      <c r="I1331" s="152">
        <f t="shared" ca="1" si="61"/>
        <v>0</v>
      </c>
      <c r="J1331" s="154"/>
      <c r="K1331" s="155" t="s">
        <v>2966</v>
      </c>
    </row>
    <row r="1332" spans="1:11" hidden="1" x14ac:dyDescent="0.25">
      <c r="A1332" s="148" t="s">
        <v>1261</v>
      </c>
      <c r="B1332" s="149" t="s">
        <v>4863</v>
      </c>
      <c r="C1332" s="150" t="s">
        <v>106</v>
      </c>
      <c r="D1332" s="150">
        <v>0</v>
      </c>
      <c r="E1332" s="151">
        <f ca="1">OFFSET(INDEX(Composições!A:H,MATCH(Orçamentária!A1332,Composições!A:A,0),8),2,0)</f>
        <v>968.22830644097496</v>
      </c>
      <c r="F1332" s="152">
        <f t="shared" ca="1" si="62"/>
        <v>0</v>
      </c>
      <c r="G1332" s="153">
        <f>IF($K1332="Padrão",BDI!$B$17,IF($K1332="Diferenciado",BDI!$E$17,0))</f>
        <v>0.2039</v>
      </c>
      <c r="H1332" s="151">
        <f t="shared" ca="1" si="60"/>
        <v>1165.6500000000001</v>
      </c>
      <c r="I1332" s="152">
        <f t="shared" ca="1" si="61"/>
        <v>0</v>
      </c>
      <c r="J1332" s="154"/>
      <c r="K1332" s="155" t="s">
        <v>2966</v>
      </c>
    </row>
    <row r="1333" spans="1:11" hidden="1" x14ac:dyDescent="0.25">
      <c r="A1333" s="148" t="s">
        <v>1262</v>
      </c>
      <c r="B1333" s="149" t="s">
        <v>4864</v>
      </c>
      <c r="C1333" s="150" t="s">
        <v>18</v>
      </c>
      <c r="D1333" s="150">
        <v>0</v>
      </c>
      <c r="E1333" s="151">
        <f ca="1">OFFSET(INDEX(Composições!A:H,MATCH(Orçamentária!A1333,Composições!A:A,0),8),2,0)</f>
        <v>51.019022300000003</v>
      </c>
      <c r="F1333" s="152">
        <f t="shared" ca="1" si="62"/>
        <v>0</v>
      </c>
      <c r="G1333" s="153">
        <f>IF($K1333="Padrão",BDI!$B$17,IF($K1333="Diferenciado",BDI!$E$17,0))</f>
        <v>0.2039</v>
      </c>
      <c r="H1333" s="151">
        <f t="shared" ca="1" si="60"/>
        <v>61.42</v>
      </c>
      <c r="I1333" s="152">
        <f t="shared" ca="1" si="61"/>
        <v>0</v>
      </c>
      <c r="J1333" s="154"/>
      <c r="K1333" s="155" t="s">
        <v>2966</v>
      </c>
    </row>
    <row r="1334" spans="1:11" hidden="1" x14ac:dyDescent="0.25">
      <c r="A1334" s="148" t="s">
        <v>1263</v>
      </c>
      <c r="B1334" s="149" t="s">
        <v>1264</v>
      </c>
      <c r="C1334" s="150" t="s">
        <v>18</v>
      </c>
      <c r="D1334" s="150">
        <v>0</v>
      </c>
      <c r="E1334" s="151">
        <f ca="1">OFFSET(INDEX(Composições!A:H,MATCH(Orçamentária!A1334,Composições!A:A,0),8),2,0)</f>
        <v>39.939518100000001</v>
      </c>
      <c r="F1334" s="152">
        <f t="shared" ca="1" si="62"/>
        <v>0</v>
      </c>
      <c r="G1334" s="153">
        <f>IF($K1334="Padrão",BDI!$B$17,IF($K1334="Diferenciado",BDI!$E$17,0))</f>
        <v>0.2039</v>
      </c>
      <c r="H1334" s="151">
        <f t="shared" ca="1" si="60"/>
        <v>48.08</v>
      </c>
      <c r="I1334" s="152">
        <f t="shared" ca="1" si="61"/>
        <v>0</v>
      </c>
      <c r="J1334" s="154"/>
      <c r="K1334" s="155" t="s">
        <v>2966</v>
      </c>
    </row>
    <row r="1335" spans="1:11" hidden="1" x14ac:dyDescent="0.25">
      <c r="A1335" s="148" t="s">
        <v>1265</v>
      </c>
      <c r="B1335" s="149" t="s">
        <v>1266</v>
      </c>
      <c r="C1335" s="150" t="s">
        <v>18</v>
      </c>
      <c r="D1335" s="150">
        <v>0</v>
      </c>
      <c r="E1335" s="151">
        <f ca="1">OFFSET(INDEX(Composições!A:H,MATCH(Orçamentária!A1335,Composições!A:A,0),8),2,0)</f>
        <v>211.73452749999996</v>
      </c>
      <c r="F1335" s="152">
        <f t="shared" ca="1" si="62"/>
        <v>0</v>
      </c>
      <c r="G1335" s="153">
        <f>IF($K1335="Padrão",BDI!$B$17,IF($K1335="Diferenciado",BDI!$E$17,0))</f>
        <v>0.2039</v>
      </c>
      <c r="H1335" s="151">
        <f t="shared" ca="1" si="60"/>
        <v>254.91</v>
      </c>
      <c r="I1335" s="152">
        <f t="shared" ca="1" si="61"/>
        <v>0</v>
      </c>
      <c r="J1335" s="154"/>
      <c r="K1335" s="155" t="s">
        <v>2966</v>
      </c>
    </row>
    <row r="1336" spans="1:11" hidden="1" x14ac:dyDescent="0.25">
      <c r="A1336" s="148" t="s">
        <v>1267</v>
      </c>
      <c r="B1336" s="149" t="s">
        <v>4865</v>
      </c>
      <c r="C1336" s="150" t="s">
        <v>106</v>
      </c>
      <c r="D1336" s="150">
        <v>0</v>
      </c>
      <c r="E1336" s="151">
        <f ca="1">OFFSET(INDEX(Composições!A:H,MATCH(Orçamentária!A1336,Composições!A:A,0),8),2,0)</f>
        <v>4.00879575</v>
      </c>
      <c r="F1336" s="152">
        <f t="shared" ca="1" si="62"/>
        <v>0</v>
      </c>
      <c r="G1336" s="153">
        <f>IF($K1336="Padrão",BDI!$B$17,IF($K1336="Diferenciado",BDI!$E$17,0))</f>
        <v>0.2039</v>
      </c>
      <c r="H1336" s="151">
        <f t="shared" ca="1" si="60"/>
        <v>4.83</v>
      </c>
      <c r="I1336" s="152">
        <f t="shared" ca="1" si="61"/>
        <v>0</v>
      </c>
      <c r="J1336" s="154"/>
      <c r="K1336" s="155" t="s">
        <v>2966</v>
      </c>
    </row>
    <row r="1337" spans="1:11" hidden="1" x14ac:dyDescent="0.25">
      <c r="A1337" s="148" t="s">
        <v>1269</v>
      </c>
      <c r="B1337" s="149" t="s">
        <v>4866</v>
      </c>
      <c r="C1337" s="150" t="s">
        <v>106</v>
      </c>
      <c r="D1337" s="150">
        <v>0</v>
      </c>
      <c r="E1337" s="151">
        <f ca="1">OFFSET(INDEX(Composições!A:H,MATCH(Orçamentária!A1337,Composições!A:A,0),8),2,0)</f>
        <v>7.8258910000000004</v>
      </c>
      <c r="F1337" s="152">
        <f t="shared" ca="1" si="62"/>
        <v>0</v>
      </c>
      <c r="G1337" s="153">
        <f>IF($K1337="Padrão",BDI!$B$17,IF($K1337="Diferenciado",BDI!$E$17,0))</f>
        <v>0.2039</v>
      </c>
      <c r="H1337" s="151">
        <f t="shared" ca="1" si="60"/>
        <v>9.42</v>
      </c>
      <c r="I1337" s="152">
        <f t="shared" ca="1" si="61"/>
        <v>0</v>
      </c>
      <c r="J1337" s="154"/>
      <c r="K1337" s="155" t="s">
        <v>2966</v>
      </c>
    </row>
    <row r="1338" spans="1:11" hidden="1" x14ac:dyDescent="0.25">
      <c r="A1338" s="148" t="s">
        <v>1271</v>
      </c>
      <c r="B1338" s="149" t="s">
        <v>4867</v>
      </c>
      <c r="C1338" s="150" t="s">
        <v>106</v>
      </c>
      <c r="D1338" s="150">
        <v>0</v>
      </c>
      <c r="E1338" s="151">
        <f ca="1">OFFSET(INDEX(Composições!A:H,MATCH(Orçamentária!A1338,Composições!A:A,0),8),2,0)</f>
        <v>21.621312199999998</v>
      </c>
      <c r="F1338" s="152">
        <f t="shared" ca="1" si="62"/>
        <v>0</v>
      </c>
      <c r="G1338" s="153">
        <f>IF($K1338="Padrão",BDI!$B$17,IF($K1338="Diferenciado",BDI!$E$17,0))</f>
        <v>0.2039</v>
      </c>
      <c r="H1338" s="151">
        <f t="shared" ca="1" si="60"/>
        <v>26.03</v>
      </c>
      <c r="I1338" s="152">
        <f t="shared" ca="1" si="61"/>
        <v>0</v>
      </c>
      <c r="J1338" s="154"/>
      <c r="K1338" s="155" t="s">
        <v>2966</v>
      </c>
    </row>
    <row r="1339" spans="1:11" hidden="1" x14ac:dyDescent="0.25">
      <c r="A1339" s="148" t="s">
        <v>1272</v>
      </c>
      <c r="B1339" s="149" t="s">
        <v>4868</v>
      </c>
      <c r="C1339" s="150" t="s">
        <v>18</v>
      </c>
      <c r="D1339" s="150">
        <v>0</v>
      </c>
      <c r="E1339" s="151">
        <f ca="1">OFFSET(INDEX(Composições!A:H,MATCH(Orçamentária!A1339,Composições!A:A,0),8),2,0)</f>
        <v>1851.0721051885653</v>
      </c>
      <c r="F1339" s="152">
        <f t="shared" ca="1" si="62"/>
        <v>0</v>
      </c>
      <c r="G1339" s="153">
        <f>IF($K1339="Padrão",BDI!$B$17,IF($K1339="Diferenciado",BDI!$E$17,0))</f>
        <v>0.2039</v>
      </c>
      <c r="H1339" s="151">
        <f t="shared" ca="1" si="60"/>
        <v>2228.5100000000002</v>
      </c>
      <c r="I1339" s="152">
        <f t="shared" ca="1" si="61"/>
        <v>0</v>
      </c>
      <c r="J1339" s="154"/>
      <c r="K1339" s="155" t="s">
        <v>2966</v>
      </c>
    </row>
    <row r="1340" spans="1:11" hidden="1" x14ac:dyDescent="0.25">
      <c r="A1340" s="148" t="s">
        <v>1273</v>
      </c>
      <c r="B1340" s="149" t="s">
        <v>4869</v>
      </c>
      <c r="C1340" s="150" t="s">
        <v>18</v>
      </c>
      <c r="D1340" s="150">
        <v>0</v>
      </c>
      <c r="E1340" s="151">
        <f ca="1">OFFSET(INDEX(Composições!A:H,MATCH(Orçamentária!A1340,Composições!A:A,0),8),2,0)</f>
        <v>7078.6</v>
      </c>
      <c r="F1340" s="152">
        <f t="shared" ca="1" si="62"/>
        <v>0</v>
      </c>
      <c r="G1340" s="153">
        <f>IF($K1340="Padrão",BDI!$B$17,IF($K1340="Diferenciado",BDI!$E$17,0))</f>
        <v>0.2039</v>
      </c>
      <c r="H1340" s="151">
        <f t="shared" ca="1" si="60"/>
        <v>8521.93</v>
      </c>
      <c r="I1340" s="152">
        <f t="shared" ca="1" si="61"/>
        <v>0</v>
      </c>
      <c r="J1340" s="154"/>
      <c r="K1340" s="155" t="s">
        <v>2966</v>
      </c>
    </row>
    <row r="1341" spans="1:11" hidden="1" x14ac:dyDescent="0.25">
      <c r="A1341" s="148" t="s">
        <v>1274</v>
      </c>
      <c r="B1341" s="149" t="s">
        <v>4870</v>
      </c>
      <c r="C1341" s="150" t="s">
        <v>106</v>
      </c>
      <c r="D1341" s="150">
        <v>0</v>
      </c>
      <c r="E1341" s="151">
        <f ca="1">OFFSET(INDEX(Composições!A:H,MATCH(Orçamentária!A1341,Composições!A:A,0),8),2,0)</f>
        <v>11.859396250000001</v>
      </c>
      <c r="F1341" s="152">
        <f t="shared" ca="1" si="62"/>
        <v>0</v>
      </c>
      <c r="G1341" s="153">
        <f>IF($K1341="Padrão",BDI!$B$17,IF($K1341="Diferenciado",BDI!$E$17,0))</f>
        <v>0.2039</v>
      </c>
      <c r="H1341" s="151">
        <f t="shared" ca="1" si="60"/>
        <v>14.28</v>
      </c>
      <c r="I1341" s="152">
        <f t="shared" ca="1" si="61"/>
        <v>0</v>
      </c>
      <c r="J1341" s="154"/>
      <c r="K1341" s="155" t="s">
        <v>2966</v>
      </c>
    </row>
    <row r="1342" spans="1:11" hidden="1" x14ac:dyDescent="0.25">
      <c r="A1342" s="148" t="s">
        <v>4871</v>
      </c>
      <c r="B1342" s="149" t="s">
        <v>4872</v>
      </c>
      <c r="C1342" s="150" t="s">
        <v>106</v>
      </c>
      <c r="D1342" s="150">
        <v>0</v>
      </c>
      <c r="E1342" s="151" t="s">
        <v>13</v>
      </c>
      <c r="F1342" s="152" t="str">
        <f t="shared" si="62"/>
        <v/>
      </c>
      <c r="G1342" s="153">
        <f>IF($K1342="Padrão",BDI!$B$17,IF($K1342="Diferenciado",BDI!$E$17,0))</f>
        <v>0.2039</v>
      </c>
      <c r="H1342" s="151" t="str">
        <f t="shared" si="60"/>
        <v/>
      </c>
      <c r="I1342" s="152" t="str">
        <f t="shared" si="61"/>
        <v/>
      </c>
      <c r="J1342" s="154"/>
      <c r="K1342" s="155" t="s">
        <v>2966</v>
      </c>
    </row>
    <row r="1343" spans="1:11" hidden="1" x14ac:dyDescent="0.25">
      <c r="A1343" s="148" t="s">
        <v>4873</v>
      </c>
      <c r="B1343" s="149" t="s">
        <v>4874</v>
      </c>
      <c r="C1343" s="150" t="s">
        <v>106</v>
      </c>
      <c r="D1343" s="150">
        <v>0</v>
      </c>
      <c r="E1343" s="151" t="s">
        <v>13</v>
      </c>
      <c r="F1343" s="152" t="str">
        <f t="shared" si="62"/>
        <v/>
      </c>
      <c r="G1343" s="153">
        <f>IF($K1343="Padrão",BDI!$B$17,IF($K1343="Diferenciado",BDI!$E$17,0))</f>
        <v>0.2039</v>
      </c>
      <c r="H1343" s="151" t="str">
        <f t="shared" si="60"/>
        <v/>
      </c>
      <c r="I1343" s="152" t="str">
        <f t="shared" si="61"/>
        <v/>
      </c>
      <c r="J1343" s="154"/>
      <c r="K1343" s="155" t="s">
        <v>2966</v>
      </c>
    </row>
    <row r="1344" spans="1:11" hidden="1" x14ac:dyDescent="0.25">
      <c r="A1344" s="148" t="s">
        <v>1275</v>
      </c>
      <c r="B1344" s="149" t="s">
        <v>4875</v>
      </c>
      <c r="C1344" s="150" t="s">
        <v>18</v>
      </c>
      <c r="D1344" s="150">
        <v>0</v>
      </c>
      <c r="E1344" s="151">
        <f ca="1">OFFSET(INDEX(Composições!A:H,MATCH(Orçamentária!A1344,Composições!A:A,0),8),2,0)</f>
        <v>702.80864479583511</v>
      </c>
      <c r="F1344" s="152">
        <f t="shared" ca="1" si="62"/>
        <v>0</v>
      </c>
      <c r="G1344" s="153">
        <f>IF($K1344="Padrão",BDI!$B$17,IF($K1344="Diferenciado",BDI!$E$17,0))</f>
        <v>0.2039</v>
      </c>
      <c r="H1344" s="151">
        <f t="shared" ca="1" si="60"/>
        <v>846.11</v>
      </c>
      <c r="I1344" s="152">
        <f t="shared" ca="1" si="61"/>
        <v>0</v>
      </c>
      <c r="J1344" s="154"/>
      <c r="K1344" s="155" t="s">
        <v>2966</v>
      </c>
    </row>
    <row r="1345" spans="1:11" hidden="1" x14ac:dyDescent="0.25">
      <c r="A1345" s="148" t="s">
        <v>1276</v>
      </c>
      <c r="B1345" s="149" t="s">
        <v>1277</v>
      </c>
      <c r="C1345" s="150" t="s">
        <v>18</v>
      </c>
      <c r="D1345" s="150">
        <v>0</v>
      </c>
      <c r="E1345" s="151">
        <f ca="1">OFFSET(INDEX(Composições!A:H,MATCH(Orçamentária!A1345,Composições!A:A,0),8),2,0)</f>
        <v>4.0320223000000004</v>
      </c>
      <c r="F1345" s="152">
        <f t="shared" ca="1" si="62"/>
        <v>0</v>
      </c>
      <c r="G1345" s="153">
        <f>IF($K1345="Padrão",BDI!$B$17,IF($K1345="Diferenciado",BDI!$E$17,0))</f>
        <v>0.2039</v>
      </c>
      <c r="H1345" s="151">
        <f t="shared" ca="1" si="60"/>
        <v>4.8499999999999996</v>
      </c>
      <c r="I1345" s="152">
        <f t="shared" ca="1" si="61"/>
        <v>0</v>
      </c>
      <c r="J1345" s="154"/>
      <c r="K1345" s="155" t="s">
        <v>2966</v>
      </c>
    </row>
    <row r="1346" spans="1:11" hidden="1" x14ac:dyDescent="0.25">
      <c r="A1346" s="148" t="s">
        <v>1278</v>
      </c>
      <c r="B1346" s="149" t="s">
        <v>1279</v>
      </c>
      <c r="C1346" s="150" t="s">
        <v>18</v>
      </c>
      <c r="D1346" s="150">
        <v>0</v>
      </c>
      <c r="E1346" s="151">
        <f ca="1">OFFSET(INDEX(Composições!A:H,MATCH(Orçamentária!A1346,Composições!A:A,0),8),2,0)</f>
        <v>6.1463461000000006</v>
      </c>
      <c r="F1346" s="152">
        <f t="shared" ca="1" si="62"/>
        <v>0</v>
      </c>
      <c r="G1346" s="153">
        <f>IF($K1346="Padrão",BDI!$B$17,IF($K1346="Diferenciado",BDI!$E$17,0))</f>
        <v>0.2039</v>
      </c>
      <c r="H1346" s="151">
        <f t="shared" ca="1" si="60"/>
        <v>7.4</v>
      </c>
      <c r="I1346" s="152">
        <f t="shared" ca="1" si="61"/>
        <v>0</v>
      </c>
      <c r="J1346" s="154"/>
      <c r="K1346" s="155" t="s">
        <v>2966</v>
      </c>
    </row>
    <row r="1347" spans="1:11" hidden="1" x14ac:dyDescent="0.25">
      <c r="A1347" s="148" t="s">
        <v>1280</v>
      </c>
      <c r="B1347" s="149" t="s">
        <v>4876</v>
      </c>
      <c r="C1347" s="150" t="s">
        <v>106</v>
      </c>
      <c r="D1347" s="150">
        <v>0</v>
      </c>
      <c r="E1347" s="151">
        <f ca="1">OFFSET(INDEX(Composições!A:H,MATCH(Orçamentária!A1347,Composições!A:A,0),8),2,0)</f>
        <v>25.524026200000002</v>
      </c>
      <c r="F1347" s="152">
        <f t="shared" ca="1" si="62"/>
        <v>0</v>
      </c>
      <c r="G1347" s="153">
        <f>IF($K1347="Padrão",BDI!$B$17,IF($K1347="Diferenciado",BDI!$E$17,0))</f>
        <v>0.2039</v>
      </c>
      <c r="H1347" s="151">
        <f t="shared" ca="1" si="60"/>
        <v>30.73</v>
      </c>
      <c r="I1347" s="152">
        <f t="shared" ca="1" si="61"/>
        <v>0</v>
      </c>
      <c r="J1347" s="154"/>
      <c r="K1347" s="155" t="s">
        <v>2966</v>
      </c>
    </row>
    <row r="1348" spans="1:11" hidden="1" x14ac:dyDescent="0.25">
      <c r="A1348" s="148" t="s">
        <v>1281</v>
      </c>
      <c r="B1348" s="149" t="s">
        <v>4877</v>
      </c>
      <c r="C1348" s="150" t="s">
        <v>106</v>
      </c>
      <c r="D1348" s="150">
        <v>0</v>
      </c>
      <c r="E1348" s="151">
        <f ca="1">OFFSET(INDEX(Composições!A:H,MATCH(Orçamentária!A1348,Composições!A:A,0),8),2,0)</f>
        <v>33.439735899999995</v>
      </c>
      <c r="F1348" s="152">
        <f t="shared" ca="1" si="62"/>
        <v>0</v>
      </c>
      <c r="G1348" s="153">
        <f>IF($K1348="Padrão",BDI!$B$17,IF($K1348="Diferenciado",BDI!$E$17,0))</f>
        <v>0.2039</v>
      </c>
      <c r="H1348" s="151">
        <f t="shared" ca="1" si="60"/>
        <v>40.26</v>
      </c>
      <c r="I1348" s="152">
        <f t="shared" ca="1" si="61"/>
        <v>0</v>
      </c>
      <c r="J1348" s="154"/>
      <c r="K1348" s="155" t="s">
        <v>2966</v>
      </c>
    </row>
    <row r="1349" spans="1:11" hidden="1" x14ac:dyDescent="0.25">
      <c r="A1349" s="148" t="s">
        <v>1282</v>
      </c>
      <c r="B1349" s="149" t="s">
        <v>4878</v>
      </c>
      <c r="C1349" s="150" t="s">
        <v>18</v>
      </c>
      <c r="D1349" s="150">
        <v>0</v>
      </c>
      <c r="E1349" s="151">
        <f ca="1">OFFSET(INDEX(Composições!A:H,MATCH(Orçamentária!A1349,Composições!A:A,0),8),2,0)</f>
        <v>44.668846099999989</v>
      </c>
      <c r="F1349" s="152">
        <f t="shared" ca="1" si="62"/>
        <v>0</v>
      </c>
      <c r="G1349" s="153">
        <f>IF($K1349="Padrão",BDI!$B$17,IF($K1349="Diferenciado",BDI!$E$17,0))</f>
        <v>0.2039</v>
      </c>
      <c r="H1349" s="151">
        <f t="shared" ca="1" si="60"/>
        <v>53.78</v>
      </c>
      <c r="I1349" s="152">
        <f t="shared" ca="1" si="61"/>
        <v>0</v>
      </c>
      <c r="J1349" s="154"/>
      <c r="K1349" s="155" t="s">
        <v>2966</v>
      </c>
    </row>
    <row r="1350" spans="1:11" hidden="1" x14ac:dyDescent="0.25">
      <c r="A1350" s="148" t="s">
        <v>4879</v>
      </c>
      <c r="B1350" s="149" t="s">
        <v>4880</v>
      </c>
      <c r="C1350" s="150" t="s">
        <v>18</v>
      </c>
      <c r="D1350" s="150">
        <v>0</v>
      </c>
      <c r="E1350" s="151" t="s">
        <v>13</v>
      </c>
      <c r="F1350" s="152" t="str">
        <f t="shared" si="62"/>
        <v/>
      </c>
      <c r="G1350" s="153">
        <f>IF($K1350="Padrão",BDI!$B$17,IF($K1350="Diferenciado",BDI!$E$17,0))</f>
        <v>0.2039</v>
      </c>
      <c r="H1350" s="151" t="str">
        <f t="shared" ref="H1350:H1413" si="63">IF(ISNUMBER(E1350),ROUND(E1350*(1+G1350),2),"")</f>
        <v/>
      </c>
      <c r="I1350" s="152" t="str">
        <f t="shared" ref="I1350:I1413" si="64">IF(ISNUMBER(E1350),ROUND(H1350*D1350,2),"")</f>
        <v/>
      </c>
      <c r="J1350" s="154"/>
      <c r="K1350" s="155" t="s">
        <v>2966</v>
      </c>
    </row>
    <row r="1351" spans="1:11" hidden="1" x14ac:dyDescent="0.25">
      <c r="A1351" s="148" t="s">
        <v>4881</v>
      </c>
      <c r="B1351" s="149" t="s">
        <v>4882</v>
      </c>
      <c r="C1351" s="150" t="s">
        <v>18</v>
      </c>
      <c r="D1351" s="150">
        <v>0</v>
      </c>
      <c r="E1351" s="151" t="s">
        <v>13</v>
      </c>
      <c r="F1351" s="152" t="str">
        <f t="shared" ref="F1351:F1414" si="65">IF(ISNUMBER(E1351),D1351*E1351,"")</f>
        <v/>
      </c>
      <c r="G1351" s="153">
        <f>IF($K1351="Padrão",BDI!$B$17,IF($K1351="Diferenciado",BDI!$E$17,0))</f>
        <v>0.2039</v>
      </c>
      <c r="H1351" s="151" t="str">
        <f t="shared" si="63"/>
        <v/>
      </c>
      <c r="I1351" s="152" t="str">
        <f t="shared" si="64"/>
        <v/>
      </c>
      <c r="J1351" s="154"/>
      <c r="K1351" s="155" t="s">
        <v>2966</v>
      </c>
    </row>
    <row r="1352" spans="1:11" hidden="1" x14ac:dyDescent="0.25">
      <c r="A1352" s="148" t="s">
        <v>1283</v>
      </c>
      <c r="B1352" s="149" t="s">
        <v>4883</v>
      </c>
      <c r="C1352" s="150" t="s">
        <v>18</v>
      </c>
      <c r="D1352" s="150">
        <v>0</v>
      </c>
      <c r="E1352" s="151">
        <f ca="1">OFFSET(INDEX(Composições!A:H,MATCH(Orçamentária!A1352,Composições!A:A,0),8),2,0)</f>
        <v>6.9243474714000008</v>
      </c>
      <c r="F1352" s="152">
        <f t="shared" ca="1" si="65"/>
        <v>0</v>
      </c>
      <c r="G1352" s="153">
        <f>IF($K1352="Padrão",BDI!$B$17,IF($K1352="Diferenciado",BDI!$E$17,0))</f>
        <v>0.2039</v>
      </c>
      <c r="H1352" s="151">
        <f t="shared" ca="1" si="63"/>
        <v>8.34</v>
      </c>
      <c r="I1352" s="152">
        <f t="shared" ca="1" si="64"/>
        <v>0</v>
      </c>
      <c r="J1352" s="154"/>
      <c r="K1352" s="155" t="s">
        <v>2966</v>
      </c>
    </row>
    <row r="1353" spans="1:11" hidden="1" x14ac:dyDescent="0.25">
      <c r="A1353" s="148" t="s">
        <v>1285</v>
      </c>
      <c r="B1353" s="149" t="s">
        <v>4884</v>
      </c>
      <c r="C1353" s="150" t="s">
        <v>106</v>
      </c>
      <c r="D1353" s="150">
        <v>0</v>
      </c>
      <c r="E1353" s="151">
        <f ca="1">OFFSET(INDEX(Composições!A:H,MATCH(Orçamentária!A1353,Composições!A:A,0),8),2,0)</f>
        <v>0.15787099999999998</v>
      </c>
      <c r="F1353" s="152">
        <f t="shared" ca="1" si="65"/>
        <v>0</v>
      </c>
      <c r="G1353" s="153">
        <f>IF($K1353="Padrão",BDI!$B$17,IF($K1353="Diferenciado",BDI!$E$17,0))</f>
        <v>0.2039</v>
      </c>
      <c r="H1353" s="151">
        <f t="shared" ca="1" si="63"/>
        <v>0.19</v>
      </c>
      <c r="I1353" s="152">
        <f t="shared" ca="1" si="64"/>
        <v>0</v>
      </c>
      <c r="J1353" s="154"/>
      <c r="K1353" s="155" t="s">
        <v>2966</v>
      </c>
    </row>
    <row r="1354" spans="1:11" hidden="1" x14ac:dyDescent="0.25">
      <c r="A1354" s="148" t="s">
        <v>1287</v>
      </c>
      <c r="B1354" s="149" t="s">
        <v>4885</v>
      </c>
      <c r="C1354" s="150" t="s">
        <v>106</v>
      </c>
      <c r="D1354" s="150">
        <v>0</v>
      </c>
      <c r="E1354" s="151">
        <f ca="1">OFFSET(INDEX(Composições!A:H,MATCH(Orçamentária!A1354,Composições!A:A,0),8),2,0)</f>
        <v>4.00879575</v>
      </c>
      <c r="F1354" s="152">
        <f t="shared" ca="1" si="65"/>
        <v>0</v>
      </c>
      <c r="G1354" s="153">
        <f>IF($K1354="Padrão",BDI!$B$17,IF($K1354="Diferenciado",BDI!$E$17,0))</f>
        <v>0.2039</v>
      </c>
      <c r="H1354" s="151">
        <f t="shared" ca="1" si="63"/>
        <v>4.83</v>
      </c>
      <c r="I1354" s="152">
        <f t="shared" ca="1" si="64"/>
        <v>0</v>
      </c>
      <c r="J1354" s="154"/>
      <c r="K1354" s="155" t="s">
        <v>2966</v>
      </c>
    </row>
    <row r="1355" spans="1:11" hidden="1" x14ac:dyDescent="0.25">
      <c r="A1355" s="148" t="s">
        <v>1289</v>
      </c>
      <c r="B1355" s="149" t="s">
        <v>4886</v>
      </c>
      <c r="C1355" s="150" t="s">
        <v>106</v>
      </c>
      <c r="D1355" s="150">
        <v>0</v>
      </c>
      <c r="E1355" s="151">
        <f ca="1">OFFSET(INDEX(Composições!A:H,MATCH(Orçamentária!A1355,Composições!A:A,0),8),2,0)</f>
        <v>0.15787099999999998</v>
      </c>
      <c r="F1355" s="152">
        <f t="shared" ca="1" si="65"/>
        <v>0</v>
      </c>
      <c r="G1355" s="153">
        <f>IF($K1355="Padrão",BDI!$B$17,IF($K1355="Diferenciado",BDI!$E$17,0))</f>
        <v>0.2039</v>
      </c>
      <c r="H1355" s="151">
        <f t="shared" ca="1" si="63"/>
        <v>0.19</v>
      </c>
      <c r="I1355" s="152">
        <f t="shared" ca="1" si="64"/>
        <v>0</v>
      </c>
      <c r="J1355" s="154"/>
      <c r="K1355" s="155" t="s">
        <v>2966</v>
      </c>
    </row>
    <row r="1356" spans="1:11" hidden="1" x14ac:dyDescent="0.25">
      <c r="A1356" s="148" t="s">
        <v>1291</v>
      </c>
      <c r="B1356" s="149" t="s">
        <v>4887</v>
      </c>
      <c r="C1356" s="150" t="s">
        <v>106</v>
      </c>
      <c r="D1356" s="150">
        <v>0</v>
      </c>
      <c r="E1356" s="151">
        <f ca="1">OFFSET(INDEX(Composições!A:H,MATCH(Orçamentária!A1356,Composições!A:A,0),8),2,0)</f>
        <v>0.15787099999999998</v>
      </c>
      <c r="F1356" s="152">
        <f t="shared" ca="1" si="65"/>
        <v>0</v>
      </c>
      <c r="G1356" s="153">
        <f>IF($K1356="Padrão",BDI!$B$17,IF($K1356="Diferenciado",BDI!$E$17,0))</f>
        <v>0.2039</v>
      </c>
      <c r="H1356" s="151">
        <f t="shared" ca="1" si="63"/>
        <v>0.19</v>
      </c>
      <c r="I1356" s="152">
        <f t="shared" ca="1" si="64"/>
        <v>0</v>
      </c>
      <c r="J1356" s="154"/>
      <c r="K1356" s="155" t="s">
        <v>2966</v>
      </c>
    </row>
    <row r="1357" spans="1:11" hidden="1" x14ac:dyDescent="0.25">
      <c r="A1357" s="148" t="s">
        <v>1293</v>
      </c>
      <c r="B1357" s="149" t="s">
        <v>4888</v>
      </c>
      <c r="C1357" s="150" t="s">
        <v>18</v>
      </c>
      <c r="D1357" s="150">
        <v>0</v>
      </c>
      <c r="E1357" s="151">
        <f ca="1">OFFSET(INDEX(Composições!A:H,MATCH(Orçamentária!A1357,Composições!A:A,0),8),2,0)</f>
        <v>84.359767250000004</v>
      </c>
      <c r="F1357" s="152">
        <f t="shared" ca="1" si="65"/>
        <v>0</v>
      </c>
      <c r="G1357" s="153">
        <f>IF($K1357="Padrão",BDI!$B$17,IF($K1357="Diferenciado",BDI!$E$17,0))</f>
        <v>0.2039</v>
      </c>
      <c r="H1357" s="151">
        <f t="shared" ca="1" si="63"/>
        <v>101.56</v>
      </c>
      <c r="I1357" s="152">
        <f t="shared" ca="1" si="64"/>
        <v>0</v>
      </c>
      <c r="J1357" s="154"/>
      <c r="K1357" s="155" t="s">
        <v>2966</v>
      </c>
    </row>
    <row r="1358" spans="1:11" hidden="1" x14ac:dyDescent="0.25">
      <c r="A1358" s="148" t="s">
        <v>1294</v>
      </c>
      <c r="B1358" s="149" t="s">
        <v>1295</v>
      </c>
      <c r="C1358" s="150" t="s">
        <v>106</v>
      </c>
      <c r="D1358" s="150">
        <v>0</v>
      </c>
      <c r="E1358" s="151">
        <f ca="1">OFFSET(INDEX(Composições!A:H,MATCH(Orçamentária!A1358,Composições!A:A,0),8),2,0)</f>
        <v>6.9630155</v>
      </c>
      <c r="F1358" s="152">
        <f t="shared" ca="1" si="65"/>
        <v>0</v>
      </c>
      <c r="G1358" s="153">
        <f>IF($K1358="Padrão",BDI!$B$17,IF($K1358="Diferenciado",BDI!$E$17,0))</f>
        <v>0.2039</v>
      </c>
      <c r="H1358" s="151">
        <f t="shared" ca="1" si="63"/>
        <v>8.3800000000000008</v>
      </c>
      <c r="I1358" s="152">
        <f t="shared" ca="1" si="64"/>
        <v>0</v>
      </c>
      <c r="J1358" s="154"/>
      <c r="K1358" s="155" t="s">
        <v>2966</v>
      </c>
    </row>
    <row r="1359" spans="1:11" hidden="1" x14ac:dyDescent="0.25">
      <c r="A1359" s="148" t="s">
        <v>1296</v>
      </c>
      <c r="B1359" s="149" t="s">
        <v>1297</v>
      </c>
      <c r="C1359" s="150" t="s">
        <v>106</v>
      </c>
      <c r="D1359" s="150">
        <v>0</v>
      </c>
      <c r="E1359" s="151">
        <f ca="1">OFFSET(INDEX(Composições!A:H,MATCH(Orçamentária!A1359,Composições!A:A,0),8),2,0)</f>
        <v>14.2025285</v>
      </c>
      <c r="F1359" s="152">
        <f t="shared" ca="1" si="65"/>
        <v>0</v>
      </c>
      <c r="G1359" s="153">
        <f>IF($K1359="Padrão",BDI!$B$17,IF($K1359="Diferenciado",BDI!$E$17,0))</f>
        <v>0.2039</v>
      </c>
      <c r="H1359" s="151">
        <f t="shared" ca="1" si="63"/>
        <v>17.100000000000001</v>
      </c>
      <c r="I1359" s="152">
        <f t="shared" ca="1" si="64"/>
        <v>0</v>
      </c>
      <c r="J1359" s="154"/>
      <c r="K1359" s="155" t="s">
        <v>2966</v>
      </c>
    </row>
    <row r="1360" spans="1:11" hidden="1" x14ac:dyDescent="0.25">
      <c r="A1360" s="148" t="s">
        <v>1298</v>
      </c>
      <c r="B1360" s="149" t="s">
        <v>4889</v>
      </c>
      <c r="C1360" s="150" t="s">
        <v>18</v>
      </c>
      <c r="D1360" s="150">
        <v>0</v>
      </c>
      <c r="E1360" s="151">
        <f ca="1">OFFSET(INDEX(Composições!A:H,MATCH(Orçamentária!A1360,Composições!A:A,0),8),2,0)</f>
        <v>140.95625000000001</v>
      </c>
      <c r="F1360" s="152">
        <f t="shared" ca="1" si="65"/>
        <v>0</v>
      </c>
      <c r="G1360" s="153">
        <f>IF($K1360="Padrão",BDI!$B$17,IF($K1360="Diferenciado",BDI!$E$17,0))</f>
        <v>0.2039</v>
      </c>
      <c r="H1360" s="151">
        <f t="shared" ca="1" si="63"/>
        <v>169.7</v>
      </c>
      <c r="I1360" s="152">
        <f t="shared" ca="1" si="64"/>
        <v>0</v>
      </c>
      <c r="J1360" s="154"/>
      <c r="K1360" s="155" t="s">
        <v>2966</v>
      </c>
    </row>
    <row r="1361" spans="1:11" ht="25.5" hidden="1" x14ac:dyDescent="0.25">
      <c r="A1361" s="148" t="s">
        <v>1300</v>
      </c>
      <c r="B1361" s="149" t="s">
        <v>4890</v>
      </c>
      <c r="C1361" s="150" t="s">
        <v>106</v>
      </c>
      <c r="D1361" s="150">
        <v>0</v>
      </c>
      <c r="E1361" s="151">
        <f ca="1">OFFSET(INDEX(Composições!A:H,MATCH(Orçamentária!A1361,Composições!A:A,0),8),2,0)</f>
        <v>9.70342825</v>
      </c>
      <c r="F1361" s="152">
        <f t="shared" ca="1" si="65"/>
        <v>0</v>
      </c>
      <c r="G1361" s="153">
        <f>IF($K1361="Padrão",BDI!$B$17,IF($K1361="Diferenciado",BDI!$E$17,0))</f>
        <v>0.2039</v>
      </c>
      <c r="H1361" s="151">
        <f t="shared" ca="1" si="63"/>
        <v>11.68</v>
      </c>
      <c r="I1361" s="152">
        <f t="shared" ca="1" si="64"/>
        <v>0</v>
      </c>
      <c r="J1361" s="154"/>
      <c r="K1361" s="155" t="s">
        <v>2966</v>
      </c>
    </row>
    <row r="1362" spans="1:11" hidden="1" x14ac:dyDescent="0.25">
      <c r="A1362" s="148" t="s">
        <v>4891</v>
      </c>
      <c r="B1362" s="149" t="s">
        <v>4892</v>
      </c>
      <c r="C1362" s="150" t="s">
        <v>18</v>
      </c>
      <c r="D1362" s="150">
        <v>0</v>
      </c>
      <c r="E1362" s="151" t="s">
        <v>13</v>
      </c>
      <c r="F1362" s="152" t="str">
        <f t="shared" si="65"/>
        <v/>
      </c>
      <c r="G1362" s="153">
        <f>IF($K1362="Padrão",BDI!$B$17,IF($K1362="Diferenciado",BDI!$E$17,0))</f>
        <v>0.2039</v>
      </c>
      <c r="H1362" s="151" t="str">
        <f t="shared" si="63"/>
        <v/>
      </c>
      <c r="I1362" s="152" t="str">
        <f t="shared" si="64"/>
        <v/>
      </c>
      <c r="J1362" s="154"/>
      <c r="K1362" s="155" t="s">
        <v>2966</v>
      </c>
    </row>
    <row r="1363" spans="1:11" hidden="1" x14ac:dyDescent="0.25">
      <c r="A1363" s="148" t="s">
        <v>1303</v>
      </c>
      <c r="B1363" s="149" t="s">
        <v>4893</v>
      </c>
      <c r="C1363" s="150" t="s">
        <v>18</v>
      </c>
      <c r="D1363" s="150">
        <v>0</v>
      </c>
      <c r="E1363" s="151">
        <f ca="1">OFFSET(INDEX(Composições!A:H,MATCH(Orçamentária!A1363,Composições!A:A,0),8),2,0)</f>
        <v>8.457374999999999</v>
      </c>
      <c r="F1363" s="152">
        <f t="shared" ca="1" si="65"/>
        <v>0</v>
      </c>
      <c r="G1363" s="153">
        <f>IF($K1363="Padrão",BDI!$B$17,IF($K1363="Diferenciado",BDI!$E$17,0))</f>
        <v>0.2039</v>
      </c>
      <c r="H1363" s="151">
        <f t="shared" ca="1" si="63"/>
        <v>10.18</v>
      </c>
      <c r="I1363" s="152">
        <f t="shared" ca="1" si="64"/>
        <v>0</v>
      </c>
      <c r="J1363" s="154"/>
      <c r="K1363" s="155" t="s">
        <v>2966</v>
      </c>
    </row>
    <row r="1364" spans="1:11" hidden="1" x14ac:dyDescent="0.25">
      <c r="A1364" s="148" t="s">
        <v>1305</v>
      </c>
      <c r="B1364" s="149" t="s">
        <v>4894</v>
      </c>
      <c r="C1364" s="150" t="s">
        <v>106</v>
      </c>
      <c r="D1364" s="150">
        <v>0</v>
      </c>
      <c r="E1364" s="151">
        <f ca="1">OFFSET(INDEX(Composições!A:H,MATCH(Orçamentária!A1364,Composições!A:A,0),8),2,0)</f>
        <v>36.648625000000003</v>
      </c>
      <c r="F1364" s="152">
        <f t="shared" ca="1" si="65"/>
        <v>0</v>
      </c>
      <c r="G1364" s="153">
        <f>IF($K1364="Padrão",BDI!$B$17,IF($K1364="Diferenciado",BDI!$E$17,0))</f>
        <v>0.2039</v>
      </c>
      <c r="H1364" s="151">
        <f t="shared" ca="1" si="63"/>
        <v>44.12</v>
      </c>
      <c r="I1364" s="152">
        <f t="shared" ca="1" si="64"/>
        <v>0</v>
      </c>
      <c r="J1364" s="154"/>
      <c r="K1364" s="155" t="s">
        <v>2966</v>
      </c>
    </row>
    <row r="1365" spans="1:11" hidden="1" x14ac:dyDescent="0.25">
      <c r="A1365" s="148" t="s">
        <v>1307</v>
      </c>
      <c r="B1365" s="149" t="s">
        <v>4895</v>
      </c>
      <c r="C1365" s="150" t="s">
        <v>106</v>
      </c>
      <c r="D1365" s="150">
        <v>0</v>
      </c>
      <c r="E1365" s="151">
        <f ca="1">OFFSET(INDEX(Composições!A:H,MATCH(Orçamentária!A1365,Composições!A:A,0),8),2,0)</f>
        <v>36.648625000000003</v>
      </c>
      <c r="F1365" s="152">
        <f t="shared" ca="1" si="65"/>
        <v>0</v>
      </c>
      <c r="G1365" s="153">
        <f>IF($K1365="Padrão",BDI!$B$17,IF($K1365="Diferenciado",BDI!$E$17,0))</f>
        <v>0.2039</v>
      </c>
      <c r="H1365" s="151">
        <f t="shared" ca="1" si="63"/>
        <v>44.12</v>
      </c>
      <c r="I1365" s="152">
        <f t="shared" ca="1" si="64"/>
        <v>0</v>
      </c>
      <c r="J1365" s="154"/>
      <c r="K1365" s="155" t="s">
        <v>2966</v>
      </c>
    </row>
    <row r="1366" spans="1:11" hidden="1" x14ac:dyDescent="0.25">
      <c r="A1366" s="148" t="s">
        <v>1309</v>
      </c>
      <c r="B1366" s="149" t="s">
        <v>4896</v>
      </c>
      <c r="C1366" s="150" t="s">
        <v>18</v>
      </c>
      <c r="D1366" s="150">
        <v>0</v>
      </c>
      <c r="E1366" s="151">
        <f ca="1">OFFSET(INDEX(Composições!A:H,MATCH(Orçamentária!A1366,Composições!A:A,0),8),2,0)</f>
        <v>18.211233287500001</v>
      </c>
      <c r="F1366" s="152">
        <f t="shared" ca="1" si="65"/>
        <v>0</v>
      </c>
      <c r="G1366" s="153">
        <f>IF($K1366="Padrão",BDI!$B$17,IF($K1366="Diferenciado",BDI!$E$17,0))</f>
        <v>0.2039</v>
      </c>
      <c r="H1366" s="151">
        <f t="shared" ca="1" si="63"/>
        <v>21.92</v>
      </c>
      <c r="I1366" s="152">
        <f t="shared" ca="1" si="64"/>
        <v>0</v>
      </c>
      <c r="J1366" s="154"/>
      <c r="K1366" s="155" t="s">
        <v>2966</v>
      </c>
    </row>
    <row r="1367" spans="1:11" hidden="1" x14ac:dyDescent="0.25">
      <c r="A1367" s="148" t="s">
        <v>1313</v>
      </c>
      <c r="B1367" s="149" t="s">
        <v>4897</v>
      </c>
      <c r="C1367" s="150" t="s">
        <v>18</v>
      </c>
      <c r="D1367" s="150">
        <v>0</v>
      </c>
      <c r="E1367" s="151">
        <f ca="1">OFFSET(INDEX(Composições!A:H,MATCH(Orçamentária!A1367,Composições!A:A,0),8),2,0)</f>
        <v>290.42069667119995</v>
      </c>
      <c r="F1367" s="152">
        <f t="shared" ca="1" si="65"/>
        <v>0</v>
      </c>
      <c r="G1367" s="153">
        <f>IF($K1367="Padrão",BDI!$B$17,IF($K1367="Diferenciado",BDI!$E$17,0))</f>
        <v>0.2039</v>
      </c>
      <c r="H1367" s="151">
        <f t="shared" ca="1" si="63"/>
        <v>349.64</v>
      </c>
      <c r="I1367" s="152">
        <f t="shared" ca="1" si="64"/>
        <v>0</v>
      </c>
      <c r="J1367" s="154"/>
      <c r="K1367" s="155" t="s">
        <v>2966</v>
      </c>
    </row>
    <row r="1368" spans="1:11" hidden="1" x14ac:dyDescent="0.25">
      <c r="A1368" s="148" t="s">
        <v>1314</v>
      </c>
      <c r="B1368" s="149" t="s">
        <v>4898</v>
      </c>
      <c r="C1368" s="150" t="s">
        <v>18</v>
      </c>
      <c r="D1368" s="150">
        <v>0</v>
      </c>
      <c r="E1368" s="151">
        <f ca="1">OFFSET(INDEX(Composições!A:H,MATCH(Orçamentária!A1368,Composições!A:A,0),8),2,0)</f>
        <v>364.53019667119997</v>
      </c>
      <c r="F1368" s="152">
        <f t="shared" ca="1" si="65"/>
        <v>0</v>
      </c>
      <c r="G1368" s="153">
        <f>IF($K1368="Padrão",BDI!$B$17,IF($K1368="Diferenciado",BDI!$E$17,0))</f>
        <v>0.2039</v>
      </c>
      <c r="H1368" s="151">
        <f t="shared" ca="1" si="63"/>
        <v>438.86</v>
      </c>
      <c r="I1368" s="152">
        <f t="shared" ca="1" si="64"/>
        <v>0</v>
      </c>
      <c r="J1368" s="154"/>
      <c r="K1368" s="155" t="s">
        <v>2966</v>
      </c>
    </row>
    <row r="1369" spans="1:11" hidden="1" x14ac:dyDescent="0.25">
      <c r="A1369" s="148" t="s">
        <v>4899</v>
      </c>
      <c r="B1369" s="149" t="s">
        <v>4900</v>
      </c>
      <c r="C1369" s="150" t="s">
        <v>18</v>
      </c>
      <c r="D1369" s="150">
        <v>0</v>
      </c>
      <c r="E1369" s="151" t="s">
        <v>13</v>
      </c>
      <c r="F1369" s="152" t="str">
        <f t="shared" si="65"/>
        <v/>
      </c>
      <c r="G1369" s="153">
        <f>IF($K1369="Padrão",BDI!$B$17,IF($K1369="Diferenciado",BDI!$E$17,0))</f>
        <v>0.2039</v>
      </c>
      <c r="H1369" s="151" t="str">
        <f t="shared" si="63"/>
        <v/>
      </c>
      <c r="I1369" s="152" t="str">
        <f t="shared" si="64"/>
        <v/>
      </c>
      <c r="J1369" s="154"/>
      <c r="K1369" s="155" t="s">
        <v>2966</v>
      </c>
    </row>
    <row r="1370" spans="1:11" hidden="1" x14ac:dyDescent="0.25">
      <c r="A1370" s="148" t="s">
        <v>4901</v>
      </c>
      <c r="B1370" s="149" t="s">
        <v>4902</v>
      </c>
      <c r="C1370" s="150" t="s">
        <v>18</v>
      </c>
      <c r="D1370" s="150">
        <v>0</v>
      </c>
      <c r="E1370" s="151" t="s">
        <v>13</v>
      </c>
      <c r="F1370" s="152" t="str">
        <f t="shared" si="65"/>
        <v/>
      </c>
      <c r="G1370" s="153">
        <f>IF($K1370="Padrão",BDI!$B$17,IF($K1370="Diferenciado",BDI!$E$17,0))</f>
        <v>0.2039</v>
      </c>
      <c r="H1370" s="151" t="str">
        <f t="shared" si="63"/>
        <v/>
      </c>
      <c r="I1370" s="152" t="str">
        <f t="shared" si="64"/>
        <v/>
      </c>
      <c r="J1370" s="154"/>
      <c r="K1370" s="155" t="s">
        <v>2966</v>
      </c>
    </row>
    <row r="1371" spans="1:11" hidden="1" x14ac:dyDescent="0.25">
      <c r="A1371" s="148" t="s">
        <v>4903</v>
      </c>
      <c r="B1371" s="149" t="s">
        <v>4904</v>
      </c>
      <c r="C1371" s="150" t="s">
        <v>18</v>
      </c>
      <c r="D1371" s="150">
        <v>0</v>
      </c>
      <c r="E1371" s="151" t="s">
        <v>13</v>
      </c>
      <c r="F1371" s="152" t="str">
        <f t="shared" si="65"/>
        <v/>
      </c>
      <c r="G1371" s="153">
        <f>IF($K1371="Padrão",BDI!$B$17,IF($K1371="Diferenciado",BDI!$E$17,0))</f>
        <v>0.2039</v>
      </c>
      <c r="H1371" s="151" t="str">
        <f t="shared" si="63"/>
        <v/>
      </c>
      <c r="I1371" s="152" t="str">
        <f t="shared" si="64"/>
        <v/>
      </c>
      <c r="J1371" s="154"/>
      <c r="K1371" s="155" t="s">
        <v>2966</v>
      </c>
    </row>
    <row r="1372" spans="1:11" hidden="1" x14ac:dyDescent="0.25">
      <c r="A1372" s="148" t="s">
        <v>4905</v>
      </c>
      <c r="B1372" s="149" t="s">
        <v>4906</v>
      </c>
      <c r="C1372" s="150" t="s">
        <v>18</v>
      </c>
      <c r="D1372" s="150">
        <v>0</v>
      </c>
      <c r="E1372" s="151" t="s">
        <v>13</v>
      </c>
      <c r="F1372" s="152" t="str">
        <f t="shared" si="65"/>
        <v/>
      </c>
      <c r="G1372" s="153">
        <f>IF($K1372="Padrão",BDI!$B$17,IF($K1372="Diferenciado",BDI!$E$17,0))</f>
        <v>0.2039</v>
      </c>
      <c r="H1372" s="151" t="str">
        <f t="shared" si="63"/>
        <v/>
      </c>
      <c r="I1372" s="152" t="str">
        <f t="shared" si="64"/>
        <v/>
      </c>
      <c r="J1372" s="154"/>
      <c r="K1372" s="155" t="s">
        <v>2966</v>
      </c>
    </row>
    <row r="1373" spans="1:11" hidden="1" x14ac:dyDescent="0.25">
      <c r="A1373" s="148" t="s">
        <v>4907</v>
      </c>
      <c r="B1373" s="149" t="s">
        <v>4908</v>
      </c>
      <c r="C1373" s="150" t="s">
        <v>18</v>
      </c>
      <c r="D1373" s="150">
        <v>0</v>
      </c>
      <c r="E1373" s="151" t="s">
        <v>13</v>
      </c>
      <c r="F1373" s="152" t="str">
        <f t="shared" si="65"/>
        <v/>
      </c>
      <c r="G1373" s="153">
        <f>IF($K1373="Padrão",BDI!$B$17,IF($K1373="Diferenciado",BDI!$E$17,0))</f>
        <v>0.2039</v>
      </c>
      <c r="H1373" s="151" t="str">
        <f t="shared" si="63"/>
        <v/>
      </c>
      <c r="I1373" s="152" t="str">
        <f t="shared" si="64"/>
        <v/>
      </c>
      <c r="J1373" s="154"/>
      <c r="K1373" s="155" t="s">
        <v>2966</v>
      </c>
    </row>
    <row r="1374" spans="1:11" hidden="1" x14ac:dyDescent="0.25">
      <c r="A1374" s="148" t="s">
        <v>1315</v>
      </c>
      <c r="B1374" s="149" t="s">
        <v>4909</v>
      </c>
      <c r="C1374" s="150" t="s">
        <v>18</v>
      </c>
      <c r="D1374" s="150">
        <v>0</v>
      </c>
      <c r="E1374" s="151">
        <f ca="1">OFFSET(INDEX(Composições!A:H,MATCH(Orçamentária!A1374,Composições!A:A,0),8),2,0)</f>
        <v>1680.9407479907748</v>
      </c>
      <c r="F1374" s="152">
        <f t="shared" ca="1" si="65"/>
        <v>0</v>
      </c>
      <c r="G1374" s="153">
        <f>IF($K1374="Padrão",BDI!$B$17,IF($K1374="Diferenciado",BDI!$E$17,0))</f>
        <v>0.2039</v>
      </c>
      <c r="H1374" s="151">
        <f t="shared" ca="1" si="63"/>
        <v>2023.68</v>
      </c>
      <c r="I1374" s="152">
        <f t="shared" ca="1" si="64"/>
        <v>0</v>
      </c>
      <c r="J1374" s="154"/>
      <c r="K1374" s="155" t="s">
        <v>2966</v>
      </c>
    </row>
    <row r="1375" spans="1:11" hidden="1" x14ac:dyDescent="0.25">
      <c r="A1375" s="148" t="s">
        <v>1316</v>
      </c>
      <c r="B1375" s="149" t="s">
        <v>4910</v>
      </c>
      <c r="C1375" s="150" t="s">
        <v>18</v>
      </c>
      <c r="D1375" s="150">
        <v>0</v>
      </c>
      <c r="E1375" s="151">
        <f ca="1">OFFSET(INDEX(Composições!A:H,MATCH(Orçamentária!A1375,Composições!A:A,0),8),2,0)</f>
        <v>309.35162079310857</v>
      </c>
      <c r="F1375" s="152">
        <f t="shared" ca="1" si="65"/>
        <v>0</v>
      </c>
      <c r="G1375" s="153">
        <f>IF($K1375="Padrão",BDI!$B$17,IF($K1375="Diferenciado",BDI!$E$17,0))</f>
        <v>0.2039</v>
      </c>
      <c r="H1375" s="151">
        <f t="shared" ca="1" si="63"/>
        <v>372.43</v>
      </c>
      <c r="I1375" s="152">
        <f t="shared" ca="1" si="64"/>
        <v>0</v>
      </c>
      <c r="J1375" s="154"/>
      <c r="K1375" s="155" t="s">
        <v>2966</v>
      </c>
    </row>
    <row r="1376" spans="1:11" hidden="1" x14ac:dyDescent="0.25">
      <c r="A1376" s="148" t="s">
        <v>4911</v>
      </c>
      <c r="B1376" s="149" t="s">
        <v>4912</v>
      </c>
      <c r="C1376" s="150" t="s">
        <v>18</v>
      </c>
      <c r="D1376" s="150">
        <v>0</v>
      </c>
      <c r="E1376" s="151" t="s">
        <v>13</v>
      </c>
      <c r="F1376" s="152" t="str">
        <f t="shared" si="65"/>
        <v/>
      </c>
      <c r="G1376" s="153">
        <f>IF($K1376="Padrão",BDI!$B$17,IF($K1376="Diferenciado",BDI!$E$17,0))</f>
        <v>0.2039</v>
      </c>
      <c r="H1376" s="151" t="str">
        <f t="shared" si="63"/>
        <v/>
      </c>
      <c r="I1376" s="152" t="str">
        <f t="shared" si="64"/>
        <v/>
      </c>
      <c r="J1376" s="154"/>
      <c r="K1376" s="155" t="s">
        <v>2966</v>
      </c>
    </row>
    <row r="1377" spans="1:11" hidden="1" x14ac:dyDescent="0.25">
      <c r="A1377" s="148" t="s">
        <v>4913</v>
      </c>
      <c r="B1377" s="149" t="s">
        <v>4914</v>
      </c>
      <c r="C1377" s="150" t="s">
        <v>18</v>
      </c>
      <c r="D1377" s="150">
        <v>0</v>
      </c>
      <c r="E1377" s="151" t="s">
        <v>13</v>
      </c>
      <c r="F1377" s="152" t="str">
        <f t="shared" si="65"/>
        <v/>
      </c>
      <c r="G1377" s="153">
        <f>IF($K1377="Padrão",BDI!$B$17,IF($K1377="Diferenciado",BDI!$E$17,0))</f>
        <v>0.2039</v>
      </c>
      <c r="H1377" s="151" t="str">
        <f t="shared" si="63"/>
        <v/>
      </c>
      <c r="I1377" s="152" t="str">
        <f t="shared" si="64"/>
        <v/>
      </c>
      <c r="J1377" s="154"/>
      <c r="K1377" s="155" t="s">
        <v>2966</v>
      </c>
    </row>
    <row r="1378" spans="1:11" hidden="1" x14ac:dyDescent="0.25">
      <c r="A1378" s="148" t="s">
        <v>1317</v>
      </c>
      <c r="B1378" s="149" t="s">
        <v>4915</v>
      </c>
      <c r="C1378" s="150" t="s">
        <v>18</v>
      </c>
      <c r="D1378" s="150">
        <v>0</v>
      </c>
      <c r="E1378" s="151">
        <f ca="1">OFFSET(INDEX(Composições!A:H,MATCH(Orçamentária!A1378,Composições!A:A,0),8),2,0)</f>
        <v>693.52200076788699</v>
      </c>
      <c r="F1378" s="152">
        <f t="shared" ca="1" si="65"/>
        <v>0</v>
      </c>
      <c r="G1378" s="153">
        <f>IF($K1378="Padrão",BDI!$B$17,IF($K1378="Diferenciado",BDI!$E$17,0))</f>
        <v>0.2039</v>
      </c>
      <c r="H1378" s="151">
        <f t="shared" ca="1" si="63"/>
        <v>834.93</v>
      </c>
      <c r="I1378" s="152">
        <f t="shared" ca="1" si="64"/>
        <v>0</v>
      </c>
      <c r="J1378" s="154"/>
      <c r="K1378" s="155" t="s">
        <v>2966</v>
      </c>
    </row>
    <row r="1379" spans="1:11" hidden="1" x14ac:dyDescent="0.25">
      <c r="A1379" s="148" t="s">
        <v>4916</v>
      </c>
      <c r="B1379" s="149" t="s">
        <v>4917</v>
      </c>
      <c r="C1379" s="150" t="s">
        <v>18</v>
      </c>
      <c r="D1379" s="150">
        <v>0</v>
      </c>
      <c r="E1379" s="151" t="s">
        <v>13</v>
      </c>
      <c r="F1379" s="152" t="str">
        <f t="shared" si="65"/>
        <v/>
      </c>
      <c r="G1379" s="153">
        <f>IF($K1379="Padrão",BDI!$B$17,IF($K1379="Diferenciado",BDI!$E$17,0))</f>
        <v>0.2039</v>
      </c>
      <c r="H1379" s="151" t="str">
        <f t="shared" si="63"/>
        <v/>
      </c>
      <c r="I1379" s="152" t="str">
        <f t="shared" si="64"/>
        <v/>
      </c>
      <c r="J1379" s="154"/>
      <c r="K1379" s="155" t="s">
        <v>2966</v>
      </c>
    </row>
    <row r="1380" spans="1:11" hidden="1" x14ac:dyDescent="0.25">
      <c r="A1380" s="148" t="s">
        <v>1318</v>
      </c>
      <c r="B1380" s="149" t="s">
        <v>4918</v>
      </c>
      <c r="C1380" s="150" t="s">
        <v>18</v>
      </c>
      <c r="D1380" s="150">
        <v>0</v>
      </c>
      <c r="E1380" s="151">
        <f ca="1">OFFSET(INDEX(Composições!A:H,MATCH(Orçamentária!A1380,Composições!A:A,0),8),2,0)</f>
        <v>112.765</v>
      </c>
      <c r="F1380" s="152">
        <f t="shared" ca="1" si="65"/>
        <v>0</v>
      </c>
      <c r="G1380" s="153">
        <f>IF($K1380="Padrão",BDI!$B$17,IF($K1380="Diferenciado",BDI!$E$17,0))</f>
        <v>0.2039</v>
      </c>
      <c r="H1380" s="151">
        <f t="shared" ca="1" si="63"/>
        <v>135.76</v>
      </c>
      <c r="I1380" s="152">
        <f t="shared" ca="1" si="64"/>
        <v>0</v>
      </c>
      <c r="J1380" s="154"/>
      <c r="K1380" s="155" t="s">
        <v>2966</v>
      </c>
    </row>
    <row r="1381" spans="1:11" hidden="1" x14ac:dyDescent="0.25">
      <c r="A1381" s="148" t="s">
        <v>1320</v>
      </c>
      <c r="B1381" s="149" t="s">
        <v>4919</v>
      </c>
      <c r="C1381" s="150" t="s">
        <v>18</v>
      </c>
      <c r="D1381" s="150">
        <v>0</v>
      </c>
      <c r="E1381" s="151">
        <f ca="1">OFFSET(INDEX(Composições!A:H,MATCH(Orçamentária!A1381,Composições!A:A,0),8),2,0)</f>
        <v>112.765</v>
      </c>
      <c r="F1381" s="152">
        <f t="shared" ca="1" si="65"/>
        <v>0</v>
      </c>
      <c r="G1381" s="153">
        <f>IF($K1381="Padrão",BDI!$B$17,IF($K1381="Diferenciado",BDI!$E$17,0))</f>
        <v>0.2039</v>
      </c>
      <c r="H1381" s="151">
        <f t="shared" ca="1" si="63"/>
        <v>135.76</v>
      </c>
      <c r="I1381" s="152">
        <f t="shared" ca="1" si="64"/>
        <v>0</v>
      </c>
      <c r="J1381" s="154"/>
      <c r="K1381" s="155" t="s">
        <v>2966</v>
      </c>
    </row>
    <row r="1382" spans="1:11" hidden="1" x14ac:dyDescent="0.25">
      <c r="A1382" s="148" t="s">
        <v>1322</v>
      </c>
      <c r="B1382" s="149" t="s">
        <v>4920</v>
      </c>
      <c r="C1382" s="150" t="s">
        <v>18</v>
      </c>
      <c r="D1382" s="150">
        <v>0</v>
      </c>
      <c r="E1382" s="151">
        <f ca="1">OFFSET(INDEX(Composições!A:H,MATCH(Orçamentária!A1382,Composições!A:A,0),8),2,0)</f>
        <v>17.8732525</v>
      </c>
      <c r="F1382" s="152">
        <f t="shared" ca="1" si="65"/>
        <v>0</v>
      </c>
      <c r="G1382" s="153">
        <f>IF($K1382="Padrão",BDI!$B$17,IF($K1382="Diferenciado",BDI!$E$17,0))</f>
        <v>0.2039</v>
      </c>
      <c r="H1382" s="151">
        <f t="shared" ca="1" si="63"/>
        <v>21.52</v>
      </c>
      <c r="I1382" s="152">
        <f t="shared" ca="1" si="64"/>
        <v>0</v>
      </c>
      <c r="J1382" s="154"/>
      <c r="K1382" s="155" t="s">
        <v>2966</v>
      </c>
    </row>
    <row r="1383" spans="1:11" hidden="1" x14ac:dyDescent="0.25">
      <c r="A1383" s="148" t="s">
        <v>4921</v>
      </c>
      <c r="B1383" s="149" t="s">
        <v>4922</v>
      </c>
      <c r="C1383" s="150" t="s">
        <v>18</v>
      </c>
      <c r="D1383" s="150">
        <v>0</v>
      </c>
      <c r="E1383" s="151" t="s">
        <v>13</v>
      </c>
      <c r="F1383" s="152" t="str">
        <f t="shared" si="65"/>
        <v/>
      </c>
      <c r="G1383" s="153">
        <f>IF($K1383="Padrão",BDI!$B$17,IF($K1383="Diferenciado",BDI!$E$17,0))</f>
        <v>0.2039</v>
      </c>
      <c r="H1383" s="151" t="str">
        <f t="shared" si="63"/>
        <v/>
      </c>
      <c r="I1383" s="152" t="str">
        <f t="shared" si="64"/>
        <v/>
      </c>
      <c r="J1383" s="154"/>
      <c r="K1383" s="155" t="s">
        <v>2966</v>
      </c>
    </row>
    <row r="1384" spans="1:11" hidden="1" x14ac:dyDescent="0.25">
      <c r="A1384" s="148" t="s">
        <v>4923</v>
      </c>
      <c r="B1384" s="149" t="s">
        <v>4924</v>
      </c>
      <c r="C1384" s="150" t="s">
        <v>18</v>
      </c>
      <c r="D1384" s="150">
        <v>0</v>
      </c>
      <c r="E1384" s="151" t="s">
        <v>13</v>
      </c>
      <c r="F1384" s="152" t="str">
        <f t="shared" si="65"/>
        <v/>
      </c>
      <c r="G1384" s="153">
        <f>IF($K1384="Padrão",BDI!$B$17,IF($K1384="Diferenciado",BDI!$E$17,0))</f>
        <v>0.2039</v>
      </c>
      <c r="H1384" s="151" t="str">
        <f t="shared" si="63"/>
        <v/>
      </c>
      <c r="I1384" s="152" t="str">
        <f t="shared" si="64"/>
        <v/>
      </c>
      <c r="J1384" s="154"/>
      <c r="K1384" s="155" t="s">
        <v>2966</v>
      </c>
    </row>
    <row r="1385" spans="1:11" hidden="1" x14ac:dyDescent="0.25">
      <c r="A1385" s="148" t="s">
        <v>4925</v>
      </c>
      <c r="B1385" s="149" t="s">
        <v>4926</v>
      </c>
      <c r="C1385" s="150" t="s">
        <v>4927</v>
      </c>
      <c r="D1385" s="150">
        <v>0</v>
      </c>
      <c r="E1385" s="151" t="s">
        <v>13</v>
      </c>
      <c r="F1385" s="152" t="str">
        <f t="shared" si="65"/>
        <v/>
      </c>
      <c r="G1385" s="153">
        <f>IF($K1385="Padrão",BDI!$B$17,IF($K1385="Diferenciado",BDI!$E$17,0))</f>
        <v>0.2039</v>
      </c>
      <c r="H1385" s="151" t="str">
        <f t="shared" si="63"/>
        <v/>
      </c>
      <c r="I1385" s="152" t="str">
        <f t="shared" si="64"/>
        <v/>
      </c>
      <c r="J1385" s="154"/>
      <c r="K1385" s="155" t="s">
        <v>2966</v>
      </c>
    </row>
    <row r="1386" spans="1:11" hidden="1" x14ac:dyDescent="0.25">
      <c r="A1386" s="148" t="s">
        <v>1324</v>
      </c>
      <c r="B1386" s="149" t="s">
        <v>4928</v>
      </c>
      <c r="C1386" s="150" t="s">
        <v>68</v>
      </c>
      <c r="D1386" s="150">
        <v>0</v>
      </c>
      <c r="E1386" s="151">
        <f ca="1">OFFSET(INDEX(Composições!A:H,MATCH(Orçamentária!A1386,Composições!A:A,0),8),2,0)</f>
        <v>40.945</v>
      </c>
      <c r="F1386" s="152">
        <f t="shared" ca="1" si="65"/>
        <v>0</v>
      </c>
      <c r="G1386" s="153">
        <f>IF($K1386="Padrão",BDI!$B$17,IF($K1386="Diferenciado",BDI!$E$17,0))</f>
        <v>0.2039</v>
      </c>
      <c r="H1386" s="151">
        <f t="shared" ca="1" si="63"/>
        <v>49.29</v>
      </c>
      <c r="I1386" s="152">
        <f t="shared" ca="1" si="64"/>
        <v>0</v>
      </c>
      <c r="J1386" s="154"/>
      <c r="K1386" s="155" t="s">
        <v>2966</v>
      </c>
    </row>
    <row r="1387" spans="1:11" hidden="1" x14ac:dyDescent="0.25">
      <c r="A1387" s="148" t="s">
        <v>4929</v>
      </c>
      <c r="B1387" s="149" t="s">
        <v>4930</v>
      </c>
      <c r="C1387" s="150" t="s">
        <v>68</v>
      </c>
      <c r="D1387" s="150">
        <v>0</v>
      </c>
      <c r="E1387" s="151" t="s">
        <v>13</v>
      </c>
      <c r="F1387" s="152" t="str">
        <f t="shared" si="65"/>
        <v/>
      </c>
      <c r="G1387" s="153">
        <f>IF($K1387="Padrão",BDI!$B$17,IF($K1387="Diferenciado",BDI!$E$17,0))</f>
        <v>0.2039</v>
      </c>
      <c r="H1387" s="151" t="str">
        <f t="shared" si="63"/>
        <v/>
      </c>
      <c r="I1387" s="152" t="str">
        <f t="shared" si="64"/>
        <v/>
      </c>
      <c r="J1387" s="154"/>
      <c r="K1387" s="155" t="s">
        <v>2966</v>
      </c>
    </row>
    <row r="1388" spans="1:11" hidden="1" x14ac:dyDescent="0.25">
      <c r="A1388" s="148" t="s">
        <v>4931</v>
      </c>
      <c r="B1388" s="149" t="s">
        <v>4932</v>
      </c>
      <c r="C1388" s="150" t="s">
        <v>68</v>
      </c>
      <c r="D1388" s="150">
        <v>0</v>
      </c>
      <c r="E1388" s="151" t="s">
        <v>13</v>
      </c>
      <c r="F1388" s="152" t="str">
        <f t="shared" si="65"/>
        <v/>
      </c>
      <c r="G1388" s="153">
        <f>IF($K1388="Padrão",BDI!$B$17,IF($K1388="Diferenciado",BDI!$E$17,0))</f>
        <v>0.2039</v>
      </c>
      <c r="H1388" s="151" t="str">
        <f t="shared" si="63"/>
        <v/>
      </c>
      <c r="I1388" s="152" t="str">
        <f t="shared" si="64"/>
        <v/>
      </c>
      <c r="J1388" s="154"/>
      <c r="K1388" s="155" t="s">
        <v>2966</v>
      </c>
    </row>
    <row r="1389" spans="1:11" hidden="1" x14ac:dyDescent="0.25">
      <c r="A1389" s="148" t="s">
        <v>1325</v>
      </c>
      <c r="B1389" s="149" t="s">
        <v>4933</v>
      </c>
      <c r="C1389" s="150" t="s">
        <v>106</v>
      </c>
      <c r="D1389" s="150">
        <v>0</v>
      </c>
      <c r="E1389" s="151">
        <f ca="1">OFFSET(INDEX(Composições!A:H,MATCH(Orçamentária!A1389,Composições!A:A,0),8),2,0)</f>
        <v>67.072835749999996</v>
      </c>
      <c r="F1389" s="152">
        <f t="shared" ca="1" si="65"/>
        <v>0</v>
      </c>
      <c r="G1389" s="153">
        <f>IF($K1389="Padrão",BDI!$B$17,IF($K1389="Diferenciado",BDI!$E$17,0))</f>
        <v>0.2039</v>
      </c>
      <c r="H1389" s="151">
        <f t="shared" ca="1" si="63"/>
        <v>80.75</v>
      </c>
      <c r="I1389" s="152">
        <f t="shared" ca="1" si="64"/>
        <v>0</v>
      </c>
      <c r="J1389" s="154"/>
      <c r="K1389" s="155" t="s">
        <v>2966</v>
      </c>
    </row>
    <row r="1390" spans="1:11" hidden="1" x14ac:dyDescent="0.25">
      <c r="A1390" s="148" t="s">
        <v>4934</v>
      </c>
      <c r="B1390" s="149" t="s">
        <v>4935</v>
      </c>
      <c r="C1390" s="150" t="s">
        <v>18</v>
      </c>
      <c r="D1390" s="150">
        <v>0</v>
      </c>
      <c r="E1390" s="151" t="s">
        <v>13</v>
      </c>
      <c r="F1390" s="152" t="str">
        <f t="shared" si="65"/>
        <v/>
      </c>
      <c r="G1390" s="153">
        <f>IF($K1390="Padrão",BDI!$B$17,IF($K1390="Diferenciado",BDI!$E$17,0))</f>
        <v>0.2039</v>
      </c>
      <c r="H1390" s="151" t="str">
        <f t="shared" si="63"/>
        <v/>
      </c>
      <c r="I1390" s="152" t="str">
        <f t="shared" si="64"/>
        <v/>
      </c>
      <c r="J1390" s="154"/>
      <c r="K1390" s="155" t="s">
        <v>2966</v>
      </c>
    </row>
    <row r="1391" spans="1:11" hidden="1" x14ac:dyDescent="0.25">
      <c r="A1391" s="148" t="s">
        <v>1326</v>
      </c>
      <c r="B1391" s="149" t="s">
        <v>4936</v>
      </c>
      <c r="C1391" s="150" t="s">
        <v>18</v>
      </c>
      <c r="D1391" s="150">
        <v>0</v>
      </c>
      <c r="E1391" s="151">
        <f ca="1">OFFSET(INDEX(Composições!A:H,MATCH(Orçamentária!A1391,Composições!A:A,0),8),2,0)</f>
        <v>21.887686500000001</v>
      </c>
      <c r="F1391" s="152">
        <f t="shared" ca="1" si="65"/>
        <v>0</v>
      </c>
      <c r="G1391" s="153">
        <f>IF($K1391="Padrão",BDI!$B$17,IF($K1391="Diferenciado",BDI!$E$17,0))</f>
        <v>0.2039</v>
      </c>
      <c r="H1391" s="151">
        <f t="shared" ca="1" si="63"/>
        <v>26.35</v>
      </c>
      <c r="I1391" s="152">
        <f t="shared" ca="1" si="64"/>
        <v>0</v>
      </c>
      <c r="J1391" s="154"/>
      <c r="K1391" s="155" t="s">
        <v>2966</v>
      </c>
    </row>
    <row r="1392" spans="1:11" hidden="1" x14ac:dyDescent="0.25">
      <c r="A1392" s="148" t="s">
        <v>1328</v>
      </c>
      <c r="B1392" s="149" t="s">
        <v>4937</v>
      </c>
      <c r="C1392" s="150" t="s">
        <v>106</v>
      </c>
      <c r="D1392" s="150">
        <v>0</v>
      </c>
      <c r="E1392" s="151">
        <f ca="1">OFFSET(INDEX(Composições!A:H,MATCH(Orçamentária!A1392,Composições!A:A,0),8),2,0)</f>
        <v>42.286874999999995</v>
      </c>
      <c r="F1392" s="152">
        <f t="shared" ca="1" si="65"/>
        <v>0</v>
      </c>
      <c r="G1392" s="153">
        <f>IF($K1392="Padrão",BDI!$B$17,IF($K1392="Diferenciado",BDI!$E$17,0))</f>
        <v>0.2039</v>
      </c>
      <c r="H1392" s="151">
        <f t="shared" ca="1" si="63"/>
        <v>50.91</v>
      </c>
      <c r="I1392" s="152">
        <f t="shared" ca="1" si="64"/>
        <v>0</v>
      </c>
      <c r="J1392" s="154"/>
      <c r="K1392" s="155" t="s">
        <v>2966</v>
      </c>
    </row>
    <row r="1393" spans="1:11" hidden="1" x14ac:dyDescent="0.25">
      <c r="A1393" s="148" t="s">
        <v>1330</v>
      </c>
      <c r="B1393" s="149" t="s">
        <v>4938</v>
      </c>
      <c r="C1393" s="150" t="s">
        <v>2975</v>
      </c>
      <c r="D1393" s="150">
        <v>0</v>
      </c>
      <c r="E1393" s="151">
        <f ca="1">OFFSET(INDEX(Composições!A:H,MATCH(Orçamentária!A1393,Composições!A:A,0),8),2,0)</f>
        <v>142.75650000000002</v>
      </c>
      <c r="F1393" s="152">
        <f t="shared" ca="1" si="65"/>
        <v>0</v>
      </c>
      <c r="G1393" s="153">
        <f>IF($K1393="Padrão",BDI!$B$17,IF($K1393="Diferenciado",BDI!$E$17,0))</f>
        <v>0.2039</v>
      </c>
      <c r="H1393" s="151">
        <f t="shared" ca="1" si="63"/>
        <v>171.86</v>
      </c>
      <c r="I1393" s="152">
        <f t="shared" ca="1" si="64"/>
        <v>0</v>
      </c>
      <c r="J1393" s="154"/>
      <c r="K1393" s="155" t="s">
        <v>2966</v>
      </c>
    </row>
    <row r="1394" spans="1:11" hidden="1" x14ac:dyDescent="0.25">
      <c r="A1394" s="148" t="s">
        <v>4939</v>
      </c>
      <c r="B1394" s="149" t="s">
        <v>4940</v>
      </c>
      <c r="C1394" s="150" t="s">
        <v>18</v>
      </c>
      <c r="D1394" s="150">
        <v>0</v>
      </c>
      <c r="E1394" s="151" t="s">
        <v>13</v>
      </c>
      <c r="F1394" s="152" t="str">
        <f t="shared" si="65"/>
        <v/>
      </c>
      <c r="G1394" s="153">
        <f>IF($K1394="Padrão",BDI!$B$17,IF($K1394="Diferenciado",BDI!$E$17,0))</f>
        <v>0.2039</v>
      </c>
      <c r="H1394" s="151" t="str">
        <f t="shared" si="63"/>
        <v/>
      </c>
      <c r="I1394" s="152" t="str">
        <f t="shared" si="64"/>
        <v/>
      </c>
      <c r="J1394" s="154"/>
      <c r="K1394" s="155" t="s">
        <v>2966</v>
      </c>
    </row>
    <row r="1395" spans="1:11" hidden="1" x14ac:dyDescent="0.25">
      <c r="A1395" s="148" t="s">
        <v>1331</v>
      </c>
      <c r="B1395" s="149" t="s">
        <v>4941</v>
      </c>
      <c r="C1395" s="150" t="s">
        <v>18</v>
      </c>
      <c r="D1395" s="150">
        <v>0</v>
      </c>
      <c r="E1395" s="151">
        <f ca="1">OFFSET(INDEX(Composições!A:H,MATCH(Orçamentária!A1395,Composições!A:A,0),8),2,0)</f>
        <v>22.113939450000004</v>
      </c>
      <c r="F1395" s="152">
        <f t="shared" ca="1" si="65"/>
        <v>0</v>
      </c>
      <c r="G1395" s="153">
        <f>IF($K1395="Padrão",BDI!$B$17,IF($K1395="Diferenciado",BDI!$E$17,0))</f>
        <v>0.2039</v>
      </c>
      <c r="H1395" s="151">
        <f t="shared" ca="1" si="63"/>
        <v>26.62</v>
      </c>
      <c r="I1395" s="152">
        <f t="shared" ca="1" si="64"/>
        <v>0</v>
      </c>
      <c r="J1395" s="154"/>
      <c r="K1395" s="155" t="s">
        <v>2966</v>
      </c>
    </row>
    <row r="1396" spans="1:11" hidden="1" x14ac:dyDescent="0.25">
      <c r="A1396" s="148" t="s">
        <v>1333</v>
      </c>
      <c r="B1396" s="149" t="s">
        <v>4942</v>
      </c>
      <c r="C1396" s="150" t="s">
        <v>70</v>
      </c>
      <c r="D1396" s="150">
        <v>0</v>
      </c>
      <c r="E1396" s="151">
        <f ca="1">OFFSET(INDEX(Composições!A:H,MATCH(Orçamentária!A1396,Composições!A:A,0),8),2,0)</f>
        <v>0</v>
      </c>
      <c r="F1396" s="152">
        <f t="shared" ca="1" si="65"/>
        <v>0</v>
      </c>
      <c r="G1396" s="153">
        <f>IF($K1396="Padrão",BDI!$B$17,IF($K1396="Diferenciado",BDI!$E$17,0))</f>
        <v>0.2039</v>
      </c>
      <c r="H1396" s="151">
        <f t="shared" ca="1" si="63"/>
        <v>0</v>
      </c>
      <c r="I1396" s="152">
        <f t="shared" ca="1" si="64"/>
        <v>0</v>
      </c>
      <c r="J1396" s="154"/>
      <c r="K1396" s="155" t="s">
        <v>2966</v>
      </c>
    </row>
    <row r="1397" spans="1:11" hidden="1" x14ac:dyDescent="0.25">
      <c r="A1397" s="148" t="s">
        <v>4943</v>
      </c>
      <c r="B1397" s="149" t="s">
        <v>4944</v>
      </c>
      <c r="C1397" s="150" t="s">
        <v>18</v>
      </c>
      <c r="D1397" s="150">
        <v>0</v>
      </c>
      <c r="E1397" s="151" t="s">
        <v>13</v>
      </c>
      <c r="F1397" s="152" t="str">
        <f t="shared" si="65"/>
        <v/>
      </c>
      <c r="G1397" s="153">
        <f>IF($K1397="Padrão",BDI!$B$17,IF($K1397="Diferenciado",BDI!$E$17,0))</f>
        <v>0.2039</v>
      </c>
      <c r="H1397" s="151" t="str">
        <f t="shared" si="63"/>
        <v/>
      </c>
      <c r="I1397" s="152" t="str">
        <f t="shared" si="64"/>
        <v/>
      </c>
      <c r="J1397" s="154"/>
      <c r="K1397" s="155" t="s">
        <v>2966</v>
      </c>
    </row>
    <row r="1398" spans="1:11" hidden="1" x14ac:dyDescent="0.25">
      <c r="A1398" s="148" t="s">
        <v>4945</v>
      </c>
      <c r="B1398" s="149" t="s">
        <v>4946</v>
      </c>
      <c r="C1398" s="150" t="s">
        <v>18</v>
      </c>
      <c r="D1398" s="150">
        <v>0</v>
      </c>
      <c r="E1398" s="151" t="s">
        <v>13</v>
      </c>
      <c r="F1398" s="152" t="str">
        <f t="shared" si="65"/>
        <v/>
      </c>
      <c r="G1398" s="153">
        <f>IF($K1398="Padrão",BDI!$B$17,IF($K1398="Diferenciado",BDI!$E$17,0))</f>
        <v>0.2039</v>
      </c>
      <c r="H1398" s="151" t="str">
        <f t="shared" si="63"/>
        <v/>
      </c>
      <c r="I1398" s="152" t="str">
        <f t="shared" si="64"/>
        <v/>
      </c>
      <c r="J1398" s="154"/>
      <c r="K1398" s="155" t="s">
        <v>2966</v>
      </c>
    </row>
    <row r="1399" spans="1:11" hidden="1" x14ac:dyDescent="0.25">
      <c r="A1399" s="148" t="s">
        <v>4947</v>
      </c>
      <c r="B1399" s="149" t="s">
        <v>4948</v>
      </c>
      <c r="C1399" s="150" t="s">
        <v>18</v>
      </c>
      <c r="D1399" s="150">
        <v>0</v>
      </c>
      <c r="E1399" s="151" t="s">
        <v>13</v>
      </c>
      <c r="F1399" s="152" t="str">
        <f t="shared" si="65"/>
        <v/>
      </c>
      <c r="G1399" s="153">
        <f>IF($K1399="Padrão",BDI!$B$17,IF($K1399="Diferenciado",BDI!$E$17,0))</f>
        <v>0.2039</v>
      </c>
      <c r="H1399" s="151" t="str">
        <f t="shared" si="63"/>
        <v/>
      </c>
      <c r="I1399" s="152" t="str">
        <f t="shared" si="64"/>
        <v/>
      </c>
      <c r="J1399" s="154"/>
      <c r="K1399" s="155" t="s">
        <v>2966</v>
      </c>
    </row>
    <row r="1400" spans="1:11" hidden="1" x14ac:dyDescent="0.25">
      <c r="A1400" s="148" t="s">
        <v>4949</v>
      </c>
      <c r="B1400" s="149" t="s">
        <v>4950</v>
      </c>
      <c r="C1400" s="150" t="s">
        <v>18</v>
      </c>
      <c r="D1400" s="150">
        <v>0</v>
      </c>
      <c r="E1400" s="151" t="s">
        <v>13</v>
      </c>
      <c r="F1400" s="152" t="str">
        <f t="shared" si="65"/>
        <v/>
      </c>
      <c r="G1400" s="153">
        <f>IF($K1400="Padrão",BDI!$B$17,IF($K1400="Diferenciado",BDI!$E$17,0))</f>
        <v>0.2039</v>
      </c>
      <c r="H1400" s="151" t="str">
        <f t="shared" si="63"/>
        <v/>
      </c>
      <c r="I1400" s="152" t="str">
        <f t="shared" si="64"/>
        <v/>
      </c>
      <c r="J1400" s="154"/>
      <c r="K1400" s="155" t="s">
        <v>2966</v>
      </c>
    </row>
    <row r="1401" spans="1:11" hidden="1" x14ac:dyDescent="0.25">
      <c r="A1401" s="148" t="s">
        <v>4951</v>
      </c>
      <c r="B1401" s="149" t="s">
        <v>4952</v>
      </c>
      <c r="C1401" s="150" t="s">
        <v>18</v>
      </c>
      <c r="D1401" s="150">
        <v>0</v>
      </c>
      <c r="E1401" s="151" t="s">
        <v>13</v>
      </c>
      <c r="F1401" s="152" t="str">
        <f t="shared" si="65"/>
        <v/>
      </c>
      <c r="G1401" s="153">
        <f>IF($K1401="Padrão",BDI!$B$17,IF($K1401="Diferenciado",BDI!$E$17,0))</f>
        <v>0.2039</v>
      </c>
      <c r="H1401" s="151" t="str">
        <f t="shared" si="63"/>
        <v/>
      </c>
      <c r="I1401" s="152" t="str">
        <f t="shared" si="64"/>
        <v/>
      </c>
      <c r="J1401" s="154"/>
      <c r="K1401" s="155" t="s">
        <v>2966</v>
      </c>
    </row>
    <row r="1402" spans="1:11" hidden="1" x14ac:dyDescent="0.25">
      <c r="A1402" s="148" t="s">
        <v>4953</v>
      </c>
      <c r="B1402" s="149" t="s">
        <v>4954</v>
      </c>
      <c r="C1402" s="150" t="s">
        <v>18</v>
      </c>
      <c r="D1402" s="150">
        <v>0</v>
      </c>
      <c r="E1402" s="151" t="s">
        <v>13</v>
      </c>
      <c r="F1402" s="152" t="str">
        <f t="shared" si="65"/>
        <v/>
      </c>
      <c r="G1402" s="153">
        <f>IF($K1402="Padrão",BDI!$B$17,IF($K1402="Diferenciado",BDI!$E$17,0))</f>
        <v>0.2039</v>
      </c>
      <c r="H1402" s="151" t="str">
        <f t="shared" si="63"/>
        <v/>
      </c>
      <c r="I1402" s="152" t="str">
        <f t="shared" si="64"/>
        <v/>
      </c>
      <c r="J1402" s="154"/>
      <c r="K1402" s="155" t="s">
        <v>2966</v>
      </c>
    </row>
    <row r="1403" spans="1:11" hidden="1" x14ac:dyDescent="0.25">
      <c r="A1403" s="148" t="s">
        <v>4955</v>
      </c>
      <c r="B1403" s="149" t="s">
        <v>4956</v>
      </c>
      <c r="C1403" s="150" t="s">
        <v>18</v>
      </c>
      <c r="D1403" s="150">
        <v>0</v>
      </c>
      <c r="E1403" s="151" t="s">
        <v>13</v>
      </c>
      <c r="F1403" s="152" t="str">
        <f t="shared" si="65"/>
        <v/>
      </c>
      <c r="G1403" s="153">
        <f>IF($K1403="Padrão",BDI!$B$17,IF($K1403="Diferenciado",BDI!$E$17,0))</f>
        <v>0.2039</v>
      </c>
      <c r="H1403" s="151" t="str">
        <f t="shared" si="63"/>
        <v/>
      </c>
      <c r="I1403" s="152" t="str">
        <f t="shared" si="64"/>
        <v/>
      </c>
      <c r="J1403" s="154"/>
      <c r="K1403" s="155" t="s">
        <v>2966</v>
      </c>
    </row>
    <row r="1404" spans="1:11" hidden="1" x14ac:dyDescent="0.25">
      <c r="A1404" s="148" t="s">
        <v>4957</v>
      </c>
      <c r="B1404" s="149" t="s">
        <v>4958</v>
      </c>
      <c r="C1404" s="150" t="s">
        <v>18</v>
      </c>
      <c r="D1404" s="150">
        <v>0</v>
      </c>
      <c r="E1404" s="151" t="s">
        <v>13</v>
      </c>
      <c r="F1404" s="152" t="str">
        <f t="shared" si="65"/>
        <v/>
      </c>
      <c r="G1404" s="153">
        <f>IF($K1404="Padrão",BDI!$B$17,IF($K1404="Diferenciado",BDI!$E$17,0))</f>
        <v>0.2039</v>
      </c>
      <c r="H1404" s="151" t="str">
        <f t="shared" si="63"/>
        <v/>
      </c>
      <c r="I1404" s="152" t="str">
        <f t="shared" si="64"/>
        <v/>
      </c>
      <c r="J1404" s="154"/>
      <c r="K1404" s="155" t="s">
        <v>2966</v>
      </c>
    </row>
    <row r="1405" spans="1:11" hidden="1" x14ac:dyDescent="0.25">
      <c r="A1405" s="148" t="s">
        <v>4959</v>
      </c>
      <c r="B1405" s="149" t="s">
        <v>4960</v>
      </c>
      <c r="C1405" s="150" t="s">
        <v>18</v>
      </c>
      <c r="D1405" s="150">
        <v>0</v>
      </c>
      <c r="E1405" s="151" t="s">
        <v>13</v>
      </c>
      <c r="F1405" s="152" t="str">
        <f t="shared" si="65"/>
        <v/>
      </c>
      <c r="G1405" s="153">
        <f>IF($K1405="Padrão",BDI!$B$17,IF($K1405="Diferenciado",BDI!$E$17,0))</f>
        <v>0.2039</v>
      </c>
      <c r="H1405" s="151" t="str">
        <f t="shared" si="63"/>
        <v/>
      </c>
      <c r="I1405" s="152" t="str">
        <f t="shared" si="64"/>
        <v/>
      </c>
      <c r="J1405" s="154"/>
      <c r="K1405" s="155" t="s">
        <v>2966</v>
      </c>
    </row>
    <row r="1406" spans="1:11" hidden="1" x14ac:dyDescent="0.25">
      <c r="A1406" s="148" t="s">
        <v>4961</v>
      </c>
      <c r="B1406" s="149" t="s">
        <v>4962</v>
      </c>
      <c r="C1406" s="150" t="s">
        <v>18</v>
      </c>
      <c r="D1406" s="150">
        <v>0</v>
      </c>
      <c r="E1406" s="151" t="s">
        <v>13</v>
      </c>
      <c r="F1406" s="152" t="str">
        <f t="shared" si="65"/>
        <v/>
      </c>
      <c r="G1406" s="153">
        <f>IF($K1406="Padrão",BDI!$B$17,IF($K1406="Diferenciado",BDI!$E$17,0))</f>
        <v>0.2039</v>
      </c>
      <c r="H1406" s="151" t="str">
        <f t="shared" si="63"/>
        <v/>
      </c>
      <c r="I1406" s="152" t="str">
        <f t="shared" si="64"/>
        <v/>
      </c>
      <c r="J1406" s="154"/>
      <c r="K1406" s="155" t="s">
        <v>2966</v>
      </c>
    </row>
    <row r="1407" spans="1:11" ht="25.5" hidden="1" x14ac:dyDescent="0.25">
      <c r="A1407" s="148" t="s">
        <v>4963</v>
      </c>
      <c r="B1407" s="149" t="s">
        <v>4964</v>
      </c>
      <c r="C1407" s="150" t="s">
        <v>18</v>
      </c>
      <c r="D1407" s="150">
        <v>0</v>
      </c>
      <c r="E1407" s="151" t="s">
        <v>13</v>
      </c>
      <c r="F1407" s="152" t="str">
        <f t="shared" si="65"/>
        <v/>
      </c>
      <c r="G1407" s="153">
        <f>IF($K1407="Padrão",BDI!$B$17,IF($K1407="Diferenciado",BDI!$E$17,0))</f>
        <v>0.2039</v>
      </c>
      <c r="H1407" s="151" t="str">
        <f t="shared" si="63"/>
        <v/>
      </c>
      <c r="I1407" s="152" t="str">
        <f t="shared" si="64"/>
        <v/>
      </c>
      <c r="J1407" s="154"/>
      <c r="K1407" s="155" t="s">
        <v>2966</v>
      </c>
    </row>
    <row r="1408" spans="1:11" hidden="1" x14ac:dyDescent="0.25">
      <c r="A1408" s="148" t="s">
        <v>1335</v>
      </c>
      <c r="B1408" s="149" t="s">
        <v>4965</v>
      </c>
      <c r="C1408" s="150" t="s">
        <v>3982</v>
      </c>
      <c r="D1408" s="150">
        <v>0</v>
      </c>
      <c r="E1408" s="151" t="e">
        <f ca="1">OFFSET(INDEX(Composições!A:H,MATCH(Orçamentária!A1408,Composições!A:A,0),8),2,0)</f>
        <v>#REF!</v>
      </c>
      <c r="F1408" s="152" t="str">
        <f t="shared" ca="1" si="65"/>
        <v/>
      </c>
      <c r="G1408" s="153">
        <f>IF($K1408="Padrão",BDI!$B$17,IF($K1408="Diferenciado",BDI!$E$17,0))</f>
        <v>0.2039</v>
      </c>
      <c r="H1408" s="151" t="str">
        <f t="shared" ca="1" si="63"/>
        <v/>
      </c>
      <c r="I1408" s="152" t="str">
        <f t="shared" ca="1" si="64"/>
        <v/>
      </c>
      <c r="J1408" s="154"/>
      <c r="K1408" s="155" t="s">
        <v>2966</v>
      </c>
    </row>
    <row r="1409" spans="1:11" hidden="1" x14ac:dyDescent="0.25">
      <c r="A1409" s="148" t="s">
        <v>1336</v>
      </c>
      <c r="B1409" s="149" t="s">
        <v>4966</v>
      </c>
      <c r="C1409" s="150" t="s">
        <v>3982</v>
      </c>
      <c r="D1409" s="150">
        <v>0</v>
      </c>
      <c r="E1409" s="151" t="e">
        <f ca="1">OFFSET(INDEX(Composições!A:H,MATCH(Orçamentária!A1409,Composições!A:A,0),8),2,0)</f>
        <v>#REF!</v>
      </c>
      <c r="F1409" s="152" t="str">
        <f t="shared" ca="1" si="65"/>
        <v/>
      </c>
      <c r="G1409" s="153">
        <f>IF($K1409="Padrão",BDI!$B$17,IF($K1409="Diferenciado",BDI!$E$17,0))</f>
        <v>0.2039</v>
      </c>
      <c r="H1409" s="151" t="str">
        <f t="shared" ca="1" si="63"/>
        <v/>
      </c>
      <c r="I1409" s="152" t="str">
        <f t="shared" ca="1" si="64"/>
        <v/>
      </c>
      <c r="J1409" s="154"/>
      <c r="K1409" s="155" t="s">
        <v>2966</v>
      </c>
    </row>
    <row r="1410" spans="1:11" hidden="1" x14ac:dyDescent="0.25">
      <c r="A1410" s="148" t="s">
        <v>1337</v>
      </c>
      <c r="B1410" s="149" t="s">
        <v>4967</v>
      </c>
      <c r="C1410" s="150" t="s">
        <v>3982</v>
      </c>
      <c r="D1410" s="150">
        <v>0</v>
      </c>
      <c r="E1410" s="151" t="e">
        <f ca="1">OFFSET(INDEX(Composições!A:H,MATCH(Orçamentária!A1410,Composições!A:A,0),8),2,0)</f>
        <v>#REF!</v>
      </c>
      <c r="F1410" s="152" t="str">
        <f t="shared" ca="1" si="65"/>
        <v/>
      </c>
      <c r="G1410" s="153">
        <f>IF($K1410="Padrão",BDI!$B$17,IF($K1410="Diferenciado",BDI!$E$17,0))</f>
        <v>0.2039</v>
      </c>
      <c r="H1410" s="151" t="str">
        <f t="shared" ca="1" si="63"/>
        <v/>
      </c>
      <c r="I1410" s="152" t="str">
        <f t="shared" ca="1" si="64"/>
        <v/>
      </c>
      <c r="J1410" s="154"/>
      <c r="K1410" s="155" t="s">
        <v>2966</v>
      </c>
    </row>
    <row r="1411" spans="1:11" hidden="1" x14ac:dyDescent="0.25">
      <c r="A1411" s="148" t="s">
        <v>1338</v>
      </c>
      <c r="B1411" s="149" t="s">
        <v>4968</v>
      </c>
      <c r="C1411" s="150" t="s">
        <v>3982</v>
      </c>
      <c r="D1411" s="150">
        <v>0</v>
      </c>
      <c r="E1411" s="151" t="e">
        <f ca="1">OFFSET(INDEX(Composições!A:H,MATCH(Orçamentária!A1411,Composições!A:A,0),8),2,0)</f>
        <v>#REF!</v>
      </c>
      <c r="F1411" s="152" t="str">
        <f t="shared" ca="1" si="65"/>
        <v/>
      </c>
      <c r="G1411" s="153">
        <f>IF($K1411="Padrão",BDI!$B$17,IF($K1411="Diferenciado",BDI!$E$17,0))</f>
        <v>0.2039</v>
      </c>
      <c r="H1411" s="151" t="str">
        <f t="shared" ca="1" si="63"/>
        <v/>
      </c>
      <c r="I1411" s="152" t="str">
        <f t="shared" ca="1" si="64"/>
        <v/>
      </c>
      <c r="J1411" s="154"/>
      <c r="K1411" s="155" t="s">
        <v>2966</v>
      </c>
    </row>
    <row r="1412" spans="1:11" hidden="1" x14ac:dyDescent="0.25">
      <c r="A1412" s="148" t="s">
        <v>1339</v>
      </c>
      <c r="B1412" s="149" t="s">
        <v>4969</v>
      </c>
      <c r="C1412" s="150" t="s">
        <v>3982</v>
      </c>
      <c r="D1412" s="150">
        <v>0</v>
      </c>
      <c r="E1412" s="151" t="e">
        <f ca="1">OFFSET(INDEX(Composições!A:H,MATCH(Orçamentária!A1412,Composições!A:A,0),8),2,0)</f>
        <v>#REF!</v>
      </c>
      <c r="F1412" s="152" t="str">
        <f t="shared" ca="1" si="65"/>
        <v/>
      </c>
      <c r="G1412" s="153">
        <f>IF($K1412="Padrão",BDI!$B$17,IF($K1412="Diferenciado",BDI!$E$17,0))</f>
        <v>0.2039</v>
      </c>
      <c r="H1412" s="151" t="str">
        <f t="shared" ca="1" si="63"/>
        <v/>
      </c>
      <c r="I1412" s="152" t="str">
        <f t="shared" ca="1" si="64"/>
        <v/>
      </c>
      <c r="J1412" s="154"/>
      <c r="K1412" s="155" t="s">
        <v>2966</v>
      </c>
    </row>
    <row r="1413" spans="1:11" hidden="1" x14ac:dyDescent="0.25">
      <c r="A1413" s="148" t="s">
        <v>1340</v>
      </c>
      <c r="B1413" s="149" t="s">
        <v>4970</v>
      </c>
      <c r="C1413" s="150" t="s">
        <v>3982</v>
      </c>
      <c r="D1413" s="150">
        <v>0</v>
      </c>
      <c r="E1413" s="151" t="e">
        <f ca="1">OFFSET(INDEX(Composições!A:H,MATCH(Orçamentária!A1413,Composições!A:A,0),8),2,0)</f>
        <v>#REF!</v>
      </c>
      <c r="F1413" s="152" t="str">
        <f t="shared" ca="1" si="65"/>
        <v/>
      </c>
      <c r="G1413" s="153">
        <f>IF($K1413="Padrão",BDI!$B$17,IF($K1413="Diferenciado",BDI!$E$17,0))</f>
        <v>0.2039</v>
      </c>
      <c r="H1413" s="151" t="str">
        <f t="shared" ca="1" si="63"/>
        <v/>
      </c>
      <c r="I1413" s="152" t="str">
        <f t="shared" ca="1" si="64"/>
        <v/>
      </c>
      <c r="J1413" s="154"/>
      <c r="K1413" s="155" t="s">
        <v>2966</v>
      </c>
    </row>
    <row r="1414" spans="1:11" hidden="1" x14ac:dyDescent="0.25">
      <c r="A1414" s="148" t="s">
        <v>1341</v>
      </c>
      <c r="B1414" s="149" t="s">
        <v>4971</v>
      </c>
      <c r="C1414" s="150" t="s">
        <v>3982</v>
      </c>
      <c r="D1414" s="150">
        <v>0</v>
      </c>
      <c r="E1414" s="151" t="e">
        <f ca="1">OFFSET(INDEX(Composições!A:H,MATCH(Orçamentária!A1414,Composições!A:A,0),8),2,0)</f>
        <v>#REF!</v>
      </c>
      <c r="F1414" s="152" t="str">
        <f t="shared" ca="1" si="65"/>
        <v/>
      </c>
      <c r="G1414" s="153">
        <f>IF($K1414="Padrão",BDI!$B$17,IF($K1414="Diferenciado",BDI!$E$17,0))</f>
        <v>0.2039</v>
      </c>
      <c r="H1414" s="151" t="str">
        <f t="shared" ref="H1414:H1477" ca="1" si="66">IF(ISNUMBER(E1414),ROUND(E1414*(1+G1414),2),"")</f>
        <v/>
      </c>
      <c r="I1414" s="152" t="str">
        <f t="shared" ref="I1414:I1477" ca="1" si="67">IF(ISNUMBER(E1414),ROUND(H1414*D1414,2),"")</f>
        <v/>
      </c>
      <c r="J1414" s="154"/>
      <c r="K1414" s="155" t="s">
        <v>2966</v>
      </c>
    </row>
    <row r="1415" spans="1:11" hidden="1" x14ac:dyDescent="0.25">
      <c r="A1415" s="148" t="s">
        <v>1342</v>
      </c>
      <c r="B1415" s="149" t="s">
        <v>4972</v>
      </c>
      <c r="C1415" s="150" t="s">
        <v>3982</v>
      </c>
      <c r="D1415" s="150">
        <v>0</v>
      </c>
      <c r="E1415" s="151" t="e">
        <f ca="1">OFFSET(INDEX(Composições!A:H,MATCH(Orçamentária!A1415,Composições!A:A,0),8),2,0)</f>
        <v>#REF!</v>
      </c>
      <c r="F1415" s="152" t="str">
        <f t="shared" ref="F1415:F1478" ca="1" si="68">IF(ISNUMBER(E1415),D1415*E1415,"")</f>
        <v/>
      </c>
      <c r="G1415" s="153">
        <f>IF($K1415="Padrão",BDI!$B$17,IF($K1415="Diferenciado",BDI!$E$17,0))</f>
        <v>0.2039</v>
      </c>
      <c r="H1415" s="151" t="str">
        <f t="shared" ca="1" si="66"/>
        <v/>
      </c>
      <c r="I1415" s="152" t="str">
        <f t="shared" ca="1" si="67"/>
        <v/>
      </c>
      <c r="J1415" s="154"/>
      <c r="K1415" s="155" t="s">
        <v>2966</v>
      </c>
    </row>
    <row r="1416" spans="1:11" hidden="1" x14ac:dyDescent="0.25">
      <c r="A1416" s="148" t="s">
        <v>1343</v>
      </c>
      <c r="B1416" s="149" t="s">
        <v>4973</v>
      </c>
      <c r="C1416" s="150" t="s">
        <v>3982</v>
      </c>
      <c r="D1416" s="150">
        <v>0</v>
      </c>
      <c r="E1416" s="151" t="e">
        <f ca="1">OFFSET(INDEX(Composições!A:H,MATCH(Orçamentária!A1416,Composições!A:A,0),8),2,0)</f>
        <v>#REF!</v>
      </c>
      <c r="F1416" s="152" t="str">
        <f t="shared" ca="1" si="68"/>
        <v/>
      </c>
      <c r="G1416" s="153">
        <f>IF($K1416="Padrão",BDI!$B$17,IF($K1416="Diferenciado",BDI!$E$17,0))</f>
        <v>0.2039</v>
      </c>
      <c r="H1416" s="151" t="str">
        <f t="shared" ca="1" si="66"/>
        <v/>
      </c>
      <c r="I1416" s="152" t="str">
        <f t="shared" ca="1" si="67"/>
        <v/>
      </c>
      <c r="J1416" s="154"/>
      <c r="K1416" s="155" t="s">
        <v>2966</v>
      </c>
    </row>
    <row r="1417" spans="1:11" hidden="1" x14ac:dyDescent="0.25">
      <c r="A1417" s="148" t="s">
        <v>1344</v>
      </c>
      <c r="B1417" s="149" t="s">
        <v>4974</v>
      </c>
      <c r="C1417" s="150" t="s">
        <v>3982</v>
      </c>
      <c r="D1417" s="150">
        <v>0</v>
      </c>
      <c r="E1417" s="151" t="e">
        <f ca="1">OFFSET(INDEX(Composições!A:H,MATCH(Orçamentária!A1417,Composições!A:A,0),8),2,0)</f>
        <v>#REF!</v>
      </c>
      <c r="F1417" s="152" t="str">
        <f t="shared" ca="1" si="68"/>
        <v/>
      </c>
      <c r="G1417" s="153">
        <f>IF($K1417="Padrão",BDI!$B$17,IF($K1417="Diferenciado",BDI!$E$17,0))</f>
        <v>0.2039</v>
      </c>
      <c r="H1417" s="151" t="str">
        <f t="shared" ca="1" si="66"/>
        <v/>
      </c>
      <c r="I1417" s="152" t="str">
        <f t="shared" ca="1" si="67"/>
        <v/>
      </c>
      <c r="J1417" s="154"/>
      <c r="K1417" s="155" t="s">
        <v>2966</v>
      </c>
    </row>
    <row r="1418" spans="1:11" hidden="1" x14ac:dyDescent="0.25">
      <c r="A1418" s="148" t="s">
        <v>1345</v>
      </c>
      <c r="B1418" s="149" t="s">
        <v>4975</v>
      </c>
      <c r="C1418" s="150" t="s">
        <v>3982</v>
      </c>
      <c r="D1418" s="150">
        <v>0</v>
      </c>
      <c r="E1418" s="151" t="e">
        <f ca="1">OFFSET(INDEX(Composições!A:H,MATCH(Orçamentária!A1418,Composições!A:A,0),8),2,0)</f>
        <v>#REF!</v>
      </c>
      <c r="F1418" s="152" t="str">
        <f t="shared" ca="1" si="68"/>
        <v/>
      </c>
      <c r="G1418" s="153">
        <f>IF($K1418="Padrão",BDI!$B$17,IF($K1418="Diferenciado",BDI!$E$17,0))</f>
        <v>0.2039</v>
      </c>
      <c r="H1418" s="151" t="str">
        <f t="shared" ca="1" si="66"/>
        <v/>
      </c>
      <c r="I1418" s="152" t="str">
        <f t="shared" ca="1" si="67"/>
        <v/>
      </c>
      <c r="J1418" s="154"/>
      <c r="K1418" s="155" t="s">
        <v>2966</v>
      </c>
    </row>
    <row r="1419" spans="1:11" hidden="1" x14ac:dyDescent="0.25">
      <c r="A1419" s="148" t="s">
        <v>1346</v>
      </c>
      <c r="B1419" s="149" t="s">
        <v>4976</v>
      </c>
      <c r="C1419" s="150" t="s">
        <v>3982</v>
      </c>
      <c r="D1419" s="150">
        <v>0</v>
      </c>
      <c r="E1419" s="151" t="e">
        <f ca="1">OFFSET(INDEX(Composições!A:H,MATCH(Orçamentária!A1419,Composições!A:A,0),8),2,0)</f>
        <v>#REF!</v>
      </c>
      <c r="F1419" s="152" t="str">
        <f t="shared" ca="1" si="68"/>
        <v/>
      </c>
      <c r="G1419" s="153">
        <f>IF($K1419="Padrão",BDI!$B$17,IF($K1419="Diferenciado",BDI!$E$17,0))</f>
        <v>0.2039</v>
      </c>
      <c r="H1419" s="151" t="str">
        <f t="shared" ca="1" si="66"/>
        <v/>
      </c>
      <c r="I1419" s="152" t="str">
        <f t="shared" ca="1" si="67"/>
        <v/>
      </c>
      <c r="J1419" s="154"/>
      <c r="K1419" s="155" t="s">
        <v>2966</v>
      </c>
    </row>
    <row r="1420" spans="1:11" hidden="1" x14ac:dyDescent="0.25">
      <c r="A1420" s="148" t="s">
        <v>1347</v>
      </c>
      <c r="B1420" s="149" t="s">
        <v>4977</v>
      </c>
      <c r="C1420" s="150" t="s">
        <v>3982</v>
      </c>
      <c r="D1420" s="150">
        <v>0</v>
      </c>
      <c r="E1420" s="151" t="e">
        <f ca="1">OFFSET(INDEX(Composições!A:H,MATCH(Orçamentária!A1420,Composições!A:A,0),8),2,0)</f>
        <v>#REF!</v>
      </c>
      <c r="F1420" s="152" t="str">
        <f t="shared" ca="1" si="68"/>
        <v/>
      </c>
      <c r="G1420" s="153">
        <f>IF($K1420="Padrão",BDI!$B$17,IF($K1420="Diferenciado",BDI!$E$17,0))</f>
        <v>0.2039</v>
      </c>
      <c r="H1420" s="151" t="str">
        <f t="shared" ca="1" si="66"/>
        <v/>
      </c>
      <c r="I1420" s="152" t="str">
        <f t="shared" ca="1" si="67"/>
        <v/>
      </c>
      <c r="J1420" s="154"/>
      <c r="K1420" s="155" t="s">
        <v>2966</v>
      </c>
    </row>
    <row r="1421" spans="1:11" hidden="1" x14ac:dyDescent="0.25">
      <c r="A1421" s="148" t="s">
        <v>1348</v>
      </c>
      <c r="B1421" s="149" t="s">
        <v>4978</v>
      </c>
      <c r="C1421" s="150" t="s">
        <v>3982</v>
      </c>
      <c r="D1421" s="150">
        <v>0</v>
      </c>
      <c r="E1421" s="151" t="e">
        <f ca="1">OFFSET(INDEX(Composições!A:H,MATCH(Orçamentária!A1421,Composições!A:A,0),8),2,0)</f>
        <v>#REF!</v>
      </c>
      <c r="F1421" s="152" t="str">
        <f t="shared" ca="1" si="68"/>
        <v/>
      </c>
      <c r="G1421" s="153">
        <f>IF($K1421="Padrão",BDI!$B$17,IF($K1421="Diferenciado",BDI!$E$17,0))</f>
        <v>0.2039</v>
      </c>
      <c r="H1421" s="151" t="str">
        <f t="shared" ca="1" si="66"/>
        <v/>
      </c>
      <c r="I1421" s="152" t="str">
        <f t="shared" ca="1" si="67"/>
        <v/>
      </c>
      <c r="J1421" s="154"/>
      <c r="K1421" s="155" t="s">
        <v>2966</v>
      </c>
    </row>
    <row r="1422" spans="1:11" hidden="1" x14ac:dyDescent="0.25">
      <c r="A1422" s="148" t="s">
        <v>1349</v>
      </c>
      <c r="B1422" s="149" t="s">
        <v>4979</v>
      </c>
      <c r="C1422" s="150" t="s">
        <v>3982</v>
      </c>
      <c r="D1422" s="150">
        <v>0</v>
      </c>
      <c r="E1422" s="151" t="e">
        <f ca="1">OFFSET(INDEX(Composições!A:H,MATCH(Orçamentária!A1422,Composições!A:A,0),8),2,0)</f>
        <v>#REF!</v>
      </c>
      <c r="F1422" s="152" t="str">
        <f t="shared" ca="1" si="68"/>
        <v/>
      </c>
      <c r="G1422" s="153">
        <f>IF($K1422="Padrão",BDI!$B$17,IF($K1422="Diferenciado",BDI!$E$17,0))</f>
        <v>0.2039</v>
      </c>
      <c r="H1422" s="151" t="str">
        <f t="shared" ca="1" si="66"/>
        <v/>
      </c>
      <c r="I1422" s="152" t="str">
        <f t="shared" ca="1" si="67"/>
        <v/>
      </c>
      <c r="J1422" s="154"/>
      <c r="K1422" s="155" t="s">
        <v>2966</v>
      </c>
    </row>
    <row r="1423" spans="1:11" hidden="1" x14ac:dyDescent="0.25">
      <c r="A1423" s="148" t="s">
        <v>1350</v>
      </c>
      <c r="B1423" s="149" t="s">
        <v>4980</v>
      </c>
      <c r="C1423" s="150" t="s">
        <v>3982</v>
      </c>
      <c r="D1423" s="150">
        <v>0</v>
      </c>
      <c r="E1423" s="151" t="e">
        <f ca="1">OFFSET(INDEX(Composições!A:H,MATCH(Orçamentária!A1423,Composições!A:A,0),8),2,0)</f>
        <v>#REF!</v>
      </c>
      <c r="F1423" s="152" t="str">
        <f t="shared" ca="1" si="68"/>
        <v/>
      </c>
      <c r="G1423" s="153">
        <f>IF($K1423="Padrão",BDI!$B$17,IF($K1423="Diferenciado",BDI!$E$17,0))</f>
        <v>0.2039</v>
      </c>
      <c r="H1423" s="151" t="str">
        <f t="shared" ca="1" si="66"/>
        <v/>
      </c>
      <c r="I1423" s="152" t="str">
        <f t="shared" ca="1" si="67"/>
        <v/>
      </c>
      <c r="J1423" s="154"/>
      <c r="K1423" s="155" t="s">
        <v>2966</v>
      </c>
    </row>
    <row r="1424" spans="1:11" hidden="1" x14ac:dyDescent="0.25">
      <c r="A1424" s="148" t="s">
        <v>1351</v>
      </c>
      <c r="B1424" s="149" t="s">
        <v>4981</v>
      </c>
      <c r="C1424" s="150" t="s">
        <v>3982</v>
      </c>
      <c r="D1424" s="150">
        <v>0</v>
      </c>
      <c r="E1424" s="151" t="e">
        <f ca="1">OFFSET(INDEX(Composições!A:H,MATCH(Orçamentária!A1424,Composições!A:A,0),8),2,0)</f>
        <v>#REF!</v>
      </c>
      <c r="F1424" s="152" t="str">
        <f t="shared" ca="1" si="68"/>
        <v/>
      </c>
      <c r="G1424" s="153">
        <f>IF($K1424="Padrão",BDI!$B$17,IF($K1424="Diferenciado",BDI!$E$17,0))</f>
        <v>0.2039</v>
      </c>
      <c r="H1424" s="151" t="str">
        <f t="shared" ca="1" si="66"/>
        <v/>
      </c>
      <c r="I1424" s="152" t="str">
        <f t="shared" ca="1" si="67"/>
        <v/>
      </c>
      <c r="J1424" s="154"/>
      <c r="K1424" s="155" t="s">
        <v>2966</v>
      </c>
    </row>
    <row r="1425" spans="1:11" hidden="1" x14ac:dyDescent="0.25">
      <c r="A1425" s="148" t="s">
        <v>1352</v>
      </c>
      <c r="B1425" s="149" t="s">
        <v>4982</v>
      </c>
      <c r="C1425" s="150" t="s">
        <v>3982</v>
      </c>
      <c r="D1425" s="150">
        <v>0</v>
      </c>
      <c r="E1425" s="151" t="e">
        <f ca="1">OFFSET(INDEX(Composições!A:H,MATCH(Orçamentária!A1425,Composições!A:A,0),8),2,0)</f>
        <v>#REF!</v>
      </c>
      <c r="F1425" s="152" t="str">
        <f t="shared" ca="1" si="68"/>
        <v/>
      </c>
      <c r="G1425" s="153">
        <f>IF($K1425="Padrão",BDI!$B$17,IF($K1425="Diferenciado",BDI!$E$17,0))</f>
        <v>0.2039</v>
      </c>
      <c r="H1425" s="151" t="str">
        <f t="shared" ca="1" si="66"/>
        <v/>
      </c>
      <c r="I1425" s="152" t="str">
        <f t="shared" ca="1" si="67"/>
        <v/>
      </c>
      <c r="J1425" s="154"/>
      <c r="K1425" s="155" t="s">
        <v>2966</v>
      </c>
    </row>
    <row r="1426" spans="1:11" hidden="1" x14ac:dyDescent="0.25">
      <c r="A1426" s="148" t="s">
        <v>1353</v>
      </c>
      <c r="B1426" s="149" t="s">
        <v>4983</v>
      </c>
      <c r="C1426" s="150" t="s">
        <v>3982</v>
      </c>
      <c r="D1426" s="150">
        <v>0</v>
      </c>
      <c r="E1426" s="151" t="e">
        <f ca="1">OFFSET(INDEX(Composições!A:H,MATCH(Orçamentária!A1426,Composições!A:A,0),8),2,0)</f>
        <v>#REF!</v>
      </c>
      <c r="F1426" s="152" t="str">
        <f t="shared" ca="1" si="68"/>
        <v/>
      </c>
      <c r="G1426" s="153">
        <f>IF($K1426="Padrão",BDI!$B$17,IF($K1426="Diferenciado",BDI!$E$17,0))</f>
        <v>0.2039</v>
      </c>
      <c r="H1426" s="151" t="str">
        <f t="shared" ca="1" si="66"/>
        <v/>
      </c>
      <c r="I1426" s="152" t="str">
        <f t="shared" ca="1" si="67"/>
        <v/>
      </c>
      <c r="J1426" s="154"/>
      <c r="K1426" s="155" t="s">
        <v>2966</v>
      </c>
    </row>
    <row r="1427" spans="1:11" hidden="1" x14ac:dyDescent="0.25">
      <c r="A1427" s="148" t="s">
        <v>1354</v>
      </c>
      <c r="B1427" s="149" t="s">
        <v>4984</v>
      </c>
      <c r="C1427" s="150" t="s">
        <v>3982</v>
      </c>
      <c r="D1427" s="150">
        <v>0</v>
      </c>
      <c r="E1427" s="151" t="e">
        <f ca="1">OFFSET(INDEX(Composições!A:H,MATCH(Orçamentária!A1427,Composições!A:A,0),8),2,0)</f>
        <v>#REF!</v>
      </c>
      <c r="F1427" s="152" t="str">
        <f t="shared" ca="1" si="68"/>
        <v/>
      </c>
      <c r="G1427" s="153">
        <f>IF($K1427="Padrão",BDI!$B$17,IF($K1427="Diferenciado",BDI!$E$17,0))</f>
        <v>0.2039</v>
      </c>
      <c r="H1427" s="151" t="str">
        <f t="shared" ca="1" si="66"/>
        <v/>
      </c>
      <c r="I1427" s="152" t="str">
        <f t="shared" ca="1" si="67"/>
        <v/>
      </c>
      <c r="J1427" s="154"/>
      <c r="K1427" s="155" t="s">
        <v>2966</v>
      </c>
    </row>
    <row r="1428" spans="1:11" hidden="1" x14ac:dyDescent="0.25">
      <c r="A1428" s="148" t="s">
        <v>4985</v>
      </c>
      <c r="B1428" s="149" t="s">
        <v>4986</v>
      </c>
      <c r="C1428" s="150" t="s">
        <v>18</v>
      </c>
      <c r="D1428" s="150">
        <v>0</v>
      </c>
      <c r="E1428" s="151" t="s">
        <v>13</v>
      </c>
      <c r="F1428" s="152" t="str">
        <f t="shared" si="68"/>
        <v/>
      </c>
      <c r="G1428" s="153">
        <f>IF($K1428="Padrão",BDI!$B$17,IF($K1428="Diferenciado",BDI!$E$17,0))</f>
        <v>0.2039</v>
      </c>
      <c r="H1428" s="151" t="str">
        <f t="shared" si="66"/>
        <v/>
      </c>
      <c r="I1428" s="152" t="str">
        <f t="shared" si="67"/>
        <v/>
      </c>
      <c r="J1428" s="154"/>
      <c r="K1428" s="155" t="s">
        <v>2966</v>
      </c>
    </row>
    <row r="1429" spans="1:11" hidden="1" x14ac:dyDescent="0.25">
      <c r="A1429" s="148" t="s">
        <v>4987</v>
      </c>
      <c r="B1429" s="149" t="s">
        <v>4988</v>
      </c>
      <c r="C1429" s="150" t="s">
        <v>18</v>
      </c>
      <c r="D1429" s="150">
        <v>0</v>
      </c>
      <c r="E1429" s="151" t="s">
        <v>13</v>
      </c>
      <c r="F1429" s="152" t="str">
        <f t="shared" si="68"/>
        <v/>
      </c>
      <c r="G1429" s="153">
        <f>IF($K1429="Padrão",BDI!$B$17,IF($K1429="Diferenciado",BDI!$E$17,0))</f>
        <v>0.2039</v>
      </c>
      <c r="H1429" s="151" t="str">
        <f t="shared" si="66"/>
        <v/>
      </c>
      <c r="I1429" s="152" t="str">
        <f t="shared" si="67"/>
        <v/>
      </c>
      <c r="J1429" s="154"/>
      <c r="K1429" s="155" t="s">
        <v>2966</v>
      </c>
    </row>
    <row r="1430" spans="1:11" hidden="1" x14ac:dyDescent="0.25">
      <c r="A1430" s="148" t="s">
        <v>4989</v>
      </c>
      <c r="B1430" s="149" t="s">
        <v>4990</v>
      </c>
      <c r="C1430" s="150" t="s">
        <v>18</v>
      </c>
      <c r="D1430" s="150">
        <v>0</v>
      </c>
      <c r="E1430" s="151" t="s">
        <v>13</v>
      </c>
      <c r="F1430" s="152" t="str">
        <f t="shared" si="68"/>
        <v/>
      </c>
      <c r="G1430" s="153">
        <f>IF($K1430="Padrão",BDI!$B$17,IF($K1430="Diferenciado",BDI!$E$17,0))</f>
        <v>0.2039</v>
      </c>
      <c r="H1430" s="151" t="str">
        <f t="shared" si="66"/>
        <v/>
      </c>
      <c r="I1430" s="152" t="str">
        <f t="shared" si="67"/>
        <v/>
      </c>
      <c r="J1430" s="154"/>
      <c r="K1430" s="155" t="s">
        <v>2966</v>
      </c>
    </row>
    <row r="1431" spans="1:11" hidden="1" x14ac:dyDescent="0.25">
      <c r="A1431" s="148" t="s">
        <v>4991</v>
      </c>
      <c r="B1431" s="149" t="s">
        <v>4992</v>
      </c>
      <c r="C1431" s="150" t="s">
        <v>18</v>
      </c>
      <c r="D1431" s="150">
        <v>0</v>
      </c>
      <c r="E1431" s="151" t="s">
        <v>13</v>
      </c>
      <c r="F1431" s="152" t="str">
        <f t="shared" si="68"/>
        <v/>
      </c>
      <c r="G1431" s="153">
        <f>IF($K1431="Padrão",BDI!$B$17,IF($K1431="Diferenciado",BDI!$E$17,0))</f>
        <v>0.2039</v>
      </c>
      <c r="H1431" s="151" t="str">
        <f t="shared" si="66"/>
        <v/>
      </c>
      <c r="I1431" s="152" t="str">
        <f t="shared" si="67"/>
        <v/>
      </c>
      <c r="J1431" s="154"/>
      <c r="K1431" s="155" t="s">
        <v>2966</v>
      </c>
    </row>
    <row r="1432" spans="1:11" hidden="1" x14ac:dyDescent="0.25">
      <c r="A1432" s="148" t="s">
        <v>4993</v>
      </c>
      <c r="B1432" s="149" t="s">
        <v>4994</v>
      </c>
      <c r="C1432" s="150" t="s">
        <v>18</v>
      </c>
      <c r="D1432" s="150">
        <v>0</v>
      </c>
      <c r="E1432" s="151" t="s">
        <v>13</v>
      </c>
      <c r="F1432" s="152" t="str">
        <f t="shared" si="68"/>
        <v/>
      </c>
      <c r="G1432" s="153">
        <f>IF($K1432="Padrão",BDI!$B$17,IF($K1432="Diferenciado",BDI!$E$17,0))</f>
        <v>0.2039</v>
      </c>
      <c r="H1432" s="151" t="str">
        <f t="shared" si="66"/>
        <v/>
      </c>
      <c r="I1432" s="152" t="str">
        <f t="shared" si="67"/>
        <v/>
      </c>
      <c r="J1432" s="154"/>
      <c r="K1432" s="155" t="s">
        <v>2966</v>
      </c>
    </row>
    <row r="1433" spans="1:11" hidden="1" x14ac:dyDescent="0.25">
      <c r="A1433" s="148" t="s">
        <v>4995</v>
      </c>
      <c r="B1433" s="149" t="s">
        <v>4996</v>
      </c>
      <c r="C1433" s="150" t="s">
        <v>18</v>
      </c>
      <c r="D1433" s="150">
        <v>0</v>
      </c>
      <c r="E1433" s="151" t="s">
        <v>13</v>
      </c>
      <c r="F1433" s="152" t="str">
        <f t="shared" si="68"/>
        <v/>
      </c>
      <c r="G1433" s="153">
        <f>IF($K1433="Padrão",BDI!$B$17,IF($K1433="Diferenciado",BDI!$E$17,0))</f>
        <v>0.2039</v>
      </c>
      <c r="H1433" s="151" t="str">
        <f t="shared" si="66"/>
        <v/>
      </c>
      <c r="I1433" s="152" t="str">
        <f t="shared" si="67"/>
        <v/>
      </c>
      <c r="J1433" s="154"/>
      <c r="K1433" s="155" t="s">
        <v>2966</v>
      </c>
    </row>
    <row r="1434" spans="1:11" hidden="1" x14ac:dyDescent="0.25">
      <c r="A1434" s="148" t="s">
        <v>4997</v>
      </c>
      <c r="B1434" s="149" t="s">
        <v>4998</v>
      </c>
      <c r="C1434" s="150" t="s">
        <v>18</v>
      </c>
      <c r="D1434" s="150">
        <v>0</v>
      </c>
      <c r="E1434" s="151" t="s">
        <v>13</v>
      </c>
      <c r="F1434" s="152" t="str">
        <f t="shared" si="68"/>
        <v/>
      </c>
      <c r="G1434" s="153">
        <f>IF($K1434="Padrão",BDI!$B$17,IF($K1434="Diferenciado",BDI!$E$17,0))</f>
        <v>0.2039</v>
      </c>
      <c r="H1434" s="151" t="str">
        <f t="shared" si="66"/>
        <v/>
      </c>
      <c r="I1434" s="152" t="str">
        <f t="shared" si="67"/>
        <v/>
      </c>
      <c r="J1434" s="154"/>
      <c r="K1434" s="155" t="s">
        <v>2966</v>
      </c>
    </row>
    <row r="1435" spans="1:11" hidden="1" x14ac:dyDescent="0.25">
      <c r="A1435" s="148" t="s">
        <v>4999</v>
      </c>
      <c r="B1435" s="149" t="s">
        <v>5000</v>
      </c>
      <c r="C1435" s="150" t="s">
        <v>18</v>
      </c>
      <c r="D1435" s="150">
        <v>0</v>
      </c>
      <c r="E1435" s="151" t="s">
        <v>13</v>
      </c>
      <c r="F1435" s="152" t="str">
        <f t="shared" si="68"/>
        <v/>
      </c>
      <c r="G1435" s="153">
        <f>IF($K1435="Padrão",BDI!$B$17,IF($K1435="Diferenciado",BDI!$E$17,0))</f>
        <v>0.2039</v>
      </c>
      <c r="H1435" s="151" t="str">
        <f t="shared" si="66"/>
        <v/>
      </c>
      <c r="I1435" s="152" t="str">
        <f t="shared" si="67"/>
        <v/>
      </c>
      <c r="J1435" s="154"/>
      <c r="K1435" s="155" t="s">
        <v>2966</v>
      </c>
    </row>
    <row r="1436" spans="1:11" hidden="1" x14ac:dyDescent="0.25">
      <c r="A1436" s="148" t="s">
        <v>5001</v>
      </c>
      <c r="B1436" s="149" t="s">
        <v>5002</v>
      </c>
      <c r="C1436" s="150" t="s">
        <v>18</v>
      </c>
      <c r="D1436" s="150">
        <v>0</v>
      </c>
      <c r="E1436" s="151" t="s">
        <v>13</v>
      </c>
      <c r="F1436" s="152" t="str">
        <f t="shared" si="68"/>
        <v/>
      </c>
      <c r="G1436" s="153">
        <f>IF($K1436="Padrão",BDI!$B$17,IF($K1436="Diferenciado",BDI!$E$17,0))</f>
        <v>0.2039</v>
      </c>
      <c r="H1436" s="151" t="str">
        <f t="shared" si="66"/>
        <v/>
      </c>
      <c r="I1436" s="152" t="str">
        <f t="shared" si="67"/>
        <v/>
      </c>
      <c r="J1436" s="154"/>
      <c r="K1436" s="155" t="s">
        <v>2966</v>
      </c>
    </row>
    <row r="1437" spans="1:11" hidden="1" x14ac:dyDescent="0.25">
      <c r="A1437" s="148" t="s">
        <v>5003</v>
      </c>
      <c r="B1437" s="149" t="s">
        <v>5004</v>
      </c>
      <c r="C1437" s="150" t="s">
        <v>18</v>
      </c>
      <c r="D1437" s="150">
        <v>0</v>
      </c>
      <c r="E1437" s="151" t="s">
        <v>13</v>
      </c>
      <c r="F1437" s="152" t="str">
        <f t="shared" si="68"/>
        <v/>
      </c>
      <c r="G1437" s="153">
        <f>IF($K1437="Padrão",BDI!$B$17,IF($K1437="Diferenciado",BDI!$E$17,0))</f>
        <v>0.2039</v>
      </c>
      <c r="H1437" s="151" t="str">
        <f t="shared" si="66"/>
        <v/>
      </c>
      <c r="I1437" s="152" t="str">
        <f t="shared" si="67"/>
        <v/>
      </c>
      <c r="J1437" s="154"/>
      <c r="K1437" s="155" t="s">
        <v>2966</v>
      </c>
    </row>
    <row r="1438" spans="1:11" hidden="1" x14ac:dyDescent="0.25">
      <c r="A1438" s="148" t="s">
        <v>5005</v>
      </c>
      <c r="B1438" s="149" t="s">
        <v>5006</v>
      </c>
      <c r="C1438" s="150" t="s">
        <v>18</v>
      </c>
      <c r="D1438" s="150">
        <v>0</v>
      </c>
      <c r="E1438" s="151" t="s">
        <v>13</v>
      </c>
      <c r="F1438" s="152" t="str">
        <f t="shared" si="68"/>
        <v/>
      </c>
      <c r="G1438" s="153">
        <f>IF($K1438="Padrão",BDI!$B$17,IF($K1438="Diferenciado",BDI!$E$17,0))</f>
        <v>0.2039</v>
      </c>
      <c r="H1438" s="151" t="str">
        <f t="shared" si="66"/>
        <v/>
      </c>
      <c r="I1438" s="152" t="str">
        <f t="shared" si="67"/>
        <v/>
      </c>
      <c r="J1438" s="154"/>
      <c r="K1438" s="155" t="s">
        <v>2966</v>
      </c>
    </row>
    <row r="1439" spans="1:11" hidden="1" x14ac:dyDescent="0.25">
      <c r="A1439" s="148" t="s">
        <v>5007</v>
      </c>
      <c r="B1439" s="149" t="s">
        <v>5008</v>
      </c>
      <c r="C1439" s="150" t="s">
        <v>18</v>
      </c>
      <c r="D1439" s="150">
        <v>0</v>
      </c>
      <c r="E1439" s="151" t="s">
        <v>13</v>
      </c>
      <c r="F1439" s="152" t="str">
        <f t="shared" si="68"/>
        <v/>
      </c>
      <c r="G1439" s="153">
        <f>IF($K1439="Padrão",BDI!$B$17,IF($K1439="Diferenciado",BDI!$E$17,0))</f>
        <v>0.2039</v>
      </c>
      <c r="H1439" s="151" t="str">
        <f t="shared" si="66"/>
        <v/>
      </c>
      <c r="I1439" s="152" t="str">
        <f t="shared" si="67"/>
        <v/>
      </c>
      <c r="J1439" s="154"/>
      <c r="K1439" s="155" t="s">
        <v>2966</v>
      </c>
    </row>
    <row r="1440" spans="1:11" hidden="1" x14ac:dyDescent="0.25">
      <c r="A1440" s="148" t="s">
        <v>5009</v>
      </c>
      <c r="B1440" s="149" t="s">
        <v>5010</v>
      </c>
      <c r="C1440" s="150" t="s">
        <v>106</v>
      </c>
      <c r="D1440" s="150">
        <v>0</v>
      </c>
      <c r="E1440" s="151" t="s">
        <v>13</v>
      </c>
      <c r="F1440" s="152" t="str">
        <f t="shared" si="68"/>
        <v/>
      </c>
      <c r="G1440" s="153">
        <f>IF($K1440="Padrão",BDI!$B$17,IF($K1440="Diferenciado",BDI!$E$17,0))</f>
        <v>0.2039</v>
      </c>
      <c r="H1440" s="151" t="str">
        <f t="shared" si="66"/>
        <v/>
      </c>
      <c r="I1440" s="152" t="str">
        <f t="shared" si="67"/>
        <v/>
      </c>
      <c r="J1440" s="154"/>
      <c r="K1440" s="155" t="s">
        <v>2966</v>
      </c>
    </row>
    <row r="1441" spans="1:11" hidden="1" x14ac:dyDescent="0.25">
      <c r="A1441" s="148" t="s">
        <v>5011</v>
      </c>
      <c r="B1441" s="149" t="s">
        <v>5012</v>
      </c>
      <c r="C1441" s="150" t="s">
        <v>18</v>
      </c>
      <c r="D1441" s="150">
        <v>0</v>
      </c>
      <c r="E1441" s="151" t="s">
        <v>13</v>
      </c>
      <c r="F1441" s="152" t="str">
        <f t="shared" si="68"/>
        <v/>
      </c>
      <c r="G1441" s="153">
        <f>IF($K1441="Padrão",BDI!$B$17,IF($K1441="Diferenciado",BDI!$E$17,0))</f>
        <v>0.2039</v>
      </c>
      <c r="H1441" s="151" t="str">
        <f t="shared" si="66"/>
        <v/>
      </c>
      <c r="I1441" s="152" t="str">
        <f t="shared" si="67"/>
        <v/>
      </c>
      <c r="J1441" s="154"/>
      <c r="K1441" s="155" t="s">
        <v>2966</v>
      </c>
    </row>
    <row r="1442" spans="1:11" hidden="1" x14ac:dyDescent="0.25">
      <c r="A1442" s="148" t="s">
        <v>5013</v>
      </c>
      <c r="B1442" s="149" t="s">
        <v>5014</v>
      </c>
      <c r="C1442" s="150" t="s">
        <v>4492</v>
      </c>
      <c r="D1442" s="150">
        <v>0</v>
      </c>
      <c r="E1442" s="151" t="s">
        <v>13</v>
      </c>
      <c r="F1442" s="152" t="str">
        <f t="shared" si="68"/>
        <v/>
      </c>
      <c r="G1442" s="153">
        <f>IF($K1442="Padrão",BDI!$B$17,IF($K1442="Diferenciado",BDI!$E$17,0))</f>
        <v>0.2039</v>
      </c>
      <c r="H1442" s="151" t="str">
        <f t="shared" si="66"/>
        <v/>
      </c>
      <c r="I1442" s="152" t="str">
        <f t="shared" si="67"/>
        <v/>
      </c>
      <c r="J1442" s="154"/>
      <c r="K1442" s="155" t="s">
        <v>2966</v>
      </c>
    </row>
    <row r="1443" spans="1:11" hidden="1" x14ac:dyDescent="0.25">
      <c r="A1443" s="148" t="s">
        <v>5015</v>
      </c>
      <c r="B1443" s="149" t="s">
        <v>5016</v>
      </c>
      <c r="C1443" s="150" t="s">
        <v>18</v>
      </c>
      <c r="D1443" s="150">
        <v>0</v>
      </c>
      <c r="E1443" s="151" t="s">
        <v>13</v>
      </c>
      <c r="F1443" s="152" t="str">
        <f t="shared" si="68"/>
        <v/>
      </c>
      <c r="G1443" s="153">
        <f>IF($K1443="Padrão",BDI!$B$17,IF($K1443="Diferenciado",BDI!$E$17,0))</f>
        <v>0.2039</v>
      </c>
      <c r="H1443" s="151" t="str">
        <f t="shared" si="66"/>
        <v/>
      </c>
      <c r="I1443" s="152" t="str">
        <f t="shared" si="67"/>
        <v/>
      </c>
      <c r="J1443" s="154"/>
      <c r="K1443" s="155" t="s">
        <v>2966</v>
      </c>
    </row>
    <row r="1444" spans="1:11" hidden="1" x14ac:dyDescent="0.25">
      <c r="A1444" s="148" t="s">
        <v>5017</v>
      </c>
      <c r="B1444" s="149" t="s">
        <v>5018</v>
      </c>
      <c r="C1444" s="150" t="s">
        <v>18</v>
      </c>
      <c r="D1444" s="150">
        <v>0</v>
      </c>
      <c r="E1444" s="151" t="s">
        <v>13</v>
      </c>
      <c r="F1444" s="152" t="str">
        <f t="shared" si="68"/>
        <v/>
      </c>
      <c r="G1444" s="153">
        <f>IF($K1444="Padrão",BDI!$B$17,IF($K1444="Diferenciado",BDI!$E$17,0))</f>
        <v>0.2039</v>
      </c>
      <c r="H1444" s="151" t="str">
        <f t="shared" si="66"/>
        <v/>
      </c>
      <c r="I1444" s="152" t="str">
        <f t="shared" si="67"/>
        <v/>
      </c>
      <c r="J1444" s="154"/>
      <c r="K1444" s="155" t="s">
        <v>2966</v>
      </c>
    </row>
    <row r="1445" spans="1:11" hidden="1" x14ac:dyDescent="0.25">
      <c r="A1445" s="148" t="s">
        <v>5019</v>
      </c>
      <c r="B1445" s="149" t="s">
        <v>5020</v>
      </c>
      <c r="C1445" s="150" t="s">
        <v>18</v>
      </c>
      <c r="D1445" s="150">
        <v>0</v>
      </c>
      <c r="E1445" s="151" t="s">
        <v>13</v>
      </c>
      <c r="F1445" s="152" t="str">
        <f t="shared" si="68"/>
        <v/>
      </c>
      <c r="G1445" s="153">
        <f>IF($K1445="Padrão",BDI!$B$17,IF($K1445="Diferenciado",BDI!$E$17,0))</f>
        <v>0.2039</v>
      </c>
      <c r="H1445" s="151" t="str">
        <f t="shared" si="66"/>
        <v/>
      </c>
      <c r="I1445" s="152" t="str">
        <f t="shared" si="67"/>
        <v/>
      </c>
      <c r="J1445" s="154"/>
      <c r="K1445" s="155" t="s">
        <v>2966</v>
      </c>
    </row>
    <row r="1446" spans="1:11" hidden="1" x14ac:dyDescent="0.25">
      <c r="A1446" s="148" t="s">
        <v>5021</v>
      </c>
      <c r="B1446" s="149" t="s">
        <v>5022</v>
      </c>
      <c r="C1446" s="150" t="s">
        <v>18</v>
      </c>
      <c r="D1446" s="150">
        <v>0</v>
      </c>
      <c r="E1446" s="151" t="s">
        <v>13</v>
      </c>
      <c r="F1446" s="152" t="str">
        <f t="shared" si="68"/>
        <v/>
      </c>
      <c r="G1446" s="153">
        <f>IF($K1446="Padrão",BDI!$B$17,IF($K1446="Diferenciado",BDI!$E$17,0))</f>
        <v>0.2039</v>
      </c>
      <c r="H1446" s="151" t="str">
        <f t="shared" si="66"/>
        <v/>
      </c>
      <c r="I1446" s="152" t="str">
        <f t="shared" si="67"/>
        <v/>
      </c>
      <c r="J1446" s="154"/>
      <c r="K1446" s="155" t="s">
        <v>2966</v>
      </c>
    </row>
    <row r="1447" spans="1:11" hidden="1" x14ac:dyDescent="0.25">
      <c r="A1447" s="148" t="s">
        <v>5023</v>
      </c>
      <c r="B1447" s="149" t="s">
        <v>5024</v>
      </c>
      <c r="C1447" s="150" t="s">
        <v>18</v>
      </c>
      <c r="D1447" s="150">
        <v>0</v>
      </c>
      <c r="E1447" s="151" t="s">
        <v>13</v>
      </c>
      <c r="F1447" s="152" t="str">
        <f t="shared" si="68"/>
        <v/>
      </c>
      <c r="G1447" s="153">
        <f>IF($K1447="Padrão",BDI!$B$17,IF($K1447="Diferenciado",BDI!$E$17,0))</f>
        <v>0.2039</v>
      </c>
      <c r="H1447" s="151" t="str">
        <f t="shared" si="66"/>
        <v/>
      </c>
      <c r="I1447" s="152" t="str">
        <f t="shared" si="67"/>
        <v/>
      </c>
      <c r="J1447" s="154"/>
      <c r="K1447" s="155" t="s">
        <v>2966</v>
      </c>
    </row>
    <row r="1448" spans="1:11" hidden="1" x14ac:dyDescent="0.25">
      <c r="A1448" s="148" t="s">
        <v>5025</v>
      </c>
      <c r="B1448" s="149" t="s">
        <v>5026</v>
      </c>
      <c r="C1448" s="150" t="s">
        <v>18</v>
      </c>
      <c r="D1448" s="150">
        <v>0</v>
      </c>
      <c r="E1448" s="151" t="s">
        <v>13</v>
      </c>
      <c r="F1448" s="152" t="str">
        <f t="shared" si="68"/>
        <v/>
      </c>
      <c r="G1448" s="153">
        <f>IF($K1448="Padrão",BDI!$B$17,IF($K1448="Diferenciado",BDI!$E$17,0))</f>
        <v>0.2039</v>
      </c>
      <c r="H1448" s="151" t="str">
        <f t="shared" si="66"/>
        <v/>
      </c>
      <c r="I1448" s="152" t="str">
        <f t="shared" si="67"/>
        <v/>
      </c>
      <c r="J1448" s="154"/>
      <c r="K1448" s="155" t="s">
        <v>2966</v>
      </c>
    </row>
    <row r="1449" spans="1:11" hidden="1" x14ac:dyDescent="0.25">
      <c r="A1449" s="148" t="s">
        <v>5027</v>
      </c>
      <c r="B1449" s="149" t="s">
        <v>5028</v>
      </c>
      <c r="C1449" s="150" t="s">
        <v>18</v>
      </c>
      <c r="D1449" s="150">
        <v>0</v>
      </c>
      <c r="E1449" s="151" t="s">
        <v>13</v>
      </c>
      <c r="F1449" s="152" t="str">
        <f t="shared" si="68"/>
        <v/>
      </c>
      <c r="G1449" s="153">
        <f>IF($K1449="Padrão",BDI!$B$17,IF($K1449="Diferenciado",BDI!$E$17,0))</f>
        <v>0.2039</v>
      </c>
      <c r="H1449" s="151" t="str">
        <f t="shared" si="66"/>
        <v/>
      </c>
      <c r="I1449" s="152" t="str">
        <f t="shared" si="67"/>
        <v/>
      </c>
      <c r="J1449" s="154"/>
      <c r="K1449" s="155" t="s">
        <v>2966</v>
      </c>
    </row>
    <row r="1450" spans="1:11" hidden="1" x14ac:dyDescent="0.25">
      <c r="A1450" s="148" t="s">
        <v>5029</v>
      </c>
      <c r="B1450" s="149" t="s">
        <v>5030</v>
      </c>
      <c r="C1450" s="150" t="s">
        <v>5031</v>
      </c>
      <c r="D1450" s="150">
        <v>0</v>
      </c>
      <c r="E1450" s="151" t="s">
        <v>13</v>
      </c>
      <c r="F1450" s="152" t="str">
        <f t="shared" si="68"/>
        <v/>
      </c>
      <c r="G1450" s="153">
        <f>IF($K1450="Padrão",BDI!$B$17,IF($K1450="Diferenciado",BDI!$E$17,0))</f>
        <v>0.2039</v>
      </c>
      <c r="H1450" s="151" t="str">
        <f t="shared" si="66"/>
        <v/>
      </c>
      <c r="I1450" s="152" t="str">
        <f t="shared" si="67"/>
        <v/>
      </c>
      <c r="J1450" s="154"/>
      <c r="K1450" s="155" t="s">
        <v>2966</v>
      </c>
    </row>
    <row r="1451" spans="1:11" hidden="1" x14ac:dyDescent="0.25">
      <c r="A1451" s="148" t="s">
        <v>5032</v>
      </c>
      <c r="B1451" s="149" t="s">
        <v>5033</v>
      </c>
      <c r="C1451" s="150" t="s">
        <v>106</v>
      </c>
      <c r="D1451" s="150">
        <v>0</v>
      </c>
      <c r="E1451" s="151" t="s">
        <v>13</v>
      </c>
      <c r="F1451" s="152" t="str">
        <f t="shared" si="68"/>
        <v/>
      </c>
      <c r="G1451" s="153">
        <f>IF($K1451="Padrão",BDI!$B$17,IF($K1451="Diferenciado",BDI!$E$17,0))</f>
        <v>0.2039</v>
      </c>
      <c r="H1451" s="151" t="str">
        <f t="shared" si="66"/>
        <v/>
      </c>
      <c r="I1451" s="152" t="str">
        <f t="shared" si="67"/>
        <v/>
      </c>
      <c r="J1451" s="154"/>
      <c r="K1451" s="155" t="s">
        <v>2966</v>
      </c>
    </row>
    <row r="1452" spans="1:11" hidden="1" x14ac:dyDescent="0.25">
      <c r="A1452" s="148" t="s">
        <v>5034</v>
      </c>
      <c r="B1452" s="149" t="s">
        <v>5035</v>
      </c>
      <c r="C1452" s="150" t="s">
        <v>106</v>
      </c>
      <c r="D1452" s="150">
        <v>0</v>
      </c>
      <c r="E1452" s="151" t="s">
        <v>13</v>
      </c>
      <c r="F1452" s="152" t="str">
        <f t="shared" si="68"/>
        <v/>
      </c>
      <c r="G1452" s="153">
        <f>IF($K1452="Padrão",BDI!$B$17,IF($K1452="Diferenciado",BDI!$E$17,0))</f>
        <v>0.2039</v>
      </c>
      <c r="H1452" s="151" t="str">
        <f t="shared" si="66"/>
        <v/>
      </c>
      <c r="I1452" s="152" t="str">
        <f t="shared" si="67"/>
        <v/>
      </c>
      <c r="J1452" s="154"/>
      <c r="K1452" s="155" t="s">
        <v>2966</v>
      </c>
    </row>
    <row r="1453" spans="1:11" hidden="1" x14ac:dyDescent="0.25">
      <c r="A1453" s="148" t="s">
        <v>5036</v>
      </c>
      <c r="B1453" s="149" t="s">
        <v>5037</v>
      </c>
      <c r="C1453" s="150" t="s">
        <v>106</v>
      </c>
      <c r="D1453" s="150">
        <v>0</v>
      </c>
      <c r="E1453" s="151" t="s">
        <v>13</v>
      </c>
      <c r="F1453" s="152" t="str">
        <f t="shared" si="68"/>
        <v/>
      </c>
      <c r="G1453" s="153">
        <f>IF($K1453="Padrão",BDI!$B$17,IF($K1453="Diferenciado",BDI!$E$17,0))</f>
        <v>0.2039</v>
      </c>
      <c r="H1453" s="151" t="str">
        <f t="shared" si="66"/>
        <v/>
      </c>
      <c r="I1453" s="152" t="str">
        <f t="shared" si="67"/>
        <v/>
      </c>
      <c r="J1453" s="154"/>
      <c r="K1453" s="155" t="s">
        <v>2966</v>
      </c>
    </row>
    <row r="1454" spans="1:11" hidden="1" x14ac:dyDescent="0.25">
      <c r="A1454" s="148" t="s">
        <v>5038</v>
      </c>
      <c r="B1454" s="149" t="s">
        <v>5039</v>
      </c>
      <c r="C1454" s="150" t="s">
        <v>106</v>
      </c>
      <c r="D1454" s="150">
        <v>0</v>
      </c>
      <c r="E1454" s="151" t="s">
        <v>13</v>
      </c>
      <c r="F1454" s="152" t="str">
        <f t="shared" si="68"/>
        <v/>
      </c>
      <c r="G1454" s="153">
        <f>IF($K1454="Padrão",BDI!$B$17,IF($K1454="Diferenciado",BDI!$E$17,0))</f>
        <v>0.2039</v>
      </c>
      <c r="H1454" s="151" t="str">
        <f t="shared" si="66"/>
        <v/>
      </c>
      <c r="I1454" s="152" t="str">
        <f t="shared" si="67"/>
        <v/>
      </c>
      <c r="J1454" s="154"/>
      <c r="K1454" s="155" t="s">
        <v>2966</v>
      </c>
    </row>
    <row r="1455" spans="1:11" hidden="1" x14ac:dyDescent="0.25">
      <c r="A1455" s="148" t="s">
        <v>5040</v>
      </c>
      <c r="B1455" s="149" t="s">
        <v>5041</v>
      </c>
      <c r="C1455" s="150" t="s">
        <v>106</v>
      </c>
      <c r="D1455" s="150">
        <v>0</v>
      </c>
      <c r="E1455" s="151" t="s">
        <v>13</v>
      </c>
      <c r="F1455" s="152" t="str">
        <f t="shared" si="68"/>
        <v/>
      </c>
      <c r="G1455" s="153">
        <f>IF($K1455="Padrão",BDI!$B$17,IF($K1455="Diferenciado",BDI!$E$17,0))</f>
        <v>0.2039</v>
      </c>
      <c r="H1455" s="151" t="str">
        <f t="shared" si="66"/>
        <v/>
      </c>
      <c r="I1455" s="152" t="str">
        <f t="shared" si="67"/>
        <v/>
      </c>
      <c r="J1455" s="154"/>
      <c r="K1455" s="155" t="s">
        <v>2966</v>
      </c>
    </row>
    <row r="1456" spans="1:11" hidden="1" x14ac:dyDescent="0.25">
      <c r="A1456" s="148" t="s">
        <v>5042</v>
      </c>
      <c r="B1456" s="149" t="s">
        <v>5043</v>
      </c>
      <c r="C1456" s="150" t="s">
        <v>106</v>
      </c>
      <c r="D1456" s="150">
        <v>0</v>
      </c>
      <c r="E1456" s="151" t="s">
        <v>13</v>
      </c>
      <c r="F1456" s="152" t="str">
        <f t="shared" si="68"/>
        <v/>
      </c>
      <c r="G1456" s="153">
        <f>IF($K1456="Padrão",BDI!$B$17,IF($K1456="Diferenciado",BDI!$E$17,0))</f>
        <v>0.2039</v>
      </c>
      <c r="H1456" s="151" t="str">
        <f t="shared" si="66"/>
        <v/>
      </c>
      <c r="I1456" s="152" t="str">
        <f t="shared" si="67"/>
        <v/>
      </c>
      <c r="J1456" s="154"/>
      <c r="K1456" s="155" t="s">
        <v>2966</v>
      </c>
    </row>
    <row r="1457" spans="1:11" hidden="1" x14ac:dyDescent="0.25">
      <c r="A1457" s="148" t="s">
        <v>5044</v>
      </c>
      <c r="B1457" s="149" t="s">
        <v>5045</v>
      </c>
      <c r="C1457" s="150" t="s">
        <v>106</v>
      </c>
      <c r="D1457" s="150">
        <v>0</v>
      </c>
      <c r="E1457" s="151" t="s">
        <v>13</v>
      </c>
      <c r="F1457" s="152" t="str">
        <f t="shared" si="68"/>
        <v/>
      </c>
      <c r="G1457" s="153">
        <f>IF($K1457="Padrão",BDI!$B$17,IF($K1457="Diferenciado",BDI!$E$17,0))</f>
        <v>0.2039</v>
      </c>
      <c r="H1457" s="151" t="str">
        <f t="shared" si="66"/>
        <v/>
      </c>
      <c r="I1457" s="152" t="str">
        <f t="shared" si="67"/>
        <v/>
      </c>
      <c r="J1457" s="154"/>
      <c r="K1457" s="155" t="s">
        <v>2966</v>
      </c>
    </row>
    <row r="1458" spans="1:11" hidden="1" x14ac:dyDescent="0.25">
      <c r="A1458" s="148" t="s">
        <v>5046</v>
      </c>
      <c r="B1458" s="149" t="s">
        <v>5047</v>
      </c>
      <c r="C1458" s="150" t="s">
        <v>106</v>
      </c>
      <c r="D1458" s="150">
        <v>0</v>
      </c>
      <c r="E1458" s="151" t="s">
        <v>13</v>
      </c>
      <c r="F1458" s="152" t="str">
        <f t="shared" si="68"/>
        <v/>
      </c>
      <c r="G1458" s="153">
        <f>IF($K1458="Padrão",BDI!$B$17,IF($K1458="Diferenciado",BDI!$E$17,0))</f>
        <v>0.2039</v>
      </c>
      <c r="H1458" s="151" t="str">
        <f t="shared" si="66"/>
        <v/>
      </c>
      <c r="I1458" s="152" t="str">
        <f t="shared" si="67"/>
        <v/>
      </c>
      <c r="J1458" s="154"/>
      <c r="K1458" s="155" t="s">
        <v>2966</v>
      </c>
    </row>
    <row r="1459" spans="1:11" hidden="1" x14ac:dyDescent="0.25">
      <c r="A1459" s="148" t="s">
        <v>5048</v>
      </c>
      <c r="B1459" s="149" t="s">
        <v>5049</v>
      </c>
      <c r="C1459" s="150" t="s">
        <v>106</v>
      </c>
      <c r="D1459" s="150">
        <v>0</v>
      </c>
      <c r="E1459" s="151" t="s">
        <v>13</v>
      </c>
      <c r="F1459" s="152" t="str">
        <f t="shared" si="68"/>
        <v/>
      </c>
      <c r="G1459" s="153">
        <f>IF($K1459="Padrão",BDI!$B$17,IF($K1459="Diferenciado",BDI!$E$17,0))</f>
        <v>0.2039</v>
      </c>
      <c r="H1459" s="151" t="str">
        <f t="shared" si="66"/>
        <v/>
      </c>
      <c r="I1459" s="152" t="str">
        <f t="shared" si="67"/>
        <v/>
      </c>
      <c r="J1459" s="154"/>
      <c r="K1459" s="155" t="s">
        <v>2966</v>
      </c>
    </row>
    <row r="1460" spans="1:11" hidden="1" x14ac:dyDescent="0.25">
      <c r="A1460" s="148" t="s">
        <v>5050</v>
      </c>
      <c r="B1460" s="149" t="s">
        <v>5051</v>
      </c>
      <c r="C1460" s="150" t="s">
        <v>106</v>
      </c>
      <c r="D1460" s="150">
        <v>0</v>
      </c>
      <c r="E1460" s="151" t="s">
        <v>13</v>
      </c>
      <c r="F1460" s="152" t="str">
        <f t="shared" si="68"/>
        <v/>
      </c>
      <c r="G1460" s="153">
        <f>IF($K1460="Padrão",BDI!$B$17,IF($K1460="Diferenciado",BDI!$E$17,0))</f>
        <v>0.2039</v>
      </c>
      <c r="H1460" s="151" t="str">
        <f t="shared" si="66"/>
        <v/>
      </c>
      <c r="I1460" s="152" t="str">
        <f t="shared" si="67"/>
        <v/>
      </c>
      <c r="J1460" s="154"/>
      <c r="K1460" s="155" t="s">
        <v>2966</v>
      </c>
    </row>
    <row r="1461" spans="1:11" hidden="1" x14ac:dyDescent="0.25">
      <c r="A1461" s="148" t="s">
        <v>5052</v>
      </c>
      <c r="B1461" s="149" t="s">
        <v>5053</v>
      </c>
      <c r="C1461" s="150" t="s">
        <v>106</v>
      </c>
      <c r="D1461" s="150">
        <v>0</v>
      </c>
      <c r="E1461" s="151" t="s">
        <v>13</v>
      </c>
      <c r="F1461" s="152" t="str">
        <f t="shared" si="68"/>
        <v/>
      </c>
      <c r="G1461" s="153">
        <f>IF($K1461="Padrão",BDI!$B$17,IF($K1461="Diferenciado",BDI!$E$17,0))</f>
        <v>0.2039</v>
      </c>
      <c r="H1461" s="151" t="str">
        <f t="shared" si="66"/>
        <v/>
      </c>
      <c r="I1461" s="152" t="str">
        <f t="shared" si="67"/>
        <v/>
      </c>
      <c r="J1461" s="154"/>
      <c r="K1461" s="155" t="s">
        <v>2966</v>
      </c>
    </row>
    <row r="1462" spans="1:11" hidden="1" x14ac:dyDescent="0.25">
      <c r="A1462" s="148" t="s">
        <v>5054</v>
      </c>
      <c r="B1462" s="149" t="s">
        <v>5055</v>
      </c>
      <c r="C1462" s="150" t="s">
        <v>18</v>
      </c>
      <c r="D1462" s="150">
        <v>0</v>
      </c>
      <c r="E1462" s="151" t="s">
        <v>13</v>
      </c>
      <c r="F1462" s="152" t="str">
        <f t="shared" si="68"/>
        <v/>
      </c>
      <c r="G1462" s="153">
        <f>IF($K1462="Padrão",BDI!$B$17,IF($K1462="Diferenciado",BDI!$E$17,0))</f>
        <v>0.2039</v>
      </c>
      <c r="H1462" s="151" t="str">
        <f t="shared" si="66"/>
        <v/>
      </c>
      <c r="I1462" s="152" t="str">
        <f t="shared" si="67"/>
        <v/>
      </c>
      <c r="J1462" s="154"/>
      <c r="K1462" s="155" t="s">
        <v>2966</v>
      </c>
    </row>
    <row r="1463" spans="1:11" hidden="1" x14ac:dyDescent="0.25">
      <c r="A1463" s="148" t="s">
        <v>5056</v>
      </c>
      <c r="B1463" s="149" t="s">
        <v>5057</v>
      </c>
      <c r="C1463" s="150" t="s">
        <v>18</v>
      </c>
      <c r="D1463" s="150">
        <v>0</v>
      </c>
      <c r="E1463" s="151" t="s">
        <v>13</v>
      </c>
      <c r="F1463" s="152" t="str">
        <f t="shared" si="68"/>
        <v/>
      </c>
      <c r="G1463" s="153">
        <f>IF($K1463="Padrão",BDI!$B$17,IF($K1463="Diferenciado",BDI!$E$17,0))</f>
        <v>0.2039</v>
      </c>
      <c r="H1463" s="151" t="str">
        <f t="shared" si="66"/>
        <v/>
      </c>
      <c r="I1463" s="152" t="str">
        <f t="shared" si="67"/>
        <v/>
      </c>
      <c r="J1463" s="154"/>
      <c r="K1463" s="155" t="s">
        <v>2966</v>
      </c>
    </row>
    <row r="1464" spans="1:11" hidden="1" x14ac:dyDescent="0.25">
      <c r="A1464" s="148" t="s">
        <v>5058</v>
      </c>
      <c r="B1464" s="149" t="s">
        <v>5059</v>
      </c>
      <c r="C1464" s="150" t="s">
        <v>18</v>
      </c>
      <c r="D1464" s="150">
        <v>0</v>
      </c>
      <c r="E1464" s="151" t="s">
        <v>13</v>
      </c>
      <c r="F1464" s="152" t="str">
        <f t="shared" si="68"/>
        <v/>
      </c>
      <c r="G1464" s="153">
        <f>IF($K1464="Padrão",BDI!$B$17,IF($K1464="Diferenciado",BDI!$E$17,0))</f>
        <v>0.2039</v>
      </c>
      <c r="H1464" s="151" t="str">
        <f t="shared" si="66"/>
        <v/>
      </c>
      <c r="I1464" s="152" t="str">
        <f t="shared" si="67"/>
        <v/>
      </c>
      <c r="J1464" s="154"/>
      <c r="K1464" s="155" t="s">
        <v>2966</v>
      </c>
    </row>
    <row r="1465" spans="1:11" hidden="1" x14ac:dyDescent="0.25">
      <c r="A1465" s="148" t="s">
        <v>5060</v>
      </c>
      <c r="B1465" s="149" t="s">
        <v>5061</v>
      </c>
      <c r="C1465" s="150" t="s">
        <v>18</v>
      </c>
      <c r="D1465" s="150">
        <v>0</v>
      </c>
      <c r="E1465" s="151" t="s">
        <v>13</v>
      </c>
      <c r="F1465" s="152" t="str">
        <f t="shared" si="68"/>
        <v/>
      </c>
      <c r="G1465" s="153">
        <f>IF($K1465="Padrão",BDI!$B$17,IF($K1465="Diferenciado",BDI!$E$17,0))</f>
        <v>0.2039</v>
      </c>
      <c r="H1465" s="151" t="str">
        <f t="shared" si="66"/>
        <v/>
      </c>
      <c r="I1465" s="152" t="str">
        <f t="shared" si="67"/>
        <v/>
      </c>
      <c r="J1465" s="154"/>
      <c r="K1465" s="155" t="s">
        <v>2966</v>
      </c>
    </row>
    <row r="1466" spans="1:11" hidden="1" x14ac:dyDescent="0.25">
      <c r="A1466" s="148" t="s">
        <v>5062</v>
      </c>
      <c r="B1466" s="149" t="s">
        <v>5063</v>
      </c>
      <c r="C1466" s="150" t="s">
        <v>18</v>
      </c>
      <c r="D1466" s="150">
        <v>0</v>
      </c>
      <c r="E1466" s="151" t="s">
        <v>13</v>
      </c>
      <c r="F1466" s="152" t="str">
        <f t="shared" si="68"/>
        <v/>
      </c>
      <c r="G1466" s="153">
        <f>IF($K1466="Padrão",BDI!$B$17,IF($K1466="Diferenciado",BDI!$E$17,0))</f>
        <v>0.2039</v>
      </c>
      <c r="H1466" s="151" t="str">
        <f t="shared" si="66"/>
        <v/>
      </c>
      <c r="I1466" s="152" t="str">
        <f t="shared" si="67"/>
        <v/>
      </c>
      <c r="J1466" s="154"/>
      <c r="K1466" s="155" t="s">
        <v>2966</v>
      </c>
    </row>
    <row r="1467" spans="1:11" hidden="1" x14ac:dyDescent="0.25">
      <c r="A1467" s="148" t="s">
        <v>5064</v>
      </c>
      <c r="B1467" s="149" t="s">
        <v>5065</v>
      </c>
      <c r="C1467" s="150" t="s">
        <v>18</v>
      </c>
      <c r="D1467" s="150">
        <v>0</v>
      </c>
      <c r="E1467" s="151" t="s">
        <v>13</v>
      </c>
      <c r="F1467" s="152" t="str">
        <f t="shared" si="68"/>
        <v/>
      </c>
      <c r="G1467" s="153">
        <f>IF($K1467="Padrão",BDI!$B$17,IF($K1467="Diferenciado",BDI!$E$17,0))</f>
        <v>0.2039</v>
      </c>
      <c r="H1467" s="151" t="str">
        <f t="shared" si="66"/>
        <v/>
      </c>
      <c r="I1467" s="152" t="str">
        <f t="shared" si="67"/>
        <v/>
      </c>
      <c r="J1467" s="154"/>
      <c r="K1467" s="155" t="s">
        <v>2966</v>
      </c>
    </row>
    <row r="1468" spans="1:11" hidden="1" x14ac:dyDescent="0.25">
      <c r="A1468" s="148" t="s">
        <v>5066</v>
      </c>
      <c r="B1468" s="149" t="s">
        <v>5067</v>
      </c>
      <c r="C1468" s="150" t="s">
        <v>18</v>
      </c>
      <c r="D1468" s="150">
        <v>0</v>
      </c>
      <c r="E1468" s="151" t="s">
        <v>13</v>
      </c>
      <c r="F1468" s="152" t="str">
        <f t="shared" si="68"/>
        <v/>
      </c>
      <c r="G1468" s="153">
        <f>IF($K1468="Padrão",BDI!$B$17,IF($K1468="Diferenciado",BDI!$E$17,0))</f>
        <v>0.2039</v>
      </c>
      <c r="H1468" s="151" t="str">
        <f t="shared" si="66"/>
        <v/>
      </c>
      <c r="I1468" s="152" t="str">
        <f t="shared" si="67"/>
        <v/>
      </c>
      <c r="J1468" s="154"/>
      <c r="K1468" s="155" t="s">
        <v>2966</v>
      </c>
    </row>
    <row r="1469" spans="1:11" hidden="1" x14ac:dyDescent="0.25">
      <c r="A1469" s="148" t="s">
        <v>5068</v>
      </c>
      <c r="B1469" s="149" t="s">
        <v>5069</v>
      </c>
      <c r="C1469" s="150" t="s">
        <v>18</v>
      </c>
      <c r="D1469" s="150">
        <v>0</v>
      </c>
      <c r="E1469" s="151" t="s">
        <v>13</v>
      </c>
      <c r="F1469" s="152" t="str">
        <f t="shared" si="68"/>
        <v/>
      </c>
      <c r="G1469" s="153">
        <f>IF($K1469="Padrão",BDI!$B$17,IF($K1469="Diferenciado",BDI!$E$17,0))</f>
        <v>0.2039</v>
      </c>
      <c r="H1469" s="151" t="str">
        <f t="shared" si="66"/>
        <v/>
      </c>
      <c r="I1469" s="152" t="str">
        <f t="shared" si="67"/>
        <v/>
      </c>
      <c r="J1469" s="154"/>
      <c r="K1469" s="155" t="s">
        <v>2966</v>
      </c>
    </row>
    <row r="1470" spans="1:11" hidden="1" x14ac:dyDescent="0.25">
      <c r="A1470" s="148" t="s">
        <v>5070</v>
      </c>
      <c r="B1470" s="149" t="s">
        <v>5071</v>
      </c>
      <c r="C1470" s="150" t="s">
        <v>18</v>
      </c>
      <c r="D1470" s="150">
        <v>0</v>
      </c>
      <c r="E1470" s="151" t="s">
        <v>13</v>
      </c>
      <c r="F1470" s="152" t="str">
        <f t="shared" si="68"/>
        <v/>
      </c>
      <c r="G1470" s="153">
        <f>IF($K1470="Padrão",BDI!$B$17,IF($K1470="Diferenciado",BDI!$E$17,0))</f>
        <v>0.2039</v>
      </c>
      <c r="H1470" s="151" t="str">
        <f t="shared" si="66"/>
        <v/>
      </c>
      <c r="I1470" s="152" t="str">
        <f t="shared" si="67"/>
        <v/>
      </c>
      <c r="J1470" s="154"/>
      <c r="K1470" s="155" t="s">
        <v>2966</v>
      </c>
    </row>
    <row r="1471" spans="1:11" hidden="1" x14ac:dyDescent="0.25">
      <c r="A1471" s="148" t="s">
        <v>5072</v>
      </c>
      <c r="B1471" s="149" t="s">
        <v>5073</v>
      </c>
      <c r="C1471" s="150" t="s">
        <v>18</v>
      </c>
      <c r="D1471" s="150">
        <v>0</v>
      </c>
      <c r="E1471" s="151" t="s">
        <v>13</v>
      </c>
      <c r="F1471" s="152" t="str">
        <f t="shared" si="68"/>
        <v/>
      </c>
      <c r="G1471" s="153">
        <f>IF($K1471="Padrão",BDI!$B$17,IF($K1471="Diferenciado",BDI!$E$17,0))</f>
        <v>0.2039</v>
      </c>
      <c r="H1471" s="151" t="str">
        <f t="shared" si="66"/>
        <v/>
      </c>
      <c r="I1471" s="152" t="str">
        <f t="shared" si="67"/>
        <v/>
      </c>
      <c r="J1471" s="154"/>
      <c r="K1471" s="155" t="s">
        <v>2966</v>
      </c>
    </row>
    <row r="1472" spans="1:11" hidden="1" x14ac:dyDescent="0.25">
      <c r="A1472" s="148" t="s">
        <v>5074</v>
      </c>
      <c r="B1472" s="149" t="s">
        <v>5075</v>
      </c>
      <c r="C1472" s="150" t="s">
        <v>18</v>
      </c>
      <c r="D1472" s="150">
        <v>0</v>
      </c>
      <c r="E1472" s="151" t="s">
        <v>13</v>
      </c>
      <c r="F1472" s="152" t="str">
        <f t="shared" si="68"/>
        <v/>
      </c>
      <c r="G1472" s="153">
        <f>IF($K1472="Padrão",BDI!$B$17,IF($K1472="Diferenciado",BDI!$E$17,0))</f>
        <v>0.2039</v>
      </c>
      <c r="H1472" s="151" t="str">
        <f t="shared" si="66"/>
        <v/>
      </c>
      <c r="I1472" s="152" t="str">
        <f t="shared" si="67"/>
        <v/>
      </c>
      <c r="J1472" s="154"/>
      <c r="K1472" s="155" t="s">
        <v>2966</v>
      </c>
    </row>
    <row r="1473" spans="1:11" hidden="1" x14ac:dyDescent="0.25">
      <c r="A1473" s="148" t="s">
        <v>5076</v>
      </c>
      <c r="B1473" s="149" t="s">
        <v>5077</v>
      </c>
      <c r="C1473" s="150" t="s">
        <v>18</v>
      </c>
      <c r="D1473" s="150">
        <v>0</v>
      </c>
      <c r="E1473" s="151" t="s">
        <v>13</v>
      </c>
      <c r="F1473" s="152" t="str">
        <f t="shared" si="68"/>
        <v/>
      </c>
      <c r="G1473" s="153">
        <f>IF($K1473="Padrão",BDI!$B$17,IF($K1473="Diferenciado",BDI!$E$17,0))</f>
        <v>0.2039</v>
      </c>
      <c r="H1473" s="151" t="str">
        <f t="shared" si="66"/>
        <v/>
      </c>
      <c r="I1473" s="152" t="str">
        <f t="shared" si="67"/>
        <v/>
      </c>
      <c r="J1473" s="154"/>
      <c r="K1473" s="155" t="s">
        <v>2966</v>
      </c>
    </row>
    <row r="1474" spans="1:11" hidden="1" x14ac:dyDescent="0.25">
      <c r="A1474" s="148" t="s">
        <v>5078</v>
      </c>
      <c r="B1474" s="149" t="s">
        <v>5079</v>
      </c>
      <c r="C1474" s="150" t="s">
        <v>18</v>
      </c>
      <c r="D1474" s="150">
        <v>0</v>
      </c>
      <c r="E1474" s="151" t="s">
        <v>13</v>
      </c>
      <c r="F1474" s="152" t="str">
        <f t="shared" si="68"/>
        <v/>
      </c>
      <c r="G1474" s="153">
        <f>IF($K1474="Padrão",BDI!$B$17,IF($K1474="Diferenciado",BDI!$E$17,0))</f>
        <v>0.2039</v>
      </c>
      <c r="H1474" s="151" t="str">
        <f t="shared" si="66"/>
        <v/>
      </c>
      <c r="I1474" s="152" t="str">
        <f t="shared" si="67"/>
        <v/>
      </c>
      <c r="J1474" s="154"/>
      <c r="K1474" s="155" t="s">
        <v>2966</v>
      </c>
    </row>
    <row r="1475" spans="1:11" hidden="1" x14ac:dyDescent="0.25">
      <c r="A1475" s="148" t="s">
        <v>5080</v>
      </c>
      <c r="B1475" s="149" t="s">
        <v>5081</v>
      </c>
      <c r="C1475" s="150" t="s">
        <v>18</v>
      </c>
      <c r="D1475" s="150">
        <v>0</v>
      </c>
      <c r="E1475" s="151" t="s">
        <v>13</v>
      </c>
      <c r="F1475" s="152" t="str">
        <f t="shared" si="68"/>
        <v/>
      </c>
      <c r="G1475" s="153">
        <f>IF($K1475="Padrão",BDI!$B$17,IF($K1475="Diferenciado",BDI!$E$17,0))</f>
        <v>0.2039</v>
      </c>
      <c r="H1475" s="151" t="str">
        <f t="shared" si="66"/>
        <v/>
      </c>
      <c r="I1475" s="152" t="str">
        <f t="shared" si="67"/>
        <v/>
      </c>
      <c r="J1475" s="154"/>
      <c r="K1475" s="155" t="s">
        <v>2966</v>
      </c>
    </row>
    <row r="1476" spans="1:11" hidden="1" x14ac:dyDescent="0.25">
      <c r="A1476" s="148" t="s">
        <v>5082</v>
      </c>
      <c r="B1476" s="149" t="s">
        <v>5083</v>
      </c>
      <c r="C1476" s="150" t="s">
        <v>18</v>
      </c>
      <c r="D1476" s="150">
        <v>0</v>
      </c>
      <c r="E1476" s="151" t="s">
        <v>13</v>
      </c>
      <c r="F1476" s="152" t="str">
        <f t="shared" si="68"/>
        <v/>
      </c>
      <c r="G1476" s="153">
        <f>IF($K1476="Padrão",BDI!$B$17,IF($K1476="Diferenciado",BDI!$E$17,0))</f>
        <v>0.2039</v>
      </c>
      <c r="H1476" s="151" t="str">
        <f t="shared" si="66"/>
        <v/>
      </c>
      <c r="I1476" s="152" t="str">
        <f t="shared" si="67"/>
        <v/>
      </c>
      <c r="J1476" s="154"/>
      <c r="K1476" s="155" t="s">
        <v>2966</v>
      </c>
    </row>
    <row r="1477" spans="1:11" hidden="1" x14ac:dyDescent="0.25">
      <c r="A1477" s="148" t="s">
        <v>5084</v>
      </c>
      <c r="B1477" s="149" t="s">
        <v>5085</v>
      </c>
      <c r="C1477" s="150" t="s">
        <v>18</v>
      </c>
      <c r="D1477" s="150">
        <v>0</v>
      </c>
      <c r="E1477" s="151" t="s">
        <v>13</v>
      </c>
      <c r="F1477" s="152" t="str">
        <f t="shared" si="68"/>
        <v/>
      </c>
      <c r="G1477" s="153">
        <f>IF($K1477="Padrão",BDI!$B$17,IF($K1477="Diferenciado",BDI!$E$17,0))</f>
        <v>0.2039</v>
      </c>
      <c r="H1477" s="151" t="str">
        <f t="shared" si="66"/>
        <v/>
      </c>
      <c r="I1477" s="152" t="str">
        <f t="shared" si="67"/>
        <v/>
      </c>
      <c r="J1477" s="154"/>
      <c r="K1477" s="155" t="s">
        <v>2966</v>
      </c>
    </row>
    <row r="1478" spans="1:11" hidden="1" x14ac:dyDescent="0.25">
      <c r="A1478" s="148" t="s">
        <v>5086</v>
      </c>
      <c r="B1478" s="149" t="s">
        <v>5087</v>
      </c>
      <c r="C1478" s="150" t="s">
        <v>18</v>
      </c>
      <c r="D1478" s="150">
        <v>0</v>
      </c>
      <c r="E1478" s="151" t="s">
        <v>13</v>
      </c>
      <c r="F1478" s="152" t="str">
        <f t="shared" si="68"/>
        <v/>
      </c>
      <c r="G1478" s="153">
        <f>IF($K1478="Padrão",BDI!$B$17,IF($K1478="Diferenciado",BDI!$E$17,0))</f>
        <v>0.2039</v>
      </c>
      <c r="H1478" s="151" t="str">
        <f t="shared" ref="H1478:H1541" si="69">IF(ISNUMBER(E1478),ROUND(E1478*(1+G1478),2),"")</f>
        <v/>
      </c>
      <c r="I1478" s="152" t="str">
        <f t="shared" ref="I1478:I1541" si="70">IF(ISNUMBER(E1478),ROUND(H1478*D1478,2),"")</f>
        <v/>
      </c>
      <c r="J1478" s="154"/>
      <c r="K1478" s="155" t="s">
        <v>2966</v>
      </c>
    </row>
    <row r="1479" spans="1:11" hidden="1" x14ac:dyDescent="0.25">
      <c r="A1479" s="148" t="s">
        <v>5088</v>
      </c>
      <c r="B1479" s="149" t="s">
        <v>5089</v>
      </c>
      <c r="C1479" s="150" t="s">
        <v>18</v>
      </c>
      <c r="D1479" s="150">
        <v>0</v>
      </c>
      <c r="E1479" s="151" t="s">
        <v>13</v>
      </c>
      <c r="F1479" s="152" t="str">
        <f t="shared" ref="F1479:F1542" si="71">IF(ISNUMBER(E1479),D1479*E1479,"")</f>
        <v/>
      </c>
      <c r="G1479" s="153">
        <f>IF($K1479="Padrão",BDI!$B$17,IF($K1479="Diferenciado",BDI!$E$17,0))</f>
        <v>0.2039</v>
      </c>
      <c r="H1479" s="151" t="str">
        <f t="shared" si="69"/>
        <v/>
      </c>
      <c r="I1479" s="152" t="str">
        <f t="shared" si="70"/>
        <v/>
      </c>
      <c r="J1479" s="154"/>
      <c r="K1479" s="155" t="s">
        <v>2966</v>
      </c>
    </row>
    <row r="1480" spans="1:11" hidden="1" x14ac:dyDescent="0.25">
      <c r="A1480" s="148" t="s">
        <v>5090</v>
      </c>
      <c r="B1480" s="149" t="s">
        <v>5091</v>
      </c>
      <c r="C1480" s="150" t="s">
        <v>18</v>
      </c>
      <c r="D1480" s="150">
        <v>0</v>
      </c>
      <c r="E1480" s="151" t="s">
        <v>13</v>
      </c>
      <c r="F1480" s="152" t="str">
        <f t="shared" si="71"/>
        <v/>
      </c>
      <c r="G1480" s="153">
        <f>IF($K1480="Padrão",BDI!$B$17,IF($K1480="Diferenciado",BDI!$E$17,0))</f>
        <v>0.2039</v>
      </c>
      <c r="H1480" s="151" t="str">
        <f t="shared" si="69"/>
        <v/>
      </c>
      <c r="I1480" s="152" t="str">
        <f t="shared" si="70"/>
        <v/>
      </c>
      <c r="J1480" s="154"/>
      <c r="K1480" s="155" t="s">
        <v>2966</v>
      </c>
    </row>
    <row r="1481" spans="1:11" hidden="1" x14ac:dyDescent="0.25">
      <c r="A1481" s="148" t="s">
        <v>5092</v>
      </c>
      <c r="B1481" s="149" t="s">
        <v>5093</v>
      </c>
      <c r="C1481" s="150" t="s">
        <v>18</v>
      </c>
      <c r="D1481" s="150">
        <v>0</v>
      </c>
      <c r="E1481" s="151" t="s">
        <v>13</v>
      </c>
      <c r="F1481" s="152" t="str">
        <f t="shared" si="71"/>
        <v/>
      </c>
      <c r="G1481" s="153">
        <f>IF($K1481="Padrão",BDI!$B$17,IF($K1481="Diferenciado",BDI!$E$17,0))</f>
        <v>0.2039</v>
      </c>
      <c r="H1481" s="151" t="str">
        <f t="shared" si="69"/>
        <v/>
      </c>
      <c r="I1481" s="152" t="str">
        <f t="shared" si="70"/>
        <v/>
      </c>
      <c r="J1481" s="154"/>
      <c r="K1481" s="155" t="s">
        <v>2966</v>
      </c>
    </row>
    <row r="1482" spans="1:11" hidden="1" x14ac:dyDescent="0.25">
      <c r="A1482" s="148" t="s">
        <v>5094</v>
      </c>
      <c r="B1482" s="149" t="s">
        <v>5095</v>
      </c>
      <c r="C1482" s="150" t="s">
        <v>18</v>
      </c>
      <c r="D1482" s="150">
        <v>0</v>
      </c>
      <c r="E1482" s="151" t="s">
        <v>13</v>
      </c>
      <c r="F1482" s="152" t="str">
        <f t="shared" si="71"/>
        <v/>
      </c>
      <c r="G1482" s="153">
        <f>IF($K1482="Padrão",BDI!$B$17,IF($K1482="Diferenciado",BDI!$E$17,0))</f>
        <v>0.2039</v>
      </c>
      <c r="H1482" s="151" t="str">
        <f t="shared" si="69"/>
        <v/>
      </c>
      <c r="I1482" s="152" t="str">
        <f t="shared" si="70"/>
        <v/>
      </c>
      <c r="J1482" s="154"/>
      <c r="K1482" s="155" t="s">
        <v>2966</v>
      </c>
    </row>
    <row r="1483" spans="1:11" hidden="1" x14ac:dyDescent="0.25">
      <c r="A1483" s="148" t="s">
        <v>5096</v>
      </c>
      <c r="B1483" s="149" t="s">
        <v>5097</v>
      </c>
      <c r="C1483" s="150" t="s">
        <v>106</v>
      </c>
      <c r="D1483" s="150">
        <v>0</v>
      </c>
      <c r="E1483" s="151" t="s">
        <v>13</v>
      </c>
      <c r="F1483" s="152" t="str">
        <f t="shared" si="71"/>
        <v/>
      </c>
      <c r="G1483" s="153">
        <f>IF($K1483="Padrão",BDI!$B$17,IF($K1483="Diferenciado",BDI!$E$17,0))</f>
        <v>0.2039</v>
      </c>
      <c r="H1483" s="151" t="str">
        <f t="shared" si="69"/>
        <v/>
      </c>
      <c r="I1483" s="152" t="str">
        <f t="shared" si="70"/>
        <v/>
      </c>
      <c r="J1483" s="154"/>
      <c r="K1483" s="155" t="s">
        <v>2966</v>
      </c>
    </row>
    <row r="1484" spans="1:11" hidden="1" x14ac:dyDescent="0.25">
      <c r="A1484" s="148" t="s">
        <v>5098</v>
      </c>
      <c r="B1484" s="149" t="s">
        <v>5099</v>
      </c>
      <c r="C1484" s="150" t="s">
        <v>106</v>
      </c>
      <c r="D1484" s="150">
        <v>0</v>
      </c>
      <c r="E1484" s="151" t="s">
        <v>13</v>
      </c>
      <c r="F1484" s="152" t="str">
        <f t="shared" si="71"/>
        <v/>
      </c>
      <c r="G1484" s="153">
        <f>IF($K1484="Padrão",BDI!$B$17,IF($K1484="Diferenciado",BDI!$E$17,0))</f>
        <v>0.2039</v>
      </c>
      <c r="H1484" s="151" t="str">
        <f t="shared" si="69"/>
        <v/>
      </c>
      <c r="I1484" s="152" t="str">
        <f t="shared" si="70"/>
        <v/>
      </c>
      <c r="J1484" s="154"/>
      <c r="K1484" s="155" t="s">
        <v>2966</v>
      </c>
    </row>
    <row r="1485" spans="1:11" hidden="1" x14ac:dyDescent="0.25">
      <c r="A1485" s="148" t="s">
        <v>5100</v>
      </c>
      <c r="B1485" s="149" t="s">
        <v>5101</v>
      </c>
      <c r="C1485" s="150" t="s">
        <v>106</v>
      </c>
      <c r="D1485" s="150">
        <v>0</v>
      </c>
      <c r="E1485" s="151" t="s">
        <v>13</v>
      </c>
      <c r="F1485" s="152" t="str">
        <f t="shared" si="71"/>
        <v/>
      </c>
      <c r="G1485" s="153">
        <f>IF($K1485="Padrão",BDI!$B$17,IF($K1485="Diferenciado",BDI!$E$17,0))</f>
        <v>0.2039</v>
      </c>
      <c r="H1485" s="151" t="str">
        <f t="shared" si="69"/>
        <v/>
      </c>
      <c r="I1485" s="152" t="str">
        <f t="shared" si="70"/>
        <v/>
      </c>
      <c r="J1485" s="154"/>
      <c r="K1485" s="155" t="s">
        <v>2966</v>
      </c>
    </row>
    <row r="1486" spans="1:11" hidden="1" x14ac:dyDescent="0.25">
      <c r="A1486" s="148" t="s">
        <v>5102</v>
      </c>
      <c r="B1486" s="149" t="s">
        <v>5103</v>
      </c>
      <c r="C1486" s="150" t="s">
        <v>5031</v>
      </c>
      <c r="D1486" s="150">
        <v>0</v>
      </c>
      <c r="E1486" s="151" t="s">
        <v>13</v>
      </c>
      <c r="F1486" s="152" t="str">
        <f t="shared" si="71"/>
        <v/>
      </c>
      <c r="G1486" s="153">
        <f>IF($K1486="Padrão",BDI!$B$17,IF($K1486="Diferenciado",BDI!$E$17,0))</f>
        <v>0.2039</v>
      </c>
      <c r="H1486" s="151" t="str">
        <f t="shared" si="69"/>
        <v/>
      </c>
      <c r="I1486" s="152" t="str">
        <f t="shared" si="70"/>
        <v/>
      </c>
      <c r="J1486" s="154"/>
      <c r="K1486" s="155" t="s">
        <v>2966</v>
      </c>
    </row>
    <row r="1487" spans="1:11" hidden="1" x14ac:dyDescent="0.25">
      <c r="A1487" s="148" t="s">
        <v>5104</v>
      </c>
      <c r="B1487" s="149" t="s">
        <v>5105</v>
      </c>
      <c r="C1487" s="150" t="s">
        <v>18</v>
      </c>
      <c r="D1487" s="150">
        <v>0</v>
      </c>
      <c r="E1487" s="151" t="s">
        <v>13</v>
      </c>
      <c r="F1487" s="152" t="str">
        <f t="shared" si="71"/>
        <v/>
      </c>
      <c r="G1487" s="153">
        <f>IF($K1487="Padrão",BDI!$B$17,IF($K1487="Diferenciado",BDI!$E$17,0))</f>
        <v>0.2039</v>
      </c>
      <c r="H1487" s="151" t="str">
        <f t="shared" si="69"/>
        <v/>
      </c>
      <c r="I1487" s="152" t="str">
        <f t="shared" si="70"/>
        <v/>
      </c>
      <c r="J1487" s="154"/>
      <c r="K1487" s="155" t="s">
        <v>2966</v>
      </c>
    </row>
    <row r="1488" spans="1:11" hidden="1" x14ac:dyDescent="0.25">
      <c r="A1488" s="148" t="s">
        <v>5106</v>
      </c>
      <c r="B1488" s="149" t="s">
        <v>5107</v>
      </c>
      <c r="C1488" s="150" t="s">
        <v>18</v>
      </c>
      <c r="D1488" s="150">
        <v>0</v>
      </c>
      <c r="E1488" s="151" t="s">
        <v>13</v>
      </c>
      <c r="F1488" s="152" t="str">
        <f t="shared" si="71"/>
        <v/>
      </c>
      <c r="G1488" s="153">
        <f>IF($K1488="Padrão",BDI!$B$17,IF($K1488="Diferenciado",BDI!$E$17,0))</f>
        <v>0.2039</v>
      </c>
      <c r="H1488" s="151" t="str">
        <f t="shared" si="69"/>
        <v/>
      </c>
      <c r="I1488" s="152" t="str">
        <f t="shared" si="70"/>
        <v/>
      </c>
      <c r="J1488" s="154"/>
      <c r="K1488" s="155" t="s">
        <v>2966</v>
      </c>
    </row>
    <row r="1489" spans="1:11" hidden="1" x14ac:dyDescent="0.25">
      <c r="A1489" s="148" t="s">
        <v>5108</v>
      </c>
      <c r="B1489" s="149" t="s">
        <v>5109</v>
      </c>
      <c r="C1489" s="150" t="s">
        <v>18</v>
      </c>
      <c r="D1489" s="150">
        <v>0</v>
      </c>
      <c r="E1489" s="151" t="s">
        <v>13</v>
      </c>
      <c r="F1489" s="152" t="str">
        <f t="shared" si="71"/>
        <v/>
      </c>
      <c r="G1489" s="153">
        <f>IF($K1489="Padrão",BDI!$B$17,IF($K1489="Diferenciado",BDI!$E$17,0))</f>
        <v>0.2039</v>
      </c>
      <c r="H1489" s="151" t="str">
        <f t="shared" si="69"/>
        <v/>
      </c>
      <c r="I1489" s="152" t="str">
        <f t="shared" si="70"/>
        <v/>
      </c>
      <c r="J1489" s="154"/>
      <c r="K1489" s="155" t="s">
        <v>2966</v>
      </c>
    </row>
    <row r="1490" spans="1:11" hidden="1" x14ac:dyDescent="0.25">
      <c r="A1490" s="148" t="s">
        <v>5110</v>
      </c>
      <c r="B1490" s="149" t="s">
        <v>5111</v>
      </c>
      <c r="C1490" s="150" t="s">
        <v>18</v>
      </c>
      <c r="D1490" s="150">
        <v>0</v>
      </c>
      <c r="E1490" s="151" t="s">
        <v>13</v>
      </c>
      <c r="F1490" s="152" t="str">
        <f t="shared" si="71"/>
        <v/>
      </c>
      <c r="G1490" s="153">
        <f>IF($K1490="Padrão",BDI!$B$17,IF($K1490="Diferenciado",BDI!$E$17,0))</f>
        <v>0.2039</v>
      </c>
      <c r="H1490" s="151" t="str">
        <f t="shared" si="69"/>
        <v/>
      </c>
      <c r="I1490" s="152" t="str">
        <f t="shared" si="70"/>
        <v/>
      </c>
      <c r="J1490" s="154"/>
      <c r="K1490" s="155" t="s">
        <v>2966</v>
      </c>
    </row>
    <row r="1491" spans="1:11" hidden="1" x14ac:dyDescent="0.25">
      <c r="A1491" s="148" t="s">
        <v>5112</v>
      </c>
      <c r="B1491" s="149" t="s">
        <v>5113</v>
      </c>
      <c r="C1491" s="150" t="s">
        <v>68</v>
      </c>
      <c r="D1491" s="150">
        <v>0</v>
      </c>
      <c r="E1491" s="151" t="s">
        <v>13</v>
      </c>
      <c r="F1491" s="152" t="str">
        <f t="shared" si="71"/>
        <v/>
      </c>
      <c r="G1491" s="153">
        <f>IF($K1491="Padrão",BDI!$B$17,IF($K1491="Diferenciado",BDI!$E$17,0))</f>
        <v>0.2039</v>
      </c>
      <c r="H1491" s="151" t="str">
        <f t="shared" si="69"/>
        <v/>
      </c>
      <c r="I1491" s="152" t="str">
        <f t="shared" si="70"/>
        <v/>
      </c>
      <c r="J1491" s="154"/>
      <c r="K1491" s="155" t="s">
        <v>2966</v>
      </c>
    </row>
    <row r="1492" spans="1:11" hidden="1" x14ac:dyDescent="0.25">
      <c r="A1492" s="148" t="s">
        <v>5114</v>
      </c>
      <c r="B1492" s="149" t="s">
        <v>5115</v>
      </c>
      <c r="C1492" s="150" t="s">
        <v>68</v>
      </c>
      <c r="D1492" s="150">
        <v>0</v>
      </c>
      <c r="E1492" s="151" t="s">
        <v>13</v>
      </c>
      <c r="F1492" s="152" t="str">
        <f t="shared" si="71"/>
        <v/>
      </c>
      <c r="G1492" s="153">
        <f>IF($K1492="Padrão",BDI!$B$17,IF($K1492="Diferenciado",BDI!$E$17,0))</f>
        <v>0.2039</v>
      </c>
      <c r="H1492" s="151" t="str">
        <f t="shared" si="69"/>
        <v/>
      </c>
      <c r="I1492" s="152" t="str">
        <f t="shared" si="70"/>
        <v/>
      </c>
      <c r="J1492" s="154"/>
      <c r="K1492" s="155" t="s">
        <v>2966</v>
      </c>
    </row>
    <row r="1493" spans="1:11" hidden="1" x14ac:dyDescent="0.25">
      <c r="A1493" s="148" t="s">
        <v>1355</v>
      </c>
      <c r="B1493" s="149" t="s">
        <v>5116</v>
      </c>
      <c r="C1493" s="150" t="s">
        <v>72</v>
      </c>
      <c r="D1493" s="150">
        <v>0</v>
      </c>
      <c r="E1493" s="151">
        <f ca="1">OFFSET(INDEX(Composições!A:H,MATCH(Orçamentária!A1493,Composições!A:A,0),8),2,0)</f>
        <v>10.9155</v>
      </c>
      <c r="F1493" s="152">
        <f t="shared" ca="1" si="71"/>
        <v>0</v>
      </c>
      <c r="G1493" s="153">
        <f>IF($K1493="Padrão",BDI!$B$17,IF($K1493="Diferenciado",BDI!$E$17,0))</f>
        <v>0.2039</v>
      </c>
      <c r="H1493" s="151">
        <f t="shared" ca="1" si="69"/>
        <v>13.14</v>
      </c>
      <c r="I1493" s="152">
        <f t="shared" ca="1" si="70"/>
        <v>0</v>
      </c>
      <c r="J1493" s="154"/>
      <c r="K1493" s="155" t="s">
        <v>2966</v>
      </c>
    </row>
    <row r="1494" spans="1:11" hidden="1" x14ac:dyDescent="0.25">
      <c r="A1494" s="148" t="s">
        <v>5117</v>
      </c>
      <c r="B1494" s="149" t="s">
        <v>5118</v>
      </c>
      <c r="C1494" s="150" t="s">
        <v>1788</v>
      </c>
      <c r="D1494" s="150">
        <v>0</v>
      </c>
      <c r="E1494" s="151" t="s">
        <v>13</v>
      </c>
      <c r="F1494" s="152" t="str">
        <f t="shared" si="71"/>
        <v/>
      </c>
      <c r="G1494" s="153">
        <f>IF($K1494="Padrão",BDI!$B$17,IF($K1494="Diferenciado",BDI!$E$17,0))</f>
        <v>0.2039</v>
      </c>
      <c r="H1494" s="151" t="str">
        <f t="shared" si="69"/>
        <v/>
      </c>
      <c r="I1494" s="152" t="str">
        <f t="shared" si="70"/>
        <v/>
      </c>
      <c r="J1494" s="154"/>
      <c r="K1494" s="155" t="s">
        <v>2966</v>
      </c>
    </row>
    <row r="1495" spans="1:11" hidden="1" x14ac:dyDescent="0.25">
      <c r="A1495" s="148" t="s">
        <v>5119</v>
      </c>
      <c r="B1495" s="149" t="s">
        <v>5120</v>
      </c>
      <c r="C1495" s="150" t="s">
        <v>5121</v>
      </c>
      <c r="D1495" s="150">
        <v>0</v>
      </c>
      <c r="E1495" s="151" t="s">
        <v>13</v>
      </c>
      <c r="F1495" s="152" t="str">
        <f t="shared" si="71"/>
        <v/>
      </c>
      <c r="G1495" s="153">
        <f>IF($K1495="Padrão",BDI!$B$17,IF($K1495="Diferenciado",BDI!$E$17,0))</f>
        <v>0.2039</v>
      </c>
      <c r="H1495" s="151" t="str">
        <f t="shared" si="69"/>
        <v/>
      </c>
      <c r="I1495" s="152" t="str">
        <f t="shared" si="70"/>
        <v/>
      </c>
      <c r="J1495" s="154"/>
      <c r="K1495" s="155" t="s">
        <v>2966</v>
      </c>
    </row>
    <row r="1496" spans="1:11" hidden="1" x14ac:dyDescent="0.25">
      <c r="A1496" s="148" t="s">
        <v>5122</v>
      </c>
      <c r="B1496" s="149" t="s">
        <v>5123</v>
      </c>
      <c r="C1496" s="150" t="s">
        <v>18</v>
      </c>
      <c r="D1496" s="150">
        <v>0</v>
      </c>
      <c r="E1496" s="151" t="s">
        <v>13</v>
      </c>
      <c r="F1496" s="152" t="str">
        <f t="shared" si="71"/>
        <v/>
      </c>
      <c r="G1496" s="153">
        <f>IF($K1496="Padrão",BDI!$B$17,IF($K1496="Diferenciado",BDI!$E$17,0))</f>
        <v>0.2039</v>
      </c>
      <c r="H1496" s="151" t="str">
        <f t="shared" si="69"/>
        <v/>
      </c>
      <c r="I1496" s="152" t="str">
        <f t="shared" si="70"/>
        <v/>
      </c>
      <c r="J1496" s="154"/>
      <c r="K1496" s="155" t="s">
        <v>2966</v>
      </c>
    </row>
    <row r="1497" spans="1:11" hidden="1" x14ac:dyDescent="0.25">
      <c r="A1497" s="148" t="s">
        <v>5124</v>
      </c>
      <c r="B1497" s="149" t="s">
        <v>5125</v>
      </c>
      <c r="C1497" s="150" t="s">
        <v>18</v>
      </c>
      <c r="D1497" s="150">
        <v>0</v>
      </c>
      <c r="E1497" s="151" t="s">
        <v>13</v>
      </c>
      <c r="F1497" s="152" t="str">
        <f t="shared" si="71"/>
        <v/>
      </c>
      <c r="G1497" s="153">
        <f>IF($K1497="Padrão",BDI!$B$17,IF($K1497="Diferenciado",BDI!$E$17,0))</f>
        <v>0.2039</v>
      </c>
      <c r="H1497" s="151" t="str">
        <f t="shared" si="69"/>
        <v/>
      </c>
      <c r="I1497" s="152" t="str">
        <f t="shared" si="70"/>
        <v/>
      </c>
      <c r="J1497" s="154"/>
      <c r="K1497" s="155" t="s">
        <v>2966</v>
      </c>
    </row>
    <row r="1498" spans="1:11" hidden="1" x14ac:dyDescent="0.25">
      <c r="A1498" s="148" t="s">
        <v>5126</v>
      </c>
      <c r="B1498" s="149" t="s">
        <v>5127</v>
      </c>
      <c r="C1498" s="150" t="s">
        <v>18</v>
      </c>
      <c r="D1498" s="150">
        <v>0</v>
      </c>
      <c r="E1498" s="151" t="s">
        <v>13</v>
      </c>
      <c r="F1498" s="152" t="str">
        <f t="shared" si="71"/>
        <v/>
      </c>
      <c r="G1498" s="153">
        <f>IF($K1498="Padrão",BDI!$B$17,IF($K1498="Diferenciado",BDI!$E$17,0))</f>
        <v>0.2039</v>
      </c>
      <c r="H1498" s="151" t="str">
        <f t="shared" si="69"/>
        <v/>
      </c>
      <c r="I1498" s="152" t="str">
        <f t="shared" si="70"/>
        <v/>
      </c>
      <c r="J1498" s="154"/>
      <c r="K1498" s="155" t="s">
        <v>2966</v>
      </c>
    </row>
    <row r="1499" spans="1:11" hidden="1" x14ac:dyDescent="0.25">
      <c r="A1499" s="148" t="s">
        <v>1356</v>
      </c>
      <c r="B1499" s="149" t="s">
        <v>5128</v>
      </c>
      <c r="C1499" s="150" t="s">
        <v>72</v>
      </c>
      <c r="D1499" s="150">
        <v>0</v>
      </c>
      <c r="E1499" s="151">
        <f ca="1">OFFSET(INDEX(Composições!A:H,MATCH(Orçamentária!A1499,Composições!A:A,0),8),2,0)</f>
        <v>7.6189999999999989</v>
      </c>
      <c r="F1499" s="152">
        <f t="shared" ca="1" si="71"/>
        <v>0</v>
      </c>
      <c r="G1499" s="153">
        <f>IF($K1499="Padrão",BDI!$B$17,IF($K1499="Diferenciado",BDI!$E$17,0))</f>
        <v>0.2039</v>
      </c>
      <c r="H1499" s="151">
        <f t="shared" ca="1" si="69"/>
        <v>9.17</v>
      </c>
      <c r="I1499" s="152">
        <f t="shared" ca="1" si="70"/>
        <v>0</v>
      </c>
      <c r="J1499" s="154"/>
      <c r="K1499" s="155" t="s">
        <v>2966</v>
      </c>
    </row>
    <row r="1500" spans="1:11" hidden="1" x14ac:dyDescent="0.25">
      <c r="A1500" s="148" t="s">
        <v>5129</v>
      </c>
      <c r="B1500" s="149" t="s">
        <v>5130</v>
      </c>
      <c r="C1500" s="150" t="s">
        <v>18</v>
      </c>
      <c r="D1500" s="150">
        <v>0</v>
      </c>
      <c r="E1500" s="151" t="s">
        <v>13</v>
      </c>
      <c r="F1500" s="152" t="str">
        <f t="shared" si="71"/>
        <v/>
      </c>
      <c r="G1500" s="153">
        <f>IF($K1500="Padrão",BDI!$B$17,IF($K1500="Diferenciado",BDI!$E$17,0))</f>
        <v>0.2039</v>
      </c>
      <c r="H1500" s="151" t="str">
        <f t="shared" si="69"/>
        <v/>
      </c>
      <c r="I1500" s="152" t="str">
        <f t="shared" si="70"/>
        <v/>
      </c>
      <c r="J1500" s="154"/>
      <c r="K1500" s="155" t="s">
        <v>2966</v>
      </c>
    </row>
    <row r="1501" spans="1:11" hidden="1" x14ac:dyDescent="0.25">
      <c r="A1501" s="148" t="s">
        <v>5131</v>
      </c>
      <c r="B1501" s="149" t="s">
        <v>5132</v>
      </c>
      <c r="C1501" s="150" t="s">
        <v>18</v>
      </c>
      <c r="D1501" s="150">
        <v>0</v>
      </c>
      <c r="E1501" s="151" t="s">
        <v>13</v>
      </c>
      <c r="F1501" s="152" t="str">
        <f t="shared" si="71"/>
        <v/>
      </c>
      <c r="G1501" s="153">
        <f>IF($K1501="Padrão",BDI!$B$17,IF($K1501="Diferenciado",BDI!$E$17,0))</f>
        <v>0.2039</v>
      </c>
      <c r="H1501" s="151" t="str">
        <f t="shared" si="69"/>
        <v/>
      </c>
      <c r="I1501" s="152" t="str">
        <f t="shared" si="70"/>
        <v/>
      </c>
      <c r="J1501" s="154"/>
      <c r="K1501" s="155" t="s">
        <v>2966</v>
      </c>
    </row>
    <row r="1502" spans="1:11" hidden="1" x14ac:dyDescent="0.25">
      <c r="A1502" s="148" t="s">
        <v>5133</v>
      </c>
      <c r="B1502" s="149" t="s">
        <v>5134</v>
      </c>
      <c r="C1502" s="150" t="s">
        <v>18</v>
      </c>
      <c r="D1502" s="150">
        <v>0</v>
      </c>
      <c r="E1502" s="151" t="s">
        <v>13</v>
      </c>
      <c r="F1502" s="152" t="str">
        <f t="shared" si="71"/>
        <v/>
      </c>
      <c r="G1502" s="153">
        <f>IF($K1502="Padrão",BDI!$B$17,IF($K1502="Diferenciado",BDI!$E$17,0))</f>
        <v>0.2039</v>
      </c>
      <c r="H1502" s="151" t="str">
        <f t="shared" si="69"/>
        <v/>
      </c>
      <c r="I1502" s="152" t="str">
        <f t="shared" si="70"/>
        <v/>
      </c>
      <c r="J1502" s="154"/>
      <c r="K1502" s="155" t="s">
        <v>2966</v>
      </c>
    </row>
    <row r="1503" spans="1:11" hidden="1" x14ac:dyDescent="0.25">
      <c r="A1503" s="148" t="s">
        <v>5135</v>
      </c>
      <c r="B1503" s="149" t="s">
        <v>5136</v>
      </c>
      <c r="C1503" s="150" t="s">
        <v>18</v>
      </c>
      <c r="D1503" s="150">
        <v>0</v>
      </c>
      <c r="E1503" s="151" t="s">
        <v>13</v>
      </c>
      <c r="F1503" s="152" t="str">
        <f t="shared" si="71"/>
        <v/>
      </c>
      <c r="G1503" s="153">
        <f>IF($K1503="Padrão",BDI!$B$17,IF($K1503="Diferenciado",BDI!$E$17,0))</f>
        <v>0.2039</v>
      </c>
      <c r="H1503" s="151" t="str">
        <f t="shared" si="69"/>
        <v/>
      </c>
      <c r="I1503" s="152" t="str">
        <f t="shared" si="70"/>
        <v/>
      </c>
      <c r="J1503" s="154"/>
      <c r="K1503" s="155" t="s">
        <v>2966</v>
      </c>
    </row>
    <row r="1504" spans="1:11" hidden="1" x14ac:dyDescent="0.25">
      <c r="A1504" s="148" t="s">
        <v>5137</v>
      </c>
      <c r="B1504" s="149" t="s">
        <v>5138</v>
      </c>
      <c r="C1504" s="150" t="s">
        <v>18</v>
      </c>
      <c r="D1504" s="150">
        <v>0</v>
      </c>
      <c r="E1504" s="151" t="s">
        <v>13</v>
      </c>
      <c r="F1504" s="152" t="str">
        <f t="shared" si="71"/>
        <v/>
      </c>
      <c r="G1504" s="153">
        <f>IF($K1504="Padrão",BDI!$B$17,IF($K1504="Diferenciado",BDI!$E$17,0))</f>
        <v>0.2039</v>
      </c>
      <c r="H1504" s="151" t="str">
        <f t="shared" si="69"/>
        <v/>
      </c>
      <c r="I1504" s="152" t="str">
        <f t="shared" si="70"/>
        <v/>
      </c>
      <c r="J1504" s="154"/>
      <c r="K1504" s="155" t="s">
        <v>2966</v>
      </c>
    </row>
    <row r="1505" spans="1:11" hidden="1" x14ac:dyDescent="0.25">
      <c r="A1505" s="148" t="s">
        <v>5139</v>
      </c>
      <c r="B1505" s="149" t="s">
        <v>5140</v>
      </c>
      <c r="C1505" s="150" t="s">
        <v>18</v>
      </c>
      <c r="D1505" s="150">
        <v>0</v>
      </c>
      <c r="E1505" s="151" t="s">
        <v>13</v>
      </c>
      <c r="F1505" s="152" t="str">
        <f t="shared" si="71"/>
        <v/>
      </c>
      <c r="G1505" s="153">
        <f>IF($K1505="Padrão",BDI!$B$17,IF($K1505="Diferenciado",BDI!$E$17,0))</f>
        <v>0.2039</v>
      </c>
      <c r="H1505" s="151" t="str">
        <f t="shared" si="69"/>
        <v/>
      </c>
      <c r="I1505" s="152" t="str">
        <f t="shared" si="70"/>
        <v/>
      </c>
      <c r="J1505" s="154"/>
      <c r="K1505" s="155" t="s">
        <v>2966</v>
      </c>
    </row>
    <row r="1506" spans="1:11" hidden="1" x14ac:dyDescent="0.25">
      <c r="A1506" s="148" t="s">
        <v>5141</v>
      </c>
      <c r="B1506" s="149" t="s">
        <v>5142</v>
      </c>
      <c r="C1506" s="150" t="s">
        <v>18</v>
      </c>
      <c r="D1506" s="150">
        <v>0</v>
      </c>
      <c r="E1506" s="151" t="s">
        <v>13</v>
      </c>
      <c r="F1506" s="152" t="str">
        <f t="shared" si="71"/>
        <v/>
      </c>
      <c r="G1506" s="153">
        <f>IF($K1506="Padrão",BDI!$B$17,IF($K1506="Diferenciado",BDI!$E$17,0))</f>
        <v>0.2039</v>
      </c>
      <c r="H1506" s="151" t="str">
        <f t="shared" si="69"/>
        <v/>
      </c>
      <c r="I1506" s="152" t="str">
        <f t="shared" si="70"/>
        <v/>
      </c>
      <c r="J1506" s="154"/>
      <c r="K1506" s="155" t="s">
        <v>2966</v>
      </c>
    </row>
    <row r="1507" spans="1:11" hidden="1" x14ac:dyDescent="0.25">
      <c r="A1507" s="148" t="s">
        <v>5143</v>
      </c>
      <c r="B1507" s="149" t="s">
        <v>5144</v>
      </c>
      <c r="C1507" s="150" t="s">
        <v>106</v>
      </c>
      <c r="D1507" s="150">
        <v>0</v>
      </c>
      <c r="E1507" s="151" t="s">
        <v>13</v>
      </c>
      <c r="F1507" s="152" t="str">
        <f t="shared" si="71"/>
        <v/>
      </c>
      <c r="G1507" s="153">
        <f>IF($K1507="Padrão",BDI!$B$17,IF($K1507="Diferenciado",BDI!$E$17,0))</f>
        <v>0.2039</v>
      </c>
      <c r="H1507" s="151" t="str">
        <f t="shared" si="69"/>
        <v/>
      </c>
      <c r="I1507" s="152" t="str">
        <f t="shared" si="70"/>
        <v/>
      </c>
      <c r="J1507" s="154"/>
      <c r="K1507" s="155" t="s">
        <v>2966</v>
      </c>
    </row>
    <row r="1508" spans="1:11" hidden="1" x14ac:dyDescent="0.25">
      <c r="A1508" s="148" t="s">
        <v>5145</v>
      </c>
      <c r="B1508" s="149" t="s">
        <v>5146</v>
      </c>
      <c r="C1508" s="150" t="s">
        <v>18</v>
      </c>
      <c r="D1508" s="150">
        <v>0</v>
      </c>
      <c r="E1508" s="151" t="s">
        <v>13</v>
      </c>
      <c r="F1508" s="152" t="str">
        <f t="shared" si="71"/>
        <v/>
      </c>
      <c r="G1508" s="153">
        <f>IF($K1508="Padrão",BDI!$B$17,IF($K1508="Diferenciado",BDI!$E$17,0))</f>
        <v>0.2039</v>
      </c>
      <c r="H1508" s="151" t="str">
        <f t="shared" si="69"/>
        <v/>
      </c>
      <c r="I1508" s="152" t="str">
        <f t="shared" si="70"/>
        <v/>
      </c>
      <c r="J1508" s="154"/>
      <c r="K1508" s="155" t="s">
        <v>2966</v>
      </c>
    </row>
    <row r="1509" spans="1:11" hidden="1" x14ac:dyDescent="0.25">
      <c r="A1509" s="148" t="s">
        <v>5147</v>
      </c>
      <c r="B1509" s="149" t="s">
        <v>5148</v>
      </c>
      <c r="C1509" s="150" t="s">
        <v>18</v>
      </c>
      <c r="D1509" s="150">
        <v>0</v>
      </c>
      <c r="E1509" s="151" t="s">
        <v>13</v>
      </c>
      <c r="F1509" s="152" t="str">
        <f t="shared" si="71"/>
        <v/>
      </c>
      <c r="G1509" s="153">
        <f>IF($K1509="Padrão",BDI!$B$17,IF($K1509="Diferenciado",BDI!$E$17,0))</f>
        <v>0.2039</v>
      </c>
      <c r="H1509" s="151" t="str">
        <f t="shared" si="69"/>
        <v/>
      </c>
      <c r="I1509" s="152" t="str">
        <f t="shared" si="70"/>
        <v/>
      </c>
      <c r="J1509" s="154"/>
      <c r="K1509" s="155" t="s">
        <v>2966</v>
      </c>
    </row>
    <row r="1510" spans="1:11" hidden="1" x14ac:dyDescent="0.25">
      <c r="A1510" s="148" t="s">
        <v>5149</v>
      </c>
      <c r="B1510" s="149" t="s">
        <v>5150</v>
      </c>
      <c r="C1510" s="150" t="s">
        <v>18</v>
      </c>
      <c r="D1510" s="150">
        <v>0</v>
      </c>
      <c r="E1510" s="151" t="s">
        <v>13</v>
      </c>
      <c r="F1510" s="152" t="str">
        <f t="shared" si="71"/>
        <v/>
      </c>
      <c r="G1510" s="153">
        <f>IF($K1510="Padrão",BDI!$B$17,IF($K1510="Diferenciado",BDI!$E$17,0))</f>
        <v>0.2039</v>
      </c>
      <c r="H1510" s="151" t="str">
        <f t="shared" si="69"/>
        <v/>
      </c>
      <c r="I1510" s="152" t="str">
        <f t="shared" si="70"/>
        <v/>
      </c>
      <c r="J1510" s="154"/>
      <c r="K1510" s="155" t="s">
        <v>2966</v>
      </c>
    </row>
    <row r="1511" spans="1:11" hidden="1" x14ac:dyDescent="0.25">
      <c r="A1511" s="148" t="s">
        <v>5151</v>
      </c>
      <c r="B1511" s="149" t="s">
        <v>5152</v>
      </c>
      <c r="C1511" s="150" t="s">
        <v>18</v>
      </c>
      <c r="D1511" s="150">
        <v>0</v>
      </c>
      <c r="E1511" s="151" t="s">
        <v>13</v>
      </c>
      <c r="F1511" s="152" t="str">
        <f t="shared" si="71"/>
        <v/>
      </c>
      <c r="G1511" s="153">
        <f>IF($K1511="Padrão",BDI!$B$17,IF($K1511="Diferenciado",BDI!$E$17,0))</f>
        <v>0.2039</v>
      </c>
      <c r="H1511" s="151" t="str">
        <f t="shared" si="69"/>
        <v/>
      </c>
      <c r="I1511" s="152" t="str">
        <f t="shared" si="70"/>
        <v/>
      </c>
      <c r="J1511" s="154"/>
      <c r="K1511" s="155" t="s">
        <v>2966</v>
      </c>
    </row>
    <row r="1512" spans="1:11" hidden="1" x14ac:dyDescent="0.25">
      <c r="A1512" s="148" t="s">
        <v>5153</v>
      </c>
      <c r="B1512" s="149" t="s">
        <v>5154</v>
      </c>
      <c r="C1512" s="150" t="s">
        <v>18</v>
      </c>
      <c r="D1512" s="150">
        <v>0</v>
      </c>
      <c r="E1512" s="151" t="s">
        <v>13</v>
      </c>
      <c r="F1512" s="152" t="str">
        <f t="shared" si="71"/>
        <v/>
      </c>
      <c r="G1512" s="153">
        <f>IF($K1512="Padrão",BDI!$B$17,IF($K1512="Diferenciado",BDI!$E$17,0))</f>
        <v>0.2039</v>
      </c>
      <c r="H1512" s="151" t="str">
        <f t="shared" si="69"/>
        <v/>
      </c>
      <c r="I1512" s="152" t="str">
        <f t="shared" si="70"/>
        <v/>
      </c>
      <c r="J1512" s="154"/>
      <c r="K1512" s="155" t="s">
        <v>2966</v>
      </c>
    </row>
    <row r="1513" spans="1:11" hidden="1" x14ac:dyDescent="0.25">
      <c r="A1513" s="148" t="s">
        <v>5155</v>
      </c>
      <c r="B1513" s="149" t="s">
        <v>5156</v>
      </c>
      <c r="C1513" s="150" t="s">
        <v>106</v>
      </c>
      <c r="D1513" s="150">
        <v>0</v>
      </c>
      <c r="E1513" s="151" t="s">
        <v>13</v>
      </c>
      <c r="F1513" s="152" t="str">
        <f t="shared" si="71"/>
        <v/>
      </c>
      <c r="G1513" s="153">
        <f>IF($K1513="Padrão",BDI!$B$17,IF($K1513="Diferenciado",BDI!$E$17,0))</f>
        <v>0.2039</v>
      </c>
      <c r="H1513" s="151" t="str">
        <f t="shared" si="69"/>
        <v/>
      </c>
      <c r="I1513" s="152" t="str">
        <f t="shared" si="70"/>
        <v/>
      </c>
      <c r="J1513" s="154"/>
      <c r="K1513" s="155" t="s">
        <v>2966</v>
      </c>
    </row>
    <row r="1514" spans="1:11" hidden="1" x14ac:dyDescent="0.25">
      <c r="A1514" s="148" t="s">
        <v>5157</v>
      </c>
      <c r="B1514" s="149" t="s">
        <v>5158</v>
      </c>
      <c r="C1514" s="150" t="s">
        <v>18</v>
      </c>
      <c r="D1514" s="150">
        <v>0</v>
      </c>
      <c r="E1514" s="151" t="s">
        <v>13</v>
      </c>
      <c r="F1514" s="152" t="str">
        <f t="shared" si="71"/>
        <v/>
      </c>
      <c r="G1514" s="153">
        <f>IF($K1514="Padrão",BDI!$B$17,IF($K1514="Diferenciado",BDI!$E$17,0))</f>
        <v>0.2039</v>
      </c>
      <c r="H1514" s="151" t="str">
        <f t="shared" si="69"/>
        <v/>
      </c>
      <c r="I1514" s="152" t="str">
        <f t="shared" si="70"/>
        <v/>
      </c>
      <c r="J1514" s="154"/>
      <c r="K1514" s="155" t="s">
        <v>2966</v>
      </c>
    </row>
    <row r="1515" spans="1:11" hidden="1" x14ac:dyDescent="0.25">
      <c r="A1515" s="148" t="s">
        <v>5159</v>
      </c>
      <c r="B1515" s="149" t="s">
        <v>5160</v>
      </c>
      <c r="C1515" s="150" t="s">
        <v>18</v>
      </c>
      <c r="D1515" s="150">
        <v>0</v>
      </c>
      <c r="E1515" s="151" t="s">
        <v>13</v>
      </c>
      <c r="F1515" s="152" t="str">
        <f t="shared" si="71"/>
        <v/>
      </c>
      <c r="G1515" s="153">
        <f>IF($K1515="Padrão",BDI!$B$17,IF($K1515="Diferenciado",BDI!$E$17,0))</f>
        <v>0.2039</v>
      </c>
      <c r="H1515" s="151" t="str">
        <f t="shared" si="69"/>
        <v/>
      </c>
      <c r="I1515" s="152" t="str">
        <f t="shared" si="70"/>
        <v/>
      </c>
      <c r="J1515" s="154"/>
      <c r="K1515" s="155" t="s">
        <v>2966</v>
      </c>
    </row>
    <row r="1516" spans="1:11" hidden="1" x14ac:dyDescent="0.25">
      <c r="A1516" s="148" t="s">
        <v>5161</v>
      </c>
      <c r="B1516" s="149" t="s">
        <v>5162</v>
      </c>
      <c r="C1516" s="150" t="s">
        <v>18</v>
      </c>
      <c r="D1516" s="150">
        <v>0</v>
      </c>
      <c r="E1516" s="151" t="s">
        <v>13</v>
      </c>
      <c r="F1516" s="152" t="str">
        <f t="shared" si="71"/>
        <v/>
      </c>
      <c r="G1516" s="153">
        <f>IF($K1516="Padrão",BDI!$B$17,IF($K1516="Diferenciado",BDI!$E$17,0))</f>
        <v>0.2039</v>
      </c>
      <c r="H1516" s="151" t="str">
        <f t="shared" si="69"/>
        <v/>
      </c>
      <c r="I1516" s="152" t="str">
        <f t="shared" si="70"/>
        <v/>
      </c>
      <c r="J1516" s="154"/>
      <c r="K1516" s="155" t="s">
        <v>2966</v>
      </c>
    </row>
    <row r="1517" spans="1:11" hidden="1" x14ac:dyDescent="0.25">
      <c r="A1517" s="148" t="s">
        <v>5163</v>
      </c>
      <c r="B1517" s="149" t="s">
        <v>5164</v>
      </c>
      <c r="C1517" s="150" t="s">
        <v>106</v>
      </c>
      <c r="D1517" s="150">
        <v>0</v>
      </c>
      <c r="E1517" s="151" t="s">
        <v>13</v>
      </c>
      <c r="F1517" s="152" t="str">
        <f t="shared" si="71"/>
        <v/>
      </c>
      <c r="G1517" s="153">
        <f>IF($K1517="Padrão",BDI!$B$17,IF($K1517="Diferenciado",BDI!$E$17,0))</f>
        <v>0.2039</v>
      </c>
      <c r="H1517" s="151" t="str">
        <f t="shared" si="69"/>
        <v/>
      </c>
      <c r="I1517" s="152" t="str">
        <f t="shared" si="70"/>
        <v/>
      </c>
      <c r="J1517" s="154"/>
      <c r="K1517" s="155" t="s">
        <v>2966</v>
      </c>
    </row>
    <row r="1518" spans="1:11" hidden="1" x14ac:dyDescent="0.25">
      <c r="A1518" s="148" t="s">
        <v>5165</v>
      </c>
      <c r="B1518" s="149" t="s">
        <v>5166</v>
      </c>
      <c r="C1518" s="150" t="s">
        <v>18</v>
      </c>
      <c r="D1518" s="150">
        <v>0</v>
      </c>
      <c r="E1518" s="151" t="s">
        <v>13</v>
      </c>
      <c r="F1518" s="152" t="str">
        <f t="shared" si="71"/>
        <v/>
      </c>
      <c r="G1518" s="153">
        <f>IF($K1518="Padrão",BDI!$B$17,IF($K1518="Diferenciado",BDI!$E$17,0))</f>
        <v>0.2039</v>
      </c>
      <c r="H1518" s="151" t="str">
        <f t="shared" si="69"/>
        <v/>
      </c>
      <c r="I1518" s="152" t="str">
        <f t="shared" si="70"/>
        <v/>
      </c>
      <c r="J1518" s="154"/>
      <c r="K1518" s="155" t="s">
        <v>2966</v>
      </c>
    </row>
    <row r="1519" spans="1:11" hidden="1" x14ac:dyDescent="0.25">
      <c r="A1519" s="148" t="s">
        <v>5167</v>
      </c>
      <c r="B1519" s="149" t="s">
        <v>5168</v>
      </c>
      <c r="C1519" s="150" t="s">
        <v>18</v>
      </c>
      <c r="D1519" s="150">
        <v>0</v>
      </c>
      <c r="E1519" s="151" t="s">
        <v>13</v>
      </c>
      <c r="F1519" s="152" t="str">
        <f t="shared" si="71"/>
        <v/>
      </c>
      <c r="G1519" s="153">
        <f>IF($K1519="Padrão",BDI!$B$17,IF($K1519="Diferenciado",BDI!$E$17,0))</f>
        <v>0.2039</v>
      </c>
      <c r="H1519" s="151" t="str">
        <f t="shared" si="69"/>
        <v/>
      </c>
      <c r="I1519" s="152" t="str">
        <f t="shared" si="70"/>
        <v/>
      </c>
      <c r="J1519" s="154"/>
      <c r="K1519" s="155" t="s">
        <v>2966</v>
      </c>
    </row>
    <row r="1520" spans="1:11" hidden="1" x14ac:dyDescent="0.25">
      <c r="A1520" s="148" t="s">
        <v>5169</v>
      </c>
      <c r="B1520" s="149" t="s">
        <v>5170</v>
      </c>
      <c r="C1520" s="150" t="s">
        <v>18</v>
      </c>
      <c r="D1520" s="150">
        <v>0</v>
      </c>
      <c r="E1520" s="151" t="s">
        <v>13</v>
      </c>
      <c r="F1520" s="152" t="str">
        <f t="shared" si="71"/>
        <v/>
      </c>
      <c r="G1520" s="153">
        <f>IF($K1520="Padrão",BDI!$B$17,IF($K1520="Diferenciado",BDI!$E$17,0))</f>
        <v>0.2039</v>
      </c>
      <c r="H1520" s="151" t="str">
        <f t="shared" si="69"/>
        <v/>
      </c>
      <c r="I1520" s="152" t="str">
        <f t="shared" si="70"/>
        <v/>
      </c>
      <c r="J1520" s="154"/>
      <c r="K1520" s="155" t="s">
        <v>2966</v>
      </c>
    </row>
    <row r="1521" spans="1:11" hidden="1" x14ac:dyDescent="0.25">
      <c r="A1521" s="148" t="s">
        <v>5171</v>
      </c>
      <c r="B1521" s="149" t="s">
        <v>5172</v>
      </c>
      <c r="C1521" s="150" t="s">
        <v>18</v>
      </c>
      <c r="D1521" s="150">
        <v>0</v>
      </c>
      <c r="E1521" s="151" t="s">
        <v>13</v>
      </c>
      <c r="F1521" s="152" t="str">
        <f t="shared" si="71"/>
        <v/>
      </c>
      <c r="G1521" s="153">
        <f>IF($K1521="Padrão",BDI!$B$17,IF($K1521="Diferenciado",BDI!$E$17,0))</f>
        <v>0.2039</v>
      </c>
      <c r="H1521" s="151" t="str">
        <f t="shared" si="69"/>
        <v/>
      </c>
      <c r="I1521" s="152" t="str">
        <f t="shared" si="70"/>
        <v/>
      </c>
      <c r="J1521" s="154"/>
      <c r="K1521" s="155" t="s">
        <v>2966</v>
      </c>
    </row>
    <row r="1522" spans="1:11" hidden="1" x14ac:dyDescent="0.25">
      <c r="A1522" s="148" t="s">
        <v>5173</v>
      </c>
      <c r="B1522" s="149" t="s">
        <v>5174</v>
      </c>
      <c r="C1522" s="150" t="s">
        <v>18</v>
      </c>
      <c r="D1522" s="150">
        <v>0</v>
      </c>
      <c r="E1522" s="151" t="s">
        <v>13</v>
      </c>
      <c r="F1522" s="152" t="str">
        <f t="shared" si="71"/>
        <v/>
      </c>
      <c r="G1522" s="153">
        <f>IF($K1522="Padrão",BDI!$B$17,IF($K1522="Diferenciado",BDI!$E$17,0))</f>
        <v>0.2039</v>
      </c>
      <c r="H1522" s="151" t="str">
        <f t="shared" si="69"/>
        <v/>
      </c>
      <c r="I1522" s="152" t="str">
        <f t="shared" si="70"/>
        <v/>
      </c>
      <c r="J1522" s="154"/>
      <c r="K1522" s="155" t="s">
        <v>2966</v>
      </c>
    </row>
    <row r="1523" spans="1:11" hidden="1" x14ac:dyDescent="0.25">
      <c r="A1523" s="148" t="s">
        <v>5175</v>
      </c>
      <c r="B1523" s="149" t="s">
        <v>5176</v>
      </c>
      <c r="C1523" s="150" t="s">
        <v>18</v>
      </c>
      <c r="D1523" s="150">
        <v>0</v>
      </c>
      <c r="E1523" s="151" t="s">
        <v>13</v>
      </c>
      <c r="F1523" s="152" t="str">
        <f t="shared" si="71"/>
        <v/>
      </c>
      <c r="G1523" s="153">
        <f>IF($K1523="Padrão",BDI!$B$17,IF($K1523="Diferenciado",BDI!$E$17,0))</f>
        <v>0.2039</v>
      </c>
      <c r="H1523" s="151" t="str">
        <f t="shared" si="69"/>
        <v/>
      </c>
      <c r="I1523" s="152" t="str">
        <f t="shared" si="70"/>
        <v/>
      </c>
      <c r="J1523" s="154"/>
      <c r="K1523" s="155" t="s">
        <v>2966</v>
      </c>
    </row>
    <row r="1524" spans="1:11" hidden="1" x14ac:dyDescent="0.25">
      <c r="A1524" s="148" t="s">
        <v>5177</v>
      </c>
      <c r="B1524" s="149" t="s">
        <v>5178</v>
      </c>
      <c r="C1524" s="150" t="s">
        <v>18</v>
      </c>
      <c r="D1524" s="150">
        <v>0</v>
      </c>
      <c r="E1524" s="151" t="s">
        <v>13</v>
      </c>
      <c r="F1524" s="152" t="str">
        <f t="shared" si="71"/>
        <v/>
      </c>
      <c r="G1524" s="153">
        <f>IF($K1524="Padrão",BDI!$B$17,IF($K1524="Diferenciado",BDI!$E$17,0))</f>
        <v>0.2039</v>
      </c>
      <c r="H1524" s="151" t="str">
        <f t="shared" si="69"/>
        <v/>
      </c>
      <c r="I1524" s="152" t="str">
        <f t="shared" si="70"/>
        <v/>
      </c>
      <c r="J1524" s="154"/>
      <c r="K1524" s="155" t="s">
        <v>2966</v>
      </c>
    </row>
    <row r="1525" spans="1:11" hidden="1" x14ac:dyDescent="0.25">
      <c r="A1525" s="148" t="s">
        <v>5179</v>
      </c>
      <c r="B1525" s="149" t="s">
        <v>5180</v>
      </c>
      <c r="C1525" s="150" t="s">
        <v>18</v>
      </c>
      <c r="D1525" s="150">
        <v>0</v>
      </c>
      <c r="E1525" s="151" t="s">
        <v>13</v>
      </c>
      <c r="F1525" s="152" t="str">
        <f t="shared" si="71"/>
        <v/>
      </c>
      <c r="G1525" s="153">
        <f>IF($K1525="Padrão",BDI!$B$17,IF($K1525="Diferenciado",BDI!$E$17,0))</f>
        <v>0.2039</v>
      </c>
      <c r="H1525" s="151" t="str">
        <f t="shared" si="69"/>
        <v/>
      </c>
      <c r="I1525" s="152" t="str">
        <f t="shared" si="70"/>
        <v/>
      </c>
      <c r="J1525" s="154"/>
      <c r="K1525" s="155" t="s">
        <v>2966</v>
      </c>
    </row>
    <row r="1526" spans="1:11" hidden="1" x14ac:dyDescent="0.25">
      <c r="A1526" s="148" t="s">
        <v>5181</v>
      </c>
      <c r="B1526" s="149" t="s">
        <v>5182</v>
      </c>
      <c r="C1526" s="150" t="s">
        <v>18</v>
      </c>
      <c r="D1526" s="150">
        <v>0</v>
      </c>
      <c r="E1526" s="151" t="s">
        <v>13</v>
      </c>
      <c r="F1526" s="152" t="str">
        <f t="shared" si="71"/>
        <v/>
      </c>
      <c r="G1526" s="153">
        <f>IF($K1526="Padrão",BDI!$B$17,IF($K1526="Diferenciado",BDI!$E$17,0))</f>
        <v>0.2039</v>
      </c>
      <c r="H1526" s="151" t="str">
        <f t="shared" si="69"/>
        <v/>
      </c>
      <c r="I1526" s="152" t="str">
        <f t="shared" si="70"/>
        <v/>
      </c>
      <c r="J1526" s="154"/>
      <c r="K1526" s="155" t="s">
        <v>2966</v>
      </c>
    </row>
    <row r="1527" spans="1:11" hidden="1" x14ac:dyDescent="0.25">
      <c r="A1527" s="148" t="s">
        <v>5183</v>
      </c>
      <c r="B1527" s="149" t="s">
        <v>5184</v>
      </c>
      <c r="C1527" s="150" t="s">
        <v>18</v>
      </c>
      <c r="D1527" s="150">
        <v>0</v>
      </c>
      <c r="E1527" s="151" t="s">
        <v>13</v>
      </c>
      <c r="F1527" s="152" t="str">
        <f t="shared" si="71"/>
        <v/>
      </c>
      <c r="G1527" s="153">
        <f>IF($K1527="Padrão",BDI!$B$17,IF($K1527="Diferenciado",BDI!$E$17,0))</f>
        <v>0.2039</v>
      </c>
      <c r="H1527" s="151" t="str">
        <f t="shared" si="69"/>
        <v/>
      </c>
      <c r="I1527" s="152" t="str">
        <f t="shared" si="70"/>
        <v/>
      </c>
      <c r="J1527" s="154"/>
      <c r="K1527" s="155" t="s">
        <v>2966</v>
      </c>
    </row>
    <row r="1528" spans="1:11" hidden="1" x14ac:dyDescent="0.25">
      <c r="A1528" s="148" t="s">
        <v>5185</v>
      </c>
      <c r="B1528" s="149" t="s">
        <v>5186</v>
      </c>
      <c r="C1528" s="150" t="s">
        <v>18</v>
      </c>
      <c r="D1528" s="150">
        <v>0</v>
      </c>
      <c r="E1528" s="151" t="s">
        <v>13</v>
      </c>
      <c r="F1528" s="152" t="str">
        <f t="shared" si="71"/>
        <v/>
      </c>
      <c r="G1528" s="153">
        <f>IF($K1528="Padrão",BDI!$B$17,IF($K1528="Diferenciado",BDI!$E$17,0))</f>
        <v>0.2039</v>
      </c>
      <c r="H1528" s="151" t="str">
        <f t="shared" si="69"/>
        <v/>
      </c>
      <c r="I1528" s="152" t="str">
        <f t="shared" si="70"/>
        <v/>
      </c>
      <c r="J1528" s="154"/>
      <c r="K1528" s="155" t="s">
        <v>2966</v>
      </c>
    </row>
    <row r="1529" spans="1:11" hidden="1" x14ac:dyDescent="0.25">
      <c r="A1529" s="148" t="s">
        <v>5187</v>
      </c>
      <c r="B1529" s="149" t="s">
        <v>5188</v>
      </c>
      <c r="C1529" s="150" t="s">
        <v>18</v>
      </c>
      <c r="D1529" s="150">
        <v>0</v>
      </c>
      <c r="E1529" s="151" t="s">
        <v>13</v>
      </c>
      <c r="F1529" s="152" t="str">
        <f t="shared" si="71"/>
        <v/>
      </c>
      <c r="G1529" s="153">
        <f>IF($K1529="Padrão",BDI!$B$17,IF($K1529="Diferenciado",BDI!$E$17,0))</f>
        <v>0.2039</v>
      </c>
      <c r="H1529" s="151" t="str">
        <f t="shared" si="69"/>
        <v/>
      </c>
      <c r="I1529" s="152" t="str">
        <f t="shared" si="70"/>
        <v/>
      </c>
      <c r="J1529" s="154"/>
      <c r="K1529" s="155" t="s">
        <v>2966</v>
      </c>
    </row>
    <row r="1530" spans="1:11" hidden="1" x14ac:dyDescent="0.25">
      <c r="A1530" s="148" t="s">
        <v>5189</v>
      </c>
      <c r="B1530" s="149" t="s">
        <v>5190</v>
      </c>
      <c r="C1530" s="150" t="s">
        <v>18</v>
      </c>
      <c r="D1530" s="150">
        <v>0</v>
      </c>
      <c r="E1530" s="151" t="s">
        <v>13</v>
      </c>
      <c r="F1530" s="152" t="str">
        <f t="shared" si="71"/>
        <v/>
      </c>
      <c r="G1530" s="153">
        <f>IF($K1530="Padrão",BDI!$B$17,IF($K1530="Diferenciado",BDI!$E$17,0))</f>
        <v>0.2039</v>
      </c>
      <c r="H1530" s="151" t="str">
        <f t="shared" si="69"/>
        <v/>
      </c>
      <c r="I1530" s="152" t="str">
        <f t="shared" si="70"/>
        <v/>
      </c>
      <c r="J1530" s="154"/>
      <c r="K1530" s="155" t="s">
        <v>2966</v>
      </c>
    </row>
    <row r="1531" spans="1:11" hidden="1" x14ac:dyDescent="0.25">
      <c r="A1531" s="148" t="s">
        <v>5191</v>
      </c>
      <c r="B1531" s="149" t="s">
        <v>5192</v>
      </c>
      <c r="C1531" s="150" t="s">
        <v>18</v>
      </c>
      <c r="D1531" s="150">
        <v>0</v>
      </c>
      <c r="E1531" s="151" t="s">
        <v>13</v>
      </c>
      <c r="F1531" s="152" t="str">
        <f t="shared" si="71"/>
        <v/>
      </c>
      <c r="G1531" s="153">
        <f>IF($K1531="Padrão",BDI!$B$17,IF($K1531="Diferenciado",BDI!$E$17,0))</f>
        <v>0.2039</v>
      </c>
      <c r="H1531" s="151" t="str">
        <f t="shared" si="69"/>
        <v/>
      </c>
      <c r="I1531" s="152" t="str">
        <f t="shared" si="70"/>
        <v/>
      </c>
      <c r="J1531" s="154"/>
      <c r="K1531" s="155" t="s">
        <v>2966</v>
      </c>
    </row>
    <row r="1532" spans="1:11" hidden="1" x14ac:dyDescent="0.25">
      <c r="A1532" s="148" t="s">
        <v>5193</v>
      </c>
      <c r="B1532" s="149" t="s">
        <v>5194</v>
      </c>
      <c r="C1532" s="150" t="s">
        <v>18</v>
      </c>
      <c r="D1532" s="150">
        <v>0</v>
      </c>
      <c r="E1532" s="151" t="s">
        <v>13</v>
      </c>
      <c r="F1532" s="152" t="str">
        <f t="shared" si="71"/>
        <v/>
      </c>
      <c r="G1532" s="153">
        <f>IF($K1532="Padrão",BDI!$B$17,IF($K1532="Diferenciado",BDI!$E$17,0))</f>
        <v>0.2039</v>
      </c>
      <c r="H1532" s="151" t="str">
        <f t="shared" si="69"/>
        <v/>
      </c>
      <c r="I1532" s="152" t="str">
        <f t="shared" si="70"/>
        <v/>
      </c>
      <c r="J1532" s="154"/>
      <c r="K1532" s="155" t="s">
        <v>2966</v>
      </c>
    </row>
    <row r="1533" spans="1:11" hidden="1" x14ac:dyDescent="0.25">
      <c r="A1533" s="148" t="s">
        <v>5195</v>
      </c>
      <c r="B1533" s="149" t="s">
        <v>5196</v>
      </c>
      <c r="C1533" s="150" t="s">
        <v>18</v>
      </c>
      <c r="D1533" s="150">
        <v>0</v>
      </c>
      <c r="E1533" s="151" t="s">
        <v>13</v>
      </c>
      <c r="F1533" s="152" t="str">
        <f t="shared" si="71"/>
        <v/>
      </c>
      <c r="G1533" s="153">
        <f>IF($K1533="Padrão",BDI!$B$17,IF($K1533="Diferenciado",BDI!$E$17,0))</f>
        <v>0.2039</v>
      </c>
      <c r="H1533" s="151" t="str">
        <f t="shared" si="69"/>
        <v/>
      </c>
      <c r="I1533" s="152" t="str">
        <f t="shared" si="70"/>
        <v/>
      </c>
      <c r="J1533" s="154"/>
      <c r="K1533" s="155" t="s">
        <v>2966</v>
      </c>
    </row>
    <row r="1534" spans="1:11" hidden="1" x14ac:dyDescent="0.25">
      <c r="A1534" s="148" t="s">
        <v>5197</v>
      </c>
      <c r="B1534" s="149" t="s">
        <v>5198</v>
      </c>
      <c r="C1534" s="150" t="s">
        <v>18</v>
      </c>
      <c r="D1534" s="150">
        <v>0</v>
      </c>
      <c r="E1534" s="151" t="s">
        <v>13</v>
      </c>
      <c r="F1534" s="152" t="str">
        <f t="shared" si="71"/>
        <v/>
      </c>
      <c r="G1534" s="153">
        <f>IF($K1534="Padrão",BDI!$B$17,IF($K1534="Diferenciado",BDI!$E$17,0))</f>
        <v>0.2039</v>
      </c>
      <c r="H1534" s="151" t="str">
        <f t="shared" si="69"/>
        <v/>
      </c>
      <c r="I1534" s="152" t="str">
        <f t="shared" si="70"/>
        <v/>
      </c>
      <c r="J1534" s="154"/>
      <c r="K1534" s="155" t="s">
        <v>2966</v>
      </c>
    </row>
    <row r="1535" spans="1:11" hidden="1" x14ac:dyDescent="0.25">
      <c r="A1535" s="148" t="s">
        <v>5199</v>
      </c>
      <c r="B1535" s="149" t="s">
        <v>5200</v>
      </c>
      <c r="C1535" s="150" t="s">
        <v>18</v>
      </c>
      <c r="D1535" s="150">
        <v>0</v>
      </c>
      <c r="E1535" s="151" t="s">
        <v>13</v>
      </c>
      <c r="F1535" s="152" t="str">
        <f t="shared" si="71"/>
        <v/>
      </c>
      <c r="G1535" s="153">
        <f>IF($K1535="Padrão",BDI!$B$17,IF($K1535="Diferenciado",BDI!$E$17,0))</f>
        <v>0.2039</v>
      </c>
      <c r="H1535" s="151" t="str">
        <f t="shared" si="69"/>
        <v/>
      </c>
      <c r="I1535" s="152" t="str">
        <f t="shared" si="70"/>
        <v/>
      </c>
      <c r="J1535" s="154"/>
      <c r="K1535" s="155" t="s">
        <v>2966</v>
      </c>
    </row>
    <row r="1536" spans="1:11" hidden="1" x14ac:dyDescent="0.25">
      <c r="A1536" s="148" t="s">
        <v>5201</v>
      </c>
      <c r="B1536" s="149" t="s">
        <v>5202</v>
      </c>
      <c r="C1536" s="150" t="s">
        <v>18</v>
      </c>
      <c r="D1536" s="150">
        <v>0</v>
      </c>
      <c r="E1536" s="151" t="s">
        <v>13</v>
      </c>
      <c r="F1536" s="152" t="str">
        <f t="shared" si="71"/>
        <v/>
      </c>
      <c r="G1536" s="153">
        <f>IF($K1536="Padrão",BDI!$B$17,IF($K1536="Diferenciado",BDI!$E$17,0))</f>
        <v>0.2039</v>
      </c>
      <c r="H1536" s="151" t="str">
        <f t="shared" si="69"/>
        <v/>
      </c>
      <c r="I1536" s="152" t="str">
        <f t="shared" si="70"/>
        <v/>
      </c>
      <c r="J1536" s="154"/>
      <c r="K1536" s="155" t="s">
        <v>2966</v>
      </c>
    </row>
    <row r="1537" spans="1:11" hidden="1" x14ac:dyDescent="0.25">
      <c r="A1537" s="148" t="s">
        <v>5203</v>
      </c>
      <c r="B1537" s="149" t="s">
        <v>5204</v>
      </c>
      <c r="C1537" s="150" t="s">
        <v>18</v>
      </c>
      <c r="D1537" s="150">
        <v>0</v>
      </c>
      <c r="E1537" s="151" t="s">
        <v>13</v>
      </c>
      <c r="F1537" s="152" t="str">
        <f t="shared" si="71"/>
        <v/>
      </c>
      <c r="G1537" s="153">
        <f>IF($K1537="Padrão",BDI!$B$17,IF($K1537="Diferenciado",BDI!$E$17,0))</f>
        <v>0.2039</v>
      </c>
      <c r="H1537" s="151" t="str">
        <f t="shared" si="69"/>
        <v/>
      </c>
      <c r="I1537" s="152" t="str">
        <f t="shared" si="70"/>
        <v/>
      </c>
      <c r="J1537" s="154"/>
      <c r="K1537" s="155" t="s">
        <v>2966</v>
      </c>
    </row>
    <row r="1538" spans="1:11" hidden="1" x14ac:dyDescent="0.25">
      <c r="A1538" s="148" t="s">
        <v>5205</v>
      </c>
      <c r="B1538" s="149" t="s">
        <v>5206</v>
      </c>
      <c r="C1538" s="150" t="s">
        <v>18</v>
      </c>
      <c r="D1538" s="150">
        <v>0</v>
      </c>
      <c r="E1538" s="151" t="s">
        <v>13</v>
      </c>
      <c r="F1538" s="152" t="str">
        <f t="shared" si="71"/>
        <v/>
      </c>
      <c r="G1538" s="153">
        <f>IF($K1538="Padrão",BDI!$B$17,IF($K1538="Diferenciado",BDI!$E$17,0))</f>
        <v>0.2039</v>
      </c>
      <c r="H1538" s="151" t="str">
        <f t="shared" si="69"/>
        <v/>
      </c>
      <c r="I1538" s="152" t="str">
        <f t="shared" si="70"/>
        <v/>
      </c>
      <c r="J1538" s="154"/>
      <c r="K1538" s="155" t="s">
        <v>2966</v>
      </c>
    </row>
    <row r="1539" spans="1:11" hidden="1" x14ac:dyDescent="0.25">
      <c r="A1539" s="148" t="s">
        <v>5207</v>
      </c>
      <c r="B1539" s="149" t="s">
        <v>5208</v>
      </c>
      <c r="C1539" s="150" t="s">
        <v>18</v>
      </c>
      <c r="D1539" s="150">
        <v>0</v>
      </c>
      <c r="E1539" s="151" t="s">
        <v>13</v>
      </c>
      <c r="F1539" s="152" t="str">
        <f t="shared" si="71"/>
        <v/>
      </c>
      <c r="G1539" s="153">
        <f>IF($K1539="Padrão",BDI!$B$17,IF($K1539="Diferenciado",BDI!$E$17,0))</f>
        <v>0.2039</v>
      </c>
      <c r="H1539" s="151" t="str">
        <f t="shared" si="69"/>
        <v/>
      </c>
      <c r="I1539" s="152" t="str">
        <f t="shared" si="70"/>
        <v/>
      </c>
      <c r="J1539" s="154"/>
      <c r="K1539" s="155" t="s">
        <v>2966</v>
      </c>
    </row>
    <row r="1540" spans="1:11" hidden="1" x14ac:dyDescent="0.25">
      <c r="A1540" s="148" t="s">
        <v>5209</v>
      </c>
      <c r="B1540" s="149" t="s">
        <v>5210</v>
      </c>
      <c r="C1540" s="150" t="s">
        <v>18</v>
      </c>
      <c r="D1540" s="150">
        <v>0</v>
      </c>
      <c r="E1540" s="151" t="s">
        <v>13</v>
      </c>
      <c r="F1540" s="152" t="str">
        <f t="shared" si="71"/>
        <v/>
      </c>
      <c r="G1540" s="153">
        <f>IF($K1540="Padrão",BDI!$B$17,IF($K1540="Diferenciado",BDI!$E$17,0))</f>
        <v>0.2039</v>
      </c>
      <c r="H1540" s="151" t="str">
        <f t="shared" si="69"/>
        <v/>
      </c>
      <c r="I1540" s="152" t="str">
        <f t="shared" si="70"/>
        <v/>
      </c>
      <c r="J1540" s="154"/>
      <c r="K1540" s="155" t="s">
        <v>2966</v>
      </c>
    </row>
    <row r="1541" spans="1:11" hidden="1" x14ac:dyDescent="0.25">
      <c r="A1541" s="148" t="s">
        <v>5211</v>
      </c>
      <c r="B1541" s="149" t="s">
        <v>5212</v>
      </c>
      <c r="C1541" s="150" t="s">
        <v>18</v>
      </c>
      <c r="D1541" s="150">
        <v>0</v>
      </c>
      <c r="E1541" s="151" t="s">
        <v>13</v>
      </c>
      <c r="F1541" s="152" t="str">
        <f t="shared" si="71"/>
        <v/>
      </c>
      <c r="G1541" s="153">
        <f>IF($K1541="Padrão",BDI!$B$17,IF($K1541="Diferenciado",BDI!$E$17,0))</f>
        <v>0.2039</v>
      </c>
      <c r="H1541" s="151" t="str">
        <f t="shared" si="69"/>
        <v/>
      </c>
      <c r="I1541" s="152" t="str">
        <f t="shared" si="70"/>
        <v/>
      </c>
      <c r="J1541" s="154"/>
      <c r="K1541" s="155" t="s">
        <v>2966</v>
      </c>
    </row>
    <row r="1542" spans="1:11" hidden="1" x14ac:dyDescent="0.25">
      <c r="A1542" s="148" t="s">
        <v>5213</v>
      </c>
      <c r="B1542" s="149" t="s">
        <v>5214</v>
      </c>
      <c r="C1542" s="150" t="s">
        <v>106</v>
      </c>
      <c r="D1542" s="150">
        <v>0</v>
      </c>
      <c r="E1542" s="151" t="s">
        <v>13</v>
      </c>
      <c r="F1542" s="152" t="str">
        <f t="shared" si="71"/>
        <v/>
      </c>
      <c r="G1542" s="153">
        <f>IF($K1542="Padrão",BDI!$B$17,IF($K1542="Diferenciado",BDI!$E$17,0))</f>
        <v>0.2039</v>
      </c>
      <c r="H1542" s="151" t="str">
        <f t="shared" ref="H1542:H1605" si="72">IF(ISNUMBER(E1542),ROUND(E1542*(1+G1542),2),"")</f>
        <v/>
      </c>
      <c r="I1542" s="152" t="str">
        <f t="shared" ref="I1542:I1605" si="73">IF(ISNUMBER(E1542),ROUND(H1542*D1542,2),"")</f>
        <v/>
      </c>
      <c r="J1542" s="154"/>
      <c r="K1542" s="155" t="s">
        <v>2966</v>
      </c>
    </row>
    <row r="1543" spans="1:11" hidden="1" x14ac:dyDescent="0.25">
      <c r="A1543" s="148" t="s">
        <v>5215</v>
      </c>
      <c r="B1543" s="149" t="s">
        <v>5216</v>
      </c>
      <c r="C1543" s="150" t="s">
        <v>18</v>
      </c>
      <c r="D1543" s="150">
        <v>0</v>
      </c>
      <c r="E1543" s="151" t="s">
        <v>13</v>
      </c>
      <c r="F1543" s="152" t="str">
        <f t="shared" ref="F1543:F1606" si="74">IF(ISNUMBER(E1543),D1543*E1543,"")</f>
        <v/>
      </c>
      <c r="G1543" s="153">
        <f>IF($K1543="Padrão",BDI!$B$17,IF($K1543="Diferenciado",BDI!$E$17,0))</f>
        <v>0.2039</v>
      </c>
      <c r="H1543" s="151" t="str">
        <f t="shared" si="72"/>
        <v/>
      </c>
      <c r="I1543" s="152" t="str">
        <f t="shared" si="73"/>
        <v/>
      </c>
      <c r="J1543" s="154"/>
      <c r="K1543" s="155" t="s">
        <v>2966</v>
      </c>
    </row>
    <row r="1544" spans="1:11" hidden="1" x14ac:dyDescent="0.25">
      <c r="A1544" s="148" t="s">
        <v>5217</v>
      </c>
      <c r="B1544" s="149" t="s">
        <v>5218</v>
      </c>
      <c r="C1544" s="150" t="s">
        <v>18</v>
      </c>
      <c r="D1544" s="150">
        <v>0</v>
      </c>
      <c r="E1544" s="151" t="s">
        <v>13</v>
      </c>
      <c r="F1544" s="152" t="str">
        <f t="shared" si="74"/>
        <v/>
      </c>
      <c r="G1544" s="153">
        <f>IF($K1544="Padrão",BDI!$B$17,IF($K1544="Diferenciado",BDI!$E$17,0))</f>
        <v>0.2039</v>
      </c>
      <c r="H1544" s="151" t="str">
        <f t="shared" si="72"/>
        <v/>
      </c>
      <c r="I1544" s="152" t="str">
        <f t="shared" si="73"/>
        <v/>
      </c>
      <c r="J1544" s="154"/>
      <c r="K1544" s="155" t="s">
        <v>2966</v>
      </c>
    </row>
    <row r="1545" spans="1:11" hidden="1" x14ac:dyDescent="0.25">
      <c r="A1545" s="148" t="s">
        <v>1357</v>
      </c>
      <c r="B1545" s="149" t="s">
        <v>5219</v>
      </c>
      <c r="C1545" s="150" t="s">
        <v>18</v>
      </c>
      <c r="D1545" s="150">
        <v>0</v>
      </c>
      <c r="E1545" s="151">
        <f ca="1">OFFSET(INDEX(Composições!A:H,MATCH(Orçamentária!A1545,Composições!A:A,0),8),2,0)</f>
        <v>9.7089999999999996</v>
      </c>
      <c r="F1545" s="152">
        <f t="shared" ca="1" si="74"/>
        <v>0</v>
      </c>
      <c r="G1545" s="153">
        <f>IF($K1545="Padrão",BDI!$B$17,IF($K1545="Diferenciado",BDI!$E$17,0))</f>
        <v>0.2039</v>
      </c>
      <c r="H1545" s="151">
        <f t="shared" ca="1" si="72"/>
        <v>11.69</v>
      </c>
      <c r="I1545" s="152">
        <f t="shared" ca="1" si="73"/>
        <v>0</v>
      </c>
      <c r="J1545" s="154"/>
      <c r="K1545" s="155" t="s">
        <v>2966</v>
      </c>
    </row>
    <row r="1546" spans="1:11" hidden="1" x14ac:dyDescent="0.25">
      <c r="A1546" s="148" t="s">
        <v>1358</v>
      </c>
      <c r="B1546" s="149" t="s">
        <v>5220</v>
      </c>
      <c r="C1546" s="150" t="s">
        <v>18</v>
      </c>
      <c r="D1546" s="150">
        <v>0</v>
      </c>
      <c r="E1546" s="151">
        <f ca="1">OFFSET(INDEX(Composições!A:H,MATCH(Orçamentária!A1546,Composições!A:A,0),8),2,0)</f>
        <v>16.311500000000002</v>
      </c>
      <c r="F1546" s="152">
        <f t="shared" ca="1" si="74"/>
        <v>0</v>
      </c>
      <c r="G1546" s="153">
        <f>IF($K1546="Padrão",BDI!$B$17,IF($K1546="Diferenciado",BDI!$E$17,0))</f>
        <v>0.2039</v>
      </c>
      <c r="H1546" s="151">
        <f t="shared" ca="1" si="72"/>
        <v>19.64</v>
      </c>
      <c r="I1546" s="152">
        <f t="shared" ca="1" si="73"/>
        <v>0</v>
      </c>
      <c r="J1546" s="154"/>
      <c r="K1546" s="155" t="s">
        <v>2966</v>
      </c>
    </row>
    <row r="1547" spans="1:11" hidden="1" x14ac:dyDescent="0.25">
      <c r="A1547" s="148" t="s">
        <v>1359</v>
      </c>
      <c r="B1547" s="149" t="s">
        <v>5221</v>
      </c>
      <c r="C1547" s="150" t="s">
        <v>18</v>
      </c>
      <c r="D1547" s="150">
        <v>0</v>
      </c>
      <c r="E1547" s="151">
        <f ca="1">OFFSET(INDEX(Composições!A:H,MATCH(Orçamentária!A1547,Composições!A:A,0),8),2,0)</f>
        <v>19.997499999999999</v>
      </c>
      <c r="F1547" s="152">
        <f t="shared" ca="1" si="74"/>
        <v>0</v>
      </c>
      <c r="G1547" s="153">
        <f>IF($K1547="Padrão",BDI!$B$17,IF($K1547="Diferenciado",BDI!$E$17,0))</f>
        <v>0.2039</v>
      </c>
      <c r="H1547" s="151">
        <f t="shared" ca="1" si="72"/>
        <v>24.07</v>
      </c>
      <c r="I1547" s="152">
        <f t="shared" ca="1" si="73"/>
        <v>0</v>
      </c>
      <c r="J1547" s="154"/>
      <c r="K1547" s="155" t="s">
        <v>2966</v>
      </c>
    </row>
    <row r="1548" spans="1:11" hidden="1" x14ac:dyDescent="0.25">
      <c r="A1548" s="148" t="s">
        <v>1360</v>
      </c>
      <c r="B1548" s="149" t="s">
        <v>5222</v>
      </c>
      <c r="C1548" s="150" t="s">
        <v>18</v>
      </c>
      <c r="D1548" s="150">
        <v>0</v>
      </c>
      <c r="E1548" s="151">
        <f ca="1">OFFSET(INDEX(Composições!A:H,MATCH(Orçamentária!A1548,Composições!A:A,0),8),2,0)</f>
        <v>26.581</v>
      </c>
      <c r="F1548" s="152">
        <f t="shared" ca="1" si="74"/>
        <v>0</v>
      </c>
      <c r="G1548" s="153">
        <f>IF($K1548="Padrão",BDI!$B$17,IF($K1548="Diferenciado",BDI!$E$17,0))</f>
        <v>0.2039</v>
      </c>
      <c r="H1548" s="151">
        <f t="shared" ca="1" si="72"/>
        <v>32</v>
      </c>
      <c r="I1548" s="152">
        <f t="shared" ca="1" si="73"/>
        <v>0</v>
      </c>
      <c r="J1548" s="154"/>
      <c r="K1548" s="155" t="s">
        <v>2966</v>
      </c>
    </row>
    <row r="1549" spans="1:11" hidden="1" x14ac:dyDescent="0.25">
      <c r="A1549" s="148" t="s">
        <v>1361</v>
      </c>
      <c r="B1549" s="149" t="s">
        <v>5223</v>
      </c>
      <c r="C1549" s="150" t="s">
        <v>18</v>
      </c>
      <c r="D1549" s="150">
        <v>0</v>
      </c>
      <c r="E1549" s="151">
        <f ca="1">OFFSET(INDEX(Composições!A:H,MATCH(Orçamentária!A1549,Composições!A:A,0),8),2,0)</f>
        <v>38.997499999999995</v>
      </c>
      <c r="F1549" s="152">
        <f t="shared" ca="1" si="74"/>
        <v>0</v>
      </c>
      <c r="G1549" s="153">
        <f>IF($K1549="Padrão",BDI!$B$17,IF($K1549="Diferenciado",BDI!$E$17,0))</f>
        <v>0.2039</v>
      </c>
      <c r="H1549" s="151">
        <f t="shared" ca="1" si="72"/>
        <v>46.95</v>
      </c>
      <c r="I1549" s="152">
        <f t="shared" ca="1" si="73"/>
        <v>0</v>
      </c>
      <c r="J1549" s="154"/>
      <c r="K1549" s="155" t="s">
        <v>2966</v>
      </c>
    </row>
    <row r="1550" spans="1:11" hidden="1" x14ac:dyDescent="0.25">
      <c r="A1550" s="148" t="s">
        <v>5224</v>
      </c>
      <c r="B1550" s="149" t="s">
        <v>5225</v>
      </c>
      <c r="C1550" s="150" t="s">
        <v>18</v>
      </c>
      <c r="D1550" s="150">
        <v>0</v>
      </c>
      <c r="E1550" s="151" t="s">
        <v>13</v>
      </c>
      <c r="F1550" s="152" t="str">
        <f t="shared" si="74"/>
        <v/>
      </c>
      <c r="G1550" s="153">
        <f>IF($K1550="Padrão",BDI!$B$17,IF($K1550="Diferenciado",BDI!$E$17,0))</f>
        <v>0.2039</v>
      </c>
      <c r="H1550" s="151" t="str">
        <f t="shared" si="72"/>
        <v/>
      </c>
      <c r="I1550" s="152" t="str">
        <f t="shared" si="73"/>
        <v/>
      </c>
      <c r="J1550" s="154"/>
      <c r="K1550" s="155" t="s">
        <v>2966</v>
      </c>
    </row>
    <row r="1551" spans="1:11" hidden="1" x14ac:dyDescent="0.25">
      <c r="A1551" s="148" t="s">
        <v>1362</v>
      </c>
      <c r="B1551" s="149" t="s">
        <v>5226</v>
      </c>
      <c r="C1551" s="150" t="s">
        <v>18</v>
      </c>
      <c r="D1551" s="150">
        <v>0</v>
      </c>
      <c r="E1551" s="151">
        <f ca="1">OFFSET(INDEX(Composições!A:H,MATCH(Orçamentária!A1551,Composições!A:A,0),8),2,0)</f>
        <v>108.28099999999999</v>
      </c>
      <c r="F1551" s="152">
        <f t="shared" ca="1" si="74"/>
        <v>0</v>
      </c>
      <c r="G1551" s="153">
        <f>IF($K1551="Padrão",BDI!$B$17,IF($K1551="Diferenciado",BDI!$E$17,0))</f>
        <v>0.2039</v>
      </c>
      <c r="H1551" s="151">
        <f t="shared" ca="1" si="72"/>
        <v>130.36000000000001</v>
      </c>
      <c r="I1551" s="152">
        <f t="shared" ca="1" si="73"/>
        <v>0</v>
      </c>
      <c r="J1551" s="154"/>
      <c r="K1551" s="155" t="s">
        <v>2966</v>
      </c>
    </row>
    <row r="1552" spans="1:11" hidden="1" x14ac:dyDescent="0.25">
      <c r="A1552" s="148" t="s">
        <v>1363</v>
      </c>
      <c r="B1552" s="149" t="s">
        <v>5227</v>
      </c>
      <c r="C1552" s="150" t="s">
        <v>18</v>
      </c>
      <c r="D1552" s="150">
        <v>0</v>
      </c>
      <c r="E1552" s="151">
        <f ca="1">OFFSET(INDEX(Composições!A:H,MATCH(Orçamentária!A1552,Composições!A:A,0),8),2,0)</f>
        <v>198.74950000000001</v>
      </c>
      <c r="F1552" s="152">
        <f t="shared" ca="1" si="74"/>
        <v>0</v>
      </c>
      <c r="G1552" s="153">
        <f>IF($K1552="Padrão",BDI!$B$17,IF($K1552="Diferenciado",BDI!$E$17,0))</f>
        <v>0.2039</v>
      </c>
      <c r="H1552" s="151">
        <f t="shared" ca="1" si="72"/>
        <v>239.27</v>
      </c>
      <c r="I1552" s="152">
        <f t="shared" ca="1" si="73"/>
        <v>0</v>
      </c>
      <c r="J1552" s="154"/>
      <c r="K1552" s="155" t="s">
        <v>2966</v>
      </c>
    </row>
    <row r="1553" spans="1:11" hidden="1" x14ac:dyDescent="0.25">
      <c r="A1553" s="148" t="s">
        <v>5228</v>
      </c>
      <c r="B1553" s="149" t="s">
        <v>5229</v>
      </c>
      <c r="C1553" s="150" t="s">
        <v>18</v>
      </c>
      <c r="D1553" s="150">
        <v>0</v>
      </c>
      <c r="E1553" s="151" t="s">
        <v>13</v>
      </c>
      <c r="F1553" s="152" t="str">
        <f t="shared" si="74"/>
        <v/>
      </c>
      <c r="G1553" s="153">
        <f>IF($K1553="Padrão",BDI!$B$17,IF($K1553="Diferenciado",BDI!$E$17,0))</f>
        <v>0.2039</v>
      </c>
      <c r="H1553" s="151" t="str">
        <f t="shared" si="72"/>
        <v/>
      </c>
      <c r="I1553" s="152" t="str">
        <f t="shared" si="73"/>
        <v/>
      </c>
      <c r="J1553" s="154"/>
      <c r="K1553" s="155" t="s">
        <v>2966</v>
      </c>
    </row>
    <row r="1554" spans="1:11" hidden="1" x14ac:dyDescent="0.25">
      <c r="A1554" s="148" t="s">
        <v>5230</v>
      </c>
      <c r="B1554" s="149" t="s">
        <v>5231</v>
      </c>
      <c r="C1554" s="150" t="s">
        <v>18</v>
      </c>
      <c r="D1554" s="150">
        <v>0</v>
      </c>
      <c r="E1554" s="151" t="s">
        <v>13</v>
      </c>
      <c r="F1554" s="152" t="str">
        <f t="shared" si="74"/>
        <v/>
      </c>
      <c r="G1554" s="153">
        <f>IF($K1554="Padrão",BDI!$B$17,IF($K1554="Diferenciado",BDI!$E$17,0))</f>
        <v>0.2039</v>
      </c>
      <c r="H1554" s="151" t="str">
        <f t="shared" si="72"/>
        <v/>
      </c>
      <c r="I1554" s="152" t="str">
        <f t="shared" si="73"/>
        <v/>
      </c>
      <c r="J1554" s="154"/>
      <c r="K1554" s="155" t="s">
        <v>2966</v>
      </c>
    </row>
    <row r="1555" spans="1:11" hidden="1" x14ac:dyDescent="0.25">
      <c r="A1555" s="148" t="s">
        <v>5232</v>
      </c>
      <c r="B1555" s="149" t="s">
        <v>5233</v>
      </c>
      <c r="C1555" s="150" t="s">
        <v>18</v>
      </c>
      <c r="D1555" s="150">
        <v>0</v>
      </c>
      <c r="E1555" s="151" t="s">
        <v>13</v>
      </c>
      <c r="F1555" s="152" t="str">
        <f t="shared" si="74"/>
        <v/>
      </c>
      <c r="G1555" s="153">
        <f>IF($K1555="Padrão",BDI!$B$17,IF($K1555="Diferenciado",BDI!$E$17,0))</f>
        <v>0.2039</v>
      </c>
      <c r="H1555" s="151" t="str">
        <f t="shared" si="72"/>
        <v/>
      </c>
      <c r="I1555" s="152" t="str">
        <f t="shared" si="73"/>
        <v/>
      </c>
      <c r="J1555" s="154"/>
      <c r="K1555" s="155" t="s">
        <v>2966</v>
      </c>
    </row>
    <row r="1556" spans="1:11" hidden="1" x14ac:dyDescent="0.25">
      <c r="A1556" s="148" t="s">
        <v>5234</v>
      </c>
      <c r="B1556" s="149" t="s">
        <v>5235</v>
      </c>
      <c r="C1556" s="150" t="s">
        <v>18</v>
      </c>
      <c r="D1556" s="150">
        <v>0</v>
      </c>
      <c r="E1556" s="151" t="s">
        <v>13</v>
      </c>
      <c r="F1556" s="152" t="str">
        <f t="shared" si="74"/>
        <v/>
      </c>
      <c r="G1556" s="153">
        <f>IF($K1556="Padrão",BDI!$B$17,IF($K1556="Diferenciado",BDI!$E$17,0))</f>
        <v>0.2039</v>
      </c>
      <c r="H1556" s="151" t="str">
        <f t="shared" si="72"/>
        <v/>
      </c>
      <c r="I1556" s="152" t="str">
        <f t="shared" si="73"/>
        <v/>
      </c>
      <c r="J1556" s="154"/>
      <c r="K1556" s="155" t="s">
        <v>2966</v>
      </c>
    </row>
    <row r="1557" spans="1:11" hidden="1" x14ac:dyDescent="0.25">
      <c r="A1557" s="148" t="s">
        <v>5236</v>
      </c>
      <c r="B1557" s="149" t="s">
        <v>5237</v>
      </c>
      <c r="C1557" s="150" t="s">
        <v>18</v>
      </c>
      <c r="D1557" s="150">
        <v>0</v>
      </c>
      <c r="E1557" s="151" t="s">
        <v>13</v>
      </c>
      <c r="F1557" s="152" t="str">
        <f t="shared" si="74"/>
        <v/>
      </c>
      <c r="G1557" s="153">
        <f>IF($K1557="Padrão",BDI!$B$17,IF($K1557="Diferenciado",BDI!$E$17,0))</f>
        <v>0.2039</v>
      </c>
      <c r="H1557" s="151" t="str">
        <f t="shared" si="72"/>
        <v/>
      </c>
      <c r="I1557" s="152" t="str">
        <f t="shared" si="73"/>
        <v/>
      </c>
      <c r="J1557" s="154"/>
      <c r="K1557" s="155" t="s">
        <v>2966</v>
      </c>
    </row>
    <row r="1558" spans="1:11" hidden="1" x14ac:dyDescent="0.25">
      <c r="A1558" s="148" t="s">
        <v>5238</v>
      </c>
      <c r="B1558" s="149" t="s">
        <v>5239</v>
      </c>
      <c r="C1558" s="150" t="s">
        <v>18</v>
      </c>
      <c r="D1558" s="150">
        <v>0</v>
      </c>
      <c r="E1558" s="151" t="s">
        <v>13</v>
      </c>
      <c r="F1558" s="152" t="str">
        <f t="shared" si="74"/>
        <v/>
      </c>
      <c r="G1558" s="153">
        <f>IF($K1558="Padrão",BDI!$B$17,IF($K1558="Diferenciado",BDI!$E$17,0))</f>
        <v>0.2039</v>
      </c>
      <c r="H1558" s="151" t="str">
        <f t="shared" si="72"/>
        <v/>
      </c>
      <c r="I1558" s="152" t="str">
        <f t="shared" si="73"/>
        <v/>
      </c>
      <c r="J1558" s="154"/>
      <c r="K1558" s="155" t="s">
        <v>2966</v>
      </c>
    </row>
    <row r="1559" spans="1:11" hidden="1" x14ac:dyDescent="0.25">
      <c r="A1559" s="148" t="s">
        <v>5240</v>
      </c>
      <c r="B1559" s="149" t="s">
        <v>5241</v>
      </c>
      <c r="C1559" s="150" t="s">
        <v>18</v>
      </c>
      <c r="D1559" s="150">
        <v>0</v>
      </c>
      <c r="E1559" s="151" t="s">
        <v>13</v>
      </c>
      <c r="F1559" s="152" t="str">
        <f t="shared" si="74"/>
        <v/>
      </c>
      <c r="G1559" s="153">
        <f>IF($K1559="Padrão",BDI!$B$17,IF($K1559="Diferenciado",BDI!$E$17,0))</f>
        <v>0.2039</v>
      </c>
      <c r="H1559" s="151" t="str">
        <f t="shared" si="72"/>
        <v/>
      </c>
      <c r="I1559" s="152" t="str">
        <f t="shared" si="73"/>
        <v/>
      </c>
      <c r="J1559" s="154"/>
      <c r="K1559" s="155" t="s">
        <v>2966</v>
      </c>
    </row>
    <row r="1560" spans="1:11" hidden="1" x14ac:dyDescent="0.25">
      <c r="A1560" s="148" t="s">
        <v>5242</v>
      </c>
      <c r="B1560" s="149" t="s">
        <v>5243</v>
      </c>
      <c r="C1560" s="150" t="s">
        <v>18</v>
      </c>
      <c r="D1560" s="150">
        <v>0</v>
      </c>
      <c r="E1560" s="151" t="s">
        <v>13</v>
      </c>
      <c r="F1560" s="152" t="str">
        <f t="shared" si="74"/>
        <v/>
      </c>
      <c r="G1560" s="153">
        <f>IF($K1560="Padrão",BDI!$B$17,IF($K1560="Diferenciado",BDI!$E$17,0))</f>
        <v>0.2039</v>
      </c>
      <c r="H1560" s="151" t="str">
        <f t="shared" si="72"/>
        <v/>
      </c>
      <c r="I1560" s="152" t="str">
        <f t="shared" si="73"/>
        <v/>
      </c>
      <c r="J1560" s="154"/>
      <c r="K1560" s="155" t="s">
        <v>2966</v>
      </c>
    </row>
    <row r="1561" spans="1:11" hidden="1" x14ac:dyDescent="0.25">
      <c r="A1561" s="148" t="s">
        <v>5244</v>
      </c>
      <c r="B1561" s="149" t="s">
        <v>5245</v>
      </c>
      <c r="C1561" s="150" t="s">
        <v>18</v>
      </c>
      <c r="D1561" s="150">
        <v>0</v>
      </c>
      <c r="E1561" s="151" t="s">
        <v>13</v>
      </c>
      <c r="F1561" s="152" t="str">
        <f t="shared" si="74"/>
        <v/>
      </c>
      <c r="G1561" s="153">
        <f>IF($K1561="Padrão",BDI!$B$17,IF($K1561="Diferenciado",BDI!$E$17,0))</f>
        <v>0.2039</v>
      </c>
      <c r="H1561" s="151" t="str">
        <f t="shared" si="72"/>
        <v/>
      </c>
      <c r="I1561" s="152" t="str">
        <f t="shared" si="73"/>
        <v/>
      </c>
      <c r="J1561" s="154"/>
      <c r="K1561" s="155" t="s">
        <v>2966</v>
      </c>
    </row>
    <row r="1562" spans="1:11" hidden="1" x14ac:dyDescent="0.25">
      <c r="A1562" s="148" t="s">
        <v>5246</v>
      </c>
      <c r="B1562" s="149" t="s">
        <v>5247</v>
      </c>
      <c r="C1562" s="150" t="s">
        <v>18</v>
      </c>
      <c r="D1562" s="150">
        <v>0</v>
      </c>
      <c r="E1562" s="151" t="s">
        <v>13</v>
      </c>
      <c r="F1562" s="152" t="str">
        <f t="shared" si="74"/>
        <v/>
      </c>
      <c r="G1562" s="153">
        <f>IF($K1562="Padrão",BDI!$B$17,IF($K1562="Diferenciado",BDI!$E$17,0))</f>
        <v>0.2039</v>
      </c>
      <c r="H1562" s="151" t="str">
        <f t="shared" si="72"/>
        <v/>
      </c>
      <c r="I1562" s="152" t="str">
        <f t="shared" si="73"/>
        <v/>
      </c>
      <c r="J1562" s="154"/>
      <c r="K1562" s="155" t="s">
        <v>2966</v>
      </c>
    </row>
    <row r="1563" spans="1:11" hidden="1" x14ac:dyDescent="0.25">
      <c r="A1563" s="148" t="s">
        <v>5248</v>
      </c>
      <c r="B1563" s="149" t="s">
        <v>5249</v>
      </c>
      <c r="C1563" s="150" t="s">
        <v>18</v>
      </c>
      <c r="D1563" s="150">
        <v>0</v>
      </c>
      <c r="E1563" s="151" t="s">
        <v>13</v>
      </c>
      <c r="F1563" s="152" t="str">
        <f t="shared" si="74"/>
        <v/>
      </c>
      <c r="G1563" s="153">
        <f>IF($K1563="Padrão",BDI!$B$17,IF($K1563="Diferenciado",BDI!$E$17,0))</f>
        <v>0.2039</v>
      </c>
      <c r="H1563" s="151" t="str">
        <f t="shared" si="72"/>
        <v/>
      </c>
      <c r="I1563" s="152" t="str">
        <f t="shared" si="73"/>
        <v/>
      </c>
      <c r="J1563" s="154"/>
      <c r="K1563" s="155" t="s">
        <v>2966</v>
      </c>
    </row>
    <row r="1564" spans="1:11" hidden="1" x14ac:dyDescent="0.25">
      <c r="A1564" s="148" t="s">
        <v>5250</v>
      </c>
      <c r="B1564" s="149" t="s">
        <v>5251</v>
      </c>
      <c r="C1564" s="150" t="s">
        <v>18</v>
      </c>
      <c r="D1564" s="150">
        <v>0</v>
      </c>
      <c r="E1564" s="151" t="s">
        <v>13</v>
      </c>
      <c r="F1564" s="152" t="str">
        <f t="shared" si="74"/>
        <v/>
      </c>
      <c r="G1564" s="153">
        <f>IF($K1564="Padrão",BDI!$B$17,IF($K1564="Diferenciado",BDI!$E$17,0))</f>
        <v>0.2039</v>
      </c>
      <c r="H1564" s="151" t="str">
        <f t="shared" si="72"/>
        <v/>
      </c>
      <c r="I1564" s="152" t="str">
        <f t="shared" si="73"/>
        <v/>
      </c>
      <c r="J1564" s="154"/>
      <c r="K1564" s="155" t="s">
        <v>2966</v>
      </c>
    </row>
    <row r="1565" spans="1:11" hidden="1" x14ac:dyDescent="0.25">
      <c r="A1565" s="148" t="s">
        <v>5252</v>
      </c>
      <c r="B1565" s="149" t="s">
        <v>5253</v>
      </c>
      <c r="C1565" s="150" t="s">
        <v>18</v>
      </c>
      <c r="D1565" s="150">
        <v>0</v>
      </c>
      <c r="E1565" s="151" t="s">
        <v>13</v>
      </c>
      <c r="F1565" s="152" t="str">
        <f t="shared" si="74"/>
        <v/>
      </c>
      <c r="G1565" s="153">
        <f>IF($K1565="Padrão",BDI!$B$17,IF($K1565="Diferenciado",BDI!$E$17,0))</f>
        <v>0.2039</v>
      </c>
      <c r="H1565" s="151" t="str">
        <f t="shared" si="72"/>
        <v/>
      </c>
      <c r="I1565" s="152" t="str">
        <f t="shared" si="73"/>
        <v/>
      </c>
      <c r="J1565" s="154"/>
      <c r="K1565" s="155" t="s">
        <v>2966</v>
      </c>
    </row>
    <row r="1566" spans="1:11" hidden="1" x14ac:dyDescent="0.25">
      <c r="A1566" s="148" t="s">
        <v>1364</v>
      </c>
      <c r="B1566" s="149" t="s">
        <v>5254</v>
      </c>
      <c r="C1566" s="150" t="s">
        <v>18</v>
      </c>
      <c r="D1566" s="150">
        <v>0</v>
      </c>
      <c r="E1566" s="151">
        <f ca="1">OFFSET(INDEX(Composições!A:H,MATCH(Orçamentária!A1566,Composições!A:A,0),8),2,0)</f>
        <v>3.8759999999999999</v>
      </c>
      <c r="F1566" s="152">
        <f t="shared" ca="1" si="74"/>
        <v>0</v>
      </c>
      <c r="G1566" s="153">
        <f>IF($K1566="Padrão",BDI!$B$17,IF($K1566="Diferenciado",BDI!$E$17,0))</f>
        <v>0.2039</v>
      </c>
      <c r="H1566" s="151">
        <f t="shared" ca="1" si="72"/>
        <v>4.67</v>
      </c>
      <c r="I1566" s="152">
        <f t="shared" ca="1" si="73"/>
        <v>0</v>
      </c>
      <c r="J1566" s="154"/>
      <c r="K1566" s="155" t="s">
        <v>2966</v>
      </c>
    </row>
    <row r="1567" spans="1:11" hidden="1" x14ac:dyDescent="0.25">
      <c r="A1567" s="148" t="s">
        <v>5255</v>
      </c>
      <c r="B1567" s="149" t="s">
        <v>5256</v>
      </c>
      <c r="C1567" s="150" t="s">
        <v>18</v>
      </c>
      <c r="D1567" s="150">
        <v>0</v>
      </c>
      <c r="E1567" s="151" t="s">
        <v>13</v>
      </c>
      <c r="F1567" s="152" t="str">
        <f t="shared" si="74"/>
        <v/>
      </c>
      <c r="G1567" s="153">
        <f>IF($K1567="Padrão",BDI!$B$17,IF($K1567="Diferenciado",BDI!$E$17,0))</f>
        <v>0.2039</v>
      </c>
      <c r="H1567" s="151" t="str">
        <f t="shared" si="72"/>
        <v/>
      </c>
      <c r="I1567" s="152" t="str">
        <f t="shared" si="73"/>
        <v/>
      </c>
      <c r="J1567" s="154"/>
      <c r="K1567" s="155" t="s">
        <v>2966</v>
      </c>
    </row>
    <row r="1568" spans="1:11" hidden="1" x14ac:dyDescent="0.25">
      <c r="A1568" s="148" t="s">
        <v>1365</v>
      </c>
      <c r="B1568" s="149" t="s">
        <v>5257</v>
      </c>
      <c r="C1568" s="150" t="s">
        <v>18</v>
      </c>
      <c r="D1568" s="150">
        <v>0</v>
      </c>
      <c r="E1568" s="151">
        <f ca="1">OFFSET(INDEX(Composições!A:H,MATCH(Orçamentária!A1568,Composições!A:A,0),8),2,0)</f>
        <v>2.964</v>
      </c>
      <c r="F1568" s="152">
        <f t="shared" ca="1" si="74"/>
        <v>0</v>
      </c>
      <c r="G1568" s="153">
        <f>IF($K1568="Padrão",BDI!$B$17,IF($K1568="Diferenciado",BDI!$E$17,0))</f>
        <v>0.2039</v>
      </c>
      <c r="H1568" s="151">
        <f t="shared" ca="1" si="72"/>
        <v>3.57</v>
      </c>
      <c r="I1568" s="152">
        <f t="shared" ca="1" si="73"/>
        <v>0</v>
      </c>
      <c r="J1568" s="154"/>
      <c r="K1568" s="155" t="s">
        <v>2966</v>
      </c>
    </row>
    <row r="1569" spans="1:11" hidden="1" x14ac:dyDescent="0.25">
      <c r="A1569" s="148" t="s">
        <v>1366</v>
      </c>
      <c r="B1569" s="149" t="s">
        <v>5258</v>
      </c>
      <c r="C1569" s="150" t="s">
        <v>18</v>
      </c>
      <c r="D1569" s="150">
        <v>0</v>
      </c>
      <c r="E1569" s="151">
        <f ca="1">OFFSET(INDEX(Composições!A:H,MATCH(Orçamentária!A1569,Composições!A:A,0),8),2,0)</f>
        <v>3.3439999999999999</v>
      </c>
      <c r="F1569" s="152">
        <f t="shared" ca="1" si="74"/>
        <v>0</v>
      </c>
      <c r="G1569" s="153">
        <f>IF($K1569="Padrão",BDI!$B$17,IF($K1569="Diferenciado",BDI!$E$17,0))</f>
        <v>0.2039</v>
      </c>
      <c r="H1569" s="151">
        <f t="shared" ca="1" si="72"/>
        <v>4.03</v>
      </c>
      <c r="I1569" s="152">
        <f t="shared" ca="1" si="73"/>
        <v>0</v>
      </c>
      <c r="J1569" s="154"/>
      <c r="K1569" s="155" t="s">
        <v>2966</v>
      </c>
    </row>
    <row r="1570" spans="1:11" hidden="1" x14ac:dyDescent="0.25">
      <c r="A1570" s="148" t="s">
        <v>1367</v>
      </c>
      <c r="B1570" s="149" t="s">
        <v>5259</v>
      </c>
      <c r="C1570" s="150" t="s">
        <v>18</v>
      </c>
      <c r="D1570" s="150">
        <v>0</v>
      </c>
      <c r="E1570" s="151">
        <f ca="1">OFFSET(INDEX(Composições!A:H,MATCH(Orçamentária!A1570,Composições!A:A,0),8),2,0)</f>
        <v>5.8045</v>
      </c>
      <c r="F1570" s="152">
        <f t="shared" ca="1" si="74"/>
        <v>0</v>
      </c>
      <c r="G1570" s="153">
        <f>IF($K1570="Padrão",BDI!$B$17,IF($K1570="Diferenciado",BDI!$E$17,0))</f>
        <v>0.2039</v>
      </c>
      <c r="H1570" s="151">
        <f t="shared" ca="1" si="72"/>
        <v>6.99</v>
      </c>
      <c r="I1570" s="152">
        <f t="shared" ca="1" si="73"/>
        <v>0</v>
      </c>
      <c r="J1570" s="154"/>
      <c r="K1570" s="155" t="s">
        <v>2966</v>
      </c>
    </row>
    <row r="1571" spans="1:11" hidden="1" x14ac:dyDescent="0.25">
      <c r="A1571" s="148" t="s">
        <v>1368</v>
      </c>
      <c r="B1571" s="149" t="s">
        <v>5260</v>
      </c>
      <c r="C1571" s="150" t="s">
        <v>18</v>
      </c>
      <c r="D1571" s="150">
        <v>0</v>
      </c>
      <c r="E1571" s="151">
        <f ca="1">OFFSET(INDEX(Composições!A:H,MATCH(Orçamentária!A1571,Composições!A:A,0),8),2,0)</f>
        <v>7.2389999999999999</v>
      </c>
      <c r="F1571" s="152">
        <f t="shared" ca="1" si="74"/>
        <v>0</v>
      </c>
      <c r="G1571" s="153">
        <f>IF($K1571="Padrão",BDI!$B$17,IF($K1571="Diferenciado",BDI!$E$17,0))</f>
        <v>0.2039</v>
      </c>
      <c r="H1571" s="151">
        <f t="shared" ca="1" si="72"/>
        <v>8.7200000000000006</v>
      </c>
      <c r="I1571" s="152">
        <f t="shared" ca="1" si="73"/>
        <v>0</v>
      </c>
      <c r="J1571" s="154"/>
      <c r="K1571" s="155" t="s">
        <v>2966</v>
      </c>
    </row>
    <row r="1572" spans="1:11" hidden="1" x14ac:dyDescent="0.25">
      <c r="A1572" s="148" t="s">
        <v>1369</v>
      </c>
      <c r="B1572" s="149" t="s">
        <v>5261</v>
      </c>
      <c r="C1572" s="150" t="s">
        <v>18</v>
      </c>
      <c r="D1572" s="150">
        <v>0</v>
      </c>
      <c r="E1572" s="151">
        <f ca="1">OFFSET(INDEX(Composições!A:H,MATCH(Orçamentária!A1572,Composições!A:A,0),8),2,0)</f>
        <v>8.9109999999999996</v>
      </c>
      <c r="F1572" s="152">
        <f t="shared" ca="1" si="74"/>
        <v>0</v>
      </c>
      <c r="G1572" s="153">
        <f>IF($K1572="Padrão",BDI!$B$17,IF($K1572="Diferenciado",BDI!$E$17,0))</f>
        <v>0.2039</v>
      </c>
      <c r="H1572" s="151">
        <f t="shared" ca="1" si="72"/>
        <v>10.73</v>
      </c>
      <c r="I1572" s="152">
        <f t="shared" ca="1" si="73"/>
        <v>0</v>
      </c>
      <c r="J1572" s="154"/>
      <c r="K1572" s="155" t="s">
        <v>2966</v>
      </c>
    </row>
    <row r="1573" spans="1:11" hidden="1" x14ac:dyDescent="0.25">
      <c r="A1573" s="148" t="s">
        <v>1370</v>
      </c>
      <c r="B1573" s="149" t="s">
        <v>5262</v>
      </c>
      <c r="C1573" s="150" t="s">
        <v>18</v>
      </c>
      <c r="D1573" s="150">
        <v>0</v>
      </c>
      <c r="E1573" s="151">
        <f ca="1">OFFSET(INDEX(Composições!A:H,MATCH(Orçamentária!A1573,Composições!A:A,0),8),2,0)</f>
        <v>12.530499999999998</v>
      </c>
      <c r="F1573" s="152">
        <f t="shared" ca="1" si="74"/>
        <v>0</v>
      </c>
      <c r="G1573" s="153">
        <f>IF($K1573="Padrão",BDI!$B$17,IF($K1573="Diferenciado",BDI!$E$17,0))</f>
        <v>0.2039</v>
      </c>
      <c r="H1573" s="151">
        <f t="shared" ca="1" si="72"/>
        <v>15.09</v>
      </c>
      <c r="I1573" s="152">
        <f t="shared" ca="1" si="73"/>
        <v>0</v>
      </c>
      <c r="J1573" s="154"/>
      <c r="K1573" s="155" t="s">
        <v>2966</v>
      </c>
    </row>
    <row r="1574" spans="1:11" hidden="1" x14ac:dyDescent="0.25">
      <c r="A1574" s="148" t="s">
        <v>1371</v>
      </c>
      <c r="B1574" s="149" t="s">
        <v>5263</v>
      </c>
      <c r="C1574" s="150" t="s">
        <v>18</v>
      </c>
      <c r="D1574" s="150">
        <v>0</v>
      </c>
      <c r="E1574" s="151">
        <f ca="1">OFFSET(INDEX(Composições!A:H,MATCH(Orçamentária!A1574,Composições!A:A,0),8),2,0)</f>
        <v>28.195999999999998</v>
      </c>
      <c r="F1574" s="152">
        <f t="shared" ca="1" si="74"/>
        <v>0</v>
      </c>
      <c r="G1574" s="153">
        <f>IF($K1574="Padrão",BDI!$B$17,IF($K1574="Diferenciado",BDI!$E$17,0))</f>
        <v>0.2039</v>
      </c>
      <c r="H1574" s="151">
        <f t="shared" ca="1" si="72"/>
        <v>33.950000000000003</v>
      </c>
      <c r="I1574" s="152">
        <f t="shared" ca="1" si="73"/>
        <v>0</v>
      </c>
      <c r="J1574" s="154"/>
      <c r="K1574" s="155" t="s">
        <v>2966</v>
      </c>
    </row>
    <row r="1575" spans="1:11" hidden="1" x14ac:dyDescent="0.25">
      <c r="A1575" s="148" t="s">
        <v>1372</v>
      </c>
      <c r="B1575" s="149" t="s">
        <v>5264</v>
      </c>
      <c r="C1575" s="150" t="s">
        <v>18</v>
      </c>
      <c r="D1575" s="150">
        <v>0</v>
      </c>
      <c r="E1575" s="151">
        <f ca="1">OFFSET(INDEX(Composições!A:H,MATCH(Orçamentária!A1575,Composições!A:A,0),8),2,0)</f>
        <v>30.817999999999998</v>
      </c>
      <c r="F1575" s="152">
        <f t="shared" ca="1" si="74"/>
        <v>0</v>
      </c>
      <c r="G1575" s="153">
        <f>IF($K1575="Padrão",BDI!$B$17,IF($K1575="Diferenciado",BDI!$E$17,0))</f>
        <v>0.2039</v>
      </c>
      <c r="H1575" s="151">
        <f t="shared" ca="1" si="72"/>
        <v>37.1</v>
      </c>
      <c r="I1575" s="152">
        <f t="shared" ca="1" si="73"/>
        <v>0</v>
      </c>
      <c r="J1575" s="154"/>
      <c r="K1575" s="155" t="s">
        <v>2966</v>
      </c>
    </row>
    <row r="1576" spans="1:11" hidden="1" x14ac:dyDescent="0.25">
      <c r="A1576" s="148" t="s">
        <v>1373</v>
      </c>
      <c r="B1576" s="149" t="s">
        <v>5265</v>
      </c>
      <c r="C1576" s="150" t="s">
        <v>18</v>
      </c>
      <c r="D1576" s="150">
        <v>0</v>
      </c>
      <c r="E1576" s="151">
        <f ca="1">OFFSET(INDEX(Composições!A:H,MATCH(Orçamentária!A1576,Composições!A:A,0),8),2,0)</f>
        <v>40.659999999999997</v>
      </c>
      <c r="F1576" s="152">
        <f t="shared" ca="1" si="74"/>
        <v>0</v>
      </c>
      <c r="G1576" s="153">
        <f>IF($K1576="Padrão",BDI!$B$17,IF($K1576="Diferenciado",BDI!$E$17,0))</f>
        <v>0.2039</v>
      </c>
      <c r="H1576" s="151">
        <f t="shared" ca="1" si="72"/>
        <v>48.95</v>
      </c>
      <c r="I1576" s="152">
        <f t="shared" ca="1" si="73"/>
        <v>0</v>
      </c>
      <c r="J1576" s="154"/>
      <c r="K1576" s="155" t="s">
        <v>2966</v>
      </c>
    </row>
    <row r="1577" spans="1:11" hidden="1" x14ac:dyDescent="0.25">
      <c r="A1577" s="148" t="s">
        <v>1374</v>
      </c>
      <c r="B1577" s="149" t="s">
        <v>5266</v>
      </c>
      <c r="C1577" s="150" t="s">
        <v>18</v>
      </c>
      <c r="D1577" s="150">
        <v>0</v>
      </c>
      <c r="E1577" s="151">
        <f ca="1">OFFSET(INDEX(Composições!A:H,MATCH(Orçamentária!A1577,Composições!A:A,0),8),2,0)</f>
        <v>59.165999999999997</v>
      </c>
      <c r="F1577" s="152">
        <f t="shared" ca="1" si="74"/>
        <v>0</v>
      </c>
      <c r="G1577" s="153">
        <f>IF($K1577="Padrão",BDI!$B$17,IF($K1577="Diferenciado",BDI!$E$17,0))</f>
        <v>0.2039</v>
      </c>
      <c r="H1577" s="151">
        <f t="shared" ca="1" si="72"/>
        <v>71.23</v>
      </c>
      <c r="I1577" s="152">
        <f t="shared" ca="1" si="73"/>
        <v>0</v>
      </c>
      <c r="J1577" s="154"/>
      <c r="K1577" s="155" t="s">
        <v>2966</v>
      </c>
    </row>
    <row r="1578" spans="1:11" hidden="1" x14ac:dyDescent="0.25">
      <c r="A1578" s="148" t="s">
        <v>5267</v>
      </c>
      <c r="B1578" s="149" t="s">
        <v>5268</v>
      </c>
      <c r="C1578" s="150" t="s">
        <v>18</v>
      </c>
      <c r="D1578" s="150">
        <v>0</v>
      </c>
      <c r="E1578" s="151" t="s">
        <v>13</v>
      </c>
      <c r="F1578" s="152" t="str">
        <f t="shared" si="74"/>
        <v/>
      </c>
      <c r="G1578" s="153">
        <f>IF($K1578="Padrão",BDI!$B$17,IF($K1578="Diferenciado",BDI!$E$17,0))</f>
        <v>0.2039</v>
      </c>
      <c r="H1578" s="151" t="str">
        <f t="shared" si="72"/>
        <v/>
      </c>
      <c r="I1578" s="152" t="str">
        <f t="shared" si="73"/>
        <v/>
      </c>
      <c r="J1578" s="154"/>
      <c r="K1578" s="155" t="s">
        <v>2966</v>
      </c>
    </row>
    <row r="1579" spans="1:11" hidden="1" x14ac:dyDescent="0.25">
      <c r="A1579" s="148" t="s">
        <v>5269</v>
      </c>
      <c r="B1579" s="149" t="s">
        <v>5270</v>
      </c>
      <c r="C1579" s="150" t="s">
        <v>18</v>
      </c>
      <c r="D1579" s="150">
        <v>0</v>
      </c>
      <c r="E1579" s="151" t="s">
        <v>13</v>
      </c>
      <c r="F1579" s="152" t="str">
        <f t="shared" si="74"/>
        <v/>
      </c>
      <c r="G1579" s="153">
        <f>IF($K1579="Padrão",BDI!$B$17,IF($K1579="Diferenciado",BDI!$E$17,0))</f>
        <v>0.2039</v>
      </c>
      <c r="H1579" s="151" t="str">
        <f t="shared" si="72"/>
        <v/>
      </c>
      <c r="I1579" s="152" t="str">
        <f t="shared" si="73"/>
        <v/>
      </c>
      <c r="J1579" s="154"/>
      <c r="K1579" s="155" t="s">
        <v>2966</v>
      </c>
    </row>
    <row r="1580" spans="1:11" hidden="1" x14ac:dyDescent="0.25">
      <c r="A1580" s="148" t="s">
        <v>5271</v>
      </c>
      <c r="B1580" s="149" t="s">
        <v>5272</v>
      </c>
      <c r="C1580" s="150" t="s">
        <v>18</v>
      </c>
      <c r="D1580" s="150">
        <v>0</v>
      </c>
      <c r="E1580" s="151" t="s">
        <v>13</v>
      </c>
      <c r="F1580" s="152" t="str">
        <f t="shared" si="74"/>
        <v/>
      </c>
      <c r="G1580" s="153">
        <f>IF($K1580="Padrão",BDI!$B$17,IF($K1580="Diferenciado",BDI!$E$17,0))</f>
        <v>0.2039</v>
      </c>
      <c r="H1580" s="151" t="str">
        <f t="shared" si="72"/>
        <v/>
      </c>
      <c r="I1580" s="152" t="str">
        <f t="shared" si="73"/>
        <v/>
      </c>
      <c r="J1580" s="154"/>
      <c r="K1580" s="155" t="s">
        <v>2966</v>
      </c>
    </row>
    <row r="1581" spans="1:11" hidden="1" x14ac:dyDescent="0.25">
      <c r="A1581" s="148" t="s">
        <v>5273</v>
      </c>
      <c r="B1581" s="149" t="s">
        <v>5274</v>
      </c>
      <c r="C1581" s="150" t="s">
        <v>18</v>
      </c>
      <c r="D1581" s="150">
        <v>0</v>
      </c>
      <c r="E1581" s="151" t="s">
        <v>13</v>
      </c>
      <c r="F1581" s="152" t="str">
        <f t="shared" si="74"/>
        <v/>
      </c>
      <c r="G1581" s="153">
        <f>IF($K1581="Padrão",BDI!$B$17,IF($K1581="Diferenciado",BDI!$E$17,0))</f>
        <v>0.2039</v>
      </c>
      <c r="H1581" s="151" t="str">
        <f t="shared" si="72"/>
        <v/>
      </c>
      <c r="I1581" s="152" t="str">
        <f t="shared" si="73"/>
        <v/>
      </c>
      <c r="J1581" s="154"/>
      <c r="K1581" s="155" t="s">
        <v>2966</v>
      </c>
    </row>
    <row r="1582" spans="1:11" hidden="1" x14ac:dyDescent="0.25">
      <c r="A1582" s="148" t="s">
        <v>5275</v>
      </c>
      <c r="B1582" s="149" t="s">
        <v>5276</v>
      </c>
      <c r="C1582" s="150" t="s">
        <v>18</v>
      </c>
      <c r="D1582" s="150">
        <v>0</v>
      </c>
      <c r="E1582" s="151" t="s">
        <v>13</v>
      </c>
      <c r="F1582" s="152" t="str">
        <f t="shared" si="74"/>
        <v/>
      </c>
      <c r="G1582" s="153">
        <f>IF($K1582="Padrão",BDI!$B$17,IF($K1582="Diferenciado",BDI!$E$17,0))</f>
        <v>0.2039</v>
      </c>
      <c r="H1582" s="151" t="str">
        <f t="shared" si="72"/>
        <v/>
      </c>
      <c r="I1582" s="152" t="str">
        <f t="shared" si="73"/>
        <v/>
      </c>
      <c r="J1582" s="154"/>
      <c r="K1582" s="155" t="s">
        <v>2966</v>
      </c>
    </row>
    <row r="1583" spans="1:11" hidden="1" x14ac:dyDescent="0.25">
      <c r="A1583" s="148" t="s">
        <v>5277</v>
      </c>
      <c r="B1583" s="149" t="s">
        <v>5278</v>
      </c>
      <c r="C1583" s="150" t="s">
        <v>18</v>
      </c>
      <c r="D1583" s="150">
        <v>0</v>
      </c>
      <c r="E1583" s="151" t="s">
        <v>13</v>
      </c>
      <c r="F1583" s="152" t="str">
        <f t="shared" si="74"/>
        <v/>
      </c>
      <c r="G1583" s="153">
        <f>IF($K1583="Padrão",BDI!$B$17,IF($K1583="Diferenciado",BDI!$E$17,0))</f>
        <v>0.2039</v>
      </c>
      <c r="H1583" s="151" t="str">
        <f t="shared" si="72"/>
        <v/>
      </c>
      <c r="I1583" s="152" t="str">
        <f t="shared" si="73"/>
        <v/>
      </c>
      <c r="J1583" s="154"/>
      <c r="K1583" s="155" t="s">
        <v>2966</v>
      </c>
    </row>
    <row r="1584" spans="1:11" hidden="1" x14ac:dyDescent="0.25">
      <c r="A1584" s="148" t="s">
        <v>5279</v>
      </c>
      <c r="B1584" s="149" t="s">
        <v>5280</v>
      </c>
      <c r="C1584" s="150" t="s">
        <v>18</v>
      </c>
      <c r="D1584" s="150">
        <v>0</v>
      </c>
      <c r="E1584" s="151" t="s">
        <v>13</v>
      </c>
      <c r="F1584" s="152" t="str">
        <f t="shared" si="74"/>
        <v/>
      </c>
      <c r="G1584" s="153">
        <f>IF($K1584="Padrão",BDI!$B$17,IF($K1584="Diferenciado",BDI!$E$17,0))</f>
        <v>0.2039</v>
      </c>
      <c r="H1584" s="151" t="str">
        <f t="shared" si="72"/>
        <v/>
      </c>
      <c r="I1584" s="152" t="str">
        <f t="shared" si="73"/>
        <v/>
      </c>
      <c r="J1584" s="154"/>
      <c r="K1584" s="155" t="s">
        <v>2966</v>
      </c>
    </row>
    <row r="1585" spans="1:11" hidden="1" x14ac:dyDescent="0.25">
      <c r="A1585" s="148" t="s">
        <v>5281</v>
      </c>
      <c r="B1585" s="149" t="s">
        <v>5282</v>
      </c>
      <c r="C1585" s="150" t="s">
        <v>18</v>
      </c>
      <c r="D1585" s="150">
        <v>0</v>
      </c>
      <c r="E1585" s="151" t="s">
        <v>13</v>
      </c>
      <c r="F1585" s="152" t="str">
        <f t="shared" si="74"/>
        <v/>
      </c>
      <c r="G1585" s="153">
        <f>IF($K1585="Padrão",BDI!$B$17,IF($K1585="Diferenciado",BDI!$E$17,0))</f>
        <v>0.2039</v>
      </c>
      <c r="H1585" s="151" t="str">
        <f t="shared" si="72"/>
        <v/>
      </c>
      <c r="I1585" s="152" t="str">
        <f t="shared" si="73"/>
        <v/>
      </c>
      <c r="J1585" s="154"/>
      <c r="K1585" s="155" t="s">
        <v>2966</v>
      </c>
    </row>
    <row r="1586" spans="1:11" hidden="1" x14ac:dyDescent="0.25">
      <c r="A1586" s="148" t="s">
        <v>5283</v>
      </c>
      <c r="B1586" s="149" t="s">
        <v>5284</v>
      </c>
      <c r="C1586" s="150" t="s">
        <v>18</v>
      </c>
      <c r="D1586" s="150">
        <v>0</v>
      </c>
      <c r="E1586" s="151" t="s">
        <v>13</v>
      </c>
      <c r="F1586" s="152" t="str">
        <f t="shared" si="74"/>
        <v/>
      </c>
      <c r="G1586" s="153">
        <f>IF($K1586="Padrão",BDI!$B$17,IF($K1586="Diferenciado",BDI!$E$17,0))</f>
        <v>0.2039</v>
      </c>
      <c r="H1586" s="151" t="str">
        <f t="shared" si="72"/>
        <v/>
      </c>
      <c r="I1586" s="152" t="str">
        <f t="shared" si="73"/>
        <v/>
      </c>
      <c r="J1586" s="154"/>
      <c r="K1586" s="155" t="s">
        <v>2966</v>
      </c>
    </row>
    <row r="1587" spans="1:11" hidden="1" x14ac:dyDescent="0.25">
      <c r="A1587" s="148" t="s">
        <v>5285</v>
      </c>
      <c r="B1587" s="149" t="s">
        <v>5286</v>
      </c>
      <c r="C1587" s="150" t="s">
        <v>18</v>
      </c>
      <c r="D1587" s="150">
        <v>0</v>
      </c>
      <c r="E1587" s="151" t="s">
        <v>13</v>
      </c>
      <c r="F1587" s="152" t="str">
        <f t="shared" si="74"/>
        <v/>
      </c>
      <c r="G1587" s="153">
        <f>IF($K1587="Padrão",BDI!$B$17,IF($K1587="Diferenciado",BDI!$E$17,0))</f>
        <v>0.2039</v>
      </c>
      <c r="H1587" s="151" t="str">
        <f t="shared" si="72"/>
        <v/>
      </c>
      <c r="I1587" s="152" t="str">
        <f t="shared" si="73"/>
        <v/>
      </c>
      <c r="J1587" s="154"/>
      <c r="K1587" s="155" t="s">
        <v>2966</v>
      </c>
    </row>
    <row r="1588" spans="1:11" hidden="1" x14ac:dyDescent="0.25">
      <c r="A1588" s="148" t="s">
        <v>5287</v>
      </c>
      <c r="B1588" s="149" t="s">
        <v>5288</v>
      </c>
      <c r="C1588" s="150" t="s">
        <v>106</v>
      </c>
      <c r="D1588" s="150">
        <v>0</v>
      </c>
      <c r="E1588" s="151" t="s">
        <v>13</v>
      </c>
      <c r="F1588" s="152" t="str">
        <f t="shared" si="74"/>
        <v/>
      </c>
      <c r="G1588" s="153">
        <f>IF($K1588="Padrão",BDI!$B$17,IF($K1588="Diferenciado",BDI!$E$17,0))</f>
        <v>0.2039</v>
      </c>
      <c r="H1588" s="151" t="str">
        <f t="shared" si="72"/>
        <v/>
      </c>
      <c r="I1588" s="152" t="str">
        <f t="shared" si="73"/>
        <v/>
      </c>
      <c r="J1588" s="154"/>
      <c r="K1588" s="155" t="s">
        <v>2966</v>
      </c>
    </row>
    <row r="1589" spans="1:11" hidden="1" x14ac:dyDescent="0.25">
      <c r="A1589" s="148" t="s">
        <v>5289</v>
      </c>
      <c r="B1589" s="149" t="s">
        <v>5290</v>
      </c>
      <c r="C1589" s="150" t="s">
        <v>106</v>
      </c>
      <c r="D1589" s="150">
        <v>0</v>
      </c>
      <c r="E1589" s="151" t="s">
        <v>13</v>
      </c>
      <c r="F1589" s="152" t="str">
        <f t="shared" si="74"/>
        <v/>
      </c>
      <c r="G1589" s="153">
        <f>IF($K1589="Padrão",BDI!$B$17,IF($K1589="Diferenciado",BDI!$E$17,0))</f>
        <v>0.2039</v>
      </c>
      <c r="H1589" s="151" t="str">
        <f t="shared" si="72"/>
        <v/>
      </c>
      <c r="I1589" s="152" t="str">
        <f t="shared" si="73"/>
        <v/>
      </c>
      <c r="J1589" s="154"/>
      <c r="K1589" s="155" t="s">
        <v>2966</v>
      </c>
    </row>
    <row r="1590" spans="1:11" hidden="1" x14ac:dyDescent="0.25">
      <c r="A1590" s="148" t="s">
        <v>5291</v>
      </c>
      <c r="B1590" s="149" t="s">
        <v>5292</v>
      </c>
      <c r="C1590" s="150" t="s">
        <v>106</v>
      </c>
      <c r="D1590" s="150">
        <v>0</v>
      </c>
      <c r="E1590" s="151" t="s">
        <v>13</v>
      </c>
      <c r="F1590" s="152" t="str">
        <f t="shared" si="74"/>
        <v/>
      </c>
      <c r="G1590" s="153">
        <f>IF($K1590="Padrão",BDI!$B$17,IF($K1590="Diferenciado",BDI!$E$17,0))</f>
        <v>0.2039</v>
      </c>
      <c r="H1590" s="151" t="str">
        <f t="shared" si="72"/>
        <v/>
      </c>
      <c r="I1590" s="152" t="str">
        <f t="shared" si="73"/>
        <v/>
      </c>
      <c r="J1590" s="154"/>
      <c r="K1590" s="155" t="s">
        <v>2966</v>
      </c>
    </row>
    <row r="1591" spans="1:11" hidden="1" x14ac:dyDescent="0.25">
      <c r="A1591" s="148" t="s">
        <v>5293</v>
      </c>
      <c r="B1591" s="149" t="s">
        <v>5294</v>
      </c>
      <c r="C1591" s="150" t="s">
        <v>106</v>
      </c>
      <c r="D1591" s="150">
        <v>0</v>
      </c>
      <c r="E1591" s="151" t="s">
        <v>13</v>
      </c>
      <c r="F1591" s="152" t="str">
        <f t="shared" si="74"/>
        <v/>
      </c>
      <c r="G1591" s="153">
        <f>IF($K1591="Padrão",BDI!$B$17,IF($K1591="Diferenciado",BDI!$E$17,0))</f>
        <v>0.2039</v>
      </c>
      <c r="H1591" s="151" t="str">
        <f t="shared" si="72"/>
        <v/>
      </c>
      <c r="I1591" s="152" t="str">
        <f t="shared" si="73"/>
        <v/>
      </c>
      <c r="J1591" s="154"/>
      <c r="K1591" s="155" t="s">
        <v>2966</v>
      </c>
    </row>
    <row r="1592" spans="1:11" hidden="1" x14ac:dyDescent="0.25">
      <c r="A1592" s="148" t="s">
        <v>5295</v>
      </c>
      <c r="B1592" s="149" t="s">
        <v>5296</v>
      </c>
      <c r="C1592" s="150" t="s">
        <v>106</v>
      </c>
      <c r="D1592" s="150">
        <v>0</v>
      </c>
      <c r="E1592" s="151" t="s">
        <v>13</v>
      </c>
      <c r="F1592" s="152" t="str">
        <f t="shared" si="74"/>
        <v/>
      </c>
      <c r="G1592" s="153">
        <f>IF($K1592="Padrão",BDI!$B$17,IF($K1592="Diferenciado",BDI!$E$17,0))</f>
        <v>0.2039</v>
      </c>
      <c r="H1592" s="151" t="str">
        <f t="shared" si="72"/>
        <v/>
      </c>
      <c r="I1592" s="152" t="str">
        <f t="shared" si="73"/>
        <v/>
      </c>
      <c r="J1592" s="154"/>
      <c r="K1592" s="155" t="s">
        <v>2966</v>
      </c>
    </row>
    <row r="1593" spans="1:11" hidden="1" x14ac:dyDescent="0.25">
      <c r="A1593" s="148" t="s">
        <v>5297</v>
      </c>
      <c r="B1593" s="149" t="s">
        <v>5298</v>
      </c>
      <c r="C1593" s="150" t="s">
        <v>106</v>
      </c>
      <c r="D1593" s="150">
        <v>0</v>
      </c>
      <c r="E1593" s="151" t="s">
        <v>13</v>
      </c>
      <c r="F1593" s="152" t="str">
        <f t="shared" si="74"/>
        <v/>
      </c>
      <c r="G1593" s="153">
        <f>IF($K1593="Padrão",BDI!$B$17,IF($K1593="Diferenciado",BDI!$E$17,0))</f>
        <v>0.2039</v>
      </c>
      <c r="H1593" s="151" t="str">
        <f t="shared" si="72"/>
        <v/>
      </c>
      <c r="I1593" s="152" t="str">
        <f t="shared" si="73"/>
        <v/>
      </c>
      <c r="J1593" s="154"/>
      <c r="K1593" s="155" t="s">
        <v>2966</v>
      </c>
    </row>
    <row r="1594" spans="1:11" hidden="1" x14ac:dyDescent="0.25">
      <c r="A1594" s="148" t="s">
        <v>5299</v>
      </c>
      <c r="B1594" s="149" t="s">
        <v>5300</v>
      </c>
      <c r="C1594" s="150" t="s">
        <v>106</v>
      </c>
      <c r="D1594" s="150">
        <v>0</v>
      </c>
      <c r="E1594" s="151" t="s">
        <v>13</v>
      </c>
      <c r="F1594" s="152" t="str">
        <f t="shared" si="74"/>
        <v/>
      </c>
      <c r="G1594" s="153">
        <f>IF($K1594="Padrão",BDI!$B$17,IF($K1594="Diferenciado",BDI!$E$17,0))</f>
        <v>0.2039</v>
      </c>
      <c r="H1594" s="151" t="str">
        <f t="shared" si="72"/>
        <v/>
      </c>
      <c r="I1594" s="152" t="str">
        <f t="shared" si="73"/>
        <v/>
      </c>
      <c r="J1594" s="154"/>
      <c r="K1594" s="155" t="s">
        <v>2966</v>
      </c>
    </row>
    <row r="1595" spans="1:11" hidden="1" x14ac:dyDescent="0.25">
      <c r="A1595" s="148" t="s">
        <v>5301</v>
      </c>
      <c r="B1595" s="149" t="s">
        <v>5302</v>
      </c>
      <c r="C1595" s="150" t="s">
        <v>106</v>
      </c>
      <c r="D1595" s="150">
        <v>0</v>
      </c>
      <c r="E1595" s="151" t="s">
        <v>13</v>
      </c>
      <c r="F1595" s="152" t="str">
        <f t="shared" si="74"/>
        <v/>
      </c>
      <c r="G1595" s="153">
        <f>IF($K1595="Padrão",BDI!$B$17,IF($K1595="Diferenciado",BDI!$E$17,0))</f>
        <v>0.2039</v>
      </c>
      <c r="H1595" s="151" t="str">
        <f t="shared" si="72"/>
        <v/>
      </c>
      <c r="I1595" s="152" t="str">
        <f t="shared" si="73"/>
        <v/>
      </c>
      <c r="J1595" s="154"/>
      <c r="K1595" s="155" t="s">
        <v>2966</v>
      </c>
    </row>
    <row r="1596" spans="1:11" hidden="1" x14ac:dyDescent="0.25">
      <c r="A1596" s="148" t="s">
        <v>5303</v>
      </c>
      <c r="B1596" s="149" t="s">
        <v>5304</v>
      </c>
      <c r="C1596" s="150" t="s">
        <v>106</v>
      </c>
      <c r="D1596" s="150">
        <v>0</v>
      </c>
      <c r="E1596" s="151" t="s">
        <v>13</v>
      </c>
      <c r="F1596" s="152" t="str">
        <f t="shared" si="74"/>
        <v/>
      </c>
      <c r="G1596" s="153">
        <f>IF($K1596="Padrão",BDI!$B$17,IF($K1596="Diferenciado",BDI!$E$17,0))</f>
        <v>0.2039</v>
      </c>
      <c r="H1596" s="151" t="str">
        <f t="shared" si="72"/>
        <v/>
      </c>
      <c r="I1596" s="152" t="str">
        <f t="shared" si="73"/>
        <v/>
      </c>
      <c r="J1596" s="154"/>
      <c r="K1596" s="155" t="s">
        <v>2966</v>
      </c>
    </row>
    <row r="1597" spans="1:11" hidden="1" x14ac:dyDescent="0.25">
      <c r="A1597" s="148" t="s">
        <v>5305</v>
      </c>
      <c r="B1597" s="149" t="s">
        <v>5306</v>
      </c>
      <c r="C1597" s="150" t="s">
        <v>106</v>
      </c>
      <c r="D1597" s="150">
        <v>0</v>
      </c>
      <c r="E1597" s="151" t="s">
        <v>13</v>
      </c>
      <c r="F1597" s="152" t="str">
        <f t="shared" si="74"/>
        <v/>
      </c>
      <c r="G1597" s="153">
        <f>IF($K1597="Padrão",BDI!$B$17,IF($K1597="Diferenciado",BDI!$E$17,0))</f>
        <v>0.2039</v>
      </c>
      <c r="H1597" s="151" t="str">
        <f t="shared" si="72"/>
        <v/>
      </c>
      <c r="I1597" s="152" t="str">
        <f t="shared" si="73"/>
        <v/>
      </c>
      <c r="J1597" s="154"/>
      <c r="K1597" s="155" t="s">
        <v>2966</v>
      </c>
    </row>
    <row r="1598" spans="1:11" hidden="1" x14ac:dyDescent="0.25">
      <c r="A1598" s="148" t="s">
        <v>5307</v>
      </c>
      <c r="B1598" s="149" t="s">
        <v>5308</v>
      </c>
      <c r="C1598" s="150" t="s">
        <v>106</v>
      </c>
      <c r="D1598" s="150">
        <v>0</v>
      </c>
      <c r="E1598" s="151" t="s">
        <v>13</v>
      </c>
      <c r="F1598" s="152" t="str">
        <f t="shared" si="74"/>
        <v/>
      </c>
      <c r="G1598" s="153">
        <f>IF($K1598="Padrão",BDI!$B$17,IF($K1598="Diferenciado",BDI!$E$17,0))</f>
        <v>0.2039</v>
      </c>
      <c r="H1598" s="151" t="str">
        <f t="shared" si="72"/>
        <v/>
      </c>
      <c r="I1598" s="152" t="str">
        <f t="shared" si="73"/>
        <v/>
      </c>
      <c r="J1598" s="154"/>
      <c r="K1598" s="155" t="s">
        <v>2966</v>
      </c>
    </row>
    <row r="1599" spans="1:11" hidden="1" x14ac:dyDescent="0.25">
      <c r="A1599" s="148" t="s">
        <v>5309</v>
      </c>
      <c r="B1599" s="149" t="s">
        <v>5310</v>
      </c>
      <c r="C1599" s="150" t="s">
        <v>106</v>
      </c>
      <c r="D1599" s="150">
        <v>0</v>
      </c>
      <c r="E1599" s="151" t="s">
        <v>13</v>
      </c>
      <c r="F1599" s="152" t="str">
        <f t="shared" si="74"/>
        <v/>
      </c>
      <c r="G1599" s="153">
        <f>IF($K1599="Padrão",BDI!$B$17,IF($K1599="Diferenciado",BDI!$E$17,0))</f>
        <v>0.2039</v>
      </c>
      <c r="H1599" s="151" t="str">
        <f t="shared" si="72"/>
        <v/>
      </c>
      <c r="I1599" s="152" t="str">
        <f t="shared" si="73"/>
        <v/>
      </c>
      <c r="J1599" s="154"/>
      <c r="K1599" s="155" t="s">
        <v>2966</v>
      </c>
    </row>
    <row r="1600" spans="1:11" hidden="1" x14ac:dyDescent="0.25">
      <c r="A1600" s="148" t="s">
        <v>5311</v>
      </c>
      <c r="B1600" s="149" t="s">
        <v>5312</v>
      </c>
      <c r="C1600" s="150" t="s">
        <v>106</v>
      </c>
      <c r="D1600" s="150">
        <v>0</v>
      </c>
      <c r="E1600" s="151" t="s">
        <v>13</v>
      </c>
      <c r="F1600" s="152" t="str">
        <f t="shared" si="74"/>
        <v/>
      </c>
      <c r="G1600" s="153">
        <f>IF($K1600="Padrão",BDI!$B$17,IF($K1600="Diferenciado",BDI!$E$17,0))</f>
        <v>0.2039</v>
      </c>
      <c r="H1600" s="151" t="str">
        <f t="shared" si="72"/>
        <v/>
      </c>
      <c r="I1600" s="152" t="str">
        <f t="shared" si="73"/>
        <v/>
      </c>
      <c r="J1600" s="154"/>
      <c r="K1600" s="155" t="s">
        <v>2966</v>
      </c>
    </row>
    <row r="1601" spans="1:11" hidden="1" x14ac:dyDescent="0.25">
      <c r="A1601" s="148" t="s">
        <v>5313</v>
      </c>
      <c r="B1601" s="149" t="s">
        <v>5314</v>
      </c>
      <c r="C1601" s="150" t="s">
        <v>106</v>
      </c>
      <c r="D1601" s="150">
        <v>0</v>
      </c>
      <c r="E1601" s="151" t="s">
        <v>13</v>
      </c>
      <c r="F1601" s="152" t="str">
        <f t="shared" si="74"/>
        <v/>
      </c>
      <c r="G1601" s="153">
        <f>IF($K1601="Padrão",BDI!$B$17,IF($K1601="Diferenciado",BDI!$E$17,0))</f>
        <v>0.2039</v>
      </c>
      <c r="H1601" s="151" t="str">
        <f t="shared" si="72"/>
        <v/>
      </c>
      <c r="I1601" s="152" t="str">
        <f t="shared" si="73"/>
        <v/>
      </c>
      <c r="J1601" s="154"/>
      <c r="K1601" s="155" t="s">
        <v>2966</v>
      </c>
    </row>
    <row r="1602" spans="1:11" hidden="1" x14ac:dyDescent="0.25">
      <c r="A1602" s="148" t="s">
        <v>5315</v>
      </c>
      <c r="B1602" s="149" t="s">
        <v>5316</v>
      </c>
      <c r="C1602" s="150" t="s">
        <v>106</v>
      </c>
      <c r="D1602" s="150">
        <v>0</v>
      </c>
      <c r="E1602" s="151" t="s">
        <v>13</v>
      </c>
      <c r="F1602" s="152" t="str">
        <f t="shared" si="74"/>
        <v/>
      </c>
      <c r="G1602" s="153">
        <f>IF($K1602="Padrão",BDI!$B$17,IF($K1602="Diferenciado",BDI!$E$17,0))</f>
        <v>0.2039</v>
      </c>
      <c r="H1602" s="151" t="str">
        <f t="shared" si="72"/>
        <v/>
      </c>
      <c r="I1602" s="152" t="str">
        <f t="shared" si="73"/>
        <v/>
      </c>
      <c r="J1602" s="154"/>
      <c r="K1602" s="155" t="s">
        <v>2966</v>
      </c>
    </row>
    <row r="1603" spans="1:11" hidden="1" x14ac:dyDescent="0.25">
      <c r="A1603" s="148" t="s">
        <v>5317</v>
      </c>
      <c r="B1603" s="149" t="s">
        <v>5318</v>
      </c>
      <c r="C1603" s="150" t="s">
        <v>106</v>
      </c>
      <c r="D1603" s="150">
        <v>0</v>
      </c>
      <c r="E1603" s="151" t="s">
        <v>13</v>
      </c>
      <c r="F1603" s="152" t="str">
        <f t="shared" si="74"/>
        <v/>
      </c>
      <c r="G1603" s="153">
        <f>IF($K1603="Padrão",BDI!$B$17,IF($K1603="Diferenciado",BDI!$E$17,0))</f>
        <v>0.2039</v>
      </c>
      <c r="H1603" s="151" t="str">
        <f t="shared" si="72"/>
        <v/>
      </c>
      <c r="I1603" s="152" t="str">
        <f t="shared" si="73"/>
        <v/>
      </c>
      <c r="J1603" s="154"/>
      <c r="K1603" s="155" t="s">
        <v>2966</v>
      </c>
    </row>
    <row r="1604" spans="1:11" hidden="1" x14ac:dyDescent="0.25">
      <c r="A1604" s="148" t="s">
        <v>1375</v>
      </c>
      <c r="B1604" s="149" t="s">
        <v>5319</v>
      </c>
      <c r="C1604" s="150" t="s">
        <v>106</v>
      </c>
      <c r="D1604" s="150">
        <v>0</v>
      </c>
      <c r="E1604" s="151">
        <f ca="1">OFFSET(INDEX(Composições!A:H,MATCH(Orçamentária!A1604,Composições!A:A,0),8),2,0)</f>
        <v>20.766999999999999</v>
      </c>
      <c r="F1604" s="152">
        <f t="shared" ca="1" si="74"/>
        <v>0</v>
      </c>
      <c r="G1604" s="153">
        <f>IF($K1604="Padrão",BDI!$B$17,IF($K1604="Diferenciado",BDI!$E$17,0))</f>
        <v>0.2039</v>
      </c>
      <c r="H1604" s="151">
        <f t="shared" ca="1" si="72"/>
        <v>25</v>
      </c>
      <c r="I1604" s="152">
        <f t="shared" ca="1" si="73"/>
        <v>0</v>
      </c>
      <c r="J1604" s="154"/>
      <c r="K1604" s="155" t="s">
        <v>2966</v>
      </c>
    </row>
    <row r="1605" spans="1:11" hidden="1" x14ac:dyDescent="0.25">
      <c r="A1605" s="148" t="s">
        <v>1376</v>
      </c>
      <c r="B1605" s="149" t="s">
        <v>5320</v>
      </c>
      <c r="C1605" s="150" t="s">
        <v>106</v>
      </c>
      <c r="D1605" s="150">
        <v>0</v>
      </c>
      <c r="E1605" s="151">
        <f ca="1">OFFSET(INDEX(Composições!A:H,MATCH(Orçamentária!A1605,Composições!A:A,0),8),2,0)</f>
        <v>29.602</v>
      </c>
      <c r="F1605" s="152">
        <f t="shared" ca="1" si="74"/>
        <v>0</v>
      </c>
      <c r="G1605" s="153">
        <f>IF($K1605="Padrão",BDI!$B$17,IF($K1605="Diferenciado",BDI!$E$17,0))</f>
        <v>0.2039</v>
      </c>
      <c r="H1605" s="151">
        <f t="shared" ca="1" si="72"/>
        <v>35.64</v>
      </c>
      <c r="I1605" s="152">
        <f t="shared" ca="1" si="73"/>
        <v>0</v>
      </c>
      <c r="J1605" s="154"/>
      <c r="K1605" s="155" t="s">
        <v>2966</v>
      </c>
    </row>
    <row r="1606" spans="1:11" hidden="1" x14ac:dyDescent="0.25">
      <c r="A1606" s="148" t="s">
        <v>1377</v>
      </c>
      <c r="B1606" s="149" t="s">
        <v>5321</v>
      </c>
      <c r="C1606" s="150" t="s">
        <v>106</v>
      </c>
      <c r="D1606" s="150">
        <v>0</v>
      </c>
      <c r="E1606" s="151">
        <f ca="1">OFFSET(INDEX(Composições!A:H,MATCH(Orçamentária!A1606,Composições!A:A,0),8),2,0)</f>
        <v>43.595500000000001</v>
      </c>
      <c r="F1606" s="152">
        <f t="shared" ca="1" si="74"/>
        <v>0</v>
      </c>
      <c r="G1606" s="153">
        <f>IF($K1606="Padrão",BDI!$B$17,IF($K1606="Diferenciado",BDI!$E$17,0))</f>
        <v>0.2039</v>
      </c>
      <c r="H1606" s="151">
        <f t="shared" ref="H1606:H1669" ca="1" si="75">IF(ISNUMBER(E1606),ROUND(E1606*(1+G1606),2),"")</f>
        <v>52.48</v>
      </c>
      <c r="I1606" s="152">
        <f t="shared" ref="I1606:I1669" ca="1" si="76">IF(ISNUMBER(E1606),ROUND(H1606*D1606,2),"")</f>
        <v>0</v>
      </c>
      <c r="J1606" s="154"/>
      <c r="K1606" s="155" t="s">
        <v>2966</v>
      </c>
    </row>
    <row r="1607" spans="1:11" hidden="1" x14ac:dyDescent="0.25">
      <c r="A1607" s="148" t="s">
        <v>1378</v>
      </c>
      <c r="B1607" s="149" t="s">
        <v>5322</v>
      </c>
      <c r="C1607" s="150" t="s">
        <v>106</v>
      </c>
      <c r="D1607" s="150">
        <v>0</v>
      </c>
      <c r="E1607" s="151">
        <f ca="1">OFFSET(INDEX(Composições!A:H,MATCH(Orçamentária!A1607,Composições!A:A,0),8),2,0)</f>
        <v>62.101500000000001</v>
      </c>
      <c r="F1607" s="152">
        <f t="shared" ref="F1607:F1670" ca="1" si="77">IF(ISNUMBER(E1607),D1607*E1607,"")</f>
        <v>0</v>
      </c>
      <c r="G1607" s="153">
        <f>IF($K1607="Padrão",BDI!$B$17,IF($K1607="Diferenciado",BDI!$E$17,0))</f>
        <v>0.2039</v>
      </c>
      <c r="H1607" s="151">
        <f t="shared" ca="1" si="75"/>
        <v>74.760000000000005</v>
      </c>
      <c r="I1607" s="152">
        <f t="shared" ca="1" si="76"/>
        <v>0</v>
      </c>
      <c r="J1607" s="154"/>
      <c r="K1607" s="155" t="s">
        <v>2966</v>
      </c>
    </row>
    <row r="1608" spans="1:11" hidden="1" x14ac:dyDescent="0.25">
      <c r="A1608" s="148" t="s">
        <v>1379</v>
      </c>
      <c r="B1608" s="149" t="s">
        <v>5323</v>
      </c>
      <c r="C1608" s="150" t="s">
        <v>106</v>
      </c>
      <c r="D1608" s="150">
        <v>0</v>
      </c>
      <c r="E1608" s="151">
        <f ca="1">OFFSET(INDEX(Composições!A:H,MATCH(Orçamentária!A1608,Composições!A:A,0),8),2,0)</f>
        <v>82.032499999999985</v>
      </c>
      <c r="F1608" s="152">
        <f t="shared" ca="1" si="77"/>
        <v>0</v>
      </c>
      <c r="G1608" s="153">
        <f>IF($K1608="Padrão",BDI!$B$17,IF($K1608="Diferenciado",BDI!$E$17,0))</f>
        <v>0.2039</v>
      </c>
      <c r="H1608" s="151">
        <f t="shared" ca="1" si="75"/>
        <v>98.76</v>
      </c>
      <c r="I1608" s="152">
        <f t="shared" ca="1" si="76"/>
        <v>0</v>
      </c>
      <c r="J1608" s="154"/>
      <c r="K1608" s="155" t="s">
        <v>2966</v>
      </c>
    </row>
    <row r="1609" spans="1:11" hidden="1" x14ac:dyDescent="0.25">
      <c r="A1609" s="148" t="s">
        <v>5324</v>
      </c>
      <c r="B1609" s="149" t="s">
        <v>5325</v>
      </c>
      <c r="C1609" s="150" t="s">
        <v>106</v>
      </c>
      <c r="D1609" s="150">
        <v>0</v>
      </c>
      <c r="E1609" s="151" t="s">
        <v>13</v>
      </c>
      <c r="F1609" s="152" t="str">
        <f t="shared" si="77"/>
        <v/>
      </c>
      <c r="G1609" s="153">
        <f>IF($K1609="Padrão",BDI!$B$17,IF($K1609="Diferenciado",BDI!$E$17,0))</f>
        <v>0.2039</v>
      </c>
      <c r="H1609" s="151" t="str">
        <f t="shared" si="75"/>
        <v/>
      </c>
      <c r="I1609" s="152" t="str">
        <f t="shared" si="76"/>
        <v/>
      </c>
      <c r="J1609" s="154"/>
      <c r="K1609" s="155" t="s">
        <v>2966</v>
      </c>
    </row>
    <row r="1610" spans="1:11" hidden="1" x14ac:dyDescent="0.25">
      <c r="A1610" s="148" t="s">
        <v>5326</v>
      </c>
      <c r="B1610" s="149" t="s">
        <v>5327</v>
      </c>
      <c r="C1610" s="150" t="s">
        <v>106</v>
      </c>
      <c r="D1610" s="150">
        <v>0</v>
      </c>
      <c r="E1610" s="151" t="s">
        <v>13</v>
      </c>
      <c r="F1610" s="152" t="str">
        <f t="shared" si="77"/>
        <v/>
      </c>
      <c r="G1610" s="153">
        <f>IF($K1610="Padrão",BDI!$B$17,IF($K1610="Diferenciado",BDI!$E$17,0))</f>
        <v>0.2039</v>
      </c>
      <c r="H1610" s="151" t="str">
        <f t="shared" si="75"/>
        <v/>
      </c>
      <c r="I1610" s="152" t="str">
        <f t="shared" si="76"/>
        <v/>
      </c>
      <c r="J1610" s="154"/>
      <c r="K1610" s="155" t="s">
        <v>2966</v>
      </c>
    </row>
    <row r="1611" spans="1:11" hidden="1" x14ac:dyDescent="0.25">
      <c r="A1611" s="148" t="s">
        <v>5328</v>
      </c>
      <c r="B1611" s="149" t="s">
        <v>5329</v>
      </c>
      <c r="C1611" s="150" t="s">
        <v>106</v>
      </c>
      <c r="D1611" s="150">
        <v>0</v>
      </c>
      <c r="E1611" s="151" t="s">
        <v>13</v>
      </c>
      <c r="F1611" s="152" t="str">
        <f t="shared" si="77"/>
        <v/>
      </c>
      <c r="G1611" s="153">
        <f>IF($K1611="Padrão",BDI!$B$17,IF($K1611="Diferenciado",BDI!$E$17,0))</f>
        <v>0.2039</v>
      </c>
      <c r="H1611" s="151" t="str">
        <f t="shared" si="75"/>
        <v/>
      </c>
      <c r="I1611" s="152" t="str">
        <f t="shared" si="76"/>
        <v/>
      </c>
      <c r="J1611" s="154"/>
      <c r="K1611" s="155" t="s">
        <v>2966</v>
      </c>
    </row>
    <row r="1612" spans="1:11" hidden="1" x14ac:dyDescent="0.25">
      <c r="A1612" s="148" t="s">
        <v>5330</v>
      </c>
      <c r="B1612" s="149" t="s">
        <v>5331</v>
      </c>
      <c r="C1612" s="150" t="s">
        <v>106</v>
      </c>
      <c r="D1612" s="150">
        <v>0</v>
      </c>
      <c r="E1612" s="151" t="s">
        <v>13</v>
      </c>
      <c r="F1612" s="152" t="str">
        <f t="shared" si="77"/>
        <v/>
      </c>
      <c r="G1612" s="153">
        <f>IF($K1612="Padrão",BDI!$B$17,IF($K1612="Diferenciado",BDI!$E$17,0))</f>
        <v>0.2039</v>
      </c>
      <c r="H1612" s="151" t="str">
        <f t="shared" si="75"/>
        <v/>
      </c>
      <c r="I1612" s="152" t="str">
        <f t="shared" si="76"/>
        <v/>
      </c>
      <c r="J1612" s="154"/>
      <c r="K1612" s="155" t="s">
        <v>2966</v>
      </c>
    </row>
    <row r="1613" spans="1:11" hidden="1" x14ac:dyDescent="0.25">
      <c r="A1613" s="148" t="s">
        <v>5332</v>
      </c>
      <c r="B1613" s="149" t="s">
        <v>5333</v>
      </c>
      <c r="C1613" s="150" t="s">
        <v>106</v>
      </c>
      <c r="D1613" s="150">
        <v>0</v>
      </c>
      <c r="E1613" s="151" t="s">
        <v>13</v>
      </c>
      <c r="F1613" s="152" t="str">
        <f t="shared" si="77"/>
        <v/>
      </c>
      <c r="G1613" s="153">
        <f>IF($K1613="Padrão",BDI!$B$17,IF($K1613="Diferenciado",BDI!$E$17,0))</f>
        <v>0.2039</v>
      </c>
      <c r="H1613" s="151" t="str">
        <f t="shared" si="75"/>
        <v/>
      </c>
      <c r="I1613" s="152" t="str">
        <f t="shared" si="76"/>
        <v/>
      </c>
      <c r="J1613" s="154"/>
      <c r="K1613" s="155" t="s">
        <v>2966</v>
      </c>
    </row>
    <row r="1614" spans="1:11" hidden="1" x14ac:dyDescent="0.25">
      <c r="A1614" s="148" t="s">
        <v>5334</v>
      </c>
      <c r="B1614" s="149" t="s">
        <v>5335</v>
      </c>
      <c r="C1614" s="150" t="s">
        <v>106</v>
      </c>
      <c r="D1614" s="150">
        <v>0</v>
      </c>
      <c r="E1614" s="151" t="s">
        <v>13</v>
      </c>
      <c r="F1614" s="152" t="str">
        <f t="shared" si="77"/>
        <v/>
      </c>
      <c r="G1614" s="153">
        <f>IF($K1614="Padrão",BDI!$B$17,IF($K1614="Diferenciado",BDI!$E$17,0))</f>
        <v>0.2039</v>
      </c>
      <c r="H1614" s="151" t="str">
        <f t="shared" si="75"/>
        <v/>
      </c>
      <c r="I1614" s="152" t="str">
        <f t="shared" si="76"/>
        <v/>
      </c>
      <c r="J1614" s="154"/>
      <c r="K1614" s="155" t="s">
        <v>2966</v>
      </c>
    </row>
    <row r="1615" spans="1:11" hidden="1" x14ac:dyDescent="0.25">
      <c r="A1615" s="148" t="s">
        <v>5336</v>
      </c>
      <c r="B1615" s="149" t="s">
        <v>5337</v>
      </c>
      <c r="C1615" s="150" t="s">
        <v>106</v>
      </c>
      <c r="D1615" s="150">
        <v>0</v>
      </c>
      <c r="E1615" s="151" t="s">
        <v>13</v>
      </c>
      <c r="F1615" s="152" t="str">
        <f t="shared" si="77"/>
        <v/>
      </c>
      <c r="G1615" s="153">
        <f>IF($K1615="Padrão",BDI!$B$17,IF($K1615="Diferenciado",BDI!$E$17,0))</f>
        <v>0.2039</v>
      </c>
      <c r="H1615" s="151" t="str">
        <f t="shared" si="75"/>
        <v/>
      </c>
      <c r="I1615" s="152" t="str">
        <f t="shared" si="76"/>
        <v/>
      </c>
      <c r="J1615" s="154"/>
      <c r="K1615" s="155" t="s">
        <v>2966</v>
      </c>
    </row>
    <row r="1616" spans="1:11" hidden="1" x14ac:dyDescent="0.25">
      <c r="A1616" s="148" t="s">
        <v>5338</v>
      </c>
      <c r="B1616" s="149" t="s">
        <v>5339</v>
      </c>
      <c r="C1616" s="150" t="s">
        <v>106</v>
      </c>
      <c r="D1616" s="150">
        <v>0</v>
      </c>
      <c r="E1616" s="151" t="s">
        <v>13</v>
      </c>
      <c r="F1616" s="152" t="str">
        <f t="shared" si="77"/>
        <v/>
      </c>
      <c r="G1616" s="153">
        <f>IF($K1616="Padrão",BDI!$B$17,IF($K1616="Diferenciado",BDI!$E$17,0))</f>
        <v>0.2039</v>
      </c>
      <c r="H1616" s="151" t="str">
        <f t="shared" si="75"/>
        <v/>
      </c>
      <c r="I1616" s="152" t="str">
        <f t="shared" si="76"/>
        <v/>
      </c>
      <c r="J1616" s="154"/>
      <c r="K1616" s="155" t="s">
        <v>2966</v>
      </c>
    </row>
    <row r="1617" spans="1:11" hidden="1" x14ac:dyDescent="0.25">
      <c r="A1617" s="148" t="s">
        <v>5340</v>
      </c>
      <c r="B1617" s="149" t="s">
        <v>5341</v>
      </c>
      <c r="C1617" s="150" t="s">
        <v>106</v>
      </c>
      <c r="D1617" s="150">
        <v>0</v>
      </c>
      <c r="E1617" s="151" t="s">
        <v>13</v>
      </c>
      <c r="F1617" s="152" t="str">
        <f t="shared" si="77"/>
        <v/>
      </c>
      <c r="G1617" s="153">
        <f>IF($K1617="Padrão",BDI!$B$17,IF($K1617="Diferenciado",BDI!$E$17,0))</f>
        <v>0.2039</v>
      </c>
      <c r="H1617" s="151" t="str">
        <f t="shared" si="75"/>
        <v/>
      </c>
      <c r="I1617" s="152" t="str">
        <f t="shared" si="76"/>
        <v/>
      </c>
      <c r="J1617" s="154"/>
      <c r="K1617" s="155" t="s">
        <v>2966</v>
      </c>
    </row>
    <row r="1618" spans="1:11" hidden="1" x14ac:dyDescent="0.25">
      <c r="A1618" s="148" t="s">
        <v>5342</v>
      </c>
      <c r="B1618" s="149" t="s">
        <v>5343</v>
      </c>
      <c r="C1618" s="150" t="s">
        <v>106</v>
      </c>
      <c r="D1618" s="150">
        <v>0</v>
      </c>
      <c r="E1618" s="151" t="s">
        <v>13</v>
      </c>
      <c r="F1618" s="152" t="str">
        <f t="shared" si="77"/>
        <v/>
      </c>
      <c r="G1618" s="153">
        <f>IF($K1618="Padrão",BDI!$B$17,IF($K1618="Diferenciado",BDI!$E$17,0))</f>
        <v>0.2039</v>
      </c>
      <c r="H1618" s="151" t="str">
        <f t="shared" si="75"/>
        <v/>
      </c>
      <c r="I1618" s="152" t="str">
        <f t="shared" si="76"/>
        <v/>
      </c>
      <c r="J1618" s="154"/>
      <c r="K1618" s="155" t="s">
        <v>2966</v>
      </c>
    </row>
    <row r="1619" spans="1:11" hidden="1" x14ac:dyDescent="0.25">
      <c r="A1619" s="148" t="s">
        <v>5344</v>
      </c>
      <c r="B1619" s="149" t="s">
        <v>5345</v>
      </c>
      <c r="C1619" s="150" t="s">
        <v>106</v>
      </c>
      <c r="D1619" s="150">
        <v>0</v>
      </c>
      <c r="E1619" s="151" t="s">
        <v>13</v>
      </c>
      <c r="F1619" s="152" t="str">
        <f t="shared" si="77"/>
        <v/>
      </c>
      <c r="G1619" s="153">
        <f>IF($K1619="Padrão",BDI!$B$17,IF($K1619="Diferenciado",BDI!$E$17,0))</f>
        <v>0.2039</v>
      </c>
      <c r="H1619" s="151" t="str">
        <f t="shared" si="75"/>
        <v/>
      </c>
      <c r="I1619" s="152" t="str">
        <f t="shared" si="76"/>
        <v/>
      </c>
      <c r="J1619" s="154"/>
      <c r="K1619" s="155" t="s">
        <v>2966</v>
      </c>
    </row>
    <row r="1620" spans="1:11" hidden="1" x14ac:dyDescent="0.25">
      <c r="A1620" s="148" t="s">
        <v>5346</v>
      </c>
      <c r="B1620" s="149" t="s">
        <v>5347</v>
      </c>
      <c r="C1620" s="150" t="s">
        <v>106</v>
      </c>
      <c r="D1620" s="150">
        <v>0</v>
      </c>
      <c r="E1620" s="151" t="s">
        <v>13</v>
      </c>
      <c r="F1620" s="152" t="str">
        <f t="shared" si="77"/>
        <v/>
      </c>
      <c r="G1620" s="153">
        <f>IF($K1620="Padrão",BDI!$B$17,IF($K1620="Diferenciado",BDI!$E$17,0))</f>
        <v>0.2039</v>
      </c>
      <c r="H1620" s="151" t="str">
        <f t="shared" si="75"/>
        <v/>
      </c>
      <c r="I1620" s="152" t="str">
        <f t="shared" si="76"/>
        <v/>
      </c>
      <c r="J1620" s="154"/>
      <c r="K1620" s="155" t="s">
        <v>2966</v>
      </c>
    </row>
    <row r="1621" spans="1:11" hidden="1" x14ac:dyDescent="0.25">
      <c r="A1621" s="148" t="s">
        <v>5348</v>
      </c>
      <c r="B1621" s="149" t="s">
        <v>5349</v>
      </c>
      <c r="C1621" s="150" t="s">
        <v>106</v>
      </c>
      <c r="D1621" s="150">
        <v>0</v>
      </c>
      <c r="E1621" s="151" t="s">
        <v>13</v>
      </c>
      <c r="F1621" s="152" t="str">
        <f t="shared" si="77"/>
        <v/>
      </c>
      <c r="G1621" s="153">
        <f>IF($K1621="Padrão",BDI!$B$17,IF($K1621="Diferenciado",BDI!$E$17,0))</f>
        <v>0.2039</v>
      </c>
      <c r="H1621" s="151" t="str">
        <f t="shared" si="75"/>
        <v/>
      </c>
      <c r="I1621" s="152" t="str">
        <f t="shared" si="76"/>
        <v/>
      </c>
      <c r="J1621" s="154"/>
      <c r="K1621" s="155" t="s">
        <v>2966</v>
      </c>
    </row>
    <row r="1622" spans="1:11" hidden="1" x14ac:dyDescent="0.25">
      <c r="A1622" s="148" t="s">
        <v>5350</v>
      </c>
      <c r="B1622" s="149" t="s">
        <v>5351</v>
      </c>
      <c r="C1622" s="150" t="s">
        <v>106</v>
      </c>
      <c r="D1622" s="150">
        <v>0</v>
      </c>
      <c r="E1622" s="151" t="s">
        <v>13</v>
      </c>
      <c r="F1622" s="152" t="str">
        <f t="shared" si="77"/>
        <v/>
      </c>
      <c r="G1622" s="153">
        <f>IF($K1622="Padrão",BDI!$B$17,IF($K1622="Diferenciado",BDI!$E$17,0))</f>
        <v>0.2039</v>
      </c>
      <c r="H1622" s="151" t="str">
        <f t="shared" si="75"/>
        <v/>
      </c>
      <c r="I1622" s="152" t="str">
        <f t="shared" si="76"/>
        <v/>
      </c>
      <c r="J1622" s="154"/>
      <c r="K1622" s="155" t="s">
        <v>2966</v>
      </c>
    </row>
    <row r="1623" spans="1:11" hidden="1" x14ac:dyDescent="0.25">
      <c r="A1623" s="148" t="s">
        <v>5352</v>
      </c>
      <c r="B1623" s="149" t="s">
        <v>5353</v>
      </c>
      <c r="C1623" s="150" t="s">
        <v>106</v>
      </c>
      <c r="D1623" s="150">
        <v>0</v>
      </c>
      <c r="E1623" s="151" t="s">
        <v>13</v>
      </c>
      <c r="F1623" s="152" t="str">
        <f t="shared" si="77"/>
        <v/>
      </c>
      <c r="G1623" s="153">
        <f>IF($K1623="Padrão",BDI!$B$17,IF($K1623="Diferenciado",BDI!$E$17,0))</f>
        <v>0.2039</v>
      </c>
      <c r="H1623" s="151" t="str">
        <f t="shared" si="75"/>
        <v/>
      </c>
      <c r="I1623" s="152" t="str">
        <f t="shared" si="76"/>
        <v/>
      </c>
      <c r="J1623" s="154"/>
      <c r="K1623" s="155" t="s">
        <v>2966</v>
      </c>
    </row>
    <row r="1624" spans="1:11" hidden="1" x14ac:dyDescent="0.25">
      <c r="A1624" s="148" t="s">
        <v>5354</v>
      </c>
      <c r="B1624" s="149" t="s">
        <v>5355</v>
      </c>
      <c r="C1624" s="150" t="s">
        <v>106</v>
      </c>
      <c r="D1624" s="150">
        <v>0</v>
      </c>
      <c r="E1624" s="151" t="s">
        <v>13</v>
      </c>
      <c r="F1624" s="152" t="str">
        <f t="shared" si="77"/>
        <v/>
      </c>
      <c r="G1624" s="153">
        <f>IF($K1624="Padrão",BDI!$B$17,IF($K1624="Diferenciado",BDI!$E$17,0))</f>
        <v>0.2039</v>
      </c>
      <c r="H1624" s="151" t="str">
        <f t="shared" si="75"/>
        <v/>
      </c>
      <c r="I1624" s="152" t="str">
        <f t="shared" si="76"/>
        <v/>
      </c>
      <c r="J1624" s="154"/>
      <c r="K1624" s="155" t="s">
        <v>2966</v>
      </c>
    </row>
    <row r="1625" spans="1:11" hidden="1" x14ac:dyDescent="0.25">
      <c r="A1625" s="148" t="s">
        <v>5356</v>
      </c>
      <c r="B1625" s="149" t="s">
        <v>5357</v>
      </c>
      <c r="C1625" s="150" t="s">
        <v>106</v>
      </c>
      <c r="D1625" s="150">
        <v>0</v>
      </c>
      <c r="E1625" s="151" t="s">
        <v>13</v>
      </c>
      <c r="F1625" s="152" t="str">
        <f t="shared" si="77"/>
        <v/>
      </c>
      <c r="G1625" s="153">
        <f>IF($K1625="Padrão",BDI!$B$17,IF($K1625="Diferenciado",BDI!$E$17,0))</f>
        <v>0.2039</v>
      </c>
      <c r="H1625" s="151" t="str">
        <f t="shared" si="75"/>
        <v/>
      </c>
      <c r="I1625" s="152" t="str">
        <f t="shared" si="76"/>
        <v/>
      </c>
      <c r="J1625" s="154"/>
      <c r="K1625" s="155" t="s">
        <v>2966</v>
      </c>
    </row>
    <row r="1626" spans="1:11" hidden="1" x14ac:dyDescent="0.25">
      <c r="A1626" s="148" t="s">
        <v>5358</v>
      </c>
      <c r="B1626" s="149" t="s">
        <v>5359</v>
      </c>
      <c r="C1626" s="150" t="s">
        <v>106</v>
      </c>
      <c r="D1626" s="150">
        <v>0</v>
      </c>
      <c r="E1626" s="151" t="s">
        <v>13</v>
      </c>
      <c r="F1626" s="152" t="str">
        <f t="shared" si="77"/>
        <v/>
      </c>
      <c r="G1626" s="153">
        <f>IF($K1626="Padrão",BDI!$B$17,IF($K1626="Diferenciado",BDI!$E$17,0))</f>
        <v>0.2039</v>
      </c>
      <c r="H1626" s="151" t="str">
        <f t="shared" si="75"/>
        <v/>
      </c>
      <c r="I1626" s="152" t="str">
        <f t="shared" si="76"/>
        <v/>
      </c>
      <c r="J1626" s="154"/>
      <c r="K1626" s="155" t="s">
        <v>2966</v>
      </c>
    </row>
    <row r="1627" spans="1:11" hidden="1" x14ac:dyDescent="0.25">
      <c r="A1627" s="148" t="s">
        <v>5360</v>
      </c>
      <c r="B1627" s="149" t="s">
        <v>5361</v>
      </c>
      <c r="C1627" s="150" t="s">
        <v>106</v>
      </c>
      <c r="D1627" s="150">
        <v>0</v>
      </c>
      <c r="E1627" s="151" t="s">
        <v>13</v>
      </c>
      <c r="F1627" s="152" t="str">
        <f t="shared" si="77"/>
        <v/>
      </c>
      <c r="G1627" s="153">
        <f>IF($K1627="Padrão",BDI!$B$17,IF($K1627="Diferenciado",BDI!$E$17,0))</f>
        <v>0.2039</v>
      </c>
      <c r="H1627" s="151" t="str">
        <f t="shared" si="75"/>
        <v/>
      </c>
      <c r="I1627" s="152" t="str">
        <f t="shared" si="76"/>
        <v/>
      </c>
      <c r="J1627" s="154"/>
      <c r="K1627" s="155" t="s">
        <v>2966</v>
      </c>
    </row>
    <row r="1628" spans="1:11" hidden="1" x14ac:dyDescent="0.25">
      <c r="A1628" s="148" t="s">
        <v>5362</v>
      </c>
      <c r="B1628" s="149" t="s">
        <v>5363</v>
      </c>
      <c r="C1628" s="150" t="s">
        <v>106</v>
      </c>
      <c r="D1628" s="150">
        <v>0</v>
      </c>
      <c r="E1628" s="151" t="s">
        <v>13</v>
      </c>
      <c r="F1628" s="152" t="str">
        <f t="shared" si="77"/>
        <v/>
      </c>
      <c r="G1628" s="153">
        <f>IF($K1628="Padrão",BDI!$B$17,IF($K1628="Diferenciado",BDI!$E$17,0))</f>
        <v>0.2039</v>
      </c>
      <c r="H1628" s="151" t="str">
        <f t="shared" si="75"/>
        <v/>
      </c>
      <c r="I1628" s="152" t="str">
        <f t="shared" si="76"/>
        <v/>
      </c>
      <c r="J1628" s="154"/>
      <c r="K1628" s="155" t="s">
        <v>2966</v>
      </c>
    </row>
    <row r="1629" spans="1:11" hidden="1" x14ac:dyDescent="0.25">
      <c r="A1629" s="148" t="s">
        <v>5364</v>
      </c>
      <c r="B1629" s="149" t="s">
        <v>5365</v>
      </c>
      <c r="C1629" s="150" t="s">
        <v>106</v>
      </c>
      <c r="D1629" s="150">
        <v>0</v>
      </c>
      <c r="E1629" s="151" t="s">
        <v>13</v>
      </c>
      <c r="F1629" s="152" t="str">
        <f t="shared" si="77"/>
        <v/>
      </c>
      <c r="G1629" s="153">
        <f>IF($K1629="Padrão",BDI!$B$17,IF($K1629="Diferenciado",BDI!$E$17,0))</f>
        <v>0.2039</v>
      </c>
      <c r="H1629" s="151" t="str">
        <f t="shared" si="75"/>
        <v/>
      </c>
      <c r="I1629" s="152" t="str">
        <f t="shared" si="76"/>
        <v/>
      </c>
      <c r="J1629" s="154"/>
      <c r="K1629" s="155" t="s">
        <v>2966</v>
      </c>
    </row>
    <row r="1630" spans="1:11" hidden="1" x14ac:dyDescent="0.25">
      <c r="A1630" s="148" t="s">
        <v>5366</v>
      </c>
      <c r="B1630" s="149" t="s">
        <v>5367</v>
      </c>
      <c r="C1630" s="150" t="s">
        <v>18</v>
      </c>
      <c r="D1630" s="150">
        <v>0</v>
      </c>
      <c r="E1630" s="151" t="s">
        <v>13</v>
      </c>
      <c r="F1630" s="152" t="str">
        <f t="shared" si="77"/>
        <v/>
      </c>
      <c r="G1630" s="153">
        <f>IF($K1630="Padrão",BDI!$B$17,IF($K1630="Diferenciado",BDI!$E$17,0))</f>
        <v>0.2039</v>
      </c>
      <c r="H1630" s="151" t="str">
        <f t="shared" si="75"/>
        <v/>
      </c>
      <c r="I1630" s="152" t="str">
        <f t="shared" si="76"/>
        <v/>
      </c>
      <c r="J1630" s="154"/>
      <c r="K1630" s="155" t="s">
        <v>2966</v>
      </c>
    </row>
    <row r="1631" spans="1:11" hidden="1" x14ac:dyDescent="0.25">
      <c r="A1631" s="148" t="s">
        <v>5368</v>
      </c>
      <c r="B1631" s="149" t="s">
        <v>5369</v>
      </c>
      <c r="C1631" s="150" t="s">
        <v>18</v>
      </c>
      <c r="D1631" s="150">
        <v>0</v>
      </c>
      <c r="E1631" s="151" t="s">
        <v>13</v>
      </c>
      <c r="F1631" s="152" t="str">
        <f t="shared" si="77"/>
        <v/>
      </c>
      <c r="G1631" s="153">
        <f>IF($K1631="Padrão",BDI!$B$17,IF($K1631="Diferenciado",BDI!$E$17,0))</f>
        <v>0.2039</v>
      </c>
      <c r="H1631" s="151" t="str">
        <f t="shared" si="75"/>
        <v/>
      </c>
      <c r="I1631" s="152" t="str">
        <f t="shared" si="76"/>
        <v/>
      </c>
      <c r="J1631" s="154"/>
      <c r="K1631" s="155" t="s">
        <v>2966</v>
      </c>
    </row>
    <row r="1632" spans="1:11" hidden="1" x14ac:dyDescent="0.25">
      <c r="A1632" s="148" t="s">
        <v>5370</v>
      </c>
      <c r="B1632" s="149" t="s">
        <v>5371</v>
      </c>
      <c r="C1632" s="150" t="s">
        <v>18</v>
      </c>
      <c r="D1632" s="150">
        <v>0</v>
      </c>
      <c r="E1632" s="151" t="s">
        <v>13</v>
      </c>
      <c r="F1632" s="152" t="str">
        <f t="shared" si="77"/>
        <v/>
      </c>
      <c r="G1632" s="153">
        <f>IF($K1632="Padrão",BDI!$B$17,IF($K1632="Diferenciado",BDI!$E$17,0))</f>
        <v>0.2039</v>
      </c>
      <c r="H1632" s="151" t="str">
        <f t="shared" si="75"/>
        <v/>
      </c>
      <c r="I1632" s="152" t="str">
        <f t="shared" si="76"/>
        <v/>
      </c>
      <c r="J1632" s="154"/>
      <c r="K1632" s="155" t="s">
        <v>2966</v>
      </c>
    </row>
    <row r="1633" spans="1:11" hidden="1" x14ac:dyDescent="0.25">
      <c r="A1633" s="148" t="s">
        <v>5372</v>
      </c>
      <c r="B1633" s="149" t="s">
        <v>5373</v>
      </c>
      <c r="C1633" s="150" t="s">
        <v>18</v>
      </c>
      <c r="D1633" s="150">
        <v>0</v>
      </c>
      <c r="E1633" s="151" t="s">
        <v>13</v>
      </c>
      <c r="F1633" s="152" t="str">
        <f t="shared" si="77"/>
        <v/>
      </c>
      <c r="G1633" s="153">
        <f>IF($K1633="Padrão",BDI!$B$17,IF($K1633="Diferenciado",BDI!$E$17,0))</f>
        <v>0.2039</v>
      </c>
      <c r="H1633" s="151" t="str">
        <f t="shared" si="75"/>
        <v/>
      </c>
      <c r="I1633" s="152" t="str">
        <f t="shared" si="76"/>
        <v/>
      </c>
      <c r="J1633" s="154"/>
      <c r="K1633" s="155" t="s">
        <v>2966</v>
      </c>
    </row>
    <row r="1634" spans="1:11" hidden="1" x14ac:dyDescent="0.25">
      <c r="A1634" s="148" t="s">
        <v>5374</v>
      </c>
      <c r="B1634" s="149" t="s">
        <v>5375</v>
      </c>
      <c r="C1634" s="150" t="s">
        <v>18</v>
      </c>
      <c r="D1634" s="150">
        <v>0</v>
      </c>
      <c r="E1634" s="151" t="s">
        <v>13</v>
      </c>
      <c r="F1634" s="152" t="str">
        <f t="shared" si="77"/>
        <v/>
      </c>
      <c r="G1634" s="153">
        <f>IF($K1634="Padrão",BDI!$B$17,IF($K1634="Diferenciado",BDI!$E$17,0))</f>
        <v>0.2039</v>
      </c>
      <c r="H1634" s="151" t="str">
        <f t="shared" si="75"/>
        <v/>
      </c>
      <c r="I1634" s="152" t="str">
        <f t="shared" si="76"/>
        <v/>
      </c>
      <c r="J1634" s="154"/>
      <c r="K1634" s="155" t="s">
        <v>2966</v>
      </c>
    </row>
    <row r="1635" spans="1:11" hidden="1" x14ac:dyDescent="0.25">
      <c r="A1635" s="148" t="s">
        <v>5376</v>
      </c>
      <c r="B1635" s="149" t="s">
        <v>5377</v>
      </c>
      <c r="C1635" s="150" t="s">
        <v>18</v>
      </c>
      <c r="D1635" s="150">
        <v>0</v>
      </c>
      <c r="E1635" s="151" t="s">
        <v>13</v>
      </c>
      <c r="F1635" s="152" t="str">
        <f t="shared" si="77"/>
        <v/>
      </c>
      <c r="G1635" s="153">
        <f>IF($K1635="Padrão",BDI!$B$17,IF($K1635="Diferenciado",BDI!$E$17,0))</f>
        <v>0.2039</v>
      </c>
      <c r="H1635" s="151" t="str">
        <f t="shared" si="75"/>
        <v/>
      </c>
      <c r="I1635" s="152" t="str">
        <f t="shared" si="76"/>
        <v/>
      </c>
      <c r="J1635" s="154"/>
      <c r="K1635" s="155" t="s">
        <v>2966</v>
      </c>
    </row>
    <row r="1636" spans="1:11" hidden="1" x14ac:dyDescent="0.25">
      <c r="A1636" s="148" t="s">
        <v>5378</v>
      </c>
      <c r="B1636" s="149" t="s">
        <v>5379</v>
      </c>
      <c r="C1636" s="150" t="s">
        <v>18</v>
      </c>
      <c r="D1636" s="150">
        <v>0</v>
      </c>
      <c r="E1636" s="151" t="s">
        <v>13</v>
      </c>
      <c r="F1636" s="152" t="str">
        <f t="shared" si="77"/>
        <v/>
      </c>
      <c r="G1636" s="153">
        <f>IF($K1636="Padrão",BDI!$B$17,IF($K1636="Diferenciado",BDI!$E$17,0))</f>
        <v>0.2039</v>
      </c>
      <c r="H1636" s="151" t="str">
        <f t="shared" si="75"/>
        <v/>
      </c>
      <c r="I1636" s="152" t="str">
        <f t="shared" si="76"/>
        <v/>
      </c>
      <c r="J1636" s="154"/>
      <c r="K1636" s="155" t="s">
        <v>2966</v>
      </c>
    </row>
    <row r="1637" spans="1:11" hidden="1" x14ac:dyDescent="0.25">
      <c r="A1637" s="148" t="s">
        <v>5380</v>
      </c>
      <c r="B1637" s="149" t="s">
        <v>5381</v>
      </c>
      <c r="C1637" s="150" t="s">
        <v>18</v>
      </c>
      <c r="D1637" s="150">
        <v>0</v>
      </c>
      <c r="E1637" s="151" t="s">
        <v>13</v>
      </c>
      <c r="F1637" s="152" t="str">
        <f t="shared" si="77"/>
        <v/>
      </c>
      <c r="G1637" s="153">
        <f>IF($K1637="Padrão",BDI!$B$17,IF($K1637="Diferenciado",BDI!$E$17,0))</f>
        <v>0.2039</v>
      </c>
      <c r="H1637" s="151" t="str">
        <f t="shared" si="75"/>
        <v/>
      </c>
      <c r="I1637" s="152" t="str">
        <f t="shared" si="76"/>
        <v/>
      </c>
      <c r="J1637" s="154"/>
      <c r="K1637" s="155" t="s">
        <v>2966</v>
      </c>
    </row>
    <row r="1638" spans="1:11" hidden="1" x14ac:dyDescent="0.25">
      <c r="A1638" s="148" t="s">
        <v>5382</v>
      </c>
      <c r="B1638" s="149" t="s">
        <v>5383</v>
      </c>
      <c r="C1638" s="150" t="s">
        <v>18</v>
      </c>
      <c r="D1638" s="150">
        <v>0</v>
      </c>
      <c r="E1638" s="151" t="s">
        <v>13</v>
      </c>
      <c r="F1638" s="152" t="str">
        <f t="shared" si="77"/>
        <v/>
      </c>
      <c r="G1638" s="153">
        <f>IF($K1638="Padrão",BDI!$B$17,IF($K1638="Diferenciado",BDI!$E$17,0))</f>
        <v>0.2039</v>
      </c>
      <c r="H1638" s="151" t="str">
        <f t="shared" si="75"/>
        <v/>
      </c>
      <c r="I1638" s="152" t="str">
        <f t="shared" si="76"/>
        <v/>
      </c>
      <c r="J1638" s="154"/>
      <c r="K1638" s="155" t="s">
        <v>2966</v>
      </c>
    </row>
    <row r="1639" spans="1:11" hidden="1" x14ac:dyDescent="0.25">
      <c r="A1639" s="148" t="s">
        <v>5384</v>
      </c>
      <c r="B1639" s="149" t="s">
        <v>5385</v>
      </c>
      <c r="C1639" s="150" t="s">
        <v>18</v>
      </c>
      <c r="D1639" s="150">
        <v>0</v>
      </c>
      <c r="E1639" s="151" t="s">
        <v>13</v>
      </c>
      <c r="F1639" s="152" t="str">
        <f t="shared" si="77"/>
        <v/>
      </c>
      <c r="G1639" s="153">
        <f>IF($K1639="Padrão",BDI!$B$17,IF($K1639="Diferenciado",BDI!$E$17,0))</f>
        <v>0.2039</v>
      </c>
      <c r="H1639" s="151" t="str">
        <f t="shared" si="75"/>
        <v/>
      </c>
      <c r="I1639" s="152" t="str">
        <f t="shared" si="76"/>
        <v/>
      </c>
      <c r="J1639" s="154"/>
      <c r="K1639" s="155" t="s">
        <v>2966</v>
      </c>
    </row>
    <row r="1640" spans="1:11" hidden="1" x14ac:dyDescent="0.25">
      <c r="A1640" s="148" t="s">
        <v>5386</v>
      </c>
      <c r="B1640" s="149" t="s">
        <v>5387</v>
      </c>
      <c r="C1640" s="150" t="s">
        <v>18</v>
      </c>
      <c r="D1640" s="150">
        <v>0</v>
      </c>
      <c r="E1640" s="151" t="s">
        <v>13</v>
      </c>
      <c r="F1640" s="152" t="str">
        <f t="shared" si="77"/>
        <v/>
      </c>
      <c r="G1640" s="153">
        <f>IF($K1640="Padrão",BDI!$B$17,IF($K1640="Diferenciado",BDI!$E$17,0))</f>
        <v>0.2039</v>
      </c>
      <c r="H1640" s="151" t="str">
        <f t="shared" si="75"/>
        <v/>
      </c>
      <c r="I1640" s="152" t="str">
        <f t="shared" si="76"/>
        <v/>
      </c>
      <c r="J1640" s="154"/>
      <c r="K1640" s="155" t="s">
        <v>2966</v>
      </c>
    </row>
    <row r="1641" spans="1:11" hidden="1" x14ac:dyDescent="0.25">
      <c r="A1641" s="148" t="s">
        <v>5388</v>
      </c>
      <c r="B1641" s="149" t="s">
        <v>5389</v>
      </c>
      <c r="C1641" s="150" t="s">
        <v>18</v>
      </c>
      <c r="D1641" s="150">
        <v>0</v>
      </c>
      <c r="E1641" s="151" t="s">
        <v>13</v>
      </c>
      <c r="F1641" s="152" t="str">
        <f t="shared" si="77"/>
        <v/>
      </c>
      <c r="G1641" s="153">
        <f>IF($K1641="Padrão",BDI!$B$17,IF($K1641="Diferenciado",BDI!$E$17,0))</f>
        <v>0.2039</v>
      </c>
      <c r="H1641" s="151" t="str">
        <f t="shared" si="75"/>
        <v/>
      </c>
      <c r="I1641" s="152" t="str">
        <f t="shared" si="76"/>
        <v/>
      </c>
      <c r="J1641" s="154"/>
      <c r="K1641" s="155" t="s">
        <v>2966</v>
      </c>
    </row>
    <row r="1642" spans="1:11" hidden="1" x14ac:dyDescent="0.25">
      <c r="A1642" s="148" t="s">
        <v>5390</v>
      </c>
      <c r="B1642" s="149" t="s">
        <v>5391</v>
      </c>
      <c r="C1642" s="150" t="s">
        <v>18</v>
      </c>
      <c r="D1642" s="150">
        <v>0</v>
      </c>
      <c r="E1642" s="151" t="s">
        <v>13</v>
      </c>
      <c r="F1642" s="152" t="str">
        <f t="shared" si="77"/>
        <v/>
      </c>
      <c r="G1642" s="153">
        <f>IF($K1642="Padrão",BDI!$B$17,IF($K1642="Diferenciado",BDI!$E$17,0))</f>
        <v>0.2039</v>
      </c>
      <c r="H1642" s="151" t="str">
        <f t="shared" si="75"/>
        <v/>
      </c>
      <c r="I1642" s="152" t="str">
        <f t="shared" si="76"/>
        <v/>
      </c>
      <c r="J1642" s="154"/>
      <c r="K1642" s="155" t="s">
        <v>2966</v>
      </c>
    </row>
    <row r="1643" spans="1:11" hidden="1" x14ac:dyDescent="0.25">
      <c r="A1643" s="148" t="s">
        <v>5392</v>
      </c>
      <c r="B1643" s="149" t="s">
        <v>5393</v>
      </c>
      <c r="C1643" s="150" t="s">
        <v>18</v>
      </c>
      <c r="D1643" s="150">
        <v>0</v>
      </c>
      <c r="E1643" s="151" t="s">
        <v>13</v>
      </c>
      <c r="F1643" s="152" t="str">
        <f t="shared" si="77"/>
        <v/>
      </c>
      <c r="G1643" s="153">
        <f>IF($K1643="Padrão",BDI!$B$17,IF($K1643="Diferenciado",BDI!$E$17,0))</f>
        <v>0.2039</v>
      </c>
      <c r="H1643" s="151" t="str">
        <f t="shared" si="75"/>
        <v/>
      </c>
      <c r="I1643" s="152" t="str">
        <f t="shared" si="76"/>
        <v/>
      </c>
      <c r="J1643" s="154"/>
      <c r="K1643" s="155" t="s">
        <v>2966</v>
      </c>
    </row>
    <row r="1644" spans="1:11" hidden="1" x14ac:dyDescent="0.25">
      <c r="A1644" s="148" t="s">
        <v>5394</v>
      </c>
      <c r="B1644" s="149" t="s">
        <v>5395</v>
      </c>
      <c r="C1644" s="150" t="s">
        <v>18</v>
      </c>
      <c r="D1644" s="150">
        <v>0</v>
      </c>
      <c r="E1644" s="151" t="s">
        <v>13</v>
      </c>
      <c r="F1644" s="152" t="str">
        <f t="shared" si="77"/>
        <v/>
      </c>
      <c r="G1644" s="153">
        <f>IF($K1644="Padrão",BDI!$B$17,IF($K1644="Diferenciado",BDI!$E$17,0))</f>
        <v>0.2039</v>
      </c>
      <c r="H1644" s="151" t="str">
        <f t="shared" si="75"/>
        <v/>
      </c>
      <c r="I1644" s="152" t="str">
        <f t="shared" si="76"/>
        <v/>
      </c>
      <c r="J1644" s="154"/>
      <c r="K1644" s="155" t="s">
        <v>2966</v>
      </c>
    </row>
    <row r="1645" spans="1:11" hidden="1" x14ac:dyDescent="0.25">
      <c r="A1645" s="148" t="s">
        <v>5396</v>
      </c>
      <c r="B1645" s="149" t="s">
        <v>5397</v>
      </c>
      <c r="C1645" s="150" t="s">
        <v>18</v>
      </c>
      <c r="D1645" s="150">
        <v>0</v>
      </c>
      <c r="E1645" s="151" t="s">
        <v>13</v>
      </c>
      <c r="F1645" s="152" t="str">
        <f t="shared" si="77"/>
        <v/>
      </c>
      <c r="G1645" s="153">
        <f>IF($K1645="Padrão",BDI!$B$17,IF($K1645="Diferenciado",BDI!$E$17,0))</f>
        <v>0.2039</v>
      </c>
      <c r="H1645" s="151" t="str">
        <f t="shared" si="75"/>
        <v/>
      </c>
      <c r="I1645" s="152" t="str">
        <f t="shared" si="76"/>
        <v/>
      </c>
      <c r="J1645" s="154"/>
      <c r="K1645" s="155" t="s">
        <v>2966</v>
      </c>
    </row>
    <row r="1646" spans="1:11" hidden="1" x14ac:dyDescent="0.25">
      <c r="A1646" s="148" t="s">
        <v>5398</v>
      </c>
      <c r="B1646" s="149" t="s">
        <v>5399</v>
      </c>
      <c r="C1646" s="150" t="s">
        <v>18</v>
      </c>
      <c r="D1646" s="150">
        <v>0</v>
      </c>
      <c r="E1646" s="151" t="s">
        <v>13</v>
      </c>
      <c r="F1646" s="152" t="str">
        <f t="shared" si="77"/>
        <v/>
      </c>
      <c r="G1646" s="153">
        <f>IF($K1646="Padrão",BDI!$B$17,IF($K1646="Diferenciado",BDI!$E$17,0))</f>
        <v>0.2039</v>
      </c>
      <c r="H1646" s="151" t="str">
        <f t="shared" si="75"/>
        <v/>
      </c>
      <c r="I1646" s="152" t="str">
        <f t="shared" si="76"/>
        <v/>
      </c>
      <c r="J1646" s="154"/>
      <c r="K1646" s="155" t="s">
        <v>2966</v>
      </c>
    </row>
    <row r="1647" spans="1:11" hidden="1" x14ac:dyDescent="0.25">
      <c r="A1647" s="148" t="s">
        <v>5400</v>
      </c>
      <c r="B1647" s="149" t="s">
        <v>5401</v>
      </c>
      <c r="C1647" s="150" t="s">
        <v>18</v>
      </c>
      <c r="D1647" s="150">
        <v>0</v>
      </c>
      <c r="E1647" s="151" t="s">
        <v>13</v>
      </c>
      <c r="F1647" s="152" t="str">
        <f t="shared" si="77"/>
        <v/>
      </c>
      <c r="G1647" s="153">
        <f>IF($K1647="Padrão",BDI!$B$17,IF($K1647="Diferenciado",BDI!$E$17,0))</f>
        <v>0.2039</v>
      </c>
      <c r="H1647" s="151" t="str">
        <f t="shared" si="75"/>
        <v/>
      </c>
      <c r="I1647" s="152" t="str">
        <f t="shared" si="76"/>
        <v/>
      </c>
      <c r="J1647" s="154"/>
      <c r="K1647" s="155" t="s">
        <v>2966</v>
      </c>
    </row>
    <row r="1648" spans="1:11" hidden="1" x14ac:dyDescent="0.25">
      <c r="A1648" s="148" t="s">
        <v>5402</v>
      </c>
      <c r="B1648" s="149" t="s">
        <v>5403</v>
      </c>
      <c r="C1648" s="150" t="s">
        <v>18</v>
      </c>
      <c r="D1648" s="150">
        <v>0</v>
      </c>
      <c r="E1648" s="151" t="s">
        <v>13</v>
      </c>
      <c r="F1648" s="152" t="str">
        <f t="shared" si="77"/>
        <v/>
      </c>
      <c r="G1648" s="153">
        <f>IF($K1648="Padrão",BDI!$B$17,IF($K1648="Diferenciado",BDI!$E$17,0))</f>
        <v>0.2039</v>
      </c>
      <c r="H1648" s="151" t="str">
        <f t="shared" si="75"/>
        <v/>
      </c>
      <c r="I1648" s="152" t="str">
        <f t="shared" si="76"/>
        <v/>
      </c>
      <c r="J1648" s="154"/>
      <c r="K1648" s="155" t="s">
        <v>2966</v>
      </c>
    </row>
    <row r="1649" spans="1:11" hidden="1" x14ac:dyDescent="0.25">
      <c r="A1649" s="148" t="s">
        <v>5404</v>
      </c>
      <c r="B1649" s="149" t="s">
        <v>5405</v>
      </c>
      <c r="C1649" s="150" t="s">
        <v>18</v>
      </c>
      <c r="D1649" s="150">
        <v>0</v>
      </c>
      <c r="E1649" s="151" t="s">
        <v>13</v>
      </c>
      <c r="F1649" s="152" t="str">
        <f t="shared" si="77"/>
        <v/>
      </c>
      <c r="G1649" s="153">
        <f>IF($K1649="Padrão",BDI!$B$17,IF($K1649="Diferenciado",BDI!$E$17,0))</f>
        <v>0.2039</v>
      </c>
      <c r="H1649" s="151" t="str">
        <f t="shared" si="75"/>
        <v/>
      </c>
      <c r="I1649" s="152" t="str">
        <f t="shared" si="76"/>
        <v/>
      </c>
      <c r="J1649" s="154"/>
      <c r="K1649" s="155" t="s">
        <v>2966</v>
      </c>
    </row>
    <row r="1650" spans="1:11" hidden="1" x14ac:dyDescent="0.25">
      <c r="A1650" s="148" t="s">
        <v>5406</v>
      </c>
      <c r="B1650" s="149" t="s">
        <v>5407</v>
      </c>
      <c r="C1650" s="150" t="s">
        <v>18</v>
      </c>
      <c r="D1650" s="150">
        <v>0</v>
      </c>
      <c r="E1650" s="151" t="s">
        <v>13</v>
      </c>
      <c r="F1650" s="152" t="str">
        <f t="shared" si="77"/>
        <v/>
      </c>
      <c r="G1650" s="153">
        <f>IF($K1650="Padrão",BDI!$B$17,IF($K1650="Diferenciado",BDI!$E$17,0))</f>
        <v>0.2039</v>
      </c>
      <c r="H1650" s="151" t="str">
        <f t="shared" si="75"/>
        <v/>
      </c>
      <c r="I1650" s="152" t="str">
        <f t="shared" si="76"/>
        <v/>
      </c>
      <c r="J1650" s="154"/>
      <c r="K1650" s="155" t="s">
        <v>2966</v>
      </c>
    </row>
    <row r="1651" spans="1:11" hidden="1" x14ac:dyDescent="0.25">
      <c r="A1651" s="148" t="s">
        <v>5408</v>
      </c>
      <c r="B1651" s="149" t="s">
        <v>5409</v>
      </c>
      <c r="C1651" s="150" t="s">
        <v>18</v>
      </c>
      <c r="D1651" s="150">
        <v>0</v>
      </c>
      <c r="E1651" s="151" t="s">
        <v>13</v>
      </c>
      <c r="F1651" s="152" t="str">
        <f t="shared" si="77"/>
        <v/>
      </c>
      <c r="G1651" s="153">
        <f>IF($K1651="Padrão",BDI!$B$17,IF($K1651="Diferenciado",BDI!$E$17,0))</f>
        <v>0.2039</v>
      </c>
      <c r="H1651" s="151" t="str">
        <f t="shared" si="75"/>
        <v/>
      </c>
      <c r="I1651" s="152" t="str">
        <f t="shared" si="76"/>
        <v/>
      </c>
      <c r="J1651" s="154"/>
      <c r="K1651" s="155" t="s">
        <v>2966</v>
      </c>
    </row>
    <row r="1652" spans="1:11" hidden="1" x14ac:dyDescent="0.25">
      <c r="A1652" s="148" t="s">
        <v>5410</v>
      </c>
      <c r="B1652" s="149" t="s">
        <v>5411</v>
      </c>
      <c r="C1652" s="150" t="s">
        <v>18</v>
      </c>
      <c r="D1652" s="150">
        <v>0</v>
      </c>
      <c r="E1652" s="151" t="s">
        <v>13</v>
      </c>
      <c r="F1652" s="152" t="str">
        <f t="shared" si="77"/>
        <v/>
      </c>
      <c r="G1652" s="153">
        <f>IF($K1652="Padrão",BDI!$B$17,IF($K1652="Diferenciado",BDI!$E$17,0))</f>
        <v>0.2039</v>
      </c>
      <c r="H1652" s="151" t="str">
        <f t="shared" si="75"/>
        <v/>
      </c>
      <c r="I1652" s="152" t="str">
        <f t="shared" si="76"/>
        <v/>
      </c>
      <c r="J1652" s="154"/>
      <c r="K1652" s="155" t="s">
        <v>2966</v>
      </c>
    </row>
    <row r="1653" spans="1:11" hidden="1" x14ac:dyDescent="0.25">
      <c r="A1653" s="148" t="s">
        <v>5412</v>
      </c>
      <c r="B1653" s="149" t="s">
        <v>5413</v>
      </c>
      <c r="C1653" s="150" t="s">
        <v>18</v>
      </c>
      <c r="D1653" s="150">
        <v>0</v>
      </c>
      <c r="E1653" s="151" t="s">
        <v>13</v>
      </c>
      <c r="F1653" s="152" t="str">
        <f t="shared" si="77"/>
        <v/>
      </c>
      <c r="G1653" s="153">
        <f>IF($K1653="Padrão",BDI!$B$17,IF($K1653="Diferenciado",BDI!$E$17,0))</f>
        <v>0.2039</v>
      </c>
      <c r="H1653" s="151" t="str">
        <f t="shared" si="75"/>
        <v/>
      </c>
      <c r="I1653" s="152" t="str">
        <f t="shared" si="76"/>
        <v/>
      </c>
      <c r="J1653" s="154"/>
      <c r="K1653" s="155" t="s">
        <v>2966</v>
      </c>
    </row>
    <row r="1654" spans="1:11" hidden="1" x14ac:dyDescent="0.25">
      <c r="A1654" s="148" t="s">
        <v>5414</v>
      </c>
      <c r="B1654" s="149" t="s">
        <v>5415</v>
      </c>
      <c r="C1654" s="150" t="s">
        <v>18</v>
      </c>
      <c r="D1654" s="150">
        <v>0</v>
      </c>
      <c r="E1654" s="151" t="s">
        <v>13</v>
      </c>
      <c r="F1654" s="152" t="str">
        <f t="shared" si="77"/>
        <v/>
      </c>
      <c r="G1654" s="153">
        <f>IF($K1654="Padrão",BDI!$B$17,IF($K1654="Diferenciado",BDI!$E$17,0))</f>
        <v>0.2039</v>
      </c>
      <c r="H1654" s="151" t="str">
        <f t="shared" si="75"/>
        <v/>
      </c>
      <c r="I1654" s="152" t="str">
        <f t="shared" si="76"/>
        <v/>
      </c>
      <c r="J1654" s="154"/>
      <c r="K1654" s="155" t="s">
        <v>2966</v>
      </c>
    </row>
    <row r="1655" spans="1:11" hidden="1" x14ac:dyDescent="0.25">
      <c r="A1655" s="148" t="s">
        <v>5416</v>
      </c>
      <c r="B1655" s="149" t="s">
        <v>5417</v>
      </c>
      <c r="C1655" s="150" t="s">
        <v>18</v>
      </c>
      <c r="D1655" s="150">
        <v>0</v>
      </c>
      <c r="E1655" s="151" t="s">
        <v>13</v>
      </c>
      <c r="F1655" s="152" t="str">
        <f t="shared" si="77"/>
        <v/>
      </c>
      <c r="G1655" s="153">
        <f>IF($K1655="Padrão",BDI!$B$17,IF($K1655="Diferenciado",BDI!$E$17,0))</f>
        <v>0.2039</v>
      </c>
      <c r="H1655" s="151" t="str">
        <f t="shared" si="75"/>
        <v/>
      </c>
      <c r="I1655" s="152" t="str">
        <f t="shared" si="76"/>
        <v/>
      </c>
      <c r="J1655" s="154"/>
      <c r="K1655" s="155" t="s">
        <v>2966</v>
      </c>
    </row>
    <row r="1656" spans="1:11" hidden="1" x14ac:dyDescent="0.25">
      <c r="A1656" s="148" t="s">
        <v>5418</v>
      </c>
      <c r="B1656" s="149" t="s">
        <v>5419</v>
      </c>
      <c r="C1656" s="150" t="s">
        <v>18</v>
      </c>
      <c r="D1656" s="150">
        <v>0</v>
      </c>
      <c r="E1656" s="151" t="s">
        <v>13</v>
      </c>
      <c r="F1656" s="152" t="str">
        <f t="shared" si="77"/>
        <v/>
      </c>
      <c r="G1656" s="153">
        <f>IF($K1656="Padrão",BDI!$B$17,IF($K1656="Diferenciado",BDI!$E$17,0))</f>
        <v>0.2039</v>
      </c>
      <c r="H1656" s="151" t="str">
        <f t="shared" si="75"/>
        <v/>
      </c>
      <c r="I1656" s="152" t="str">
        <f t="shared" si="76"/>
        <v/>
      </c>
      <c r="J1656" s="154"/>
      <c r="K1656" s="155" t="s">
        <v>2966</v>
      </c>
    </row>
    <row r="1657" spans="1:11" hidden="1" x14ac:dyDescent="0.25">
      <c r="A1657" s="148" t="s">
        <v>5420</v>
      </c>
      <c r="B1657" s="149" t="s">
        <v>5421</v>
      </c>
      <c r="C1657" s="150" t="s">
        <v>18</v>
      </c>
      <c r="D1657" s="150">
        <v>0</v>
      </c>
      <c r="E1657" s="151" t="s">
        <v>13</v>
      </c>
      <c r="F1657" s="152" t="str">
        <f t="shared" si="77"/>
        <v/>
      </c>
      <c r="G1657" s="153">
        <f>IF($K1657="Padrão",BDI!$B$17,IF($K1657="Diferenciado",BDI!$E$17,0))</f>
        <v>0.2039</v>
      </c>
      <c r="H1657" s="151" t="str">
        <f t="shared" si="75"/>
        <v/>
      </c>
      <c r="I1657" s="152" t="str">
        <f t="shared" si="76"/>
        <v/>
      </c>
      <c r="J1657" s="154"/>
      <c r="K1657" s="155" t="s">
        <v>2966</v>
      </c>
    </row>
    <row r="1658" spans="1:11" hidden="1" x14ac:dyDescent="0.25">
      <c r="A1658" s="148" t="s">
        <v>5422</v>
      </c>
      <c r="B1658" s="149" t="s">
        <v>5423</v>
      </c>
      <c r="C1658" s="150" t="s">
        <v>18</v>
      </c>
      <c r="D1658" s="150">
        <v>0</v>
      </c>
      <c r="E1658" s="151" t="s">
        <v>13</v>
      </c>
      <c r="F1658" s="152" t="str">
        <f t="shared" si="77"/>
        <v/>
      </c>
      <c r="G1658" s="153">
        <f>IF($K1658="Padrão",BDI!$B$17,IF($K1658="Diferenciado",BDI!$E$17,0))</f>
        <v>0.2039</v>
      </c>
      <c r="H1658" s="151" t="str">
        <f t="shared" si="75"/>
        <v/>
      </c>
      <c r="I1658" s="152" t="str">
        <f t="shared" si="76"/>
        <v/>
      </c>
      <c r="J1658" s="154"/>
      <c r="K1658" s="155" t="s">
        <v>2966</v>
      </c>
    </row>
    <row r="1659" spans="1:11" hidden="1" x14ac:dyDescent="0.25">
      <c r="A1659" s="148" t="s">
        <v>5424</v>
      </c>
      <c r="B1659" s="149" t="s">
        <v>5425</v>
      </c>
      <c r="C1659" s="150" t="s">
        <v>18</v>
      </c>
      <c r="D1659" s="150">
        <v>0</v>
      </c>
      <c r="E1659" s="151" t="s">
        <v>13</v>
      </c>
      <c r="F1659" s="152" t="str">
        <f t="shared" si="77"/>
        <v/>
      </c>
      <c r="G1659" s="153">
        <f>IF($K1659="Padrão",BDI!$B$17,IF($K1659="Diferenciado",BDI!$E$17,0))</f>
        <v>0.2039</v>
      </c>
      <c r="H1659" s="151" t="str">
        <f t="shared" si="75"/>
        <v/>
      </c>
      <c r="I1659" s="152" t="str">
        <f t="shared" si="76"/>
        <v/>
      </c>
      <c r="J1659" s="154"/>
      <c r="K1659" s="155" t="s">
        <v>2966</v>
      </c>
    </row>
    <row r="1660" spans="1:11" hidden="1" x14ac:dyDescent="0.25">
      <c r="A1660" s="148" t="s">
        <v>5426</v>
      </c>
      <c r="B1660" s="149" t="s">
        <v>5427</v>
      </c>
      <c r="C1660" s="150" t="s">
        <v>18</v>
      </c>
      <c r="D1660" s="150">
        <v>0</v>
      </c>
      <c r="E1660" s="151" t="s">
        <v>13</v>
      </c>
      <c r="F1660" s="152" t="str">
        <f t="shared" si="77"/>
        <v/>
      </c>
      <c r="G1660" s="153">
        <f>IF($K1660="Padrão",BDI!$B$17,IF($K1660="Diferenciado",BDI!$E$17,0))</f>
        <v>0.2039</v>
      </c>
      <c r="H1660" s="151" t="str">
        <f t="shared" si="75"/>
        <v/>
      </c>
      <c r="I1660" s="152" t="str">
        <f t="shared" si="76"/>
        <v/>
      </c>
      <c r="J1660" s="154"/>
      <c r="K1660" s="155" t="s">
        <v>2966</v>
      </c>
    </row>
    <row r="1661" spans="1:11" hidden="1" x14ac:dyDescent="0.25">
      <c r="A1661" s="148" t="s">
        <v>5428</v>
      </c>
      <c r="B1661" s="149" t="s">
        <v>5429</v>
      </c>
      <c r="C1661" s="150" t="s">
        <v>18</v>
      </c>
      <c r="D1661" s="150">
        <v>0</v>
      </c>
      <c r="E1661" s="151" t="s">
        <v>13</v>
      </c>
      <c r="F1661" s="152" t="str">
        <f t="shared" si="77"/>
        <v/>
      </c>
      <c r="G1661" s="153">
        <f>IF($K1661="Padrão",BDI!$B$17,IF($K1661="Diferenciado",BDI!$E$17,0))</f>
        <v>0.2039</v>
      </c>
      <c r="H1661" s="151" t="str">
        <f t="shared" si="75"/>
        <v/>
      </c>
      <c r="I1661" s="152" t="str">
        <f t="shared" si="76"/>
        <v/>
      </c>
      <c r="J1661" s="154"/>
      <c r="K1661" s="155" t="s">
        <v>2966</v>
      </c>
    </row>
    <row r="1662" spans="1:11" hidden="1" x14ac:dyDescent="0.25">
      <c r="A1662" s="148" t="s">
        <v>5430</v>
      </c>
      <c r="B1662" s="149" t="s">
        <v>5431</v>
      </c>
      <c r="C1662" s="150" t="s">
        <v>18</v>
      </c>
      <c r="D1662" s="150">
        <v>0</v>
      </c>
      <c r="E1662" s="151" t="s">
        <v>13</v>
      </c>
      <c r="F1662" s="152" t="str">
        <f t="shared" si="77"/>
        <v/>
      </c>
      <c r="G1662" s="153">
        <f>IF($K1662="Padrão",BDI!$B$17,IF($K1662="Diferenciado",BDI!$E$17,0))</f>
        <v>0.2039</v>
      </c>
      <c r="H1662" s="151" t="str">
        <f t="shared" si="75"/>
        <v/>
      </c>
      <c r="I1662" s="152" t="str">
        <f t="shared" si="76"/>
        <v/>
      </c>
      <c r="J1662" s="154"/>
      <c r="K1662" s="155" t="s">
        <v>2966</v>
      </c>
    </row>
    <row r="1663" spans="1:11" hidden="1" x14ac:dyDescent="0.25">
      <c r="A1663" s="148" t="s">
        <v>5432</v>
      </c>
      <c r="B1663" s="149" t="s">
        <v>5433</v>
      </c>
      <c r="C1663" s="150" t="s">
        <v>18</v>
      </c>
      <c r="D1663" s="150">
        <v>0</v>
      </c>
      <c r="E1663" s="151" t="s">
        <v>13</v>
      </c>
      <c r="F1663" s="152" t="str">
        <f t="shared" si="77"/>
        <v/>
      </c>
      <c r="G1663" s="153">
        <f>IF($K1663="Padrão",BDI!$B$17,IF($K1663="Diferenciado",BDI!$E$17,0))</f>
        <v>0.2039</v>
      </c>
      <c r="H1663" s="151" t="str">
        <f t="shared" si="75"/>
        <v/>
      </c>
      <c r="I1663" s="152" t="str">
        <f t="shared" si="76"/>
        <v/>
      </c>
      <c r="J1663" s="154"/>
      <c r="K1663" s="155" t="s">
        <v>2966</v>
      </c>
    </row>
    <row r="1664" spans="1:11" hidden="1" x14ac:dyDescent="0.25">
      <c r="A1664" s="148" t="s">
        <v>5434</v>
      </c>
      <c r="B1664" s="149" t="s">
        <v>5435</v>
      </c>
      <c r="C1664" s="150" t="s">
        <v>18</v>
      </c>
      <c r="D1664" s="150">
        <v>0</v>
      </c>
      <c r="E1664" s="151" t="s">
        <v>13</v>
      </c>
      <c r="F1664" s="152" t="str">
        <f t="shared" si="77"/>
        <v/>
      </c>
      <c r="G1664" s="153">
        <f>IF($K1664="Padrão",BDI!$B$17,IF($K1664="Diferenciado",BDI!$E$17,0))</f>
        <v>0.2039</v>
      </c>
      <c r="H1664" s="151" t="str">
        <f t="shared" si="75"/>
        <v/>
      </c>
      <c r="I1664" s="152" t="str">
        <f t="shared" si="76"/>
        <v/>
      </c>
      <c r="J1664" s="154"/>
      <c r="K1664" s="155" t="s">
        <v>2966</v>
      </c>
    </row>
    <row r="1665" spans="1:11" hidden="1" x14ac:dyDescent="0.25">
      <c r="A1665" s="148" t="s">
        <v>5436</v>
      </c>
      <c r="B1665" s="149" t="s">
        <v>5437</v>
      </c>
      <c r="C1665" s="150" t="s">
        <v>18</v>
      </c>
      <c r="D1665" s="150">
        <v>0</v>
      </c>
      <c r="E1665" s="151" t="s">
        <v>13</v>
      </c>
      <c r="F1665" s="152" t="str">
        <f t="shared" si="77"/>
        <v/>
      </c>
      <c r="G1665" s="153">
        <f>IF($K1665="Padrão",BDI!$B$17,IF($K1665="Diferenciado",BDI!$E$17,0))</f>
        <v>0.2039</v>
      </c>
      <c r="H1665" s="151" t="str">
        <f t="shared" si="75"/>
        <v/>
      </c>
      <c r="I1665" s="152" t="str">
        <f t="shared" si="76"/>
        <v/>
      </c>
      <c r="J1665" s="154"/>
      <c r="K1665" s="155" t="s">
        <v>2966</v>
      </c>
    </row>
    <row r="1666" spans="1:11" hidden="1" x14ac:dyDescent="0.25">
      <c r="A1666" s="148" t="s">
        <v>5438</v>
      </c>
      <c r="B1666" s="149" t="s">
        <v>5439</v>
      </c>
      <c r="C1666" s="150" t="s">
        <v>18</v>
      </c>
      <c r="D1666" s="150">
        <v>0</v>
      </c>
      <c r="E1666" s="151" t="s">
        <v>13</v>
      </c>
      <c r="F1666" s="152" t="str">
        <f t="shared" si="77"/>
        <v/>
      </c>
      <c r="G1666" s="153">
        <f>IF($K1666="Padrão",BDI!$B$17,IF($K1666="Diferenciado",BDI!$E$17,0))</f>
        <v>0.2039</v>
      </c>
      <c r="H1666" s="151" t="str">
        <f t="shared" si="75"/>
        <v/>
      </c>
      <c r="I1666" s="152" t="str">
        <f t="shared" si="76"/>
        <v/>
      </c>
      <c r="J1666" s="154"/>
      <c r="K1666" s="155" t="s">
        <v>2966</v>
      </c>
    </row>
    <row r="1667" spans="1:11" hidden="1" x14ac:dyDescent="0.25">
      <c r="A1667" s="148" t="s">
        <v>5440</v>
      </c>
      <c r="B1667" s="149" t="s">
        <v>5441</v>
      </c>
      <c r="C1667" s="150" t="s">
        <v>18</v>
      </c>
      <c r="D1667" s="150">
        <v>0</v>
      </c>
      <c r="E1667" s="151" t="s">
        <v>13</v>
      </c>
      <c r="F1667" s="152" t="str">
        <f t="shared" si="77"/>
        <v/>
      </c>
      <c r="G1667" s="153">
        <f>IF($K1667="Padrão",BDI!$B$17,IF($K1667="Diferenciado",BDI!$E$17,0))</f>
        <v>0.2039</v>
      </c>
      <c r="H1667" s="151" t="str">
        <f t="shared" si="75"/>
        <v/>
      </c>
      <c r="I1667" s="152" t="str">
        <f t="shared" si="76"/>
        <v/>
      </c>
      <c r="J1667" s="154"/>
      <c r="K1667" s="155" t="s">
        <v>2966</v>
      </c>
    </row>
    <row r="1668" spans="1:11" hidden="1" x14ac:dyDescent="0.25">
      <c r="A1668" s="148" t="s">
        <v>5442</v>
      </c>
      <c r="B1668" s="149" t="s">
        <v>5443</v>
      </c>
      <c r="C1668" s="150" t="s">
        <v>18</v>
      </c>
      <c r="D1668" s="150">
        <v>0</v>
      </c>
      <c r="E1668" s="151" t="s">
        <v>13</v>
      </c>
      <c r="F1668" s="152" t="str">
        <f t="shared" si="77"/>
        <v/>
      </c>
      <c r="G1668" s="153">
        <f>IF($K1668="Padrão",BDI!$B$17,IF($K1668="Diferenciado",BDI!$E$17,0))</f>
        <v>0.2039</v>
      </c>
      <c r="H1668" s="151" t="str">
        <f t="shared" si="75"/>
        <v/>
      </c>
      <c r="I1668" s="152" t="str">
        <f t="shared" si="76"/>
        <v/>
      </c>
      <c r="J1668" s="154"/>
      <c r="K1668" s="155" t="s">
        <v>2966</v>
      </c>
    </row>
    <row r="1669" spans="1:11" hidden="1" x14ac:dyDescent="0.25">
      <c r="A1669" s="148" t="s">
        <v>5444</v>
      </c>
      <c r="B1669" s="149" t="s">
        <v>5445</v>
      </c>
      <c r="C1669" s="150" t="s">
        <v>18</v>
      </c>
      <c r="D1669" s="150">
        <v>0</v>
      </c>
      <c r="E1669" s="151" t="s">
        <v>13</v>
      </c>
      <c r="F1669" s="152" t="str">
        <f t="shared" si="77"/>
        <v/>
      </c>
      <c r="G1669" s="153">
        <f>IF($K1669="Padrão",BDI!$B$17,IF($K1669="Diferenciado",BDI!$E$17,0))</f>
        <v>0.2039</v>
      </c>
      <c r="H1669" s="151" t="str">
        <f t="shared" si="75"/>
        <v/>
      </c>
      <c r="I1669" s="152" t="str">
        <f t="shared" si="76"/>
        <v/>
      </c>
      <c r="J1669" s="154"/>
      <c r="K1669" s="155" t="s">
        <v>2966</v>
      </c>
    </row>
    <row r="1670" spans="1:11" hidden="1" x14ac:dyDescent="0.25">
      <c r="A1670" s="148" t="s">
        <v>5446</v>
      </c>
      <c r="B1670" s="149" t="s">
        <v>5447</v>
      </c>
      <c r="C1670" s="150" t="s">
        <v>18</v>
      </c>
      <c r="D1670" s="150">
        <v>0</v>
      </c>
      <c r="E1670" s="151" t="s">
        <v>13</v>
      </c>
      <c r="F1670" s="152" t="str">
        <f t="shared" si="77"/>
        <v/>
      </c>
      <c r="G1670" s="153">
        <f>IF($K1670="Padrão",BDI!$B$17,IF($K1670="Diferenciado",BDI!$E$17,0))</f>
        <v>0.2039</v>
      </c>
      <c r="H1670" s="151" t="str">
        <f t="shared" ref="H1670:H1733" si="78">IF(ISNUMBER(E1670),ROUND(E1670*(1+G1670),2),"")</f>
        <v/>
      </c>
      <c r="I1670" s="152" t="str">
        <f t="shared" ref="I1670:I1733" si="79">IF(ISNUMBER(E1670),ROUND(H1670*D1670,2),"")</f>
        <v/>
      </c>
      <c r="J1670" s="154"/>
      <c r="K1670" s="155" t="s">
        <v>2966</v>
      </c>
    </row>
    <row r="1671" spans="1:11" hidden="1" x14ac:dyDescent="0.25">
      <c r="A1671" s="148" t="s">
        <v>5448</v>
      </c>
      <c r="B1671" s="149" t="s">
        <v>5449</v>
      </c>
      <c r="C1671" s="150" t="s">
        <v>18</v>
      </c>
      <c r="D1671" s="150">
        <v>0</v>
      </c>
      <c r="E1671" s="151" t="s">
        <v>13</v>
      </c>
      <c r="F1671" s="152" t="str">
        <f t="shared" ref="F1671:F1734" si="80">IF(ISNUMBER(E1671),D1671*E1671,"")</f>
        <v/>
      </c>
      <c r="G1671" s="153">
        <f>IF($K1671="Padrão",BDI!$B$17,IF($K1671="Diferenciado",BDI!$E$17,0))</f>
        <v>0.2039</v>
      </c>
      <c r="H1671" s="151" t="str">
        <f t="shared" si="78"/>
        <v/>
      </c>
      <c r="I1671" s="152" t="str">
        <f t="shared" si="79"/>
        <v/>
      </c>
      <c r="J1671" s="154"/>
      <c r="K1671" s="155" t="s">
        <v>2966</v>
      </c>
    </row>
    <row r="1672" spans="1:11" hidden="1" x14ac:dyDescent="0.25">
      <c r="A1672" s="148" t="s">
        <v>5450</v>
      </c>
      <c r="B1672" s="149" t="s">
        <v>5451</v>
      </c>
      <c r="C1672" s="150" t="s">
        <v>18</v>
      </c>
      <c r="D1672" s="150">
        <v>0</v>
      </c>
      <c r="E1672" s="151" t="s">
        <v>13</v>
      </c>
      <c r="F1672" s="152" t="str">
        <f t="shared" si="80"/>
        <v/>
      </c>
      <c r="G1672" s="153">
        <f>IF($K1672="Padrão",BDI!$B$17,IF($K1672="Diferenciado",BDI!$E$17,0))</f>
        <v>0.2039</v>
      </c>
      <c r="H1672" s="151" t="str">
        <f t="shared" si="78"/>
        <v/>
      </c>
      <c r="I1672" s="152" t="str">
        <f t="shared" si="79"/>
        <v/>
      </c>
      <c r="J1672" s="154"/>
      <c r="K1672" s="155" t="s">
        <v>2966</v>
      </c>
    </row>
    <row r="1673" spans="1:11" hidden="1" x14ac:dyDescent="0.25">
      <c r="A1673" s="148" t="s">
        <v>5452</v>
      </c>
      <c r="B1673" s="149" t="s">
        <v>5453</v>
      </c>
      <c r="C1673" s="150" t="s">
        <v>18</v>
      </c>
      <c r="D1673" s="150">
        <v>0</v>
      </c>
      <c r="E1673" s="151" t="s">
        <v>13</v>
      </c>
      <c r="F1673" s="152" t="str">
        <f t="shared" si="80"/>
        <v/>
      </c>
      <c r="G1673" s="153">
        <f>IF($K1673="Padrão",BDI!$B$17,IF($K1673="Diferenciado",BDI!$E$17,0))</f>
        <v>0.2039</v>
      </c>
      <c r="H1673" s="151" t="str">
        <f t="shared" si="78"/>
        <v/>
      </c>
      <c r="I1673" s="152" t="str">
        <f t="shared" si="79"/>
        <v/>
      </c>
      <c r="J1673" s="154"/>
      <c r="K1673" s="155" t="s">
        <v>2966</v>
      </c>
    </row>
    <row r="1674" spans="1:11" hidden="1" x14ac:dyDescent="0.25">
      <c r="A1674" s="148" t="s">
        <v>5454</v>
      </c>
      <c r="B1674" s="149" t="s">
        <v>5455</v>
      </c>
      <c r="C1674" s="150" t="s">
        <v>18</v>
      </c>
      <c r="D1674" s="150">
        <v>0</v>
      </c>
      <c r="E1674" s="151" t="s">
        <v>13</v>
      </c>
      <c r="F1674" s="152" t="str">
        <f t="shared" si="80"/>
        <v/>
      </c>
      <c r="G1674" s="153">
        <f>IF($K1674="Padrão",BDI!$B$17,IF($K1674="Diferenciado",BDI!$E$17,0))</f>
        <v>0.2039</v>
      </c>
      <c r="H1674" s="151" t="str">
        <f t="shared" si="78"/>
        <v/>
      </c>
      <c r="I1674" s="152" t="str">
        <f t="shared" si="79"/>
        <v/>
      </c>
      <c r="J1674" s="154"/>
      <c r="K1674" s="155" t="s">
        <v>2966</v>
      </c>
    </row>
    <row r="1675" spans="1:11" hidden="1" x14ac:dyDescent="0.25">
      <c r="A1675" s="148" t="s">
        <v>5456</v>
      </c>
      <c r="B1675" s="149" t="s">
        <v>5457</v>
      </c>
      <c r="C1675" s="150" t="s">
        <v>18</v>
      </c>
      <c r="D1675" s="150">
        <v>0</v>
      </c>
      <c r="E1675" s="151" t="s">
        <v>13</v>
      </c>
      <c r="F1675" s="152" t="str">
        <f t="shared" si="80"/>
        <v/>
      </c>
      <c r="G1675" s="153">
        <f>IF($K1675="Padrão",BDI!$B$17,IF($K1675="Diferenciado",BDI!$E$17,0))</f>
        <v>0.2039</v>
      </c>
      <c r="H1675" s="151" t="str">
        <f t="shared" si="78"/>
        <v/>
      </c>
      <c r="I1675" s="152" t="str">
        <f t="shared" si="79"/>
        <v/>
      </c>
      <c r="J1675" s="154"/>
      <c r="K1675" s="155" t="s">
        <v>2966</v>
      </c>
    </row>
    <row r="1676" spans="1:11" hidden="1" x14ac:dyDescent="0.25">
      <c r="A1676" s="148" t="s">
        <v>5458</v>
      </c>
      <c r="B1676" s="149" t="s">
        <v>5459</v>
      </c>
      <c r="C1676" s="150" t="s">
        <v>18</v>
      </c>
      <c r="D1676" s="150">
        <v>0</v>
      </c>
      <c r="E1676" s="151" t="s">
        <v>13</v>
      </c>
      <c r="F1676" s="152" t="str">
        <f t="shared" si="80"/>
        <v/>
      </c>
      <c r="G1676" s="153">
        <f>IF($K1676="Padrão",BDI!$B$17,IF($K1676="Diferenciado",BDI!$E$17,0))</f>
        <v>0.2039</v>
      </c>
      <c r="H1676" s="151" t="str">
        <f t="shared" si="78"/>
        <v/>
      </c>
      <c r="I1676" s="152" t="str">
        <f t="shared" si="79"/>
        <v/>
      </c>
      <c r="J1676" s="154"/>
      <c r="K1676" s="155" t="s">
        <v>2966</v>
      </c>
    </row>
    <row r="1677" spans="1:11" hidden="1" x14ac:dyDescent="0.25">
      <c r="A1677" s="148" t="s">
        <v>5460</v>
      </c>
      <c r="B1677" s="149" t="s">
        <v>5461</v>
      </c>
      <c r="C1677" s="150" t="s">
        <v>18</v>
      </c>
      <c r="D1677" s="150">
        <v>0</v>
      </c>
      <c r="E1677" s="151" t="s">
        <v>13</v>
      </c>
      <c r="F1677" s="152" t="str">
        <f t="shared" si="80"/>
        <v/>
      </c>
      <c r="G1677" s="153">
        <f>IF($K1677="Padrão",BDI!$B$17,IF($K1677="Diferenciado",BDI!$E$17,0))</f>
        <v>0.2039</v>
      </c>
      <c r="H1677" s="151" t="str">
        <f t="shared" si="78"/>
        <v/>
      </c>
      <c r="I1677" s="152" t="str">
        <f t="shared" si="79"/>
        <v/>
      </c>
      <c r="J1677" s="154"/>
      <c r="K1677" s="155" t="s">
        <v>2966</v>
      </c>
    </row>
    <row r="1678" spans="1:11" hidden="1" x14ac:dyDescent="0.25">
      <c r="A1678" s="148" t="s">
        <v>5462</v>
      </c>
      <c r="B1678" s="149" t="s">
        <v>5463</v>
      </c>
      <c r="C1678" s="150" t="s">
        <v>18</v>
      </c>
      <c r="D1678" s="150">
        <v>0</v>
      </c>
      <c r="E1678" s="151" t="s">
        <v>13</v>
      </c>
      <c r="F1678" s="152" t="str">
        <f t="shared" si="80"/>
        <v/>
      </c>
      <c r="G1678" s="153">
        <f>IF($K1678="Padrão",BDI!$B$17,IF($K1678="Diferenciado",BDI!$E$17,0))</f>
        <v>0.2039</v>
      </c>
      <c r="H1678" s="151" t="str">
        <f t="shared" si="78"/>
        <v/>
      </c>
      <c r="I1678" s="152" t="str">
        <f t="shared" si="79"/>
        <v/>
      </c>
      <c r="J1678" s="154"/>
      <c r="K1678" s="155" t="s">
        <v>2966</v>
      </c>
    </row>
    <row r="1679" spans="1:11" hidden="1" x14ac:dyDescent="0.25">
      <c r="A1679" s="148" t="s">
        <v>5464</v>
      </c>
      <c r="B1679" s="149" t="s">
        <v>5465</v>
      </c>
      <c r="C1679" s="150" t="s">
        <v>18</v>
      </c>
      <c r="D1679" s="150">
        <v>0</v>
      </c>
      <c r="E1679" s="151" t="s">
        <v>13</v>
      </c>
      <c r="F1679" s="152" t="str">
        <f t="shared" si="80"/>
        <v/>
      </c>
      <c r="G1679" s="153">
        <f>IF($K1679="Padrão",BDI!$B$17,IF($K1679="Diferenciado",BDI!$E$17,0))</f>
        <v>0.2039</v>
      </c>
      <c r="H1679" s="151" t="str">
        <f t="shared" si="78"/>
        <v/>
      </c>
      <c r="I1679" s="152" t="str">
        <f t="shared" si="79"/>
        <v/>
      </c>
      <c r="J1679" s="154"/>
      <c r="K1679" s="155" t="s">
        <v>2966</v>
      </c>
    </row>
    <row r="1680" spans="1:11" hidden="1" x14ac:dyDescent="0.25">
      <c r="A1680" s="148" t="s">
        <v>5466</v>
      </c>
      <c r="B1680" s="149" t="s">
        <v>5467</v>
      </c>
      <c r="C1680" s="150" t="s">
        <v>18</v>
      </c>
      <c r="D1680" s="150">
        <v>0</v>
      </c>
      <c r="E1680" s="151" t="s">
        <v>13</v>
      </c>
      <c r="F1680" s="152" t="str">
        <f t="shared" si="80"/>
        <v/>
      </c>
      <c r="G1680" s="153">
        <f>IF($K1680="Padrão",BDI!$B$17,IF($K1680="Diferenciado",BDI!$E$17,0))</f>
        <v>0.2039</v>
      </c>
      <c r="H1680" s="151" t="str">
        <f t="shared" si="78"/>
        <v/>
      </c>
      <c r="I1680" s="152" t="str">
        <f t="shared" si="79"/>
        <v/>
      </c>
      <c r="J1680" s="154"/>
      <c r="K1680" s="155" t="s">
        <v>2966</v>
      </c>
    </row>
    <row r="1681" spans="1:11" hidden="1" x14ac:dyDescent="0.25">
      <c r="A1681" s="148" t="s">
        <v>5468</v>
      </c>
      <c r="B1681" s="149" t="s">
        <v>5469</v>
      </c>
      <c r="C1681" s="150" t="s">
        <v>18</v>
      </c>
      <c r="D1681" s="150">
        <v>0</v>
      </c>
      <c r="E1681" s="151" t="s">
        <v>13</v>
      </c>
      <c r="F1681" s="152" t="str">
        <f t="shared" si="80"/>
        <v/>
      </c>
      <c r="G1681" s="153">
        <f>IF($K1681="Padrão",BDI!$B$17,IF($K1681="Diferenciado",BDI!$E$17,0))</f>
        <v>0.2039</v>
      </c>
      <c r="H1681" s="151" t="str">
        <f t="shared" si="78"/>
        <v/>
      </c>
      <c r="I1681" s="152" t="str">
        <f t="shared" si="79"/>
        <v/>
      </c>
      <c r="J1681" s="154"/>
      <c r="K1681" s="155" t="s">
        <v>2966</v>
      </c>
    </row>
    <row r="1682" spans="1:11" hidden="1" x14ac:dyDescent="0.25">
      <c r="A1682" s="148" t="s">
        <v>5470</v>
      </c>
      <c r="B1682" s="149" t="s">
        <v>5471</v>
      </c>
      <c r="C1682" s="150" t="s">
        <v>18</v>
      </c>
      <c r="D1682" s="150">
        <v>0</v>
      </c>
      <c r="E1682" s="151" t="s">
        <v>13</v>
      </c>
      <c r="F1682" s="152" t="str">
        <f t="shared" si="80"/>
        <v/>
      </c>
      <c r="G1682" s="153">
        <f>IF($K1682="Padrão",BDI!$B$17,IF($K1682="Diferenciado",BDI!$E$17,0))</f>
        <v>0.2039</v>
      </c>
      <c r="H1682" s="151" t="str">
        <f t="shared" si="78"/>
        <v/>
      </c>
      <c r="I1682" s="152" t="str">
        <f t="shared" si="79"/>
        <v/>
      </c>
      <c r="J1682" s="154"/>
      <c r="K1682" s="155" t="s">
        <v>2966</v>
      </c>
    </row>
    <row r="1683" spans="1:11" hidden="1" x14ac:dyDescent="0.25">
      <c r="A1683" s="148" t="s">
        <v>5472</v>
      </c>
      <c r="B1683" s="149" t="s">
        <v>5473</v>
      </c>
      <c r="C1683" s="150" t="s">
        <v>18</v>
      </c>
      <c r="D1683" s="150">
        <v>0</v>
      </c>
      <c r="E1683" s="151" t="s">
        <v>13</v>
      </c>
      <c r="F1683" s="152" t="str">
        <f t="shared" si="80"/>
        <v/>
      </c>
      <c r="G1683" s="153">
        <f>IF($K1683="Padrão",BDI!$B$17,IF($K1683="Diferenciado",BDI!$E$17,0))</f>
        <v>0.2039</v>
      </c>
      <c r="H1683" s="151" t="str">
        <f t="shared" si="78"/>
        <v/>
      </c>
      <c r="I1683" s="152" t="str">
        <f t="shared" si="79"/>
        <v/>
      </c>
      <c r="J1683" s="154"/>
      <c r="K1683" s="155" t="s">
        <v>2966</v>
      </c>
    </row>
    <row r="1684" spans="1:11" hidden="1" x14ac:dyDescent="0.25">
      <c r="A1684" s="148" t="s">
        <v>5474</v>
      </c>
      <c r="B1684" s="149" t="s">
        <v>5475</v>
      </c>
      <c r="C1684" s="150" t="s">
        <v>18</v>
      </c>
      <c r="D1684" s="150">
        <v>0</v>
      </c>
      <c r="E1684" s="151" t="s">
        <v>13</v>
      </c>
      <c r="F1684" s="152" t="str">
        <f t="shared" si="80"/>
        <v/>
      </c>
      <c r="G1684" s="153">
        <f>IF($K1684="Padrão",BDI!$B$17,IF($K1684="Diferenciado",BDI!$E$17,0))</f>
        <v>0.2039</v>
      </c>
      <c r="H1684" s="151" t="str">
        <f t="shared" si="78"/>
        <v/>
      </c>
      <c r="I1684" s="152" t="str">
        <f t="shared" si="79"/>
        <v/>
      </c>
      <c r="J1684" s="154"/>
      <c r="K1684" s="155" t="s">
        <v>2966</v>
      </c>
    </row>
    <row r="1685" spans="1:11" hidden="1" x14ac:dyDescent="0.25">
      <c r="A1685" s="148" t="s">
        <v>5476</v>
      </c>
      <c r="B1685" s="149" t="s">
        <v>5477</v>
      </c>
      <c r="C1685" s="150" t="s">
        <v>18</v>
      </c>
      <c r="D1685" s="150">
        <v>0</v>
      </c>
      <c r="E1685" s="151" t="s">
        <v>13</v>
      </c>
      <c r="F1685" s="152" t="str">
        <f t="shared" si="80"/>
        <v/>
      </c>
      <c r="G1685" s="153">
        <f>IF($K1685="Padrão",BDI!$B$17,IF($K1685="Diferenciado",BDI!$E$17,0))</f>
        <v>0.2039</v>
      </c>
      <c r="H1685" s="151" t="str">
        <f t="shared" si="78"/>
        <v/>
      </c>
      <c r="I1685" s="152" t="str">
        <f t="shared" si="79"/>
        <v/>
      </c>
      <c r="J1685" s="154"/>
      <c r="K1685" s="155" t="s">
        <v>2966</v>
      </c>
    </row>
    <row r="1686" spans="1:11" hidden="1" x14ac:dyDescent="0.25">
      <c r="A1686" s="148" t="s">
        <v>5478</v>
      </c>
      <c r="B1686" s="149" t="s">
        <v>5479</v>
      </c>
      <c r="C1686" s="150" t="s">
        <v>18</v>
      </c>
      <c r="D1686" s="150">
        <v>0</v>
      </c>
      <c r="E1686" s="151" t="s">
        <v>13</v>
      </c>
      <c r="F1686" s="152" t="str">
        <f t="shared" si="80"/>
        <v/>
      </c>
      <c r="G1686" s="153">
        <f>IF($K1686="Padrão",BDI!$B$17,IF($K1686="Diferenciado",BDI!$E$17,0))</f>
        <v>0.2039</v>
      </c>
      <c r="H1686" s="151" t="str">
        <f t="shared" si="78"/>
        <v/>
      </c>
      <c r="I1686" s="152" t="str">
        <f t="shared" si="79"/>
        <v/>
      </c>
      <c r="J1686" s="154"/>
      <c r="K1686" s="155" t="s">
        <v>2966</v>
      </c>
    </row>
    <row r="1687" spans="1:11" hidden="1" x14ac:dyDescent="0.25">
      <c r="A1687" s="148" t="s">
        <v>5480</v>
      </c>
      <c r="B1687" s="149" t="s">
        <v>5481</v>
      </c>
      <c r="C1687" s="150" t="s">
        <v>18</v>
      </c>
      <c r="D1687" s="150">
        <v>0</v>
      </c>
      <c r="E1687" s="151" t="s">
        <v>13</v>
      </c>
      <c r="F1687" s="152" t="str">
        <f t="shared" si="80"/>
        <v/>
      </c>
      <c r="G1687" s="153">
        <f>IF($K1687="Padrão",BDI!$B$17,IF($K1687="Diferenciado",BDI!$E$17,0))</f>
        <v>0.2039</v>
      </c>
      <c r="H1687" s="151" t="str">
        <f t="shared" si="78"/>
        <v/>
      </c>
      <c r="I1687" s="152" t="str">
        <f t="shared" si="79"/>
        <v/>
      </c>
      <c r="J1687" s="154"/>
      <c r="K1687" s="155" t="s">
        <v>2966</v>
      </c>
    </row>
    <row r="1688" spans="1:11" hidden="1" x14ac:dyDescent="0.25">
      <c r="A1688" s="148" t="s">
        <v>5482</v>
      </c>
      <c r="B1688" s="149" t="s">
        <v>5483</v>
      </c>
      <c r="C1688" s="150" t="s">
        <v>18</v>
      </c>
      <c r="D1688" s="150">
        <v>0</v>
      </c>
      <c r="E1688" s="151" t="s">
        <v>13</v>
      </c>
      <c r="F1688" s="152" t="str">
        <f t="shared" si="80"/>
        <v/>
      </c>
      <c r="G1688" s="153">
        <f>IF($K1688="Padrão",BDI!$B$17,IF($K1688="Diferenciado",BDI!$E$17,0))</f>
        <v>0.2039</v>
      </c>
      <c r="H1688" s="151" t="str">
        <f t="shared" si="78"/>
        <v/>
      </c>
      <c r="I1688" s="152" t="str">
        <f t="shared" si="79"/>
        <v/>
      </c>
      <c r="J1688" s="154"/>
      <c r="K1688" s="155" t="s">
        <v>2966</v>
      </c>
    </row>
    <row r="1689" spans="1:11" hidden="1" x14ac:dyDescent="0.25">
      <c r="A1689" s="148" t="s">
        <v>5484</v>
      </c>
      <c r="B1689" s="149" t="s">
        <v>5485</v>
      </c>
      <c r="C1689" s="150" t="s">
        <v>18</v>
      </c>
      <c r="D1689" s="150">
        <v>0</v>
      </c>
      <c r="E1689" s="151" t="s">
        <v>13</v>
      </c>
      <c r="F1689" s="152" t="str">
        <f t="shared" si="80"/>
        <v/>
      </c>
      <c r="G1689" s="153">
        <f>IF($K1689="Padrão",BDI!$B$17,IF($K1689="Diferenciado",BDI!$E$17,0))</f>
        <v>0.2039</v>
      </c>
      <c r="H1689" s="151" t="str">
        <f t="shared" si="78"/>
        <v/>
      </c>
      <c r="I1689" s="152" t="str">
        <f t="shared" si="79"/>
        <v/>
      </c>
      <c r="J1689" s="154"/>
      <c r="K1689" s="155" t="s">
        <v>2966</v>
      </c>
    </row>
    <row r="1690" spans="1:11" hidden="1" x14ac:dyDescent="0.25">
      <c r="A1690" s="148" t="s">
        <v>5486</v>
      </c>
      <c r="B1690" s="149" t="s">
        <v>5487</v>
      </c>
      <c r="C1690" s="150" t="s">
        <v>18</v>
      </c>
      <c r="D1690" s="150">
        <v>0</v>
      </c>
      <c r="E1690" s="151" t="s">
        <v>13</v>
      </c>
      <c r="F1690" s="152" t="str">
        <f t="shared" si="80"/>
        <v/>
      </c>
      <c r="G1690" s="153">
        <f>IF($K1690="Padrão",BDI!$B$17,IF($K1690="Diferenciado",BDI!$E$17,0))</f>
        <v>0.2039</v>
      </c>
      <c r="H1690" s="151" t="str">
        <f t="shared" si="78"/>
        <v/>
      </c>
      <c r="I1690" s="152" t="str">
        <f t="shared" si="79"/>
        <v/>
      </c>
      <c r="J1690" s="154"/>
      <c r="K1690" s="155" t="s">
        <v>2966</v>
      </c>
    </row>
    <row r="1691" spans="1:11" hidden="1" x14ac:dyDescent="0.25">
      <c r="A1691" s="148" t="s">
        <v>5488</v>
      </c>
      <c r="B1691" s="149" t="s">
        <v>5489</v>
      </c>
      <c r="C1691" s="150" t="s">
        <v>18</v>
      </c>
      <c r="D1691" s="150">
        <v>0</v>
      </c>
      <c r="E1691" s="151" t="s">
        <v>13</v>
      </c>
      <c r="F1691" s="152" t="str">
        <f t="shared" si="80"/>
        <v/>
      </c>
      <c r="G1691" s="153">
        <f>IF($K1691="Padrão",BDI!$B$17,IF($K1691="Diferenciado",BDI!$E$17,0))</f>
        <v>0.2039</v>
      </c>
      <c r="H1691" s="151" t="str">
        <f t="shared" si="78"/>
        <v/>
      </c>
      <c r="I1691" s="152" t="str">
        <f t="shared" si="79"/>
        <v/>
      </c>
      <c r="J1691" s="154"/>
      <c r="K1691" s="155" t="s">
        <v>2966</v>
      </c>
    </row>
    <row r="1692" spans="1:11" hidden="1" x14ac:dyDescent="0.25">
      <c r="A1692" s="148" t="s">
        <v>5490</v>
      </c>
      <c r="B1692" s="149" t="s">
        <v>5491</v>
      </c>
      <c r="C1692" s="150" t="s">
        <v>18</v>
      </c>
      <c r="D1692" s="150">
        <v>0</v>
      </c>
      <c r="E1692" s="151" t="s">
        <v>13</v>
      </c>
      <c r="F1692" s="152" t="str">
        <f t="shared" si="80"/>
        <v/>
      </c>
      <c r="G1692" s="153">
        <f>IF($K1692="Padrão",BDI!$B$17,IF($K1692="Diferenciado",BDI!$E$17,0))</f>
        <v>0.2039</v>
      </c>
      <c r="H1692" s="151" t="str">
        <f t="shared" si="78"/>
        <v/>
      </c>
      <c r="I1692" s="152" t="str">
        <f t="shared" si="79"/>
        <v/>
      </c>
      <c r="J1692" s="154"/>
      <c r="K1692" s="155" t="s">
        <v>2966</v>
      </c>
    </row>
    <row r="1693" spans="1:11" hidden="1" x14ac:dyDescent="0.25">
      <c r="A1693" s="148" t="s">
        <v>5492</v>
      </c>
      <c r="B1693" s="149" t="s">
        <v>5493</v>
      </c>
      <c r="C1693" s="150" t="s">
        <v>18</v>
      </c>
      <c r="D1693" s="150">
        <v>0</v>
      </c>
      <c r="E1693" s="151" t="s">
        <v>13</v>
      </c>
      <c r="F1693" s="152" t="str">
        <f t="shared" si="80"/>
        <v/>
      </c>
      <c r="G1693" s="153">
        <f>IF($K1693="Padrão",BDI!$B$17,IF($K1693="Diferenciado",BDI!$E$17,0))</f>
        <v>0.2039</v>
      </c>
      <c r="H1693" s="151" t="str">
        <f t="shared" si="78"/>
        <v/>
      </c>
      <c r="I1693" s="152" t="str">
        <f t="shared" si="79"/>
        <v/>
      </c>
      <c r="J1693" s="154"/>
      <c r="K1693" s="155" t="s">
        <v>2966</v>
      </c>
    </row>
    <row r="1694" spans="1:11" hidden="1" x14ac:dyDescent="0.25">
      <c r="A1694" s="148" t="s">
        <v>5494</v>
      </c>
      <c r="B1694" s="149" t="s">
        <v>5495</v>
      </c>
      <c r="C1694" s="150" t="s">
        <v>18</v>
      </c>
      <c r="D1694" s="150">
        <v>0</v>
      </c>
      <c r="E1694" s="151" t="s">
        <v>13</v>
      </c>
      <c r="F1694" s="152" t="str">
        <f t="shared" si="80"/>
        <v/>
      </c>
      <c r="G1694" s="153">
        <f>IF($K1694="Padrão",BDI!$B$17,IF($K1694="Diferenciado",BDI!$E$17,0))</f>
        <v>0.2039</v>
      </c>
      <c r="H1694" s="151" t="str">
        <f t="shared" si="78"/>
        <v/>
      </c>
      <c r="I1694" s="152" t="str">
        <f t="shared" si="79"/>
        <v/>
      </c>
      <c r="J1694" s="154"/>
      <c r="K1694" s="155" t="s">
        <v>2966</v>
      </c>
    </row>
    <row r="1695" spans="1:11" hidden="1" x14ac:dyDescent="0.25">
      <c r="A1695" s="148" t="s">
        <v>5496</v>
      </c>
      <c r="B1695" s="149" t="s">
        <v>5497</v>
      </c>
      <c r="C1695" s="150" t="s">
        <v>18</v>
      </c>
      <c r="D1695" s="150">
        <v>0</v>
      </c>
      <c r="E1695" s="151" t="s">
        <v>13</v>
      </c>
      <c r="F1695" s="152" t="str">
        <f t="shared" si="80"/>
        <v/>
      </c>
      <c r="G1695" s="153">
        <f>IF($K1695="Padrão",BDI!$B$17,IF($K1695="Diferenciado",BDI!$E$17,0))</f>
        <v>0.2039</v>
      </c>
      <c r="H1695" s="151" t="str">
        <f t="shared" si="78"/>
        <v/>
      </c>
      <c r="I1695" s="152" t="str">
        <f t="shared" si="79"/>
        <v/>
      </c>
      <c r="J1695" s="154"/>
      <c r="K1695" s="155" t="s">
        <v>2966</v>
      </c>
    </row>
    <row r="1696" spans="1:11" hidden="1" x14ac:dyDescent="0.25">
      <c r="A1696" s="148" t="s">
        <v>5498</v>
      </c>
      <c r="B1696" s="149" t="s">
        <v>5499</v>
      </c>
      <c r="C1696" s="150" t="s">
        <v>18</v>
      </c>
      <c r="D1696" s="150">
        <v>0</v>
      </c>
      <c r="E1696" s="151" t="s">
        <v>13</v>
      </c>
      <c r="F1696" s="152" t="str">
        <f t="shared" si="80"/>
        <v/>
      </c>
      <c r="G1696" s="153">
        <f>IF($K1696="Padrão",BDI!$B$17,IF($K1696="Diferenciado",BDI!$E$17,0))</f>
        <v>0.2039</v>
      </c>
      <c r="H1696" s="151" t="str">
        <f t="shared" si="78"/>
        <v/>
      </c>
      <c r="I1696" s="152" t="str">
        <f t="shared" si="79"/>
        <v/>
      </c>
      <c r="J1696" s="154"/>
      <c r="K1696" s="155" t="s">
        <v>2966</v>
      </c>
    </row>
    <row r="1697" spans="1:11" hidden="1" x14ac:dyDescent="0.25">
      <c r="A1697" s="148" t="s">
        <v>5500</v>
      </c>
      <c r="B1697" s="149" t="s">
        <v>5501</v>
      </c>
      <c r="C1697" s="150" t="s">
        <v>18</v>
      </c>
      <c r="D1697" s="150">
        <v>0</v>
      </c>
      <c r="E1697" s="151" t="s">
        <v>13</v>
      </c>
      <c r="F1697" s="152" t="str">
        <f t="shared" si="80"/>
        <v/>
      </c>
      <c r="G1697" s="153">
        <f>IF($K1697="Padrão",BDI!$B$17,IF($K1697="Diferenciado",BDI!$E$17,0))</f>
        <v>0.2039</v>
      </c>
      <c r="H1697" s="151" t="str">
        <f t="shared" si="78"/>
        <v/>
      </c>
      <c r="I1697" s="152" t="str">
        <f t="shared" si="79"/>
        <v/>
      </c>
      <c r="J1697" s="154"/>
      <c r="K1697" s="155" t="s">
        <v>2966</v>
      </c>
    </row>
    <row r="1698" spans="1:11" hidden="1" x14ac:dyDescent="0.25">
      <c r="A1698" s="148" t="s">
        <v>5502</v>
      </c>
      <c r="B1698" s="149" t="s">
        <v>5503</v>
      </c>
      <c r="C1698" s="150" t="s">
        <v>18</v>
      </c>
      <c r="D1698" s="150">
        <v>0</v>
      </c>
      <c r="E1698" s="151" t="s">
        <v>13</v>
      </c>
      <c r="F1698" s="152" t="str">
        <f t="shared" si="80"/>
        <v/>
      </c>
      <c r="G1698" s="153">
        <f>IF($K1698="Padrão",BDI!$B$17,IF($K1698="Diferenciado",BDI!$E$17,0))</f>
        <v>0.2039</v>
      </c>
      <c r="H1698" s="151" t="str">
        <f t="shared" si="78"/>
        <v/>
      </c>
      <c r="I1698" s="152" t="str">
        <f t="shared" si="79"/>
        <v/>
      </c>
      <c r="J1698" s="154"/>
      <c r="K1698" s="155" t="s">
        <v>2966</v>
      </c>
    </row>
    <row r="1699" spans="1:11" hidden="1" x14ac:dyDescent="0.25">
      <c r="A1699" s="148" t="s">
        <v>5504</v>
      </c>
      <c r="B1699" s="149" t="s">
        <v>5505</v>
      </c>
      <c r="C1699" s="150" t="s">
        <v>18</v>
      </c>
      <c r="D1699" s="150">
        <v>0</v>
      </c>
      <c r="E1699" s="151" t="s">
        <v>13</v>
      </c>
      <c r="F1699" s="152" t="str">
        <f t="shared" si="80"/>
        <v/>
      </c>
      <c r="G1699" s="153">
        <f>IF($K1699="Padrão",BDI!$B$17,IF($K1699="Diferenciado",BDI!$E$17,0))</f>
        <v>0.2039</v>
      </c>
      <c r="H1699" s="151" t="str">
        <f t="shared" si="78"/>
        <v/>
      </c>
      <c r="I1699" s="152" t="str">
        <f t="shared" si="79"/>
        <v/>
      </c>
      <c r="J1699" s="154"/>
      <c r="K1699" s="155" t="s">
        <v>2966</v>
      </c>
    </row>
    <row r="1700" spans="1:11" hidden="1" x14ac:dyDescent="0.25">
      <c r="A1700" s="148" t="s">
        <v>5506</v>
      </c>
      <c r="B1700" s="149" t="s">
        <v>5507</v>
      </c>
      <c r="C1700" s="150" t="s">
        <v>18</v>
      </c>
      <c r="D1700" s="150">
        <v>0</v>
      </c>
      <c r="E1700" s="151" t="s">
        <v>13</v>
      </c>
      <c r="F1700" s="152" t="str">
        <f t="shared" si="80"/>
        <v/>
      </c>
      <c r="G1700" s="153">
        <f>IF($K1700="Padrão",BDI!$B$17,IF($K1700="Diferenciado",BDI!$E$17,0))</f>
        <v>0.2039</v>
      </c>
      <c r="H1700" s="151" t="str">
        <f t="shared" si="78"/>
        <v/>
      </c>
      <c r="I1700" s="152" t="str">
        <f t="shared" si="79"/>
        <v/>
      </c>
      <c r="J1700" s="154"/>
      <c r="K1700" s="155" t="s">
        <v>2966</v>
      </c>
    </row>
    <row r="1701" spans="1:11" hidden="1" x14ac:dyDescent="0.25">
      <c r="A1701" s="148" t="s">
        <v>5508</v>
      </c>
      <c r="B1701" s="149" t="s">
        <v>5509</v>
      </c>
      <c r="C1701" s="150" t="s">
        <v>18</v>
      </c>
      <c r="D1701" s="150">
        <v>0</v>
      </c>
      <c r="E1701" s="151" t="s">
        <v>13</v>
      </c>
      <c r="F1701" s="152" t="str">
        <f t="shared" si="80"/>
        <v/>
      </c>
      <c r="G1701" s="153">
        <f>IF($K1701="Padrão",BDI!$B$17,IF($K1701="Diferenciado",BDI!$E$17,0))</f>
        <v>0.2039</v>
      </c>
      <c r="H1701" s="151" t="str">
        <f t="shared" si="78"/>
        <v/>
      </c>
      <c r="I1701" s="152" t="str">
        <f t="shared" si="79"/>
        <v/>
      </c>
      <c r="J1701" s="154"/>
      <c r="K1701" s="155" t="s">
        <v>2966</v>
      </c>
    </row>
    <row r="1702" spans="1:11" hidden="1" x14ac:dyDescent="0.25">
      <c r="A1702" s="148" t="s">
        <v>5510</v>
      </c>
      <c r="B1702" s="149" t="s">
        <v>5511</v>
      </c>
      <c r="C1702" s="150" t="s">
        <v>18</v>
      </c>
      <c r="D1702" s="150">
        <v>0</v>
      </c>
      <c r="E1702" s="151" t="s">
        <v>13</v>
      </c>
      <c r="F1702" s="152" t="str">
        <f t="shared" si="80"/>
        <v/>
      </c>
      <c r="G1702" s="153">
        <f>IF($K1702="Padrão",BDI!$B$17,IF($K1702="Diferenciado",BDI!$E$17,0))</f>
        <v>0.2039</v>
      </c>
      <c r="H1702" s="151" t="str">
        <f t="shared" si="78"/>
        <v/>
      </c>
      <c r="I1702" s="152" t="str">
        <f t="shared" si="79"/>
        <v/>
      </c>
      <c r="J1702" s="154"/>
      <c r="K1702" s="155" t="s">
        <v>2966</v>
      </c>
    </row>
    <row r="1703" spans="1:11" hidden="1" x14ac:dyDescent="0.25">
      <c r="A1703" s="148" t="s">
        <v>5512</v>
      </c>
      <c r="B1703" s="149" t="s">
        <v>5513</v>
      </c>
      <c r="C1703" s="150" t="s">
        <v>18</v>
      </c>
      <c r="D1703" s="150">
        <v>0</v>
      </c>
      <c r="E1703" s="151" t="s">
        <v>13</v>
      </c>
      <c r="F1703" s="152" t="str">
        <f t="shared" si="80"/>
        <v/>
      </c>
      <c r="G1703" s="153">
        <f>IF($K1703="Padrão",BDI!$B$17,IF($K1703="Diferenciado",BDI!$E$17,0))</f>
        <v>0.2039</v>
      </c>
      <c r="H1703" s="151" t="str">
        <f t="shared" si="78"/>
        <v/>
      </c>
      <c r="I1703" s="152" t="str">
        <f t="shared" si="79"/>
        <v/>
      </c>
      <c r="J1703" s="154"/>
      <c r="K1703" s="155" t="s">
        <v>2966</v>
      </c>
    </row>
    <row r="1704" spans="1:11" hidden="1" x14ac:dyDescent="0.25">
      <c r="A1704" s="148" t="s">
        <v>5514</v>
      </c>
      <c r="B1704" s="149" t="s">
        <v>5515</v>
      </c>
      <c r="C1704" s="150" t="s">
        <v>18</v>
      </c>
      <c r="D1704" s="150">
        <v>0</v>
      </c>
      <c r="E1704" s="151" t="s">
        <v>13</v>
      </c>
      <c r="F1704" s="152" t="str">
        <f t="shared" si="80"/>
        <v/>
      </c>
      <c r="G1704" s="153">
        <f>IF($K1704="Padrão",BDI!$B$17,IF($K1704="Diferenciado",BDI!$E$17,0))</f>
        <v>0.2039</v>
      </c>
      <c r="H1704" s="151" t="str">
        <f t="shared" si="78"/>
        <v/>
      </c>
      <c r="I1704" s="152" t="str">
        <f t="shared" si="79"/>
        <v/>
      </c>
      <c r="J1704" s="154"/>
      <c r="K1704" s="155" t="s">
        <v>2966</v>
      </c>
    </row>
    <row r="1705" spans="1:11" hidden="1" x14ac:dyDescent="0.25">
      <c r="A1705" s="148" t="s">
        <v>5516</v>
      </c>
      <c r="B1705" s="149" t="s">
        <v>5517</v>
      </c>
      <c r="C1705" s="150" t="s">
        <v>18</v>
      </c>
      <c r="D1705" s="150">
        <v>0</v>
      </c>
      <c r="E1705" s="151" t="s">
        <v>13</v>
      </c>
      <c r="F1705" s="152" t="str">
        <f t="shared" si="80"/>
        <v/>
      </c>
      <c r="G1705" s="153">
        <f>IF($K1705="Padrão",BDI!$B$17,IF($K1705="Diferenciado",BDI!$E$17,0))</f>
        <v>0.2039</v>
      </c>
      <c r="H1705" s="151" t="str">
        <f t="shared" si="78"/>
        <v/>
      </c>
      <c r="I1705" s="152" t="str">
        <f t="shared" si="79"/>
        <v/>
      </c>
      <c r="J1705" s="154"/>
      <c r="K1705" s="155" t="s">
        <v>2966</v>
      </c>
    </row>
    <row r="1706" spans="1:11" hidden="1" x14ac:dyDescent="0.25">
      <c r="A1706" s="148" t="s">
        <v>5518</v>
      </c>
      <c r="B1706" s="149" t="s">
        <v>5519</v>
      </c>
      <c r="C1706" s="150" t="s">
        <v>18</v>
      </c>
      <c r="D1706" s="150">
        <v>0</v>
      </c>
      <c r="E1706" s="151" t="s">
        <v>13</v>
      </c>
      <c r="F1706" s="152" t="str">
        <f t="shared" si="80"/>
        <v/>
      </c>
      <c r="G1706" s="153">
        <f>IF($K1706="Padrão",BDI!$B$17,IF($K1706="Diferenciado",BDI!$E$17,0))</f>
        <v>0.2039</v>
      </c>
      <c r="H1706" s="151" t="str">
        <f t="shared" si="78"/>
        <v/>
      </c>
      <c r="I1706" s="152" t="str">
        <f t="shared" si="79"/>
        <v/>
      </c>
      <c r="J1706" s="154"/>
      <c r="K1706" s="155" t="s">
        <v>2966</v>
      </c>
    </row>
    <row r="1707" spans="1:11" hidden="1" x14ac:dyDescent="0.25">
      <c r="A1707" s="148" t="s">
        <v>5520</v>
      </c>
      <c r="B1707" s="149" t="s">
        <v>5521</v>
      </c>
      <c r="C1707" s="150" t="s">
        <v>18</v>
      </c>
      <c r="D1707" s="150">
        <v>0</v>
      </c>
      <c r="E1707" s="151" t="s">
        <v>13</v>
      </c>
      <c r="F1707" s="152" t="str">
        <f t="shared" si="80"/>
        <v/>
      </c>
      <c r="G1707" s="153">
        <f>IF($K1707="Padrão",BDI!$B$17,IF($K1707="Diferenciado",BDI!$E$17,0))</f>
        <v>0.2039</v>
      </c>
      <c r="H1707" s="151" t="str">
        <f t="shared" si="78"/>
        <v/>
      </c>
      <c r="I1707" s="152" t="str">
        <f t="shared" si="79"/>
        <v/>
      </c>
      <c r="J1707" s="154"/>
      <c r="K1707" s="155" t="s">
        <v>2966</v>
      </c>
    </row>
    <row r="1708" spans="1:11" hidden="1" x14ac:dyDescent="0.25">
      <c r="A1708" s="148" t="s">
        <v>5522</v>
      </c>
      <c r="B1708" s="149" t="s">
        <v>5523</v>
      </c>
      <c r="C1708" s="150" t="s">
        <v>18</v>
      </c>
      <c r="D1708" s="150">
        <v>0</v>
      </c>
      <c r="E1708" s="151" t="s">
        <v>13</v>
      </c>
      <c r="F1708" s="152" t="str">
        <f t="shared" si="80"/>
        <v/>
      </c>
      <c r="G1708" s="153">
        <f>IF($K1708="Padrão",BDI!$B$17,IF($K1708="Diferenciado",BDI!$E$17,0))</f>
        <v>0.2039</v>
      </c>
      <c r="H1708" s="151" t="str">
        <f t="shared" si="78"/>
        <v/>
      </c>
      <c r="I1708" s="152" t="str">
        <f t="shared" si="79"/>
        <v/>
      </c>
      <c r="J1708" s="154"/>
      <c r="K1708" s="155" t="s">
        <v>2966</v>
      </c>
    </row>
    <row r="1709" spans="1:11" hidden="1" x14ac:dyDescent="0.25">
      <c r="A1709" s="148" t="s">
        <v>5524</v>
      </c>
      <c r="B1709" s="149" t="s">
        <v>5525</v>
      </c>
      <c r="C1709" s="150" t="s">
        <v>18</v>
      </c>
      <c r="D1709" s="150">
        <v>0</v>
      </c>
      <c r="E1709" s="151" t="s">
        <v>13</v>
      </c>
      <c r="F1709" s="152" t="str">
        <f t="shared" si="80"/>
        <v/>
      </c>
      <c r="G1709" s="153">
        <f>IF($K1709="Padrão",BDI!$B$17,IF($K1709="Diferenciado",BDI!$E$17,0))</f>
        <v>0.2039</v>
      </c>
      <c r="H1709" s="151" t="str">
        <f t="shared" si="78"/>
        <v/>
      </c>
      <c r="I1709" s="152" t="str">
        <f t="shared" si="79"/>
        <v/>
      </c>
      <c r="J1709" s="154"/>
      <c r="K1709" s="155" t="s">
        <v>2966</v>
      </c>
    </row>
    <row r="1710" spans="1:11" hidden="1" x14ac:dyDescent="0.25">
      <c r="A1710" s="148" t="s">
        <v>5526</v>
      </c>
      <c r="B1710" s="149" t="s">
        <v>5527</v>
      </c>
      <c r="C1710" s="150" t="s">
        <v>18</v>
      </c>
      <c r="D1710" s="150">
        <v>0</v>
      </c>
      <c r="E1710" s="151" t="s">
        <v>13</v>
      </c>
      <c r="F1710" s="152" t="str">
        <f t="shared" si="80"/>
        <v/>
      </c>
      <c r="G1710" s="153">
        <f>IF($K1710="Padrão",BDI!$B$17,IF($K1710="Diferenciado",BDI!$E$17,0))</f>
        <v>0.2039</v>
      </c>
      <c r="H1710" s="151" t="str">
        <f t="shared" si="78"/>
        <v/>
      </c>
      <c r="I1710" s="152" t="str">
        <f t="shared" si="79"/>
        <v/>
      </c>
      <c r="J1710" s="154"/>
      <c r="K1710" s="155" t="s">
        <v>2966</v>
      </c>
    </row>
    <row r="1711" spans="1:11" hidden="1" x14ac:dyDescent="0.25">
      <c r="A1711" s="148" t="s">
        <v>5528</v>
      </c>
      <c r="B1711" s="149" t="s">
        <v>5529</v>
      </c>
      <c r="C1711" s="150" t="s">
        <v>18</v>
      </c>
      <c r="D1711" s="150">
        <v>0</v>
      </c>
      <c r="E1711" s="151" t="s">
        <v>13</v>
      </c>
      <c r="F1711" s="152" t="str">
        <f t="shared" si="80"/>
        <v/>
      </c>
      <c r="G1711" s="153">
        <f>IF($K1711="Padrão",BDI!$B$17,IF($K1711="Diferenciado",BDI!$E$17,0))</f>
        <v>0.2039</v>
      </c>
      <c r="H1711" s="151" t="str">
        <f t="shared" si="78"/>
        <v/>
      </c>
      <c r="I1711" s="152" t="str">
        <f t="shared" si="79"/>
        <v/>
      </c>
      <c r="J1711" s="154"/>
      <c r="K1711" s="155" t="s">
        <v>2966</v>
      </c>
    </row>
    <row r="1712" spans="1:11" hidden="1" x14ac:dyDescent="0.25">
      <c r="A1712" s="148" t="s">
        <v>5530</v>
      </c>
      <c r="B1712" s="149" t="s">
        <v>5531</v>
      </c>
      <c r="C1712" s="150" t="s">
        <v>18</v>
      </c>
      <c r="D1712" s="150">
        <v>0</v>
      </c>
      <c r="E1712" s="151" t="s">
        <v>13</v>
      </c>
      <c r="F1712" s="152" t="str">
        <f t="shared" si="80"/>
        <v/>
      </c>
      <c r="G1712" s="153">
        <f>IF($K1712="Padrão",BDI!$B$17,IF($K1712="Diferenciado",BDI!$E$17,0))</f>
        <v>0.2039</v>
      </c>
      <c r="H1712" s="151" t="str">
        <f t="shared" si="78"/>
        <v/>
      </c>
      <c r="I1712" s="152" t="str">
        <f t="shared" si="79"/>
        <v/>
      </c>
      <c r="J1712" s="154"/>
      <c r="K1712" s="155" t="s">
        <v>2966</v>
      </c>
    </row>
    <row r="1713" spans="1:11" hidden="1" x14ac:dyDescent="0.25">
      <c r="A1713" s="148" t="s">
        <v>5532</v>
      </c>
      <c r="B1713" s="149" t="s">
        <v>5533</v>
      </c>
      <c r="C1713" s="150" t="s">
        <v>18</v>
      </c>
      <c r="D1713" s="150">
        <v>0</v>
      </c>
      <c r="E1713" s="151" t="s">
        <v>13</v>
      </c>
      <c r="F1713" s="152" t="str">
        <f t="shared" si="80"/>
        <v/>
      </c>
      <c r="G1713" s="153">
        <f>IF($K1713="Padrão",BDI!$B$17,IF($K1713="Diferenciado",BDI!$E$17,0))</f>
        <v>0.2039</v>
      </c>
      <c r="H1713" s="151" t="str">
        <f t="shared" si="78"/>
        <v/>
      </c>
      <c r="I1713" s="152" t="str">
        <f t="shared" si="79"/>
        <v/>
      </c>
      <c r="J1713" s="154"/>
      <c r="K1713" s="155" t="s">
        <v>2966</v>
      </c>
    </row>
    <row r="1714" spans="1:11" hidden="1" x14ac:dyDescent="0.25">
      <c r="A1714" s="148" t="s">
        <v>5534</v>
      </c>
      <c r="B1714" s="149" t="s">
        <v>5535</v>
      </c>
      <c r="C1714" s="150" t="s">
        <v>18</v>
      </c>
      <c r="D1714" s="150">
        <v>0</v>
      </c>
      <c r="E1714" s="151" t="s">
        <v>13</v>
      </c>
      <c r="F1714" s="152" t="str">
        <f t="shared" si="80"/>
        <v/>
      </c>
      <c r="G1714" s="153">
        <f>IF($K1714="Padrão",BDI!$B$17,IF($K1714="Diferenciado",BDI!$E$17,0))</f>
        <v>0.2039</v>
      </c>
      <c r="H1714" s="151" t="str">
        <f t="shared" si="78"/>
        <v/>
      </c>
      <c r="I1714" s="152" t="str">
        <f t="shared" si="79"/>
        <v/>
      </c>
      <c r="J1714" s="154"/>
      <c r="K1714" s="155" t="s">
        <v>2966</v>
      </c>
    </row>
    <row r="1715" spans="1:11" hidden="1" x14ac:dyDescent="0.25">
      <c r="A1715" s="148" t="s">
        <v>5536</v>
      </c>
      <c r="B1715" s="149" t="s">
        <v>5537</v>
      </c>
      <c r="C1715" s="150" t="s">
        <v>18</v>
      </c>
      <c r="D1715" s="150">
        <v>0</v>
      </c>
      <c r="E1715" s="151" t="s">
        <v>13</v>
      </c>
      <c r="F1715" s="152" t="str">
        <f t="shared" si="80"/>
        <v/>
      </c>
      <c r="G1715" s="153">
        <f>IF($K1715="Padrão",BDI!$B$17,IF($K1715="Diferenciado",BDI!$E$17,0))</f>
        <v>0.2039</v>
      </c>
      <c r="H1715" s="151" t="str">
        <f t="shared" si="78"/>
        <v/>
      </c>
      <c r="I1715" s="152" t="str">
        <f t="shared" si="79"/>
        <v/>
      </c>
      <c r="J1715" s="154"/>
      <c r="K1715" s="155" t="s">
        <v>2966</v>
      </c>
    </row>
    <row r="1716" spans="1:11" hidden="1" x14ac:dyDescent="0.25">
      <c r="A1716" s="148" t="s">
        <v>5538</v>
      </c>
      <c r="B1716" s="149" t="s">
        <v>5539</v>
      </c>
      <c r="C1716" s="150" t="s">
        <v>18</v>
      </c>
      <c r="D1716" s="150">
        <v>0</v>
      </c>
      <c r="E1716" s="151" t="s">
        <v>13</v>
      </c>
      <c r="F1716" s="152" t="str">
        <f t="shared" si="80"/>
        <v/>
      </c>
      <c r="G1716" s="153">
        <f>IF($K1716="Padrão",BDI!$B$17,IF($K1716="Diferenciado",BDI!$E$17,0))</f>
        <v>0.2039</v>
      </c>
      <c r="H1716" s="151" t="str">
        <f t="shared" si="78"/>
        <v/>
      </c>
      <c r="I1716" s="152" t="str">
        <f t="shared" si="79"/>
        <v/>
      </c>
      <c r="J1716" s="154"/>
      <c r="K1716" s="155" t="s">
        <v>2966</v>
      </c>
    </row>
    <row r="1717" spans="1:11" hidden="1" x14ac:dyDescent="0.25">
      <c r="A1717" s="148" t="s">
        <v>5540</v>
      </c>
      <c r="B1717" s="149" t="s">
        <v>5541</v>
      </c>
      <c r="C1717" s="150" t="s">
        <v>18</v>
      </c>
      <c r="D1717" s="150">
        <v>0</v>
      </c>
      <c r="E1717" s="151" t="s">
        <v>13</v>
      </c>
      <c r="F1717" s="152" t="str">
        <f t="shared" si="80"/>
        <v/>
      </c>
      <c r="G1717" s="153">
        <f>IF($K1717="Padrão",BDI!$B$17,IF($K1717="Diferenciado",BDI!$E$17,0))</f>
        <v>0.2039</v>
      </c>
      <c r="H1717" s="151" t="str">
        <f t="shared" si="78"/>
        <v/>
      </c>
      <c r="I1717" s="152" t="str">
        <f t="shared" si="79"/>
        <v/>
      </c>
      <c r="J1717" s="154"/>
      <c r="K1717" s="155" t="s">
        <v>2966</v>
      </c>
    </row>
    <row r="1718" spans="1:11" hidden="1" x14ac:dyDescent="0.25">
      <c r="A1718" s="148" t="s">
        <v>5542</v>
      </c>
      <c r="B1718" s="149" t="s">
        <v>5543</v>
      </c>
      <c r="C1718" s="150" t="s">
        <v>18</v>
      </c>
      <c r="D1718" s="150">
        <v>0</v>
      </c>
      <c r="E1718" s="151" t="s">
        <v>13</v>
      </c>
      <c r="F1718" s="152" t="str">
        <f t="shared" si="80"/>
        <v/>
      </c>
      <c r="G1718" s="153">
        <f>IF($K1718="Padrão",BDI!$B$17,IF($K1718="Diferenciado",BDI!$E$17,0))</f>
        <v>0.2039</v>
      </c>
      <c r="H1718" s="151" t="str">
        <f t="shared" si="78"/>
        <v/>
      </c>
      <c r="I1718" s="152" t="str">
        <f t="shared" si="79"/>
        <v/>
      </c>
      <c r="J1718" s="154"/>
      <c r="K1718" s="155" t="s">
        <v>2966</v>
      </c>
    </row>
    <row r="1719" spans="1:11" hidden="1" x14ac:dyDescent="0.25">
      <c r="A1719" s="148" t="s">
        <v>5544</v>
      </c>
      <c r="B1719" s="149" t="s">
        <v>5545</v>
      </c>
      <c r="C1719" s="150" t="s">
        <v>18</v>
      </c>
      <c r="D1719" s="150">
        <v>0</v>
      </c>
      <c r="E1719" s="151" t="s">
        <v>13</v>
      </c>
      <c r="F1719" s="152" t="str">
        <f t="shared" si="80"/>
        <v/>
      </c>
      <c r="G1719" s="153">
        <f>IF($K1719="Padrão",BDI!$B$17,IF($K1719="Diferenciado",BDI!$E$17,0))</f>
        <v>0.2039</v>
      </c>
      <c r="H1719" s="151" t="str">
        <f t="shared" si="78"/>
        <v/>
      </c>
      <c r="I1719" s="152" t="str">
        <f t="shared" si="79"/>
        <v/>
      </c>
      <c r="J1719" s="154"/>
      <c r="K1719" s="155" t="s">
        <v>2966</v>
      </c>
    </row>
    <row r="1720" spans="1:11" hidden="1" x14ac:dyDescent="0.25">
      <c r="A1720" s="148" t="s">
        <v>5546</v>
      </c>
      <c r="B1720" s="149" t="s">
        <v>5547</v>
      </c>
      <c r="C1720" s="150" t="s">
        <v>18</v>
      </c>
      <c r="D1720" s="150">
        <v>0</v>
      </c>
      <c r="E1720" s="151" t="s">
        <v>13</v>
      </c>
      <c r="F1720" s="152" t="str">
        <f t="shared" si="80"/>
        <v/>
      </c>
      <c r="G1720" s="153">
        <f>IF($K1720="Padrão",BDI!$B$17,IF($K1720="Diferenciado",BDI!$E$17,0))</f>
        <v>0.2039</v>
      </c>
      <c r="H1720" s="151" t="str">
        <f t="shared" si="78"/>
        <v/>
      </c>
      <c r="I1720" s="152" t="str">
        <f t="shared" si="79"/>
        <v/>
      </c>
      <c r="J1720" s="154"/>
      <c r="K1720" s="155" t="s">
        <v>2966</v>
      </c>
    </row>
    <row r="1721" spans="1:11" hidden="1" x14ac:dyDescent="0.25">
      <c r="A1721" s="148" t="s">
        <v>5548</v>
      </c>
      <c r="B1721" s="149" t="s">
        <v>5549</v>
      </c>
      <c r="C1721" s="150" t="s">
        <v>18</v>
      </c>
      <c r="D1721" s="150">
        <v>0</v>
      </c>
      <c r="E1721" s="151" t="s">
        <v>13</v>
      </c>
      <c r="F1721" s="152" t="str">
        <f t="shared" si="80"/>
        <v/>
      </c>
      <c r="G1721" s="153">
        <f>IF($K1721="Padrão",BDI!$B$17,IF($K1721="Diferenciado",BDI!$E$17,0))</f>
        <v>0.2039</v>
      </c>
      <c r="H1721" s="151" t="str">
        <f t="shared" si="78"/>
        <v/>
      </c>
      <c r="I1721" s="152" t="str">
        <f t="shared" si="79"/>
        <v/>
      </c>
      <c r="J1721" s="154"/>
      <c r="K1721" s="155" t="s">
        <v>2966</v>
      </c>
    </row>
    <row r="1722" spans="1:11" hidden="1" x14ac:dyDescent="0.25">
      <c r="A1722" s="148" t="s">
        <v>5550</v>
      </c>
      <c r="B1722" s="149" t="s">
        <v>5551</v>
      </c>
      <c r="C1722" s="150" t="s">
        <v>18</v>
      </c>
      <c r="D1722" s="150">
        <v>0</v>
      </c>
      <c r="E1722" s="151" t="s">
        <v>13</v>
      </c>
      <c r="F1722" s="152" t="str">
        <f t="shared" si="80"/>
        <v/>
      </c>
      <c r="G1722" s="153">
        <f>IF($K1722="Padrão",BDI!$B$17,IF($K1722="Diferenciado",BDI!$E$17,0))</f>
        <v>0.2039</v>
      </c>
      <c r="H1722" s="151" t="str">
        <f t="shared" si="78"/>
        <v/>
      </c>
      <c r="I1722" s="152" t="str">
        <f t="shared" si="79"/>
        <v/>
      </c>
      <c r="J1722" s="154"/>
      <c r="K1722" s="155" t="s">
        <v>2966</v>
      </c>
    </row>
    <row r="1723" spans="1:11" hidden="1" x14ac:dyDescent="0.25">
      <c r="A1723" s="148" t="s">
        <v>5552</v>
      </c>
      <c r="B1723" s="149" t="s">
        <v>5553</v>
      </c>
      <c r="C1723" s="150" t="s">
        <v>18</v>
      </c>
      <c r="D1723" s="150">
        <v>0</v>
      </c>
      <c r="E1723" s="151" t="s">
        <v>13</v>
      </c>
      <c r="F1723" s="152" t="str">
        <f t="shared" si="80"/>
        <v/>
      </c>
      <c r="G1723" s="153">
        <f>IF($K1723="Padrão",BDI!$B$17,IF($K1723="Diferenciado",BDI!$E$17,0))</f>
        <v>0.2039</v>
      </c>
      <c r="H1723" s="151" t="str">
        <f t="shared" si="78"/>
        <v/>
      </c>
      <c r="I1723" s="152" t="str">
        <f t="shared" si="79"/>
        <v/>
      </c>
      <c r="J1723" s="154"/>
      <c r="K1723" s="155" t="s">
        <v>2966</v>
      </c>
    </row>
    <row r="1724" spans="1:11" hidden="1" x14ac:dyDescent="0.25">
      <c r="A1724" s="148" t="s">
        <v>5554</v>
      </c>
      <c r="B1724" s="149" t="s">
        <v>5555</v>
      </c>
      <c r="C1724" s="150" t="s">
        <v>18</v>
      </c>
      <c r="D1724" s="150">
        <v>0</v>
      </c>
      <c r="E1724" s="151" t="s">
        <v>13</v>
      </c>
      <c r="F1724" s="152" t="str">
        <f t="shared" si="80"/>
        <v/>
      </c>
      <c r="G1724" s="153">
        <f>IF($K1724="Padrão",BDI!$B$17,IF($K1724="Diferenciado",BDI!$E$17,0))</f>
        <v>0.2039</v>
      </c>
      <c r="H1724" s="151" t="str">
        <f t="shared" si="78"/>
        <v/>
      </c>
      <c r="I1724" s="152" t="str">
        <f t="shared" si="79"/>
        <v/>
      </c>
      <c r="J1724" s="154"/>
      <c r="K1724" s="155" t="s">
        <v>2966</v>
      </c>
    </row>
    <row r="1725" spans="1:11" hidden="1" x14ac:dyDescent="0.25">
      <c r="A1725" s="148" t="s">
        <v>5556</v>
      </c>
      <c r="B1725" s="149" t="s">
        <v>5557</v>
      </c>
      <c r="C1725" s="150" t="s">
        <v>18</v>
      </c>
      <c r="D1725" s="150">
        <v>0</v>
      </c>
      <c r="E1725" s="151" t="s">
        <v>13</v>
      </c>
      <c r="F1725" s="152" t="str">
        <f t="shared" si="80"/>
        <v/>
      </c>
      <c r="G1725" s="153">
        <f>IF($K1725="Padrão",BDI!$B$17,IF($K1725="Diferenciado",BDI!$E$17,0))</f>
        <v>0.2039</v>
      </c>
      <c r="H1725" s="151" t="str">
        <f t="shared" si="78"/>
        <v/>
      </c>
      <c r="I1725" s="152" t="str">
        <f t="shared" si="79"/>
        <v/>
      </c>
      <c r="J1725" s="154"/>
      <c r="K1725" s="155" t="s">
        <v>2966</v>
      </c>
    </row>
    <row r="1726" spans="1:11" hidden="1" x14ac:dyDescent="0.25">
      <c r="A1726" s="148" t="s">
        <v>5558</v>
      </c>
      <c r="B1726" s="149" t="s">
        <v>5559</v>
      </c>
      <c r="C1726" s="150" t="s">
        <v>18</v>
      </c>
      <c r="D1726" s="150">
        <v>0</v>
      </c>
      <c r="E1726" s="151" t="s">
        <v>13</v>
      </c>
      <c r="F1726" s="152" t="str">
        <f t="shared" si="80"/>
        <v/>
      </c>
      <c r="G1726" s="153">
        <f>IF($K1726="Padrão",BDI!$B$17,IF($K1726="Diferenciado",BDI!$E$17,0))</f>
        <v>0.2039</v>
      </c>
      <c r="H1726" s="151" t="str">
        <f t="shared" si="78"/>
        <v/>
      </c>
      <c r="I1726" s="152" t="str">
        <f t="shared" si="79"/>
        <v/>
      </c>
      <c r="J1726" s="154"/>
      <c r="K1726" s="155" t="s">
        <v>2966</v>
      </c>
    </row>
    <row r="1727" spans="1:11" hidden="1" x14ac:dyDescent="0.25">
      <c r="A1727" s="148" t="s">
        <v>5560</v>
      </c>
      <c r="B1727" s="149" t="s">
        <v>5561</v>
      </c>
      <c r="C1727" s="150" t="s">
        <v>18</v>
      </c>
      <c r="D1727" s="150">
        <v>0</v>
      </c>
      <c r="E1727" s="151" t="s">
        <v>13</v>
      </c>
      <c r="F1727" s="152" t="str">
        <f t="shared" si="80"/>
        <v/>
      </c>
      <c r="G1727" s="153">
        <f>IF($K1727="Padrão",BDI!$B$17,IF($K1727="Diferenciado",BDI!$E$17,0))</f>
        <v>0.2039</v>
      </c>
      <c r="H1727" s="151" t="str">
        <f t="shared" si="78"/>
        <v/>
      </c>
      <c r="I1727" s="152" t="str">
        <f t="shared" si="79"/>
        <v/>
      </c>
      <c r="J1727" s="154"/>
      <c r="K1727" s="155" t="s">
        <v>2966</v>
      </c>
    </row>
    <row r="1728" spans="1:11" hidden="1" x14ac:dyDescent="0.25">
      <c r="A1728" s="148" t="s">
        <v>5562</v>
      </c>
      <c r="B1728" s="149" t="s">
        <v>5563</v>
      </c>
      <c r="C1728" s="150" t="s">
        <v>18</v>
      </c>
      <c r="D1728" s="150">
        <v>0</v>
      </c>
      <c r="E1728" s="151" t="s">
        <v>13</v>
      </c>
      <c r="F1728" s="152" t="str">
        <f t="shared" si="80"/>
        <v/>
      </c>
      <c r="G1728" s="153">
        <f>IF($K1728="Padrão",BDI!$B$17,IF($K1728="Diferenciado",BDI!$E$17,0))</f>
        <v>0.2039</v>
      </c>
      <c r="H1728" s="151" t="str">
        <f t="shared" si="78"/>
        <v/>
      </c>
      <c r="I1728" s="152" t="str">
        <f t="shared" si="79"/>
        <v/>
      </c>
      <c r="J1728" s="154"/>
      <c r="K1728" s="155" t="s">
        <v>2966</v>
      </c>
    </row>
    <row r="1729" spans="1:11" hidden="1" x14ac:dyDescent="0.25">
      <c r="A1729" s="148" t="s">
        <v>5564</v>
      </c>
      <c r="B1729" s="149" t="s">
        <v>5565</v>
      </c>
      <c r="C1729" s="150" t="s">
        <v>18</v>
      </c>
      <c r="D1729" s="150">
        <v>0</v>
      </c>
      <c r="E1729" s="151" t="s">
        <v>13</v>
      </c>
      <c r="F1729" s="152" t="str">
        <f t="shared" si="80"/>
        <v/>
      </c>
      <c r="G1729" s="153">
        <f>IF($K1729="Padrão",BDI!$B$17,IF($K1729="Diferenciado",BDI!$E$17,0))</f>
        <v>0.2039</v>
      </c>
      <c r="H1729" s="151" t="str">
        <f t="shared" si="78"/>
        <v/>
      </c>
      <c r="I1729" s="152" t="str">
        <f t="shared" si="79"/>
        <v/>
      </c>
      <c r="J1729" s="154"/>
      <c r="K1729" s="155" t="s">
        <v>2966</v>
      </c>
    </row>
    <row r="1730" spans="1:11" hidden="1" x14ac:dyDescent="0.25">
      <c r="A1730" s="148" t="s">
        <v>5566</v>
      </c>
      <c r="B1730" s="149" t="s">
        <v>5567</v>
      </c>
      <c r="C1730" s="150" t="s">
        <v>18</v>
      </c>
      <c r="D1730" s="150">
        <v>0</v>
      </c>
      <c r="E1730" s="151" t="s">
        <v>13</v>
      </c>
      <c r="F1730" s="152" t="str">
        <f t="shared" si="80"/>
        <v/>
      </c>
      <c r="G1730" s="153">
        <f>IF($K1730="Padrão",BDI!$B$17,IF($K1730="Diferenciado",BDI!$E$17,0))</f>
        <v>0.2039</v>
      </c>
      <c r="H1730" s="151" t="str">
        <f t="shared" si="78"/>
        <v/>
      </c>
      <c r="I1730" s="152" t="str">
        <f t="shared" si="79"/>
        <v/>
      </c>
      <c r="J1730" s="154"/>
      <c r="K1730" s="155" t="s">
        <v>2966</v>
      </c>
    </row>
    <row r="1731" spans="1:11" hidden="1" x14ac:dyDescent="0.25">
      <c r="A1731" s="148" t="s">
        <v>5568</v>
      </c>
      <c r="B1731" s="149" t="s">
        <v>5569</v>
      </c>
      <c r="C1731" s="150" t="s">
        <v>18</v>
      </c>
      <c r="D1731" s="150">
        <v>0</v>
      </c>
      <c r="E1731" s="151" t="s">
        <v>13</v>
      </c>
      <c r="F1731" s="152" t="str">
        <f t="shared" si="80"/>
        <v/>
      </c>
      <c r="G1731" s="153">
        <f>IF($K1731="Padrão",BDI!$B$17,IF($K1731="Diferenciado",BDI!$E$17,0))</f>
        <v>0.2039</v>
      </c>
      <c r="H1731" s="151" t="str">
        <f t="shared" si="78"/>
        <v/>
      </c>
      <c r="I1731" s="152" t="str">
        <f t="shared" si="79"/>
        <v/>
      </c>
      <c r="J1731" s="154"/>
      <c r="K1731" s="155" t="s">
        <v>2966</v>
      </c>
    </row>
    <row r="1732" spans="1:11" hidden="1" x14ac:dyDescent="0.25">
      <c r="A1732" s="148" t="s">
        <v>5570</v>
      </c>
      <c r="B1732" s="149" t="s">
        <v>5571</v>
      </c>
      <c r="C1732" s="150" t="s">
        <v>18</v>
      </c>
      <c r="D1732" s="150">
        <v>0</v>
      </c>
      <c r="E1732" s="151" t="s">
        <v>13</v>
      </c>
      <c r="F1732" s="152" t="str">
        <f t="shared" si="80"/>
        <v/>
      </c>
      <c r="G1732" s="153">
        <f>IF($K1732="Padrão",BDI!$B$17,IF($K1732="Diferenciado",BDI!$E$17,0))</f>
        <v>0.2039</v>
      </c>
      <c r="H1732" s="151" t="str">
        <f t="shared" si="78"/>
        <v/>
      </c>
      <c r="I1732" s="152" t="str">
        <f t="shared" si="79"/>
        <v/>
      </c>
      <c r="J1732" s="154"/>
      <c r="K1732" s="155" t="s">
        <v>2966</v>
      </c>
    </row>
    <row r="1733" spans="1:11" hidden="1" x14ac:dyDescent="0.25">
      <c r="A1733" s="148" t="s">
        <v>5572</v>
      </c>
      <c r="B1733" s="149" t="s">
        <v>5573</v>
      </c>
      <c r="C1733" s="150" t="s">
        <v>18</v>
      </c>
      <c r="D1733" s="150">
        <v>0</v>
      </c>
      <c r="E1733" s="151" t="s">
        <v>13</v>
      </c>
      <c r="F1733" s="152" t="str">
        <f t="shared" si="80"/>
        <v/>
      </c>
      <c r="G1733" s="153">
        <f>IF($K1733="Padrão",BDI!$B$17,IF($K1733="Diferenciado",BDI!$E$17,0))</f>
        <v>0.2039</v>
      </c>
      <c r="H1733" s="151" t="str">
        <f t="shared" si="78"/>
        <v/>
      </c>
      <c r="I1733" s="152" t="str">
        <f t="shared" si="79"/>
        <v/>
      </c>
      <c r="J1733" s="154"/>
      <c r="K1733" s="155" t="s">
        <v>2966</v>
      </c>
    </row>
    <row r="1734" spans="1:11" hidden="1" x14ac:dyDescent="0.25">
      <c r="A1734" s="148" t="s">
        <v>5574</v>
      </c>
      <c r="B1734" s="149" t="s">
        <v>5575</v>
      </c>
      <c r="C1734" s="150" t="s">
        <v>18</v>
      </c>
      <c r="D1734" s="150">
        <v>0</v>
      </c>
      <c r="E1734" s="151" t="s">
        <v>13</v>
      </c>
      <c r="F1734" s="152" t="str">
        <f t="shared" si="80"/>
        <v/>
      </c>
      <c r="G1734" s="153">
        <f>IF($K1734="Padrão",BDI!$B$17,IF($K1734="Diferenciado",BDI!$E$17,0))</f>
        <v>0.2039</v>
      </c>
      <c r="H1734" s="151" t="str">
        <f t="shared" ref="H1734:H1797" si="81">IF(ISNUMBER(E1734),ROUND(E1734*(1+G1734),2),"")</f>
        <v/>
      </c>
      <c r="I1734" s="152" t="str">
        <f t="shared" ref="I1734:I1797" si="82">IF(ISNUMBER(E1734),ROUND(H1734*D1734,2),"")</f>
        <v/>
      </c>
      <c r="J1734" s="154"/>
      <c r="K1734" s="155" t="s">
        <v>2966</v>
      </c>
    </row>
    <row r="1735" spans="1:11" hidden="1" x14ac:dyDescent="0.25">
      <c r="A1735" s="148" t="s">
        <v>5576</v>
      </c>
      <c r="B1735" s="149" t="s">
        <v>5577</v>
      </c>
      <c r="C1735" s="150" t="s">
        <v>18</v>
      </c>
      <c r="D1735" s="150">
        <v>0</v>
      </c>
      <c r="E1735" s="151" t="s">
        <v>13</v>
      </c>
      <c r="F1735" s="152" t="str">
        <f t="shared" ref="F1735:F1798" si="83">IF(ISNUMBER(E1735),D1735*E1735,"")</f>
        <v/>
      </c>
      <c r="G1735" s="153">
        <f>IF($K1735="Padrão",BDI!$B$17,IF($K1735="Diferenciado",BDI!$E$17,0))</f>
        <v>0.2039</v>
      </c>
      <c r="H1735" s="151" t="str">
        <f t="shared" si="81"/>
        <v/>
      </c>
      <c r="I1735" s="152" t="str">
        <f t="shared" si="82"/>
        <v/>
      </c>
      <c r="J1735" s="154"/>
      <c r="K1735" s="155" t="s">
        <v>2966</v>
      </c>
    </row>
    <row r="1736" spans="1:11" hidden="1" x14ac:dyDescent="0.25">
      <c r="A1736" s="148" t="s">
        <v>5578</v>
      </c>
      <c r="B1736" s="149" t="s">
        <v>5579</v>
      </c>
      <c r="C1736" s="150" t="s">
        <v>18</v>
      </c>
      <c r="D1736" s="150">
        <v>0</v>
      </c>
      <c r="E1736" s="151" t="s">
        <v>13</v>
      </c>
      <c r="F1736" s="152" t="str">
        <f t="shared" si="83"/>
        <v/>
      </c>
      <c r="G1736" s="153">
        <f>IF($K1736="Padrão",BDI!$B$17,IF($K1736="Diferenciado",BDI!$E$17,0))</f>
        <v>0.2039</v>
      </c>
      <c r="H1736" s="151" t="str">
        <f t="shared" si="81"/>
        <v/>
      </c>
      <c r="I1736" s="152" t="str">
        <f t="shared" si="82"/>
        <v/>
      </c>
      <c r="J1736" s="154"/>
      <c r="K1736" s="155" t="s">
        <v>2966</v>
      </c>
    </row>
    <row r="1737" spans="1:11" hidden="1" x14ac:dyDescent="0.25">
      <c r="A1737" s="148" t="s">
        <v>5580</v>
      </c>
      <c r="B1737" s="149" t="s">
        <v>5581</v>
      </c>
      <c r="C1737" s="150" t="s">
        <v>18</v>
      </c>
      <c r="D1737" s="150">
        <v>0</v>
      </c>
      <c r="E1737" s="151" t="s">
        <v>13</v>
      </c>
      <c r="F1737" s="152" t="str">
        <f t="shared" si="83"/>
        <v/>
      </c>
      <c r="G1737" s="153">
        <f>IF($K1737="Padrão",BDI!$B$17,IF($K1737="Diferenciado",BDI!$E$17,0))</f>
        <v>0.2039</v>
      </c>
      <c r="H1737" s="151" t="str">
        <f t="shared" si="81"/>
        <v/>
      </c>
      <c r="I1737" s="152" t="str">
        <f t="shared" si="82"/>
        <v/>
      </c>
      <c r="J1737" s="154"/>
      <c r="K1737" s="155" t="s">
        <v>2966</v>
      </c>
    </row>
    <row r="1738" spans="1:11" hidden="1" x14ac:dyDescent="0.25">
      <c r="A1738" s="148" t="s">
        <v>5582</v>
      </c>
      <c r="B1738" s="149" t="s">
        <v>5583</v>
      </c>
      <c r="C1738" s="150" t="s">
        <v>106</v>
      </c>
      <c r="D1738" s="150">
        <v>0</v>
      </c>
      <c r="E1738" s="151" t="s">
        <v>13</v>
      </c>
      <c r="F1738" s="152" t="str">
        <f t="shared" si="83"/>
        <v/>
      </c>
      <c r="G1738" s="153">
        <f>IF($K1738="Padrão",BDI!$B$17,IF($K1738="Diferenciado",BDI!$E$17,0))</f>
        <v>0.2039</v>
      </c>
      <c r="H1738" s="151" t="str">
        <f t="shared" si="81"/>
        <v/>
      </c>
      <c r="I1738" s="152" t="str">
        <f t="shared" si="82"/>
        <v/>
      </c>
      <c r="J1738" s="154"/>
      <c r="K1738" s="155" t="s">
        <v>2966</v>
      </c>
    </row>
    <row r="1739" spans="1:11" hidden="1" x14ac:dyDescent="0.25">
      <c r="A1739" s="148" t="s">
        <v>5584</v>
      </c>
      <c r="B1739" s="149" t="s">
        <v>5585</v>
      </c>
      <c r="C1739" s="150" t="s">
        <v>106</v>
      </c>
      <c r="D1739" s="150">
        <v>0</v>
      </c>
      <c r="E1739" s="151" t="s">
        <v>13</v>
      </c>
      <c r="F1739" s="152" t="str">
        <f t="shared" si="83"/>
        <v/>
      </c>
      <c r="G1739" s="153">
        <f>IF($K1739="Padrão",BDI!$B$17,IF($K1739="Diferenciado",BDI!$E$17,0))</f>
        <v>0.2039</v>
      </c>
      <c r="H1739" s="151" t="str">
        <f t="shared" si="81"/>
        <v/>
      </c>
      <c r="I1739" s="152" t="str">
        <f t="shared" si="82"/>
        <v/>
      </c>
      <c r="J1739" s="154"/>
      <c r="K1739" s="155" t="s">
        <v>2966</v>
      </c>
    </row>
    <row r="1740" spans="1:11" hidden="1" x14ac:dyDescent="0.25">
      <c r="A1740" s="148" t="s">
        <v>5586</v>
      </c>
      <c r="B1740" s="149" t="s">
        <v>5587</v>
      </c>
      <c r="C1740" s="150" t="s">
        <v>106</v>
      </c>
      <c r="D1740" s="150">
        <v>0</v>
      </c>
      <c r="E1740" s="151" t="s">
        <v>13</v>
      </c>
      <c r="F1740" s="152" t="str">
        <f t="shared" si="83"/>
        <v/>
      </c>
      <c r="G1740" s="153">
        <f>IF($K1740="Padrão",BDI!$B$17,IF($K1740="Diferenciado",BDI!$E$17,0))</f>
        <v>0.2039</v>
      </c>
      <c r="H1740" s="151" t="str">
        <f t="shared" si="81"/>
        <v/>
      </c>
      <c r="I1740" s="152" t="str">
        <f t="shared" si="82"/>
        <v/>
      </c>
      <c r="J1740" s="154"/>
      <c r="K1740" s="155" t="s">
        <v>2966</v>
      </c>
    </row>
    <row r="1741" spans="1:11" hidden="1" x14ac:dyDescent="0.25">
      <c r="A1741" s="148" t="s">
        <v>5588</v>
      </c>
      <c r="B1741" s="149" t="s">
        <v>5589</v>
      </c>
      <c r="C1741" s="150" t="s">
        <v>106</v>
      </c>
      <c r="D1741" s="150">
        <v>0</v>
      </c>
      <c r="E1741" s="151" t="s">
        <v>13</v>
      </c>
      <c r="F1741" s="152" t="str">
        <f t="shared" si="83"/>
        <v/>
      </c>
      <c r="G1741" s="153">
        <f>IF($K1741="Padrão",BDI!$B$17,IF($K1741="Diferenciado",BDI!$E$17,0))</f>
        <v>0.2039</v>
      </c>
      <c r="H1741" s="151" t="str">
        <f t="shared" si="81"/>
        <v/>
      </c>
      <c r="I1741" s="152" t="str">
        <f t="shared" si="82"/>
        <v/>
      </c>
      <c r="J1741" s="154"/>
      <c r="K1741" s="155" t="s">
        <v>2966</v>
      </c>
    </row>
    <row r="1742" spans="1:11" hidden="1" x14ac:dyDescent="0.25">
      <c r="A1742" s="148" t="s">
        <v>5590</v>
      </c>
      <c r="B1742" s="149" t="s">
        <v>5591</v>
      </c>
      <c r="C1742" s="150" t="s">
        <v>106</v>
      </c>
      <c r="D1742" s="150">
        <v>0</v>
      </c>
      <c r="E1742" s="151" t="s">
        <v>13</v>
      </c>
      <c r="F1742" s="152" t="str">
        <f t="shared" si="83"/>
        <v/>
      </c>
      <c r="G1742" s="153">
        <f>IF($K1742="Padrão",BDI!$B$17,IF($K1742="Diferenciado",BDI!$E$17,0))</f>
        <v>0.2039</v>
      </c>
      <c r="H1742" s="151" t="str">
        <f t="shared" si="81"/>
        <v/>
      </c>
      <c r="I1742" s="152" t="str">
        <f t="shared" si="82"/>
        <v/>
      </c>
      <c r="J1742" s="154"/>
      <c r="K1742" s="155" t="s">
        <v>2966</v>
      </c>
    </row>
    <row r="1743" spans="1:11" hidden="1" x14ac:dyDescent="0.25">
      <c r="A1743" s="148" t="s">
        <v>5592</v>
      </c>
      <c r="B1743" s="149" t="s">
        <v>5593</v>
      </c>
      <c r="C1743" s="150" t="s">
        <v>106</v>
      </c>
      <c r="D1743" s="150">
        <v>0</v>
      </c>
      <c r="E1743" s="151" t="s">
        <v>13</v>
      </c>
      <c r="F1743" s="152" t="str">
        <f t="shared" si="83"/>
        <v/>
      </c>
      <c r="G1743" s="153">
        <f>IF($K1743="Padrão",BDI!$B$17,IF($K1743="Diferenciado",BDI!$E$17,0))</f>
        <v>0.2039</v>
      </c>
      <c r="H1743" s="151" t="str">
        <f t="shared" si="81"/>
        <v/>
      </c>
      <c r="I1743" s="152" t="str">
        <f t="shared" si="82"/>
        <v/>
      </c>
      <c r="J1743" s="154"/>
      <c r="K1743" s="155" t="s">
        <v>2966</v>
      </c>
    </row>
    <row r="1744" spans="1:11" hidden="1" x14ac:dyDescent="0.25">
      <c r="A1744" s="148" t="s">
        <v>5594</v>
      </c>
      <c r="B1744" s="149" t="s">
        <v>5595</v>
      </c>
      <c r="C1744" s="150" t="s">
        <v>106</v>
      </c>
      <c r="D1744" s="150">
        <v>0</v>
      </c>
      <c r="E1744" s="151" t="s">
        <v>13</v>
      </c>
      <c r="F1744" s="152" t="str">
        <f t="shared" si="83"/>
        <v/>
      </c>
      <c r="G1744" s="153">
        <f>IF($K1744="Padrão",BDI!$B$17,IF($K1744="Diferenciado",BDI!$E$17,0))</f>
        <v>0.2039</v>
      </c>
      <c r="H1744" s="151" t="str">
        <f t="shared" si="81"/>
        <v/>
      </c>
      <c r="I1744" s="152" t="str">
        <f t="shared" si="82"/>
        <v/>
      </c>
      <c r="J1744" s="154"/>
      <c r="K1744" s="155" t="s">
        <v>2966</v>
      </c>
    </row>
    <row r="1745" spans="1:11" hidden="1" x14ac:dyDescent="0.25">
      <c r="A1745" s="148" t="s">
        <v>5596</v>
      </c>
      <c r="B1745" s="149" t="s">
        <v>5597</v>
      </c>
      <c r="C1745" s="150" t="s">
        <v>106</v>
      </c>
      <c r="D1745" s="150">
        <v>0</v>
      </c>
      <c r="E1745" s="151" t="s">
        <v>13</v>
      </c>
      <c r="F1745" s="152" t="str">
        <f t="shared" si="83"/>
        <v/>
      </c>
      <c r="G1745" s="153">
        <f>IF($K1745="Padrão",BDI!$B$17,IF($K1745="Diferenciado",BDI!$E$17,0))</f>
        <v>0.2039</v>
      </c>
      <c r="H1745" s="151" t="str">
        <f t="shared" si="81"/>
        <v/>
      </c>
      <c r="I1745" s="152" t="str">
        <f t="shared" si="82"/>
        <v/>
      </c>
      <c r="J1745" s="154"/>
      <c r="K1745" s="155" t="s">
        <v>2966</v>
      </c>
    </row>
    <row r="1746" spans="1:11" hidden="1" x14ac:dyDescent="0.25">
      <c r="A1746" s="148" t="s">
        <v>5598</v>
      </c>
      <c r="B1746" s="149" t="s">
        <v>5599</v>
      </c>
      <c r="C1746" s="150" t="s">
        <v>106</v>
      </c>
      <c r="D1746" s="150">
        <v>0</v>
      </c>
      <c r="E1746" s="151" t="s">
        <v>13</v>
      </c>
      <c r="F1746" s="152" t="str">
        <f t="shared" si="83"/>
        <v/>
      </c>
      <c r="G1746" s="153">
        <f>IF($K1746="Padrão",BDI!$B$17,IF($K1746="Diferenciado",BDI!$E$17,0))</f>
        <v>0.2039</v>
      </c>
      <c r="H1746" s="151" t="str">
        <f t="shared" si="81"/>
        <v/>
      </c>
      <c r="I1746" s="152" t="str">
        <f t="shared" si="82"/>
        <v/>
      </c>
      <c r="J1746" s="154"/>
      <c r="K1746" s="155" t="s">
        <v>2966</v>
      </c>
    </row>
    <row r="1747" spans="1:11" hidden="1" x14ac:dyDescent="0.25">
      <c r="A1747" s="148" t="s">
        <v>5600</v>
      </c>
      <c r="B1747" s="149" t="s">
        <v>5601</v>
      </c>
      <c r="C1747" s="150" t="s">
        <v>106</v>
      </c>
      <c r="D1747" s="150">
        <v>0</v>
      </c>
      <c r="E1747" s="151" t="s">
        <v>13</v>
      </c>
      <c r="F1747" s="152" t="str">
        <f t="shared" si="83"/>
        <v/>
      </c>
      <c r="G1747" s="153">
        <f>IF($K1747="Padrão",BDI!$B$17,IF($K1747="Diferenciado",BDI!$E$17,0))</f>
        <v>0.2039</v>
      </c>
      <c r="H1747" s="151" t="str">
        <f t="shared" si="81"/>
        <v/>
      </c>
      <c r="I1747" s="152" t="str">
        <f t="shared" si="82"/>
        <v/>
      </c>
      <c r="J1747" s="154"/>
      <c r="K1747" s="155" t="s">
        <v>2966</v>
      </c>
    </row>
    <row r="1748" spans="1:11" hidden="1" x14ac:dyDescent="0.25">
      <c r="A1748" s="148" t="s">
        <v>5602</v>
      </c>
      <c r="B1748" s="149" t="s">
        <v>5603</v>
      </c>
      <c r="C1748" s="150" t="s">
        <v>106</v>
      </c>
      <c r="D1748" s="150">
        <v>0</v>
      </c>
      <c r="E1748" s="151" t="s">
        <v>13</v>
      </c>
      <c r="F1748" s="152" t="str">
        <f t="shared" si="83"/>
        <v/>
      </c>
      <c r="G1748" s="153">
        <f>IF($K1748="Padrão",BDI!$B$17,IF($K1748="Diferenciado",BDI!$E$17,0))</f>
        <v>0.2039</v>
      </c>
      <c r="H1748" s="151" t="str">
        <f t="shared" si="81"/>
        <v/>
      </c>
      <c r="I1748" s="152" t="str">
        <f t="shared" si="82"/>
        <v/>
      </c>
      <c r="J1748" s="154"/>
      <c r="K1748" s="155" t="s">
        <v>2966</v>
      </c>
    </row>
    <row r="1749" spans="1:11" hidden="1" x14ac:dyDescent="0.25">
      <c r="A1749" s="148" t="s">
        <v>5604</v>
      </c>
      <c r="B1749" s="149" t="s">
        <v>5605</v>
      </c>
      <c r="C1749" s="150" t="s">
        <v>106</v>
      </c>
      <c r="D1749" s="150">
        <v>0</v>
      </c>
      <c r="E1749" s="151" t="s">
        <v>13</v>
      </c>
      <c r="F1749" s="152" t="str">
        <f t="shared" si="83"/>
        <v/>
      </c>
      <c r="G1749" s="153">
        <f>IF($K1749="Padrão",BDI!$B$17,IF($K1749="Diferenciado",BDI!$E$17,0))</f>
        <v>0.2039</v>
      </c>
      <c r="H1749" s="151" t="str">
        <f t="shared" si="81"/>
        <v/>
      </c>
      <c r="I1749" s="152" t="str">
        <f t="shared" si="82"/>
        <v/>
      </c>
      <c r="J1749" s="154"/>
      <c r="K1749" s="155" t="s">
        <v>2966</v>
      </c>
    </row>
    <row r="1750" spans="1:11" hidden="1" x14ac:dyDescent="0.25">
      <c r="A1750" s="148" t="s">
        <v>5606</v>
      </c>
      <c r="B1750" s="149" t="s">
        <v>5607</v>
      </c>
      <c r="C1750" s="150" t="s">
        <v>106</v>
      </c>
      <c r="D1750" s="150">
        <v>0</v>
      </c>
      <c r="E1750" s="151" t="s">
        <v>13</v>
      </c>
      <c r="F1750" s="152" t="str">
        <f t="shared" si="83"/>
        <v/>
      </c>
      <c r="G1750" s="153">
        <f>IF($K1750="Padrão",BDI!$B$17,IF($K1750="Diferenciado",BDI!$E$17,0))</f>
        <v>0.2039</v>
      </c>
      <c r="H1750" s="151" t="str">
        <f t="shared" si="81"/>
        <v/>
      </c>
      <c r="I1750" s="152" t="str">
        <f t="shared" si="82"/>
        <v/>
      </c>
      <c r="J1750" s="154"/>
      <c r="K1750" s="155" t="s">
        <v>2966</v>
      </c>
    </row>
    <row r="1751" spans="1:11" hidden="1" x14ac:dyDescent="0.25">
      <c r="A1751" s="148" t="s">
        <v>5608</v>
      </c>
      <c r="B1751" s="149" t="s">
        <v>5609</v>
      </c>
      <c r="C1751" s="150" t="s">
        <v>106</v>
      </c>
      <c r="D1751" s="150">
        <v>0</v>
      </c>
      <c r="E1751" s="151" t="s">
        <v>13</v>
      </c>
      <c r="F1751" s="152" t="str">
        <f t="shared" si="83"/>
        <v/>
      </c>
      <c r="G1751" s="153">
        <f>IF($K1751="Padrão",BDI!$B$17,IF($K1751="Diferenciado",BDI!$E$17,0))</f>
        <v>0.2039</v>
      </c>
      <c r="H1751" s="151" t="str">
        <f t="shared" si="81"/>
        <v/>
      </c>
      <c r="I1751" s="152" t="str">
        <f t="shared" si="82"/>
        <v/>
      </c>
      <c r="J1751" s="154"/>
      <c r="K1751" s="155" t="s">
        <v>2966</v>
      </c>
    </row>
    <row r="1752" spans="1:11" hidden="1" x14ac:dyDescent="0.25">
      <c r="A1752" s="148" t="s">
        <v>5610</v>
      </c>
      <c r="B1752" s="149" t="s">
        <v>5611</v>
      </c>
      <c r="C1752" s="150" t="s">
        <v>106</v>
      </c>
      <c r="D1752" s="150">
        <v>0</v>
      </c>
      <c r="E1752" s="151" t="s">
        <v>13</v>
      </c>
      <c r="F1752" s="152" t="str">
        <f t="shared" si="83"/>
        <v/>
      </c>
      <c r="G1752" s="153">
        <f>IF($K1752="Padrão",BDI!$B$17,IF($K1752="Diferenciado",BDI!$E$17,0))</f>
        <v>0.2039</v>
      </c>
      <c r="H1752" s="151" t="str">
        <f t="shared" si="81"/>
        <v/>
      </c>
      <c r="I1752" s="152" t="str">
        <f t="shared" si="82"/>
        <v/>
      </c>
      <c r="J1752" s="154"/>
      <c r="K1752" s="155" t="s">
        <v>2966</v>
      </c>
    </row>
    <row r="1753" spans="1:11" hidden="1" x14ac:dyDescent="0.25">
      <c r="A1753" s="148" t="s">
        <v>5612</v>
      </c>
      <c r="B1753" s="149" t="s">
        <v>5613</v>
      </c>
      <c r="C1753" s="150" t="s">
        <v>106</v>
      </c>
      <c r="D1753" s="150">
        <v>0</v>
      </c>
      <c r="E1753" s="151" t="s">
        <v>13</v>
      </c>
      <c r="F1753" s="152" t="str">
        <f t="shared" si="83"/>
        <v/>
      </c>
      <c r="G1753" s="153">
        <f>IF($K1753="Padrão",BDI!$B$17,IF($K1753="Diferenciado",BDI!$E$17,0))</f>
        <v>0.2039</v>
      </c>
      <c r="H1753" s="151" t="str">
        <f t="shared" si="81"/>
        <v/>
      </c>
      <c r="I1753" s="152" t="str">
        <f t="shared" si="82"/>
        <v/>
      </c>
      <c r="J1753" s="154"/>
      <c r="K1753" s="155" t="s">
        <v>2966</v>
      </c>
    </row>
    <row r="1754" spans="1:11" hidden="1" x14ac:dyDescent="0.25">
      <c r="A1754" s="148" t="s">
        <v>5614</v>
      </c>
      <c r="B1754" s="149" t="s">
        <v>5615</v>
      </c>
      <c r="C1754" s="150" t="s">
        <v>106</v>
      </c>
      <c r="D1754" s="150">
        <v>0</v>
      </c>
      <c r="E1754" s="151" t="s">
        <v>13</v>
      </c>
      <c r="F1754" s="152" t="str">
        <f t="shared" si="83"/>
        <v/>
      </c>
      <c r="G1754" s="153">
        <f>IF($K1754="Padrão",BDI!$B$17,IF($K1754="Diferenciado",BDI!$E$17,0))</f>
        <v>0.2039</v>
      </c>
      <c r="H1754" s="151" t="str">
        <f t="shared" si="81"/>
        <v/>
      </c>
      <c r="I1754" s="152" t="str">
        <f t="shared" si="82"/>
        <v/>
      </c>
      <c r="J1754" s="154"/>
      <c r="K1754" s="155" t="s">
        <v>2966</v>
      </c>
    </row>
    <row r="1755" spans="1:11" hidden="1" x14ac:dyDescent="0.25">
      <c r="A1755" s="148" t="s">
        <v>5616</v>
      </c>
      <c r="B1755" s="149" t="s">
        <v>5617</v>
      </c>
      <c r="C1755" s="150" t="s">
        <v>18</v>
      </c>
      <c r="D1755" s="150">
        <v>0</v>
      </c>
      <c r="E1755" s="151" t="s">
        <v>13</v>
      </c>
      <c r="F1755" s="152" t="str">
        <f t="shared" si="83"/>
        <v/>
      </c>
      <c r="G1755" s="153">
        <f>IF($K1755="Padrão",BDI!$B$17,IF($K1755="Diferenciado",BDI!$E$17,0))</f>
        <v>0.2039</v>
      </c>
      <c r="H1755" s="151" t="str">
        <f t="shared" si="81"/>
        <v/>
      </c>
      <c r="I1755" s="152" t="str">
        <f t="shared" si="82"/>
        <v/>
      </c>
      <c r="J1755" s="154"/>
      <c r="K1755" s="155" t="s">
        <v>2966</v>
      </c>
    </row>
    <row r="1756" spans="1:11" hidden="1" x14ac:dyDescent="0.25">
      <c r="A1756" s="148" t="s">
        <v>5618</v>
      </c>
      <c r="B1756" s="149" t="s">
        <v>5619</v>
      </c>
      <c r="C1756" s="150" t="s">
        <v>18</v>
      </c>
      <c r="D1756" s="150">
        <v>0</v>
      </c>
      <c r="E1756" s="151" t="s">
        <v>13</v>
      </c>
      <c r="F1756" s="152" t="str">
        <f t="shared" si="83"/>
        <v/>
      </c>
      <c r="G1756" s="153">
        <f>IF($K1756="Padrão",BDI!$B$17,IF($K1756="Diferenciado",BDI!$E$17,0))</f>
        <v>0.2039</v>
      </c>
      <c r="H1756" s="151" t="str">
        <f t="shared" si="81"/>
        <v/>
      </c>
      <c r="I1756" s="152" t="str">
        <f t="shared" si="82"/>
        <v/>
      </c>
      <c r="J1756" s="154"/>
      <c r="K1756" s="155" t="s">
        <v>2966</v>
      </c>
    </row>
    <row r="1757" spans="1:11" hidden="1" x14ac:dyDescent="0.25">
      <c r="A1757" s="148" t="s">
        <v>5620</v>
      </c>
      <c r="B1757" s="149" t="s">
        <v>5621</v>
      </c>
      <c r="C1757" s="150" t="s">
        <v>18</v>
      </c>
      <c r="D1757" s="150">
        <v>0</v>
      </c>
      <c r="E1757" s="151" t="s">
        <v>13</v>
      </c>
      <c r="F1757" s="152" t="str">
        <f t="shared" si="83"/>
        <v/>
      </c>
      <c r="G1757" s="153">
        <f>IF($K1757="Padrão",BDI!$B$17,IF($K1757="Diferenciado",BDI!$E$17,0))</f>
        <v>0.2039</v>
      </c>
      <c r="H1757" s="151" t="str">
        <f t="shared" si="81"/>
        <v/>
      </c>
      <c r="I1757" s="152" t="str">
        <f t="shared" si="82"/>
        <v/>
      </c>
      <c r="J1757" s="154"/>
      <c r="K1757" s="155" t="s">
        <v>2966</v>
      </c>
    </row>
    <row r="1758" spans="1:11" hidden="1" x14ac:dyDescent="0.25">
      <c r="A1758" s="148" t="s">
        <v>5622</v>
      </c>
      <c r="B1758" s="149" t="s">
        <v>5623</v>
      </c>
      <c r="C1758" s="150" t="s">
        <v>18</v>
      </c>
      <c r="D1758" s="150">
        <v>0</v>
      </c>
      <c r="E1758" s="151" t="s">
        <v>13</v>
      </c>
      <c r="F1758" s="152" t="str">
        <f t="shared" si="83"/>
        <v/>
      </c>
      <c r="G1758" s="153">
        <f>IF($K1758="Padrão",BDI!$B$17,IF($K1758="Diferenciado",BDI!$E$17,0))</f>
        <v>0.2039</v>
      </c>
      <c r="H1758" s="151" t="str">
        <f t="shared" si="81"/>
        <v/>
      </c>
      <c r="I1758" s="152" t="str">
        <f t="shared" si="82"/>
        <v/>
      </c>
      <c r="J1758" s="154"/>
      <c r="K1758" s="155" t="s">
        <v>2966</v>
      </c>
    </row>
    <row r="1759" spans="1:11" hidden="1" x14ac:dyDescent="0.25">
      <c r="A1759" s="148" t="s">
        <v>5624</v>
      </c>
      <c r="B1759" s="149" t="s">
        <v>5625</v>
      </c>
      <c r="C1759" s="150" t="s">
        <v>18</v>
      </c>
      <c r="D1759" s="150">
        <v>0</v>
      </c>
      <c r="E1759" s="151" t="s">
        <v>13</v>
      </c>
      <c r="F1759" s="152" t="str">
        <f t="shared" si="83"/>
        <v/>
      </c>
      <c r="G1759" s="153">
        <f>IF($K1759="Padrão",BDI!$B$17,IF($K1759="Diferenciado",BDI!$E$17,0))</f>
        <v>0.2039</v>
      </c>
      <c r="H1759" s="151" t="str">
        <f t="shared" si="81"/>
        <v/>
      </c>
      <c r="I1759" s="152" t="str">
        <f t="shared" si="82"/>
        <v/>
      </c>
      <c r="J1759" s="154"/>
      <c r="K1759" s="155" t="s">
        <v>2966</v>
      </c>
    </row>
    <row r="1760" spans="1:11" hidden="1" x14ac:dyDescent="0.25">
      <c r="A1760" s="148" t="s">
        <v>5626</v>
      </c>
      <c r="B1760" s="149" t="s">
        <v>5627</v>
      </c>
      <c r="C1760" s="150" t="s">
        <v>18</v>
      </c>
      <c r="D1760" s="150">
        <v>0</v>
      </c>
      <c r="E1760" s="151" t="s">
        <v>13</v>
      </c>
      <c r="F1760" s="152" t="str">
        <f t="shared" si="83"/>
        <v/>
      </c>
      <c r="G1760" s="153">
        <f>IF($K1760="Padrão",BDI!$B$17,IF($K1760="Diferenciado",BDI!$E$17,0))</f>
        <v>0.2039</v>
      </c>
      <c r="H1760" s="151" t="str">
        <f t="shared" si="81"/>
        <v/>
      </c>
      <c r="I1760" s="152" t="str">
        <f t="shared" si="82"/>
        <v/>
      </c>
      <c r="J1760" s="154"/>
      <c r="K1760" s="155" t="s">
        <v>2966</v>
      </c>
    </row>
    <row r="1761" spans="1:11" hidden="1" x14ac:dyDescent="0.25">
      <c r="A1761" s="148" t="s">
        <v>5628</v>
      </c>
      <c r="B1761" s="149" t="s">
        <v>5629</v>
      </c>
      <c r="C1761" s="150" t="s">
        <v>18</v>
      </c>
      <c r="D1761" s="150">
        <v>0</v>
      </c>
      <c r="E1761" s="151" t="s">
        <v>13</v>
      </c>
      <c r="F1761" s="152" t="str">
        <f t="shared" si="83"/>
        <v/>
      </c>
      <c r="G1761" s="153">
        <f>IF($K1761="Padrão",BDI!$B$17,IF($K1761="Diferenciado",BDI!$E$17,0))</f>
        <v>0.2039</v>
      </c>
      <c r="H1761" s="151" t="str">
        <f t="shared" si="81"/>
        <v/>
      </c>
      <c r="I1761" s="152" t="str">
        <f t="shared" si="82"/>
        <v/>
      </c>
      <c r="J1761" s="154"/>
      <c r="K1761" s="155" t="s">
        <v>2966</v>
      </c>
    </row>
    <row r="1762" spans="1:11" hidden="1" x14ac:dyDescent="0.25">
      <c r="A1762" s="148" t="s">
        <v>5630</v>
      </c>
      <c r="B1762" s="149" t="s">
        <v>5631</v>
      </c>
      <c r="C1762" s="150" t="s">
        <v>18</v>
      </c>
      <c r="D1762" s="150">
        <v>0</v>
      </c>
      <c r="E1762" s="151" t="s">
        <v>13</v>
      </c>
      <c r="F1762" s="152" t="str">
        <f t="shared" si="83"/>
        <v/>
      </c>
      <c r="G1762" s="153">
        <f>IF($K1762="Padrão",BDI!$B$17,IF($K1762="Diferenciado",BDI!$E$17,0))</f>
        <v>0.2039</v>
      </c>
      <c r="H1762" s="151" t="str">
        <f t="shared" si="81"/>
        <v/>
      </c>
      <c r="I1762" s="152" t="str">
        <f t="shared" si="82"/>
        <v/>
      </c>
      <c r="J1762" s="154"/>
      <c r="K1762" s="155" t="s">
        <v>2966</v>
      </c>
    </row>
    <row r="1763" spans="1:11" hidden="1" x14ac:dyDescent="0.25">
      <c r="A1763" s="148" t="s">
        <v>5632</v>
      </c>
      <c r="B1763" s="149" t="s">
        <v>5633</v>
      </c>
      <c r="C1763" s="150" t="s">
        <v>18</v>
      </c>
      <c r="D1763" s="150">
        <v>0</v>
      </c>
      <c r="E1763" s="151" t="s">
        <v>13</v>
      </c>
      <c r="F1763" s="152" t="str">
        <f t="shared" si="83"/>
        <v/>
      </c>
      <c r="G1763" s="153">
        <f>IF($K1763="Padrão",BDI!$B$17,IF($K1763="Diferenciado",BDI!$E$17,0))</f>
        <v>0.2039</v>
      </c>
      <c r="H1763" s="151" t="str">
        <f t="shared" si="81"/>
        <v/>
      </c>
      <c r="I1763" s="152" t="str">
        <f t="shared" si="82"/>
        <v/>
      </c>
      <c r="J1763" s="154"/>
      <c r="K1763" s="155" t="s">
        <v>2966</v>
      </c>
    </row>
    <row r="1764" spans="1:11" hidden="1" x14ac:dyDescent="0.25">
      <c r="A1764" s="148" t="s">
        <v>5634</v>
      </c>
      <c r="B1764" s="149" t="s">
        <v>5635</v>
      </c>
      <c r="C1764" s="150" t="s">
        <v>18</v>
      </c>
      <c r="D1764" s="150">
        <v>0</v>
      </c>
      <c r="E1764" s="151" t="s">
        <v>13</v>
      </c>
      <c r="F1764" s="152" t="str">
        <f t="shared" si="83"/>
        <v/>
      </c>
      <c r="G1764" s="153">
        <f>IF($K1764="Padrão",BDI!$B$17,IF($K1764="Diferenciado",BDI!$E$17,0))</f>
        <v>0.2039</v>
      </c>
      <c r="H1764" s="151" t="str">
        <f t="shared" si="81"/>
        <v/>
      </c>
      <c r="I1764" s="152" t="str">
        <f t="shared" si="82"/>
        <v/>
      </c>
      <c r="J1764" s="154"/>
      <c r="K1764" s="155" t="s">
        <v>2966</v>
      </c>
    </row>
    <row r="1765" spans="1:11" hidden="1" x14ac:dyDescent="0.25">
      <c r="A1765" s="148" t="s">
        <v>5636</v>
      </c>
      <c r="B1765" s="149" t="s">
        <v>5637</v>
      </c>
      <c r="C1765" s="150" t="s">
        <v>18</v>
      </c>
      <c r="D1765" s="150">
        <v>0</v>
      </c>
      <c r="E1765" s="151" t="s">
        <v>13</v>
      </c>
      <c r="F1765" s="152" t="str">
        <f t="shared" si="83"/>
        <v/>
      </c>
      <c r="G1765" s="153">
        <f>IF($K1765="Padrão",BDI!$B$17,IF($K1765="Diferenciado",BDI!$E$17,0))</f>
        <v>0.2039</v>
      </c>
      <c r="H1765" s="151" t="str">
        <f t="shared" si="81"/>
        <v/>
      </c>
      <c r="I1765" s="152" t="str">
        <f t="shared" si="82"/>
        <v/>
      </c>
      <c r="J1765" s="154"/>
      <c r="K1765" s="155" t="s">
        <v>2966</v>
      </c>
    </row>
    <row r="1766" spans="1:11" hidden="1" x14ac:dyDescent="0.25">
      <c r="A1766" s="148" t="s">
        <v>5638</v>
      </c>
      <c r="B1766" s="149" t="s">
        <v>5639</v>
      </c>
      <c r="C1766" s="150" t="s">
        <v>18</v>
      </c>
      <c r="D1766" s="150">
        <v>0</v>
      </c>
      <c r="E1766" s="151" t="s">
        <v>13</v>
      </c>
      <c r="F1766" s="152" t="str">
        <f t="shared" si="83"/>
        <v/>
      </c>
      <c r="G1766" s="153">
        <f>IF($K1766="Padrão",BDI!$B$17,IF($K1766="Diferenciado",BDI!$E$17,0))</f>
        <v>0.2039</v>
      </c>
      <c r="H1766" s="151" t="str">
        <f t="shared" si="81"/>
        <v/>
      </c>
      <c r="I1766" s="152" t="str">
        <f t="shared" si="82"/>
        <v/>
      </c>
      <c r="J1766" s="154"/>
      <c r="K1766" s="155" t="s">
        <v>2966</v>
      </c>
    </row>
    <row r="1767" spans="1:11" hidden="1" x14ac:dyDescent="0.25">
      <c r="A1767" s="148" t="s">
        <v>5640</v>
      </c>
      <c r="B1767" s="149" t="s">
        <v>5641</v>
      </c>
      <c r="C1767" s="150" t="s">
        <v>18</v>
      </c>
      <c r="D1767" s="150">
        <v>0</v>
      </c>
      <c r="E1767" s="151" t="s">
        <v>13</v>
      </c>
      <c r="F1767" s="152" t="str">
        <f t="shared" si="83"/>
        <v/>
      </c>
      <c r="G1767" s="153">
        <f>IF($K1767="Padrão",BDI!$B$17,IF($K1767="Diferenciado",BDI!$E$17,0))</f>
        <v>0.2039</v>
      </c>
      <c r="H1767" s="151" t="str">
        <f t="shared" si="81"/>
        <v/>
      </c>
      <c r="I1767" s="152" t="str">
        <f t="shared" si="82"/>
        <v/>
      </c>
      <c r="J1767" s="154"/>
      <c r="K1767" s="155" t="s">
        <v>2966</v>
      </c>
    </row>
    <row r="1768" spans="1:11" hidden="1" x14ac:dyDescent="0.25">
      <c r="A1768" s="148" t="s">
        <v>5642</v>
      </c>
      <c r="B1768" s="149" t="s">
        <v>5643</v>
      </c>
      <c r="C1768" s="150" t="s">
        <v>18</v>
      </c>
      <c r="D1768" s="150">
        <v>0</v>
      </c>
      <c r="E1768" s="151" t="s">
        <v>13</v>
      </c>
      <c r="F1768" s="152" t="str">
        <f t="shared" si="83"/>
        <v/>
      </c>
      <c r="G1768" s="153">
        <f>IF($K1768="Padrão",BDI!$B$17,IF($K1768="Diferenciado",BDI!$E$17,0))</f>
        <v>0.2039</v>
      </c>
      <c r="H1768" s="151" t="str">
        <f t="shared" si="81"/>
        <v/>
      </c>
      <c r="I1768" s="152" t="str">
        <f t="shared" si="82"/>
        <v/>
      </c>
      <c r="J1768" s="154"/>
      <c r="K1768" s="155" t="s">
        <v>2966</v>
      </c>
    </row>
    <row r="1769" spans="1:11" hidden="1" x14ac:dyDescent="0.25">
      <c r="A1769" s="148" t="s">
        <v>5644</v>
      </c>
      <c r="B1769" s="149" t="s">
        <v>5645</v>
      </c>
      <c r="C1769" s="150" t="s">
        <v>18</v>
      </c>
      <c r="D1769" s="150">
        <v>0</v>
      </c>
      <c r="E1769" s="151" t="s">
        <v>13</v>
      </c>
      <c r="F1769" s="152" t="str">
        <f t="shared" si="83"/>
        <v/>
      </c>
      <c r="G1769" s="153">
        <f>IF($K1769="Padrão",BDI!$B$17,IF($K1769="Diferenciado",BDI!$E$17,0))</f>
        <v>0.2039</v>
      </c>
      <c r="H1769" s="151" t="str">
        <f t="shared" si="81"/>
        <v/>
      </c>
      <c r="I1769" s="152" t="str">
        <f t="shared" si="82"/>
        <v/>
      </c>
      <c r="J1769" s="154"/>
      <c r="K1769" s="155" t="s">
        <v>2966</v>
      </c>
    </row>
    <row r="1770" spans="1:11" hidden="1" x14ac:dyDescent="0.25">
      <c r="A1770" s="148" t="s">
        <v>5646</v>
      </c>
      <c r="B1770" s="149" t="s">
        <v>5647</v>
      </c>
      <c r="C1770" s="150" t="s">
        <v>18</v>
      </c>
      <c r="D1770" s="150">
        <v>0</v>
      </c>
      <c r="E1770" s="151" t="s">
        <v>13</v>
      </c>
      <c r="F1770" s="152" t="str">
        <f t="shared" si="83"/>
        <v/>
      </c>
      <c r="G1770" s="153">
        <f>IF($K1770="Padrão",BDI!$B$17,IF($K1770="Diferenciado",BDI!$E$17,0))</f>
        <v>0.2039</v>
      </c>
      <c r="H1770" s="151" t="str">
        <f t="shared" si="81"/>
        <v/>
      </c>
      <c r="I1770" s="152" t="str">
        <f t="shared" si="82"/>
        <v/>
      </c>
      <c r="J1770" s="154"/>
      <c r="K1770" s="155" t="s">
        <v>2966</v>
      </c>
    </row>
    <row r="1771" spans="1:11" hidden="1" x14ac:dyDescent="0.25">
      <c r="A1771" s="148" t="s">
        <v>5648</v>
      </c>
      <c r="B1771" s="149" t="s">
        <v>5649</v>
      </c>
      <c r="C1771" s="150" t="s">
        <v>18</v>
      </c>
      <c r="D1771" s="150">
        <v>0</v>
      </c>
      <c r="E1771" s="151" t="s">
        <v>13</v>
      </c>
      <c r="F1771" s="152" t="str">
        <f t="shared" si="83"/>
        <v/>
      </c>
      <c r="G1771" s="153">
        <f>IF($K1771="Padrão",BDI!$B$17,IF($K1771="Diferenciado",BDI!$E$17,0))</f>
        <v>0.2039</v>
      </c>
      <c r="H1771" s="151" t="str">
        <f t="shared" si="81"/>
        <v/>
      </c>
      <c r="I1771" s="152" t="str">
        <f t="shared" si="82"/>
        <v/>
      </c>
      <c r="J1771" s="154"/>
      <c r="K1771" s="155" t="s">
        <v>2966</v>
      </c>
    </row>
    <row r="1772" spans="1:11" hidden="1" x14ac:dyDescent="0.25">
      <c r="A1772" s="148" t="s">
        <v>5650</v>
      </c>
      <c r="B1772" s="149" t="s">
        <v>5651</v>
      </c>
      <c r="C1772" s="150" t="s">
        <v>18</v>
      </c>
      <c r="D1772" s="150">
        <v>0</v>
      </c>
      <c r="E1772" s="151" t="s">
        <v>13</v>
      </c>
      <c r="F1772" s="152" t="str">
        <f t="shared" si="83"/>
        <v/>
      </c>
      <c r="G1772" s="153">
        <f>IF($K1772="Padrão",BDI!$B$17,IF($K1772="Diferenciado",BDI!$E$17,0))</f>
        <v>0.2039</v>
      </c>
      <c r="H1772" s="151" t="str">
        <f t="shared" si="81"/>
        <v/>
      </c>
      <c r="I1772" s="152" t="str">
        <f t="shared" si="82"/>
        <v/>
      </c>
      <c r="J1772" s="154"/>
      <c r="K1772" s="155" t="s">
        <v>2966</v>
      </c>
    </row>
    <row r="1773" spans="1:11" hidden="1" x14ac:dyDescent="0.25">
      <c r="A1773" s="148" t="s">
        <v>5652</v>
      </c>
      <c r="B1773" s="149" t="s">
        <v>5653</v>
      </c>
      <c r="C1773" s="150" t="s">
        <v>18</v>
      </c>
      <c r="D1773" s="150">
        <v>0</v>
      </c>
      <c r="E1773" s="151" t="s">
        <v>13</v>
      </c>
      <c r="F1773" s="152" t="str">
        <f t="shared" si="83"/>
        <v/>
      </c>
      <c r="G1773" s="153">
        <f>IF($K1773="Padrão",BDI!$B$17,IF($K1773="Diferenciado",BDI!$E$17,0))</f>
        <v>0.2039</v>
      </c>
      <c r="H1773" s="151" t="str">
        <f t="shared" si="81"/>
        <v/>
      </c>
      <c r="I1773" s="152" t="str">
        <f t="shared" si="82"/>
        <v/>
      </c>
      <c r="J1773" s="154"/>
      <c r="K1773" s="155" t="s">
        <v>2966</v>
      </c>
    </row>
    <row r="1774" spans="1:11" hidden="1" x14ac:dyDescent="0.25">
      <c r="A1774" s="148" t="s">
        <v>5654</v>
      </c>
      <c r="B1774" s="149" t="s">
        <v>5655</v>
      </c>
      <c r="C1774" s="150" t="s">
        <v>18</v>
      </c>
      <c r="D1774" s="150">
        <v>0</v>
      </c>
      <c r="E1774" s="151" t="s">
        <v>13</v>
      </c>
      <c r="F1774" s="152" t="str">
        <f t="shared" si="83"/>
        <v/>
      </c>
      <c r="G1774" s="153">
        <f>IF($K1774="Padrão",BDI!$B$17,IF($K1774="Diferenciado",BDI!$E$17,0))</f>
        <v>0.2039</v>
      </c>
      <c r="H1774" s="151" t="str">
        <f t="shared" si="81"/>
        <v/>
      </c>
      <c r="I1774" s="152" t="str">
        <f t="shared" si="82"/>
        <v/>
      </c>
      <c r="J1774" s="154"/>
      <c r="K1774" s="155" t="s">
        <v>2966</v>
      </c>
    </row>
    <row r="1775" spans="1:11" hidden="1" x14ac:dyDescent="0.25">
      <c r="A1775" s="148" t="s">
        <v>5656</v>
      </c>
      <c r="B1775" s="149" t="s">
        <v>5657</v>
      </c>
      <c r="C1775" s="150" t="s">
        <v>18</v>
      </c>
      <c r="D1775" s="150">
        <v>0</v>
      </c>
      <c r="E1775" s="151" t="s">
        <v>13</v>
      </c>
      <c r="F1775" s="152" t="str">
        <f t="shared" si="83"/>
        <v/>
      </c>
      <c r="G1775" s="153">
        <f>IF($K1775="Padrão",BDI!$B$17,IF($K1775="Diferenciado",BDI!$E$17,0))</f>
        <v>0.2039</v>
      </c>
      <c r="H1775" s="151" t="str">
        <f t="shared" si="81"/>
        <v/>
      </c>
      <c r="I1775" s="152" t="str">
        <f t="shared" si="82"/>
        <v/>
      </c>
      <c r="J1775" s="154"/>
      <c r="K1775" s="155" t="s">
        <v>2966</v>
      </c>
    </row>
    <row r="1776" spans="1:11" hidden="1" x14ac:dyDescent="0.25">
      <c r="A1776" s="148" t="s">
        <v>5658</v>
      </c>
      <c r="B1776" s="149" t="s">
        <v>5659</v>
      </c>
      <c r="C1776" s="150" t="s">
        <v>18</v>
      </c>
      <c r="D1776" s="150">
        <v>0</v>
      </c>
      <c r="E1776" s="151" t="s">
        <v>13</v>
      </c>
      <c r="F1776" s="152" t="str">
        <f t="shared" si="83"/>
        <v/>
      </c>
      <c r="G1776" s="153">
        <f>IF($K1776="Padrão",BDI!$B$17,IF($K1776="Diferenciado",BDI!$E$17,0))</f>
        <v>0.2039</v>
      </c>
      <c r="H1776" s="151" t="str">
        <f t="shared" si="81"/>
        <v/>
      </c>
      <c r="I1776" s="152" t="str">
        <f t="shared" si="82"/>
        <v/>
      </c>
      <c r="J1776" s="154"/>
      <c r="K1776" s="155" t="s">
        <v>2966</v>
      </c>
    </row>
    <row r="1777" spans="1:11" hidden="1" x14ac:dyDescent="0.25">
      <c r="A1777" s="148" t="s">
        <v>5660</v>
      </c>
      <c r="B1777" s="149" t="s">
        <v>5661</v>
      </c>
      <c r="C1777" s="150" t="s">
        <v>18</v>
      </c>
      <c r="D1777" s="150">
        <v>0</v>
      </c>
      <c r="E1777" s="151" t="s">
        <v>13</v>
      </c>
      <c r="F1777" s="152" t="str">
        <f t="shared" si="83"/>
        <v/>
      </c>
      <c r="G1777" s="153">
        <f>IF($K1777="Padrão",BDI!$B$17,IF($K1777="Diferenciado",BDI!$E$17,0))</f>
        <v>0.2039</v>
      </c>
      <c r="H1777" s="151" t="str">
        <f t="shared" si="81"/>
        <v/>
      </c>
      <c r="I1777" s="152" t="str">
        <f t="shared" si="82"/>
        <v/>
      </c>
      <c r="J1777" s="154"/>
      <c r="K1777" s="155" t="s">
        <v>2966</v>
      </c>
    </row>
    <row r="1778" spans="1:11" hidden="1" x14ac:dyDescent="0.25">
      <c r="A1778" s="148" t="s">
        <v>5662</v>
      </c>
      <c r="B1778" s="149" t="s">
        <v>5663</v>
      </c>
      <c r="C1778" s="150" t="s">
        <v>18</v>
      </c>
      <c r="D1778" s="150">
        <v>0</v>
      </c>
      <c r="E1778" s="151" t="s">
        <v>13</v>
      </c>
      <c r="F1778" s="152" t="str">
        <f t="shared" si="83"/>
        <v/>
      </c>
      <c r="G1778" s="153">
        <f>IF($K1778="Padrão",BDI!$B$17,IF($K1778="Diferenciado",BDI!$E$17,0))</f>
        <v>0.2039</v>
      </c>
      <c r="H1778" s="151" t="str">
        <f t="shared" si="81"/>
        <v/>
      </c>
      <c r="I1778" s="152" t="str">
        <f t="shared" si="82"/>
        <v/>
      </c>
      <c r="J1778" s="154"/>
      <c r="K1778" s="155" t="s">
        <v>2966</v>
      </c>
    </row>
    <row r="1779" spans="1:11" hidden="1" x14ac:dyDescent="0.25">
      <c r="A1779" s="148" t="s">
        <v>5664</v>
      </c>
      <c r="B1779" s="149" t="s">
        <v>5665</v>
      </c>
      <c r="C1779" s="150" t="s">
        <v>18</v>
      </c>
      <c r="D1779" s="150">
        <v>0</v>
      </c>
      <c r="E1779" s="151" t="s">
        <v>13</v>
      </c>
      <c r="F1779" s="152" t="str">
        <f t="shared" si="83"/>
        <v/>
      </c>
      <c r="G1779" s="153">
        <f>IF($K1779="Padrão",BDI!$B$17,IF($K1779="Diferenciado",BDI!$E$17,0))</f>
        <v>0.2039</v>
      </c>
      <c r="H1779" s="151" t="str">
        <f t="shared" si="81"/>
        <v/>
      </c>
      <c r="I1779" s="152" t="str">
        <f t="shared" si="82"/>
        <v/>
      </c>
      <c r="J1779" s="154"/>
      <c r="K1779" s="155" t="s">
        <v>2966</v>
      </c>
    </row>
    <row r="1780" spans="1:11" hidden="1" x14ac:dyDescent="0.25">
      <c r="A1780" s="148" t="s">
        <v>5666</v>
      </c>
      <c r="B1780" s="149" t="s">
        <v>5667</v>
      </c>
      <c r="C1780" s="150" t="s">
        <v>18</v>
      </c>
      <c r="D1780" s="150">
        <v>0</v>
      </c>
      <c r="E1780" s="151" t="s">
        <v>13</v>
      </c>
      <c r="F1780" s="152" t="str">
        <f t="shared" si="83"/>
        <v/>
      </c>
      <c r="G1780" s="153">
        <f>IF($K1780="Padrão",BDI!$B$17,IF($K1780="Diferenciado",BDI!$E$17,0))</f>
        <v>0.2039</v>
      </c>
      <c r="H1780" s="151" t="str">
        <f t="shared" si="81"/>
        <v/>
      </c>
      <c r="I1780" s="152" t="str">
        <f t="shared" si="82"/>
        <v/>
      </c>
      <c r="J1780" s="154"/>
      <c r="K1780" s="155" t="s">
        <v>2966</v>
      </c>
    </row>
    <row r="1781" spans="1:11" hidden="1" x14ac:dyDescent="0.25">
      <c r="A1781" s="148" t="s">
        <v>5668</v>
      </c>
      <c r="B1781" s="149" t="s">
        <v>5669</v>
      </c>
      <c r="C1781" s="150" t="s">
        <v>18</v>
      </c>
      <c r="D1781" s="150">
        <v>0</v>
      </c>
      <c r="E1781" s="151" t="s">
        <v>13</v>
      </c>
      <c r="F1781" s="152" t="str">
        <f t="shared" si="83"/>
        <v/>
      </c>
      <c r="G1781" s="153">
        <f>IF($K1781="Padrão",BDI!$B$17,IF($K1781="Diferenciado",BDI!$E$17,0))</f>
        <v>0.2039</v>
      </c>
      <c r="H1781" s="151" t="str">
        <f t="shared" si="81"/>
        <v/>
      </c>
      <c r="I1781" s="152" t="str">
        <f t="shared" si="82"/>
        <v/>
      </c>
      <c r="J1781" s="154"/>
      <c r="K1781" s="155" t="s">
        <v>2966</v>
      </c>
    </row>
    <row r="1782" spans="1:11" hidden="1" x14ac:dyDescent="0.25">
      <c r="A1782" s="148" t="s">
        <v>5670</v>
      </c>
      <c r="B1782" s="149" t="s">
        <v>5671</v>
      </c>
      <c r="C1782" s="150" t="s">
        <v>18</v>
      </c>
      <c r="D1782" s="150">
        <v>0</v>
      </c>
      <c r="E1782" s="151" t="s">
        <v>13</v>
      </c>
      <c r="F1782" s="152" t="str">
        <f t="shared" si="83"/>
        <v/>
      </c>
      <c r="G1782" s="153">
        <f>IF($K1782="Padrão",BDI!$B$17,IF($K1782="Diferenciado",BDI!$E$17,0))</f>
        <v>0.2039</v>
      </c>
      <c r="H1782" s="151" t="str">
        <f t="shared" si="81"/>
        <v/>
      </c>
      <c r="I1782" s="152" t="str">
        <f t="shared" si="82"/>
        <v/>
      </c>
      <c r="J1782" s="154"/>
      <c r="K1782" s="155" t="s">
        <v>2966</v>
      </c>
    </row>
    <row r="1783" spans="1:11" hidden="1" x14ac:dyDescent="0.25">
      <c r="A1783" s="148" t="s">
        <v>5672</v>
      </c>
      <c r="B1783" s="149" t="s">
        <v>5673</v>
      </c>
      <c r="C1783" s="150" t="s">
        <v>18</v>
      </c>
      <c r="D1783" s="150">
        <v>0</v>
      </c>
      <c r="E1783" s="151" t="s">
        <v>13</v>
      </c>
      <c r="F1783" s="152" t="str">
        <f t="shared" si="83"/>
        <v/>
      </c>
      <c r="G1783" s="153">
        <f>IF($K1783="Padrão",BDI!$B$17,IF($K1783="Diferenciado",BDI!$E$17,0))</f>
        <v>0.2039</v>
      </c>
      <c r="H1783" s="151" t="str">
        <f t="shared" si="81"/>
        <v/>
      </c>
      <c r="I1783" s="152" t="str">
        <f t="shared" si="82"/>
        <v/>
      </c>
      <c r="J1783" s="154"/>
      <c r="K1783" s="155" t="s">
        <v>2966</v>
      </c>
    </row>
    <row r="1784" spans="1:11" hidden="1" x14ac:dyDescent="0.25">
      <c r="A1784" s="148" t="s">
        <v>5674</v>
      </c>
      <c r="B1784" s="149" t="s">
        <v>5675</v>
      </c>
      <c r="C1784" s="150" t="s">
        <v>18</v>
      </c>
      <c r="D1784" s="150">
        <v>0</v>
      </c>
      <c r="E1784" s="151" t="s">
        <v>13</v>
      </c>
      <c r="F1784" s="152" t="str">
        <f t="shared" si="83"/>
        <v/>
      </c>
      <c r="G1784" s="153">
        <f>IF($K1784="Padrão",BDI!$B$17,IF($K1784="Diferenciado",BDI!$E$17,0))</f>
        <v>0.2039</v>
      </c>
      <c r="H1784" s="151" t="str">
        <f t="shared" si="81"/>
        <v/>
      </c>
      <c r="I1784" s="152" t="str">
        <f t="shared" si="82"/>
        <v/>
      </c>
      <c r="J1784" s="154"/>
      <c r="K1784" s="155" t="s">
        <v>2966</v>
      </c>
    </row>
    <row r="1785" spans="1:11" hidden="1" x14ac:dyDescent="0.25">
      <c r="A1785" s="148" t="s">
        <v>5676</v>
      </c>
      <c r="B1785" s="149" t="s">
        <v>5677</v>
      </c>
      <c r="C1785" s="150" t="s">
        <v>18</v>
      </c>
      <c r="D1785" s="150">
        <v>0</v>
      </c>
      <c r="E1785" s="151" t="s">
        <v>13</v>
      </c>
      <c r="F1785" s="152" t="str">
        <f t="shared" si="83"/>
        <v/>
      </c>
      <c r="G1785" s="153">
        <f>IF($K1785="Padrão",BDI!$B$17,IF($K1785="Diferenciado",BDI!$E$17,0))</f>
        <v>0.2039</v>
      </c>
      <c r="H1785" s="151" t="str">
        <f t="shared" si="81"/>
        <v/>
      </c>
      <c r="I1785" s="152" t="str">
        <f t="shared" si="82"/>
        <v/>
      </c>
      <c r="J1785" s="154"/>
      <c r="K1785" s="155" t="s">
        <v>2966</v>
      </c>
    </row>
    <row r="1786" spans="1:11" hidden="1" x14ac:dyDescent="0.25">
      <c r="A1786" s="148" t="s">
        <v>5678</v>
      </c>
      <c r="B1786" s="149" t="s">
        <v>5679</v>
      </c>
      <c r="C1786" s="150" t="s">
        <v>18</v>
      </c>
      <c r="D1786" s="150">
        <v>0</v>
      </c>
      <c r="E1786" s="151" t="s">
        <v>13</v>
      </c>
      <c r="F1786" s="152" t="str">
        <f t="shared" si="83"/>
        <v/>
      </c>
      <c r="G1786" s="153">
        <f>IF($K1786="Padrão",BDI!$B$17,IF($K1786="Diferenciado",BDI!$E$17,0))</f>
        <v>0.2039</v>
      </c>
      <c r="H1786" s="151" t="str">
        <f t="shared" si="81"/>
        <v/>
      </c>
      <c r="I1786" s="152" t="str">
        <f t="shared" si="82"/>
        <v/>
      </c>
      <c r="J1786" s="154"/>
      <c r="K1786" s="155" t="s">
        <v>2966</v>
      </c>
    </row>
    <row r="1787" spans="1:11" hidden="1" x14ac:dyDescent="0.25">
      <c r="A1787" s="148" t="s">
        <v>5680</v>
      </c>
      <c r="B1787" s="149" t="s">
        <v>5681</v>
      </c>
      <c r="C1787" s="150" t="s">
        <v>18</v>
      </c>
      <c r="D1787" s="150">
        <v>0</v>
      </c>
      <c r="E1787" s="151" t="s">
        <v>13</v>
      </c>
      <c r="F1787" s="152" t="str">
        <f t="shared" si="83"/>
        <v/>
      </c>
      <c r="G1787" s="153">
        <f>IF($K1787="Padrão",BDI!$B$17,IF($K1787="Diferenciado",BDI!$E$17,0))</f>
        <v>0.2039</v>
      </c>
      <c r="H1787" s="151" t="str">
        <f t="shared" si="81"/>
        <v/>
      </c>
      <c r="I1787" s="152" t="str">
        <f t="shared" si="82"/>
        <v/>
      </c>
      <c r="J1787" s="154"/>
      <c r="K1787" s="155" t="s">
        <v>2966</v>
      </c>
    </row>
    <row r="1788" spans="1:11" hidden="1" x14ac:dyDescent="0.25">
      <c r="A1788" s="148" t="s">
        <v>5682</v>
      </c>
      <c r="B1788" s="149" t="s">
        <v>5683</v>
      </c>
      <c r="C1788" s="150" t="s">
        <v>18</v>
      </c>
      <c r="D1788" s="150">
        <v>0</v>
      </c>
      <c r="E1788" s="151" t="s">
        <v>13</v>
      </c>
      <c r="F1788" s="152" t="str">
        <f t="shared" si="83"/>
        <v/>
      </c>
      <c r="G1788" s="153">
        <f>IF($K1788="Padrão",BDI!$B$17,IF($K1788="Diferenciado",BDI!$E$17,0))</f>
        <v>0.2039</v>
      </c>
      <c r="H1788" s="151" t="str">
        <f t="shared" si="81"/>
        <v/>
      </c>
      <c r="I1788" s="152" t="str">
        <f t="shared" si="82"/>
        <v/>
      </c>
      <c r="J1788" s="154"/>
      <c r="K1788" s="155" t="s">
        <v>2966</v>
      </c>
    </row>
    <row r="1789" spans="1:11" hidden="1" x14ac:dyDescent="0.25">
      <c r="A1789" s="148" t="s">
        <v>5684</v>
      </c>
      <c r="B1789" s="149" t="s">
        <v>5685</v>
      </c>
      <c r="C1789" s="150" t="s">
        <v>18</v>
      </c>
      <c r="D1789" s="150">
        <v>0</v>
      </c>
      <c r="E1789" s="151" t="s">
        <v>13</v>
      </c>
      <c r="F1789" s="152" t="str">
        <f t="shared" si="83"/>
        <v/>
      </c>
      <c r="G1789" s="153">
        <f>IF($K1789="Padrão",BDI!$B$17,IF($K1789="Diferenciado",BDI!$E$17,0))</f>
        <v>0.2039</v>
      </c>
      <c r="H1789" s="151" t="str">
        <f t="shared" si="81"/>
        <v/>
      </c>
      <c r="I1789" s="152" t="str">
        <f t="shared" si="82"/>
        <v/>
      </c>
      <c r="J1789" s="154"/>
      <c r="K1789" s="155" t="s">
        <v>2966</v>
      </c>
    </row>
    <row r="1790" spans="1:11" hidden="1" x14ac:dyDescent="0.25">
      <c r="A1790" s="148" t="s">
        <v>5686</v>
      </c>
      <c r="B1790" s="149" t="s">
        <v>5687</v>
      </c>
      <c r="C1790" s="150" t="s">
        <v>18</v>
      </c>
      <c r="D1790" s="150">
        <v>0</v>
      </c>
      <c r="E1790" s="151" t="s">
        <v>13</v>
      </c>
      <c r="F1790" s="152" t="str">
        <f t="shared" si="83"/>
        <v/>
      </c>
      <c r="G1790" s="153">
        <f>IF($K1790="Padrão",BDI!$B$17,IF($K1790="Diferenciado",BDI!$E$17,0))</f>
        <v>0.2039</v>
      </c>
      <c r="H1790" s="151" t="str">
        <f t="shared" si="81"/>
        <v/>
      </c>
      <c r="I1790" s="152" t="str">
        <f t="shared" si="82"/>
        <v/>
      </c>
      <c r="J1790" s="154"/>
      <c r="K1790" s="155" t="s">
        <v>2966</v>
      </c>
    </row>
    <row r="1791" spans="1:11" hidden="1" x14ac:dyDescent="0.25">
      <c r="A1791" s="148" t="s">
        <v>5688</v>
      </c>
      <c r="B1791" s="149" t="s">
        <v>5689</v>
      </c>
      <c r="C1791" s="150" t="s">
        <v>18</v>
      </c>
      <c r="D1791" s="150">
        <v>0</v>
      </c>
      <c r="E1791" s="151" t="s">
        <v>13</v>
      </c>
      <c r="F1791" s="152" t="str">
        <f t="shared" si="83"/>
        <v/>
      </c>
      <c r="G1791" s="153">
        <f>IF($K1791="Padrão",BDI!$B$17,IF($K1791="Diferenciado",BDI!$E$17,0))</f>
        <v>0.2039</v>
      </c>
      <c r="H1791" s="151" t="str">
        <f t="shared" si="81"/>
        <v/>
      </c>
      <c r="I1791" s="152" t="str">
        <f t="shared" si="82"/>
        <v/>
      </c>
      <c r="J1791" s="154"/>
      <c r="K1791" s="155" t="s">
        <v>2966</v>
      </c>
    </row>
    <row r="1792" spans="1:11" hidden="1" x14ac:dyDescent="0.25">
      <c r="A1792" s="148" t="s">
        <v>5690</v>
      </c>
      <c r="B1792" s="149" t="s">
        <v>5691</v>
      </c>
      <c r="C1792" s="150" t="s">
        <v>18</v>
      </c>
      <c r="D1792" s="150">
        <v>0</v>
      </c>
      <c r="E1792" s="151" t="s">
        <v>13</v>
      </c>
      <c r="F1792" s="152" t="str">
        <f t="shared" si="83"/>
        <v/>
      </c>
      <c r="G1792" s="153">
        <f>IF($K1792="Padrão",BDI!$B$17,IF($K1792="Diferenciado",BDI!$E$17,0))</f>
        <v>0.2039</v>
      </c>
      <c r="H1792" s="151" t="str">
        <f t="shared" si="81"/>
        <v/>
      </c>
      <c r="I1792" s="152" t="str">
        <f t="shared" si="82"/>
        <v/>
      </c>
      <c r="J1792" s="154"/>
      <c r="K1792" s="155" t="s">
        <v>2966</v>
      </c>
    </row>
    <row r="1793" spans="1:11" hidden="1" x14ac:dyDescent="0.25">
      <c r="A1793" s="148" t="s">
        <v>5692</v>
      </c>
      <c r="B1793" s="149" t="s">
        <v>5693</v>
      </c>
      <c r="C1793" s="150" t="s">
        <v>18</v>
      </c>
      <c r="D1793" s="150">
        <v>0</v>
      </c>
      <c r="E1793" s="151" t="s">
        <v>13</v>
      </c>
      <c r="F1793" s="152" t="str">
        <f t="shared" si="83"/>
        <v/>
      </c>
      <c r="G1793" s="153">
        <f>IF($K1793="Padrão",BDI!$B$17,IF($K1793="Diferenciado",BDI!$E$17,0))</f>
        <v>0.2039</v>
      </c>
      <c r="H1793" s="151" t="str">
        <f t="shared" si="81"/>
        <v/>
      </c>
      <c r="I1793" s="152" t="str">
        <f t="shared" si="82"/>
        <v/>
      </c>
      <c r="J1793" s="154"/>
      <c r="K1793" s="155" t="s">
        <v>2966</v>
      </c>
    </row>
    <row r="1794" spans="1:11" hidden="1" x14ac:dyDescent="0.25">
      <c r="A1794" s="148" t="s">
        <v>5694</v>
      </c>
      <c r="B1794" s="149" t="s">
        <v>5695</v>
      </c>
      <c r="C1794" s="150" t="s">
        <v>18</v>
      </c>
      <c r="D1794" s="150">
        <v>0</v>
      </c>
      <c r="E1794" s="151" t="s">
        <v>13</v>
      </c>
      <c r="F1794" s="152" t="str">
        <f t="shared" si="83"/>
        <v/>
      </c>
      <c r="G1794" s="153">
        <f>IF($K1794="Padrão",BDI!$B$17,IF($K1794="Diferenciado",BDI!$E$17,0))</f>
        <v>0.2039</v>
      </c>
      <c r="H1794" s="151" t="str">
        <f t="shared" si="81"/>
        <v/>
      </c>
      <c r="I1794" s="152" t="str">
        <f t="shared" si="82"/>
        <v/>
      </c>
      <c r="J1794" s="154"/>
      <c r="K1794" s="155" t="s">
        <v>2966</v>
      </c>
    </row>
    <row r="1795" spans="1:11" hidden="1" x14ac:dyDescent="0.25">
      <c r="A1795" s="148" t="s">
        <v>5696</v>
      </c>
      <c r="B1795" s="149" t="s">
        <v>5697</v>
      </c>
      <c r="C1795" s="150" t="s">
        <v>18</v>
      </c>
      <c r="D1795" s="150">
        <v>0</v>
      </c>
      <c r="E1795" s="151" t="s">
        <v>13</v>
      </c>
      <c r="F1795" s="152" t="str">
        <f t="shared" si="83"/>
        <v/>
      </c>
      <c r="G1795" s="153">
        <f>IF($K1795="Padrão",BDI!$B$17,IF($K1795="Diferenciado",BDI!$E$17,0))</f>
        <v>0.2039</v>
      </c>
      <c r="H1795" s="151" t="str">
        <f t="shared" si="81"/>
        <v/>
      </c>
      <c r="I1795" s="152" t="str">
        <f t="shared" si="82"/>
        <v/>
      </c>
      <c r="J1795" s="154"/>
      <c r="K1795" s="155" t="s">
        <v>2966</v>
      </c>
    </row>
    <row r="1796" spans="1:11" hidden="1" x14ac:dyDescent="0.25">
      <c r="A1796" s="148" t="s">
        <v>5698</v>
      </c>
      <c r="B1796" s="149" t="s">
        <v>5699</v>
      </c>
      <c r="C1796" s="150" t="s">
        <v>18</v>
      </c>
      <c r="D1796" s="150">
        <v>0</v>
      </c>
      <c r="E1796" s="151" t="s">
        <v>13</v>
      </c>
      <c r="F1796" s="152" t="str">
        <f t="shared" si="83"/>
        <v/>
      </c>
      <c r="G1796" s="153">
        <f>IF($K1796="Padrão",BDI!$B$17,IF($K1796="Diferenciado",BDI!$E$17,0))</f>
        <v>0.2039</v>
      </c>
      <c r="H1796" s="151" t="str">
        <f t="shared" si="81"/>
        <v/>
      </c>
      <c r="I1796" s="152" t="str">
        <f t="shared" si="82"/>
        <v/>
      </c>
      <c r="J1796" s="154"/>
      <c r="K1796" s="155" t="s">
        <v>2966</v>
      </c>
    </row>
    <row r="1797" spans="1:11" hidden="1" x14ac:dyDescent="0.25">
      <c r="A1797" s="148" t="s">
        <v>5700</v>
      </c>
      <c r="B1797" s="149" t="s">
        <v>5701</v>
      </c>
      <c r="C1797" s="150" t="s">
        <v>18</v>
      </c>
      <c r="D1797" s="150">
        <v>0</v>
      </c>
      <c r="E1797" s="151" t="s">
        <v>13</v>
      </c>
      <c r="F1797" s="152" t="str">
        <f t="shared" si="83"/>
        <v/>
      </c>
      <c r="G1797" s="153">
        <f>IF($K1797="Padrão",BDI!$B$17,IF($K1797="Diferenciado",BDI!$E$17,0))</f>
        <v>0.2039</v>
      </c>
      <c r="H1797" s="151" t="str">
        <f t="shared" si="81"/>
        <v/>
      </c>
      <c r="I1797" s="152" t="str">
        <f t="shared" si="82"/>
        <v/>
      </c>
      <c r="J1797" s="154"/>
      <c r="K1797" s="155" t="s">
        <v>2966</v>
      </c>
    </row>
    <row r="1798" spans="1:11" hidden="1" x14ac:dyDescent="0.25">
      <c r="A1798" s="148" t="s">
        <v>5702</v>
      </c>
      <c r="B1798" s="149" t="s">
        <v>5703</v>
      </c>
      <c r="C1798" s="150" t="s">
        <v>18</v>
      </c>
      <c r="D1798" s="150">
        <v>0</v>
      </c>
      <c r="E1798" s="151" t="s">
        <v>13</v>
      </c>
      <c r="F1798" s="152" t="str">
        <f t="shared" si="83"/>
        <v/>
      </c>
      <c r="G1798" s="153">
        <f>IF($K1798="Padrão",BDI!$B$17,IF($K1798="Diferenciado",BDI!$E$17,0))</f>
        <v>0.2039</v>
      </c>
      <c r="H1798" s="151" t="str">
        <f t="shared" ref="H1798:H1861" si="84">IF(ISNUMBER(E1798),ROUND(E1798*(1+G1798),2),"")</f>
        <v/>
      </c>
      <c r="I1798" s="152" t="str">
        <f t="shared" ref="I1798:I1861" si="85">IF(ISNUMBER(E1798),ROUND(H1798*D1798,2),"")</f>
        <v/>
      </c>
      <c r="J1798" s="154"/>
      <c r="K1798" s="155" t="s">
        <v>2966</v>
      </c>
    </row>
    <row r="1799" spans="1:11" hidden="1" x14ac:dyDescent="0.25">
      <c r="A1799" s="148" t="s">
        <v>5704</v>
      </c>
      <c r="B1799" s="149" t="s">
        <v>5705</v>
      </c>
      <c r="C1799" s="150" t="s">
        <v>18</v>
      </c>
      <c r="D1799" s="150">
        <v>0</v>
      </c>
      <c r="E1799" s="151" t="s">
        <v>13</v>
      </c>
      <c r="F1799" s="152" t="str">
        <f t="shared" ref="F1799:F1862" si="86">IF(ISNUMBER(E1799),D1799*E1799,"")</f>
        <v/>
      </c>
      <c r="G1799" s="153">
        <f>IF($K1799="Padrão",BDI!$B$17,IF($K1799="Diferenciado",BDI!$E$17,0))</f>
        <v>0.2039</v>
      </c>
      <c r="H1799" s="151" t="str">
        <f t="shared" si="84"/>
        <v/>
      </c>
      <c r="I1799" s="152" t="str">
        <f t="shared" si="85"/>
        <v/>
      </c>
      <c r="J1799" s="154"/>
      <c r="K1799" s="155" t="s">
        <v>2966</v>
      </c>
    </row>
    <row r="1800" spans="1:11" hidden="1" x14ac:dyDescent="0.25">
      <c r="A1800" s="148" t="s">
        <v>5706</v>
      </c>
      <c r="B1800" s="149" t="s">
        <v>5707</v>
      </c>
      <c r="C1800" s="150" t="s">
        <v>18</v>
      </c>
      <c r="D1800" s="150">
        <v>0</v>
      </c>
      <c r="E1800" s="151" t="s">
        <v>13</v>
      </c>
      <c r="F1800" s="152" t="str">
        <f t="shared" si="86"/>
        <v/>
      </c>
      <c r="G1800" s="153">
        <f>IF($K1800="Padrão",BDI!$B$17,IF($K1800="Diferenciado",BDI!$E$17,0))</f>
        <v>0.2039</v>
      </c>
      <c r="H1800" s="151" t="str">
        <f t="shared" si="84"/>
        <v/>
      </c>
      <c r="I1800" s="152" t="str">
        <f t="shared" si="85"/>
        <v/>
      </c>
      <c r="J1800" s="154"/>
      <c r="K1800" s="155" t="s">
        <v>2966</v>
      </c>
    </row>
    <row r="1801" spans="1:11" hidden="1" x14ac:dyDescent="0.25">
      <c r="A1801" s="148" t="s">
        <v>5708</v>
      </c>
      <c r="B1801" s="149" t="s">
        <v>5709</v>
      </c>
      <c r="C1801" s="150" t="s">
        <v>18</v>
      </c>
      <c r="D1801" s="150">
        <v>0</v>
      </c>
      <c r="E1801" s="151" t="s">
        <v>13</v>
      </c>
      <c r="F1801" s="152" t="str">
        <f t="shared" si="86"/>
        <v/>
      </c>
      <c r="G1801" s="153">
        <f>IF($K1801="Padrão",BDI!$B$17,IF($K1801="Diferenciado",BDI!$E$17,0))</f>
        <v>0.2039</v>
      </c>
      <c r="H1801" s="151" t="str">
        <f t="shared" si="84"/>
        <v/>
      </c>
      <c r="I1801" s="152" t="str">
        <f t="shared" si="85"/>
        <v/>
      </c>
      <c r="J1801" s="154"/>
      <c r="K1801" s="155" t="s">
        <v>2966</v>
      </c>
    </row>
    <row r="1802" spans="1:11" hidden="1" x14ac:dyDescent="0.25">
      <c r="A1802" s="148" t="s">
        <v>5710</v>
      </c>
      <c r="B1802" s="149" t="s">
        <v>5711</v>
      </c>
      <c r="C1802" s="150" t="s">
        <v>18</v>
      </c>
      <c r="D1802" s="150">
        <v>0</v>
      </c>
      <c r="E1802" s="151" t="s">
        <v>13</v>
      </c>
      <c r="F1802" s="152" t="str">
        <f t="shared" si="86"/>
        <v/>
      </c>
      <c r="G1802" s="153">
        <f>IF($K1802="Padrão",BDI!$B$17,IF($K1802="Diferenciado",BDI!$E$17,0))</f>
        <v>0.2039</v>
      </c>
      <c r="H1802" s="151" t="str">
        <f t="shared" si="84"/>
        <v/>
      </c>
      <c r="I1802" s="152" t="str">
        <f t="shared" si="85"/>
        <v/>
      </c>
      <c r="J1802" s="154"/>
      <c r="K1802" s="155" t="s">
        <v>2966</v>
      </c>
    </row>
    <row r="1803" spans="1:11" hidden="1" x14ac:dyDescent="0.25">
      <c r="A1803" s="148" t="s">
        <v>5712</v>
      </c>
      <c r="B1803" s="149" t="s">
        <v>5713</v>
      </c>
      <c r="C1803" s="150" t="s">
        <v>18</v>
      </c>
      <c r="D1803" s="150">
        <v>0</v>
      </c>
      <c r="E1803" s="151" t="s">
        <v>13</v>
      </c>
      <c r="F1803" s="152" t="str">
        <f t="shared" si="86"/>
        <v/>
      </c>
      <c r="G1803" s="153">
        <f>IF($K1803="Padrão",BDI!$B$17,IF($K1803="Diferenciado",BDI!$E$17,0))</f>
        <v>0.2039</v>
      </c>
      <c r="H1803" s="151" t="str">
        <f t="shared" si="84"/>
        <v/>
      </c>
      <c r="I1803" s="152" t="str">
        <f t="shared" si="85"/>
        <v/>
      </c>
      <c r="J1803" s="154"/>
      <c r="K1803" s="155" t="s">
        <v>2966</v>
      </c>
    </row>
    <row r="1804" spans="1:11" hidden="1" x14ac:dyDescent="0.25">
      <c r="A1804" s="148" t="s">
        <v>5714</v>
      </c>
      <c r="B1804" s="149" t="s">
        <v>5715</v>
      </c>
      <c r="C1804" s="150" t="s">
        <v>18</v>
      </c>
      <c r="D1804" s="150">
        <v>0</v>
      </c>
      <c r="E1804" s="151" t="s">
        <v>13</v>
      </c>
      <c r="F1804" s="152" t="str">
        <f t="shared" si="86"/>
        <v/>
      </c>
      <c r="G1804" s="153">
        <f>IF($K1804="Padrão",BDI!$B$17,IF($K1804="Diferenciado",BDI!$E$17,0))</f>
        <v>0.2039</v>
      </c>
      <c r="H1804" s="151" t="str">
        <f t="shared" si="84"/>
        <v/>
      </c>
      <c r="I1804" s="152" t="str">
        <f t="shared" si="85"/>
        <v/>
      </c>
      <c r="J1804" s="154"/>
      <c r="K1804" s="155" t="s">
        <v>2966</v>
      </c>
    </row>
    <row r="1805" spans="1:11" hidden="1" x14ac:dyDescent="0.25">
      <c r="A1805" s="148" t="s">
        <v>5716</v>
      </c>
      <c r="B1805" s="149" t="s">
        <v>5717</v>
      </c>
      <c r="C1805" s="150" t="s">
        <v>18</v>
      </c>
      <c r="D1805" s="150">
        <v>0</v>
      </c>
      <c r="E1805" s="151" t="s">
        <v>13</v>
      </c>
      <c r="F1805" s="152" t="str">
        <f t="shared" si="86"/>
        <v/>
      </c>
      <c r="G1805" s="153">
        <f>IF($K1805="Padrão",BDI!$B$17,IF($K1805="Diferenciado",BDI!$E$17,0))</f>
        <v>0.2039</v>
      </c>
      <c r="H1805" s="151" t="str">
        <f t="shared" si="84"/>
        <v/>
      </c>
      <c r="I1805" s="152" t="str">
        <f t="shared" si="85"/>
        <v/>
      </c>
      <c r="J1805" s="154"/>
      <c r="K1805" s="155" t="s">
        <v>2966</v>
      </c>
    </row>
    <row r="1806" spans="1:11" hidden="1" x14ac:dyDescent="0.25">
      <c r="A1806" s="148" t="s">
        <v>5718</v>
      </c>
      <c r="B1806" s="149" t="s">
        <v>5719</v>
      </c>
      <c r="C1806" s="150" t="s">
        <v>18</v>
      </c>
      <c r="D1806" s="150">
        <v>0</v>
      </c>
      <c r="E1806" s="151" t="s">
        <v>13</v>
      </c>
      <c r="F1806" s="152" t="str">
        <f t="shared" si="86"/>
        <v/>
      </c>
      <c r="G1806" s="153">
        <f>IF($K1806="Padrão",BDI!$B$17,IF($K1806="Diferenciado",BDI!$E$17,0))</f>
        <v>0.2039</v>
      </c>
      <c r="H1806" s="151" t="str">
        <f t="shared" si="84"/>
        <v/>
      </c>
      <c r="I1806" s="152" t="str">
        <f t="shared" si="85"/>
        <v/>
      </c>
      <c r="J1806" s="154"/>
      <c r="K1806" s="155" t="s">
        <v>2966</v>
      </c>
    </row>
    <row r="1807" spans="1:11" hidden="1" x14ac:dyDescent="0.25">
      <c r="A1807" s="148" t="s">
        <v>5720</v>
      </c>
      <c r="B1807" s="149" t="s">
        <v>5721</v>
      </c>
      <c r="C1807" s="150" t="s">
        <v>18</v>
      </c>
      <c r="D1807" s="150">
        <v>0</v>
      </c>
      <c r="E1807" s="151" t="s">
        <v>13</v>
      </c>
      <c r="F1807" s="152" t="str">
        <f t="shared" si="86"/>
        <v/>
      </c>
      <c r="G1807" s="153">
        <f>IF($K1807="Padrão",BDI!$B$17,IF($K1807="Diferenciado",BDI!$E$17,0))</f>
        <v>0.2039</v>
      </c>
      <c r="H1807" s="151" t="str">
        <f t="shared" si="84"/>
        <v/>
      </c>
      <c r="I1807" s="152" t="str">
        <f t="shared" si="85"/>
        <v/>
      </c>
      <c r="J1807" s="154"/>
      <c r="K1807" s="155" t="s">
        <v>2966</v>
      </c>
    </row>
    <row r="1808" spans="1:11" hidden="1" x14ac:dyDescent="0.25">
      <c r="A1808" s="148" t="s">
        <v>5722</v>
      </c>
      <c r="B1808" s="149" t="s">
        <v>5723</v>
      </c>
      <c r="C1808" s="150" t="s">
        <v>18</v>
      </c>
      <c r="D1808" s="150">
        <v>0</v>
      </c>
      <c r="E1808" s="151" t="s">
        <v>13</v>
      </c>
      <c r="F1808" s="152" t="str">
        <f t="shared" si="86"/>
        <v/>
      </c>
      <c r="G1808" s="153">
        <f>IF($K1808="Padrão",BDI!$B$17,IF($K1808="Diferenciado",BDI!$E$17,0))</f>
        <v>0.2039</v>
      </c>
      <c r="H1808" s="151" t="str">
        <f t="shared" si="84"/>
        <v/>
      </c>
      <c r="I1808" s="152" t="str">
        <f t="shared" si="85"/>
        <v/>
      </c>
      <c r="J1808" s="154"/>
      <c r="K1808" s="155" t="s">
        <v>2966</v>
      </c>
    </row>
    <row r="1809" spans="1:11" hidden="1" x14ac:dyDescent="0.25">
      <c r="A1809" s="148" t="s">
        <v>5724</v>
      </c>
      <c r="B1809" s="149" t="s">
        <v>5725</v>
      </c>
      <c r="C1809" s="150" t="s">
        <v>18</v>
      </c>
      <c r="D1809" s="150">
        <v>0</v>
      </c>
      <c r="E1809" s="151" t="s">
        <v>13</v>
      </c>
      <c r="F1809" s="152" t="str">
        <f t="shared" si="86"/>
        <v/>
      </c>
      <c r="G1809" s="153">
        <f>IF($K1809="Padrão",BDI!$B$17,IF($K1809="Diferenciado",BDI!$E$17,0))</f>
        <v>0.2039</v>
      </c>
      <c r="H1809" s="151" t="str">
        <f t="shared" si="84"/>
        <v/>
      </c>
      <c r="I1809" s="152" t="str">
        <f t="shared" si="85"/>
        <v/>
      </c>
      <c r="J1809" s="154"/>
      <c r="K1809" s="155" t="s">
        <v>2966</v>
      </c>
    </row>
    <row r="1810" spans="1:11" hidden="1" x14ac:dyDescent="0.25">
      <c r="A1810" s="148" t="s">
        <v>5726</v>
      </c>
      <c r="B1810" s="149" t="s">
        <v>5727</v>
      </c>
      <c r="C1810" s="150" t="s">
        <v>18</v>
      </c>
      <c r="D1810" s="150">
        <v>0</v>
      </c>
      <c r="E1810" s="151" t="s">
        <v>13</v>
      </c>
      <c r="F1810" s="152" t="str">
        <f t="shared" si="86"/>
        <v/>
      </c>
      <c r="G1810" s="153">
        <f>IF($K1810="Padrão",BDI!$B$17,IF($K1810="Diferenciado",BDI!$E$17,0))</f>
        <v>0.2039</v>
      </c>
      <c r="H1810" s="151" t="str">
        <f t="shared" si="84"/>
        <v/>
      </c>
      <c r="I1810" s="152" t="str">
        <f t="shared" si="85"/>
        <v/>
      </c>
      <c r="J1810" s="154"/>
      <c r="K1810" s="155" t="s">
        <v>2966</v>
      </c>
    </row>
    <row r="1811" spans="1:11" hidden="1" x14ac:dyDescent="0.25">
      <c r="A1811" s="148" t="s">
        <v>5728</v>
      </c>
      <c r="B1811" s="149" t="s">
        <v>5729</v>
      </c>
      <c r="C1811" s="150" t="s">
        <v>106</v>
      </c>
      <c r="D1811" s="150">
        <v>0</v>
      </c>
      <c r="E1811" s="151" t="s">
        <v>13</v>
      </c>
      <c r="F1811" s="152" t="str">
        <f t="shared" si="86"/>
        <v/>
      </c>
      <c r="G1811" s="153">
        <f>IF($K1811="Padrão",BDI!$B$17,IF($K1811="Diferenciado",BDI!$E$17,0))</f>
        <v>0.2039</v>
      </c>
      <c r="H1811" s="151" t="str">
        <f t="shared" si="84"/>
        <v/>
      </c>
      <c r="I1811" s="152" t="str">
        <f t="shared" si="85"/>
        <v/>
      </c>
      <c r="J1811" s="154"/>
      <c r="K1811" s="155" t="s">
        <v>2966</v>
      </c>
    </row>
    <row r="1812" spans="1:11" hidden="1" x14ac:dyDescent="0.25">
      <c r="A1812" s="148" t="s">
        <v>1380</v>
      </c>
      <c r="B1812" s="149" t="s">
        <v>5730</v>
      </c>
      <c r="C1812" s="150" t="s">
        <v>106</v>
      </c>
      <c r="D1812" s="150">
        <v>0</v>
      </c>
      <c r="E1812" s="151">
        <f ca="1">OFFSET(INDEX(Composições!A:H,MATCH(Orçamentária!A1812,Composições!A:A,0),8),2,0)</f>
        <v>7.6759999999999993</v>
      </c>
      <c r="F1812" s="152">
        <f t="shared" ca="1" si="86"/>
        <v>0</v>
      </c>
      <c r="G1812" s="153">
        <f>IF($K1812="Padrão",BDI!$B$17,IF($K1812="Diferenciado",BDI!$E$17,0))</f>
        <v>0.2039</v>
      </c>
      <c r="H1812" s="151">
        <f t="shared" ca="1" si="84"/>
        <v>9.24</v>
      </c>
      <c r="I1812" s="152">
        <f t="shared" ca="1" si="85"/>
        <v>0</v>
      </c>
      <c r="J1812" s="154"/>
      <c r="K1812" s="155" t="s">
        <v>2966</v>
      </c>
    </row>
    <row r="1813" spans="1:11" ht="25.5" hidden="1" x14ac:dyDescent="0.25">
      <c r="A1813" s="148" t="s">
        <v>1381</v>
      </c>
      <c r="B1813" s="149" t="s">
        <v>5731</v>
      </c>
      <c r="C1813" s="150" t="s">
        <v>106</v>
      </c>
      <c r="D1813" s="150">
        <v>0</v>
      </c>
      <c r="E1813" s="151">
        <f ca="1">OFFSET(INDEX(Composições!A:H,MATCH(Orçamentária!A1813,Composições!A:A,0),8),2,0)</f>
        <v>0</v>
      </c>
      <c r="F1813" s="152">
        <f t="shared" ca="1" si="86"/>
        <v>0</v>
      </c>
      <c r="G1813" s="153">
        <f>IF($K1813="Padrão",BDI!$B$17,IF($K1813="Diferenciado",BDI!$E$17,0))</f>
        <v>0.2039</v>
      </c>
      <c r="H1813" s="151">
        <f t="shared" ca="1" si="84"/>
        <v>0</v>
      </c>
      <c r="I1813" s="152">
        <f t="shared" ca="1" si="85"/>
        <v>0</v>
      </c>
      <c r="J1813" s="154"/>
      <c r="K1813" s="155" t="s">
        <v>2966</v>
      </c>
    </row>
    <row r="1814" spans="1:11" ht="25.5" hidden="1" x14ac:dyDescent="0.25">
      <c r="A1814" s="148" t="s">
        <v>1383</v>
      </c>
      <c r="B1814" s="149" t="s">
        <v>5732</v>
      </c>
      <c r="C1814" s="150" t="s">
        <v>106</v>
      </c>
      <c r="D1814" s="150">
        <v>0</v>
      </c>
      <c r="E1814" s="151">
        <f ca="1">OFFSET(INDEX(Composições!A:H,MATCH(Orçamentária!A1814,Composições!A:A,0),8),2,0)</f>
        <v>0</v>
      </c>
      <c r="F1814" s="152">
        <f t="shared" ca="1" si="86"/>
        <v>0</v>
      </c>
      <c r="G1814" s="153">
        <f>IF($K1814="Padrão",BDI!$B$17,IF($K1814="Diferenciado",BDI!$E$17,0))</f>
        <v>0.2039</v>
      </c>
      <c r="H1814" s="151">
        <f t="shared" ca="1" si="84"/>
        <v>0</v>
      </c>
      <c r="I1814" s="152">
        <f t="shared" ca="1" si="85"/>
        <v>0</v>
      </c>
      <c r="J1814" s="154"/>
      <c r="K1814" s="155" t="s">
        <v>2966</v>
      </c>
    </row>
    <row r="1815" spans="1:11" ht="25.5" hidden="1" x14ac:dyDescent="0.25">
      <c r="A1815" s="148" t="s">
        <v>1385</v>
      </c>
      <c r="B1815" s="149" t="s">
        <v>5733</v>
      </c>
      <c r="C1815" s="150" t="s">
        <v>106</v>
      </c>
      <c r="D1815" s="150">
        <v>0</v>
      </c>
      <c r="E1815" s="151">
        <f ca="1">OFFSET(INDEX(Composições!A:H,MATCH(Orçamentária!A1815,Composições!A:A,0),8),2,0)</f>
        <v>0</v>
      </c>
      <c r="F1815" s="152">
        <f t="shared" ca="1" si="86"/>
        <v>0</v>
      </c>
      <c r="G1815" s="153">
        <f>IF($K1815="Padrão",BDI!$B$17,IF($K1815="Diferenciado",BDI!$E$17,0))</f>
        <v>0.2039</v>
      </c>
      <c r="H1815" s="151">
        <f t="shared" ca="1" si="84"/>
        <v>0</v>
      </c>
      <c r="I1815" s="152">
        <f t="shared" ca="1" si="85"/>
        <v>0</v>
      </c>
      <c r="J1815" s="154"/>
      <c r="K1815" s="155" t="s">
        <v>2966</v>
      </c>
    </row>
    <row r="1816" spans="1:11" ht="25.5" hidden="1" x14ac:dyDescent="0.25">
      <c r="A1816" s="148" t="s">
        <v>1387</v>
      </c>
      <c r="B1816" s="149" t="s">
        <v>5734</v>
      </c>
      <c r="C1816" s="150" t="s">
        <v>106</v>
      </c>
      <c r="D1816" s="150">
        <v>0</v>
      </c>
      <c r="E1816" s="151">
        <f ca="1">OFFSET(INDEX(Composições!A:H,MATCH(Orçamentária!A1816,Composições!A:A,0),8),2,0)</f>
        <v>0</v>
      </c>
      <c r="F1816" s="152">
        <f t="shared" ca="1" si="86"/>
        <v>0</v>
      </c>
      <c r="G1816" s="153">
        <f>IF($K1816="Padrão",BDI!$B$17,IF($K1816="Diferenciado",BDI!$E$17,0))</f>
        <v>0.2039</v>
      </c>
      <c r="H1816" s="151">
        <f t="shared" ca="1" si="84"/>
        <v>0</v>
      </c>
      <c r="I1816" s="152">
        <f t="shared" ca="1" si="85"/>
        <v>0</v>
      </c>
      <c r="J1816" s="154"/>
      <c r="K1816" s="155" t="s">
        <v>2966</v>
      </c>
    </row>
    <row r="1817" spans="1:11" ht="25.5" hidden="1" x14ac:dyDescent="0.25">
      <c r="A1817" s="148" t="s">
        <v>1389</v>
      </c>
      <c r="B1817" s="149" t="s">
        <v>5735</v>
      </c>
      <c r="C1817" s="150" t="s">
        <v>106</v>
      </c>
      <c r="D1817" s="150">
        <v>0</v>
      </c>
      <c r="E1817" s="151">
        <f ca="1">OFFSET(INDEX(Composições!A:H,MATCH(Orçamentária!A1817,Composições!A:A,0),8),2,0)</f>
        <v>0</v>
      </c>
      <c r="F1817" s="152">
        <f t="shared" ca="1" si="86"/>
        <v>0</v>
      </c>
      <c r="G1817" s="153">
        <f>IF($K1817="Padrão",BDI!$B$17,IF($K1817="Diferenciado",BDI!$E$17,0))</f>
        <v>0.2039</v>
      </c>
      <c r="H1817" s="151">
        <f t="shared" ca="1" si="84"/>
        <v>0</v>
      </c>
      <c r="I1817" s="152">
        <f t="shared" ca="1" si="85"/>
        <v>0</v>
      </c>
      <c r="J1817" s="154"/>
      <c r="K1817" s="155" t="s">
        <v>2966</v>
      </c>
    </row>
    <row r="1818" spans="1:11" ht="25.5" hidden="1" x14ac:dyDescent="0.25">
      <c r="A1818" s="148" t="s">
        <v>1391</v>
      </c>
      <c r="B1818" s="149" t="s">
        <v>5736</v>
      </c>
      <c r="C1818" s="150" t="s">
        <v>106</v>
      </c>
      <c r="D1818" s="150">
        <v>0</v>
      </c>
      <c r="E1818" s="151">
        <f ca="1">OFFSET(INDEX(Composições!A:H,MATCH(Orçamentária!A1818,Composições!A:A,0),8),2,0)</f>
        <v>0</v>
      </c>
      <c r="F1818" s="152">
        <f t="shared" ca="1" si="86"/>
        <v>0</v>
      </c>
      <c r="G1818" s="153">
        <f>IF($K1818="Padrão",BDI!$B$17,IF($K1818="Diferenciado",BDI!$E$17,0))</f>
        <v>0.2039</v>
      </c>
      <c r="H1818" s="151">
        <f t="shared" ca="1" si="84"/>
        <v>0</v>
      </c>
      <c r="I1818" s="152">
        <f t="shared" ca="1" si="85"/>
        <v>0</v>
      </c>
      <c r="J1818" s="154"/>
      <c r="K1818" s="155" t="s">
        <v>2966</v>
      </c>
    </row>
    <row r="1819" spans="1:11" ht="25.5" hidden="1" x14ac:dyDescent="0.25">
      <c r="A1819" s="148" t="s">
        <v>1393</v>
      </c>
      <c r="B1819" s="149" t="s">
        <v>5737</v>
      </c>
      <c r="C1819" s="150" t="s">
        <v>106</v>
      </c>
      <c r="D1819" s="150">
        <v>0</v>
      </c>
      <c r="E1819" s="151">
        <f ca="1">OFFSET(INDEX(Composições!A:H,MATCH(Orçamentária!A1819,Composições!A:A,0),8),2,0)</f>
        <v>0</v>
      </c>
      <c r="F1819" s="152">
        <f t="shared" ca="1" si="86"/>
        <v>0</v>
      </c>
      <c r="G1819" s="153">
        <f>IF($K1819="Padrão",BDI!$B$17,IF($K1819="Diferenciado",BDI!$E$17,0))</f>
        <v>0.2039</v>
      </c>
      <c r="H1819" s="151">
        <f t="shared" ca="1" si="84"/>
        <v>0</v>
      </c>
      <c r="I1819" s="152">
        <f t="shared" ca="1" si="85"/>
        <v>0</v>
      </c>
      <c r="J1819" s="154"/>
      <c r="K1819" s="155" t="s">
        <v>2966</v>
      </c>
    </row>
    <row r="1820" spans="1:11" hidden="1" x14ac:dyDescent="0.25">
      <c r="A1820" s="148" t="s">
        <v>5738</v>
      </c>
      <c r="B1820" s="149" t="s">
        <v>5739</v>
      </c>
      <c r="C1820" s="150" t="s">
        <v>106</v>
      </c>
      <c r="D1820" s="150">
        <v>0</v>
      </c>
      <c r="E1820" s="151" t="s">
        <v>13</v>
      </c>
      <c r="F1820" s="152" t="str">
        <f t="shared" si="86"/>
        <v/>
      </c>
      <c r="G1820" s="153">
        <f>IF($K1820="Padrão",BDI!$B$17,IF($K1820="Diferenciado",BDI!$E$17,0))</f>
        <v>0.2039</v>
      </c>
      <c r="H1820" s="151" t="str">
        <f t="shared" si="84"/>
        <v/>
      </c>
      <c r="I1820" s="152" t="str">
        <f t="shared" si="85"/>
        <v/>
      </c>
      <c r="J1820" s="154"/>
      <c r="K1820" s="155" t="s">
        <v>2966</v>
      </c>
    </row>
    <row r="1821" spans="1:11" hidden="1" x14ac:dyDescent="0.25">
      <c r="A1821" s="148" t="s">
        <v>5740</v>
      </c>
      <c r="B1821" s="149" t="s">
        <v>5741</v>
      </c>
      <c r="C1821" s="150" t="s">
        <v>106</v>
      </c>
      <c r="D1821" s="150">
        <v>0</v>
      </c>
      <c r="E1821" s="151" t="s">
        <v>13</v>
      </c>
      <c r="F1821" s="152" t="str">
        <f t="shared" si="86"/>
        <v/>
      </c>
      <c r="G1821" s="153">
        <f>IF($K1821="Padrão",BDI!$B$17,IF($K1821="Diferenciado",BDI!$E$17,0))</f>
        <v>0.2039</v>
      </c>
      <c r="H1821" s="151" t="str">
        <f t="shared" si="84"/>
        <v/>
      </c>
      <c r="I1821" s="152" t="str">
        <f t="shared" si="85"/>
        <v/>
      </c>
      <c r="J1821" s="154"/>
      <c r="K1821" s="155" t="s">
        <v>2966</v>
      </c>
    </row>
    <row r="1822" spans="1:11" hidden="1" x14ac:dyDescent="0.25">
      <c r="A1822" s="148" t="s">
        <v>5742</v>
      </c>
      <c r="B1822" s="149" t="s">
        <v>5743</v>
      </c>
      <c r="C1822" s="150" t="s">
        <v>106</v>
      </c>
      <c r="D1822" s="150">
        <v>0</v>
      </c>
      <c r="E1822" s="151" t="s">
        <v>13</v>
      </c>
      <c r="F1822" s="152" t="str">
        <f t="shared" si="86"/>
        <v/>
      </c>
      <c r="G1822" s="153">
        <f>IF($K1822="Padrão",BDI!$B$17,IF($K1822="Diferenciado",BDI!$E$17,0))</f>
        <v>0.2039</v>
      </c>
      <c r="H1822" s="151" t="str">
        <f t="shared" si="84"/>
        <v/>
      </c>
      <c r="I1822" s="152" t="str">
        <f t="shared" si="85"/>
        <v/>
      </c>
      <c r="J1822" s="154"/>
      <c r="K1822" s="155" t="s">
        <v>2966</v>
      </c>
    </row>
    <row r="1823" spans="1:11" hidden="1" x14ac:dyDescent="0.25">
      <c r="A1823" s="148" t="s">
        <v>5744</v>
      </c>
      <c r="B1823" s="149" t="s">
        <v>5745</v>
      </c>
      <c r="C1823" s="150" t="s">
        <v>106</v>
      </c>
      <c r="D1823" s="150">
        <v>0</v>
      </c>
      <c r="E1823" s="151" t="s">
        <v>13</v>
      </c>
      <c r="F1823" s="152" t="str">
        <f t="shared" si="86"/>
        <v/>
      </c>
      <c r="G1823" s="153">
        <f>IF($K1823="Padrão",BDI!$B$17,IF($K1823="Diferenciado",BDI!$E$17,0))</f>
        <v>0.2039</v>
      </c>
      <c r="H1823" s="151" t="str">
        <f t="shared" si="84"/>
        <v/>
      </c>
      <c r="I1823" s="152" t="str">
        <f t="shared" si="85"/>
        <v/>
      </c>
      <c r="J1823" s="154"/>
      <c r="K1823" s="155" t="s">
        <v>2966</v>
      </c>
    </row>
    <row r="1824" spans="1:11" hidden="1" x14ac:dyDescent="0.25">
      <c r="A1824" s="148" t="s">
        <v>5746</v>
      </c>
      <c r="B1824" s="149" t="s">
        <v>5747</v>
      </c>
      <c r="C1824" s="150" t="s">
        <v>106</v>
      </c>
      <c r="D1824" s="150">
        <v>0</v>
      </c>
      <c r="E1824" s="151" t="s">
        <v>13</v>
      </c>
      <c r="F1824" s="152" t="str">
        <f t="shared" si="86"/>
        <v/>
      </c>
      <c r="G1824" s="153">
        <f>IF($K1824="Padrão",BDI!$B$17,IF($K1824="Diferenciado",BDI!$E$17,0))</f>
        <v>0.2039</v>
      </c>
      <c r="H1824" s="151" t="str">
        <f t="shared" si="84"/>
        <v/>
      </c>
      <c r="I1824" s="152" t="str">
        <f t="shared" si="85"/>
        <v/>
      </c>
      <c r="J1824" s="154"/>
      <c r="K1824" s="155" t="s">
        <v>2966</v>
      </c>
    </row>
    <row r="1825" spans="1:11" hidden="1" x14ac:dyDescent="0.25">
      <c r="A1825" s="148" t="s">
        <v>5748</v>
      </c>
      <c r="B1825" s="149" t="s">
        <v>5749</v>
      </c>
      <c r="C1825" s="150" t="s">
        <v>106</v>
      </c>
      <c r="D1825" s="150">
        <v>0</v>
      </c>
      <c r="E1825" s="151" t="s">
        <v>13</v>
      </c>
      <c r="F1825" s="152" t="str">
        <f t="shared" si="86"/>
        <v/>
      </c>
      <c r="G1825" s="153">
        <f>IF($K1825="Padrão",BDI!$B$17,IF($K1825="Diferenciado",BDI!$E$17,0))</f>
        <v>0.2039</v>
      </c>
      <c r="H1825" s="151" t="str">
        <f t="shared" si="84"/>
        <v/>
      </c>
      <c r="I1825" s="152" t="str">
        <f t="shared" si="85"/>
        <v/>
      </c>
      <c r="J1825" s="154"/>
      <c r="K1825" s="155" t="s">
        <v>2966</v>
      </c>
    </row>
    <row r="1826" spans="1:11" hidden="1" x14ac:dyDescent="0.25">
      <c r="A1826" s="148" t="s">
        <v>5750</v>
      </c>
      <c r="B1826" s="149" t="s">
        <v>5751</v>
      </c>
      <c r="C1826" s="150" t="s">
        <v>106</v>
      </c>
      <c r="D1826" s="150">
        <v>0</v>
      </c>
      <c r="E1826" s="151" t="s">
        <v>13</v>
      </c>
      <c r="F1826" s="152" t="str">
        <f t="shared" si="86"/>
        <v/>
      </c>
      <c r="G1826" s="153">
        <f>IF($K1826="Padrão",BDI!$B$17,IF($K1826="Diferenciado",BDI!$E$17,0))</f>
        <v>0.2039</v>
      </c>
      <c r="H1826" s="151" t="str">
        <f t="shared" si="84"/>
        <v/>
      </c>
      <c r="I1826" s="152" t="str">
        <f t="shared" si="85"/>
        <v/>
      </c>
      <c r="J1826" s="154"/>
      <c r="K1826" s="155" t="s">
        <v>2966</v>
      </c>
    </row>
    <row r="1827" spans="1:11" hidden="1" x14ac:dyDescent="0.25">
      <c r="A1827" s="148" t="s">
        <v>5752</v>
      </c>
      <c r="B1827" s="149" t="s">
        <v>5753</v>
      </c>
      <c r="C1827" s="150" t="s">
        <v>106</v>
      </c>
      <c r="D1827" s="150">
        <v>0</v>
      </c>
      <c r="E1827" s="151" t="s">
        <v>13</v>
      </c>
      <c r="F1827" s="152" t="str">
        <f t="shared" si="86"/>
        <v/>
      </c>
      <c r="G1827" s="153">
        <f>IF($K1827="Padrão",BDI!$B$17,IF($K1827="Diferenciado",BDI!$E$17,0))</f>
        <v>0.2039</v>
      </c>
      <c r="H1827" s="151" t="str">
        <f t="shared" si="84"/>
        <v/>
      </c>
      <c r="I1827" s="152" t="str">
        <f t="shared" si="85"/>
        <v/>
      </c>
      <c r="J1827" s="154"/>
      <c r="K1827" s="155" t="s">
        <v>2966</v>
      </c>
    </row>
    <row r="1828" spans="1:11" hidden="1" x14ac:dyDescent="0.25">
      <c r="A1828" s="148" t="s">
        <v>5754</v>
      </c>
      <c r="B1828" s="149" t="s">
        <v>5755</v>
      </c>
      <c r="C1828" s="150" t="s">
        <v>18</v>
      </c>
      <c r="D1828" s="150">
        <v>0</v>
      </c>
      <c r="E1828" s="151" t="s">
        <v>13</v>
      </c>
      <c r="F1828" s="152" t="str">
        <f t="shared" si="86"/>
        <v/>
      </c>
      <c r="G1828" s="153">
        <f>IF($K1828="Padrão",BDI!$B$17,IF($K1828="Diferenciado",BDI!$E$17,0))</f>
        <v>0.2039</v>
      </c>
      <c r="H1828" s="151" t="str">
        <f t="shared" si="84"/>
        <v/>
      </c>
      <c r="I1828" s="152" t="str">
        <f t="shared" si="85"/>
        <v/>
      </c>
      <c r="J1828" s="154"/>
      <c r="K1828" s="155" t="s">
        <v>2966</v>
      </c>
    </row>
    <row r="1829" spans="1:11" hidden="1" x14ac:dyDescent="0.25">
      <c r="A1829" s="148" t="s">
        <v>1395</v>
      </c>
      <c r="B1829" s="149" t="s">
        <v>5756</v>
      </c>
      <c r="C1829" s="150" t="s">
        <v>18</v>
      </c>
      <c r="D1829" s="150">
        <v>0</v>
      </c>
      <c r="E1829" s="151">
        <f ca="1">OFFSET(INDEX(Composições!A:H,MATCH(Orçamentária!A1829,Composições!A:A,0),8),2,0)</f>
        <v>1.3299999999999998</v>
      </c>
      <c r="F1829" s="152">
        <f t="shared" ca="1" si="86"/>
        <v>0</v>
      </c>
      <c r="G1829" s="153">
        <f>IF($K1829="Padrão",BDI!$B$17,IF($K1829="Diferenciado",BDI!$E$17,0))</f>
        <v>0.2039</v>
      </c>
      <c r="H1829" s="151">
        <f t="shared" ca="1" si="84"/>
        <v>1.6</v>
      </c>
      <c r="I1829" s="152">
        <f t="shared" ca="1" si="85"/>
        <v>0</v>
      </c>
      <c r="J1829" s="154"/>
      <c r="K1829" s="155" t="s">
        <v>2966</v>
      </c>
    </row>
    <row r="1830" spans="1:11" hidden="1" x14ac:dyDescent="0.25">
      <c r="A1830" s="148" t="s">
        <v>5757</v>
      </c>
      <c r="B1830" s="149" t="s">
        <v>5758</v>
      </c>
      <c r="C1830" s="150" t="s">
        <v>18</v>
      </c>
      <c r="D1830" s="150">
        <v>0</v>
      </c>
      <c r="E1830" s="151" t="s">
        <v>13</v>
      </c>
      <c r="F1830" s="152" t="str">
        <f t="shared" si="86"/>
        <v/>
      </c>
      <c r="G1830" s="153">
        <f>IF($K1830="Padrão",BDI!$B$17,IF($K1830="Diferenciado",BDI!$E$17,0))</f>
        <v>0.2039</v>
      </c>
      <c r="H1830" s="151" t="str">
        <f t="shared" si="84"/>
        <v/>
      </c>
      <c r="I1830" s="152" t="str">
        <f t="shared" si="85"/>
        <v/>
      </c>
      <c r="J1830" s="154"/>
      <c r="K1830" s="155" t="s">
        <v>2966</v>
      </c>
    </row>
    <row r="1831" spans="1:11" hidden="1" x14ac:dyDescent="0.25">
      <c r="A1831" s="148" t="s">
        <v>1396</v>
      </c>
      <c r="B1831" s="149" t="s">
        <v>5759</v>
      </c>
      <c r="C1831" s="150" t="s">
        <v>18</v>
      </c>
      <c r="D1831" s="150">
        <v>0</v>
      </c>
      <c r="E1831" s="151">
        <f ca="1">OFFSET(INDEX(Composições!A:H,MATCH(Orçamentária!A1831,Composições!A:A,0),8),2,0)</f>
        <v>3.3155000000000001</v>
      </c>
      <c r="F1831" s="152">
        <f t="shared" ca="1" si="86"/>
        <v>0</v>
      </c>
      <c r="G1831" s="153">
        <f>IF($K1831="Padrão",BDI!$B$17,IF($K1831="Diferenciado",BDI!$E$17,0))</f>
        <v>0.2039</v>
      </c>
      <c r="H1831" s="151">
        <f t="shared" ca="1" si="84"/>
        <v>3.99</v>
      </c>
      <c r="I1831" s="152">
        <f t="shared" ca="1" si="85"/>
        <v>0</v>
      </c>
      <c r="J1831" s="154"/>
      <c r="K1831" s="155" t="s">
        <v>2966</v>
      </c>
    </row>
    <row r="1832" spans="1:11" hidden="1" x14ac:dyDescent="0.25">
      <c r="A1832" s="148" t="s">
        <v>1397</v>
      </c>
      <c r="B1832" s="149" t="s">
        <v>5760</v>
      </c>
      <c r="C1832" s="150" t="s">
        <v>18</v>
      </c>
      <c r="D1832" s="150">
        <v>0</v>
      </c>
      <c r="E1832" s="151">
        <f ca="1">OFFSET(INDEX(Composições!A:H,MATCH(Orçamentária!A1832,Composições!A:A,0),8),2,0)</f>
        <v>1.9474999999999998</v>
      </c>
      <c r="F1832" s="152">
        <f t="shared" ca="1" si="86"/>
        <v>0</v>
      </c>
      <c r="G1832" s="153">
        <f>IF($K1832="Padrão",BDI!$B$17,IF($K1832="Diferenciado",BDI!$E$17,0))</f>
        <v>0.2039</v>
      </c>
      <c r="H1832" s="151">
        <f t="shared" ca="1" si="84"/>
        <v>2.34</v>
      </c>
      <c r="I1832" s="152">
        <f t="shared" ca="1" si="85"/>
        <v>0</v>
      </c>
      <c r="J1832" s="154"/>
      <c r="K1832" s="155" t="s">
        <v>2966</v>
      </c>
    </row>
    <row r="1833" spans="1:11" hidden="1" x14ac:dyDescent="0.25">
      <c r="A1833" s="148" t="s">
        <v>1398</v>
      </c>
      <c r="B1833" s="149" t="s">
        <v>5761</v>
      </c>
      <c r="C1833" s="150" t="s">
        <v>18</v>
      </c>
      <c r="D1833" s="150">
        <v>0</v>
      </c>
      <c r="E1833" s="151">
        <f ca="1">OFFSET(INDEX(Composições!A:H,MATCH(Orçamentária!A1833,Composições!A:A,0),8),2,0)</f>
        <v>9.1864999999999988</v>
      </c>
      <c r="F1833" s="152">
        <f t="shared" ca="1" si="86"/>
        <v>0</v>
      </c>
      <c r="G1833" s="153">
        <f>IF($K1833="Padrão",BDI!$B$17,IF($K1833="Diferenciado",BDI!$E$17,0))</f>
        <v>0.2039</v>
      </c>
      <c r="H1833" s="151">
        <f t="shared" ca="1" si="84"/>
        <v>11.06</v>
      </c>
      <c r="I1833" s="152">
        <f t="shared" ca="1" si="85"/>
        <v>0</v>
      </c>
      <c r="J1833" s="154"/>
      <c r="K1833" s="155" t="s">
        <v>2966</v>
      </c>
    </row>
    <row r="1834" spans="1:11" hidden="1" x14ac:dyDescent="0.25">
      <c r="A1834" s="148" t="s">
        <v>1399</v>
      </c>
      <c r="B1834" s="149" t="s">
        <v>5762</v>
      </c>
      <c r="C1834" s="150" t="s">
        <v>18</v>
      </c>
      <c r="D1834" s="150">
        <v>0</v>
      </c>
      <c r="E1834" s="151">
        <f ca="1">OFFSET(INDEX(Composições!A:H,MATCH(Orçamentária!A1834,Composições!A:A,0),8),2,0)</f>
        <v>1.4155</v>
      </c>
      <c r="F1834" s="152">
        <f t="shared" ca="1" si="86"/>
        <v>0</v>
      </c>
      <c r="G1834" s="153">
        <f>IF($K1834="Padrão",BDI!$B$17,IF($K1834="Diferenciado",BDI!$E$17,0))</f>
        <v>0.2039</v>
      </c>
      <c r="H1834" s="151">
        <f t="shared" ca="1" si="84"/>
        <v>1.7</v>
      </c>
      <c r="I1834" s="152">
        <f t="shared" ca="1" si="85"/>
        <v>0</v>
      </c>
      <c r="J1834" s="154"/>
      <c r="K1834" s="155" t="s">
        <v>2966</v>
      </c>
    </row>
    <row r="1835" spans="1:11" hidden="1" x14ac:dyDescent="0.25">
      <c r="A1835" s="148" t="s">
        <v>5763</v>
      </c>
      <c r="B1835" s="149" t="s">
        <v>5764</v>
      </c>
      <c r="C1835" s="150" t="s">
        <v>18</v>
      </c>
      <c r="D1835" s="150">
        <v>0</v>
      </c>
      <c r="E1835" s="151" t="s">
        <v>13</v>
      </c>
      <c r="F1835" s="152" t="str">
        <f t="shared" si="86"/>
        <v/>
      </c>
      <c r="G1835" s="153">
        <f>IF($K1835="Padrão",BDI!$B$17,IF($K1835="Diferenciado",BDI!$E$17,0))</f>
        <v>0.2039</v>
      </c>
      <c r="H1835" s="151" t="str">
        <f t="shared" si="84"/>
        <v/>
      </c>
      <c r="I1835" s="152" t="str">
        <f t="shared" si="85"/>
        <v/>
      </c>
      <c r="J1835" s="154"/>
      <c r="K1835" s="155" t="s">
        <v>2966</v>
      </c>
    </row>
    <row r="1836" spans="1:11" hidden="1" x14ac:dyDescent="0.25">
      <c r="A1836" s="148" t="s">
        <v>1400</v>
      </c>
      <c r="B1836" s="149" t="s">
        <v>5765</v>
      </c>
      <c r="C1836" s="150" t="s">
        <v>18</v>
      </c>
      <c r="D1836" s="150">
        <v>0</v>
      </c>
      <c r="E1836" s="151">
        <f ca="1">OFFSET(INDEX(Composições!A:H,MATCH(Orçamentária!A1836,Composições!A:A,0),8),2,0)</f>
        <v>3.7524999999999999</v>
      </c>
      <c r="F1836" s="152">
        <f t="shared" ca="1" si="86"/>
        <v>0</v>
      </c>
      <c r="G1836" s="153">
        <f>IF($K1836="Padrão",BDI!$B$17,IF($K1836="Diferenciado",BDI!$E$17,0))</f>
        <v>0.2039</v>
      </c>
      <c r="H1836" s="151">
        <f t="shared" ca="1" si="84"/>
        <v>4.5199999999999996</v>
      </c>
      <c r="I1836" s="152">
        <f t="shared" ca="1" si="85"/>
        <v>0</v>
      </c>
      <c r="J1836" s="154"/>
      <c r="K1836" s="155" t="s">
        <v>2966</v>
      </c>
    </row>
    <row r="1837" spans="1:11" hidden="1" x14ac:dyDescent="0.25">
      <c r="A1837" s="148" t="s">
        <v>1401</v>
      </c>
      <c r="B1837" s="149" t="s">
        <v>5766</v>
      </c>
      <c r="C1837" s="150" t="s">
        <v>18</v>
      </c>
      <c r="D1837" s="150">
        <v>0</v>
      </c>
      <c r="E1837" s="151">
        <f ca="1">OFFSET(INDEX(Composições!A:H,MATCH(Orçamentária!A1837,Composições!A:A,0),8),2,0)</f>
        <v>3.4769999999999999</v>
      </c>
      <c r="F1837" s="152">
        <f t="shared" ca="1" si="86"/>
        <v>0</v>
      </c>
      <c r="G1837" s="153">
        <f>IF($K1837="Padrão",BDI!$B$17,IF($K1837="Diferenciado",BDI!$E$17,0))</f>
        <v>0.2039</v>
      </c>
      <c r="H1837" s="151">
        <f t="shared" ca="1" si="84"/>
        <v>4.1900000000000004</v>
      </c>
      <c r="I1837" s="152">
        <f t="shared" ca="1" si="85"/>
        <v>0</v>
      </c>
      <c r="J1837" s="154"/>
      <c r="K1837" s="155" t="s">
        <v>2966</v>
      </c>
    </row>
    <row r="1838" spans="1:11" hidden="1" x14ac:dyDescent="0.25">
      <c r="A1838" s="148" t="s">
        <v>1402</v>
      </c>
      <c r="B1838" s="149" t="s">
        <v>5767</v>
      </c>
      <c r="C1838" s="150" t="s">
        <v>18</v>
      </c>
      <c r="D1838" s="150">
        <v>0</v>
      </c>
      <c r="E1838" s="151">
        <f ca="1">OFFSET(INDEX(Composições!A:H,MATCH(Orçamentária!A1838,Composições!A:A,0),8),2,0)</f>
        <v>11.038999999999998</v>
      </c>
      <c r="F1838" s="152">
        <f t="shared" ca="1" si="86"/>
        <v>0</v>
      </c>
      <c r="G1838" s="153">
        <f>IF($K1838="Padrão",BDI!$B$17,IF($K1838="Diferenciado",BDI!$E$17,0))</f>
        <v>0.2039</v>
      </c>
      <c r="H1838" s="151">
        <f t="shared" ca="1" si="84"/>
        <v>13.29</v>
      </c>
      <c r="I1838" s="152">
        <f t="shared" ca="1" si="85"/>
        <v>0</v>
      </c>
      <c r="J1838" s="154"/>
      <c r="K1838" s="155" t="s">
        <v>2966</v>
      </c>
    </row>
    <row r="1839" spans="1:11" hidden="1" x14ac:dyDescent="0.25">
      <c r="A1839" s="148" t="s">
        <v>1403</v>
      </c>
      <c r="B1839" s="149" t="s">
        <v>5768</v>
      </c>
      <c r="C1839" s="150" t="s">
        <v>18</v>
      </c>
      <c r="D1839" s="150">
        <v>0</v>
      </c>
      <c r="E1839" s="151">
        <f ca="1">OFFSET(INDEX(Composições!A:H,MATCH(Orçamentária!A1839,Composições!A:A,0),8),2,0)</f>
        <v>1.6435</v>
      </c>
      <c r="F1839" s="152">
        <f t="shared" ca="1" si="86"/>
        <v>0</v>
      </c>
      <c r="G1839" s="153">
        <f>IF($K1839="Padrão",BDI!$B$17,IF($K1839="Diferenciado",BDI!$E$17,0))</f>
        <v>0.2039</v>
      </c>
      <c r="H1839" s="151">
        <f t="shared" ca="1" si="84"/>
        <v>1.98</v>
      </c>
      <c r="I1839" s="152">
        <f t="shared" ca="1" si="85"/>
        <v>0</v>
      </c>
      <c r="J1839" s="154"/>
      <c r="K1839" s="155" t="s">
        <v>2966</v>
      </c>
    </row>
    <row r="1840" spans="1:11" hidden="1" x14ac:dyDescent="0.25">
      <c r="A1840" s="148" t="s">
        <v>5769</v>
      </c>
      <c r="B1840" s="149" t="s">
        <v>5770</v>
      </c>
      <c r="C1840" s="150" t="s">
        <v>18</v>
      </c>
      <c r="D1840" s="150">
        <v>0</v>
      </c>
      <c r="E1840" s="151" t="s">
        <v>13</v>
      </c>
      <c r="F1840" s="152" t="str">
        <f t="shared" si="86"/>
        <v/>
      </c>
      <c r="G1840" s="153">
        <f>IF($K1840="Padrão",BDI!$B$17,IF($K1840="Diferenciado",BDI!$E$17,0))</f>
        <v>0.2039</v>
      </c>
      <c r="H1840" s="151" t="str">
        <f t="shared" si="84"/>
        <v/>
      </c>
      <c r="I1840" s="152" t="str">
        <f t="shared" si="85"/>
        <v/>
      </c>
      <c r="J1840" s="154"/>
      <c r="K1840" s="155" t="s">
        <v>2966</v>
      </c>
    </row>
    <row r="1841" spans="1:11" hidden="1" x14ac:dyDescent="0.25">
      <c r="A1841" s="148" t="s">
        <v>1404</v>
      </c>
      <c r="B1841" s="149" t="s">
        <v>5771</v>
      </c>
      <c r="C1841" s="150" t="s">
        <v>18</v>
      </c>
      <c r="D1841" s="150">
        <v>0</v>
      </c>
      <c r="E1841" s="151">
        <f ca="1">OFFSET(INDEX(Composições!A:H,MATCH(Orçamentária!A1841,Composições!A:A,0),8),2,0)</f>
        <v>5.0919999999999996</v>
      </c>
      <c r="F1841" s="152">
        <f t="shared" ca="1" si="86"/>
        <v>0</v>
      </c>
      <c r="G1841" s="153">
        <f>IF($K1841="Padrão",BDI!$B$17,IF($K1841="Diferenciado",BDI!$E$17,0))</f>
        <v>0.2039</v>
      </c>
      <c r="H1841" s="151">
        <f t="shared" ca="1" si="84"/>
        <v>6.13</v>
      </c>
      <c r="I1841" s="152">
        <f t="shared" ca="1" si="85"/>
        <v>0</v>
      </c>
      <c r="J1841" s="154"/>
      <c r="K1841" s="155" t="s">
        <v>2966</v>
      </c>
    </row>
    <row r="1842" spans="1:11" hidden="1" x14ac:dyDescent="0.25">
      <c r="A1842" s="148" t="s">
        <v>1405</v>
      </c>
      <c r="B1842" s="149" t="s">
        <v>5772</v>
      </c>
      <c r="C1842" s="150" t="s">
        <v>18</v>
      </c>
      <c r="D1842" s="150">
        <v>0</v>
      </c>
      <c r="E1842" s="151">
        <f ca="1">OFFSET(INDEX(Composições!A:H,MATCH(Orçamentária!A1842,Composições!A:A,0),8),2,0)</f>
        <v>4.8829999999999991</v>
      </c>
      <c r="F1842" s="152">
        <f t="shared" ca="1" si="86"/>
        <v>0</v>
      </c>
      <c r="G1842" s="153">
        <f>IF($K1842="Padrão",BDI!$B$17,IF($K1842="Diferenciado",BDI!$E$17,0))</f>
        <v>0.2039</v>
      </c>
      <c r="H1842" s="151">
        <f t="shared" ca="1" si="84"/>
        <v>5.88</v>
      </c>
      <c r="I1842" s="152">
        <f t="shared" ca="1" si="85"/>
        <v>0</v>
      </c>
      <c r="J1842" s="154"/>
      <c r="K1842" s="155" t="s">
        <v>2966</v>
      </c>
    </row>
    <row r="1843" spans="1:11" hidden="1" x14ac:dyDescent="0.25">
      <c r="A1843" s="148" t="s">
        <v>1406</v>
      </c>
      <c r="B1843" s="149" t="s">
        <v>5773</v>
      </c>
      <c r="C1843" s="150" t="s">
        <v>18</v>
      </c>
      <c r="D1843" s="150">
        <v>0</v>
      </c>
      <c r="E1843" s="151">
        <f ca="1">OFFSET(INDEX(Composições!A:H,MATCH(Orçamentária!A1843,Composições!A:A,0),8),2,0)</f>
        <v>13.756</v>
      </c>
      <c r="F1843" s="152">
        <f t="shared" ca="1" si="86"/>
        <v>0</v>
      </c>
      <c r="G1843" s="153">
        <f>IF($K1843="Padrão",BDI!$B$17,IF($K1843="Diferenciado",BDI!$E$17,0))</f>
        <v>0.2039</v>
      </c>
      <c r="H1843" s="151">
        <f t="shared" ca="1" si="84"/>
        <v>16.559999999999999</v>
      </c>
      <c r="I1843" s="152">
        <f t="shared" ca="1" si="85"/>
        <v>0</v>
      </c>
      <c r="J1843" s="154"/>
      <c r="K1843" s="155" t="s">
        <v>2966</v>
      </c>
    </row>
    <row r="1844" spans="1:11" hidden="1" x14ac:dyDescent="0.25">
      <c r="A1844" s="148" t="s">
        <v>1407</v>
      </c>
      <c r="B1844" s="149" t="s">
        <v>5774</v>
      </c>
      <c r="C1844" s="150" t="s">
        <v>18</v>
      </c>
      <c r="D1844" s="150">
        <v>0</v>
      </c>
      <c r="E1844" s="151">
        <f ca="1">OFFSET(INDEX(Composições!A:H,MATCH(Orçamentária!A1844,Composições!A:A,0),8),2,0)</f>
        <v>2.9164999999999996</v>
      </c>
      <c r="F1844" s="152">
        <f t="shared" ca="1" si="86"/>
        <v>0</v>
      </c>
      <c r="G1844" s="153">
        <f>IF($K1844="Padrão",BDI!$B$17,IF($K1844="Diferenciado",BDI!$E$17,0))</f>
        <v>0.2039</v>
      </c>
      <c r="H1844" s="151">
        <f t="shared" ca="1" si="84"/>
        <v>3.51</v>
      </c>
      <c r="I1844" s="152">
        <f t="shared" ca="1" si="85"/>
        <v>0</v>
      </c>
      <c r="J1844" s="154"/>
      <c r="K1844" s="155" t="s">
        <v>2966</v>
      </c>
    </row>
    <row r="1845" spans="1:11" hidden="1" x14ac:dyDescent="0.25">
      <c r="A1845" s="148" t="s">
        <v>5775</v>
      </c>
      <c r="B1845" s="149" t="s">
        <v>5776</v>
      </c>
      <c r="C1845" s="150" t="s">
        <v>18</v>
      </c>
      <c r="D1845" s="150">
        <v>0</v>
      </c>
      <c r="E1845" s="151" t="s">
        <v>13</v>
      </c>
      <c r="F1845" s="152" t="str">
        <f t="shared" si="86"/>
        <v/>
      </c>
      <c r="G1845" s="153">
        <f>IF($K1845="Padrão",BDI!$B$17,IF($K1845="Diferenciado",BDI!$E$17,0))</f>
        <v>0.2039</v>
      </c>
      <c r="H1845" s="151" t="str">
        <f t="shared" si="84"/>
        <v/>
      </c>
      <c r="I1845" s="152" t="str">
        <f t="shared" si="85"/>
        <v/>
      </c>
      <c r="J1845" s="154"/>
      <c r="K1845" s="155" t="s">
        <v>2966</v>
      </c>
    </row>
    <row r="1846" spans="1:11" hidden="1" x14ac:dyDescent="0.25">
      <c r="A1846" s="148" t="s">
        <v>1408</v>
      </c>
      <c r="B1846" s="149" t="s">
        <v>5777</v>
      </c>
      <c r="C1846" s="150" t="s">
        <v>18</v>
      </c>
      <c r="D1846" s="150">
        <v>0</v>
      </c>
      <c r="E1846" s="151">
        <f ca="1">OFFSET(INDEX(Composições!A:H,MATCH(Orçamentária!A1846,Composições!A:A,0),8),2,0)</f>
        <v>11.599500000000001</v>
      </c>
      <c r="F1846" s="152">
        <f t="shared" ca="1" si="86"/>
        <v>0</v>
      </c>
      <c r="G1846" s="153">
        <f>IF($K1846="Padrão",BDI!$B$17,IF($K1846="Diferenciado",BDI!$E$17,0))</f>
        <v>0.2039</v>
      </c>
      <c r="H1846" s="151">
        <f t="shared" ca="1" si="84"/>
        <v>13.96</v>
      </c>
      <c r="I1846" s="152">
        <f t="shared" ca="1" si="85"/>
        <v>0</v>
      </c>
      <c r="J1846" s="154"/>
      <c r="K1846" s="155" t="s">
        <v>2966</v>
      </c>
    </row>
    <row r="1847" spans="1:11" hidden="1" x14ac:dyDescent="0.25">
      <c r="A1847" s="148" t="s">
        <v>1409</v>
      </c>
      <c r="B1847" s="149" t="s">
        <v>5778</v>
      </c>
      <c r="C1847" s="150" t="s">
        <v>18</v>
      </c>
      <c r="D1847" s="150">
        <v>0</v>
      </c>
      <c r="E1847" s="151">
        <f ca="1">OFFSET(INDEX(Composições!A:H,MATCH(Orçamentária!A1847,Composições!A:A,0),8),2,0)</f>
        <v>7.6189999999999989</v>
      </c>
      <c r="F1847" s="152">
        <f t="shared" ca="1" si="86"/>
        <v>0</v>
      </c>
      <c r="G1847" s="153">
        <f>IF($K1847="Padrão",BDI!$B$17,IF($K1847="Diferenciado",BDI!$E$17,0))</f>
        <v>0.2039</v>
      </c>
      <c r="H1847" s="151">
        <f t="shared" ca="1" si="84"/>
        <v>9.17</v>
      </c>
      <c r="I1847" s="152">
        <f t="shared" ca="1" si="85"/>
        <v>0</v>
      </c>
      <c r="J1847" s="154"/>
      <c r="K1847" s="155" t="s">
        <v>2966</v>
      </c>
    </row>
    <row r="1848" spans="1:11" hidden="1" x14ac:dyDescent="0.25">
      <c r="A1848" s="148" t="s">
        <v>1410</v>
      </c>
      <c r="B1848" s="149" t="s">
        <v>5779</v>
      </c>
      <c r="C1848" s="150" t="s">
        <v>18</v>
      </c>
      <c r="D1848" s="150">
        <v>0</v>
      </c>
      <c r="E1848" s="151">
        <f ca="1">OFFSET(INDEX(Composições!A:H,MATCH(Orçamentária!A1848,Composições!A:A,0),8),2,0)</f>
        <v>21.279999999999998</v>
      </c>
      <c r="F1848" s="152">
        <f t="shared" ca="1" si="86"/>
        <v>0</v>
      </c>
      <c r="G1848" s="153">
        <f>IF($K1848="Padrão",BDI!$B$17,IF($K1848="Diferenciado",BDI!$E$17,0))</f>
        <v>0.2039</v>
      </c>
      <c r="H1848" s="151">
        <f t="shared" ca="1" si="84"/>
        <v>25.62</v>
      </c>
      <c r="I1848" s="152">
        <f t="shared" ca="1" si="85"/>
        <v>0</v>
      </c>
      <c r="J1848" s="154"/>
      <c r="K1848" s="155" t="s">
        <v>2966</v>
      </c>
    </row>
    <row r="1849" spans="1:11" hidden="1" x14ac:dyDescent="0.25">
      <c r="A1849" s="148" t="s">
        <v>1411</v>
      </c>
      <c r="B1849" s="149" t="s">
        <v>5780</v>
      </c>
      <c r="C1849" s="150" t="s">
        <v>18</v>
      </c>
      <c r="D1849" s="150">
        <v>0</v>
      </c>
      <c r="E1849" s="151">
        <f ca="1">OFFSET(INDEX(Composições!A:H,MATCH(Orçamentária!A1849,Composições!A:A,0),8),2,0)</f>
        <v>4.218</v>
      </c>
      <c r="F1849" s="152">
        <f t="shared" ca="1" si="86"/>
        <v>0</v>
      </c>
      <c r="G1849" s="153">
        <f>IF($K1849="Padrão",BDI!$B$17,IF($K1849="Diferenciado",BDI!$E$17,0))</f>
        <v>0.2039</v>
      </c>
      <c r="H1849" s="151">
        <f t="shared" ca="1" si="84"/>
        <v>5.08</v>
      </c>
      <c r="I1849" s="152">
        <f t="shared" ca="1" si="85"/>
        <v>0</v>
      </c>
      <c r="J1849" s="154"/>
      <c r="K1849" s="155" t="s">
        <v>2966</v>
      </c>
    </row>
    <row r="1850" spans="1:11" hidden="1" x14ac:dyDescent="0.25">
      <c r="A1850" s="148" t="s">
        <v>5781</v>
      </c>
      <c r="B1850" s="149" t="s">
        <v>5782</v>
      </c>
      <c r="C1850" s="150" t="s">
        <v>18</v>
      </c>
      <c r="D1850" s="150">
        <v>0</v>
      </c>
      <c r="E1850" s="151" t="s">
        <v>13</v>
      </c>
      <c r="F1850" s="152" t="str">
        <f t="shared" si="86"/>
        <v/>
      </c>
      <c r="G1850" s="153">
        <f>IF($K1850="Padrão",BDI!$B$17,IF($K1850="Diferenciado",BDI!$E$17,0))</f>
        <v>0.2039</v>
      </c>
      <c r="H1850" s="151" t="str">
        <f t="shared" si="84"/>
        <v/>
      </c>
      <c r="I1850" s="152" t="str">
        <f t="shared" si="85"/>
        <v/>
      </c>
      <c r="J1850" s="154"/>
      <c r="K1850" s="155" t="s">
        <v>2966</v>
      </c>
    </row>
    <row r="1851" spans="1:11" hidden="1" x14ac:dyDescent="0.25">
      <c r="A1851" s="148" t="s">
        <v>1412</v>
      </c>
      <c r="B1851" s="149" t="s">
        <v>5783</v>
      </c>
      <c r="C1851" s="150" t="s">
        <v>18</v>
      </c>
      <c r="D1851" s="150">
        <v>0</v>
      </c>
      <c r="E1851" s="151">
        <f ca="1">OFFSET(INDEX(Composições!A:H,MATCH(Orçamentária!A1851,Composições!A:A,0),8),2,0)</f>
        <v>14.154999999999999</v>
      </c>
      <c r="F1851" s="152">
        <f t="shared" ca="1" si="86"/>
        <v>0</v>
      </c>
      <c r="G1851" s="153">
        <f>IF($K1851="Padrão",BDI!$B$17,IF($K1851="Diferenciado",BDI!$E$17,0))</f>
        <v>0.2039</v>
      </c>
      <c r="H1851" s="151">
        <f t="shared" ca="1" si="84"/>
        <v>17.04</v>
      </c>
      <c r="I1851" s="152">
        <f t="shared" ca="1" si="85"/>
        <v>0</v>
      </c>
      <c r="J1851" s="154"/>
      <c r="K1851" s="155" t="s">
        <v>2966</v>
      </c>
    </row>
    <row r="1852" spans="1:11" hidden="1" x14ac:dyDescent="0.25">
      <c r="A1852" s="148" t="s">
        <v>1413</v>
      </c>
      <c r="B1852" s="149" t="s">
        <v>5784</v>
      </c>
      <c r="C1852" s="150" t="s">
        <v>18</v>
      </c>
      <c r="D1852" s="150">
        <v>0</v>
      </c>
      <c r="E1852" s="151">
        <f ca="1">OFFSET(INDEX(Composições!A:H,MATCH(Orçamentária!A1852,Composições!A:A,0),8),2,0)</f>
        <v>8.4359999999999999</v>
      </c>
      <c r="F1852" s="152">
        <f t="shared" ca="1" si="86"/>
        <v>0</v>
      </c>
      <c r="G1852" s="153">
        <f>IF($K1852="Padrão",BDI!$B$17,IF($K1852="Diferenciado",BDI!$E$17,0))</f>
        <v>0.2039</v>
      </c>
      <c r="H1852" s="151">
        <f t="shared" ca="1" si="84"/>
        <v>10.16</v>
      </c>
      <c r="I1852" s="152">
        <f t="shared" ca="1" si="85"/>
        <v>0</v>
      </c>
      <c r="J1852" s="154"/>
      <c r="K1852" s="155" t="s">
        <v>2966</v>
      </c>
    </row>
    <row r="1853" spans="1:11" hidden="1" x14ac:dyDescent="0.25">
      <c r="A1853" s="148" t="s">
        <v>1414</v>
      </c>
      <c r="B1853" s="149" t="s">
        <v>5785</v>
      </c>
      <c r="C1853" s="150" t="s">
        <v>18</v>
      </c>
      <c r="D1853" s="150">
        <v>0</v>
      </c>
      <c r="E1853" s="151">
        <f ca="1">OFFSET(INDEX(Composições!A:H,MATCH(Orçamentária!A1853,Composições!A:A,0),8),2,0)</f>
        <v>43.1205</v>
      </c>
      <c r="F1853" s="152">
        <f t="shared" ca="1" si="86"/>
        <v>0</v>
      </c>
      <c r="G1853" s="153">
        <f>IF($K1853="Padrão",BDI!$B$17,IF($K1853="Diferenciado",BDI!$E$17,0))</f>
        <v>0.2039</v>
      </c>
      <c r="H1853" s="151">
        <f t="shared" ca="1" si="84"/>
        <v>51.91</v>
      </c>
      <c r="I1853" s="152">
        <f t="shared" ca="1" si="85"/>
        <v>0</v>
      </c>
      <c r="J1853" s="154"/>
      <c r="K1853" s="155" t="s">
        <v>2966</v>
      </c>
    </row>
    <row r="1854" spans="1:11" hidden="1" x14ac:dyDescent="0.25">
      <c r="A1854" s="148" t="s">
        <v>1415</v>
      </c>
      <c r="B1854" s="149" t="s">
        <v>5786</v>
      </c>
      <c r="C1854" s="150" t="s">
        <v>18</v>
      </c>
      <c r="D1854" s="150">
        <v>0</v>
      </c>
      <c r="E1854" s="151">
        <f ca="1">OFFSET(INDEX(Composições!A:H,MATCH(Orçamentária!A1854,Composições!A:A,0),8),2,0)</f>
        <v>5.8805000000000005</v>
      </c>
      <c r="F1854" s="152">
        <f t="shared" ca="1" si="86"/>
        <v>0</v>
      </c>
      <c r="G1854" s="153">
        <f>IF($K1854="Padrão",BDI!$B$17,IF($K1854="Diferenciado",BDI!$E$17,0))</f>
        <v>0.2039</v>
      </c>
      <c r="H1854" s="151">
        <f t="shared" ca="1" si="84"/>
        <v>7.08</v>
      </c>
      <c r="I1854" s="152">
        <f t="shared" ca="1" si="85"/>
        <v>0</v>
      </c>
      <c r="J1854" s="154"/>
      <c r="K1854" s="155" t="s">
        <v>2966</v>
      </c>
    </row>
    <row r="1855" spans="1:11" hidden="1" x14ac:dyDescent="0.25">
      <c r="A1855" s="148" t="s">
        <v>5787</v>
      </c>
      <c r="B1855" s="149" t="s">
        <v>5788</v>
      </c>
      <c r="C1855" s="150" t="s">
        <v>18</v>
      </c>
      <c r="D1855" s="150">
        <v>0</v>
      </c>
      <c r="E1855" s="151" t="s">
        <v>13</v>
      </c>
      <c r="F1855" s="152" t="str">
        <f t="shared" si="86"/>
        <v/>
      </c>
      <c r="G1855" s="153">
        <f>IF($K1855="Padrão",BDI!$B$17,IF($K1855="Diferenciado",BDI!$E$17,0))</f>
        <v>0.2039</v>
      </c>
      <c r="H1855" s="151" t="str">
        <f t="shared" si="84"/>
        <v/>
      </c>
      <c r="I1855" s="152" t="str">
        <f t="shared" si="85"/>
        <v/>
      </c>
      <c r="J1855" s="154"/>
      <c r="K1855" s="155" t="s">
        <v>2966</v>
      </c>
    </row>
    <row r="1856" spans="1:11" hidden="1" x14ac:dyDescent="0.25">
      <c r="A1856" s="148" t="s">
        <v>1416</v>
      </c>
      <c r="B1856" s="149" t="s">
        <v>5789</v>
      </c>
      <c r="C1856" s="150" t="s">
        <v>18</v>
      </c>
      <c r="D1856" s="150">
        <v>0</v>
      </c>
      <c r="E1856" s="151">
        <f ca="1">OFFSET(INDEX(Composições!A:H,MATCH(Orçamentária!A1856,Composições!A:A,0),8),2,0)</f>
        <v>20.776499999999999</v>
      </c>
      <c r="F1856" s="152">
        <f t="shared" ca="1" si="86"/>
        <v>0</v>
      </c>
      <c r="G1856" s="153">
        <f>IF($K1856="Padrão",BDI!$B$17,IF($K1856="Diferenciado",BDI!$E$17,0))</f>
        <v>0.2039</v>
      </c>
      <c r="H1856" s="151">
        <f t="shared" ca="1" si="84"/>
        <v>25.01</v>
      </c>
      <c r="I1856" s="152">
        <f t="shared" ca="1" si="85"/>
        <v>0</v>
      </c>
      <c r="J1856" s="154"/>
      <c r="K1856" s="155" t="s">
        <v>2966</v>
      </c>
    </row>
    <row r="1857" spans="1:11" hidden="1" x14ac:dyDescent="0.25">
      <c r="A1857" s="148" t="s">
        <v>5790</v>
      </c>
      <c r="B1857" s="149" t="s">
        <v>5791</v>
      </c>
      <c r="C1857" s="150" t="s">
        <v>18</v>
      </c>
      <c r="D1857" s="150">
        <v>0</v>
      </c>
      <c r="E1857" s="151" t="s">
        <v>13</v>
      </c>
      <c r="F1857" s="152" t="str">
        <f t="shared" si="86"/>
        <v/>
      </c>
      <c r="G1857" s="153">
        <f>IF($K1857="Padrão",BDI!$B$17,IF($K1857="Diferenciado",BDI!$E$17,0))</f>
        <v>0.2039</v>
      </c>
      <c r="H1857" s="151" t="str">
        <f t="shared" si="84"/>
        <v/>
      </c>
      <c r="I1857" s="152" t="str">
        <f t="shared" si="85"/>
        <v/>
      </c>
      <c r="J1857" s="154"/>
      <c r="K1857" s="155" t="s">
        <v>2966</v>
      </c>
    </row>
    <row r="1858" spans="1:11" hidden="1" x14ac:dyDescent="0.25">
      <c r="A1858" s="148" t="s">
        <v>1417</v>
      </c>
      <c r="B1858" s="149" t="s">
        <v>5792</v>
      </c>
      <c r="C1858" s="150" t="s">
        <v>18</v>
      </c>
      <c r="D1858" s="150">
        <v>0</v>
      </c>
      <c r="E1858" s="151">
        <f ca="1">OFFSET(INDEX(Composições!A:H,MATCH(Orçamentária!A1858,Composições!A:A,0),8),2,0)</f>
        <v>101.29849999999999</v>
      </c>
      <c r="F1858" s="152">
        <f t="shared" ca="1" si="86"/>
        <v>0</v>
      </c>
      <c r="G1858" s="153">
        <f>IF($K1858="Padrão",BDI!$B$17,IF($K1858="Diferenciado",BDI!$E$17,0))</f>
        <v>0.2039</v>
      </c>
      <c r="H1858" s="151">
        <f t="shared" ca="1" si="84"/>
        <v>121.95</v>
      </c>
      <c r="I1858" s="152">
        <f t="shared" ca="1" si="85"/>
        <v>0</v>
      </c>
      <c r="J1858" s="154"/>
      <c r="K1858" s="155" t="s">
        <v>2966</v>
      </c>
    </row>
    <row r="1859" spans="1:11" hidden="1" x14ac:dyDescent="0.25">
      <c r="A1859" s="148" t="s">
        <v>1418</v>
      </c>
      <c r="B1859" s="149" t="s">
        <v>5793</v>
      </c>
      <c r="C1859" s="150" t="s">
        <v>18</v>
      </c>
      <c r="D1859" s="150">
        <v>0</v>
      </c>
      <c r="E1859" s="151">
        <f ca="1">OFFSET(INDEX(Composições!A:H,MATCH(Orçamentária!A1859,Composições!A:A,0),8),2,0)</f>
        <v>8.5879999999999992</v>
      </c>
      <c r="F1859" s="152">
        <f t="shared" ca="1" si="86"/>
        <v>0</v>
      </c>
      <c r="G1859" s="153">
        <f>IF($K1859="Padrão",BDI!$B$17,IF($K1859="Diferenciado",BDI!$E$17,0))</f>
        <v>0.2039</v>
      </c>
      <c r="H1859" s="151">
        <f t="shared" ca="1" si="84"/>
        <v>10.34</v>
      </c>
      <c r="I1859" s="152">
        <f t="shared" ca="1" si="85"/>
        <v>0</v>
      </c>
      <c r="J1859" s="154"/>
      <c r="K1859" s="155" t="s">
        <v>2966</v>
      </c>
    </row>
    <row r="1860" spans="1:11" hidden="1" x14ac:dyDescent="0.25">
      <c r="A1860" s="148" t="s">
        <v>5794</v>
      </c>
      <c r="B1860" s="149" t="s">
        <v>5795</v>
      </c>
      <c r="C1860" s="150" t="s">
        <v>18</v>
      </c>
      <c r="D1860" s="150">
        <v>0</v>
      </c>
      <c r="E1860" s="151" t="s">
        <v>13</v>
      </c>
      <c r="F1860" s="152" t="str">
        <f t="shared" si="86"/>
        <v/>
      </c>
      <c r="G1860" s="153">
        <f>IF($K1860="Padrão",BDI!$B$17,IF($K1860="Diferenciado",BDI!$E$17,0))</f>
        <v>0.2039</v>
      </c>
      <c r="H1860" s="151" t="str">
        <f t="shared" si="84"/>
        <v/>
      </c>
      <c r="I1860" s="152" t="str">
        <f t="shared" si="85"/>
        <v/>
      </c>
      <c r="J1860" s="154"/>
      <c r="K1860" s="155" t="s">
        <v>2966</v>
      </c>
    </row>
    <row r="1861" spans="1:11" hidden="1" x14ac:dyDescent="0.25">
      <c r="A1861" s="148" t="s">
        <v>1419</v>
      </c>
      <c r="B1861" s="149" t="s">
        <v>5796</v>
      </c>
      <c r="C1861" s="150" t="s">
        <v>18</v>
      </c>
      <c r="D1861" s="150">
        <v>0</v>
      </c>
      <c r="E1861" s="151">
        <f ca="1">OFFSET(INDEX(Composições!A:H,MATCH(Orçamentária!A1861,Composições!A:A,0),8),2,0)</f>
        <v>52.6205</v>
      </c>
      <c r="F1861" s="152">
        <f t="shared" ca="1" si="86"/>
        <v>0</v>
      </c>
      <c r="G1861" s="153">
        <f>IF($K1861="Padrão",BDI!$B$17,IF($K1861="Diferenciado",BDI!$E$17,0))</f>
        <v>0.2039</v>
      </c>
      <c r="H1861" s="151">
        <f t="shared" ca="1" si="84"/>
        <v>63.35</v>
      </c>
      <c r="I1861" s="152">
        <f t="shared" ca="1" si="85"/>
        <v>0</v>
      </c>
      <c r="J1861" s="154"/>
      <c r="K1861" s="155" t="s">
        <v>2966</v>
      </c>
    </row>
    <row r="1862" spans="1:11" hidden="1" x14ac:dyDescent="0.25">
      <c r="A1862" s="148" t="s">
        <v>1420</v>
      </c>
      <c r="B1862" s="149" t="s">
        <v>5797</v>
      </c>
      <c r="C1862" s="150" t="s">
        <v>18</v>
      </c>
      <c r="D1862" s="150">
        <v>0</v>
      </c>
      <c r="E1862" s="151">
        <f ca="1">OFFSET(INDEX(Composições!A:H,MATCH(Orçamentária!A1862,Composições!A:A,0),8),2,0)</f>
        <v>27.835000000000001</v>
      </c>
      <c r="F1862" s="152">
        <f t="shared" ca="1" si="86"/>
        <v>0</v>
      </c>
      <c r="G1862" s="153">
        <f>IF($K1862="Padrão",BDI!$B$17,IF($K1862="Diferenciado",BDI!$E$17,0))</f>
        <v>0.2039</v>
      </c>
      <c r="H1862" s="151">
        <f t="shared" ref="H1862:H1925" ca="1" si="87">IF(ISNUMBER(E1862),ROUND(E1862*(1+G1862),2),"")</f>
        <v>33.51</v>
      </c>
      <c r="I1862" s="152">
        <f t="shared" ref="I1862:I1925" ca="1" si="88">IF(ISNUMBER(E1862),ROUND(H1862*D1862,2),"")</f>
        <v>0</v>
      </c>
      <c r="J1862" s="154"/>
      <c r="K1862" s="155" t="s">
        <v>2966</v>
      </c>
    </row>
    <row r="1863" spans="1:11" hidden="1" x14ac:dyDescent="0.25">
      <c r="A1863" s="148" t="s">
        <v>1421</v>
      </c>
      <c r="B1863" s="149" t="s">
        <v>5798</v>
      </c>
      <c r="C1863" s="150" t="s">
        <v>18</v>
      </c>
      <c r="D1863" s="150">
        <v>0</v>
      </c>
      <c r="E1863" s="151">
        <f ca="1">OFFSET(INDEX(Composições!A:H,MATCH(Orçamentária!A1863,Composições!A:A,0),8),2,0)</f>
        <v>122.14149999999999</v>
      </c>
      <c r="F1863" s="152">
        <f t="shared" ref="F1863:F1926" ca="1" si="89">IF(ISNUMBER(E1863),D1863*E1863,"")</f>
        <v>0</v>
      </c>
      <c r="G1863" s="153">
        <f>IF($K1863="Padrão",BDI!$B$17,IF($K1863="Diferenciado",BDI!$E$17,0))</f>
        <v>0.2039</v>
      </c>
      <c r="H1863" s="151">
        <f t="shared" ca="1" si="87"/>
        <v>147.05000000000001</v>
      </c>
      <c r="I1863" s="152">
        <f t="shared" ca="1" si="88"/>
        <v>0</v>
      </c>
      <c r="J1863" s="154"/>
      <c r="K1863" s="155" t="s">
        <v>2966</v>
      </c>
    </row>
    <row r="1864" spans="1:11" hidden="1" x14ac:dyDescent="0.25">
      <c r="A1864" s="148" t="s">
        <v>1422</v>
      </c>
      <c r="B1864" s="149" t="s">
        <v>5799</v>
      </c>
      <c r="C1864" s="150" t="s">
        <v>18</v>
      </c>
      <c r="D1864" s="150">
        <v>0</v>
      </c>
      <c r="E1864" s="151">
        <f ca="1">OFFSET(INDEX(Composições!A:H,MATCH(Orçamentária!A1864,Composições!A:A,0),8),2,0)</f>
        <v>13.071999999999999</v>
      </c>
      <c r="F1864" s="152">
        <f t="shared" ca="1" si="89"/>
        <v>0</v>
      </c>
      <c r="G1864" s="153">
        <f>IF($K1864="Padrão",BDI!$B$17,IF($K1864="Diferenciado",BDI!$E$17,0))</f>
        <v>0.2039</v>
      </c>
      <c r="H1864" s="151">
        <f t="shared" ca="1" si="87"/>
        <v>15.74</v>
      </c>
      <c r="I1864" s="152">
        <f t="shared" ca="1" si="88"/>
        <v>0</v>
      </c>
      <c r="J1864" s="154"/>
      <c r="K1864" s="155" t="s">
        <v>2966</v>
      </c>
    </row>
    <row r="1865" spans="1:11" hidden="1" x14ac:dyDescent="0.25">
      <c r="A1865" s="148" t="s">
        <v>5800</v>
      </c>
      <c r="B1865" s="149" t="s">
        <v>5801</v>
      </c>
      <c r="C1865" s="150" t="s">
        <v>18</v>
      </c>
      <c r="D1865" s="150">
        <v>0</v>
      </c>
      <c r="E1865" s="151" t="s">
        <v>13</v>
      </c>
      <c r="F1865" s="152" t="str">
        <f t="shared" si="89"/>
        <v/>
      </c>
      <c r="G1865" s="153">
        <f>IF($K1865="Padrão",BDI!$B$17,IF($K1865="Diferenciado",BDI!$E$17,0))</f>
        <v>0.2039</v>
      </c>
      <c r="H1865" s="151" t="str">
        <f t="shared" si="87"/>
        <v/>
      </c>
      <c r="I1865" s="152" t="str">
        <f t="shared" si="88"/>
        <v/>
      </c>
      <c r="J1865" s="154"/>
      <c r="K1865" s="155" t="s">
        <v>2966</v>
      </c>
    </row>
    <row r="1866" spans="1:11" hidden="1" x14ac:dyDescent="0.25">
      <c r="A1866" s="148" t="s">
        <v>1423</v>
      </c>
      <c r="B1866" s="149" t="s">
        <v>5802</v>
      </c>
      <c r="C1866" s="150" t="s">
        <v>18</v>
      </c>
      <c r="D1866" s="150">
        <v>0</v>
      </c>
      <c r="E1866" s="151">
        <f ca="1">OFFSET(INDEX(Composições!A:H,MATCH(Orçamentária!A1866,Composições!A:A,0),8),2,0)</f>
        <v>69.083999999999989</v>
      </c>
      <c r="F1866" s="152">
        <f t="shared" ca="1" si="89"/>
        <v>0</v>
      </c>
      <c r="G1866" s="153">
        <f>IF($K1866="Padrão",BDI!$B$17,IF($K1866="Diferenciado",BDI!$E$17,0))</f>
        <v>0.2039</v>
      </c>
      <c r="H1866" s="151">
        <f t="shared" ca="1" si="87"/>
        <v>83.17</v>
      </c>
      <c r="I1866" s="152">
        <f t="shared" ca="1" si="88"/>
        <v>0</v>
      </c>
      <c r="J1866" s="154"/>
      <c r="K1866" s="155" t="s">
        <v>2966</v>
      </c>
    </row>
    <row r="1867" spans="1:11" hidden="1" x14ac:dyDescent="0.25">
      <c r="A1867" s="148" t="s">
        <v>1424</v>
      </c>
      <c r="B1867" s="149" t="s">
        <v>5803</v>
      </c>
      <c r="C1867" s="150" t="s">
        <v>18</v>
      </c>
      <c r="D1867" s="150">
        <v>0</v>
      </c>
      <c r="E1867" s="151">
        <f ca="1">OFFSET(INDEX(Composições!A:H,MATCH(Orçamentária!A1867,Composições!A:A,0),8),2,0)</f>
        <v>43.633499999999998</v>
      </c>
      <c r="F1867" s="152">
        <f t="shared" ca="1" si="89"/>
        <v>0</v>
      </c>
      <c r="G1867" s="153">
        <f>IF($K1867="Padrão",BDI!$B$17,IF($K1867="Diferenciado",BDI!$E$17,0))</f>
        <v>0.2039</v>
      </c>
      <c r="H1867" s="151">
        <f t="shared" ca="1" si="87"/>
        <v>52.53</v>
      </c>
      <c r="I1867" s="152">
        <f t="shared" ca="1" si="88"/>
        <v>0</v>
      </c>
      <c r="J1867" s="154"/>
      <c r="K1867" s="155" t="s">
        <v>2966</v>
      </c>
    </row>
    <row r="1868" spans="1:11" hidden="1" x14ac:dyDescent="0.25">
      <c r="A1868" s="148" t="s">
        <v>1425</v>
      </c>
      <c r="B1868" s="149" t="s">
        <v>5804</v>
      </c>
      <c r="C1868" s="150" t="s">
        <v>18</v>
      </c>
      <c r="D1868" s="150">
        <v>0</v>
      </c>
      <c r="E1868" s="151">
        <f ca="1">OFFSET(INDEX(Composições!A:H,MATCH(Orçamentária!A1868,Composições!A:A,0),8),2,0)</f>
        <v>224.80799999999996</v>
      </c>
      <c r="F1868" s="152">
        <f t="shared" ca="1" si="89"/>
        <v>0</v>
      </c>
      <c r="G1868" s="153">
        <f>IF($K1868="Padrão",BDI!$B$17,IF($K1868="Diferenciado",BDI!$E$17,0))</f>
        <v>0.2039</v>
      </c>
      <c r="H1868" s="151">
        <f t="shared" ca="1" si="87"/>
        <v>270.64999999999998</v>
      </c>
      <c r="I1868" s="152">
        <f t="shared" ca="1" si="88"/>
        <v>0</v>
      </c>
      <c r="J1868" s="154"/>
      <c r="K1868" s="155" t="s">
        <v>2966</v>
      </c>
    </row>
    <row r="1869" spans="1:11" hidden="1" x14ac:dyDescent="0.25">
      <c r="A1869" s="148" t="s">
        <v>1426</v>
      </c>
      <c r="B1869" s="149" t="s">
        <v>5805</v>
      </c>
      <c r="C1869" s="150" t="s">
        <v>18</v>
      </c>
      <c r="D1869" s="150">
        <v>0</v>
      </c>
      <c r="E1869" s="151">
        <f ca="1">OFFSET(INDEX(Composições!A:H,MATCH(Orçamentária!A1869,Composições!A:A,0),8),2,0)</f>
        <v>20.624500000000001</v>
      </c>
      <c r="F1869" s="152">
        <f t="shared" ca="1" si="89"/>
        <v>0</v>
      </c>
      <c r="G1869" s="153">
        <f>IF($K1869="Padrão",BDI!$B$17,IF($K1869="Diferenciado",BDI!$E$17,0))</f>
        <v>0.2039</v>
      </c>
      <c r="H1869" s="151">
        <f t="shared" ca="1" si="87"/>
        <v>24.83</v>
      </c>
      <c r="I1869" s="152">
        <f t="shared" ca="1" si="88"/>
        <v>0</v>
      </c>
      <c r="J1869" s="154"/>
      <c r="K1869" s="155" t="s">
        <v>2966</v>
      </c>
    </row>
    <row r="1870" spans="1:11" hidden="1" x14ac:dyDescent="0.25">
      <c r="A1870" s="148" t="s">
        <v>5806</v>
      </c>
      <c r="B1870" s="149" t="s">
        <v>5807</v>
      </c>
      <c r="C1870" s="150" t="s">
        <v>18</v>
      </c>
      <c r="D1870" s="150">
        <v>0</v>
      </c>
      <c r="E1870" s="151" t="s">
        <v>13</v>
      </c>
      <c r="F1870" s="152" t="str">
        <f t="shared" si="89"/>
        <v/>
      </c>
      <c r="G1870" s="153">
        <f>IF($K1870="Padrão",BDI!$B$17,IF($K1870="Diferenciado",BDI!$E$17,0))</f>
        <v>0.2039</v>
      </c>
      <c r="H1870" s="151" t="str">
        <f t="shared" si="87"/>
        <v/>
      </c>
      <c r="I1870" s="152" t="str">
        <f t="shared" si="88"/>
        <v/>
      </c>
      <c r="J1870" s="154"/>
      <c r="K1870" s="155" t="s">
        <v>2966</v>
      </c>
    </row>
    <row r="1871" spans="1:11" hidden="1" x14ac:dyDescent="0.25">
      <c r="A1871" s="148" t="s">
        <v>1427</v>
      </c>
      <c r="B1871" s="149" t="s">
        <v>5808</v>
      </c>
      <c r="C1871" s="150" t="s">
        <v>18</v>
      </c>
      <c r="D1871" s="150">
        <v>0</v>
      </c>
      <c r="E1871" s="151">
        <f ca="1">OFFSET(INDEX(Composições!A:H,MATCH(Orçamentária!A1871,Composições!A:A,0),8),2,0)</f>
        <v>117.1635</v>
      </c>
      <c r="F1871" s="152">
        <f t="shared" ca="1" si="89"/>
        <v>0</v>
      </c>
      <c r="G1871" s="153">
        <f>IF($K1871="Padrão",BDI!$B$17,IF($K1871="Diferenciado",BDI!$E$17,0))</f>
        <v>0.2039</v>
      </c>
      <c r="H1871" s="151">
        <f t="shared" ca="1" si="87"/>
        <v>141.05000000000001</v>
      </c>
      <c r="I1871" s="152">
        <f t="shared" ca="1" si="88"/>
        <v>0</v>
      </c>
      <c r="J1871" s="154"/>
      <c r="K1871" s="155" t="s">
        <v>2966</v>
      </c>
    </row>
    <row r="1872" spans="1:11" hidden="1" x14ac:dyDescent="0.25">
      <c r="A1872" s="148" t="s">
        <v>1428</v>
      </c>
      <c r="B1872" s="149" t="s">
        <v>5809</v>
      </c>
      <c r="C1872" s="150" t="s">
        <v>106</v>
      </c>
      <c r="D1872" s="150">
        <v>0</v>
      </c>
      <c r="E1872" s="151">
        <f ca="1">OFFSET(INDEX(Composições!A:H,MATCH(Orçamentária!A1872,Composições!A:A,0),8),2,0)</f>
        <v>5.0729999999999995</v>
      </c>
      <c r="F1872" s="152">
        <f t="shared" ca="1" si="89"/>
        <v>0</v>
      </c>
      <c r="G1872" s="153">
        <f>IF($K1872="Padrão",BDI!$B$17,IF($K1872="Diferenciado",BDI!$E$17,0))</f>
        <v>0.2039</v>
      </c>
      <c r="H1872" s="151">
        <f t="shared" ca="1" si="87"/>
        <v>6.11</v>
      </c>
      <c r="I1872" s="152">
        <f t="shared" ca="1" si="88"/>
        <v>0</v>
      </c>
      <c r="J1872" s="154"/>
      <c r="K1872" s="155" t="s">
        <v>2966</v>
      </c>
    </row>
    <row r="1873" spans="1:11" hidden="1" x14ac:dyDescent="0.25">
      <c r="A1873" s="148" t="s">
        <v>1429</v>
      </c>
      <c r="B1873" s="149" t="s">
        <v>5810</v>
      </c>
      <c r="C1873" s="150" t="s">
        <v>106</v>
      </c>
      <c r="D1873" s="150">
        <v>0</v>
      </c>
      <c r="E1873" s="151">
        <f ca="1">OFFSET(INDEX(Composições!A:H,MATCH(Orçamentária!A1873,Composições!A:A,0),8),2,0)</f>
        <v>9.7564999999999991</v>
      </c>
      <c r="F1873" s="152">
        <f t="shared" ca="1" si="89"/>
        <v>0</v>
      </c>
      <c r="G1873" s="153">
        <f>IF($K1873="Padrão",BDI!$B$17,IF($K1873="Diferenciado",BDI!$E$17,0))</f>
        <v>0.2039</v>
      </c>
      <c r="H1873" s="151">
        <f t="shared" ca="1" si="87"/>
        <v>11.75</v>
      </c>
      <c r="I1873" s="152">
        <f t="shared" ca="1" si="88"/>
        <v>0</v>
      </c>
      <c r="J1873" s="154"/>
      <c r="K1873" s="155" t="s">
        <v>2966</v>
      </c>
    </row>
    <row r="1874" spans="1:11" hidden="1" x14ac:dyDescent="0.25">
      <c r="A1874" s="148" t="s">
        <v>1430</v>
      </c>
      <c r="B1874" s="149" t="s">
        <v>5811</v>
      </c>
      <c r="C1874" s="150" t="s">
        <v>106</v>
      </c>
      <c r="D1874" s="150">
        <v>0</v>
      </c>
      <c r="E1874" s="151">
        <f ca="1">OFFSET(INDEX(Composições!A:H,MATCH(Orçamentária!A1874,Composições!A:A,0),8),2,0)</f>
        <v>8.5120000000000005</v>
      </c>
      <c r="F1874" s="152">
        <f t="shared" ca="1" si="89"/>
        <v>0</v>
      </c>
      <c r="G1874" s="153">
        <f>IF($K1874="Padrão",BDI!$B$17,IF($K1874="Diferenciado",BDI!$E$17,0))</f>
        <v>0.2039</v>
      </c>
      <c r="H1874" s="151">
        <f t="shared" ca="1" si="87"/>
        <v>10.25</v>
      </c>
      <c r="I1874" s="152">
        <f t="shared" ca="1" si="88"/>
        <v>0</v>
      </c>
      <c r="J1874" s="154"/>
      <c r="K1874" s="155" t="s">
        <v>2966</v>
      </c>
    </row>
    <row r="1875" spans="1:11" hidden="1" x14ac:dyDescent="0.25">
      <c r="A1875" s="148" t="s">
        <v>5812</v>
      </c>
      <c r="B1875" s="149" t="s">
        <v>5813</v>
      </c>
      <c r="C1875" s="150" t="s">
        <v>18</v>
      </c>
      <c r="D1875" s="150">
        <v>0</v>
      </c>
      <c r="E1875" s="151" t="s">
        <v>13</v>
      </c>
      <c r="F1875" s="152" t="str">
        <f t="shared" si="89"/>
        <v/>
      </c>
      <c r="G1875" s="153">
        <f>IF($K1875="Padrão",BDI!$B$17,IF($K1875="Diferenciado",BDI!$E$17,0))</f>
        <v>0.2039</v>
      </c>
      <c r="H1875" s="151" t="str">
        <f t="shared" si="87"/>
        <v/>
      </c>
      <c r="I1875" s="152" t="str">
        <f t="shared" si="88"/>
        <v/>
      </c>
      <c r="J1875" s="154"/>
      <c r="K1875" s="155" t="s">
        <v>2966</v>
      </c>
    </row>
    <row r="1876" spans="1:11" hidden="1" x14ac:dyDescent="0.25">
      <c r="A1876" s="148" t="s">
        <v>1431</v>
      </c>
      <c r="B1876" s="149" t="s">
        <v>5814</v>
      </c>
      <c r="C1876" s="150" t="s">
        <v>106</v>
      </c>
      <c r="D1876" s="150">
        <v>0</v>
      </c>
      <c r="E1876" s="151">
        <f ca="1">OFFSET(INDEX(Composições!A:H,MATCH(Orçamentária!A1876,Composições!A:A,0),8),2,0)</f>
        <v>11.1625</v>
      </c>
      <c r="F1876" s="152">
        <f t="shared" ca="1" si="89"/>
        <v>0</v>
      </c>
      <c r="G1876" s="153">
        <f>IF($K1876="Padrão",BDI!$B$17,IF($K1876="Diferenciado",BDI!$E$17,0))</f>
        <v>0.2039</v>
      </c>
      <c r="H1876" s="151">
        <f t="shared" ca="1" si="87"/>
        <v>13.44</v>
      </c>
      <c r="I1876" s="152">
        <f t="shared" ca="1" si="88"/>
        <v>0</v>
      </c>
      <c r="J1876" s="154"/>
      <c r="K1876" s="155" t="s">
        <v>2966</v>
      </c>
    </row>
    <row r="1877" spans="1:11" hidden="1" x14ac:dyDescent="0.25">
      <c r="A1877" s="148" t="s">
        <v>5815</v>
      </c>
      <c r="B1877" s="149" t="s">
        <v>5816</v>
      </c>
      <c r="C1877" s="150" t="s">
        <v>18</v>
      </c>
      <c r="D1877" s="150">
        <v>0</v>
      </c>
      <c r="E1877" s="151" t="s">
        <v>13</v>
      </c>
      <c r="F1877" s="152" t="str">
        <f t="shared" si="89"/>
        <v/>
      </c>
      <c r="G1877" s="153">
        <f>IF($K1877="Padrão",BDI!$B$17,IF($K1877="Diferenciado",BDI!$E$17,0))</f>
        <v>0.2039</v>
      </c>
      <c r="H1877" s="151" t="str">
        <f t="shared" si="87"/>
        <v/>
      </c>
      <c r="I1877" s="152" t="str">
        <f t="shared" si="88"/>
        <v/>
      </c>
      <c r="J1877" s="154"/>
      <c r="K1877" s="155" t="s">
        <v>2966</v>
      </c>
    </row>
    <row r="1878" spans="1:11" hidden="1" x14ac:dyDescent="0.25">
      <c r="A1878" s="148" t="s">
        <v>1432</v>
      </c>
      <c r="B1878" s="149" t="s">
        <v>5817</v>
      </c>
      <c r="C1878" s="150" t="s">
        <v>106</v>
      </c>
      <c r="D1878" s="150">
        <v>0</v>
      </c>
      <c r="E1878" s="151">
        <f ca="1">OFFSET(INDEX(Composições!A:H,MATCH(Orçamentária!A1878,Composições!A:A,0),8),2,0)</f>
        <v>16.852999999999998</v>
      </c>
      <c r="F1878" s="152">
        <f t="shared" ca="1" si="89"/>
        <v>0</v>
      </c>
      <c r="G1878" s="153">
        <f>IF($K1878="Padrão",BDI!$B$17,IF($K1878="Diferenciado",BDI!$E$17,0))</f>
        <v>0.2039</v>
      </c>
      <c r="H1878" s="151">
        <f t="shared" ca="1" si="87"/>
        <v>20.29</v>
      </c>
      <c r="I1878" s="152">
        <f t="shared" ca="1" si="88"/>
        <v>0</v>
      </c>
      <c r="J1878" s="154"/>
      <c r="K1878" s="155" t="s">
        <v>2966</v>
      </c>
    </row>
    <row r="1879" spans="1:11" hidden="1" x14ac:dyDescent="0.25">
      <c r="A1879" s="148" t="s">
        <v>5818</v>
      </c>
      <c r="B1879" s="149" t="s">
        <v>5819</v>
      </c>
      <c r="C1879" s="150" t="s">
        <v>18</v>
      </c>
      <c r="D1879" s="150">
        <v>0</v>
      </c>
      <c r="E1879" s="151" t="s">
        <v>13</v>
      </c>
      <c r="F1879" s="152" t="str">
        <f t="shared" si="89"/>
        <v/>
      </c>
      <c r="G1879" s="153">
        <f>IF($K1879="Padrão",BDI!$B$17,IF($K1879="Diferenciado",BDI!$E$17,0))</f>
        <v>0.2039</v>
      </c>
      <c r="H1879" s="151" t="str">
        <f t="shared" si="87"/>
        <v/>
      </c>
      <c r="I1879" s="152" t="str">
        <f t="shared" si="88"/>
        <v/>
      </c>
      <c r="J1879" s="154"/>
      <c r="K1879" s="155" t="s">
        <v>2966</v>
      </c>
    </row>
    <row r="1880" spans="1:11" hidden="1" x14ac:dyDescent="0.25">
      <c r="A1880" s="148" t="s">
        <v>1433</v>
      </c>
      <c r="B1880" s="149" t="s">
        <v>5820</v>
      </c>
      <c r="C1880" s="150" t="s">
        <v>106</v>
      </c>
      <c r="D1880" s="150">
        <v>0</v>
      </c>
      <c r="E1880" s="151">
        <f ca="1">OFFSET(INDEX(Composições!A:H,MATCH(Orçamentária!A1880,Composições!A:A,0),8),2,0)</f>
        <v>21.688499999999998</v>
      </c>
      <c r="F1880" s="152">
        <f t="shared" ca="1" si="89"/>
        <v>0</v>
      </c>
      <c r="G1880" s="153">
        <f>IF($K1880="Padrão",BDI!$B$17,IF($K1880="Diferenciado",BDI!$E$17,0))</f>
        <v>0.2039</v>
      </c>
      <c r="H1880" s="151">
        <f t="shared" ca="1" si="87"/>
        <v>26.11</v>
      </c>
      <c r="I1880" s="152">
        <f t="shared" ca="1" si="88"/>
        <v>0</v>
      </c>
      <c r="J1880" s="154"/>
      <c r="K1880" s="155" t="s">
        <v>2966</v>
      </c>
    </row>
    <row r="1881" spans="1:11" hidden="1" x14ac:dyDescent="0.25">
      <c r="A1881" s="148" t="s">
        <v>5821</v>
      </c>
      <c r="B1881" s="149" t="s">
        <v>5822</v>
      </c>
      <c r="C1881" s="150" t="s">
        <v>18</v>
      </c>
      <c r="D1881" s="150">
        <v>0</v>
      </c>
      <c r="E1881" s="151" t="s">
        <v>13</v>
      </c>
      <c r="F1881" s="152" t="str">
        <f t="shared" si="89"/>
        <v/>
      </c>
      <c r="G1881" s="153">
        <f>IF($K1881="Padrão",BDI!$B$17,IF($K1881="Diferenciado",BDI!$E$17,0))</f>
        <v>0.2039</v>
      </c>
      <c r="H1881" s="151" t="str">
        <f t="shared" si="87"/>
        <v/>
      </c>
      <c r="I1881" s="152" t="str">
        <f t="shared" si="88"/>
        <v/>
      </c>
      <c r="J1881" s="154"/>
      <c r="K1881" s="155" t="s">
        <v>2966</v>
      </c>
    </row>
    <row r="1882" spans="1:11" hidden="1" x14ac:dyDescent="0.25">
      <c r="A1882" s="148" t="s">
        <v>1434</v>
      </c>
      <c r="B1882" s="149" t="s">
        <v>5823</v>
      </c>
      <c r="C1882" s="150" t="s">
        <v>106</v>
      </c>
      <c r="D1882" s="150">
        <v>0</v>
      </c>
      <c r="E1882" s="151">
        <f ca="1">OFFSET(INDEX(Composições!A:H,MATCH(Orçamentária!A1882,Composições!A:A,0),8),2,0)</f>
        <v>28.889499999999998</v>
      </c>
      <c r="F1882" s="152">
        <f t="shared" ca="1" si="89"/>
        <v>0</v>
      </c>
      <c r="G1882" s="153">
        <f>IF($K1882="Padrão",BDI!$B$17,IF($K1882="Diferenciado",BDI!$E$17,0))</f>
        <v>0.2039</v>
      </c>
      <c r="H1882" s="151">
        <f t="shared" ca="1" si="87"/>
        <v>34.78</v>
      </c>
      <c r="I1882" s="152">
        <f t="shared" ca="1" si="88"/>
        <v>0</v>
      </c>
      <c r="J1882" s="154"/>
      <c r="K1882" s="155" t="s">
        <v>2966</v>
      </c>
    </row>
    <row r="1883" spans="1:11" hidden="1" x14ac:dyDescent="0.25">
      <c r="A1883" s="148" t="s">
        <v>5824</v>
      </c>
      <c r="B1883" s="149" t="s">
        <v>5825</v>
      </c>
      <c r="C1883" s="150" t="s">
        <v>18</v>
      </c>
      <c r="D1883" s="150">
        <v>0</v>
      </c>
      <c r="E1883" s="151" t="s">
        <v>13</v>
      </c>
      <c r="F1883" s="152" t="str">
        <f t="shared" si="89"/>
        <v/>
      </c>
      <c r="G1883" s="153">
        <f>IF($K1883="Padrão",BDI!$B$17,IF($K1883="Diferenciado",BDI!$E$17,0))</f>
        <v>0.2039</v>
      </c>
      <c r="H1883" s="151" t="str">
        <f t="shared" si="87"/>
        <v/>
      </c>
      <c r="I1883" s="152" t="str">
        <f t="shared" si="88"/>
        <v/>
      </c>
      <c r="J1883" s="154"/>
      <c r="K1883" s="155" t="s">
        <v>2966</v>
      </c>
    </row>
    <row r="1884" spans="1:11" hidden="1" x14ac:dyDescent="0.25">
      <c r="A1884" s="148" t="s">
        <v>1435</v>
      </c>
      <c r="B1884" s="149" t="s">
        <v>5826</v>
      </c>
      <c r="C1884" s="150" t="s">
        <v>106</v>
      </c>
      <c r="D1884" s="150">
        <v>0</v>
      </c>
      <c r="E1884" s="151">
        <f ca="1">OFFSET(INDEX(Composições!A:H,MATCH(Orçamentária!A1884,Composições!A:A,0),8),2,0)</f>
        <v>3.6004999999999998</v>
      </c>
      <c r="F1884" s="152">
        <f t="shared" ca="1" si="89"/>
        <v>0</v>
      </c>
      <c r="G1884" s="153">
        <f>IF($K1884="Padrão",BDI!$B$17,IF($K1884="Diferenciado",BDI!$E$17,0))</f>
        <v>0.2039</v>
      </c>
      <c r="H1884" s="151">
        <f t="shared" ca="1" si="87"/>
        <v>4.33</v>
      </c>
      <c r="I1884" s="152">
        <f t="shared" ca="1" si="88"/>
        <v>0</v>
      </c>
      <c r="J1884" s="154"/>
      <c r="K1884" s="155" t="s">
        <v>2966</v>
      </c>
    </row>
    <row r="1885" spans="1:11" hidden="1" x14ac:dyDescent="0.25">
      <c r="A1885" s="148" t="s">
        <v>1436</v>
      </c>
      <c r="B1885" s="149" t="s">
        <v>5827</v>
      </c>
      <c r="C1885" s="150" t="s">
        <v>18</v>
      </c>
      <c r="D1885" s="150">
        <v>0</v>
      </c>
      <c r="E1885" s="151">
        <f ca="1">OFFSET(INDEX(Composições!A:H,MATCH(Orçamentária!A1885,Composições!A:A,0),8),2,0)</f>
        <v>5.9944999999999995</v>
      </c>
      <c r="F1885" s="152">
        <f t="shared" ca="1" si="89"/>
        <v>0</v>
      </c>
      <c r="G1885" s="153">
        <f>IF($K1885="Padrão",BDI!$B$17,IF($K1885="Diferenciado",BDI!$E$17,0))</f>
        <v>0.2039</v>
      </c>
      <c r="H1885" s="151">
        <f t="shared" ca="1" si="87"/>
        <v>7.22</v>
      </c>
      <c r="I1885" s="152">
        <f t="shared" ca="1" si="88"/>
        <v>0</v>
      </c>
      <c r="J1885" s="154"/>
      <c r="K1885" s="155" t="s">
        <v>2966</v>
      </c>
    </row>
    <row r="1886" spans="1:11" hidden="1" x14ac:dyDescent="0.25">
      <c r="A1886" s="148" t="s">
        <v>1437</v>
      </c>
      <c r="B1886" s="149" t="s">
        <v>5828</v>
      </c>
      <c r="C1886" s="150" t="s">
        <v>106</v>
      </c>
      <c r="D1886" s="150">
        <v>0</v>
      </c>
      <c r="E1886" s="151">
        <f ca="1">OFFSET(INDEX(Composições!A:H,MATCH(Orçamentária!A1886,Composições!A:A,0),8),2,0)</f>
        <v>5.9375</v>
      </c>
      <c r="F1886" s="152">
        <f t="shared" ca="1" si="89"/>
        <v>0</v>
      </c>
      <c r="G1886" s="153">
        <f>IF($K1886="Padrão",BDI!$B$17,IF($K1886="Diferenciado",BDI!$E$17,0))</f>
        <v>0.2039</v>
      </c>
      <c r="H1886" s="151">
        <f t="shared" ca="1" si="87"/>
        <v>7.15</v>
      </c>
      <c r="I1886" s="152">
        <f t="shared" ca="1" si="88"/>
        <v>0</v>
      </c>
      <c r="J1886" s="154"/>
      <c r="K1886" s="155" t="s">
        <v>2966</v>
      </c>
    </row>
    <row r="1887" spans="1:11" hidden="1" x14ac:dyDescent="0.25">
      <c r="A1887" s="148" t="s">
        <v>1438</v>
      </c>
      <c r="B1887" s="149" t="s">
        <v>5829</v>
      </c>
      <c r="C1887" s="150" t="s">
        <v>18</v>
      </c>
      <c r="D1887" s="150">
        <v>0</v>
      </c>
      <c r="E1887" s="151">
        <f ca="1">OFFSET(INDEX(Composições!A:H,MATCH(Orçamentária!A1887,Composições!A:A,0),8),2,0)</f>
        <v>6.84</v>
      </c>
      <c r="F1887" s="152">
        <f t="shared" ca="1" si="89"/>
        <v>0</v>
      </c>
      <c r="G1887" s="153">
        <f>IF($K1887="Padrão",BDI!$B$17,IF($K1887="Diferenciado",BDI!$E$17,0))</f>
        <v>0.2039</v>
      </c>
      <c r="H1887" s="151">
        <f t="shared" ca="1" si="87"/>
        <v>8.23</v>
      </c>
      <c r="I1887" s="152">
        <f t="shared" ca="1" si="88"/>
        <v>0</v>
      </c>
      <c r="J1887" s="154"/>
      <c r="K1887" s="155" t="s">
        <v>2966</v>
      </c>
    </row>
    <row r="1888" spans="1:11" hidden="1" x14ac:dyDescent="0.25">
      <c r="A1888" s="148" t="s">
        <v>1439</v>
      </c>
      <c r="B1888" s="149" t="s">
        <v>5830</v>
      </c>
      <c r="C1888" s="150" t="s">
        <v>106</v>
      </c>
      <c r="D1888" s="150">
        <v>0</v>
      </c>
      <c r="E1888" s="151">
        <f ca="1">OFFSET(INDEX(Composições!A:H,MATCH(Orçamentária!A1888,Composições!A:A,0),8),2,0)</f>
        <v>8.3125</v>
      </c>
      <c r="F1888" s="152">
        <f t="shared" ca="1" si="89"/>
        <v>0</v>
      </c>
      <c r="G1888" s="153">
        <f>IF($K1888="Padrão",BDI!$B$17,IF($K1888="Diferenciado",BDI!$E$17,0))</f>
        <v>0.2039</v>
      </c>
      <c r="H1888" s="151">
        <f t="shared" ca="1" si="87"/>
        <v>10.01</v>
      </c>
      <c r="I1888" s="152">
        <f t="shared" ca="1" si="88"/>
        <v>0</v>
      </c>
      <c r="J1888" s="154"/>
      <c r="K1888" s="155" t="s">
        <v>2966</v>
      </c>
    </row>
    <row r="1889" spans="1:11" hidden="1" x14ac:dyDescent="0.25">
      <c r="A1889" s="148" t="s">
        <v>1440</v>
      </c>
      <c r="B1889" s="149" t="s">
        <v>5831</v>
      </c>
      <c r="C1889" s="150" t="s">
        <v>18</v>
      </c>
      <c r="D1889" s="150">
        <v>0</v>
      </c>
      <c r="E1889" s="151">
        <f ca="1">OFFSET(INDEX(Composições!A:H,MATCH(Orçamentária!A1889,Composições!A:A,0),8),2,0)</f>
        <v>10.088999999999999</v>
      </c>
      <c r="F1889" s="152">
        <f t="shared" ca="1" si="89"/>
        <v>0</v>
      </c>
      <c r="G1889" s="153">
        <f>IF($K1889="Padrão",BDI!$B$17,IF($K1889="Diferenciado",BDI!$E$17,0))</f>
        <v>0.2039</v>
      </c>
      <c r="H1889" s="151">
        <f t="shared" ca="1" si="87"/>
        <v>12.15</v>
      </c>
      <c r="I1889" s="152">
        <f t="shared" ca="1" si="88"/>
        <v>0</v>
      </c>
      <c r="J1889" s="154"/>
      <c r="K1889" s="155" t="s">
        <v>2966</v>
      </c>
    </row>
    <row r="1890" spans="1:11" hidden="1" x14ac:dyDescent="0.25">
      <c r="A1890" s="148" t="s">
        <v>1441</v>
      </c>
      <c r="B1890" s="149" t="s">
        <v>5832</v>
      </c>
      <c r="C1890" s="150" t="s">
        <v>106</v>
      </c>
      <c r="D1890" s="150">
        <v>0</v>
      </c>
      <c r="E1890" s="151">
        <f ca="1">OFFSET(INDEX(Composições!A:H,MATCH(Orçamentária!A1890,Composições!A:A,0),8),2,0)</f>
        <v>6.327</v>
      </c>
      <c r="F1890" s="152">
        <f t="shared" ca="1" si="89"/>
        <v>0</v>
      </c>
      <c r="G1890" s="153">
        <f>IF($K1890="Padrão",BDI!$B$17,IF($K1890="Diferenciado",BDI!$E$17,0))</f>
        <v>0.2039</v>
      </c>
      <c r="H1890" s="151">
        <f t="shared" ca="1" si="87"/>
        <v>7.62</v>
      </c>
      <c r="I1890" s="152">
        <f t="shared" ca="1" si="88"/>
        <v>0</v>
      </c>
      <c r="J1890" s="154"/>
      <c r="K1890" s="155" t="s">
        <v>2966</v>
      </c>
    </row>
    <row r="1891" spans="1:11" hidden="1" x14ac:dyDescent="0.25">
      <c r="A1891" s="148" t="s">
        <v>1442</v>
      </c>
      <c r="B1891" s="149" t="s">
        <v>5833</v>
      </c>
      <c r="C1891" s="150" t="s">
        <v>18</v>
      </c>
      <c r="D1891" s="150">
        <v>0</v>
      </c>
      <c r="E1891" s="151">
        <f ca="1">OFFSET(INDEX(Composições!A:H,MATCH(Orçamentária!A1891,Composições!A:A,0),8),2,0)</f>
        <v>1.3015000000000001</v>
      </c>
      <c r="F1891" s="152">
        <f t="shared" ca="1" si="89"/>
        <v>0</v>
      </c>
      <c r="G1891" s="153">
        <f>IF($K1891="Padrão",BDI!$B$17,IF($K1891="Diferenciado",BDI!$E$17,0))</f>
        <v>0.2039</v>
      </c>
      <c r="H1891" s="151">
        <f t="shared" ca="1" si="87"/>
        <v>1.57</v>
      </c>
      <c r="I1891" s="152">
        <f t="shared" ca="1" si="88"/>
        <v>0</v>
      </c>
      <c r="J1891" s="154"/>
      <c r="K1891" s="155" t="s">
        <v>2966</v>
      </c>
    </row>
    <row r="1892" spans="1:11" hidden="1" x14ac:dyDescent="0.25">
      <c r="A1892" s="148" t="s">
        <v>1443</v>
      </c>
      <c r="B1892" s="149" t="s">
        <v>5834</v>
      </c>
      <c r="C1892" s="150" t="s">
        <v>18</v>
      </c>
      <c r="D1892" s="150">
        <v>0</v>
      </c>
      <c r="E1892" s="151">
        <f ca="1">OFFSET(INDEX(Composições!A:H,MATCH(Orçamentária!A1892,Composições!A:A,0),8),2,0)</f>
        <v>2.8119999999999998</v>
      </c>
      <c r="F1892" s="152">
        <f t="shared" ca="1" si="89"/>
        <v>0</v>
      </c>
      <c r="G1892" s="153">
        <f>IF($K1892="Padrão",BDI!$B$17,IF($K1892="Diferenciado",BDI!$E$17,0))</f>
        <v>0.2039</v>
      </c>
      <c r="H1892" s="151">
        <f t="shared" ca="1" si="87"/>
        <v>3.39</v>
      </c>
      <c r="I1892" s="152">
        <f t="shared" ca="1" si="88"/>
        <v>0</v>
      </c>
      <c r="J1892" s="154"/>
      <c r="K1892" s="155" t="s">
        <v>2966</v>
      </c>
    </row>
    <row r="1893" spans="1:11" hidden="1" x14ac:dyDescent="0.25">
      <c r="A1893" s="148" t="s">
        <v>1444</v>
      </c>
      <c r="B1893" s="149" t="s">
        <v>5835</v>
      </c>
      <c r="C1893" s="150" t="s">
        <v>106</v>
      </c>
      <c r="D1893" s="150">
        <v>0</v>
      </c>
      <c r="E1893" s="151">
        <f ca="1">OFFSET(INDEX(Composições!A:H,MATCH(Orçamentária!A1893,Composições!A:A,0),8),2,0)</f>
        <v>9.8895</v>
      </c>
      <c r="F1893" s="152">
        <f t="shared" ca="1" si="89"/>
        <v>0</v>
      </c>
      <c r="G1893" s="153">
        <f>IF($K1893="Padrão",BDI!$B$17,IF($K1893="Diferenciado",BDI!$E$17,0))</f>
        <v>0.2039</v>
      </c>
      <c r="H1893" s="151">
        <f t="shared" ca="1" si="87"/>
        <v>11.91</v>
      </c>
      <c r="I1893" s="152">
        <f t="shared" ca="1" si="88"/>
        <v>0</v>
      </c>
      <c r="J1893" s="154"/>
      <c r="K1893" s="155" t="s">
        <v>2966</v>
      </c>
    </row>
    <row r="1894" spans="1:11" hidden="1" x14ac:dyDescent="0.25">
      <c r="A1894" s="148" t="s">
        <v>1445</v>
      </c>
      <c r="B1894" s="149" t="s">
        <v>5836</v>
      </c>
      <c r="C1894" s="150" t="s">
        <v>18</v>
      </c>
      <c r="D1894" s="150">
        <v>0</v>
      </c>
      <c r="E1894" s="151">
        <f ca="1">OFFSET(INDEX(Composições!A:H,MATCH(Orçamentária!A1894,Composições!A:A,0),8),2,0)</f>
        <v>1.8144999999999998</v>
      </c>
      <c r="F1894" s="152">
        <f t="shared" ca="1" si="89"/>
        <v>0</v>
      </c>
      <c r="G1894" s="153">
        <f>IF($K1894="Padrão",BDI!$B$17,IF($K1894="Diferenciado",BDI!$E$17,0))</f>
        <v>0.2039</v>
      </c>
      <c r="H1894" s="151">
        <f t="shared" ca="1" si="87"/>
        <v>2.1800000000000002</v>
      </c>
      <c r="I1894" s="152">
        <f t="shared" ca="1" si="88"/>
        <v>0</v>
      </c>
      <c r="J1894" s="154"/>
      <c r="K1894" s="155" t="s">
        <v>2966</v>
      </c>
    </row>
    <row r="1895" spans="1:11" hidden="1" x14ac:dyDescent="0.25">
      <c r="A1895" s="148" t="s">
        <v>1446</v>
      </c>
      <c r="B1895" s="149" t="s">
        <v>5837</v>
      </c>
      <c r="C1895" s="150" t="s">
        <v>18</v>
      </c>
      <c r="D1895" s="150">
        <v>0</v>
      </c>
      <c r="E1895" s="151">
        <f ca="1">OFFSET(INDEX(Composições!A:H,MATCH(Orçamentária!A1895,Composições!A:A,0),8),2,0)</f>
        <v>3.8854999999999995</v>
      </c>
      <c r="F1895" s="152">
        <f t="shared" ca="1" si="89"/>
        <v>0</v>
      </c>
      <c r="G1895" s="153">
        <f>IF($K1895="Padrão",BDI!$B$17,IF($K1895="Diferenciado",BDI!$E$17,0))</f>
        <v>0.2039</v>
      </c>
      <c r="H1895" s="151">
        <f t="shared" ca="1" si="87"/>
        <v>4.68</v>
      </c>
      <c r="I1895" s="152">
        <f t="shared" ca="1" si="88"/>
        <v>0</v>
      </c>
      <c r="J1895" s="154"/>
      <c r="K1895" s="155" t="s">
        <v>2966</v>
      </c>
    </row>
    <row r="1896" spans="1:11" hidden="1" x14ac:dyDescent="0.25">
      <c r="A1896" s="148" t="s">
        <v>1447</v>
      </c>
      <c r="B1896" s="149" t="s">
        <v>5838</v>
      </c>
      <c r="C1896" s="150" t="s">
        <v>106</v>
      </c>
      <c r="D1896" s="150">
        <v>0</v>
      </c>
      <c r="E1896" s="151">
        <f ca="1">OFFSET(INDEX(Composições!A:H,MATCH(Orçamentária!A1896,Composições!A:A,0),8),2,0)</f>
        <v>13.166999999999998</v>
      </c>
      <c r="F1896" s="152">
        <f t="shared" ca="1" si="89"/>
        <v>0</v>
      </c>
      <c r="G1896" s="153">
        <f>IF($K1896="Padrão",BDI!$B$17,IF($K1896="Diferenciado",BDI!$E$17,0))</f>
        <v>0.2039</v>
      </c>
      <c r="H1896" s="151">
        <f t="shared" ca="1" si="87"/>
        <v>15.85</v>
      </c>
      <c r="I1896" s="152">
        <f t="shared" ca="1" si="88"/>
        <v>0</v>
      </c>
      <c r="J1896" s="154"/>
      <c r="K1896" s="155" t="s">
        <v>2966</v>
      </c>
    </row>
    <row r="1897" spans="1:11" hidden="1" x14ac:dyDescent="0.25">
      <c r="A1897" s="148" t="s">
        <v>1448</v>
      </c>
      <c r="B1897" s="149" t="s">
        <v>5839</v>
      </c>
      <c r="C1897" s="150" t="s">
        <v>18</v>
      </c>
      <c r="D1897" s="150">
        <v>0</v>
      </c>
      <c r="E1897" s="151">
        <f ca="1">OFFSET(INDEX(Composições!A:H,MATCH(Orçamentária!A1897,Composições!A:A,0),8),2,0)</f>
        <v>2.8214999999999999</v>
      </c>
      <c r="F1897" s="152">
        <f t="shared" ca="1" si="89"/>
        <v>0</v>
      </c>
      <c r="G1897" s="153">
        <f>IF($K1897="Padrão",BDI!$B$17,IF($K1897="Diferenciado",BDI!$E$17,0))</f>
        <v>0.2039</v>
      </c>
      <c r="H1897" s="151">
        <f t="shared" ca="1" si="87"/>
        <v>3.4</v>
      </c>
      <c r="I1897" s="152">
        <f t="shared" ca="1" si="88"/>
        <v>0</v>
      </c>
      <c r="J1897" s="154"/>
      <c r="K1897" s="155" t="s">
        <v>2966</v>
      </c>
    </row>
    <row r="1898" spans="1:11" hidden="1" x14ac:dyDescent="0.25">
      <c r="A1898" s="148" t="s">
        <v>1449</v>
      </c>
      <c r="B1898" s="149" t="s">
        <v>5840</v>
      </c>
      <c r="C1898" s="150" t="s">
        <v>18</v>
      </c>
      <c r="D1898" s="150">
        <v>0</v>
      </c>
      <c r="E1898" s="151">
        <f ca="1">OFFSET(INDEX(Composições!A:H,MATCH(Orçamentária!A1898,Composições!A:A,0),8),2,0)</f>
        <v>5.13</v>
      </c>
      <c r="F1898" s="152">
        <f t="shared" ca="1" si="89"/>
        <v>0</v>
      </c>
      <c r="G1898" s="153">
        <f>IF($K1898="Padrão",BDI!$B$17,IF($K1898="Diferenciado",BDI!$E$17,0))</f>
        <v>0.2039</v>
      </c>
      <c r="H1898" s="151">
        <f t="shared" ca="1" si="87"/>
        <v>6.18</v>
      </c>
      <c r="I1898" s="152">
        <f t="shared" ca="1" si="88"/>
        <v>0</v>
      </c>
      <c r="J1898" s="154"/>
      <c r="K1898" s="155" t="s">
        <v>2966</v>
      </c>
    </row>
    <row r="1899" spans="1:11" hidden="1" x14ac:dyDescent="0.25">
      <c r="A1899" s="148" t="s">
        <v>1450</v>
      </c>
      <c r="B1899" s="149" t="s">
        <v>5841</v>
      </c>
      <c r="C1899" s="150" t="s">
        <v>106</v>
      </c>
      <c r="D1899" s="150">
        <v>0</v>
      </c>
      <c r="E1899" s="151">
        <f ca="1">OFFSET(INDEX(Composições!A:H,MATCH(Orçamentária!A1899,Composições!A:A,0),8),2,0)</f>
        <v>14.468500000000001</v>
      </c>
      <c r="F1899" s="152">
        <f t="shared" ca="1" si="89"/>
        <v>0</v>
      </c>
      <c r="G1899" s="153">
        <f>IF($K1899="Padrão",BDI!$B$17,IF($K1899="Diferenciado",BDI!$E$17,0))</f>
        <v>0.2039</v>
      </c>
      <c r="H1899" s="151">
        <f t="shared" ca="1" si="87"/>
        <v>17.420000000000002</v>
      </c>
      <c r="I1899" s="152">
        <f t="shared" ca="1" si="88"/>
        <v>0</v>
      </c>
      <c r="J1899" s="154"/>
      <c r="K1899" s="155" t="s">
        <v>2966</v>
      </c>
    </row>
    <row r="1900" spans="1:11" hidden="1" x14ac:dyDescent="0.25">
      <c r="A1900" s="148" t="s">
        <v>1451</v>
      </c>
      <c r="B1900" s="149" t="s">
        <v>5842</v>
      </c>
      <c r="C1900" s="150" t="s">
        <v>18</v>
      </c>
      <c r="D1900" s="150">
        <v>0</v>
      </c>
      <c r="E1900" s="151">
        <f ca="1">OFFSET(INDEX(Composições!A:H,MATCH(Orçamentária!A1900,Composições!A:A,0),8),2,0)</f>
        <v>3.8759999999999999</v>
      </c>
      <c r="F1900" s="152">
        <f t="shared" ca="1" si="89"/>
        <v>0</v>
      </c>
      <c r="G1900" s="153">
        <f>IF($K1900="Padrão",BDI!$B$17,IF($K1900="Diferenciado",BDI!$E$17,0))</f>
        <v>0.2039</v>
      </c>
      <c r="H1900" s="151">
        <f t="shared" ca="1" si="87"/>
        <v>4.67</v>
      </c>
      <c r="I1900" s="152">
        <f t="shared" ca="1" si="88"/>
        <v>0</v>
      </c>
      <c r="J1900" s="154"/>
      <c r="K1900" s="155" t="s">
        <v>2966</v>
      </c>
    </row>
    <row r="1901" spans="1:11" hidden="1" x14ac:dyDescent="0.25">
      <c r="A1901" s="148" t="s">
        <v>1452</v>
      </c>
      <c r="B1901" s="149" t="s">
        <v>5843</v>
      </c>
      <c r="C1901" s="150" t="s">
        <v>18</v>
      </c>
      <c r="D1901" s="150">
        <v>0</v>
      </c>
      <c r="E1901" s="151">
        <f ca="1">OFFSET(INDEX(Composições!A:H,MATCH(Orçamentária!A1901,Composições!A:A,0),8),2,0)</f>
        <v>6.2130000000000001</v>
      </c>
      <c r="F1901" s="152">
        <f t="shared" ca="1" si="89"/>
        <v>0</v>
      </c>
      <c r="G1901" s="153">
        <f>IF($K1901="Padrão",BDI!$B$17,IF($K1901="Diferenciado",BDI!$E$17,0))</f>
        <v>0.2039</v>
      </c>
      <c r="H1901" s="151">
        <f t="shared" ca="1" si="87"/>
        <v>7.48</v>
      </c>
      <c r="I1901" s="152">
        <f t="shared" ca="1" si="88"/>
        <v>0</v>
      </c>
      <c r="J1901" s="154"/>
      <c r="K1901" s="155" t="s">
        <v>2966</v>
      </c>
    </row>
    <row r="1902" spans="1:11" hidden="1" x14ac:dyDescent="0.25">
      <c r="A1902" s="148" t="s">
        <v>1453</v>
      </c>
      <c r="B1902" s="149" t="s">
        <v>5844</v>
      </c>
      <c r="C1902" s="150" t="s">
        <v>106</v>
      </c>
      <c r="D1902" s="150">
        <v>0</v>
      </c>
      <c r="E1902" s="151">
        <f ca="1">OFFSET(INDEX(Composições!A:H,MATCH(Orçamentária!A1902,Composições!A:A,0),8),2,0)</f>
        <v>23.654999999999998</v>
      </c>
      <c r="F1902" s="152">
        <f t="shared" ca="1" si="89"/>
        <v>0</v>
      </c>
      <c r="G1902" s="153">
        <f>IF($K1902="Padrão",BDI!$B$17,IF($K1902="Diferenciado",BDI!$E$17,0))</f>
        <v>0.2039</v>
      </c>
      <c r="H1902" s="151">
        <f t="shared" ca="1" si="87"/>
        <v>28.48</v>
      </c>
      <c r="I1902" s="152">
        <f t="shared" ca="1" si="88"/>
        <v>0</v>
      </c>
      <c r="J1902" s="154"/>
      <c r="K1902" s="155" t="s">
        <v>2966</v>
      </c>
    </row>
    <row r="1903" spans="1:11" hidden="1" x14ac:dyDescent="0.25">
      <c r="A1903" s="148" t="s">
        <v>1454</v>
      </c>
      <c r="B1903" s="149" t="s">
        <v>5845</v>
      </c>
      <c r="C1903" s="150" t="s">
        <v>18</v>
      </c>
      <c r="D1903" s="150">
        <v>0</v>
      </c>
      <c r="E1903" s="151">
        <f ca="1">OFFSET(INDEX(Composições!A:H,MATCH(Orçamentária!A1903,Composições!A:A,0),8),2,0)</f>
        <v>5.6144999999999996</v>
      </c>
      <c r="F1903" s="152">
        <f t="shared" ca="1" si="89"/>
        <v>0</v>
      </c>
      <c r="G1903" s="153">
        <f>IF($K1903="Padrão",BDI!$B$17,IF($K1903="Diferenciado",BDI!$E$17,0))</f>
        <v>0.2039</v>
      </c>
      <c r="H1903" s="151">
        <f t="shared" ca="1" si="87"/>
        <v>6.76</v>
      </c>
      <c r="I1903" s="152">
        <f t="shared" ca="1" si="88"/>
        <v>0</v>
      </c>
      <c r="J1903" s="154"/>
      <c r="K1903" s="155" t="s">
        <v>2966</v>
      </c>
    </row>
    <row r="1904" spans="1:11" hidden="1" x14ac:dyDescent="0.25">
      <c r="A1904" s="148" t="s">
        <v>1455</v>
      </c>
      <c r="B1904" s="149" t="s">
        <v>5846</v>
      </c>
      <c r="C1904" s="150" t="s">
        <v>18</v>
      </c>
      <c r="D1904" s="150">
        <v>0</v>
      </c>
      <c r="E1904" s="151">
        <f ca="1">OFFSET(INDEX(Composições!A:H,MATCH(Orçamentária!A1904,Composições!A:A,0),8),2,0)</f>
        <v>10.0985</v>
      </c>
      <c r="F1904" s="152">
        <f t="shared" ca="1" si="89"/>
        <v>0</v>
      </c>
      <c r="G1904" s="153">
        <f>IF($K1904="Padrão",BDI!$B$17,IF($K1904="Diferenciado",BDI!$E$17,0))</f>
        <v>0.2039</v>
      </c>
      <c r="H1904" s="151">
        <f t="shared" ca="1" si="87"/>
        <v>12.16</v>
      </c>
      <c r="I1904" s="152">
        <f t="shared" ca="1" si="88"/>
        <v>0</v>
      </c>
      <c r="J1904" s="154"/>
      <c r="K1904" s="155" t="s">
        <v>2966</v>
      </c>
    </row>
    <row r="1905" spans="1:11" hidden="1" x14ac:dyDescent="0.25">
      <c r="A1905" s="148" t="s">
        <v>1456</v>
      </c>
      <c r="B1905" s="149" t="s">
        <v>5847</v>
      </c>
      <c r="C1905" s="150" t="s">
        <v>106</v>
      </c>
      <c r="D1905" s="150">
        <v>0</v>
      </c>
      <c r="E1905" s="151">
        <f ca="1">OFFSET(INDEX(Composições!A:H,MATCH(Orçamentária!A1905,Composições!A:A,0),8),2,0)</f>
        <v>43.272499999999994</v>
      </c>
      <c r="F1905" s="152">
        <f t="shared" ca="1" si="89"/>
        <v>0</v>
      </c>
      <c r="G1905" s="153">
        <f>IF($K1905="Padrão",BDI!$B$17,IF($K1905="Diferenciado",BDI!$E$17,0))</f>
        <v>0.2039</v>
      </c>
      <c r="H1905" s="151">
        <f t="shared" ca="1" si="87"/>
        <v>52.1</v>
      </c>
      <c r="I1905" s="152">
        <f t="shared" ca="1" si="88"/>
        <v>0</v>
      </c>
      <c r="J1905" s="154"/>
      <c r="K1905" s="155" t="s">
        <v>2966</v>
      </c>
    </row>
    <row r="1906" spans="1:11" hidden="1" x14ac:dyDescent="0.25">
      <c r="A1906" s="148" t="s">
        <v>1457</v>
      </c>
      <c r="B1906" s="149" t="s">
        <v>5848</v>
      </c>
      <c r="C1906" s="150" t="s">
        <v>18</v>
      </c>
      <c r="D1906" s="150">
        <v>0</v>
      </c>
      <c r="E1906" s="151">
        <f ca="1">OFFSET(INDEX(Composições!A:H,MATCH(Orçamentária!A1906,Composições!A:A,0),8),2,0)</f>
        <v>16.767499999999998</v>
      </c>
      <c r="F1906" s="152">
        <f t="shared" ca="1" si="89"/>
        <v>0</v>
      </c>
      <c r="G1906" s="153">
        <f>IF($K1906="Padrão",BDI!$B$17,IF($K1906="Diferenciado",BDI!$E$17,0))</f>
        <v>0.2039</v>
      </c>
      <c r="H1906" s="151">
        <f t="shared" ca="1" si="87"/>
        <v>20.190000000000001</v>
      </c>
      <c r="I1906" s="152">
        <f t="shared" ca="1" si="88"/>
        <v>0</v>
      </c>
      <c r="J1906" s="154"/>
      <c r="K1906" s="155" t="s">
        <v>2966</v>
      </c>
    </row>
    <row r="1907" spans="1:11" hidden="1" x14ac:dyDescent="0.25">
      <c r="A1907" s="148" t="s">
        <v>1458</v>
      </c>
      <c r="B1907" s="149" t="s">
        <v>5849</v>
      </c>
      <c r="C1907" s="150" t="s">
        <v>18</v>
      </c>
      <c r="D1907" s="150">
        <v>0</v>
      </c>
      <c r="E1907" s="151">
        <f ca="1">OFFSET(INDEX(Composições!A:H,MATCH(Orçamentária!A1907,Composições!A:A,0),8),2,0)</f>
        <v>25.802</v>
      </c>
      <c r="F1907" s="152">
        <f t="shared" ca="1" si="89"/>
        <v>0</v>
      </c>
      <c r="G1907" s="153">
        <f>IF($K1907="Padrão",BDI!$B$17,IF($K1907="Diferenciado",BDI!$E$17,0))</f>
        <v>0.2039</v>
      </c>
      <c r="H1907" s="151">
        <f t="shared" ca="1" si="87"/>
        <v>31.06</v>
      </c>
      <c r="I1907" s="152">
        <f t="shared" ca="1" si="88"/>
        <v>0</v>
      </c>
      <c r="J1907" s="154"/>
      <c r="K1907" s="155" t="s">
        <v>2966</v>
      </c>
    </row>
    <row r="1908" spans="1:11" hidden="1" x14ac:dyDescent="0.25">
      <c r="A1908" s="148" t="s">
        <v>5850</v>
      </c>
      <c r="B1908" s="149" t="s">
        <v>5851</v>
      </c>
      <c r="C1908" s="150" t="s">
        <v>18</v>
      </c>
      <c r="D1908" s="150">
        <v>0</v>
      </c>
      <c r="E1908" s="151" t="s">
        <v>13</v>
      </c>
      <c r="F1908" s="152" t="str">
        <f t="shared" si="89"/>
        <v/>
      </c>
      <c r="G1908" s="153">
        <f>IF($K1908="Padrão",BDI!$B$17,IF($K1908="Diferenciado",BDI!$E$17,0))</f>
        <v>0.2039</v>
      </c>
      <c r="H1908" s="151" t="str">
        <f t="shared" si="87"/>
        <v/>
      </c>
      <c r="I1908" s="152" t="str">
        <f t="shared" si="88"/>
        <v/>
      </c>
      <c r="J1908" s="154"/>
      <c r="K1908" s="155" t="s">
        <v>2966</v>
      </c>
    </row>
    <row r="1909" spans="1:11" hidden="1" x14ac:dyDescent="0.25">
      <c r="A1909" s="148" t="s">
        <v>5852</v>
      </c>
      <c r="B1909" s="149" t="s">
        <v>5853</v>
      </c>
      <c r="C1909" s="150" t="s">
        <v>18</v>
      </c>
      <c r="D1909" s="150">
        <v>0</v>
      </c>
      <c r="E1909" s="151" t="s">
        <v>13</v>
      </c>
      <c r="F1909" s="152" t="str">
        <f t="shared" si="89"/>
        <v/>
      </c>
      <c r="G1909" s="153">
        <f>IF($K1909="Padrão",BDI!$B$17,IF($K1909="Diferenciado",BDI!$E$17,0))</f>
        <v>0.2039</v>
      </c>
      <c r="H1909" s="151" t="str">
        <f t="shared" si="87"/>
        <v/>
      </c>
      <c r="I1909" s="152" t="str">
        <f t="shared" si="88"/>
        <v/>
      </c>
      <c r="J1909" s="154"/>
      <c r="K1909" s="155" t="s">
        <v>2966</v>
      </c>
    </row>
    <row r="1910" spans="1:11" hidden="1" x14ac:dyDescent="0.25">
      <c r="A1910" s="148" t="s">
        <v>5854</v>
      </c>
      <c r="B1910" s="149" t="s">
        <v>5855</v>
      </c>
      <c r="C1910" s="150" t="s">
        <v>18</v>
      </c>
      <c r="D1910" s="150">
        <v>0</v>
      </c>
      <c r="E1910" s="151" t="s">
        <v>13</v>
      </c>
      <c r="F1910" s="152" t="str">
        <f t="shared" si="89"/>
        <v/>
      </c>
      <c r="G1910" s="153">
        <f>IF($K1910="Padrão",BDI!$B$17,IF($K1910="Diferenciado",BDI!$E$17,0))</f>
        <v>0.2039</v>
      </c>
      <c r="H1910" s="151" t="str">
        <f t="shared" si="87"/>
        <v/>
      </c>
      <c r="I1910" s="152" t="str">
        <f t="shared" si="88"/>
        <v/>
      </c>
      <c r="J1910" s="154"/>
      <c r="K1910" s="155" t="s">
        <v>2966</v>
      </c>
    </row>
    <row r="1911" spans="1:11" hidden="1" x14ac:dyDescent="0.25">
      <c r="A1911" s="148" t="s">
        <v>5856</v>
      </c>
      <c r="B1911" s="149" t="s">
        <v>5857</v>
      </c>
      <c r="C1911" s="150" t="s">
        <v>18</v>
      </c>
      <c r="D1911" s="150">
        <v>0</v>
      </c>
      <c r="E1911" s="151" t="s">
        <v>13</v>
      </c>
      <c r="F1911" s="152" t="str">
        <f t="shared" si="89"/>
        <v/>
      </c>
      <c r="G1911" s="153">
        <f>IF($K1911="Padrão",BDI!$B$17,IF($K1911="Diferenciado",BDI!$E$17,0))</f>
        <v>0.2039</v>
      </c>
      <c r="H1911" s="151" t="str">
        <f t="shared" si="87"/>
        <v/>
      </c>
      <c r="I1911" s="152" t="str">
        <f t="shared" si="88"/>
        <v/>
      </c>
      <c r="J1911" s="154"/>
      <c r="K1911" s="155" t="s">
        <v>2966</v>
      </c>
    </row>
    <row r="1912" spans="1:11" hidden="1" x14ac:dyDescent="0.25">
      <c r="A1912" s="148" t="s">
        <v>5858</v>
      </c>
      <c r="B1912" s="149" t="s">
        <v>5859</v>
      </c>
      <c r="C1912" s="150" t="s">
        <v>18</v>
      </c>
      <c r="D1912" s="150">
        <v>0</v>
      </c>
      <c r="E1912" s="151" t="s">
        <v>13</v>
      </c>
      <c r="F1912" s="152" t="str">
        <f t="shared" si="89"/>
        <v/>
      </c>
      <c r="G1912" s="153">
        <f>IF($K1912="Padrão",BDI!$B$17,IF($K1912="Diferenciado",BDI!$E$17,0))</f>
        <v>0.2039</v>
      </c>
      <c r="H1912" s="151" t="str">
        <f t="shared" si="87"/>
        <v/>
      </c>
      <c r="I1912" s="152" t="str">
        <f t="shared" si="88"/>
        <v/>
      </c>
      <c r="J1912" s="154"/>
      <c r="K1912" s="155" t="s">
        <v>2966</v>
      </c>
    </row>
    <row r="1913" spans="1:11" hidden="1" x14ac:dyDescent="0.25">
      <c r="A1913" s="148" t="s">
        <v>5860</v>
      </c>
      <c r="B1913" s="149" t="s">
        <v>5861</v>
      </c>
      <c r="C1913" s="150" t="s">
        <v>18</v>
      </c>
      <c r="D1913" s="150">
        <v>0</v>
      </c>
      <c r="E1913" s="151" t="s">
        <v>13</v>
      </c>
      <c r="F1913" s="152" t="str">
        <f t="shared" si="89"/>
        <v/>
      </c>
      <c r="G1913" s="153">
        <f>IF($K1913="Padrão",BDI!$B$17,IF($K1913="Diferenciado",BDI!$E$17,0))</f>
        <v>0.2039</v>
      </c>
      <c r="H1913" s="151" t="str">
        <f t="shared" si="87"/>
        <v/>
      </c>
      <c r="I1913" s="152" t="str">
        <f t="shared" si="88"/>
        <v/>
      </c>
      <c r="J1913" s="154"/>
      <c r="K1913" s="155" t="s">
        <v>2966</v>
      </c>
    </row>
    <row r="1914" spans="1:11" hidden="1" x14ac:dyDescent="0.25">
      <c r="A1914" s="148" t="s">
        <v>5862</v>
      </c>
      <c r="B1914" s="149" t="s">
        <v>5863</v>
      </c>
      <c r="C1914" s="150" t="s">
        <v>18</v>
      </c>
      <c r="D1914" s="150">
        <v>0</v>
      </c>
      <c r="E1914" s="151" t="s">
        <v>13</v>
      </c>
      <c r="F1914" s="152" t="str">
        <f t="shared" si="89"/>
        <v/>
      </c>
      <c r="G1914" s="153">
        <f>IF($K1914="Padrão",BDI!$B$17,IF($K1914="Diferenciado",BDI!$E$17,0))</f>
        <v>0.2039</v>
      </c>
      <c r="H1914" s="151" t="str">
        <f t="shared" si="87"/>
        <v/>
      </c>
      <c r="I1914" s="152" t="str">
        <f t="shared" si="88"/>
        <v/>
      </c>
      <c r="J1914" s="154"/>
      <c r="K1914" s="155" t="s">
        <v>2966</v>
      </c>
    </row>
    <row r="1915" spans="1:11" hidden="1" x14ac:dyDescent="0.25">
      <c r="A1915" s="148" t="s">
        <v>5864</v>
      </c>
      <c r="B1915" s="149" t="s">
        <v>5865</v>
      </c>
      <c r="C1915" s="150" t="s">
        <v>18</v>
      </c>
      <c r="D1915" s="150">
        <v>0</v>
      </c>
      <c r="E1915" s="151" t="s">
        <v>13</v>
      </c>
      <c r="F1915" s="152" t="str">
        <f t="shared" si="89"/>
        <v/>
      </c>
      <c r="G1915" s="153">
        <f>IF($K1915="Padrão",BDI!$B$17,IF($K1915="Diferenciado",BDI!$E$17,0))</f>
        <v>0.2039</v>
      </c>
      <c r="H1915" s="151" t="str">
        <f t="shared" si="87"/>
        <v/>
      </c>
      <c r="I1915" s="152" t="str">
        <f t="shared" si="88"/>
        <v/>
      </c>
      <c r="J1915" s="154"/>
      <c r="K1915" s="155" t="s">
        <v>2966</v>
      </c>
    </row>
    <row r="1916" spans="1:11" hidden="1" x14ac:dyDescent="0.25">
      <c r="A1916" s="148" t="s">
        <v>5866</v>
      </c>
      <c r="B1916" s="149" t="s">
        <v>5867</v>
      </c>
      <c r="C1916" s="150" t="s">
        <v>18</v>
      </c>
      <c r="D1916" s="150">
        <v>0</v>
      </c>
      <c r="E1916" s="151" t="s">
        <v>13</v>
      </c>
      <c r="F1916" s="152" t="str">
        <f t="shared" si="89"/>
        <v/>
      </c>
      <c r="G1916" s="153">
        <f>IF($K1916="Padrão",BDI!$B$17,IF($K1916="Diferenciado",BDI!$E$17,0))</f>
        <v>0.2039</v>
      </c>
      <c r="H1916" s="151" t="str">
        <f t="shared" si="87"/>
        <v/>
      </c>
      <c r="I1916" s="152" t="str">
        <f t="shared" si="88"/>
        <v/>
      </c>
      <c r="J1916" s="154"/>
      <c r="K1916" s="155" t="s">
        <v>2966</v>
      </c>
    </row>
    <row r="1917" spans="1:11" hidden="1" x14ac:dyDescent="0.25">
      <c r="A1917" s="148" t="s">
        <v>5868</v>
      </c>
      <c r="B1917" s="149" t="s">
        <v>5869</v>
      </c>
      <c r="C1917" s="150" t="s">
        <v>18</v>
      </c>
      <c r="D1917" s="150">
        <v>0</v>
      </c>
      <c r="E1917" s="151" t="s">
        <v>13</v>
      </c>
      <c r="F1917" s="152" t="str">
        <f t="shared" si="89"/>
        <v/>
      </c>
      <c r="G1917" s="153">
        <f>IF($K1917="Padrão",BDI!$B$17,IF($K1917="Diferenciado",BDI!$E$17,0))</f>
        <v>0.2039</v>
      </c>
      <c r="H1917" s="151" t="str">
        <f t="shared" si="87"/>
        <v/>
      </c>
      <c r="I1917" s="152" t="str">
        <f t="shared" si="88"/>
        <v/>
      </c>
      <c r="J1917" s="154"/>
      <c r="K1917" s="155" t="s">
        <v>2966</v>
      </c>
    </row>
    <row r="1918" spans="1:11" hidden="1" x14ac:dyDescent="0.25">
      <c r="A1918" s="148" t="s">
        <v>5870</v>
      </c>
      <c r="B1918" s="149" t="s">
        <v>5871</v>
      </c>
      <c r="C1918" s="150" t="s">
        <v>18</v>
      </c>
      <c r="D1918" s="150">
        <v>0</v>
      </c>
      <c r="E1918" s="151" t="s">
        <v>13</v>
      </c>
      <c r="F1918" s="152" t="str">
        <f t="shared" si="89"/>
        <v/>
      </c>
      <c r="G1918" s="153">
        <f>IF($K1918="Padrão",BDI!$B$17,IF($K1918="Diferenciado",BDI!$E$17,0))</f>
        <v>0.2039</v>
      </c>
      <c r="H1918" s="151" t="str">
        <f t="shared" si="87"/>
        <v/>
      </c>
      <c r="I1918" s="152" t="str">
        <f t="shared" si="88"/>
        <v/>
      </c>
      <c r="J1918" s="154"/>
      <c r="K1918" s="155" t="s">
        <v>2966</v>
      </c>
    </row>
    <row r="1919" spans="1:11" hidden="1" x14ac:dyDescent="0.25">
      <c r="A1919" s="148" t="s">
        <v>5872</v>
      </c>
      <c r="B1919" s="149" t="s">
        <v>5873</v>
      </c>
      <c r="C1919" s="150" t="s">
        <v>18</v>
      </c>
      <c r="D1919" s="150">
        <v>0</v>
      </c>
      <c r="E1919" s="151" t="s">
        <v>13</v>
      </c>
      <c r="F1919" s="152" t="str">
        <f t="shared" si="89"/>
        <v/>
      </c>
      <c r="G1919" s="153">
        <f>IF($K1919="Padrão",BDI!$B$17,IF($K1919="Diferenciado",BDI!$E$17,0))</f>
        <v>0.2039</v>
      </c>
      <c r="H1919" s="151" t="str">
        <f t="shared" si="87"/>
        <v/>
      </c>
      <c r="I1919" s="152" t="str">
        <f t="shared" si="88"/>
        <v/>
      </c>
      <c r="J1919" s="154"/>
      <c r="K1919" s="155" t="s">
        <v>2966</v>
      </c>
    </row>
    <row r="1920" spans="1:11" ht="25.5" hidden="1" x14ac:dyDescent="0.25">
      <c r="A1920" s="148" t="s">
        <v>1459</v>
      </c>
      <c r="B1920" s="149" t="s">
        <v>5874</v>
      </c>
      <c r="C1920" s="150" t="s">
        <v>18</v>
      </c>
      <c r="D1920" s="150">
        <v>0</v>
      </c>
      <c r="E1920" s="151">
        <f ca="1">OFFSET(INDEX(Composições!A:H,MATCH(Orçamentária!A1920,Composições!A:A,0),8),2,0)</f>
        <v>0</v>
      </c>
      <c r="F1920" s="152">
        <f t="shared" ca="1" si="89"/>
        <v>0</v>
      </c>
      <c r="G1920" s="153">
        <f>IF($K1920="Padrão",BDI!$B$17,IF($K1920="Diferenciado",BDI!$E$17,0))</f>
        <v>0.2039</v>
      </c>
      <c r="H1920" s="151">
        <f t="shared" ca="1" si="87"/>
        <v>0</v>
      </c>
      <c r="I1920" s="152">
        <f t="shared" ca="1" si="88"/>
        <v>0</v>
      </c>
      <c r="J1920" s="154"/>
      <c r="K1920" s="155" t="s">
        <v>2966</v>
      </c>
    </row>
    <row r="1921" spans="1:11" ht="25.5" hidden="1" x14ac:dyDescent="0.25">
      <c r="A1921" s="148" t="s">
        <v>1461</v>
      </c>
      <c r="B1921" s="149" t="s">
        <v>5875</v>
      </c>
      <c r="C1921" s="150" t="s">
        <v>18</v>
      </c>
      <c r="D1921" s="150">
        <v>0</v>
      </c>
      <c r="E1921" s="151">
        <f ca="1">OFFSET(INDEX(Composições!A:H,MATCH(Orçamentária!A1921,Composições!A:A,0),8),2,0)</f>
        <v>0</v>
      </c>
      <c r="F1921" s="152">
        <f t="shared" ca="1" si="89"/>
        <v>0</v>
      </c>
      <c r="G1921" s="153">
        <f>IF($K1921="Padrão",BDI!$B$17,IF($K1921="Diferenciado",BDI!$E$17,0))</f>
        <v>0.2039</v>
      </c>
      <c r="H1921" s="151">
        <f t="shared" ca="1" si="87"/>
        <v>0</v>
      </c>
      <c r="I1921" s="152">
        <f t="shared" ca="1" si="88"/>
        <v>0</v>
      </c>
      <c r="J1921" s="154"/>
      <c r="K1921" s="155" t="s">
        <v>2966</v>
      </c>
    </row>
    <row r="1922" spans="1:11" ht="25.5" hidden="1" x14ac:dyDescent="0.25">
      <c r="A1922" s="148" t="s">
        <v>1463</v>
      </c>
      <c r="B1922" s="149" t="s">
        <v>5876</v>
      </c>
      <c r="C1922" s="150" t="s">
        <v>18</v>
      </c>
      <c r="D1922" s="150">
        <v>0</v>
      </c>
      <c r="E1922" s="151">
        <f ca="1">OFFSET(INDEX(Composições!A:H,MATCH(Orçamentária!A1922,Composições!A:A,0),8),2,0)</f>
        <v>0</v>
      </c>
      <c r="F1922" s="152">
        <f t="shared" ca="1" si="89"/>
        <v>0</v>
      </c>
      <c r="G1922" s="153">
        <f>IF($K1922="Padrão",BDI!$B$17,IF($K1922="Diferenciado",BDI!$E$17,0))</f>
        <v>0.2039</v>
      </c>
      <c r="H1922" s="151">
        <f t="shared" ca="1" si="87"/>
        <v>0</v>
      </c>
      <c r="I1922" s="152">
        <f t="shared" ca="1" si="88"/>
        <v>0</v>
      </c>
      <c r="J1922" s="154"/>
      <c r="K1922" s="155" t="s">
        <v>2966</v>
      </c>
    </row>
    <row r="1923" spans="1:11" ht="25.5" hidden="1" x14ac:dyDescent="0.25">
      <c r="A1923" s="148" t="s">
        <v>1465</v>
      </c>
      <c r="B1923" s="149" t="s">
        <v>5877</v>
      </c>
      <c r="C1923" s="150" t="s">
        <v>18</v>
      </c>
      <c r="D1923" s="150">
        <v>0</v>
      </c>
      <c r="E1923" s="151">
        <f ca="1">OFFSET(INDEX(Composições!A:H,MATCH(Orçamentária!A1923,Composições!A:A,0),8),2,0)</f>
        <v>0</v>
      </c>
      <c r="F1923" s="152">
        <f t="shared" ca="1" si="89"/>
        <v>0</v>
      </c>
      <c r="G1923" s="153">
        <f>IF($K1923="Padrão",BDI!$B$17,IF($K1923="Diferenciado",BDI!$E$17,0))</f>
        <v>0.2039</v>
      </c>
      <c r="H1923" s="151">
        <f t="shared" ca="1" si="87"/>
        <v>0</v>
      </c>
      <c r="I1923" s="152">
        <f t="shared" ca="1" si="88"/>
        <v>0</v>
      </c>
      <c r="J1923" s="154"/>
      <c r="K1923" s="155" t="s">
        <v>2966</v>
      </c>
    </row>
    <row r="1924" spans="1:11" ht="25.5" hidden="1" x14ac:dyDescent="0.25">
      <c r="A1924" s="148" t="s">
        <v>1467</v>
      </c>
      <c r="B1924" s="149" t="s">
        <v>5878</v>
      </c>
      <c r="C1924" s="150" t="s">
        <v>18</v>
      </c>
      <c r="D1924" s="150">
        <v>0</v>
      </c>
      <c r="E1924" s="151">
        <f ca="1">OFFSET(INDEX(Composições!A:H,MATCH(Orçamentária!A1924,Composições!A:A,0),8),2,0)</f>
        <v>0</v>
      </c>
      <c r="F1924" s="152">
        <f t="shared" ca="1" si="89"/>
        <v>0</v>
      </c>
      <c r="G1924" s="153">
        <f>IF($K1924="Padrão",BDI!$B$17,IF($K1924="Diferenciado",BDI!$E$17,0))</f>
        <v>0.2039</v>
      </c>
      <c r="H1924" s="151">
        <f t="shared" ca="1" si="87"/>
        <v>0</v>
      </c>
      <c r="I1924" s="152">
        <f t="shared" ca="1" si="88"/>
        <v>0</v>
      </c>
      <c r="J1924" s="154"/>
      <c r="K1924" s="155" t="s">
        <v>2966</v>
      </c>
    </row>
    <row r="1925" spans="1:11" hidden="1" x14ac:dyDescent="0.25">
      <c r="A1925" s="148" t="s">
        <v>5879</v>
      </c>
      <c r="B1925" s="149" t="s">
        <v>5880</v>
      </c>
      <c r="C1925" s="150" t="s">
        <v>18</v>
      </c>
      <c r="D1925" s="150">
        <v>0</v>
      </c>
      <c r="E1925" s="151" t="s">
        <v>13</v>
      </c>
      <c r="F1925" s="152" t="str">
        <f t="shared" si="89"/>
        <v/>
      </c>
      <c r="G1925" s="153">
        <f>IF($K1925="Padrão",BDI!$B$17,IF($K1925="Diferenciado",BDI!$E$17,0))</f>
        <v>0.2039</v>
      </c>
      <c r="H1925" s="151" t="str">
        <f t="shared" si="87"/>
        <v/>
      </c>
      <c r="I1925" s="152" t="str">
        <f t="shared" si="88"/>
        <v/>
      </c>
      <c r="J1925" s="154"/>
      <c r="K1925" s="155" t="s">
        <v>2966</v>
      </c>
    </row>
    <row r="1926" spans="1:11" ht="25.5" hidden="1" x14ac:dyDescent="0.25">
      <c r="A1926" s="148" t="s">
        <v>1469</v>
      </c>
      <c r="B1926" s="149" t="s">
        <v>5881</v>
      </c>
      <c r="C1926" s="150" t="s">
        <v>18</v>
      </c>
      <c r="D1926" s="150">
        <v>0</v>
      </c>
      <c r="E1926" s="151">
        <f ca="1">OFFSET(INDEX(Composições!A:H,MATCH(Orçamentária!A1926,Composições!A:A,0),8),2,0)</f>
        <v>0</v>
      </c>
      <c r="F1926" s="152">
        <f t="shared" ca="1" si="89"/>
        <v>0</v>
      </c>
      <c r="G1926" s="153">
        <f>IF($K1926="Padrão",BDI!$B$17,IF($K1926="Diferenciado",BDI!$E$17,0))</f>
        <v>0.2039</v>
      </c>
      <c r="H1926" s="151">
        <f t="shared" ref="H1926:H1989" ca="1" si="90">IF(ISNUMBER(E1926),ROUND(E1926*(1+G1926),2),"")</f>
        <v>0</v>
      </c>
      <c r="I1926" s="152">
        <f t="shared" ref="I1926:I1989" ca="1" si="91">IF(ISNUMBER(E1926),ROUND(H1926*D1926,2),"")</f>
        <v>0</v>
      </c>
      <c r="J1926" s="154"/>
      <c r="K1926" s="155" t="s">
        <v>2966</v>
      </c>
    </row>
    <row r="1927" spans="1:11" hidden="1" x14ac:dyDescent="0.25">
      <c r="A1927" s="148" t="s">
        <v>5882</v>
      </c>
      <c r="B1927" s="149" t="s">
        <v>5883</v>
      </c>
      <c r="C1927" s="150" t="s">
        <v>18</v>
      </c>
      <c r="D1927" s="150">
        <v>0</v>
      </c>
      <c r="E1927" s="151" t="s">
        <v>13</v>
      </c>
      <c r="F1927" s="152" t="str">
        <f t="shared" ref="F1927:F1990" si="92">IF(ISNUMBER(E1927),D1927*E1927,"")</f>
        <v/>
      </c>
      <c r="G1927" s="153">
        <f>IF($K1927="Padrão",BDI!$B$17,IF($K1927="Diferenciado",BDI!$E$17,0))</f>
        <v>0.2039</v>
      </c>
      <c r="H1927" s="151" t="str">
        <f t="shared" si="90"/>
        <v/>
      </c>
      <c r="I1927" s="152" t="str">
        <f t="shared" si="91"/>
        <v/>
      </c>
      <c r="J1927" s="154"/>
      <c r="K1927" s="155" t="s">
        <v>2966</v>
      </c>
    </row>
    <row r="1928" spans="1:11" ht="25.5" hidden="1" x14ac:dyDescent="0.25">
      <c r="A1928" s="148" t="s">
        <v>1471</v>
      </c>
      <c r="B1928" s="149" t="s">
        <v>5884</v>
      </c>
      <c r="C1928" s="150" t="s">
        <v>18</v>
      </c>
      <c r="D1928" s="150">
        <v>0</v>
      </c>
      <c r="E1928" s="151">
        <f ca="1">OFFSET(INDEX(Composições!A:H,MATCH(Orçamentária!A1928,Composições!A:A,0),8),2,0)</f>
        <v>0</v>
      </c>
      <c r="F1928" s="152">
        <f t="shared" ca="1" si="92"/>
        <v>0</v>
      </c>
      <c r="G1928" s="153">
        <f>IF($K1928="Padrão",BDI!$B$17,IF($K1928="Diferenciado",BDI!$E$17,0))</f>
        <v>0.2039</v>
      </c>
      <c r="H1928" s="151">
        <f t="shared" ca="1" si="90"/>
        <v>0</v>
      </c>
      <c r="I1928" s="152">
        <f t="shared" ca="1" si="91"/>
        <v>0</v>
      </c>
      <c r="J1928" s="154"/>
      <c r="K1928" s="155" t="s">
        <v>2966</v>
      </c>
    </row>
    <row r="1929" spans="1:11" hidden="1" x14ac:dyDescent="0.25">
      <c r="A1929" s="148" t="s">
        <v>5885</v>
      </c>
      <c r="B1929" s="149" t="s">
        <v>5886</v>
      </c>
      <c r="C1929" s="150" t="s">
        <v>18</v>
      </c>
      <c r="D1929" s="150">
        <v>0</v>
      </c>
      <c r="E1929" s="151" t="s">
        <v>13</v>
      </c>
      <c r="F1929" s="152" t="str">
        <f t="shared" si="92"/>
        <v/>
      </c>
      <c r="G1929" s="153">
        <f>IF($K1929="Padrão",BDI!$B$17,IF($K1929="Diferenciado",BDI!$E$17,0))</f>
        <v>0.2039</v>
      </c>
      <c r="H1929" s="151" t="str">
        <f t="shared" si="90"/>
        <v/>
      </c>
      <c r="I1929" s="152" t="str">
        <f t="shared" si="91"/>
        <v/>
      </c>
      <c r="J1929" s="154"/>
      <c r="K1929" s="155" t="s">
        <v>2966</v>
      </c>
    </row>
    <row r="1930" spans="1:11" ht="25.5" hidden="1" x14ac:dyDescent="0.25">
      <c r="A1930" s="148" t="s">
        <v>1473</v>
      </c>
      <c r="B1930" s="149" t="s">
        <v>5887</v>
      </c>
      <c r="C1930" s="150" t="s">
        <v>18</v>
      </c>
      <c r="D1930" s="150">
        <v>0</v>
      </c>
      <c r="E1930" s="151">
        <f ca="1">OFFSET(INDEX(Composições!A:H,MATCH(Orçamentária!A1930,Composições!A:A,0),8),2,0)</f>
        <v>0</v>
      </c>
      <c r="F1930" s="152">
        <f t="shared" ca="1" si="92"/>
        <v>0</v>
      </c>
      <c r="G1930" s="153">
        <f>IF($K1930="Padrão",BDI!$B$17,IF($K1930="Diferenciado",BDI!$E$17,0))</f>
        <v>0.2039</v>
      </c>
      <c r="H1930" s="151">
        <f t="shared" ca="1" si="90"/>
        <v>0</v>
      </c>
      <c r="I1930" s="152">
        <f t="shared" ca="1" si="91"/>
        <v>0</v>
      </c>
      <c r="J1930" s="154"/>
      <c r="K1930" s="155" t="s">
        <v>2966</v>
      </c>
    </row>
    <row r="1931" spans="1:11" hidden="1" x14ac:dyDescent="0.25">
      <c r="A1931" s="148" t="s">
        <v>5888</v>
      </c>
      <c r="B1931" s="149" t="s">
        <v>5889</v>
      </c>
      <c r="C1931" s="150" t="s">
        <v>18</v>
      </c>
      <c r="D1931" s="150">
        <v>0</v>
      </c>
      <c r="E1931" s="151" t="s">
        <v>13</v>
      </c>
      <c r="F1931" s="152" t="str">
        <f t="shared" si="92"/>
        <v/>
      </c>
      <c r="G1931" s="153">
        <f>IF($K1931="Padrão",BDI!$B$17,IF($K1931="Diferenciado",BDI!$E$17,0))</f>
        <v>0.2039</v>
      </c>
      <c r="H1931" s="151" t="str">
        <f t="shared" si="90"/>
        <v/>
      </c>
      <c r="I1931" s="152" t="str">
        <f t="shared" si="91"/>
        <v/>
      </c>
      <c r="J1931" s="154"/>
      <c r="K1931" s="155" t="s">
        <v>2966</v>
      </c>
    </row>
    <row r="1932" spans="1:11" hidden="1" x14ac:dyDescent="0.25">
      <c r="A1932" s="148" t="s">
        <v>5890</v>
      </c>
      <c r="B1932" s="149" t="s">
        <v>5891</v>
      </c>
      <c r="C1932" s="150" t="s">
        <v>18</v>
      </c>
      <c r="D1932" s="150">
        <v>0</v>
      </c>
      <c r="E1932" s="151" t="s">
        <v>13</v>
      </c>
      <c r="F1932" s="152" t="str">
        <f t="shared" si="92"/>
        <v/>
      </c>
      <c r="G1932" s="153">
        <f>IF($K1932="Padrão",BDI!$B$17,IF($K1932="Diferenciado",BDI!$E$17,0))</f>
        <v>0.2039</v>
      </c>
      <c r="H1932" s="151" t="str">
        <f t="shared" si="90"/>
        <v/>
      </c>
      <c r="I1932" s="152" t="str">
        <f t="shared" si="91"/>
        <v/>
      </c>
      <c r="J1932" s="154"/>
      <c r="K1932" s="155" t="s">
        <v>2966</v>
      </c>
    </row>
    <row r="1933" spans="1:11" hidden="1" x14ac:dyDescent="0.25">
      <c r="A1933" s="148" t="s">
        <v>1475</v>
      </c>
      <c r="B1933" s="149" t="s">
        <v>5892</v>
      </c>
      <c r="C1933" s="150" t="s">
        <v>18</v>
      </c>
      <c r="D1933" s="150">
        <v>0</v>
      </c>
      <c r="E1933" s="151">
        <f ca="1">OFFSET(INDEX(Composições!A:H,MATCH(Orçamentária!A1933,Composições!A:A,0),8),2,0)</f>
        <v>8.8824999999999985</v>
      </c>
      <c r="F1933" s="152">
        <f t="shared" ca="1" si="92"/>
        <v>0</v>
      </c>
      <c r="G1933" s="153">
        <f>IF($K1933="Padrão",BDI!$B$17,IF($K1933="Diferenciado",BDI!$E$17,0))</f>
        <v>0.2039</v>
      </c>
      <c r="H1933" s="151">
        <f t="shared" ca="1" si="90"/>
        <v>10.69</v>
      </c>
      <c r="I1933" s="152">
        <f t="shared" ca="1" si="91"/>
        <v>0</v>
      </c>
      <c r="J1933" s="154"/>
      <c r="K1933" s="155" t="s">
        <v>2966</v>
      </c>
    </row>
    <row r="1934" spans="1:11" hidden="1" x14ac:dyDescent="0.25">
      <c r="A1934" s="148" t="s">
        <v>5893</v>
      </c>
      <c r="B1934" s="149" t="s">
        <v>5894</v>
      </c>
      <c r="C1934" s="150" t="s">
        <v>18</v>
      </c>
      <c r="D1934" s="150">
        <v>0</v>
      </c>
      <c r="E1934" s="151" t="s">
        <v>13</v>
      </c>
      <c r="F1934" s="152" t="str">
        <f t="shared" si="92"/>
        <v/>
      </c>
      <c r="G1934" s="153">
        <f>IF($K1934="Padrão",BDI!$B$17,IF($K1934="Diferenciado",BDI!$E$17,0))</f>
        <v>0.2039</v>
      </c>
      <c r="H1934" s="151" t="str">
        <f t="shared" si="90"/>
        <v/>
      </c>
      <c r="I1934" s="152" t="str">
        <f t="shared" si="91"/>
        <v/>
      </c>
      <c r="J1934" s="154"/>
      <c r="K1934" s="155" t="s">
        <v>2966</v>
      </c>
    </row>
    <row r="1935" spans="1:11" hidden="1" x14ac:dyDescent="0.25">
      <c r="A1935" s="148" t="s">
        <v>5895</v>
      </c>
      <c r="B1935" s="149" t="s">
        <v>5896</v>
      </c>
      <c r="C1935" s="150" t="s">
        <v>18</v>
      </c>
      <c r="D1935" s="150">
        <v>0</v>
      </c>
      <c r="E1935" s="151" t="s">
        <v>13</v>
      </c>
      <c r="F1935" s="152" t="str">
        <f t="shared" si="92"/>
        <v/>
      </c>
      <c r="G1935" s="153">
        <f>IF($K1935="Padrão",BDI!$B$17,IF($K1935="Diferenciado",BDI!$E$17,0))</f>
        <v>0.2039</v>
      </c>
      <c r="H1935" s="151" t="str">
        <f t="shared" si="90"/>
        <v/>
      </c>
      <c r="I1935" s="152" t="str">
        <f t="shared" si="91"/>
        <v/>
      </c>
      <c r="J1935" s="154"/>
      <c r="K1935" s="155" t="s">
        <v>2966</v>
      </c>
    </row>
    <row r="1936" spans="1:11" hidden="1" x14ac:dyDescent="0.25">
      <c r="A1936" s="148" t="s">
        <v>5897</v>
      </c>
      <c r="B1936" s="149" t="s">
        <v>5898</v>
      </c>
      <c r="C1936" s="150" t="s">
        <v>18</v>
      </c>
      <c r="D1936" s="150">
        <v>0</v>
      </c>
      <c r="E1936" s="151" t="s">
        <v>13</v>
      </c>
      <c r="F1936" s="152" t="str">
        <f t="shared" si="92"/>
        <v/>
      </c>
      <c r="G1936" s="153">
        <f>IF($K1936="Padrão",BDI!$B$17,IF($K1936="Diferenciado",BDI!$E$17,0))</f>
        <v>0.2039</v>
      </c>
      <c r="H1936" s="151" t="str">
        <f t="shared" si="90"/>
        <v/>
      </c>
      <c r="I1936" s="152" t="str">
        <f t="shared" si="91"/>
        <v/>
      </c>
      <c r="J1936" s="154"/>
      <c r="K1936" s="155" t="s">
        <v>2966</v>
      </c>
    </row>
    <row r="1937" spans="1:11" hidden="1" x14ac:dyDescent="0.25">
      <c r="A1937" s="148" t="s">
        <v>5899</v>
      </c>
      <c r="B1937" s="149" t="s">
        <v>5900</v>
      </c>
      <c r="C1937" s="150" t="s">
        <v>18</v>
      </c>
      <c r="D1937" s="150">
        <v>0</v>
      </c>
      <c r="E1937" s="151" t="s">
        <v>13</v>
      </c>
      <c r="F1937" s="152" t="str">
        <f t="shared" si="92"/>
        <v/>
      </c>
      <c r="G1937" s="153">
        <f>IF($K1937="Padrão",BDI!$B$17,IF($K1937="Diferenciado",BDI!$E$17,0))</f>
        <v>0.2039</v>
      </c>
      <c r="H1937" s="151" t="str">
        <f t="shared" si="90"/>
        <v/>
      </c>
      <c r="I1937" s="152" t="str">
        <f t="shared" si="91"/>
        <v/>
      </c>
      <c r="J1937" s="154"/>
      <c r="K1937" s="155" t="s">
        <v>2966</v>
      </c>
    </row>
    <row r="1938" spans="1:11" hidden="1" x14ac:dyDescent="0.25">
      <c r="A1938" s="148" t="s">
        <v>5901</v>
      </c>
      <c r="B1938" s="149" t="s">
        <v>5902</v>
      </c>
      <c r="C1938" s="150" t="s">
        <v>18</v>
      </c>
      <c r="D1938" s="150">
        <v>0</v>
      </c>
      <c r="E1938" s="151" t="s">
        <v>13</v>
      </c>
      <c r="F1938" s="152" t="str">
        <f t="shared" si="92"/>
        <v/>
      </c>
      <c r="G1938" s="153">
        <f>IF($K1938="Padrão",BDI!$B$17,IF($K1938="Diferenciado",BDI!$E$17,0))</f>
        <v>0.2039</v>
      </c>
      <c r="H1938" s="151" t="str">
        <f t="shared" si="90"/>
        <v/>
      </c>
      <c r="I1938" s="152" t="str">
        <f t="shared" si="91"/>
        <v/>
      </c>
      <c r="J1938" s="154"/>
      <c r="K1938" s="155" t="s">
        <v>2966</v>
      </c>
    </row>
    <row r="1939" spans="1:11" hidden="1" x14ac:dyDescent="0.25">
      <c r="A1939" s="148" t="s">
        <v>5903</v>
      </c>
      <c r="B1939" s="149" t="s">
        <v>5904</v>
      </c>
      <c r="C1939" s="150" t="s">
        <v>18</v>
      </c>
      <c r="D1939" s="150">
        <v>0</v>
      </c>
      <c r="E1939" s="151" t="s">
        <v>13</v>
      </c>
      <c r="F1939" s="152" t="str">
        <f t="shared" si="92"/>
        <v/>
      </c>
      <c r="G1939" s="153">
        <f>IF($K1939="Padrão",BDI!$B$17,IF($K1939="Diferenciado",BDI!$E$17,0))</f>
        <v>0.2039</v>
      </c>
      <c r="H1939" s="151" t="str">
        <f t="shared" si="90"/>
        <v/>
      </c>
      <c r="I1939" s="152" t="str">
        <f t="shared" si="91"/>
        <v/>
      </c>
      <c r="J1939" s="154"/>
      <c r="K1939" s="155" t="s">
        <v>2966</v>
      </c>
    </row>
    <row r="1940" spans="1:11" hidden="1" x14ac:dyDescent="0.25">
      <c r="A1940" s="148" t="s">
        <v>5905</v>
      </c>
      <c r="B1940" s="149" t="s">
        <v>5906</v>
      </c>
      <c r="C1940" s="150" t="s">
        <v>18</v>
      </c>
      <c r="D1940" s="150">
        <v>0</v>
      </c>
      <c r="E1940" s="151" t="s">
        <v>13</v>
      </c>
      <c r="F1940" s="152" t="str">
        <f t="shared" si="92"/>
        <v/>
      </c>
      <c r="G1940" s="153">
        <f>IF($K1940="Padrão",BDI!$B$17,IF($K1940="Diferenciado",BDI!$E$17,0))</f>
        <v>0.2039</v>
      </c>
      <c r="H1940" s="151" t="str">
        <f t="shared" si="90"/>
        <v/>
      </c>
      <c r="I1940" s="152" t="str">
        <f t="shared" si="91"/>
        <v/>
      </c>
      <c r="J1940" s="154"/>
      <c r="K1940" s="155" t="s">
        <v>2966</v>
      </c>
    </row>
    <row r="1941" spans="1:11" hidden="1" x14ac:dyDescent="0.25">
      <c r="A1941" s="148" t="s">
        <v>5907</v>
      </c>
      <c r="B1941" s="149" t="s">
        <v>5908</v>
      </c>
      <c r="C1941" s="150" t="s">
        <v>18</v>
      </c>
      <c r="D1941" s="150">
        <v>0</v>
      </c>
      <c r="E1941" s="151" t="s">
        <v>13</v>
      </c>
      <c r="F1941" s="152" t="str">
        <f t="shared" si="92"/>
        <v/>
      </c>
      <c r="G1941" s="153">
        <f>IF($K1941="Padrão",BDI!$B$17,IF($K1941="Diferenciado",BDI!$E$17,0))</f>
        <v>0.2039</v>
      </c>
      <c r="H1941" s="151" t="str">
        <f t="shared" si="90"/>
        <v/>
      </c>
      <c r="I1941" s="152" t="str">
        <f t="shared" si="91"/>
        <v/>
      </c>
      <c r="J1941" s="154"/>
      <c r="K1941" s="155" t="s">
        <v>2966</v>
      </c>
    </row>
    <row r="1942" spans="1:11" hidden="1" x14ac:dyDescent="0.25">
      <c r="A1942" s="148" t="s">
        <v>5909</v>
      </c>
      <c r="B1942" s="149" t="s">
        <v>5910</v>
      </c>
      <c r="C1942" s="150" t="s">
        <v>18</v>
      </c>
      <c r="D1942" s="150">
        <v>0</v>
      </c>
      <c r="E1942" s="151" t="s">
        <v>13</v>
      </c>
      <c r="F1942" s="152" t="str">
        <f t="shared" si="92"/>
        <v/>
      </c>
      <c r="G1942" s="153">
        <f>IF($K1942="Padrão",BDI!$B$17,IF($K1942="Diferenciado",BDI!$E$17,0))</f>
        <v>0.2039</v>
      </c>
      <c r="H1942" s="151" t="str">
        <f t="shared" si="90"/>
        <v/>
      </c>
      <c r="I1942" s="152" t="str">
        <f t="shared" si="91"/>
        <v/>
      </c>
      <c r="J1942" s="154"/>
      <c r="K1942" s="155" t="s">
        <v>2966</v>
      </c>
    </row>
    <row r="1943" spans="1:11" hidden="1" x14ac:dyDescent="0.25">
      <c r="A1943" s="148" t="s">
        <v>5911</v>
      </c>
      <c r="B1943" s="149" t="s">
        <v>5912</v>
      </c>
      <c r="C1943" s="150" t="s">
        <v>18</v>
      </c>
      <c r="D1943" s="150">
        <v>0</v>
      </c>
      <c r="E1943" s="151" t="s">
        <v>13</v>
      </c>
      <c r="F1943" s="152" t="str">
        <f t="shared" si="92"/>
        <v/>
      </c>
      <c r="G1943" s="153">
        <f>IF($K1943="Padrão",BDI!$B$17,IF($K1943="Diferenciado",BDI!$E$17,0))</f>
        <v>0.2039</v>
      </c>
      <c r="H1943" s="151" t="str">
        <f t="shared" si="90"/>
        <v/>
      </c>
      <c r="I1943" s="152" t="str">
        <f t="shared" si="91"/>
        <v/>
      </c>
      <c r="J1943" s="154"/>
      <c r="K1943" s="155" t="s">
        <v>2966</v>
      </c>
    </row>
    <row r="1944" spans="1:11" hidden="1" x14ac:dyDescent="0.25">
      <c r="A1944" s="148" t="s">
        <v>5913</v>
      </c>
      <c r="B1944" s="149" t="s">
        <v>5914</v>
      </c>
      <c r="C1944" s="150" t="s">
        <v>18</v>
      </c>
      <c r="D1944" s="150">
        <v>0</v>
      </c>
      <c r="E1944" s="151" t="s">
        <v>13</v>
      </c>
      <c r="F1944" s="152" t="str">
        <f t="shared" si="92"/>
        <v/>
      </c>
      <c r="G1944" s="153">
        <f>IF($K1944="Padrão",BDI!$B$17,IF($K1944="Diferenciado",BDI!$E$17,0))</f>
        <v>0.2039</v>
      </c>
      <c r="H1944" s="151" t="str">
        <f t="shared" si="90"/>
        <v/>
      </c>
      <c r="I1944" s="152" t="str">
        <f t="shared" si="91"/>
        <v/>
      </c>
      <c r="J1944" s="154"/>
      <c r="K1944" s="155" t="s">
        <v>2966</v>
      </c>
    </row>
    <row r="1945" spans="1:11" hidden="1" x14ac:dyDescent="0.25">
      <c r="A1945" s="148" t="s">
        <v>5915</v>
      </c>
      <c r="B1945" s="149" t="s">
        <v>5916</v>
      </c>
      <c r="C1945" s="150" t="s">
        <v>18</v>
      </c>
      <c r="D1945" s="150">
        <v>0</v>
      </c>
      <c r="E1945" s="151" t="s">
        <v>13</v>
      </c>
      <c r="F1945" s="152" t="str">
        <f t="shared" si="92"/>
        <v/>
      </c>
      <c r="G1945" s="153">
        <f>IF($K1945="Padrão",BDI!$B$17,IF($K1945="Diferenciado",BDI!$E$17,0))</f>
        <v>0.2039</v>
      </c>
      <c r="H1945" s="151" t="str">
        <f t="shared" si="90"/>
        <v/>
      </c>
      <c r="I1945" s="152" t="str">
        <f t="shared" si="91"/>
        <v/>
      </c>
      <c r="J1945" s="154"/>
      <c r="K1945" s="155" t="s">
        <v>2966</v>
      </c>
    </row>
    <row r="1946" spans="1:11" hidden="1" x14ac:dyDescent="0.25">
      <c r="A1946" s="148" t="s">
        <v>5917</v>
      </c>
      <c r="B1946" s="149" t="s">
        <v>5918</v>
      </c>
      <c r="C1946" s="150" t="s">
        <v>18</v>
      </c>
      <c r="D1946" s="150">
        <v>0</v>
      </c>
      <c r="E1946" s="151" t="s">
        <v>13</v>
      </c>
      <c r="F1946" s="152" t="str">
        <f t="shared" si="92"/>
        <v/>
      </c>
      <c r="G1946" s="153">
        <f>IF($K1946="Padrão",BDI!$B$17,IF($K1946="Diferenciado",BDI!$E$17,0))</f>
        <v>0.2039</v>
      </c>
      <c r="H1946" s="151" t="str">
        <f t="shared" si="90"/>
        <v/>
      </c>
      <c r="I1946" s="152" t="str">
        <f t="shared" si="91"/>
        <v/>
      </c>
      <c r="J1946" s="154"/>
      <c r="K1946" s="155" t="s">
        <v>2966</v>
      </c>
    </row>
    <row r="1947" spans="1:11" hidden="1" x14ac:dyDescent="0.25">
      <c r="A1947" s="148" t="s">
        <v>5919</v>
      </c>
      <c r="B1947" s="149" t="s">
        <v>5920</v>
      </c>
      <c r="C1947" s="150" t="s">
        <v>18</v>
      </c>
      <c r="D1947" s="150">
        <v>0</v>
      </c>
      <c r="E1947" s="151" t="s">
        <v>13</v>
      </c>
      <c r="F1947" s="152" t="str">
        <f t="shared" si="92"/>
        <v/>
      </c>
      <c r="G1947" s="153">
        <f>IF($K1947="Padrão",BDI!$B$17,IF($K1947="Diferenciado",BDI!$E$17,0))</f>
        <v>0.2039</v>
      </c>
      <c r="H1947" s="151" t="str">
        <f t="shared" si="90"/>
        <v/>
      </c>
      <c r="I1947" s="152" t="str">
        <f t="shared" si="91"/>
        <v/>
      </c>
      <c r="J1947" s="154"/>
      <c r="K1947" s="155" t="s">
        <v>2966</v>
      </c>
    </row>
    <row r="1948" spans="1:11" hidden="1" x14ac:dyDescent="0.25">
      <c r="A1948" s="148" t="s">
        <v>5921</v>
      </c>
      <c r="B1948" s="149" t="s">
        <v>5922</v>
      </c>
      <c r="C1948" s="150" t="s">
        <v>18</v>
      </c>
      <c r="D1948" s="150">
        <v>0</v>
      </c>
      <c r="E1948" s="151" t="s">
        <v>13</v>
      </c>
      <c r="F1948" s="152" t="str">
        <f t="shared" si="92"/>
        <v/>
      </c>
      <c r="G1948" s="153">
        <f>IF($K1948="Padrão",BDI!$B$17,IF($K1948="Diferenciado",BDI!$E$17,0))</f>
        <v>0.2039</v>
      </c>
      <c r="H1948" s="151" t="str">
        <f t="shared" si="90"/>
        <v/>
      </c>
      <c r="I1948" s="152" t="str">
        <f t="shared" si="91"/>
        <v/>
      </c>
      <c r="J1948" s="154"/>
      <c r="K1948" s="155" t="s">
        <v>2966</v>
      </c>
    </row>
    <row r="1949" spans="1:11" hidden="1" x14ac:dyDescent="0.25">
      <c r="A1949" s="148" t="s">
        <v>1476</v>
      </c>
      <c r="B1949" s="149" t="s">
        <v>5923</v>
      </c>
      <c r="C1949" s="150" t="s">
        <v>18</v>
      </c>
      <c r="D1949" s="150">
        <v>0</v>
      </c>
      <c r="E1949" s="151">
        <f ca="1">OFFSET(INDEX(Composições!A:H,MATCH(Orçamentária!A1949,Composições!A:A,0),8),2,0)</f>
        <v>389.13900000000001</v>
      </c>
      <c r="F1949" s="152">
        <f t="shared" ca="1" si="92"/>
        <v>0</v>
      </c>
      <c r="G1949" s="153">
        <f>IF($K1949="Padrão",BDI!$B$17,IF($K1949="Diferenciado",BDI!$E$17,0))</f>
        <v>0.2039</v>
      </c>
      <c r="H1949" s="151">
        <f t="shared" ca="1" si="90"/>
        <v>468.48</v>
      </c>
      <c r="I1949" s="152">
        <f t="shared" ca="1" si="91"/>
        <v>0</v>
      </c>
      <c r="J1949" s="154"/>
      <c r="K1949" s="155" t="s">
        <v>2966</v>
      </c>
    </row>
    <row r="1950" spans="1:11" hidden="1" x14ac:dyDescent="0.25">
      <c r="A1950" s="148" t="s">
        <v>5924</v>
      </c>
      <c r="B1950" s="149" t="s">
        <v>5925</v>
      </c>
      <c r="C1950" s="150" t="s">
        <v>18</v>
      </c>
      <c r="D1950" s="150">
        <v>0</v>
      </c>
      <c r="E1950" s="151" t="s">
        <v>13</v>
      </c>
      <c r="F1950" s="152" t="str">
        <f t="shared" si="92"/>
        <v/>
      </c>
      <c r="G1950" s="153">
        <f>IF($K1950="Padrão",BDI!$B$17,IF($K1950="Diferenciado",BDI!$E$17,0))</f>
        <v>0.2039</v>
      </c>
      <c r="H1950" s="151" t="str">
        <f t="shared" si="90"/>
        <v/>
      </c>
      <c r="I1950" s="152" t="str">
        <f t="shared" si="91"/>
        <v/>
      </c>
      <c r="J1950" s="154"/>
      <c r="K1950" s="155" t="s">
        <v>2966</v>
      </c>
    </row>
    <row r="1951" spans="1:11" hidden="1" x14ac:dyDescent="0.25">
      <c r="A1951" s="148" t="s">
        <v>1477</v>
      </c>
      <c r="B1951" s="149" t="s">
        <v>5926</v>
      </c>
      <c r="C1951" s="150" t="s">
        <v>18</v>
      </c>
      <c r="D1951" s="150">
        <v>0</v>
      </c>
      <c r="E1951" s="151">
        <f ca="1">OFFSET(INDEX(Composições!A:H,MATCH(Orçamentária!A1951,Composições!A:A,0),8),2,0)</f>
        <v>1510.3764999999999</v>
      </c>
      <c r="F1951" s="152">
        <f t="shared" ca="1" si="92"/>
        <v>0</v>
      </c>
      <c r="G1951" s="153">
        <f>IF($K1951="Padrão",BDI!$B$17,IF($K1951="Diferenciado",BDI!$E$17,0))</f>
        <v>0.2039</v>
      </c>
      <c r="H1951" s="151">
        <f t="shared" ca="1" si="90"/>
        <v>1818.34</v>
      </c>
      <c r="I1951" s="152">
        <f t="shared" ca="1" si="91"/>
        <v>0</v>
      </c>
      <c r="J1951" s="154"/>
      <c r="K1951" s="155" t="s">
        <v>2966</v>
      </c>
    </row>
    <row r="1952" spans="1:11" hidden="1" x14ac:dyDescent="0.25">
      <c r="A1952" s="148" t="s">
        <v>5927</v>
      </c>
      <c r="B1952" s="149" t="s">
        <v>5928</v>
      </c>
      <c r="C1952" s="150" t="s">
        <v>18</v>
      </c>
      <c r="D1952" s="150">
        <v>0</v>
      </c>
      <c r="E1952" s="151" t="s">
        <v>13</v>
      </c>
      <c r="F1952" s="152" t="str">
        <f t="shared" si="92"/>
        <v/>
      </c>
      <c r="G1952" s="153">
        <f>IF($K1952="Padrão",BDI!$B$17,IF($K1952="Diferenciado",BDI!$E$17,0))</f>
        <v>0.2039</v>
      </c>
      <c r="H1952" s="151" t="str">
        <f t="shared" si="90"/>
        <v/>
      </c>
      <c r="I1952" s="152" t="str">
        <f t="shared" si="91"/>
        <v/>
      </c>
      <c r="J1952" s="154"/>
      <c r="K1952" s="155" t="s">
        <v>2966</v>
      </c>
    </row>
    <row r="1953" spans="1:11" hidden="1" x14ac:dyDescent="0.25">
      <c r="A1953" s="148" t="s">
        <v>1478</v>
      </c>
      <c r="B1953" s="149" t="s">
        <v>5929</v>
      </c>
      <c r="C1953" s="150" t="s">
        <v>18</v>
      </c>
      <c r="D1953" s="150">
        <v>0</v>
      </c>
      <c r="E1953" s="151">
        <f ca="1">OFFSET(INDEX(Composições!A:H,MATCH(Orçamentária!A1953,Composições!A:A,0),8),2,0)</f>
        <v>1778.4854999999998</v>
      </c>
      <c r="F1953" s="152">
        <f t="shared" ca="1" si="92"/>
        <v>0</v>
      </c>
      <c r="G1953" s="153">
        <f>IF($K1953="Padrão",BDI!$B$17,IF($K1953="Diferenciado",BDI!$E$17,0))</f>
        <v>0.2039</v>
      </c>
      <c r="H1953" s="151">
        <f t="shared" ca="1" si="90"/>
        <v>2141.12</v>
      </c>
      <c r="I1953" s="152">
        <f t="shared" ca="1" si="91"/>
        <v>0</v>
      </c>
      <c r="J1953" s="154"/>
      <c r="K1953" s="155" t="s">
        <v>2966</v>
      </c>
    </row>
    <row r="1954" spans="1:11" hidden="1" x14ac:dyDescent="0.25">
      <c r="A1954" s="148" t="s">
        <v>1479</v>
      </c>
      <c r="B1954" s="149" t="s">
        <v>5930</v>
      </c>
      <c r="C1954" s="150" t="s">
        <v>18</v>
      </c>
      <c r="D1954" s="150">
        <v>0</v>
      </c>
      <c r="E1954" s="151">
        <f ca="1">OFFSET(INDEX(Composições!A:H,MATCH(Orçamentária!A1954,Composições!A:A,0),8),2,0)</f>
        <v>33.924500000000002</v>
      </c>
      <c r="F1954" s="152">
        <f t="shared" ca="1" si="92"/>
        <v>0</v>
      </c>
      <c r="G1954" s="153">
        <f>IF($K1954="Padrão",BDI!$B$17,IF($K1954="Diferenciado",BDI!$E$17,0))</f>
        <v>0.2039</v>
      </c>
      <c r="H1954" s="151">
        <f t="shared" ca="1" si="90"/>
        <v>40.840000000000003</v>
      </c>
      <c r="I1954" s="152">
        <f t="shared" ca="1" si="91"/>
        <v>0</v>
      </c>
      <c r="J1954" s="154"/>
      <c r="K1954" s="155" t="s">
        <v>2966</v>
      </c>
    </row>
    <row r="1955" spans="1:11" hidden="1" x14ac:dyDescent="0.25">
      <c r="A1955" s="148" t="s">
        <v>5931</v>
      </c>
      <c r="B1955" s="149" t="s">
        <v>5932</v>
      </c>
      <c r="C1955" s="150" t="s">
        <v>18</v>
      </c>
      <c r="D1955" s="150">
        <v>0</v>
      </c>
      <c r="E1955" s="151" t="s">
        <v>13</v>
      </c>
      <c r="F1955" s="152" t="str">
        <f t="shared" si="92"/>
        <v/>
      </c>
      <c r="G1955" s="153">
        <f>IF($K1955="Padrão",BDI!$B$17,IF($K1955="Diferenciado",BDI!$E$17,0))</f>
        <v>0.2039</v>
      </c>
      <c r="H1955" s="151" t="str">
        <f t="shared" si="90"/>
        <v/>
      </c>
      <c r="I1955" s="152" t="str">
        <f t="shared" si="91"/>
        <v/>
      </c>
      <c r="J1955" s="154"/>
      <c r="K1955" s="155" t="s">
        <v>2966</v>
      </c>
    </row>
    <row r="1956" spans="1:11" hidden="1" x14ac:dyDescent="0.25">
      <c r="A1956" s="148" t="s">
        <v>5933</v>
      </c>
      <c r="B1956" s="149" t="s">
        <v>5934</v>
      </c>
      <c r="C1956" s="150" t="s">
        <v>18</v>
      </c>
      <c r="D1956" s="150">
        <v>0</v>
      </c>
      <c r="E1956" s="151" t="s">
        <v>13</v>
      </c>
      <c r="F1956" s="152" t="str">
        <f t="shared" si="92"/>
        <v/>
      </c>
      <c r="G1956" s="153">
        <f>IF($K1956="Padrão",BDI!$B$17,IF($K1956="Diferenciado",BDI!$E$17,0))</f>
        <v>0.2039</v>
      </c>
      <c r="H1956" s="151" t="str">
        <f t="shared" si="90"/>
        <v/>
      </c>
      <c r="I1956" s="152" t="str">
        <f t="shared" si="91"/>
        <v/>
      </c>
      <c r="J1956" s="154"/>
      <c r="K1956" s="155" t="s">
        <v>2966</v>
      </c>
    </row>
    <row r="1957" spans="1:11" hidden="1" x14ac:dyDescent="0.25">
      <c r="A1957" s="148" t="s">
        <v>5935</v>
      </c>
      <c r="B1957" s="149" t="s">
        <v>5936</v>
      </c>
      <c r="C1957" s="150" t="s">
        <v>18</v>
      </c>
      <c r="D1957" s="150">
        <v>0</v>
      </c>
      <c r="E1957" s="151" t="s">
        <v>13</v>
      </c>
      <c r="F1957" s="152" t="str">
        <f t="shared" si="92"/>
        <v/>
      </c>
      <c r="G1957" s="153">
        <f>IF($K1957="Padrão",BDI!$B$17,IF($K1957="Diferenciado",BDI!$E$17,0))</f>
        <v>0.2039</v>
      </c>
      <c r="H1957" s="151" t="str">
        <f t="shared" si="90"/>
        <v/>
      </c>
      <c r="I1957" s="152" t="str">
        <f t="shared" si="91"/>
        <v/>
      </c>
      <c r="J1957" s="154"/>
      <c r="K1957" s="155" t="s">
        <v>2966</v>
      </c>
    </row>
    <row r="1958" spans="1:11" hidden="1" x14ac:dyDescent="0.25">
      <c r="A1958" s="148" t="s">
        <v>5937</v>
      </c>
      <c r="B1958" s="149" t="s">
        <v>5938</v>
      </c>
      <c r="C1958" s="150" t="s">
        <v>18</v>
      </c>
      <c r="D1958" s="150">
        <v>0</v>
      </c>
      <c r="E1958" s="151" t="s">
        <v>13</v>
      </c>
      <c r="F1958" s="152" t="str">
        <f t="shared" si="92"/>
        <v/>
      </c>
      <c r="G1958" s="153">
        <f>IF($K1958="Padrão",BDI!$B$17,IF($K1958="Diferenciado",BDI!$E$17,0))</f>
        <v>0.2039</v>
      </c>
      <c r="H1958" s="151" t="str">
        <f t="shared" si="90"/>
        <v/>
      </c>
      <c r="I1958" s="152" t="str">
        <f t="shared" si="91"/>
        <v/>
      </c>
      <c r="J1958" s="154"/>
      <c r="K1958" s="155" t="s">
        <v>2966</v>
      </c>
    </row>
    <row r="1959" spans="1:11" hidden="1" x14ac:dyDescent="0.25">
      <c r="A1959" s="148" t="s">
        <v>5939</v>
      </c>
      <c r="B1959" s="149" t="s">
        <v>5940</v>
      </c>
      <c r="C1959" s="150" t="s">
        <v>18</v>
      </c>
      <c r="D1959" s="150">
        <v>0</v>
      </c>
      <c r="E1959" s="151" t="s">
        <v>13</v>
      </c>
      <c r="F1959" s="152" t="str">
        <f t="shared" si="92"/>
        <v/>
      </c>
      <c r="G1959" s="153">
        <f>IF($K1959="Padrão",BDI!$B$17,IF($K1959="Diferenciado",BDI!$E$17,0))</f>
        <v>0.2039</v>
      </c>
      <c r="H1959" s="151" t="str">
        <f t="shared" si="90"/>
        <v/>
      </c>
      <c r="I1959" s="152" t="str">
        <f t="shared" si="91"/>
        <v/>
      </c>
      <c r="J1959" s="154"/>
      <c r="K1959" s="155" t="s">
        <v>2966</v>
      </c>
    </row>
    <row r="1960" spans="1:11" hidden="1" x14ac:dyDescent="0.25">
      <c r="A1960" s="148" t="s">
        <v>5941</v>
      </c>
      <c r="B1960" s="149" t="s">
        <v>5942</v>
      </c>
      <c r="C1960" s="150" t="s">
        <v>18</v>
      </c>
      <c r="D1960" s="150">
        <v>0</v>
      </c>
      <c r="E1960" s="151" t="s">
        <v>13</v>
      </c>
      <c r="F1960" s="152" t="str">
        <f t="shared" si="92"/>
        <v/>
      </c>
      <c r="G1960" s="153">
        <f>IF($K1960="Padrão",BDI!$B$17,IF($K1960="Diferenciado",BDI!$E$17,0))</f>
        <v>0.2039</v>
      </c>
      <c r="H1960" s="151" t="str">
        <f t="shared" si="90"/>
        <v/>
      </c>
      <c r="I1960" s="152" t="str">
        <f t="shared" si="91"/>
        <v/>
      </c>
      <c r="J1960" s="154"/>
      <c r="K1960" s="155" t="s">
        <v>2966</v>
      </c>
    </row>
    <row r="1961" spans="1:11" hidden="1" x14ac:dyDescent="0.25">
      <c r="A1961" s="148" t="s">
        <v>5943</v>
      </c>
      <c r="B1961" s="149" t="s">
        <v>5944</v>
      </c>
      <c r="C1961" s="150" t="s">
        <v>18</v>
      </c>
      <c r="D1961" s="150">
        <v>0</v>
      </c>
      <c r="E1961" s="151" t="s">
        <v>13</v>
      </c>
      <c r="F1961" s="152" t="str">
        <f t="shared" si="92"/>
        <v/>
      </c>
      <c r="G1961" s="153">
        <f>IF($K1961="Padrão",BDI!$B$17,IF($K1961="Diferenciado",BDI!$E$17,0))</f>
        <v>0.2039</v>
      </c>
      <c r="H1961" s="151" t="str">
        <f t="shared" si="90"/>
        <v/>
      </c>
      <c r="I1961" s="152" t="str">
        <f t="shared" si="91"/>
        <v/>
      </c>
      <c r="J1961" s="154"/>
      <c r="K1961" s="155" t="s">
        <v>2966</v>
      </c>
    </row>
    <row r="1962" spans="1:11" hidden="1" x14ac:dyDescent="0.25">
      <c r="A1962" s="148" t="s">
        <v>5945</v>
      </c>
      <c r="B1962" s="149" t="s">
        <v>5946</v>
      </c>
      <c r="C1962" s="150" t="s">
        <v>18</v>
      </c>
      <c r="D1962" s="150">
        <v>0</v>
      </c>
      <c r="E1962" s="151" t="s">
        <v>13</v>
      </c>
      <c r="F1962" s="152" t="str">
        <f t="shared" si="92"/>
        <v/>
      </c>
      <c r="G1962" s="153">
        <f>IF($K1962="Padrão",BDI!$B$17,IF($K1962="Diferenciado",BDI!$E$17,0))</f>
        <v>0.2039</v>
      </c>
      <c r="H1962" s="151" t="str">
        <f t="shared" si="90"/>
        <v/>
      </c>
      <c r="I1962" s="152" t="str">
        <f t="shared" si="91"/>
        <v/>
      </c>
      <c r="J1962" s="154"/>
      <c r="K1962" s="155" t="s">
        <v>2966</v>
      </c>
    </row>
    <row r="1963" spans="1:11" hidden="1" x14ac:dyDescent="0.25">
      <c r="A1963" s="148" t="s">
        <v>5947</v>
      </c>
      <c r="B1963" s="149" t="s">
        <v>5948</v>
      </c>
      <c r="C1963" s="150" t="s">
        <v>18</v>
      </c>
      <c r="D1963" s="150">
        <v>0</v>
      </c>
      <c r="E1963" s="151" t="s">
        <v>13</v>
      </c>
      <c r="F1963" s="152" t="str">
        <f t="shared" si="92"/>
        <v/>
      </c>
      <c r="G1963" s="153">
        <f>IF($K1963="Padrão",BDI!$B$17,IF($K1963="Diferenciado",BDI!$E$17,0))</f>
        <v>0.2039</v>
      </c>
      <c r="H1963" s="151" t="str">
        <f t="shared" si="90"/>
        <v/>
      </c>
      <c r="I1963" s="152" t="str">
        <f t="shared" si="91"/>
        <v/>
      </c>
      <c r="J1963" s="154"/>
      <c r="K1963" s="155" t="s">
        <v>2966</v>
      </c>
    </row>
    <row r="1964" spans="1:11" hidden="1" x14ac:dyDescent="0.25">
      <c r="A1964" s="148" t="s">
        <v>5949</v>
      </c>
      <c r="B1964" s="149" t="s">
        <v>5950</v>
      </c>
      <c r="C1964" s="150" t="s">
        <v>18</v>
      </c>
      <c r="D1964" s="150">
        <v>0</v>
      </c>
      <c r="E1964" s="151" t="s">
        <v>13</v>
      </c>
      <c r="F1964" s="152" t="str">
        <f t="shared" si="92"/>
        <v/>
      </c>
      <c r="G1964" s="153">
        <f>IF($K1964="Padrão",BDI!$B$17,IF($K1964="Diferenciado",BDI!$E$17,0))</f>
        <v>0.2039</v>
      </c>
      <c r="H1964" s="151" t="str">
        <f t="shared" si="90"/>
        <v/>
      </c>
      <c r="I1964" s="152" t="str">
        <f t="shared" si="91"/>
        <v/>
      </c>
      <c r="J1964" s="154"/>
      <c r="K1964" s="155" t="s">
        <v>2966</v>
      </c>
    </row>
    <row r="1965" spans="1:11" hidden="1" x14ac:dyDescent="0.25">
      <c r="A1965" s="148" t="s">
        <v>5951</v>
      </c>
      <c r="B1965" s="149" t="s">
        <v>5952</v>
      </c>
      <c r="C1965" s="150" t="s">
        <v>18</v>
      </c>
      <c r="D1965" s="150">
        <v>0</v>
      </c>
      <c r="E1965" s="151" t="s">
        <v>13</v>
      </c>
      <c r="F1965" s="152" t="str">
        <f t="shared" si="92"/>
        <v/>
      </c>
      <c r="G1965" s="153">
        <f>IF($K1965="Padrão",BDI!$B$17,IF($K1965="Diferenciado",BDI!$E$17,0))</f>
        <v>0.2039</v>
      </c>
      <c r="H1965" s="151" t="str">
        <f t="shared" si="90"/>
        <v/>
      </c>
      <c r="I1965" s="152" t="str">
        <f t="shared" si="91"/>
        <v/>
      </c>
      <c r="J1965" s="154"/>
      <c r="K1965" s="155" t="s">
        <v>2966</v>
      </c>
    </row>
    <row r="1966" spans="1:11" hidden="1" x14ac:dyDescent="0.25">
      <c r="A1966" s="148" t="s">
        <v>5953</v>
      </c>
      <c r="B1966" s="149" t="s">
        <v>5954</v>
      </c>
      <c r="C1966" s="150" t="s">
        <v>18</v>
      </c>
      <c r="D1966" s="150">
        <v>0</v>
      </c>
      <c r="E1966" s="151" t="s">
        <v>13</v>
      </c>
      <c r="F1966" s="152" t="str">
        <f t="shared" si="92"/>
        <v/>
      </c>
      <c r="G1966" s="153">
        <f>IF($K1966="Padrão",BDI!$B$17,IF($K1966="Diferenciado",BDI!$E$17,0))</f>
        <v>0.2039</v>
      </c>
      <c r="H1966" s="151" t="str">
        <f t="shared" si="90"/>
        <v/>
      </c>
      <c r="I1966" s="152" t="str">
        <f t="shared" si="91"/>
        <v/>
      </c>
      <c r="J1966" s="154"/>
      <c r="K1966" s="155" t="s">
        <v>2966</v>
      </c>
    </row>
    <row r="1967" spans="1:11" hidden="1" x14ac:dyDescent="0.25">
      <c r="A1967" s="148" t="s">
        <v>5955</v>
      </c>
      <c r="B1967" s="149" t="s">
        <v>5956</v>
      </c>
      <c r="C1967" s="150" t="s">
        <v>18</v>
      </c>
      <c r="D1967" s="150">
        <v>0</v>
      </c>
      <c r="E1967" s="151" t="s">
        <v>13</v>
      </c>
      <c r="F1967" s="152" t="str">
        <f t="shared" si="92"/>
        <v/>
      </c>
      <c r="G1967" s="153">
        <f>IF($K1967="Padrão",BDI!$B$17,IF($K1967="Diferenciado",BDI!$E$17,0))</f>
        <v>0.2039</v>
      </c>
      <c r="H1967" s="151" t="str">
        <f t="shared" si="90"/>
        <v/>
      </c>
      <c r="I1967" s="152" t="str">
        <f t="shared" si="91"/>
        <v/>
      </c>
      <c r="J1967" s="154"/>
      <c r="K1967" s="155" t="s">
        <v>2966</v>
      </c>
    </row>
    <row r="1968" spans="1:11" hidden="1" x14ac:dyDescent="0.25">
      <c r="A1968" s="148" t="s">
        <v>5957</v>
      </c>
      <c r="B1968" s="149" t="s">
        <v>5958</v>
      </c>
      <c r="C1968" s="150" t="s">
        <v>18</v>
      </c>
      <c r="D1968" s="150">
        <v>0</v>
      </c>
      <c r="E1968" s="151" t="s">
        <v>13</v>
      </c>
      <c r="F1968" s="152" t="str">
        <f t="shared" si="92"/>
        <v/>
      </c>
      <c r="G1968" s="153">
        <f>IF($K1968="Padrão",BDI!$B$17,IF($K1968="Diferenciado",BDI!$E$17,0))</f>
        <v>0.2039</v>
      </c>
      <c r="H1968" s="151" t="str">
        <f t="shared" si="90"/>
        <v/>
      </c>
      <c r="I1968" s="152" t="str">
        <f t="shared" si="91"/>
        <v/>
      </c>
      <c r="J1968" s="154"/>
      <c r="K1968" s="155" t="s">
        <v>2966</v>
      </c>
    </row>
    <row r="1969" spans="1:11" hidden="1" x14ac:dyDescent="0.25">
      <c r="A1969" s="148" t="s">
        <v>5959</v>
      </c>
      <c r="B1969" s="149" t="s">
        <v>5960</v>
      </c>
      <c r="C1969" s="150" t="s">
        <v>18</v>
      </c>
      <c r="D1969" s="150">
        <v>0</v>
      </c>
      <c r="E1969" s="151" t="s">
        <v>13</v>
      </c>
      <c r="F1969" s="152" t="str">
        <f t="shared" si="92"/>
        <v/>
      </c>
      <c r="G1969" s="153">
        <f>IF($K1969="Padrão",BDI!$B$17,IF($K1969="Diferenciado",BDI!$E$17,0))</f>
        <v>0.2039</v>
      </c>
      <c r="H1969" s="151" t="str">
        <f t="shared" si="90"/>
        <v/>
      </c>
      <c r="I1969" s="152" t="str">
        <f t="shared" si="91"/>
        <v/>
      </c>
      <c r="J1969" s="154"/>
      <c r="K1969" s="155" t="s">
        <v>2966</v>
      </c>
    </row>
    <row r="1970" spans="1:11" hidden="1" x14ac:dyDescent="0.25">
      <c r="A1970" s="148" t="s">
        <v>5961</v>
      </c>
      <c r="B1970" s="149" t="s">
        <v>5962</v>
      </c>
      <c r="C1970" s="150" t="s">
        <v>18</v>
      </c>
      <c r="D1970" s="150">
        <v>0</v>
      </c>
      <c r="E1970" s="151" t="s">
        <v>13</v>
      </c>
      <c r="F1970" s="152" t="str">
        <f t="shared" si="92"/>
        <v/>
      </c>
      <c r="G1970" s="153">
        <f>IF($K1970="Padrão",BDI!$B$17,IF($K1970="Diferenciado",BDI!$E$17,0))</f>
        <v>0.2039</v>
      </c>
      <c r="H1970" s="151" t="str">
        <f t="shared" si="90"/>
        <v/>
      </c>
      <c r="I1970" s="152" t="str">
        <f t="shared" si="91"/>
        <v/>
      </c>
      <c r="J1970" s="154"/>
      <c r="K1970" s="155" t="s">
        <v>2966</v>
      </c>
    </row>
    <row r="1971" spans="1:11" hidden="1" x14ac:dyDescent="0.25">
      <c r="A1971" s="148" t="s">
        <v>5963</v>
      </c>
      <c r="B1971" s="149" t="s">
        <v>5964</v>
      </c>
      <c r="C1971" s="150" t="s">
        <v>18</v>
      </c>
      <c r="D1971" s="150">
        <v>0</v>
      </c>
      <c r="E1971" s="151" t="s">
        <v>13</v>
      </c>
      <c r="F1971" s="152" t="str">
        <f t="shared" si="92"/>
        <v/>
      </c>
      <c r="G1971" s="153">
        <f>IF($K1971="Padrão",BDI!$B$17,IF($K1971="Diferenciado",BDI!$E$17,0))</f>
        <v>0.2039</v>
      </c>
      <c r="H1971" s="151" t="str">
        <f t="shared" si="90"/>
        <v/>
      </c>
      <c r="I1971" s="152" t="str">
        <f t="shared" si="91"/>
        <v/>
      </c>
      <c r="J1971" s="154"/>
      <c r="K1971" s="155" t="s">
        <v>2966</v>
      </c>
    </row>
    <row r="1972" spans="1:11" hidden="1" x14ac:dyDescent="0.25">
      <c r="A1972" s="148" t="s">
        <v>5965</v>
      </c>
      <c r="B1972" s="149" t="s">
        <v>5966</v>
      </c>
      <c r="C1972" s="150" t="s">
        <v>18</v>
      </c>
      <c r="D1972" s="150">
        <v>0</v>
      </c>
      <c r="E1972" s="151" t="s">
        <v>13</v>
      </c>
      <c r="F1972" s="152" t="str">
        <f t="shared" si="92"/>
        <v/>
      </c>
      <c r="G1972" s="153">
        <f>IF($K1972="Padrão",BDI!$B$17,IF($K1972="Diferenciado",BDI!$E$17,0))</f>
        <v>0.2039</v>
      </c>
      <c r="H1972" s="151" t="str">
        <f t="shared" si="90"/>
        <v/>
      </c>
      <c r="I1972" s="152" t="str">
        <f t="shared" si="91"/>
        <v/>
      </c>
      <c r="J1972" s="154"/>
      <c r="K1972" s="155" t="s">
        <v>2966</v>
      </c>
    </row>
    <row r="1973" spans="1:11" hidden="1" x14ac:dyDescent="0.25">
      <c r="A1973" s="148" t="s">
        <v>5967</v>
      </c>
      <c r="B1973" s="149" t="s">
        <v>5968</v>
      </c>
      <c r="C1973" s="150" t="s">
        <v>18</v>
      </c>
      <c r="D1973" s="150">
        <v>0</v>
      </c>
      <c r="E1973" s="151" t="s">
        <v>13</v>
      </c>
      <c r="F1973" s="152" t="str">
        <f t="shared" si="92"/>
        <v/>
      </c>
      <c r="G1973" s="153">
        <f>IF($K1973="Padrão",BDI!$B$17,IF($K1973="Diferenciado",BDI!$E$17,0))</f>
        <v>0.2039</v>
      </c>
      <c r="H1973" s="151" t="str">
        <f t="shared" si="90"/>
        <v/>
      </c>
      <c r="I1973" s="152" t="str">
        <f t="shared" si="91"/>
        <v/>
      </c>
      <c r="J1973" s="154"/>
      <c r="K1973" s="155" t="s">
        <v>2966</v>
      </c>
    </row>
    <row r="1974" spans="1:11" hidden="1" x14ac:dyDescent="0.25">
      <c r="A1974" s="148" t="s">
        <v>5969</v>
      </c>
      <c r="B1974" s="149" t="s">
        <v>5970</v>
      </c>
      <c r="C1974" s="150" t="s">
        <v>18</v>
      </c>
      <c r="D1974" s="150">
        <v>0</v>
      </c>
      <c r="E1974" s="151" t="s">
        <v>13</v>
      </c>
      <c r="F1974" s="152" t="str">
        <f t="shared" si="92"/>
        <v/>
      </c>
      <c r="G1974" s="153">
        <f>IF($K1974="Padrão",BDI!$B$17,IF($K1974="Diferenciado",BDI!$E$17,0))</f>
        <v>0.2039</v>
      </c>
      <c r="H1974" s="151" t="str">
        <f t="shared" si="90"/>
        <v/>
      </c>
      <c r="I1974" s="152" t="str">
        <f t="shared" si="91"/>
        <v/>
      </c>
      <c r="J1974" s="154"/>
      <c r="K1974" s="155" t="s">
        <v>2966</v>
      </c>
    </row>
    <row r="1975" spans="1:11" hidden="1" x14ac:dyDescent="0.25">
      <c r="A1975" s="148" t="s">
        <v>5971</v>
      </c>
      <c r="B1975" s="149" t="s">
        <v>5972</v>
      </c>
      <c r="C1975" s="150" t="s">
        <v>18</v>
      </c>
      <c r="D1975" s="150">
        <v>0</v>
      </c>
      <c r="E1975" s="151" t="s">
        <v>13</v>
      </c>
      <c r="F1975" s="152" t="str">
        <f t="shared" si="92"/>
        <v/>
      </c>
      <c r="G1975" s="153">
        <f>IF($K1975="Padrão",BDI!$B$17,IF($K1975="Diferenciado",BDI!$E$17,0))</f>
        <v>0.2039</v>
      </c>
      <c r="H1975" s="151" t="str">
        <f t="shared" si="90"/>
        <v/>
      </c>
      <c r="I1975" s="152" t="str">
        <f t="shared" si="91"/>
        <v/>
      </c>
      <c r="J1975" s="154"/>
      <c r="K1975" s="155" t="s">
        <v>2966</v>
      </c>
    </row>
    <row r="1976" spans="1:11" hidden="1" x14ac:dyDescent="0.25">
      <c r="A1976" s="148" t="s">
        <v>5973</v>
      </c>
      <c r="B1976" s="149" t="s">
        <v>5974</v>
      </c>
      <c r="C1976" s="150" t="s">
        <v>18</v>
      </c>
      <c r="D1976" s="150">
        <v>0</v>
      </c>
      <c r="E1976" s="151" t="s">
        <v>13</v>
      </c>
      <c r="F1976" s="152" t="str">
        <f t="shared" si="92"/>
        <v/>
      </c>
      <c r="G1976" s="153">
        <f>IF($K1976="Padrão",BDI!$B$17,IF($K1976="Diferenciado",BDI!$E$17,0))</f>
        <v>0.2039</v>
      </c>
      <c r="H1976" s="151" t="str">
        <f t="shared" si="90"/>
        <v/>
      </c>
      <c r="I1976" s="152" t="str">
        <f t="shared" si="91"/>
        <v/>
      </c>
      <c r="J1976" s="154"/>
      <c r="K1976" s="155" t="s">
        <v>2966</v>
      </c>
    </row>
    <row r="1977" spans="1:11" hidden="1" x14ac:dyDescent="0.25">
      <c r="A1977" s="148" t="s">
        <v>5975</v>
      </c>
      <c r="B1977" s="149" t="s">
        <v>5976</v>
      </c>
      <c r="C1977" s="150" t="s">
        <v>18</v>
      </c>
      <c r="D1977" s="150">
        <v>0</v>
      </c>
      <c r="E1977" s="151" t="s">
        <v>13</v>
      </c>
      <c r="F1977" s="152" t="str">
        <f t="shared" si="92"/>
        <v/>
      </c>
      <c r="G1977" s="153">
        <f>IF($K1977="Padrão",BDI!$B$17,IF($K1977="Diferenciado",BDI!$E$17,0))</f>
        <v>0.2039</v>
      </c>
      <c r="H1977" s="151" t="str">
        <f t="shared" si="90"/>
        <v/>
      </c>
      <c r="I1977" s="152" t="str">
        <f t="shared" si="91"/>
        <v/>
      </c>
      <c r="J1977" s="154"/>
      <c r="K1977" s="155" t="s">
        <v>2966</v>
      </c>
    </row>
    <row r="1978" spans="1:11" hidden="1" x14ac:dyDescent="0.25">
      <c r="A1978" s="148" t="s">
        <v>5977</v>
      </c>
      <c r="B1978" s="149" t="s">
        <v>5978</v>
      </c>
      <c r="C1978" s="150" t="s">
        <v>18</v>
      </c>
      <c r="D1978" s="150">
        <v>0</v>
      </c>
      <c r="E1978" s="151" t="s">
        <v>13</v>
      </c>
      <c r="F1978" s="152" t="str">
        <f t="shared" si="92"/>
        <v/>
      </c>
      <c r="G1978" s="153">
        <f>IF($K1978="Padrão",BDI!$B$17,IF($K1978="Diferenciado",BDI!$E$17,0))</f>
        <v>0.2039</v>
      </c>
      <c r="H1978" s="151" t="str">
        <f t="shared" si="90"/>
        <v/>
      </c>
      <c r="I1978" s="152" t="str">
        <f t="shared" si="91"/>
        <v/>
      </c>
      <c r="J1978" s="154"/>
      <c r="K1978" s="155" t="s">
        <v>2966</v>
      </c>
    </row>
    <row r="1979" spans="1:11" hidden="1" x14ac:dyDescent="0.25">
      <c r="A1979" s="148" t="s">
        <v>5979</v>
      </c>
      <c r="B1979" s="149" t="s">
        <v>5980</v>
      </c>
      <c r="C1979" s="150" t="s">
        <v>18</v>
      </c>
      <c r="D1979" s="150">
        <v>0</v>
      </c>
      <c r="E1979" s="151" t="s">
        <v>13</v>
      </c>
      <c r="F1979" s="152" t="str">
        <f t="shared" si="92"/>
        <v/>
      </c>
      <c r="G1979" s="153">
        <f>IF($K1979="Padrão",BDI!$B$17,IF($K1979="Diferenciado",BDI!$E$17,0))</f>
        <v>0.2039</v>
      </c>
      <c r="H1979" s="151" t="str">
        <f t="shared" si="90"/>
        <v/>
      </c>
      <c r="I1979" s="152" t="str">
        <f t="shared" si="91"/>
        <v/>
      </c>
      <c r="J1979" s="154"/>
      <c r="K1979" s="155" t="s">
        <v>2966</v>
      </c>
    </row>
    <row r="1980" spans="1:11" hidden="1" x14ac:dyDescent="0.25">
      <c r="A1980" s="148" t="s">
        <v>5981</v>
      </c>
      <c r="B1980" s="149" t="s">
        <v>5982</v>
      </c>
      <c r="C1980" s="150" t="s">
        <v>18</v>
      </c>
      <c r="D1980" s="150">
        <v>0</v>
      </c>
      <c r="E1980" s="151" t="s">
        <v>13</v>
      </c>
      <c r="F1980" s="152" t="str">
        <f t="shared" si="92"/>
        <v/>
      </c>
      <c r="G1980" s="153">
        <f>IF($K1980="Padrão",BDI!$B$17,IF($K1980="Diferenciado",BDI!$E$17,0))</f>
        <v>0.2039</v>
      </c>
      <c r="H1980" s="151" t="str">
        <f t="shared" si="90"/>
        <v/>
      </c>
      <c r="I1980" s="152" t="str">
        <f t="shared" si="91"/>
        <v/>
      </c>
      <c r="J1980" s="154"/>
      <c r="K1980" s="155" t="s">
        <v>2966</v>
      </c>
    </row>
    <row r="1981" spans="1:11" hidden="1" x14ac:dyDescent="0.25">
      <c r="A1981" s="148" t="s">
        <v>5983</v>
      </c>
      <c r="B1981" s="149" t="s">
        <v>5984</v>
      </c>
      <c r="C1981" s="150" t="s">
        <v>18</v>
      </c>
      <c r="D1981" s="150">
        <v>0</v>
      </c>
      <c r="E1981" s="151" t="s">
        <v>13</v>
      </c>
      <c r="F1981" s="152" t="str">
        <f t="shared" si="92"/>
        <v/>
      </c>
      <c r="G1981" s="153">
        <f>IF($K1981="Padrão",BDI!$B$17,IF($K1981="Diferenciado",BDI!$E$17,0))</f>
        <v>0.2039</v>
      </c>
      <c r="H1981" s="151" t="str">
        <f t="shared" si="90"/>
        <v/>
      </c>
      <c r="I1981" s="152" t="str">
        <f t="shared" si="91"/>
        <v/>
      </c>
      <c r="J1981" s="154"/>
      <c r="K1981" s="155" t="s">
        <v>2966</v>
      </c>
    </row>
    <row r="1982" spans="1:11" hidden="1" x14ac:dyDescent="0.25">
      <c r="A1982" s="148" t="s">
        <v>5985</v>
      </c>
      <c r="B1982" s="149" t="s">
        <v>5986</v>
      </c>
      <c r="C1982" s="150" t="s">
        <v>18</v>
      </c>
      <c r="D1982" s="150">
        <v>0</v>
      </c>
      <c r="E1982" s="151" t="s">
        <v>13</v>
      </c>
      <c r="F1982" s="152" t="str">
        <f t="shared" si="92"/>
        <v/>
      </c>
      <c r="G1982" s="153">
        <f>IF($K1982="Padrão",BDI!$B$17,IF($K1982="Diferenciado",BDI!$E$17,0))</f>
        <v>0.2039</v>
      </c>
      <c r="H1982" s="151" t="str">
        <f t="shared" si="90"/>
        <v/>
      </c>
      <c r="I1982" s="152" t="str">
        <f t="shared" si="91"/>
        <v/>
      </c>
      <c r="J1982" s="154"/>
      <c r="K1982" s="155" t="s">
        <v>2966</v>
      </c>
    </row>
    <row r="1983" spans="1:11" hidden="1" x14ac:dyDescent="0.25">
      <c r="A1983" s="148" t="s">
        <v>5987</v>
      </c>
      <c r="B1983" s="149" t="s">
        <v>5988</v>
      </c>
      <c r="C1983" s="150" t="s">
        <v>18</v>
      </c>
      <c r="D1983" s="150">
        <v>0</v>
      </c>
      <c r="E1983" s="151" t="s">
        <v>13</v>
      </c>
      <c r="F1983" s="152" t="str">
        <f t="shared" si="92"/>
        <v/>
      </c>
      <c r="G1983" s="153">
        <f>IF($K1983="Padrão",BDI!$B$17,IF($K1983="Diferenciado",BDI!$E$17,0))</f>
        <v>0.2039</v>
      </c>
      <c r="H1983" s="151" t="str">
        <f t="shared" si="90"/>
        <v/>
      </c>
      <c r="I1983" s="152" t="str">
        <f t="shared" si="91"/>
        <v/>
      </c>
      <c r="J1983" s="154"/>
      <c r="K1983" s="155" t="s">
        <v>2966</v>
      </c>
    </row>
    <row r="1984" spans="1:11" hidden="1" x14ac:dyDescent="0.25">
      <c r="A1984" s="148" t="s">
        <v>5989</v>
      </c>
      <c r="B1984" s="149" t="s">
        <v>5990</v>
      </c>
      <c r="C1984" s="150" t="s">
        <v>18</v>
      </c>
      <c r="D1984" s="150">
        <v>0</v>
      </c>
      <c r="E1984" s="151" t="s">
        <v>13</v>
      </c>
      <c r="F1984" s="152" t="str">
        <f t="shared" si="92"/>
        <v/>
      </c>
      <c r="G1984" s="153">
        <f>IF($K1984="Padrão",BDI!$B$17,IF($K1984="Diferenciado",BDI!$E$17,0))</f>
        <v>0.2039</v>
      </c>
      <c r="H1984" s="151" t="str">
        <f t="shared" si="90"/>
        <v/>
      </c>
      <c r="I1984" s="152" t="str">
        <f t="shared" si="91"/>
        <v/>
      </c>
      <c r="J1984" s="154"/>
      <c r="K1984" s="155" t="s">
        <v>2966</v>
      </c>
    </row>
    <row r="1985" spans="1:11" hidden="1" x14ac:dyDescent="0.25">
      <c r="A1985" s="148" t="s">
        <v>5991</v>
      </c>
      <c r="B1985" s="149" t="s">
        <v>5992</v>
      </c>
      <c r="C1985" s="150" t="s">
        <v>18</v>
      </c>
      <c r="D1985" s="150">
        <v>0</v>
      </c>
      <c r="E1985" s="151" t="s">
        <v>13</v>
      </c>
      <c r="F1985" s="152" t="str">
        <f t="shared" si="92"/>
        <v/>
      </c>
      <c r="G1985" s="153">
        <f>IF($K1985="Padrão",BDI!$B$17,IF($K1985="Diferenciado",BDI!$E$17,0))</f>
        <v>0.2039</v>
      </c>
      <c r="H1985" s="151" t="str">
        <f t="shared" si="90"/>
        <v/>
      </c>
      <c r="I1985" s="152" t="str">
        <f t="shared" si="91"/>
        <v/>
      </c>
      <c r="J1985" s="154"/>
      <c r="K1985" s="155" t="s">
        <v>2966</v>
      </c>
    </row>
    <row r="1986" spans="1:11" hidden="1" x14ac:dyDescent="0.25">
      <c r="A1986" s="148" t="s">
        <v>5993</v>
      </c>
      <c r="B1986" s="149" t="s">
        <v>5994</v>
      </c>
      <c r="C1986" s="150" t="s">
        <v>18</v>
      </c>
      <c r="D1986" s="150">
        <v>0</v>
      </c>
      <c r="E1986" s="151" t="s">
        <v>13</v>
      </c>
      <c r="F1986" s="152" t="str">
        <f t="shared" si="92"/>
        <v/>
      </c>
      <c r="G1986" s="153">
        <f>IF($K1986="Padrão",BDI!$B$17,IF($K1986="Diferenciado",BDI!$E$17,0))</f>
        <v>0.2039</v>
      </c>
      <c r="H1986" s="151" t="str">
        <f t="shared" si="90"/>
        <v/>
      </c>
      <c r="I1986" s="152" t="str">
        <f t="shared" si="91"/>
        <v/>
      </c>
      <c r="J1986" s="154"/>
      <c r="K1986" s="155" t="s">
        <v>2966</v>
      </c>
    </row>
    <row r="1987" spans="1:11" hidden="1" x14ac:dyDescent="0.25">
      <c r="A1987" s="148" t="s">
        <v>5995</v>
      </c>
      <c r="B1987" s="149" t="s">
        <v>5996</v>
      </c>
      <c r="C1987" s="150" t="s">
        <v>18</v>
      </c>
      <c r="D1987" s="150">
        <v>0</v>
      </c>
      <c r="E1987" s="151" t="s">
        <v>13</v>
      </c>
      <c r="F1987" s="152" t="str">
        <f t="shared" si="92"/>
        <v/>
      </c>
      <c r="G1987" s="153">
        <f>IF($K1987="Padrão",BDI!$B$17,IF($K1987="Diferenciado",BDI!$E$17,0))</f>
        <v>0.2039</v>
      </c>
      <c r="H1987" s="151" t="str">
        <f t="shared" si="90"/>
        <v/>
      </c>
      <c r="I1987" s="152" t="str">
        <f t="shared" si="91"/>
        <v/>
      </c>
      <c r="J1987" s="154"/>
      <c r="K1987" s="155" t="s">
        <v>2966</v>
      </c>
    </row>
    <row r="1988" spans="1:11" hidden="1" x14ac:dyDescent="0.25">
      <c r="A1988" s="148" t="s">
        <v>5997</v>
      </c>
      <c r="B1988" s="149" t="s">
        <v>5998</v>
      </c>
      <c r="C1988" s="150" t="s">
        <v>18</v>
      </c>
      <c r="D1988" s="150">
        <v>0</v>
      </c>
      <c r="E1988" s="151" t="s">
        <v>13</v>
      </c>
      <c r="F1988" s="152" t="str">
        <f t="shared" si="92"/>
        <v/>
      </c>
      <c r="G1988" s="153">
        <f>IF($K1988="Padrão",BDI!$B$17,IF($K1988="Diferenciado",BDI!$E$17,0))</f>
        <v>0.2039</v>
      </c>
      <c r="H1988" s="151" t="str">
        <f t="shared" si="90"/>
        <v/>
      </c>
      <c r="I1988" s="152" t="str">
        <f t="shared" si="91"/>
        <v/>
      </c>
      <c r="J1988" s="154"/>
      <c r="K1988" s="155" t="s">
        <v>2966</v>
      </c>
    </row>
    <row r="1989" spans="1:11" hidden="1" x14ac:dyDescent="0.25">
      <c r="A1989" s="148" t="s">
        <v>5999</v>
      </c>
      <c r="B1989" s="149" t="s">
        <v>6000</v>
      </c>
      <c r="C1989" s="150" t="s">
        <v>18</v>
      </c>
      <c r="D1989" s="150">
        <v>0</v>
      </c>
      <c r="E1989" s="151" t="s">
        <v>13</v>
      </c>
      <c r="F1989" s="152" t="str">
        <f t="shared" si="92"/>
        <v/>
      </c>
      <c r="G1989" s="153">
        <f>IF($K1989="Padrão",BDI!$B$17,IF($K1989="Diferenciado",BDI!$E$17,0))</f>
        <v>0.2039</v>
      </c>
      <c r="H1989" s="151" t="str">
        <f t="shared" si="90"/>
        <v/>
      </c>
      <c r="I1989" s="152" t="str">
        <f t="shared" si="91"/>
        <v/>
      </c>
      <c r="J1989" s="154"/>
      <c r="K1989" s="155" t="s">
        <v>2966</v>
      </c>
    </row>
    <row r="1990" spans="1:11" hidden="1" x14ac:dyDescent="0.25">
      <c r="A1990" s="148" t="s">
        <v>6001</v>
      </c>
      <c r="B1990" s="149" t="s">
        <v>6002</v>
      </c>
      <c r="C1990" s="150" t="s">
        <v>18</v>
      </c>
      <c r="D1990" s="150">
        <v>0</v>
      </c>
      <c r="E1990" s="151" t="s">
        <v>13</v>
      </c>
      <c r="F1990" s="152" t="str">
        <f t="shared" si="92"/>
        <v/>
      </c>
      <c r="G1990" s="153">
        <f>IF($K1990="Padrão",BDI!$B$17,IF($K1990="Diferenciado",BDI!$E$17,0))</f>
        <v>0.2039</v>
      </c>
      <c r="H1990" s="151" t="str">
        <f t="shared" ref="H1990:H2053" si="93">IF(ISNUMBER(E1990),ROUND(E1990*(1+G1990),2),"")</f>
        <v/>
      </c>
      <c r="I1990" s="152" t="str">
        <f t="shared" ref="I1990:I2053" si="94">IF(ISNUMBER(E1990),ROUND(H1990*D1990,2),"")</f>
        <v/>
      </c>
      <c r="J1990" s="154"/>
      <c r="K1990" s="155" t="s">
        <v>2966</v>
      </c>
    </row>
    <row r="1991" spans="1:11" hidden="1" x14ac:dyDescent="0.25">
      <c r="A1991" s="148" t="s">
        <v>6003</v>
      </c>
      <c r="B1991" s="149" t="s">
        <v>6004</v>
      </c>
      <c r="C1991" s="150" t="s">
        <v>18</v>
      </c>
      <c r="D1991" s="150">
        <v>0</v>
      </c>
      <c r="E1991" s="151" t="s">
        <v>13</v>
      </c>
      <c r="F1991" s="152" t="str">
        <f t="shared" ref="F1991:F2054" si="95">IF(ISNUMBER(E1991),D1991*E1991,"")</f>
        <v/>
      </c>
      <c r="G1991" s="153">
        <f>IF($K1991="Padrão",BDI!$B$17,IF($K1991="Diferenciado",BDI!$E$17,0))</f>
        <v>0.2039</v>
      </c>
      <c r="H1991" s="151" t="str">
        <f t="shared" si="93"/>
        <v/>
      </c>
      <c r="I1991" s="152" t="str">
        <f t="shared" si="94"/>
        <v/>
      </c>
      <c r="J1991" s="154"/>
      <c r="K1991" s="155" t="s">
        <v>2966</v>
      </c>
    </row>
    <row r="1992" spans="1:11" hidden="1" x14ac:dyDescent="0.25">
      <c r="A1992" s="148" t="s">
        <v>6005</v>
      </c>
      <c r="B1992" s="149" t="s">
        <v>6006</v>
      </c>
      <c r="C1992" s="150" t="s">
        <v>18</v>
      </c>
      <c r="D1992" s="150">
        <v>0</v>
      </c>
      <c r="E1992" s="151" t="s">
        <v>13</v>
      </c>
      <c r="F1992" s="152" t="str">
        <f t="shared" si="95"/>
        <v/>
      </c>
      <c r="G1992" s="153">
        <f>IF($K1992="Padrão",BDI!$B$17,IF($K1992="Diferenciado",BDI!$E$17,0))</f>
        <v>0.2039</v>
      </c>
      <c r="H1992" s="151" t="str">
        <f t="shared" si="93"/>
        <v/>
      </c>
      <c r="I1992" s="152" t="str">
        <f t="shared" si="94"/>
        <v/>
      </c>
      <c r="J1992" s="154"/>
      <c r="K1992" s="155" t="s">
        <v>2966</v>
      </c>
    </row>
    <row r="1993" spans="1:11" hidden="1" x14ac:dyDescent="0.25">
      <c r="A1993" s="148" t="s">
        <v>6007</v>
      </c>
      <c r="B1993" s="149" t="s">
        <v>6008</v>
      </c>
      <c r="C1993" s="150" t="s">
        <v>18</v>
      </c>
      <c r="D1993" s="150">
        <v>0</v>
      </c>
      <c r="E1993" s="151" t="s">
        <v>13</v>
      </c>
      <c r="F1993" s="152" t="str">
        <f t="shared" si="95"/>
        <v/>
      </c>
      <c r="G1993" s="153">
        <f>IF($K1993="Padrão",BDI!$B$17,IF($K1993="Diferenciado",BDI!$E$17,0))</f>
        <v>0.2039</v>
      </c>
      <c r="H1993" s="151" t="str">
        <f t="shared" si="93"/>
        <v/>
      </c>
      <c r="I1993" s="152" t="str">
        <f t="shared" si="94"/>
        <v/>
      </c>
      <c r="J1993" s="154"/>
      <c r="K1993" s="155" t="s">
        <v>2966</v>
      </c>
    </row>
    <row r="1994" spans="1:11" hidden="1" x14ac:dyDescent="0.25">
      <c r="A1994" s="148" t="s">
        <v>6009</v>
      </c>
      <c r="B1994" s="149" t="s">
        <v>6010</v>
      </c>
      <c r="C1994" s="150" t="s">
        <v>18</v>
      </c>
      <c r="D1994" s="150">
        <v>0</v>
      </c>
      <c r="E1994" s="151" t="s">
        <v>13</v>
      </c>
      <c r="F1994" s="152" t="str">
        <f t="shared" si="95"/>
        <v/>
      </c>
      <c r="G1994" s="153">
        <f>IF($K1994="Padrão",BDI!$B$17,IF($K1994="Diferenciado",BDI!$E$17,0))</f>
        <v>0.2039</v>
      </c>
      <c r="H1994" s="151" t="str">
        <f t="shared" si="93"/>
        <v/>
      </c>
      <c r="I1994" s="152" t="str">
        <f t="shared" si="94"/>
        <v/>
      </c>
      <c r="J1994" s="154"/>
      <c r="K1994" s="155" t="s">
        <v>2966</v>
      </c>
    </row>
    <row r="1995" spans="1:11" hidden="1" x14ac:dyDescent="0.25">
      <c r="A1995" s="148" t="s">
        <v>6011</v>
      </c>
      <c r="B1995" s="149" t="s">
        <v>6012</v>
      </c>
      <c r="C1995" s="150" t="s">
        <v>18</v>
      </c>
      <c r="D1995" s="150">
        <v>0</v>
      </c>
      <c r="E1995" s="151" t="s">
        <v>13</v>
      </c>
      <c r="F1995" s="152" t="str">
        <f t="shared" si="95"/>
        <v/>
      </c>
      <c r="G1995" s="153">
        <f>IF($K1995="Padrão",BDI!$B$17,IF($K1995="Diferenciado",BDI!$E$17,0))</f>
        <v>0.2039</v>
      </c>
      <c r="H1995" s="151" t="str">
        <f t="shared" si="93"/>
        <v/>
      </c>
      <c r="I1995" s="152" t="str">
        <f t="shared" si="94"/>
        <v/>
      </c>
      <c r="J1995" s="154"/>
      <c r="K1995" s="155" t="s">
        <v>2966</v>
      </c>
    </row>
    <row r="1996" spans="1:11" hidden="1" x14ac:dyDescent="0.25">
      <c r="A1996" s="148" t="s">
        <v>6013</v>
      </c>
      <c r="B1996" s="149" t="s">
        <v>6014</v>
      </c>
      <c r="C1996" s="150" t="s">
        <v>18</v>
      </c>
      <c r="D1996" s="150">
        <v>0</v>
      </c>
      <c r="E1996" s="151" t="s">
        <v>13</v>
      </c>
      <c r="F1996" s="152" t="str">
        <f t="shared" si="95"/>
        <v/>
      </c>
      <c r="G1996" s="153">
        <f>IF($K1996="Padrão",BDI!$B$17,IF($K1996="Diferenciado",BDI!$E$17,0))</f>
        <v>0.2039</v>
      </c>
      <c r="H1996" s="151" t="str">
        <f t="shared" si="93"/>
        <v/>
      </c>
      <c r="I1996" s="152" t="str">
        <f t="shared" si="94"/>
        <v/>
      </c>
      <c r="J1996" s="154"/>
      <c r="K1996" s="155" t="s">
        <v>2966</v>
      </c>
    </row>
    <row r="1997" spans="1:11" hidden="1" x14ac:dyDescent="0.25">
      <c r="A1997" s="148" t="s">
        <v>6015</v>
      </c>
      <c r="B1997" s="149" t="s">
        <v>6016</v>
      </c>
      <c r="C1997" s="150" t="s">
        <v>18</v>
      </c>
      <c r="D1997" s="150">
        <v>0</v>
      </c>
      <c r="E1997" s="151" t="s">
        <v>13</v>
      </c>
      <c r="F1997" s="152" t="str">
        <f t="shared" si="95"/>
        <v/>
      </c>
      <c r="G1997" s="153">
        <f>IF($K1997="Padrão",BDI!$B$17,IF($K1997="Diferenciado",BDI!$E$17,0))</f>
        <v>0.2039</v>
      </c>
      <c r="H1997" s="151" t="str">
        <f t="shared" si="93"/>
        <v/>
      </c>
      <c r="I1997" s="152" t="str">
        <f t="shared" si="94"/>
        <v/>
      </c>
      <c r="J1997" s="154"/>
      <c r="K1997" s="155" t="s">
        <v>2966</v>
      </c>
    </row>
    <row r="1998" spans="1:11" hidden="1" x14ac:dyDescent="0.25">
      <c r="A1998" s="148" t="s">
        <v>6017</v>
      </c>
      <c r="B1998" s="149" t="s">
        <v>6018</v>
      </c>
      <c r="C1998" s="150" t="s">
        <v>18</v>
      </c>
      <c r="D1998" s="150">
        <v>0</v>
      </c>
      <c r="E1998" s="151" t="s">
        <v>13</v>
      </c>
      <c r="F1998" s="152" t="str">
        <f t="shared" si="95"/>
        <v/>
      </c>
      <c r="G1998" s="153">
        <f>IF($K1998="Padrão",BDI!$B$17,IF($K1998="Diferenciado",BDI!$E$17,0))</f>
        <v>0.2039</v>
      </c>
      <c r="H1998" s="151" t="str">
        <f t="shared" si="93"/>
        <v/>
      </c>
      <c r="I1998" s="152" t="str">
        <f t="shared" si="94"/>
        <v/>
      </c>
      <c r="J1998" s="154"/>
      <c r="K1998" s="155" t="s">
        <v>2966</v>
      </c>
    </row>
    <row r="1999" spans="1:11" hidden="1" x14ac:dyDescent="0.25">
      <c r="A1999" s="148" t="s">
        <v>6019</v>
      </c>
      <c r="B1999" s="149" t="s">
        <v>6020</v>
      </c>
      <c r="C1999" s="150" t="s">
        <v>18</v>
      </c>
      <c r="D1999" s="150">
        <v>0</v>
      </c>
      <c r="E1999" s="151" t="s">
        <v>13</v>
      </c>
      <c r="F1999" s="152" t="str">
        <f t="shared" si="95"/>
        <v/>
      </c>
      <c r="G1999" s="153">
        <f>IF($K1999="Padrão",BDI!$B$17,IF($K1999="Diferenciado",BDI!$E$17,0))</f>
        <v>0.2039</v>
      </c>
      <c r="H1999" s="151" t="str">
        <f t="shared" si="93"/>
        <v/>
      </c>
      <c r="I1999" s="152" t="str">
        <f t="shared" si="94"/>
        <v/>
      </c>
      <c r="J1999" s="154"/>
      <c r="K1999" s="155" t="s">
        <v>2966</v>
      </c>
    </row>
    <row r="2000" spans="1:11" hidden="1" x14ac:dyDescent="0.25">
      <c r="A2000" s="148" t="s">
        <v>6021</v>
      </c>
      <c r="B2000" s="149" t="s">
        <v>6022</v>
      </c>
      <c r="C2000" s="150" t="s">
        <v>18</v>
      </c>
      <c r="D2000" s="150">
        <v>0</v>
      </c>
      <c r="E2000" s="151" t="s">
        <v>13</v>
      </c>
      <c r="F2000" s="152" t="str">
        <f t="shared" si="95"/>
        <v/>
      </c>
      <c r="G2000" s="153">
        <f>IF($K2000="Padrão",BDI!$B$17,IF($K2000="Diferenciado",BDI!$E$17,0))</f>
        <v>0.2039</v>
      </c>
      <c r="H2000" s="151" t="str">
        <f t="shared" si="93"/>
        <v/>
      </c>
      <c r="I2000" s="152" t="str">
        <f t="shared" si="94"/>
        <v/>
      </c>
      <c r="J2000" s="154"/>
      <c r="K2000" s="155" t="s">
        <v>2966</v>
      </c>
    </row>
    <row r="2001" spans="1:11" hidden="1" x14ac:dyDescent="0.25">
      <c r="A2001" s="148" t="s">
        <v>6023</v>
      </c>
      <c r="B2001" s="149" t="s">
        <v>6024</v>
      </c>
      <c r="C2001" s="150" t="s">
        <v>18</v>
      </c>
      <c r="D2001" s="150">
        <v>0</v>
      </c>
      <c r="E2001" s="151" t="s">
        <v>13</v>
      </c>
      <c r="F2001" s="152" t="str">
        <f t="shared" si="95"/>
        <v/>
      </c>
      <c r="G2001" s="153">
        <f>IF($K2001="Padrão",BDI!$B$17,IF($K2001="Diferenciado",BDI!$E$17,0))</f>
        <v>0.2039</v>
      </c>
      <c r="H2001" s="151" t="str">
        <f t="shared" si="93"/>
        <v/>
      </c>
      <c r="I2001" s="152" t="str">
        <f t="shared" si="94"/>
        <v/>
      </c>
      <c r="J2001" s="154"/>
      <c r="K2001" s="155" t="s">
        <v>2966</v>
      </c>
    </row>
    <row r="2002" spans="1:11" hidden="1" x14ac:dyDescent="0.25">
      <c r="A2002" s="148" t="s">
        <v>6025</v>
      </c>
      <c r="B2002" s="149" t="s">
        <v>6026</v>
      </c>
      <c r="C2002" s="150" t="s">
        <v>18</v>
      </c>
      <c r="D2002" s="150">
        <v>0</v>
      </c>
      <c r="E2002" s="151" t="s">
        <v>13</v>
      </c>
      <c r="F2002" s="152" t="str">
        <f t="shared" si="95"/>
        <v/>
      </c>
      <c r="G2002" s="153">
        <f>IF($K2002="Padrão",BDI!$B$17,IF($K2002="Diferenciado",BDI!$E$17,0))</f>
        <v>0.2039</v>
      </c>
      <c r="H2002" s="151" t="str">
        <f t="shared" si="93"/>
        <v/>
      </c>
      <c r="I2002" s="152" t="str">
        <f t="shared" si="94"/>
        <v/>
      </c>
      <c r="J2002" s="154"/>
      <c r="K2002" s="155" t="s">
        <v>2966</v>
      </c>
    </row>
    <row r="2003" spans="1:11" hidden="1" x14ac:dyDescent="0.25">
      <c r="A2003" s="148" t="s">
        <v>6027</v>
      </c>
      <c r="B2003" s="149" t="s">
        <v>6028</v>
      </c>
      <c r="C2003" s="150" t="s">
        <v>18</v>
      </c>
      <c r="D2003" s="150">
        <v>0</v>
      </c>
      <c r="E2003" s="151" t="s">
        <v>13</v>
      </c>
      <c r="F2003" s="152" t="str">
        <f t="shared" si="95"/>
        <v/>
      </c>
      <c r="G2003" s="153">
        <f>IF($K2003="Padrão",BDI!$B$17,IF($K2003="Diferenciado",BDI!$E$17,0))</f>
        <v>0.2039</v>
      </c>
      <c r="H2003" s="151" t="str">
        <f t="shared" si="93"/>
        <v/>
      </c>
      <c r="I2003" s="152" t="str">
        <f t="shared" si="94"/>
        <v/>
      </c>
      <c r="J2003" s="154"/>
      <c r="K2003" s="155" t="s">
        <v>2966</v>
      </c>
    </row>
    <row r="2004" spans="1:11" hidden="1" x14ac:dyDescent="0.25">
      <c r="A2004" s="148" t="s">
        <v>6029</v>
      </c>
      <c r="B2004" s="149" t="s">
        <v>6030</v>
      </c>
      <c r="C2004" s="150" t="s">
        <v>18</v>
      </c>
      <c r="D2004" s="150">
        <v>0</v>
      </c>
      <c r="E2004" s="151" t="s">
        <v>13</v>
      </c>
      <c r="F2004" s="152" t="str">
        <f t="shared" si="95"/>
        <v/>
      </c>
      <c r="G2004" s="153">
        <f>IF($K2004="Padrão",BDI!$B$17,IF($K2004="Diferenciado",BDI!$E$17,0))</f>
        <v>0.2039</v>
      </c>
      <c r="H2004" s="151" t="str">
        <f t="shared" si="93"/>
        <v/>
      </c>
      <c r="I2004" s="152" t="str">
        <f t="shared" si="94"/>
        <v/>
      </c>
      <c r="J2004" s="154"/>
      <c r="K2004" s="155" t="s">
        <v>2966</v>
      </c>
    </row>
    <row r="2005" spans="1:11" hidden="1" x14ac:dyDescent="0.25">
      <c r="A2005" s="148" t="s">
        <v>6031</v>
      </c>
      <c r="B2005" s="149" t="s">
        <v>6032</v>
      </c>
      <c r="C2005" s="150" t="s">
        <v>18</v>
      </c>
      <c r="D2005" s="150">
        <v>0</v>
      </c>
      <c r="E2005" s="151" t="s">
        <v>13</v>
      </c>
      <c r="F2005" s="152" t="str">
        <f t="shared" si="95"/>
        <v/>
      </c>
      <c r="G2005" s="153">
        <f>IF($K2005="Padrão",BDI!$B$17,IF($K2005="Diferenciado",BDI!$E$17,0))</f>
        <v>0.2039</v>
      </c>
      <c r="H2005" s="151" t="str">
        <f t="shared" si="93"/>
        <v/>
      </c>
      <c r="I2005" s="152" t="str">
        <f t="shared" si="94"/>
        <v/>
      </c>
      <c r="J2005" s="154"/>
      <c r="K2005" s="155" t="s">
        <v>2966</v>
      </c>
    </row>
    <row r="2006" spans="1:11" hidden="1" x14ac:dyDescent="0.25">
      <c r="A2006" s="148" t="s">
        <v>6033</v>
      </c>
      <c r="B2006" s="149" t="s">
        <v>6034</v>
      </c>
      <c r="C2006" s="150" t="s">
        <v>18</v>
      </c>
      <c r="D2006" s="150">
        <v>0</v>
      </c>
      <c r="E2006" s="151" t="s">
        <v>13</v>
      </c>
      <c r="F2006" s="152" t="str">
        <f t="shared" si="95"/>
        <v/>
      </c>
      <c r="G2006" s="153">
        <f>IF($K2006="Padrão",BDI!$B$17,IF($K2006="Diferenciado",BDI!$E$17,0))</f>
        <v>0.2039</v>
      </c>
      <c r="H2006" s="151" t="str">
        <f t="shared" si="93"/>
        <v/>
      </c>
      <c r="I2006" s="152" t="str">
        <f t="shared" si="94"/>
        <v/>
      </c>
      <c r="J2006" s="154"/>
      <c r="K2006" s="155" t="s">
        <v>2966</v>
      </c>
    </row>
    <row r="2007" spans="1:11" hidden="1" x14ac:dyDescent="0.25">
      <c r="A2007" s="148" t="s">
        <v>6035</v>
      </c>
      <c r="B2007" s="149" t="s">
        <v>6036</v>
      </c>
      <c r="C2007" s="150" t="s">
        <v>18</v>
      </c>
      <c r="D2007" s="150">
        <v>0</v>
      </c>
      <c r="E2007" s="151" t="s">
        <v>13</v>
      </c>
      <c r="F2007" s="152" t="str">
        <f t="shared" si="95"/>
        <v/>
      </c>
      <c r="G2007" s="153">
        <f>IF($K2007="Padrão",BDI!$B$17,IF($K2007="Diferenciado",BDI!$E$17,0))</f>
        <v>0.2039</v>
      </c>
      <c r="H2007" s="151" t="str">
        <f t="shared" si="93"/>
        <v/>
      </c>
      <c r="I2007" s="152" t="str">
        <f t="shared" si="94"/>
        <v/>
      </c>
      <c r="J2007" s="154"/>
      <c r="K2007" s="155" t="s">
        <v>2966</v>
      </c>
    </row>
    <row r="2008" spans="1:11" hidden="1" x14ac:dyDescent="0.25">
      <c r="A2008" s="148" t="s">
        <v>6037</v>
      </c>
      <c r="B2008" s="149" t="s">
        <v>6038</v>
      </c>
      <c r="C2008" s="150" t="s">
        <v>18</v>
      </c>
      <c r="D2008" s="150">
        <v>0</v>
      </c>
      <c r="E2008" s="151" t="s">
        <v>13</v>
      </c>
      <c r="F2008" s="152" t="str">
        <f t="shared" si="95"/>
        <v/>
      </c>
      <c r="G2008" s="153">
        <f>IF($K2008="Padrão",BDI!$B$17,IF($K2008="Diferenciado",BDI!$E$17,0))</f>
        <v>0.2039</v>
      </c>
      <c r="H2008" s="151" t="str">
        <f t="shared" si="93"/>
        <v/>
      </c>
      <c r="I2008" s="152" t="str">
        <f t="shared" si="94"/>
        <v/>
      </c>
      <c r="J2008" s="154"/>
      <c r="K2008" s="155" t="s">
        <v>2966</v>
      </c>
    </row>
    <row r="2009" spans="1:11" hidden="1" x14ac:dyDescent="0.25">
      <c r="A2009" s="148" t="s">
        <v>6039</v>
      </c>
      <c r="B2009" s="149" t="s">
        <v>6040</v>
      </c>
      <c r="C2009" s="150" t="s">
        <v>18</v>
      </c>
      <c r="D2009" s="150">
        <v>0</v>
      </c>
      <c r="E2009" s="151" t="s">
        <v>13</v>
      </c>
      <c r="F2009" s="152" t="str">
        <f t="shared" si="95"/>
        <v/>
      </c>
      <c r="G2009" s="153">
        <f>IF($K2009="Padrão",BDI!$B$17,IF($K2009="Diferenciado",BDI!$E$17,0))</f>
        <v>0.2039</v>
      </c>
      <c r="H2009" s="151" t="str">
        <f t="shared" si="93"/>
        <v/>
      </c>
      <c r="I2009" s="152" t="str">
        <f t="shared" si="94"/>
        <v/>
      </c>
      <c r="J2009" s="154"/>
      <c r="K2009" s="155" t="s">
        <v>2966</v>
      </c>
    </row>
    <row r="2010" spans="1:11" hidden="1" x14ac:dyDescent="0.25">
      <c r="A2010" s="148" t="s">
        <v>6041</v>
      </c>
      <c r="B2010" s="149" t="s">
        <v>6042</v>
      </c>
      <c r="C2010" s="150" t="s">
        <v>18</v>
      </c>
      <c r="D2010" s="150">
        <v>0</v>
      </c>
      <c r="E2010" s="151" t="s">
        <v>13</v>
      </c>
      <c r="F2010" s="152" t="str">
        <f t="shared" si="95"/>
        <v/>
      </c>
      <c r="G2010" s="153">
        <f>IF($K2010="Padrão",BDI!$B$17,IF($K2010="Diferenciado",BDI!$E$17,0))</f>
        <v>0.2039</v>
      </c>
      <c r="H2010" s="151" t="str">
        <f t="shared" si="93"/>
        <v/>
      </c>
      <c r="I2010" s="152" t="str">
        <f t="shared" si="94"/>
        <v/>
      </c>
      <c r="J2010" s="154"/>
      <c r="K2010" s="155" t="s">
        <v>2966</v>
      </c>
    </row>
    <row r="2011" spans="1:11" hidden="1" x14ac:dyDescent="0.25">
      <c r="A2011" s="148" t="s">
        <v>6043</v>
      </c>
      <c r="B2011" s="149" t="s">
        <v>6044</v>
      </c>
      <c r="C2011" s="150" t="s">
        <v>18</v>
      </c>
      <c r="D2011" s="150">
        <v>0</v>
      </c>
      <c r="E2011" s="151" t="s">
        <v>13</v>
      </c>
      <c r="F2011" s="152" t="str">
        <f t="shared" si="95"/>
        <v/>
      </c>
      <c r="G2011" s="153">
        <f>IF($K2011="Padrão",BDI!$B$17,IF($K2011="Diferenciado",BDI!$E$17,0))</f>
        <v>0.2039</v>
      </c>
      <c r="H2011" s="151" t="str">
        <f t="shared" si="93"/>
        <v/>
      </c>
      <c r="I2011" s="152" t="str">
        <f t="shared" si="94"/>
        <v/>
      </c>
      <c r="J2011" s="154"/>
      <c r="K2011" s="155" t="s">
        <v>2966</v>
      </c>
    </row>
    <row r="2012" spans="1:11" hidden="1" x14ac:dyDescent="0.25">
      <c r="A2012" s="148" t="s">
        <v>6045</v>
      </c>
      <c r="B2012" s="149" t="s">
        <v>6046</v>
      </c>
      <c r="C2012" s="150" t="s">
        <v>18</v>
      </c>
      <c r="D2012" s="150">
        <v>0</v>
      </c>
      <c r="E2012" s="151" t="s">
        <v>13</v>
      </c>
      <c r="F2012" s="152" t="str">
        <f t="shared" si="95"/>
        <v/>
      </c>
      <c r="G2012" s="153">
        <f>IF($K2012="Padrão",BDI!$B$17,IF($K2012="Diferenciado",BDI!$E$17,0))</f>
        <v>0.2039</v>
      </c>
      <c r="H2012" s="151" t="str">
        <f t="shared" si="93"/>
        <v/>
      </c>
      <c r="I2012" s="152" t="str">
        <f t="shared" si="94"/>
        <v/>
      </c>
      <c r="J2012" s="154"/>
      <c r="K2012" s="155" t="s">
        <v>2966</v>
      </c>
    </row>
    <row r="2013" spans="1:11" hidden="1" x14ac:dyDescent="0.25">
      <c r="A2013" s="148" t="s">
        <v>6047</v>
      </c>
      <c r="B2013" s="149" t="s">
        <v>6048</v>
      </c>
      <c r="C2013" s="150" t="s">
        <v>18</v>
      </c>
      <c r="D2013" s="150">
        <v>0</v>
      </c>
      <c r="E2013" s="151" t="s">
        <v>13</v>
      </c>
      <c r="F2013" s="152" t="str">
        <f t="shared" si="95"/>
        <v/>
      </c>
      <c r="G2013" s="153">
        <f>IF($K2013="Padrão",BDI!$B$17,IF($K2013="Diferenciado",BDI!$E$17,0))</f>
        <v>0.2039</v>
      </c>
      <c r="H2013" s="151" t="str">
        <f t="shared" si="93"/>
        <v/>
      </c>
      <c r="I2013" s="152" t="str">
        <f t="shared" si="94"/>
        <v/>
      </c>
      <c r="J2013" s="154"/>
      <c r="K2013" s="155" t="s">
        <v>2966</v>
      </c>
    </row>
    <row r="2014" spans="1:11" hidden="1" x14ac:dyDescent="0.25">
      <c r="A2014" s="148" t="s">
        <v>6049</v>
      </c>
      <c r="B2014" s="149" t="s">
        <v>6050</v>
      </c>
      <c r="C2014" s="150" t="s">
        <v>18</v>
      </c>
      <c r="D2014" s="150">
        <v>0</v>
      </c>
      <c r="E2014" s="151" t="s">
        <v>13</v>
      </c>
      <c r="F2014" s="152" t="str">
        <f t="shared" si="95"/>
        <v/>
      </c>
      <c r="G2014" s="153">
        <f>IF($K2014="Padrão",BDI!$B$17,IF($K2014="Diferenciado",BDI!$E$17,0))</f>
        <v>0.2039</v>
      </c>
      <c r="H2014" s="151" t="str">
        <f t="shared" si="93"/>
        <v/>
      </c>
      <c r="I2014" s="152" t="str">
        <f t="shared" si="94"/>
        <v/>
      </c>
      <c r="J2014" s="154"/>
      <c r="K2014" s="155" t="s">
        <v>2966</v>
      </c>
    </row>
    <row r="2015" spans="1:11" hidden="1" x14ac:dyDescent="0.25">
      <c r="A2015" s="148" t="s">
        <v>6051</v>
      </c>
      <c r="B2015" s="149" t="s">
        <v>6052</v>
      </c>
      <c r="C2015" s="150" t="s">
        <v>18</v>
      </c>
      <c r="D2015" s="150">
        <v>0</v>
      </c>
      <c r="E2015" s="151" t="s">
        <v>13</v>
      </c>
      <c r="F2015" s="152" t="str">
        <f t="shared" si="95"/>
        <v/>
      </c>
      <c r="G2015" s="153">
        <f>IF($K2015="Padrão",BDI!$B$17,IF($K2015="Diferenciado",BDI!$E$17,0))</f>
        <v>0.2039</v>
      </c>
      <c r="H2015" s="151" t="str">
        <f t="shared" si="93"/>
        <v/>
      </c>
      <c r="I2015" s="152" t="str">
        <f t="shared" si="94"/>
        <v/>
      </c>
      <c r="J2015" s="154"/>
      <c r="K2015" s="155" t="s">
        <v>2966</v>
      </c>
    </row>
    <row r="2016" spans="1:11" hidden="1" x14ac:dyDescent="0.25">
      <c r="A2016" s="148" t="s">
        <v>6053</v>
      </c>
      <c r="B2016" s="149" t="s">
        <v>6054</v>
      </c>
      <c r="C2016" s="150" t="s">
        <v>18</v>
      </c>
      <c r="D2016" s="150">
        <v>0</v>
      </c>
      <c r="E2016" s="151" t="s">
        <v>13</v>
      </c>
      <c r="F2016" s="152" t="str">
        <f t="shared" si="95"/>
        <v/>
      </c>
      <c r="G2016" s="153">
        <f>IF($K2016="Padrão",BDI!$B$17,IF($K2016="Diferenciado",BDI!$E$17,0))</f>
        <v>0.2039</v>
      </c>
      <c r="H2016" s="151" t="str">
        <f t="shared" si="93"/>
        <v/>
      </c>
      <c r="I2016" s="152" t="str">
        <f t="shared" si="94"/>
        <v/>
      </c>
      <c r="J2016" s="154"/>
      <c r="K2016" s="155" t="s">
        <v>2966</v>
      </c>
    </row>
    <row r="2017" spans="1:11" hidden="1" x14ac:dyDescent="0.25">
      <c r="A2017" s="148" t="s">
        <v>6055</v>
      </c>
      <c r="B2017" s="149" t="s">
        <v>6056</v>
      </c>
      <c r="C2017" s="150" t="s">
        <v>18</v>
      </c>
      <c r="D2017" s="150">
        <v>0</v>
      </c>
      <c r="E2017" s="151" t="s">
        <v>13</v>
      </c>
      <c r="F2017" s="152" t="str">
        <f t="shared" si="95"/>
        <v/>
      </c>
      <c r="G2017" s="153">
        <f>IF($K2017="Padrão",BDI!$B$17,IF($K2017="Diferenciado",BDI!$E$17,0))</f>
        <v>0.2039</v>
      </c>
      <c r="H2017" s="151" t="str">
        <f t="shared" si="93"/>
        <v/>
      </c>
      <c r="I2017" s="152" t="str">
        <f t="shared" si="94"/>
        <v/>
      </c>
      <c r="J2017" s="154"/>
      <c r="K2017" s="155" t="s">
        <v>2966</v>
      </c>
    </row>
    <row r="2018" spans="1:11" hidden="1" x14ac:dyDescent="0.25">
      <c r="A2018" s="148" t="s">
        <v>6057</v>
      </c>
      <c r="B2018" s="149" t="s">
        <v>6058</v>
      </c>
      <c r="C2018" s="150" t="s">
        <v>18</v>
      </c>
      <c r="D2018" s="150">
        <v>0</v>
      </c>
      <c r="E2018" s="151" t="s">
        <v>13</v>
      </c>
      <c r="F2018" s="152" t="str">
        <f t="shared" si="95"/>
        <v/>
      </c>
      <c r="G2018" s="153">
        <f>IF($K2018="Padrão",BDI!$B$17,IF($K2018="Diferenciado",BDI!$E$17,0))</f>
        <v>0.2039</v>
      </c>
      <c r="H2018" s="151" t="str">
        <f t="shared" si="93"/>
        <v/>
      </c>
      <c r="I2018" s="152" t="str">
        <f t="shared" si="94"/>
        <v/>
      </c>
      <c r="J2018" s="154"/>
      <c r="K2018" s="155" t="s">
        <v>2966</v>
      </c>
    </row>
    <row r="2019" spans="1:11" hidden="1" x14ac:dyDescent="0.25">
      <c r="A2019" s="148" t="s">
        <v>6059</v>
      </c>
      <c r="B2019" s="149" t="s">
        <v>6060</v>
      </c>
      <c r="C2019" s="150" t="s">
        <v>18</v>
      </c>
      <c r="D2019" s="150">
        <v>0</v>
      </c>
      <c r="E2019" s="151" t="s">
        <v>13</v>
      </c>
      <c r="F2019" s="152" t="str">
        <f t="shared" si="95"/>
        <v/>
      </c>
      <c r="G2019" s="153">
        <f>IF($K2019="Padrão",BDI!$B$17,IF($K2019="Diferenciado",BDI!$E$17,0))</f>
        <v>0.2039</v>
      </c>
      <c r="H2019" s="151" t="str">
        <f t="shared" si="93"/>
        <v/>
      </c>
      <c r="I2019" s="152" t="str">
        <f t="shared" si="94"/>
        <v/>
      </c>
      <c r="J2019" s="154"/>
      <c r="K2019" s="155" t="s">
        <v>2966</v>
      </c>
    </row>
    <row r="2020" spans="1:11" hidden="1" x14ac:dyDescent="0.25">
      <c r="A2020" s="148" t="s">
        <v>6061</v>
      </c>
      <c r="B2020" s="149" t="s">
        <v>6062</v>
      </c>
      <c r="C2020" s="150" t="s">
        <v>18</v>
      </c>
      <c r="D2020" s="150">
        <v>0</v>
      </c>
      <c r="E2020" s="151" t="s">
        <v>13</v>
      </c>
      <c r="F2020" s="152" t="str">
        <f t="shared" si="95"/>
        <v/>
      </c>
      <c r="G2020" s="153">
        <f>IF($K2020="Padrão",BDI!$B$17,IF($K2020="Diferenciado",BDI!$E$17,0))</f>
        <v>0.2039</v>
      </c>
      <c r="H2020" s="151" t="str">
        <f t="shared" si="93"/>
        <v/>
      </c>
      <c r="I2020" s="152" t="str">
        <f t="shared" si="94"/>
        <v/>
      </c>
      <c r="J2020" s="154"/>
      <c r="K2020" s="155" t="s">
        <v>2966</v>
      </c>
    </row>
    <row r="2021" spans="1:11" hidden="1" x14ac:dyDescent="0.25">
      <c r="A2021" s="148" t="s">
        <v>6063</v>
      </c>
      <c r="B2021" s="149" t="s">
        <v>6064</v>
      </c>
      <c r="C2021" s="150" t="s">
        <v>18</v>
      </c>
      <c r="D2021" s="150">
        <v>0</v>
      </c>
      <c r="E2021" s="151" t="s">
        <v>13</v>
      </c>
      <c r="F2021" s="152" t="str">
        <f t="shared" si="95"/>
        <v/>
      </c>
      <c r="G2021" s="153">
        <f>IF($K2021="Padrão",BDI!$B$17,IF($K2021="Diferenciado",BDI!$E$17,0))</f>
        <v>0.2039</v>
      </c>
      <c r="H2021" s="151" t="str">
        <f t="shared" si="93"/>
        <v/>
      </c>
      <c r="I2021" s="152" t="str">
        <f t="shared" si="94"/>
        <v/>
      </c>
      <c r="J2021" s="154"/>
      <c r="K2021" s="155" t="s">
        <v>2966</v>
      </c>
    </row>
    <row r="2022" spans="1:11" hidden="1" x14ac:dyDescent="0.25">
      <c r="A2022" s="148" t="s">
        <v>6065</v>
      </c>
      <c r="B2022" s="149" t="s">
        <v>6066</v>
      </c>
      <c r="C2022" s="150" t="s">
        <v>18</v>
      </c>
      <c r="D2022" s="150">
        <v>0</v>
      </c>
      <c r="E2022" s="151" t="s">
        <v>13</v>
      </c>
      <c r="F2022" s="152" t="str">
        <f t="shared" si="95"/>
        <v/>
      </c>
      <c r="G2022" s="153">
        <f>IF($K2022="Padrão",BDI!$B$17,IF($K2022="Diferenciado",BDI!$E$17,0))</f>
        <v>0.2039</v>
      </c>
      <c r="H2022" s="151" t="str">
        <f t="shared" si="93"/>
        <v/>
      </c>
      <c r="I2022" s="152" t="str">
        <f t="shared" si="94"/>
        <v/>
      </c>
      <c r="J2022" s="154"/>
      <c r="K2022" s="155" t="s">
        <v>2966</v>
      </c>
    </row>
    <row r="2023" spans="1:11" hidden="1" x14ac:dyDescent="0.25">
      <c r="A2023" s="148" t="s">
        <v>6067</v>
      </c>
      <c r="B2023" s="149" t="s">
        <v>6068</v>
      </c>
      <c r="C2023" s="150" t="s">
        <v>18</v>
      </c>
      <c r="D2023" s="150">
        <v>0</v>
      </c>
      <c r="E2023" s="151" t="s">
        <v>13</v>
      </c>
      <c r="F2023" s="152" t="str">
        <f t="shared" si="95"/>
        <v/>
      </c>
      <c r="G2023" s="153">
        <f>IF($K2023="Padrão",BDI!$B$17,IF($K2023="Diferenciado",BDI!$E$17,0))</f>
        <v>0.2039</v>
      </c>
      <c r="H2023" s="151" t="str">
        <f t="shared" si="93"/>
        <v/>
      </c>
      <c r="I2023" s="152" t="str">
        <f t="shared" si="94"/>
        <v/>
      </c>
      <c r="J2023" s="154"/>
      <c r="K2023" s="155" t="s">
        <v>2966</v>
      </c>
    </row>
    <row r="2024" spans="1:11" hidden="1" x14ac:dyDescent="0.25">
      <c r="A2024" s="148" t="s">
        <v>6069</v>
      </c>
      <c r="B2024" s="149" t="s">
        <v>6070</v>
      </c>
      <c r="C2024" s="150" t="s">
        <v>18</v>
      </c>
      <c r="D2024" s="150">
        <v>0</v>
      </c>
      <c r="E2024" s="151" t="s">
        <v>13</v>
      </c>
      <c r="F2024" s="152" t="str">
        <f t="shared" si="95"/>
        <v/>
      </c>
      <c r="G2024" s="153">
        <f>IF($K2024="Padrão",BDI!$B$17,IF($K2024="Diferenciado",BDI!$E$17,0))</f>
        <v>0.2039</v>
      </c>
      <c r="H2024" s="151" t="str">
        <f t="shared" si="93"/>
        <v/>
      </c>
      <c r="I2024" s="152" t="str">
        <f t="shared" si="94"/>
        <v/>
      </c>
      <c r="J2024" s="154"/>
      <c r="K2024" s="155" t="s">
        <v>2966</v>
      </c>
    </row>
    <row r="2025" spans="1:11" hidden="1" x14ac:dyDescent="0.25">
      <c r="A2025" s="148" t="s">
        <v>6071</v>
      </c>
      <c r="B2025" s="149" t="s">
        <v>6072</v>
      </c>
      <c r="C2025" s="150" t="s">
        <v>18</v>
      </c>
      <c r="D2025" s="150">
        <v>0</v>
      </c>
      <c r="E2025" s="151" t="s">
        <v>13</v>
      </c>
      <c r="F2025" s="152" t="str">
        <f t="shared" si="95"/>
        <v/>
      </c>
      <c r="G2025" s="153">
        <f>IF($K2025="Padrão",BDI!$B$17,IF($K2025="Diferenciado",BDI!$E$17,0))</f>
        <v>0.2039</v>
      </c>
      <c r="H2025" s="151" t="str">
        <f t="shared" si="93"/>
        <v/>
      </c>
      <c r="I2025" s="152" t="str">
        <f t="shared" si="94"/>
        <v/>
      </c>
      <c r="J2025" s="154"/>
      <c r="K2025" s="155" t="s">
        <v>2966</v>
      </c>
    </row>
    <row r="2026" spans="1:11" hidden="1" x14ac:dyDescent="0.25">
      <c r="A2026" s="148" t="s">
        <v>6073</v>
      </c>
      <c r="B2026" s="149" t="s">
        <v>6074</v>
      </c>
      <c r="C2026" s="150" t="s">
        <v>18</v>
      </c>
      <c r="D2026" s="150">
        <v>0</v>
      </c>
      <c r="E2026" s="151" t="s">
        <v>13</v>
      </c>
      <c r="F2026" s="152" t="str">
        <f t="shared" si="95"/>
        <v/>
      </c>
      <c r="G2026" s="153">
        <f>IF($K2026="Padrão",BDI!$B$17,IF($K2026="Diferenciado",BDI!$E$17,0))</f>
        <v>0.2039</v>
      </c>
      <c r="H2026" s="151" t="str">
        <f t="shared" si="93"/>
        <v/>
      </c>
      <c r="I2026" s="152" t="str">
        <f t="shared" si="94"/>
        <v/>
      </c>
      <c r="J2026" s="154"/>
      <c r="K2026" s="155" t="s">
        <v>2966</v>
      </c>
    </row>
    <row r="2027" spans="1:11" hidden="1" x14ac:dyDescent="0.25">
      <c r="A2027" s="148" t="s">
        <v>6075</v>
      </c>
      <c r="B2027" s="149" t="s">
        <v>6076</v>
      </c>
      <c r="C2027" s="150" t="s">
        <v>18</v>
      </c>
      <c r="D2027" s="150">
        <v>0</v>
      </c>
      <c r="E2027" s="151" t="s">
        <v>13</v>
      </c>
      <c r="F2027" s="152" t="str">
        <f t="shared" si="95"/>
        <v/>
      </c>
      <c r="G2027" s="153">
        <f>IF($K2027="Padrão",BDI!$B$17,IF($K2027="Diferenciado",BDI!$E$17,0))</f>
        <v>0.2039</v>
      </c>
      <c r="H2027" s="151" t="str">
        <f t="shared" si="93"/>
        <v/>
      </c>
      <c r="I2027" s="152" t="str">
        <f t="shared" si="94"/>
        <v/>
      </c>
      <c r="J2027" s="154"/>
      <c r="K2027" s="155" t="s">
        <v>2966</v>
      </c>
    </row>
    <row r="2028" spans="1:11" hidden="1" x14ac:dyDescent="0.25">
      <c r="A2028" s="148" t="s">
        <v>6077</v>
      </c>
      <c r="B2028" s="149" t="s">
        <v>6078</v>
      </c>
      <c r="C2028" s="150" t="s">
        <v>18</v>
      </c>
      <c r="D2028" s="150">
        <v>0</v>
      </c>
      <c r="E2028" s="151" t="s">
        <v>13</v>
      </c>
      <c r="F2028" s="152" t="str">
        <f t="shared" si="95"/>
        <v/>
      </c>
      <c r="G2028" s="153">
        <f>IF($K2028="Padrão",BDI!$B$17,IF($K2028="Diferenciado",BDI!$E$17,0))</f>
        <v>0.2039</v>
      </c>
      <c r="H2028" s="151" t="str">
        <f t="shared" si="93"/>
        <v/>
      </c>
      <c r="I2028" s="152" t="str">
        <f t="shared" si="94"/>
        <v/>
      </c>
      <c r="J2028" s="154"/>
      <c r="K2028" s="155" t="s">
        <v>2966</v>
      </c>
    </row>
    <row r="2029" spans="1:11" hidden="1" x14ac:dyDescent="0.25">
      <c r="A2029" s="148" t="s">
        <v>6079</v>
      </c>
      <c r="B2029" s="149" t="s">
        <v>6080</v>
      </c>
      <c r="C2029" s="150" t="s">
        <v>18</v>
      </c>
      <c r="D2029" s="150">
        <v>0</v>
      </c>
      <c r="E2029" s="151" t="s">
        <v>13</v>
      </c>
      <c r="F2029" s="152" t="str">
        <f t="shared" si="95"/>
        <v/>
      </c>
      <c r="G2029" s="153">
        <f>IF($K2029="Padrão",BDI!$B$17,IF($K2029="Diferenciado",BDI!$E$17,0))</f>
        <v>0.2039</v>
      </c>
      <c r="H2029" s="151" t="str">
        <f t="shared" si="93"/>
        <v/>
      </c>
      <c r="I2029" s="152" t="str">
        <f t="shared" si="94"/>
        <v/>
      </c>
      <c r="J2029" s="154"/>
      <c r="K2029" s="155" t="s">
        <v>2966</v>
      </c>
    </row>
    <row r="2030" spans="1:11" hidden="1" x14ac:dyDescent="0.25">
      <c r="A2030" s="148" t="s">
        <v>6081</v>
      </c>
      <c r="B2030" s="149" t="s">
        <v>6082</v>
      </c>
      <c r="C2030" s="150" t="s">
        <v>18</v>
      </c>
      <c r="D2030" s="150">
        <v>0</v>
      </c>
      <c r="E2030" s="151" t="s">
        <v>13</v>
      </c>
      <c r="F2030" s="152" t="str">
        <f t="shared" si="95"/>
        <v/>
      </c>
      <c r="G2030" s="153">
        <f>IF($K2030="Padrão",BDI!$B$17,IF($K2030="Diferenciado",BDI!$E$17,0))</f>
        <v>0.2039</v>
      </c>
      <c r="H2030" s="151" t="str">
        <f t="shared" si="93"/>
        <v/>
      </c>
      <c r="I2030" s="152" t="str">
        <f t="shared" si="94"/>
        <v/>
      </c>
      <c r="J2030" s="154"/>
      <c r="K2030" s="155" t="s">
        <v>2966</v>
      </c>
    </row>
    <row r="2031" spans="1:11" hidden="1" x14ac:dyDescent="0.25">
      <c r="A2031" s="148" t="s">
        <v>6083</v>
      </c>
      <c r="B2031" s="149" t="s">
        <v>6084</v>
      </c>
      <c r="C2031" s="150" t="s">
        <v>18</v>
      </c>
      <c r="D2031" s="150">
        <v>0</v>
      </c>
      <c r="E2031" s="151" t="s">
        <v>13</v>
      </c>
      <c r="F2031" s="152" t="str">
        <f t="shared" si="95"/>
        <v/>
      </c>
      <c r="G2031" s="153">
        <f>IF($K2031="Padrão",BDI!$B$17,IF($K2031="Diferenciado",BDI!$E$17,0))</f>
        <v>0.2039</v>
      </c>
      <c r="H2031" s="151" t="str">
        <f t="shared" si="93"/>
        <v/>
      </c>
      <c r="I2031" s="152" t="str">
        <f t="shared" si="94"/>
        <v/>
      </c>
      <c r="J2031" s="154"/>
      <c r="K2031" s="155" t="s">
        <v>2966</v>
      </c>
    </row>
    <row r="2032" spans="1:11" hidden="1" x14ac:dyDescent="0.25">
      <c r="A2032" s="148" t="s">
        <v>6085</v>
      </c>
      <c r="B2032" s="149" t="s">
        <v>6086</v>
      </c>
      <c r="C2032" s="150" t="s">
        <v>18</v>
      </c>
      <c r="D2032" s="150">
        <v>0</v>
      </c>
      <c r="E2032" s="151" t="s">
        <v>13</v>
      </c>
      <c r="F2032" s="152" t="str">
        <f t="shared" si="95"/>
        <v/>
      </c>
      <c r="G2032" s="153">
        <f>IF($K2032="Padrão",BDI!$B$17,IF($K2032="Diferenciado",BDI!$E$17,0))</f>
        <v>0.2039</v>
      </c>
      <c r="H2032" s="151" t="str">
        <f t="shared" si="93"/>
        <v/>
      </c>
      <c r="I2032" s="152" t="str">
        <f t="shared" si="94"/>
        <v/>
      </c>
      <c r="J2032" s="154"/>
      <c r="K2032" s="155" t="s">
        <v>2966</v>
      </c>
    </row>
    <row r="2033" spans="1:11" hidden="1" x14ac:dyDescent="0.25">
      <c r="A2033" s="148" t="s">
        <v>6087</v>
      </c>
      <c r="B2033" s="149" t="s">
        <v>6088</v>
      </c>
      <c r="C2033" s="150" t="s">
        <v>18</v>
      </c>
      <c r="D2033" s="150">
        <v>0</v>
      </c>
      <c r="E2033" s="151" t="s">
        <v>13</v>
      </c>
      <c r="F2033" s="152" t="str">
        <f t="shared" si="95"/>
        <v/>
      </c>
      <c r="G2033" s="153">
        <f>IF($K2033="Padrão",BDI!$B$17,IF($K2033="Diferenciado",BDI!$E$17,0))</f>
        <v>0.2039</v>
      </c>
      <c r="H2033" s="151" t="str">
        <f t="shared" si="93"/>
        <v/>
      </c>
      <c r="I2033" s="152" t="str">
        <f t="shared" si="94"/>
        <v/>
      </c>
      <c r="J2033" s="154"/>
      <c r="K2033" s="155" t="s">
        <v>2966</v>
      </c>
    </row>
    <row r="2034" spans="1:11" hidden="1" x14ac:dyDescent="0.25">
      <c r="A2034" s="148" t="s">
        <v>6089</v>
      </c>
      <c r="B2034" s="149" t="s">
        <v>6090</v>
      </c>
      <c r="C2034" s="150" t="s">
        <v>18</v>
      </c>
      <c r="D2034" s="150">
        <v>0</v>
      </c>
      <c r="E2034" s="151" t="s">
        <v>13</v>
      </c>
      <c r="F2034" s="152" t="str">
        <f t="shared" si="95"/>
        <v/>
      </c>
      <c r="G2034" s="153">
        <f>IF($K2034="Padrão",BDI!$B$17,IF($K2034="Diferenciado",BDI!$E$17,0))</f>
        <v>0.2039</v>
      </c>
      <c r="H2034" s="151" t="str">
        <f t="shared" si="93"/>
        <v/>
      </c>
      <c r="I2034" s="152" t="str">
        <f t="shared" si="94"/>
        <v/>
      </c>
      <c r="J2034" s="154"/>
      <c r="K2034" s="155" t="s">
        <v>2966</v>
      </c>
    </row>
    <row r="2035" spans="1:11" hidden="1" x14ac:dyDescent="0.25">
      <c r="A2035" s="148" t="s">
        <v>6091</v>
      </c>
      <c r="B2035" s="149" t="s">
        <v>6092</v>
      </c>
      <c r="C2035" s="150" t="s">
        <v>18</v>
      </c>
      <c r="D2035" s="150">
        <v>0</v>
      </c>
      <c r="E2035" s="151" t="s">
        <v>13</v>
      </c>
      <c r="F2035" s="152" t="str">
        <f t="shared" si="95"/>
        <v/>
      </c>
      <c r="G2035" s="153">
        <f>IF($K2035="Padrão",BDI!$B$17,IF($K2035="Diferenciado",BDI!$E$17,0))</f>
        <v>0.2039</v>
      </c>
      <c r="H2035" s="151" t="str">
        <f t="shared" si="93"/>
        <v/>
      </c>
      <c r="I2035" s="152" t="str">
        <f t="shared" si="94"/>
        <v/>
      </c>
      <c r="J2035" s="154"/>
      <c r="K2035" s="155" t="s">
        <v>2966</v>
      </c>
    </row>
    <row r="2036" spans="1:11" hidden="1" x14ac:dyDescent="0.25">
      <c r="A2036" s="148" t="s">
        <v>6093</v>
      </c>
      <c r="B2036" s="149" t="s">
        <v>6094</v>
      </c>
      <c r="C2036" s="150" t="s">
        <v>18</v>
      </c>
      <c r="D2036" s="150">
        <v>0</v>
      </c>
      <c r="E2036" s="151" t="s">
        <v>13</v>
      </c>
      <c r="F2036" s="152" t="str">
        <f t="shared" si="95"/>
        <v/>
      </c>
      <c r="G2036" s="153">
        <f>IF($K2036="Padrão",BDI!$B$17,IF($K2036="Diferenciado",BDI!$E$17,0))</f>
        <v>0.2039</v>
      </c>
      <c r="H2036" s="151" t="str">
        <f t="shared" si="93"/>
        <v/>
      </c>
      <c r="I2036" s="152" t="str">
        <f t="shared" si="94"/>
        <v/>
      </c>
      <c r="J2036" s="154"/>
      <c r="K2036" s="155" t="s">
        <v>2966</v>
      </c>
    </row>
    <row r="2037" spans="1:11" hidden="1" x14ac:dyDescent="0.25">
      <c r="A2037" s="148" t="s">
        <v>6095</v>
      </c>
      <c r="B2037" s="149" t="s">
        <v>6096</v>
      </c>
      <c r="C2037" s="150" t="s">
        <v>18</v>
      </c>
      <c r="D2037" s="150">
        <v>0</v>
      </c>
      <c r="E2037" s="151" t="s">
        <v>13</v>
      </c>
      <c r="F2037" s="152" t="str">
        <f t="shared" si="95"/>
        <v/>
      </c>
      <c r="G2037" s="153">
        <f>IF($K2037="Padrão",BDI!$B$17,IF($K2037="Diferenciado",BDI!$E$17,0))</f>
        <v>0.2039</v>
      </c>
      <c r="H2037" s="151" t="str">
        <f t="shared" si="93"/>
        <v/>
      </c>
      <c r="I2037" s="152" t="str">
        <f t="shared" si="94"/>
        <v/>
      </c>
      <c r="J2037" s="154"/>
      <c r="K2037" s="155" t="s">
        <v>2966</v>
      </c>
    </row>
    <row r="2038" spans="1:11" hidden="1" x14ac:dyDescent="0.25">
      <c r="A2038" s="148" t="s">
        <v>6097</v>
      </c>
      <c r="B2038" s="149" t="s">
        <v>6098</v>
      </c>
      <c r="C2038" s="150" t="s">
        <v>18</v>
      </c>
      <c r="D2038" s="150">
        <v>0</v>
      </c>
      <c r="E2038" s="151" t="s">
        <v>13</v>
      </c>
      <c r="F2038" s="152" t="str">
        <f t="shared" si="95"/>
        <v/>
      </c>
      <c r="G2038" s="153">
        <f>IF($K2038="Padrão",BDI!$B$17,IF($K2038="Diferenciado",BDI!$E$17,0))</f>
        <v>0.2039</v>
      </c>
      <c r="H2038" s="151" t="str">
        <f t="shared" si="93"/>
        <v/>
      </c>
      <c r="I2038" s="152" t="str">
        <f t="shared" si="94"/>
        <v/>
      </c>
      <c r="J2038" s="154"/>
      <c r="K2038" s="155" t="s">
        <v>2966</v>
      </c>
    </row>
    <row r="2039" spans="1:11" hidden="1" x14ac:dyDescent="0.25">
      <c r="A2039" s="148" t="s">
        <v>6099</v>
      </c>
      <c r="B2039" s="149" t="s">
        <v>6100</v>
      </c>
      <c r="C2039" s="150" t="s">
        <v>18</v>
      </c>
      <c r="D2039" s="150">
        <v>0</v>
      </c>
      <c r="E2039" s="151" t="s">
        <v>13</v>
      </c>
      <c r="F2039" s="152" t="str">
        <f t="shared" si="95"/>
        <v/>
      </c>
      <c r="G2039" s="153">
        <f>IF($K2039="Padrão",BDI!$B$17,IF($K2039="Diferenciado",BDI!$E$17,0))</f>
        <v>0.2039</v>
      </c>
      <c r="H2039" s="151" t="str">
        <f t="shared" si="93"/>
        <v/>
      </c>
      <c r="I2039" s="152" t="str">
        <f t="shared" si="94"/>
        <v/>
      </c>
      <c r="J2039" s="154"/>
      <c r="K2039" s="155" t="s">
        <v>2966</v>
      </c>
    </row>
    <row r="2040" spans="1:11" hidden="1" x14ac:dyDescent="0.25">
      <c r="A2040" s="148" t="s">
        <v>6101</v>
      </c>
      <c r="B2040" s="149" t="s">
        <v>6102</v>
      </c>
      <c r="C2040" s="150" t="s">
        <v>18</v>
      </c>
      <c r="D2040" s="150">
        <v>0</v>
      </c>
      <c r="E2040" s="151" t="s">
        <v>13</v>
      </c>
      <c r="F2040" s="152" t="str">
        <f t="shared" si="95"/>
        <v/>
      </c>
      <c r="G2040" s="153">
        <f>IF($K2040="Padrão",BDI!$B$17,IF($K2040="Diferenciado",BDI!$E$17,0))</f>
        <v>0.2039</v>
      </c>
      <c r="H2040" s="151" t="str">
        <f t="shared" si="93"/>
        <v/>
      </c>
      <c r="I2040" s="152" t="str">
        <f t="shared" si="94"/>
        <v/>
      </c>
      <c r="J2040" s="154"/>
      <c r="K2040" s="155" t="s">
        <v>2966</v>
      </c>
    </row>
    <row r="2041" spans="1:11" hidden="1" x14ac:dyDescent="0.25">
      <c r="A2041" s="148" t="s">
        <v>6103</v>
      </c>
      <c r="B2041" s="149" t="s">
        <v>6104</v>
      </c>
      <c r="C2041" s="150" t="s">
        <v>18</v>
      </c>
      <c r="D2041" s="150">
        <v>0</v>
      </c>
      <c r="E2041" s="151" t="s">
        <v>13</v>
      </c>
      <c r="F2041" s="152" t="str">
        <f t="shared" si="95"/>
        <v/>
      </c>
      <c r="G2041" s="153">
        <f>IF($K2041="Padrão",BDI!$B$17,IF($K2041="Diferenciado",BDI!$E$17,0))</f>
        <v>0.2039</v>
      </c>
      <c r="H2041" s="151" t="str">
        <f t="shared" si="93"/>
        <v/>
      </c>
      <c r="I2041" s="152" t="str">
        <f t="shared" si="94"/>
        <v/>
      </c>
      <c r="J2041" s="154"/>
      <c r="K2041" s="155" t="s">
        <v>2966</v>
      </c>
    </row>
    <row r="2042" spans="1:11" hidden="1" x14ac:dyDescent="0.25">
      <c r="A2042" s="148" t="s">
        <v>6105</v>
      </c>
      <c r="B2042" s="149" t="s">
        <v>6106</v>
      </c>
      <c r="C2042" s="150" t="s">
        <v>18</v>
      </c>
      <c r="D2042" s="150">
        <v>0</v>
      </c>
      <c r="E2042" s="151" t="s">
        <v>13</v>
      </c>
      <c r="F2042" s="152" t="str">
        <f t="shared" si="95"/>
        <v/>
      </c>
      <c r="G2042" s="153">
        <f>IF($K2042="Padrão",BDI!$B$17,IF($K2042="Diferenciado",BDI!$E$17,0))</f>
        <v>0.2039</v>
      </c>
      <c r="H2042" s="151" t="str">
        <f t="shared" si="93"/>
        <v/>
      </c>
      <c r="I2042" s="152" t="str">
        <f t="shared" si="94"/>
        <v/>
      </c>
      <c r="J2042" s="154"/>
      <c r="K2042" s="155" t="s">
        <v>2966</v>
      </c>
    </row>
    <row r="2043" spans="1:11" hidden="1" x14ac:dyDescent="0.25">
      <c r="A2043" s="148" t="s">
        <v>6107</v>
      </c>
      <c r="B2043" s="149" t="s">
        <v>6108</v>
      </c>
      <c r="C2043" s="150" t="s">
        <v>18</v>
      </c>
      <c r="D2043" s="150">
        <v>0</v>
      </c>
      <c r="E2043" s="151" t="s">
        <v>13</v>
      </c>
      <c r="F2043" s="152" t="str">
        <f t="shared" si="95"/>
        <v/>
      </c>
      <c r="G2043" s="153">
        <f>IF($K2043="Padrão",BDI!$B$17,IF($K2043="Diferenciado",BDI!$E$17,0))</f>
        <v>0.2039</v>
      </c>
      <c r="H2043" s="151" t="str">
        <f t="shared" si="93"/>
        <v/>
      </c>
      <c r="I2043" s="152" t="str">
        <f t="shared" si="94"/>
        <v/>
      </c>
      <c r="J2043" s="154"/>
      <c r="K2043" s="155" t="s">
        <v>2966</v>
      </c>
    </row>
    <row r="2044" spans="1:11" hidden="1" x14ac:dyDescent="0.25">
      <c r="A2044" s="148" t="s">
        <v>6109</v>
      </c>
      <c r="B2044" s="149" t="s">
        <v>6110</v>
      </c>
      <c r="C2044" s="150" t="s">
        <v>18</v>
      </c>
      <c r="D2044" s="150">
        <v>0</v>
      </c>
      <c r="E2044" s="151" t="s">
        <v>13</v>
      </c>
      <c r="F2044" s="152" t="str">
        <f t="shared" si="95"/>
        <v/>
      </c>
      <c r="G2044" s="153">
        <f>IF($K2044="Padrão",BDI!$B$17,IF($K2044="Diferenciado",BDI!$E$17,0))</f>
        <v>0.2039</v>
      </c>
      <c r="H2044" s="151" t="str">
        <f t="shared" si="93"/>
        <v/>
      </c>
      <c r="I2044" s="152" t="str">
        <f t="shared" si="94"/>
        <v/>
      </c>
      <c r="J2044" s="154"/>
      <c r="K2044" s="155" t="s">
        <v>2966</v>
      </c>
    </row>
    <row r="2045" spans="1:11" hidden="1" x14ac:dyDescent="0.25">
      <c r="A2045" s="148" t="s">
        <v>6111</v>
      </c>
      <c r="B2045" s="149" t="s">
        <v>6112</v>
      </c>
      <c r="C2045" s="150" t="s">
        <v>18</v>
      </c>
      <c r="D2045" s="150">
        <v>0</v>
      </c>
      <c r="E2045" s="151" t="s">
        <v>13</v>
      </c>
      <c r="F2045" s="152" t="str">
        <f t="shared" si="95"/>
        <v/>
      </c>
      <c r="G2045" s="153">
        <f>IF($K2045="Padrão",BDI!$B$17,IF($K2045="Diferenciado",BDI!$E$17,0))</f>
        <v>0.2039</v>
      </c>
      <c r="H2045" s="151" t="str">
        <f t="shared" si="93"/>
        <v/>
      </c>
      <c r="I2045" s="152" t="str">
        <f t="shared" si="94"/>
        <v/>
      </c>
      <c r="J2045" s="154"/>
      <c r="K2045" s="155" t="s">
        <v>2966</v>
      </c>
    </row>
    <row r="2046" spans="1:11" hidden="1" x14ac:dyDescent="0.25">
      <c r="A2046" s="148" t="s">
        <v>6113</v>
      </c>
      <c r="B2046" s="149" t="s">
        <v>6114</v>
      </c>
      <c r="C2046" s="150" t="s">
        <v>18</v>
      </c>
      <c r="D2046" s="150">
        <v>0</v>
      </c>
      <c r="E2046" s="151" t="s">
        <v>13</v>
      </c>
      <c r="F2046" s="152" t="str">
        <f t="shared" si="95"/>
        <v/>
      </c>
      <c r="G2046" s="153">
        <f>IF($K2046="Padrão",BDI!$B$17,IF($K2046="Diferenciado",BDI!$E$17,0))</f>
        <v>0.2039</v>
      </c>
      <c r="H2046" s="151" t="str">
        <f t="shared" si="93"/>
        <v/>
      </c>
      <c r="I2046" s="152" t="str">
        <f t="shared" si="94"/>
        <v/>
      </c>
      <c r="J2046" s="154"/>
      <c r="K2046" s="155" t="s">
        <v>2966</v>
      </c>
    </row>
    <row r="2047" spans="1:11" hidden="1" x14ac:dyDescent="0.25">
      <c r="A2047" s="148" t="s">
        <v>6115</v>
      </c>
      <c r="B2047" s="149" t="s">
        <v>6116</v>
      </c>
      <c r="C2047" s="150" t="s">
        <v>18</v>
      </c>
      <c r="D2047" s="150">
        <v>0</v>
      </c>
      <c r="E2047" s="151" t="s">
        <v>13</v>
      </c>
      <c r="F2047" s="152" t="str">
        <f t="shared" si="95"/>
        <v/>
      </c>
      <c r="G2047" s="153">
        <f>IF($K2047="Padrão",BDI!$B$17,IF($K2047="Diferenciado",BDI!$E$17,0))</f>
        <v>0.2039</v>
      </c>
      <c r="H2047" s="151" t="str">
        <f t="shared" si="93"/>
        <v/>
      </c>
      <c r="I2047" s="152" t="str">
        <f t="shared" si="94"/>
        <v/>
      </c>
      <c r="J2047" s="154"/>
      <c r="K2047" s="155" t="s">
        <v>2966</v>
      </c>
    </row>
    <row r="2048" spans="1:11" hidden="1" x14ac:dyDescent="0.25">
      <c r="A2048" s="148" t="s">
        <v>6117</v>
      </c>
      <c r="B2048" s="149" t="s">
        <v>6118</v>
      </c>
      <c r="C2048" s="150" t="s">
        <v>18</v>
      </c>
      <c r="D2048" s="150">
        <v>0</v>
      </c>
      <c r="E2048" s="151" t="s">
        <v>13</v>
      </c>
      <c r="F2048" s="152" t="str">
        <f t="shared" si="95"/>
        <v/>
      </c>
      <c r="G2048" s="153">
        <f>IF($K2048="Padrão",BDI!$B$17,IF($K2048="Diferenciado",BDI!$E$17,0))</f>
        <v>0.2039</v>
      </c>
      <c r="H2048" s="151" t="str">
        <f t="shared" si="93"/>
        <v/>
      </c>
      <c r="I2048" s="152" t="str">
        <f t="shared" si="94"/>
        <v/>
      </c>
      <c r="J2048" s="154"/>
      <c r="K2048" s="155" t="s">
        <v>2966</v>
      </c>
    </row>
    <row r="2049" spans="1:11" hidden="1" x14ac:dyDescent="0.25">
      <c r="A2049" s="148" t="s">
        <v>6119</v>
      </c>
      <c r="B2049" s="149" t="s">
        <v>6120</v>
      </c>
      <c r="C2049" s="150" t="s">
        <v>18</v>
      </c>
      <c r="D2049" s="150">
        <v>0</v>
      </c>
      <c r="E2049" s="151" t="s">
        <v>13</v>
      </c>
      <c r="F2049" s="152" t="str">
        <f t="shared" si="95"/>
        <v/>
      </c>
      <c r="G2049" s="153">
        <f>IF($K2049="Padrão",BDI!$B$17,IF($K2049="Diferenciado",BDI!$E$17,0))</f>
        <v>0.2039</v>
      </c>
      <c r="H2049" s="151" t="str">
        <f t="shared" si="93"/>
        <v/>
      </c>
      <c r="I2049" s="152" t="str">
        <f t="shared" si="94"/>
        <v/>
      </c>
      <c r="J2049" s="154"/>
      <c r="K2049" s="155" t="s">
        <v>2966</v>
      </c>
    </row>
    <row r="2050" spans="1:11" hidden="1" x14ac:dyDescent="0.25">
      <c r="A2050" s="148" t="s">
        <v>6121</v>
      </c>
      <c r="B2050" s="149" t="s">
        <v>6122</v>
      </c>
      <c r="C2050" s="150" t="s">
        <v>18</v>
      </c>
      <c r="D2050" s="150">
        <v>0</v>
      </c>
      <c r="E2050" s="151" t="s">
        <v>13</v>
      </c>
      <c r="F2050" s="152" t="str">
        <f t="shared" si="95"/>
        <v/>
      </c>
      <c r="G2050" s="153">
        <f>IF($K2050="Padrão",BDI!$B$17,IF($K2050="Diferenciado",BDI!$E$17,0))</f>
        <v>0.2039</v>
      </c>
      <c r="H2050" s="151" t="str">
        <f t="shared" si="93"/>
        <v/>
      </c>
      <c r="I2050" s="152" t="str">
        <f t="shared" si="94"/>
        <v/>
      </c>
      <c r="J2050" s="154"/>
      <c r="K2050" s="155" t="s">
        <v>2966</v>
      </c>
    </row>
    <row r="2051" spans="1:11" hidden="1" x14ac:dyDescent="0.25">
      <c r="A2051" s="148" t="s">
        <v>6123</v>
      </c>
      <c r="B2051" s="149" t="s">
        <v>6124</v>
      </c>
      <c r="C2051" s="150" t="s">
        <v>18</v>
      </c>
      <c r="D2051" s="150">
        <v>0</v>
      </c>
      <c r="E2051" s="151" t="s">
        <v>13</v>
      </c>
      <c r="F2051" s="152" t="str">
        <f t="shared" si="95"/>
        <v/>
      </c>
      <c r="G2051" s="153">
        <f>IF($K2051="Padrão",BDI!$B$17,IF($K2051="Diferenciado",BDI!$E$17,0))</f>
        <v>0.2039</v>
      </c>
      <c r="H2051" s="151" t="str">
        <f t="shared" si="93"/>
        <v/>
      </c>
      <c r="I2051" s="152" t="str">
        <f t="shared" si="94"/>
        <v/>
      </c>
      <c r="J2051" s="154"/>
      <c r="K2051" s="155" t="s">
        <v>2966</v>
      </c>
    </row>
    <row r="2052" spans="1:11" hidden="1" x14ac:dyDescent="0.25">
      <c r="A2052" s="148" t="s">
        <v>6125</v>
      </c>
      <c r="B2052" s="149" t="s">
        <v>6126</v>
      </c>
      <c r="C2052" s="150" t="s">
        <v>18</v>
      </c>
      <c r="D2052" s="150">
        <v>0</v>
      </c>
      <c r="E2052" s="151" t="s">
        <v>13</v>
      </c>
      <c r="F2052" s="152" t="str">
        <f t="shared" si="95"/>
        <v/>
      </c>
      <c r="G2052" s="153">
        <f>IF($K2052="Padrão",BDI!$B$17,IF($K2052="Diferenciado",BDI!$E$17,0))</f>
        <v>0.2039</v>
      </c>
      <c r="H2052" s="151" t="str">
        <f t="shared" si="93"/>
        <v/>
      </c>
      <c r="I2052" s="152" t="str">
        <f t="shared" si="94"/>
        <v/>
      </c>
      <c r="J2052" s="154"/>
      <c r="K2052" s="155" t="s">
        <v>2966</v>
      </c>
    </row>
    <row r="2053" spans="1:11" hidden="1" x14ac:dyDescent="0.25">
      <c r="A2053" s="148" t="s">
        <v>6127</v>
      </c>
      <c r="B2053" s="149" t="s">
        <v>6128</v>
      </c>
      <c r="C2053" s="150" t="s">
        <v>18</v>
      </c>
      <c r="D2053" s="150">
        <v>0</v>
      </c>
      <c r="E2053" s="151" t="s">
        <v>13</v>
      </c>
      <c r="F2053" s="152" t="str">
        <f t="shared" si="95"/>
        <v/>
      </c>
      <c r="G2053" s="153">
        <f>IF($K2053="Padrão",BDI!$B$17,IF($K2053="Diferenciado",BDI!$E$17,0))</f>
        <v>0.2039</v>
      </c>
      <c r="H2053" s="151" t="str">
        <f t="shared" si="93"/>
        <v/>
      </c>
      <c r="I2053" s="152" t="str">
        <f t="shared" si="94"/>
        <v/>
      </c>
      <c r="J2053" s="154"/>
      <c r="K2053" s="155" t="s">
        <v>2966</v>
      </c>
    </row>
    <row r="2054" spans="1:11" hidden="1" x14ac:dyDescent="0.25">
      <c r="A2054" s="148" t="s">
        <v>6129</v>
      </c>
      <c r="B2054" s="149" t="s">
        <v>6130</v>
      </c>
      <c r="C2054" s="150" t="s">
        <v>18</v>
      </c>
      <c r="D2054" s="150">
        <v>0</v>
      </c>
      <c r="E2054" s="151" t="s">
        <v>13</v>
      </c>
      <c r="F2054" s="152" t="str">
        <f t="shared" si="95"/>
        <v/>
      </c>
      <c r="G2054" s="153">
        <f>IF($K2054="Padrão",BDI!$B$17,IF($K2054="Diferenciado",BDI!$E$17,0))</f>
        <v>0.2039</v>
      </c>
      <c r="H2054" s="151" t="str">
        <f t="shared" ref="H2054:H2117" si="96">IF(ISNUMBER(E2054),ROUND(E2054*(1+G2054),2),"")</f>
        <v/>
      </c>
      <c r="I2054" s="152" t="str">
        <f t="shared" ref="I2054:I2117" si="97">IF(ISNUMBER(E2054),ROUND(H2054*D2054,2),"")</f>
        <v/>
      </c>
      <c r="J2054" s="154"/>
      <c r="K2054" s="155" t="s">
        <v>2966</v>
      </c>
    </row>
    <row r="2055" spans="1:11" hidden="1" x14ac:dyDescent="0.25">
      <c r="A2055" s="148" t="s">
        <v>6131</v>
      </c>
      <c r="B2055" s="149" t="s">
        <v>6132</v>
      </c>
      <c r="C2055" s="150" t="s">
        <v>18</v>
      </c>
      <c r="D2055" s="150">
        <v>0</v>
      </c>
      <c r="E2055" s="151" t="s">
        <v>13</v>
      </c>
      <c r="F2055" s="152" t="str">
        <f t="shared" ref="F2055:F2118" si="98">IF(ISNUMBER(E2055),D2055*E2055,"")</f>
        <v/>
      </c>
      <c r="G2055" s="153">
        <f>IF($K2055="Padrão",BDI!$B$17,IF($K2055="Diferenciado",BDI!$E$17,0))</f>
        <v>0.2039</v>
      </c>
      <c r="H2055" s="151" t="str">
        <f t="shared" si="96"/>
        <v/>
      </c>
      <c r="I2055" s="152" t="str">
        <f t="shared" si="97"/>
        <v/>
      </c>
      <c r="J2055" s="154"/>
      <c r="K2055" s="155" t="s">
        <v>2966</v>
      </c>
    </row>
    <row r="2056" spans="1:11" hidden="1" x14ac:dyDescent="0.25">
      <c r="A2056" s="148" t="s">
        <v>6133</v>
      </c>
      <c r="B2056" s="149" t="s">
        <v>6134</v>
      </c>
      <c r="C2056" s="150" t="s">
        <v>18</v>
      </c>
      <c r="D2056" s="150">
        <v>0</v>
      </c>
      <c r="E2056" s="151" t="s">
        <v>13</v>
      </c>
      <c r="F2056" s="152" t="str">
        <f t="shared" si="98"/>
        <v/>
      </c>
      <c r="G2056" s="153">
        <f>IF($K2056="Padrão",BDI!$B$17,IF($K2056="Diferenciado",BDI!$E$17,0))</f>
        <v>0.2039</v>
      </c>
      <c r="H2056" s="151" t="str">
        <f t="shared" si="96"/>
        <v/>
      </c>
      <c r="I2056" s="152" t="str">
        <f t="shared" si="97"/>
        <v/>
      </c>
      <c r="J2056" s="154"/>
      <c r="K2056" s="155" t="s">
        <v>2966</v>
      </c>
    </row>
    <row r="2057" spans="1:11" hidden="1" x14ac:dyDescent="0.25">
      <c r="A2057" s="148" t="s">
        <v>6135</v>
      </c>
      <c r="B2057" s="149" t="s">
        <v>6136</v>
      </c>
      <c r="C2057" s="150" t="s">
        <v>18</v>
      </c>
      <c r="D2057" s="150">
        <v>0</v>
      </c>
      <c r="E2057" s="151" t="s">
        <v>13</v>
      </c>
      <c r="F2057" s="152" t="str">
        <f t="shared" si="98"/>
        <v/>
      </c>
      <c r="G2057" s="153">
        <f>IF($K2057="Padrão",BDI!$B$17,IF($K2057="Diferenciado",BDI!$E$17,0))</f>
        <v>0.2039</v>
      </c>
      <c r="H2057" s="151" t="str">
        <f t="shared" si="96"/>
        <v/>
      </c>
      <c r="I2057" s="152" t="str">
        <f t="shared" si="97"/>
        <v/>
      </c>
      <c r="J2057" s="154"/>
      <c r="K2057" s="155" t="s">
        <v>2966</v>
      </c>
    </row>
    <row r="2058" spans="1:11" hidden="1" x14ac:dyDescent="0.25">
      <c r="A2058" s="148" t="s">
        <v>6137</v>
      </c>
      <c r="B2058" s="149" t="s">
        <v>6138</v>
      </c>
      <c r="C2058" s="150" t="s">
        <v>18</v>
      </c>
      <c r="D2058" s="150">
        <v>0</v>
      </c>
      <c r="E2058" s="151" t="s">
        <v>13</v>
      </c>
      <c r="F2058" s="152" t="str">
        <f t="shared" si="98"/>
        <v/>
      </c>
      <c r="G2058" s="153">
        <f>IF($K2058="Padrão",BDI!$B$17,IF($K2058="Diferenciado",BDI!$E$17,0))</f>
        <v>0.2039</v>
      </c>
      <c r="H2058" s="151" t="str">
        <f t="shared" si="96"/>
        <v/>
      </c>
      <c r="I2058" s="152" t="str">
        <f t="shared" si="97"/>
        <v/>
      </c>
      <c r="J2058" s="154"/>
      <c r="K2058" s="155" t="s">
        <v>2966</v>
      </c>
    </row>
    <row r="2059" spans="1:11" hidden="1" x14ac:dyDescent="0.25">
      <c r="A2059" s="148" t="s">
        <v>6139</v>
      </c>
      <c r="B2059" s="149" t="s">
        <v>6140</v>
      </c>
      <c r="C2059" s="150" t="s">
        <v>18</v>
      </c>
      <c r="D2059" s="150">
        <v>0</v>
      </c>
      <c r="E2059" s="151" t="s">
        <v>13</v>
      </c>
      <c r="F2059" s="152" t="str">
        <f t="shared" si="98"/>
        <v/>
      </c>
      <c r="G2059" s="153">
        <f>IF($K2059="Padrão",BDI!$B$17,IF($K2059="Diferenciado",BDI!$E$17,0))</f>
        <v>0.2039</v>
      </c>
      <c r="H2059" s="151" t="str">
        <f t="shared" si="96"/>
        <v/>
      </c>
      <c r="I2059" s="152" t="str">
        <f t="shared" si="97"/>
        <v/>
      </c>
      <c r="J2059" s="154"/>
      <c r="K2059" s="155" t="s">
        <v>2966</v>
      </c>
    </row>
    <row r="2060" spans="1:11" hidden="1" x14ac:dyDescent="0.25">
      <c r="A2060" s="148" t="s">
        <v>6141</v>
      </c>
      <c r="B2060" s="149" t="s">
        <v>6142</v>
      </c>
      <c r="C2060" s="150" t="s">
        <v>18</v>
      </c>
      <c r="D2060" s="150">
        <v>0</v>
      </c>
      <c r="E2060" s="151" t="s">
        <v>13</v>
      </c>
      <c r="F2060" s="152" t="str">
        <f t="shared" si="98"/>
        <v/>
      </c>
      <c r="G2060" s="153">
        <f>IF($K2060="Padrão",BDI!$B$17,IF($K2060="Diferenciado",BDI!$E$17,0))</f>
        <v>0.2039</v>
      </c>
      <c r="H2060" s="151" t="str">
        <f t="shared" si="96"/>
        <v/>
      </c>
      <c r="I2060" s="152" t="str">
        <f t="shared" si="97"/>
        <v/>
      </c>
      <c r="J2060" s="154"/>
      <c r="K2060" s="155" t="s">
        <v>2966</v>
      </c>
    </row>
    <row r="2061" spans="1:11" hidden="1" x14ac:dyDescent="0.25">
      <c r="A2061" s="148" t="s">
        <v>6143</v>
      </c>
      <c r="B2061" s="149" t="s">
        <v>6144</v>
      </c>
      <c r="C2061" s="150" t="s">
        <v>18</v>
      </c>
      <c r="D2061" s="150">
        <v>0</v>
      </c>
      <c r="E2061" s="151" t="s">
        <v>13</v>
      </c>
      <c r="F2061" s="152" t="str">
        <f t="shared" si="98"/>
        <v/>
      </c>
      <c r="G2061" s="153">
        <f>IF($K2061="Padrão",BDI!$B$17,IF($K2061="Diferenciado",BDI!$E$17,0))</f>
        <v>0.2039</v>
      </c>
      <c r="H2061" s="151" t="str">
        <f t="shared" si="96"/>
        <v/>
      </c>
      <c r="I2061" s="152" t="str">
        <f t="shared" si="97"/>
        <v/>
      </c>
      <c r="J2061" s="154"/>
      <c r="K2061" s="155" t="s">
        <v>2966</v>
      </c>
    </row>
    <row r="2062" spans="1:11" hidden="1" x14ac:dyDescent="0.25">
      <c r="A2062" s="148" t="s">
        <v>6145</v>
      </c>
      <c r="B2062" s="149" t="s">
        <v>6146</v>
      </c>
      <c r="C2062" s="150" t="s">
        <v>18</v>
      </c>
      <c r="D2062" s="150">
        <v>0</v>
      </c>
      <c r="E2062" s="151" t="s">
        <v>13</v>
      </c>
      <c r="F2062" s="152" t="str">
        <f t="shared" si="98"/>
        <v/>
      </c>
      <c r="G2062" s="153">
        <f>IF($K2062="Padrão",BDI!$B$17,IF($K2062="Diferenciado",BDI!$E$17,0))</f>
        <v>0.2039</v>
      </c>
      <c r="H2062" s="151" t="str">
        <f t="shared" si="96"/>
        <v/>
      </c>
      <c r="I2062" s="152" t="str">
        <f t="shared" si="97"/>
        <v/>
      </c>
      <c r="J2062" s="154"/>
      <c r="K2062" s="155" t="s">
        <v>2966</v>
      </c>
    </row>
    <row r="2063" spans="1:11" hidden="1" x14ac:dyDescent="0.25">
      <c r="A2063" s="148" t="s">
        <v>6147</v>
      </c>
      <c r="B2063" s="149" t="s">
        <v>6148</v>
      </c>
      <c r="C2063" s="150" t="s">
        <v>18</v>
      </c>
      <c r="D2063" s="150">
        <v>0</v>
      </c>
      <c r="E2063" s="151" t="s">
        <v>13</v>
      </c>
      <c r="F2063" s="152" t="str">
        <f t="shared" si="98"/>
        <v/>
      </c>
      <c r="G2063" s="153">
        <f>IF($K2063="Padrão",BDI!$B$17,IF($K2063="Diferenciado",BDI!$E$17,0))</f>
        <v>0.2039</v>
      </c>
      <c r="H2063" s="151" t="str">
        <f t="shared" si="96"/>
        <v/>
      </c>
      <c r="I2063" s="152" t="str">
        <f t="shared" si="97"/>
        <v/>
      </c>
      <c r="J2063" s="154"/>
      <c r="K2063" s="155" t="s">
        <v>2966</v>
      </c>
    </row>
    <row r="2064" spans="1:11" hidden="1" x14ac:dyDescent="0.25">
      <c r="A2064" s="148" t="s">
        <v>6149</v>
      </c>
      <c r="B2064" s="149" t="s">
        <v>6150</v>
      </c>
      <c r="C2064" s="150" t="s">
        <v>18</v>
      </c>
      <c r="D2064" s="150">
        <v>0</v>
      </c>
      <c r="E2064" s="151" t="s">
        <v>13</v>
      </c>
      <c r="F2064" s="152" t="str">
        <f t="shared" si="98"/>
        <v/>
      </c>
      <c r="G2064" s="153">
        <f>IF($K2064="Padrão",BDI!$B$17,IF($K2064="Diferenciado",BDI!$E$17,0))</f>
        <v>0.2039</v>
      </c>
      <c r="H2064" s="151" t="str">
        <f t="shared" si="96"/>
        <v/>
      </c>
      <c r="I2064" s="152" t="str">
        <f t="shared" si="97"/>
        <v/>
      </c>
      <c r="J2064" s="154"/>
      <c r="K2064" s="155" t="s">
        <v>2966</v>
      </c>
    </row>
    <row r="2065" spans="1:11" hidden="1" x14ac:dyDescent="0.25">
      <c r="A2065" s="148" t="s">
        <v>6151</v>
      </c>
      <c r="B2065" s="149" t="s">
        <v>6152</v>
      </c>
      <c r="C2065" s="150" t="s">
        <v>18</v>
      </c>
      <c r="D2065" s="150">
        <v>0</v>
      </c>
      <c r="E2065" s="151" t="s">
        <v>13</v>
      </c>
      <c r="F2065" s="152" t="str">
        <f t="shared" si="98"/>
        <v/>
      </c>
      <c r="G2065" s="153">
        <f>IF($K2065="Padrão",BDI!$B$17,IF($K2065="Diferenciado",BDI!$E$17,0))</f>
        <v>0.2039</v>
      </c>
      <c r="H2065" s="151" t="str">
        <f t="shared" si="96"/>
        <v/>
      </c>
      <c r="I2065" s="152" t="str">
        <f t="shared" si="97"/>
        <v/>
      </c>
      <c r="J2065" s="154"/>
      <c r="K2065" s="155" t="s">
        <v>2966</v>
      </c>
    </row>
    <row r="2066" spans="1:11" hidden="1" x14ac:dyDescent="0.25">
      <c r="A2066" s="148" t="s">
        <v>6153</v>
      </c>
      <c r="B2066" s="149" t="s">
        <v>6154</v>
      </c>
      <c r="C2066" s="150" t="s">
        <v>18</v>
      </c>
      <c r="D2066" s="150">
        <v>0</v>
      </c>
      <c r="E2066" s="151" t="s">
        <v>13</v>
      </c>
      <c r="F2066" s="152" t="str">
        <f t="shared" si="98"/>
        <v/>
      </c>
      <c r="G2066" s="153">
        <f>IF($K2066="Padrão",BDI!$B$17,IF($K2066="Diferenciado",BDI!$E$17,0))</f>
        <v>0.2039</v>
      </c>
      <c r="H2066" s="151" t="str">
        <f t="shared" si="96"/>
        <v/>
      </c>
      <c r="I2066" s="152" t="str">
        <f t="shared" si="97"/>
        <v/>
      </c>
      <c r="J2066" s="154"/>
      <c r="K2066" s="155" t="s">
        <v>2966</v>
      </c>
    </row>
    <row r="2067" spans="1:11" hidden="1" x14ac:dyDescent="0.25">
      <c r="A2067" s="148" t="s">
        <v>6155</v>
      </c>
      <c r="B2067" s="149" t="s">
        <v>6156</v>
      </c>
      <c r="C2067" s="150" t="s">
        <v>18</v>
      </c>
      <c r="D2067" s="150">
        <v>0</v>
      </c>
      <c r="E2067" s="151" t="s">
        <v>13</v>
      </c>
      <c r="F2067" s="152" t="str">
        <f t="shared" si="98"/>
        <v/>
      </c>
      <c r="G2067" s="153">
        <f>IF($K2067="Padrão",BDI!$B$17,IF($K2067="Diferenciado",BDI!$E$17,0))</f>
        <v>0.2039</v>
      </c>
      <c r="H2067" s="151" t="str">
        <f t="shared" si="96"/>
        <v/>
      </c>
      <c r="I2067" s="152" t="str">
        <f t="shared" si="97"/>
        <v/>
      </c>
      <c r="J2067" s="154"/>
      <c r="K2067" s="155" t="s">
        <v>2966</v>
      </c>
    </row>
    <row r="2068" spans="1:11" hidden="1" x14ac:dyDescent="0.25">
      <c r="A2068" s="148" t="s">
        <v>6157</v>
      </c>
      <c r="B2068" s="149" t="s">
        <v>6158</v>
      </c>
      <c r="C2068" s="150" t="s">
        <v>18</v>
      </c>
      <c r="D2068" s="150">
        <v>0</v>
      </c>
      <c r="E2068" s="151" t="s">
        <v>13</v>
      </c>
      <c r="F2068" s="152" t="str">
        <f t="shared" si="98"/>
        <v/>
      </c>
      <c r="G2068" s="153">
        <f>IF($K2068="Padrão",BDI!$B$17,IF($K2068="Diferenciado",BDI!$E$17,0))</f>
        <v>0.2039</v>
      </c>
      <c r="H2068" s="151" t="str">
        <f t="shared" si="96"/>
        <v/>
      </c>
      <c r="I2068" s="152" t="str">
        <f t="shared" si="97"/>
        <v/>
      </c>
      <c r="J2068" s="154"/>
      <c r="K2068" s="155" t="s">
        <v>2966</v>
      </c>
    </row>
    <row r="2069" spans="1:11" hidden="1" x14ac:dyDescent="0.25">
      <c r="A2069" s="148" t="s">
        <v>6159</v>
      </c>
      <c r="B2069" s="149" t="s">
        <v>6160</v>
      </c>
      <c r="C2069" s="150" t="s">
        <v>106</v>
      </c>
      <c r="D2069" s="150">
        <v>0</v>
      </c>
      <c r="E2069" s="151" t="s">
        <v>13</v>
      </c>
      <c r="F2069" s="152" t="str">
        <f t="shared" si="98"/>
        <v/>
      </c>
      <c r="G2069" s="153">
        <f>IF($K2069="Padrão",BDI!$B$17,IF($K2069="Diferenciado",BDI!$E$17,0))</f>
        <v>0.2039</v>
      </c>
      <c r="H2069" s="151" t="str">
        <f t="shared" si="96"/>
        <v/>
      </c>
      <c r="I2069" s="152" t="str">
        <f t="shared" si="97"/>
        <v/>
      </c>
      <c r="J2069" s="154"/>
      <c r="K2069" s="155" t="s">
        <v>2966</v>
      </c>
    </row>
    <row r="2070" spans="1:11" hidden="1" x14ac:dyDescent="0.25">
      <c r="A2070" s="148" t="s">
        <v>6161</v>
      </c>
      <c r="B2070" s="149" t="s">
        <v>6162</v>
      </c>
      <c r="C2070" s="150" t="s">
        <v>18</v>
      </c>
      <c r="D2070" s="150">
        <v>0</v>
      </c>
      <c r="E2070" s="151" t="s">
        <v>13</v>
      </c>
      <c r="F2070" s="152" t="str">
        <f t="shared" si="98"/>
        <v/>
      </c>
      <c r="G2070" s="153">
        <f>IF($K2070="Padrão",BDI!$B$17,IF($K2070="Diferenciado",BDI!$E$17,0))</f>
        <v>0.2039</v>
      </c>
      <c r="H2070" s="151" t="str">
        <f t="shared" si="96"/>
        <v/>
      </c>
      <c r="I2070" s="152" t="str">
        <f t="shared" si="97"/>
        <v/>
      </c>
      <c r="J2070" s="154"/>
      <c r="K2070" s="155" t="s">
        <v>2966</v>
      </c>
    </row>
    <row r="2071" spans="1:11" hidden="1" x14ac:dyDescent="0.25">
      <c r="A2071" s="148" t="s">
        <v>6163</v>
      </c>
      <c r="B2071" s="149" t="s">
        <v>6164</v>
      </c>
      <c r="C2071" s="150" t="s">
        <v>18</v>
      </c>
      <c r="D2071" s="150">
        <v>0</v>
      </c>
      <c r="E2071" s="151" t="s">
        <v>13</v>
      </c>
      <c r="F2071" s="152" t="str">
        <f t="shared" si="98"/>
        <v/>
      </c>
      <c r="G2071" s="153">
        <f>IF($K2071="Padrão",BDI!$B$17,IF($K2071="Diferenciado",BDI!$E$17,0))</f>
        <v>0.2039</v>
      </c>
      <c r="H2071" s="151" t="str">
        <f t="shared" si="96"/>
        <v/>
      </c>
      <c r="I2071" s="152" t="str">
        <f t="shared" si="97"/>
        <v/>
      </c>
      <c r="J2071" s="154"/>
      <c r="K2071" s="155" t="s">
        <v>2966</v>
      </c>
    </row>
    <row r="2072" spans="1:11" hidden="1" x14ac:dyDescent="0.25">
      <c r="A2072" s="148" t="s">
        <v>6165</v>
      </c>
      <c r="B2072" s="149" t="s">
        <v>6166</v>
      </c>
      <c r="C2072" s="150" t="s">
        <v>18</v>
      </c>
      <c r="D2072" s="150">
        <v>0</v>
      </c>
      <c r="E2072" s="151" t="s">
        <v>13</v>
      </c>
      <c r="F2072" s="152" t="str">
        <f t="shared" si="98"/>
        <v/>
      </c>
      <c r="G2072" s="153">
        <f>IF($K2072="Padrão",BDI!$B$17,IF($K2072="Diferenciado",BDI!$E$17,0))</f>
        <v>0.2039</v>
      </c>
      <c r="H2072" s="151" t="str">
        <f t="shared" si="96"/>
        <v/>
      </c>
      <c r="I2072" s="152" t="str">
        <f t="shared" si="97"/>
        <v/>
      </c>
      <c r="J2072" s="154"/>
      <c r="K2072" s="155" t="s">
        <v>2966</v>
      </c>
    </row>
    <row r="2073" spans="1:11" hidden="1" x14ac:dyDescent="0.25">
      <c r="A2073" s="148" t="s">
        <v>6167</v>
      </c>
      <c r="B2073" s="149" t="s">
        <v>6168</v>
      </c>
      <c r="C2073" s="150" t="s">
        <v>18</v>
      </c>
      <c r="D2073" s="150">
        <v>0</v>
      </c>
      <c r="E2073" s="151" t="s">
        <v>13</v>
      </c>
      <c r="F2073" s="152" t="str">
        <f t="shared" si="98"/>
        <v/>
      </c>
      <c r="G2073" s="153">
        <f>IF($K2073="Padrão",BDI!$B$17,IF($K2073="Diferenciado",BDI!$E$17,0))</f>
        <v>0.2039</v>
      </c>
      <c r="H2073" s="151" t="str">
        <f t="shared" si="96"/>
        <v/>
      </c>
      <c r="I2073" s="152" t="str">
        <f t="shared" si="97"/>
        <v/>
      </c>
      <c r="J2073" s="154"/>
      <c r="K2073" s="155" t="s">
        <v>2966</v>
      </c>
    </row>
    <row r="2074" spans="1:11" hidden="1" x14ac:dyDescent="0.25">
      <c r="A2074" s="148" t="s">
        <v>6169</v>
      </c>
      <c r="B2074" s="149" t="s">
        <v>6170</v>
      </c>
      <c r="C2074" s="150" t="s">
        <v>18</v>
      </c>
      <c r="D2074" s="150">
        <v>0</v>
      </c>
      <c r="E2074" s="151" t="s">
        <v>13</v>
      </c>
      <c r="F2074" s="152" t="str">
        <f t="shared" si="98"/>
        <v/>
      </c>
      <c r="G2074" s="153">
        <f>IF($K2074="Padrão",BDI!$B$17,IF($K2074="Diferenciado",BDI!$E$17,0))</f>
        <v>0.2039</v>
      </c>
      <c r="H2074" s="151" t="str">
        <f t="shared" si="96"/>
        <v/>
      </c>
      <c r="I2074" s="152" t="str">
        <f t="shared" si="97"/>
        <v/>
      </c>
      <c r="J2074" s="154"/>
      <c r="K2074" s="155" t="s">
        <v>2966</v>
      </c>
    </row>
    <row r="2075" spans="1:11" hidden="1" x14ac:dyDescent="0.25">
      <c r="A2075" s="148" t="s">
        <v>6171</v>
      </c>
      <c r="B2075" s="149" t="s">
        <v>6172</v>
      </c>
      <c r="C2075" s="150" t="s">
        <v>18</v>
      </c>
      <c r="D2075" s="150">
        <v>0</v>
      </c>
      <c r="E2075" s="151" t="s">
        <v>13</v>
      </c>
      <c r="F2075" s="152" t="str">
        <f t="shared" si="98"/>
        <v/>
      </c>
      <c r="G2075" s="153">
        <f>IF($K2075="Padrão",BDI!$B$17,IF($K2075="Diferenciado",BDI!$E$17,0))</f>
        <v>0.2039</v>
      </c>
      <c r="H2075" s="151" t="str">
        <f t="shared" si="96"/>
        <v/>
      </c>
      <c r="I2075" s="152" t="str">
        <f t="shared" si="97"/>
        <v/>
      </c>
      <c r="J2075" s="154"/>
      <c r="K2075" s="155" t="s">
        <v>2966</v>
      </c>
    </row>
    <row r="2076" spans="1:11" hidden="1" x14ac:dyDescent="0.25">
      <c r="A2076" s="148" t="s">
        <v>6173</v>
      </c>
      <c r="B2076" s="149" t="s">
        <v>6174</v>
      </c>
      <c r="C2076" s="150" t="s">
        <v>18</v>
      </c>
      <c r="D2076" s="150">
        <v>0</v>
      </c>
      <c r="E2076" s="151" t="s">
        <v>13</v>
      </c>
      <c r="F2076" s="152" t="str">
        <f t="shared" si="98"/>
        <v/>
      </c>
      <c r="G2076" s="153">
        <f>IF($K2076="Padrão",BDI!$B$17,IF($K2076="Diferenciado",BDI!$E$17,0))</f>
        <v>0.2039</v>
      </c>
      <c r="H2076" s="151" t="str">
        <f t="shared" si="96"/>
        <v/>
      </c>
      <c r="I2076" s="152" t="str">
        <f t="shared" si="97"/>
        <v/>
      </c>
      <c r="J2076" s="154"/>
      <c r="K2076" s="155" t="s">
        <v>2966</v>
      </c>
    </row>
    <row r="2077" spans="1:11" hidden="1" x14ac:dyDescent="0.25">
      <c r="A2077" s="148" t="s">
        <v>6175</v>
      </c>
      <c r="B2077" s="149" t="s">
        <v>6176</v>
      </c>
      <c r="C2077" s="150" t="s">
        <v>18</v>
      </c>
      <c r="D2077" s="150">
        <v>0</v>
      </c>
      <c r="E2077" s="151" t="s">
        <v>13</v>
      </c>
      <c r="F2077" s="152" t="str">
        <f t="shared" si="98"/>
        <v/>
      </c>
      <c r="G2077" s="153">
        <f>IF($K2077="Padrão",BDI!$B$17,IF($K2077="Diferenciado",BDI!$E$17,0))</f>
        <v>0.2039</v>
      </c>
      <c r="H2077" s="151" t="str">
        <f t="shared" si="96"/>
        <v/>
      </c>
      <c r="I2077" s="152" t="str">
        <f t="shared" si="97"/>
        <v/>
      </c>
      <c r="J2077" s="154"/>
      <c r="K2077" s="155" t="s">
        <v>2966</v>
      </c>
    </row>
    <row r="2078" spans="1:11" hidden="1" x14ac:dyDescent="0.25">
      <c r="A2078" s="148" t="s">
        <v>6177</v>
      </c>
      <c r="B2078" s="149" t="s">
        <v>6178</v>
      </c>
      <c r="C2078" s="150" t="s">
        <v>18</v>
      </c>
      <c r="D2078" s="150">
        <v>0</v>
      </c>
      <c r="E2078" s="151" t="s">
        <v>13</v>
      </c>
      <c r="F2078" s="152" t="str">
        <f t="shared" si="98"/>
        <v/>
      </c>
      <c r="G2078" s="153">
        <f>IF($K2078="Padrão",BDI!$B$17,IF($K2078="Diferenciado",BDI!$E$17,0))</f>
        <v>0.2039</v>
      </c>
      <c r="H2078" s="151" t="str">
        <f t="shared" si="96"/>
        <v/>
      </c>
      <c r="I2078" s="152" t="str">
        <f t="shared" si="97"/>
        <v/>
      </c>
      <c r="J2078" s="154"/>
      <c r="K2078" s="155" t="s">
        <v>2966</v>
      </c>
    </row>
    <row r="2079" spans="1:11" hidden="1" x14ac:dyDescent="0.25">
      <c r="A2079" s="148" t="s">
        <v>6179</v>
      </c>
      <c r="B2079" s="149" t="s">
        <v>6180</v>
      </c>
      <c r="C2079" s="150" t="s">
        <v>18</v>
      </c>
      <c r="D2079" s="150">
        <v>0</v>
      </c>
      <c r="E2079" s="151" t="s">
        <v>13</v>
      </c>
      <c r="F2079" s="152" t="str">
        <f t="shared" si="98"/>
        <v/>
      </c>
      <c r="G2079" s="153">
        <f>IF($K2079="Padrão",BDI!$B$17,IF($K2079="Diferenciado",BDI!$E$17,0))</f>
        <v>0.2039</v>
      </c>
      <c r="H2079" s="151" t="str">
        <f t="shared" si="96"/>
        <v/>
      </c>
      <c r="I2079" s="152" t="str">
        <f t="shared" si="97"/>
        <v/>
      </c>
      <c r="J2079" s="154"/>
      <c r="K2079" s="155" t="s">
        <v>2966</v>
      </c>
    </row>
    <row r="2080" spans="1:11" hidden="1" x14ac:dyDescent="0.25">
      <c r="A2080" s="148" t="s">
        <v>6181</v>
      </c>
      <c r="B2080" s="149" t="s">
        <v>6182</v>
      </c>
      <c r="C2080" s="150" t="s">
        <v>18</v>
      </c>
      <c r="D2080" s="150">
        <v>0</v>
      </c>
      <c r="E2080" s="151" t="s">
        <v>13</v>
      </c>
      <c r="F2080" s="152" t="str">
        <f t="shared" si="98"/>
        <v/>
      </c>
      <c r="G2080" s="153">
        <f>IF($K2080="Padrão",BDI!$B$17,IF($K2080="Diferenciado",BDI!$E$17,0))</f>
        <v>0.2039</v>
      </c>
      <c r="H2080" s="151" t="str">
        <f t="shared" si="96"/>
        <v/>
      </c>
      <c r="I2080" s="152" t="str">
        <f t="shared" si="97"/>
        <v/>
      </c>
      <c r="J2080" s="154"/>
      <c r="K2080" s="155" t="s">
        <v>2966</v>
      </c>
    </row>
    <row r="2081" spans="1:11" hidden="1" x14ac:dyDescent="0.25">
      <c r="A2081" s="148" t="s">
        <v>1480</v>
      </c>
      <c r="B2081" s="149" t="s">
        <v>6183</v>
      </c>
      <c r="C2081" s="150" t="s">
        <v>18</v>
      </c>
      <c r="D2081" s="150">
        <v>0</v>
      </c>
      <c r="E2081" s="151">
        <f ca="1">OFFSET(INDEX(Composições!A:H,MATCH(Orçamentária!A2081,Composições!A:A,0),8),2,0)</f>
        <v>1.0545</v>
      </c>
      <c r="F2081" s="152">
        <f t="shared" ca="1" si="98"/>
        <v>0</v>
      </c>
      <c r="G2081" s="153">
        <f>IF($K2081="Padrão",BDI!$B$17,IF($K2081="Diferenciado",BDI!$E$17,0))</f>
        <v>0.2039</v>
      </c>
      <c r="H2081" s="151">
        <f t="shared" ca="1" si="96"/>
        <v>1.27</v>
      </c>
      <c r="I2081" s="152">
        <f t="shared" ca="1" si="97"/>
        <v>0</v>
      </c>
      <c r="J2081" s="154"/>
      <c r="K2081" s="155" t="s">
        <v>2966</v>
      </c>
    </row>
    <row r="2082" spans="1:11" hidden="1" x14ac:dyDescent="0.25">
      <c r="A2082" s="148" t="s">
        <v>6184</v>
      </c>
      <c r="B2082" s="149" t="s">
        <v>6185</v>
      </c>
      <c r="C2082" s="150" t="s">
        <v>18</v>
      </c>
      <c r="D2082" s="150">
        <v>0</v>
      </c>
      <c r="E2082" s="151" t="s">
        <v>13</v>
      </c>
      <c r="F2082" s="152" t="str">
        <f t="shared" si="98"/>
        <v/>
      </c>
      <c r="G2082" s="153">
        <f>IF($K2082="Padrão",BDI!$B$17,IF($K2082="Diferenciado",BDI!$E$17,0))</f>
        <v>0.2039</v>
      </c>
      <c r="H2082" s="151" t="str">
        <f t="shared" si="96"/>
        <v/>
      </c>
      <c r="I2082" s="152" t="str">
        <f t="shared" si="97"/>
        <v/>
      </c>
      <c r="J2082" s="154"/>
      <c r="K2082" s="155" t="s">
        <v>2966</v>
      </c>
    </row>
    <row r="2083" spans="1:11" hidden="1" x14ac:dyDescent="0.25">
      <c r="A2083" s="148" t="s">
        <v>6186</v>
      </c>
      <c r="B2083" s="149" t="s">
        <v>6187</v>
      </c>
      <c r="C2083" s="150" t="s">
        <v>18</v>
      </c>
      <c r="D2083" s="150">
        <v>0</v>
      </c>
      <c r="E2083" s="151" t="s">
        <v>13</v>
      </c>
      <c r="F2083" s="152" t="str">
        <f t="shared" si="98"/>
        <v/>
      </c>
      <c r="G2083" s="153">
        <f>IF($K2083="Padrão",BDI!$B$17,IF($K2083="Diferenciado",BDI!$E$17,0))</f>
        <v>0.2039</v>
      </c>
      <c r="H2083" s="151" t="str">
        <f t="shared" si="96"/>
        <v/>
      </c>
      <c r="I2083" s="152" t="str">
        <f t="shared" si="97"/>
        <v/>
      </c>
      <c r="J2083" s="154"/>
      <c r="K2083" s="155" t="s">
        <v>2966</v>
      </c>
    </row>
    <row r="2084" spans="1:11" hidden="1" x14ac:dyDescent="0.25">
      <c r="A2084" s="148" t="s">
        <v>6188</v>
      </c>
      <c r="B2084" s="149" t="s">
        <v>6189</v>
      </c>
      <c r="C2084" s="150" t="s">
        <v>106</v>
      </c>
      <c r="D2084" s="150">
        <v>0</v>
      </c>
      <c r="E2084" s="151" t="s">
        <v>13</v>
      </c>
      <c r="F2084" s="152" t="str">
        <f t="shared" si="98"/>
        <v/>
      </c>
      <c r="G2084" s="153">
        <f>IF($K2084="Padrão",BDI!$B$17,IF($K2084="Diferenciado",BDI!$E$17,0))</f>
        <v>0.2039</v>
      </c>
      <c r="H2084" s="151" t="str">
        <f t="shared" si="96"/>
        <v/>
      </c>
      <c r="I2084" s="152" t="str">
        <f t="shared" si="97"/>
        <v/>
      </c>
      <c r="J2084" s="154"/>
      <c r="K2084" s="155" t="s">
        <v>2966</v>
      </c>
    </row>
    <row r="2085" spans="1:11" hidden="1" x14ac:dyDescent="0.25">
      <c r="A2085" s="148" t="s">
        <v>6190</v>
      </c>
      <c r="B2085" s="149" t="s">
        <v>6191</v>
      </c>
      <c r="C2085" s="150" t="s">
        <v>106</v>
      </c>
      <c r="D2085" s="150">
        <v>0</v>
      </c>
      <c r="E2085" s="151" t="s">
        <v>13</v>
      </c>
      <c r="F2085" s="152" t="str">
        <f t="shared" si="98"/>
        <v/>
      </c>
      <c r="G2085" s="153">
        <f>IF($K2085="Padrão",BDI!$B$17,IF($K2085="Diferenciado",BDI!$E$17,0))</f>
        <v>0.2039</v>
      </c>
      <c r="H2085" s="151" t="str">
        <f t="shared" si="96"/>
        <v/>
      </c>
      <c r="I2085" s="152" t="str">
        <f t="shared" si="97"/>
        <v/>
      </c>
      <c r="J2085" s="154"/>
      <c r="K2085" s="155" t="s">
        <v>2966</v>
      </c>
    </row>
    <row r="2086" spans="1:11" hidden="1" x14ac:dyDescent="0.25">
      <c r="A2086" s="148" t="s">
        <v>6192</v>
      </c>
      <c r="B2086" s="149" t="s">
        <v>6193</v>
      </c>
      <c r="C2086" s="150" t="s">
        <v>106</v>
      </c>
      <c r="D2086" s="150">
        <v>0</v>
      </c>
      <c r="E2086" s="151" t="s">
        <v>13</v>
      </c>
      <c r="F2086" s="152" t="str">
        <f t="shared" si="98"/>
        <v/>
      </c>
      <c r="G2086" s="153">
        <f>IF($K2086="Padrão",BDI!$B$17,IF($K2086="Diferenciado",BDI!$E$17,0))</f>
        <v>0.2039</v>
      </c>
      <c r="H2086" s="151" t="str">
        <f t="shared" si="96"/>
        <v/>
      </c>
      <c r="I2086" s="152" t="str">
        <f t="shared" si="97"/>
        <v/>
      </c>
      <c r="J2086" s="154"/>
      <c r="K2086" s="155" t="s">
        <v>2966</v>
      </c>
    </row>
    <row r="2087" spans="1:11" hidden="1" x14ac:dyDescent="0.25">
      <c r="A2087" s="148" t="s">
        <v>1482</v>
      </c>
      <c r="B2087" s="149" t="s">
        <v>6194</v>
      </c>
      <c r="C2087" s="150" t="s">
        <v>18</v>
      </c>
      <c r="D2087" s="150">
        <v>0</v>
      </c>
      <c r="E2087" s="151">
        <f ca="1">OFFSET(INDEX(Composições!A:H,MATCH(Orçamentária!A2087,Composições!A:A,0),8),2,0)</f>
        <v>2.5934999999999997</v>
      </c>
      <c r="F2087" s="152">
        <f t="shared" ca="1" si="98"/>
        <v>0</v>
      </c>
      <c r="G2087" s="153">
        <f>IF($K2087="Padrão",BDI!$B$17,IF($K2087="Diferenciado",BDI!$E$17,0))</f>
        <v>0.2039</v>
      </c>
      <c r="H2087" s="151">
        <f t="shared" ca="1" si="96"/>
        <v>3.12</v>
      </c>
      <c r="I2087" s="152">
        <f t="shared" ca="1" si="97"/>
        <v>0</v>
      </c>
      <c r="J2087" s="154"/>
      <c r="K2087" s="155" t="s">
        <v>2966</v>
      </c>
    </row>
    <row r="2088" spans="1:11" hidden="1" x14ac:dyDescent="0.25">
      <c r="A2088" s="148" t="s">
        <v>1481</v>
      </c>
      <c r="B2088" s="149" t="s">
        <v>6195</v>
      </c>
      <c r="C2088" s="150" t="s">
        <v>18</v>
      </c>
      <c r="D2088" s="150">
        <v>0</v>
      </c>
      <c r="E2088" s="151">
        <f ca="1">OFFSET(INDEX(Composições!A:H,MATCH(Orçamentária!A2088,Composições!A:A,0),8),2,0)</f>
        <v>5.149</v>
      </c>
      <c r="F2088" s="152">
        <f t="shared" ca="1" si="98"/>
        <v>0</v>
      </c>
      <c r="G2088" s="153">
        <f>IF($K2088="Padrão",BDI!$B$17,IF($K2088="Diferenciado",BDI!$E$17,0))</f>
        <v>0.2039</v>
      </c>
      <c r="H2088" s="151">
        <f t="shared" ca="1" si="96"/>
        <v>6.2</v>
      </c>
      <c r="I2088" s="152">
        <f t="shared" ca="1" si="97"/>
        <v>0</v>
      </c>
      <c r="J2088" s="154"/>
      <c r="K2088" s="155" t="s">
        <v>2966</v>
      </c>
    </row>
    <row r="2089" spans="1:11" hidden="1" x14ac:dyDescent="0.25">
      <c r="A2089" s="148" t="s">
        <v>6196</v>
      </c>
      <c r="B2089" s="149" t="s">
        <v>6197</v>
      </c>
      <c r="C2089" s="150" t="s">
        <v>18</v>
      </c>
      <c r="D2089" s="150">
        <v>0</v>
      </c>
      <c r="E2089" s="151" t="s">
        <v>13</v>
      </c>
      <c r="F2089" s="152" t="str">
        <f t="shared" si="98"/>
        <v/>
      </c>
      <c r="G2089" s="153">
        <f>IF($K2089="Padrão",BDI!$B$17,IF($K2089="Diferenciado",BDI!$E$17,0))</f>
        <v>0.2039</v>
      </c>
      <c r="H2089" s="151" t="str">
        <f t="shared" si="96"/>
        <v/>
      </c>
      <c r="I2089" s="152" t="str">
        <f t="shared" si="97"/>
        <v/>
      </c>
      <c r="J2089" s="154"/>
      <c r="K2089" s="155" t="s">
        <v>2966</v>
      </c>
    </row>
    <row r="2090" spans="1:11" hidden="1" x14ac:dyDescent="0.25">
      <c r="A2090" s="148" t="s">
        <v>6198</v>
      </c>
      <c r="B2090" s="149" t="s">
        <v>6199</v>
      </c>
      <c r="C2090" s="150" t="s">
        <v>18</v>
      </c>
      <c r="D2090" s="150">
        <v>0</v>
      </c>
      <c r="E2090" s="151" t="s">
        <v>13</v>
      </c>
      <c r="F2090" s="152" t="str">
        <f t="shared" si="98"/>
        <v/>
      </c>
      <c r="G2090" s="153">
        <f>IF($K2090="Padrão",BDI!$B$17,IF($K2090="Diferenciado",BDI!$E$17,0))</f>
        <v>0.2039</v>
      </c>
      <c r="H2090" s="151" t="str">
        <f t="shared" si="96"/>
        <v/>
      </c>
      <c r="I2090" s="152" t="str">
        <f t="shared" si="97"/>
        <v/>
      </c>
      <c r="J2090" s="154"/>
      <c r="K2090" s="155" t="s">
        <v>2966</v>
      </c>
    </row>
    <row r="2091" spans="1:11" hidden="1" x14ac:dyDescent="0.25">
      <c r="A2091" s="148" t="s">
        <v>6200</v>
      </c>
      <c r="B2091" s="149" t="s">
        <v>6201</v>
      </c>
      <c r="C2091" s="150" t="s">
        <v>18</v>
      </c>
      <c r="D2091" s="150">
        <v>0</v>
      </c>
      <c r="E2091" s="151" t="s">
        <v>13</v>
      </c>
      <c r="F2091" s="152" t="str">
        <f t="shared" si="98"/>
        <v/>
      </c>
      <c r="G2091" s="153">
        <f>IF($K2091="Padrão",BDI!$B$17,IF($K2091="Diferenciado",BDI!$E$17,0))</f>
        <v>0.2039</v>
      </c>
      <c r="H2091" s="151" t="str">
        <f t="shared" si="96"/>
        <v/>
      </c>
      <c r="I2091" s="152" t="str">
        <f t="shared" si="97"/>
        <v/>
      </c>
      <c r="J2091" s="154"/>
      <c r="K2091" s="155" t="s">
        <v>2966</v>
      </c>
    </row>
    <row r="2092" spans="1:11" hidden="1" x14ac:dyDescent="0.25">
      <c r="A2092" s="148" t="s">
        <v>6202</v>
      </c>
      <c r="B2092" s="149" t="s">
        <v>6203</v>
      </c>
      <c r="C2092" s="150" t="s">
        <v>18</v>
      </c>
      <c r="D2092" s="150">
        <v>0</v>
      </c>
      <c r="E2092" s="151" t="s">
        <v>13</v>
      </c>
      <c r="F2092" s="152" t="str">
        <f t="shared" si="98"/>
        <v/>
      </c>
      <c r="G2092" s="153">
        <f>IF($K2092="Padrão",BDI!$B$17,IF($K2092="Diferenciado",BDI!$E$17,0))</f>
        <v>0.2039</v>
      </c>
      <c r="H2092" s="151" t="str">
        <f t="shared" si="96"/>
        <v/>
      </c>
      <c r="I2092" s="152" t="str">
        <f t="shared" si="97"/>
        <v/>
      </c>
      <c r="J2092" s="154"/>
      <c r="K2092" s="155" t="s">
        <v>2966</v>
      </c>
    </row>
    <row r="2093" spans="1:11" hidden="1" x14ac:dyDescent="0.25">
      <c r="A2093" s="148" t="s">
        <v>6204</v>
      </c>
      <c r="B2093" s="149" t="s">
        <v>6205</v>
      </c>
      <c r="C2093" s="150" t="s">
        <v>18</v>
      </c>
      <c r="D2093" s="150">
        <v>0</v>
      </c>
      <c r="E2093" s="151" t="s">
        <v>13</v>
      </c>
      <c r="F2093" s="152" t="str">
        <f t="shared" si="98"/>
        <v/>
      </c>
      <c r="G2093" s="153">
        <f>IF($K2093="Padrão",BDI!$B$17,IF($K2093="Diferenciado",BDI!$E$17,0))</f>
        <v>0.2039</v>
      </c>
      <c r="H2093" s="151" t="str">
        <f t="shared" si="96"/>
        <v/>
      </c>
      <c r="I2093" s="152" t="str">
        <f t="shared" si="97"/>
        <v/>
      </c>
      <c r="J2093" s="154"/>
      <c r="K2093" s="155" t="s">
        <v>2966</v>
      </c>
    </row>
    <row r="2094" spans="1:11" hidden="1" x14ac:dyDescent="0.25">
      <c r="A2094" s="148" t="s">
        <v>6206</v>
      </c>
      <c r="B2094" s="149" t="s">
        <v>6207</v>
      </c>
      <c r="C2094" s="150" t="s">
        <v>18</v>
      </c>
      <c r="D2094" s="150">
        <v>0</v>
      </c>
      <c r="E2094" s="151" t="s">
        <v>13</v>
      </c>
      <c r="F2094" s="152" t="str">
        <f t="shared" si="98"/>
        <v/>
      </c>
      <c r="G2094" s="153">
        <f>IF($K2094="Padrão",BDI!$B$17,IF($K2094="Diferenciado",BDI!$E$17,0))</f>
        <v>0.2039</v>
      </c>
      <c r="H2094" s="151" t="str">
        <f t="shared" si="96"/>
        <v/>
      </c>
      <c r="I2094" s="152" t="str">
        <f t="shared" si="97"/>
        <v/>
      </c>
      <c r="J2094" s="154"/>
      <c r="K2094" s="155" t="s">
        <v>2966</v>
      </c>
    </row>
    <row r="2095" spans="1:11" hidden="1" x14ac:dyDescent="0.25">
      <c r="A2095" s="148" t="s">
        <v>6208</v>
      </c>
      <c r="B2095" s="149" t="s">
        <v>6209</v>
      </c>
      <c r="C2095" s="150" t="s">
        <v>18</v>
      </c>
      <c r="D2095" s="150">
        <v>0</v>
      </c>
      <c r="E2095" s="151" t="s">
        <v>13</v>
      </c>
      <c r="F2095" s="152" t="str">
        <f t="shared" si="98"/>
        <v/>
      </c>
      <c r="G2095" s="153">
        <f>IF($K2095="Padrão",BDI!$B$17,IF($K2095="Diferenciado",BDI!$E$17,0))</f>
        <v>0.2039</v>
      </c>
      <c r="H2095" s="151" t="str">
        <f t="shared" si="96"/>
        <v/>
      </c>
      <c r="I2095" s="152" t="str">
        <f t="shared" si="97"/>
        <v/>
      </c>
      <c r="J2095" s="154"/>
      <c r="K2095" s="155" t="s">
        <v>2966</v>
      </c>
    </row>
    <row r="2096" spans="1:11" ht="25.5" hidden="1" x14ac:dyDescent="0.25">
      <c r="A2096" s="148" t="s">
        <v>1483</v>
      </c>
      <c r="B2096" s="149" t="s">
        <v>6210</v>
      </c>
      <c r="C2096" s="150" t="s">
        <v>18</v>
      </c>
      <c r="D2096" s="150">
        <v>0</v>
      </c>
      <c r="E2096" s="151">
        <f ca="1">OFFSET(INDEX(Composições!A:H,MATCH(Orçamentária!A2096,Composições!A:A,0),8),2,0)</f>
        <v>0</v>
      </c>
      <c r="F2096" s="152">
        <f t="shared" ca="1" si="98"/>
        <v>0</v>
      </c>
      <c r="G2096" s="153">
        <f>IF($K2096="Padrão",BDI!$B$17,IF($K2096="Diferenciado",BDI!$E$17,0))</f>
        <v>0.2039</v>
      </c>
      <c r="H2096" s="151">
        <f t="shared" ca="1" si="96"/>
        <v>0</v>
      </c>
      <c r="I2096" s="152">
        <f t="shared" ca="1" si="97"/>
        <v>0</v>
      </c>
      <c r="J2096" s="154"/>
      <c r="K2096" s="155" t="s">
        <v>2966</v>
      </c>
    </row>
    <row r="2097" spans="1:11" hidden="1" x14ac:dyDescent="0.25">
      <c r="A2097" s="148" t="s">
        <v>6211</v>
      </c>
      <c r="B2097" s="149" t="s">
        <v>6212</v>
      </c>
      <c r="C2097" s="150" t="s">
        <v>18</v>
      </c>
      <c r="D2097" s="150">
        <v>0</v>
      </c>
      <c r="E2097" s="151" t="s">
        <v>13</v>
      </c>
      <c r="F2097" s="152" t="str">
        <f t="shared" si="98"/>
        <v/>
      </c>
      <c r="G2097" s="153">
        <f>IF($K2097="Padrão",BDI!$B$17,IF($K2097="Diferenciado",BDI!$E$17,0))</f>
        <v>0.2039</v>
      </c>
      <c r="H2097" s="151" t="str">
        <f t="shared" si="96"/>
        <v/>
      </c>
      <c r="I2097" s="152" t="str">
        <f t="shared" si="97"/>
        <v/>
      </c>
      <c r="J2097" s="154"/>
      <c r="K2097" s="155" t="s">
        <v>2966</v>
      </c>
    </row>
    <row r="2098" spans="1:11" hidden="1" x14ac:dyDescent="0.25">
      <c r="A2098" s="148" t="s">
        <v>6213</v>
      </c>
      <c r="B2098" s="149" t="s">
        <v>6214</v>
      </c>
      <c r="C2098" s="150" t="s">
        <v>18</v>
      </c>
      <c r="D2098" s="150">
        <v>0</v>
      </c>
      <c r="E2098" s="151" t="s">
        <v>13</v>
      </c>
      <c r="F2098" s="152" t="str">
        <f t="shared" si="98"/>
        <v/>
      </c>
      <c r="G2098" s="153">
        <f>IF($K2098="Padrão",BDI!$B$17,IF($K2098="Diferenciado",BDI!$E$17,0))</f>
        <v>0.2039</v>
      </c>
      <c r="H2098" s="151" t="str">
        <f t="shared" si="96"/>
        <v/>
      </c>
      <c r="I2098" s="152" t="str">
        <f t="shared" si="97"/>
        <v/>
      </c>
      <c r="J2098" s="154"/>
      <c r="K2098" s="155" t="s">
        <v>2966</v>
      </c>
    </row>
    <row r="2099" spans="1:11" hidden="1" x14ac:dyDescent="0.25">
      <c r="A2099" s="148" t="s">
        <v>1485</v>
      </c>
      <c r="B2099" s="149" t="s">
        <v>6215</v>
      </c>
      <c r="C2099" s="150" t="s">
        <v>18</v>
      </c>
      <c r="D2099" s="150">
        <v>0</v>
      </c>
      <c r="E2099" s="151">
        <f ca="1">OFFSET(INDEX(Composições!A:H,MATCH(Orçamentária!A2099,Composições!A:A,0),8),2,0)</f>
        <v>5.7854999999999999</v>
      </c>
      <c r="F2099" s="152">
        <f t="shared" ca="1" si="98"/>
        <v>0</v>
      </c>
      <c r="G2099" s="153">
        <f>IF($K2099="Padrão",BDI!$B$17,IF($K2099="Diferenciado",BDI!$E$17,0))</f>
        <v>0.2039</v>
      </c>
      <c r="H2099" s="151">
        <f t="shared" ca="1" si="96"/>
        <v>6.97</v>
      </c>
      <c r="I2099" s="152">
        <f t="shared" ca="1" si="97"/>
        <v>0</v>
      </c>
      <c r="J2099" s="154"/>
      <c r="K2099" s="155" t="s">
        <v>2966</v>
      </c>
    </row>
    <row r="2100" spans="1:11" hidden="1" x14ac:dyDescent="0.25">
      <c r="A2100" s="148" t="s">
        <v>1486</v>
      </c>
      <c r="B2100" s="149" t="s">
        <v>6216</v>
      </c>
      <c r="C2100" s="150" t="s">
        <v>18</v>
      </c>
      <c r="D2100" s="150">
        <v>0</v>
      </c>
      <c r="E2100" s="151">
        <f ca="1">OFFSET(INDEX(Composições!A:H,MATCH(Orçamentária!A2100,Composições!A:A,0),8),2,0)</f>
        <v>0</v>
      </c>
      <c r="F2100" s="152">
        <f t="shared" ca="1" si="98"/>
        <v>0</v>
      </c>
      <c r="G2100" s="153">
        <f>IF($K2100="Padrão",BDI!$B$17,IF($K2100="Diferenciado",BDI!$E$17,0))</f>
        <v>0.2039</v>
      </c>
      <c r="H2100" s="151">
        <f t="shared" ca="1" si="96"/>
        <v>0</v>
      </c>
      <c r="I2100" s="152">
        <f t="shared" ca="1" si="97"/>
        <v>0</v>
      </c>
      <c r="J2100" s="154"/>
      <c r="K2100" s="155" t="s">
        <v>2966</v>
      </c>
    </row>
    <row r="2101" spans="1:11" hidden="1" x14ac:dyDescent="0.25">
      <c r="A2101" s="148" t="s">
        <v>6217</v>
      </c>
      <c r="B2101" s="149" t="s">
        <v>6218</v>
      </c>
      <c r="C2101" s="150" t="s">
        <v>18</v>
      </c>
      <c r="D2101" s="150">
        <v>0</v>
      </c>
      <c r="E2101" s="151" t="s">
        <v>13</v>
      </c>
      <c r="F2101" s="152" t="str">
        <f t="shared" si="98"/>
        <v/>
      </c>
      <c r="G2101" s="153">
        <f>IF($K2101="Padrão",BDI!$B$17,IF($K2101="Diferenciado",BDI!$E$17,0))</f>
        <v>0.2039</v>
      </c>
      <c r="H2101" s="151" t="str">
        <f t="shared" si="96"/>
        <v/>
      </c>
      <c r="I2101" s="152" t="str">
        <f t="shared" si="97"/>
        <v/>
      </c>
      <c r="J2101" s="154"/>
      <c r="K2101" s="155" t="s">
        <v>2966</v>
      </c>
    </row>
    <row r="2102" spans="1:11" hidden="1" x14ac:dyDescent="0.25">
      <c r="A2102" s="148" t="s">
        <v>6219</v>
      </c>
      <c r="B2102" s="149" t="s">
        <v>6220</v>
      </c>
      <c r="C2102" s="150" t="s">
        <v>18</v>
      </c>
      <c r="D2102" s="150">
        <v>0</v>
      </c>
      <c r="E2102" s="151" t="s">
        <v>13</v>
      </c>
      <c r="F2102" s="152" t="str">
        <f t="shared" si="98"/>
        <v/>
      </c>
      <c r="G2102" s="153">
        <f>IF($K2102="Padrão",BDI!$B$17,IF($K2102="Diferenciado",BDI!$E$17,0))</f>
        <v>0.2039</v>
      </c>
      <c r="H2102" s="151" t="str">
        <f t="shared" si="96"/>
        <v/>
      </c>
      <c r="I2102" s="152" t="str">
        <f t="shared" si="97"/>
        <v/>
      </c>
      <c r="J2102" s="154"/>
      <c r="K2102" s="155" t="s">
        <v>2966</v>
      </c>
    </row>
    <row r="2103" spans="1:11" hidden="1" x14ac:dyDescent="0.25">
      <c r="A2103" s="148" t="s">
        <v>6221</v>
      </c>
      <c r="B2103" s="149" t="s">
        <v>6222</v>
      </c>
      <c r="C2103" s="150" t="s">
        <v>18</v>
      </c>
      <c r="D2103" s="150">
        <v>0</v>
      </c>
      <c r="E2103" s="151" t="s">
        <v>13</v>
      </c>
      <c r="F2103" s="152" t="str">
        <f t="shared" si="98"/>
        <v/>
      </c>
      <c r="G2103" s="153">
        <f>IF($K2103="Padrão",BDI!$B$17,IF($K2103="Diferenciado",BDI!$E$17,0))</f>
        <v>0.2039</v>
      </c>
      <c r="H2103" s="151" t="str">
        <f t="shared" si="96"/>
        <v/>
      </c>
      <c r="I2103" s="152" t="str">
        <f t="shared" si="97"/>
        <v/>
      </c>
      <c r="J2103" s="154"/>
      <c r="K2103" s="155" t="s">
        <v>2966</v>
      </c>
    </row>
    <row r="2104" spans="1:11" hidden="1" x14ac:dyDescent="0.25">
      <c r="A2104" s="148" t="s">
        <v>1488</v>
      </c>
      <c r="B2104" s="149" t="s">
        <v>6223</v>
      </c>
      <c r="C2104" s="150" t="s">
        <v>18</v>
      </c>
      <c r="D2104" s="150">
        <v>0</v>
      </c>
      <c r="E2104" s="151">
        <f ca="1">OFFSET(INDEX(Composições!A:H,MATCH(Orçamentária!A2104,Composições!A:A,0),8),2,0)</f>
        <v>19.189999999999998</v>
      </c>
      <c r="F2104" s="152">
        <f t="shared" ca="1" si="98"/>
        <v>0</v>
      </c>
      <c r="G2104" s="153">
        <f>IF($K2104="Padrão",BDI!$B$17,IF($K2104="Diferenciado",BDI!$E$17,0))</f>
        <v>0.2039</v>
      </c>
      <c r="H2104" s="151">
        <f t="shared" ca="1" si="96"/>
        <v>23.1</v>
      </c>
      <c r="I2104" s="152">
        <f t="shared" ca="1" si="97"/>
        <v>0</v>
      </c>
      <c r="J2104" s="154"/>
      <c r="K2104" s="155" t="s">
        <v>2966</v>
      </c>
    </row>
    <row r="2105" spans="1:11" hidden="1" x14ac:dyDescent="0.25">
      <c r="A2105" s="148" t="s">
        <v>6224</v>
      </c>
      <c r="B2105" s="149" t="s">
        <v>6225</v>
      </c>
      <c r="C2105" s="150" t="s">
        <v>18</v>
      </c>
      <c r="D2105" s="150">
        <v>0</v>
      </c>
      <c r="E2105" s="151" t="s">
        <v>13</v>
      </c>
      <c r="F2105" s="152" t="str">
        <f t="shared" si="98"/>
        <v/>
      </c>
      <c r="G2105" s="153">
        <f>IF($K2105="Padrão",BDI!$B$17,IF($K2105="Diferenciado",BDI!$E$17,0))</f>
        <v>0.2039</v>
      </c>
      <c r="H2105" s="151" t="str">
        <f t="shared" si="96"/>
        <v/>
      </c>
      <c r="I2105" s="152" t="str">
        <f t="shared" si="97"/>
        <v/>
      </c>
      <c r="J2105" s="154"/>
      <c r="K2105" s="155" t="s">
        <v>2966</v>
      </c>
    </row>
    <row r="2106" spans="1:11" hidden="1" x14ac:dyDescent="0.25">
      <c r="A2106" s="148" t="s">
        <v>6226</v>
      </c>
      <c r="B2106" s="149" t="s">
        <v>6227</v>
      </c>
      <c r="C2106" s="150" t="s">
        <v>18</v>
      </c>
      <c r="D2106" s="150">
        <v>0</v>
      </c>
      <c r="E2106" s="151" t="s">
        <v>13</v>
      </c>
      <c r="F2106" s="152" t="str">
        <f t="shared" si="98"/>
        <v/>
      </c>
      <c r="G2106" s="153">
        <f>IF($K2106="Padrão",BDI!$B$17,IF($K2106="Diferenciado",BDI!$E$17,0))</f>
        <v>0.2039</v>
      </c>
      <c r="H2106" s="151" t="str">
        <f t="shared" si="96"/>
        <v/>
      </c>
      <c r="I2106" s="152" t="str">
        <f t="shared" si="97"/>
        <v/>
      </c>
      <c r="J2106" s="154"/>
      <c r="K2106" s="155" t="s">
        <v>2966</v>
      </c>
    </row>
    <row r="2107" spans="1:11" hidden="1" x14ac:dyDescent="0.25">
      <c r="A2107" s="148" t="s">
        <v>6228</v>
      </c>
      <c r="B2107" s="149" t="s">
        <v>6229</v>
      </c>
      <c r="C2107" s="150" t="s">
        <v>18</v>
      </c>
      <c r="D2107" s="150">
        <v>0</v>
      </c>
      <c r="E2107" s="151" t="s">
        <v>13</v>
      </c>
      <c r="F2107" s="152" t="str">
        <f t="shared" si="98"/>
        <v/>
      </c>
      <c r="G2107" s="153">
        <f>IF($K2107="Padrão",BDI!$B$17,IF($K2107="Diferenciado",BDI!$E$17,0))</f>
        <v>0.2039</v>
      </c>
      <c r="H2107" s="151" t="str">
        <f t="shared" si="96"/>
        <v/>
      </c>
      <c r="I2107" s="152" t="str">
        <f t="shared" si="97"/>
        <v/>
      </c>
      <c r="J2107" s="154"/>
      <c r="K2107" s="155" t="s">
        <v>2966</v>
      </c>
    </row>
    <row r="2108" spans="1:11" hidden="1" x14ac:dyDescent="0.25">
      <c r="A2108" s="148" t="s">
        <v>6230</v>
      </c>
      <c r="B2108" s="149" t="s">
        <v>6231</v>
      </c>
      <c r="C2108" s="150" t="s">
        <v>18</v>
      </c>
      <c r="D2108" s="150">
        <v>0</v>
      </c>
      <c r="E2108" s="151" t="s">
        <v>13</v>
      </c>
      <c r="F2108" s="152" t="str">
        <f t="shared" si="98"/>
        <v/>
      </c>
      <c r="G2108" s="153">
        <f>IF($K2108="Padrão",BDI!$B$17,IF($K2108="Diferenciado",BDI!$E$17,0))</f>
        <v>0.2039</v>
      </c>
      <c r="H2108" s="151" t="str">
        <f t="shared" si="96"/>
        <v/>
      </c>
      <c r="I2108" s="152" t="str">
        <f t="shared" si="97"/>
        <v/>
      </c>
      <c r="J2108" s="154"/>
      <c r="K2108" s="155" t="s">
        <v>2966</v>
      </c>
    </row>
    <row r="2109" spans="1:11" hidden="1" x14ac:dyDescent="0.25">
      <c r="A2109" s="148" t="s">
        <v>6232</v>
      </c>
      <c r="B2109" s="149" t="s">
        <v>6233</v>
      </c>
      <c r="C2109" s="150" t="s">
        <v>18</v>
      </c>
      <c r="D2109" s="150">
        <v>0</v>
      </c>
      <c r="E2109" s="151" t="s">
        <v>13</v>
      </c>
      <c r="F2109" s="152" t="str">
        <f t="shared" si="98"/>
        <v/>
      </c>
      <c r="G2109" s="153">
        <f>IF($K2109="Padrão",BDI!$B$17,IF($K2109="Diferenciado",BDI!$E$17,0))</f>
        <v>0.2039</v>
      </c>
      <c r="H2109" s="151" t="str">
        <f t="shared" si="96"/>
        <v/>
      </c>
      <c r="I2109" s="152" t="str">
        <f t="shared" si="97"/>
        <v/>
      </c>
      <c r="J2109" s="154"/>
      <c r="K2109" s="155" t="s">
        <v>2966</v>
      </c>
    </row>
    <row r="2110" spans="1:11" hidden="1" x14ac:dyDescent="0.25">
      <c r="A2110" s="148" t="s">
        <v>6234</v>
      </c>
      <c r="B2110" s="149" t="s">
        <v>6235</v>
      </c>
      <c r="C2110" s="150" t="s">
        <v>5031</v>
      </c>
      <c r="D2110" s="150">
        <v>0</v>
      </c>
      <c r="E2110" s="151" t="s">
        <v>13</v>
      </c>
      <c r="F2110" s="152" t="str">
        <f t="shared" si="98"/>
        <v/>
      </c>
      <c r="G2110" s="153">
        <f>IF($K2110="Padrão",BDI!$B$17,IF($K2110="Diferenciado",BDI!$E$17,0))</f>
        <v>0.2039</v>
      </c>
      <c r="H2110" s="151" t="str">
        <f t="shared" si="96"/>
        <v/>
      </c>
      <c r="I2110" s="152" t="str">
        <f t="shared" si="97"/>
        <v/>
      </c>
      <c r="J2110" s="154"/>
      <c r="K2110" s="155" t="s">
        <v>2966</v>
      </c>
    </row>
    <row r="2111" spans="1:11" hidden="1" x14ac:dyDescent="0.25">
      <c r="A2111" s="148" t="s">
        <v>6236</v>
      </c>
      <c r="B2111" s="149" t="s">
        <v>6237</v>
      </c>
      <c r="C2111" s="150" t="s">
        <v>5031</v>
      </c>
      <c r="D2111" s="150">
        <v>0</v>
      </c>
      <c r="E2111" s="151" t="s">
        <v>13</v>
      </c>
      <c r="F2111" s="152" t="str">
        <f t="shared" si="98"/>
        <v/>
      </c>
      <c r="G2111" s="153">
        <f>IF($K2111="Padrão",BDI!$B$17,IF($K2111="Diferenciado",BDI!$E$17,0))</f>
        <v>0.2039</v>
      </c>
      <c r="H2111" s="151" t="str">
        <f t="shared" si="96"/>
        <v/>
      </c>
      <c r="I2111" s="152" t="str">
        <f t="shared" si="97"/>
        <v/>
      </c>
      <c r="J2111" s="154"/>
      <c r="K2111" s="155" t="s">
        <v>2966</v>
      </c>
    </row>
    <row r="2112" spans="1:11" hidden="1" x14ac:dyDescent="0.25">
      <c r="A2112" s="148" t="s">
        <v>6238</v>
      </c>
      <c r="B2112" s="149" t="s">
        <v>6239</v>
      </c>
      <c r="C2112" s="150" t="s">
        <v>5031</v>
      </c>
      <c r="D2112" s="150">
        <v>0</v>
      </c>
      <c r="E2112" s="151" t="s">
        <v>13</v>
      </c>
      <c r="F2112" s="152" t="str">
        <f t="shared" si="98"/>
        <v/>
      </c>
      <c r="G2112" s="153">
        <f>IF($K2112="Padrão",BDI!$B$17,IF($K2112="Diferenciado",BDI!$E$17,0))</f>
        <v>0.2039</v>
      </c>
      <c r="H2112" s="151" t="str">
        <f t="shared" si="96"/>
        <v/>
      </c>
      <c r="I2112" s="152" t="str">
        <f t="shared" si="97"/>
        <v/>
      </c>
      <c r="J2112" s="154"/>
      <c r="K2112" s="155" t="s">
        <v>2966</v>
      </c>
    </row>
    <row r="2113" spans="1:11" hidden="1" x14ac:dyDescent="0.25">
      <c r="A2113" s="148" t="s">
        <v>6240</v>
      </c>
      <c r="B2113" s="149" t="s">
        <v>6241</v>
      </c>
      <c r="C2113" s="150" t="s">
        <v>5031</v>
      </c>
      <c r="D2113" s="150">
        <v>0</v>
      </c>
      <c r="E2113" s="151" t="s">
        <v>13</v>
      </c>
      <c r="F2113" s="152" t="str">
        <f t="shared" si="98"/>
        <v/>
      </c>
      <c r="G2113" s="153">
        <f>IF($K2113="Padrão",BDI!$B$17,IF($K2113="Diferenciado",BDI!$E$17,0))</f>
        <v>0.2039</v>
      </c>
      <c r="H2113" s="151" t="str">
        <f t="shared" si="96"/>
        <v/>
      </c>
      <c r="I2113" s="152" t="str">
        <f t="shared" si="97"/>
        <v/>
      </c>
      <c r="J2113" s="154"/>
      <c r="K2113" s="155" t="s">
        <v>2966</v>
      </c>
    </row>
    <row r="2114" spans="1:11" hidden="1" x14ac:dyDescent="0.25">
      <c r="A2114" s="148" t="s">
        <v>6242</v>
      </c>
      <c r="B2114" s="149" t="s">
        <v>6243</v>
      </c>
      <c r="C2114" s="150" t="s">
        <v>18</v>
      </c>
      <c r="D2114" s="150">
        <v>0</v>
      </c>
      <c r="E2114" s="151" t="s">
        <v>13</v>
      </c>
      <c r="F2114" s="152" t="str">
        <f t="shared" si="98"/>
        <v/>
      </c>
      <c r="G2114" s="153">
        <f>IF($K2114="Padrão",BDI!$B$17,IF($K2114="Diferenciado",BDI!$E$17,0))</f>
        <v>0.2039</v>
      </c>
      <c r="H2114" s="151" t="str">
        <f t="shared" si="96"/>
        <v/>
      </c>
      <c r="I2114" s="152" t="str">
        <f t="shared" si="97"/>
        <v/>
      </c>
      <c r="J2114" s="154"/>
      <c r="K2114" s="155" t="s">
        <v>2966</v>
      </c>
    </row>
    <row r="2115" spans="1:11" hidden="1" x14ac:dyDescent="0.25">
      <c r="A2115" s="148" t="s">
        <v>6244</v>
      </c>
      <c r="B2115" s="149" t="s">
        <v>6245</v>
      </c>
      <c r="C2115" s="150" t="s">
        <v>18</v>
      </c>
      <c r="D2115" s="150">
        <v>0</v>
      </c>
      <c r="E2115" s="151" t="s">
        <v>13</v>
      </c>
      <c r="F2115" s="152" t="str">
        <f t="shared" si="98"/>
        <v/>
      </c>
      <c r="G2115" s="153">
        <f>IF($K2115="Padrão",BDI!$B$17,IF($K2115="Diferenciado",BDI!$E$17,0))</f>
        <v>0.2039</v>
      </c>
      <c r="H2115" s="151" t="str">
        <f t="shared" si="96"/>
        <v/>
      </c>
      <c r="I2115" s="152" t="str">
        <f t="shared" si="97"/>
        <v/>
      </c>
      <c r="J2115" s="154"/>
      <c r="K2115" s="155" t="s">
        <v>2966</v>
      </c>
    </row>
    <row r="2116" spans="1:11" hidden="1" x14ac:dyDescent="0.25">
      <c r="A2116" s="148" t="s">
        <v>6246</v>
      </c>
      <c r="B2116" s="149" t="s">
        <v>6247</v>
      </c>
      <c r="C2116" s="150" t="s">
        <v>18</v>
      </c>
      <c r="D2116" s="150">
        <v>0</v>
      </c>
      <c r="E2116" s="151" t="s">
        <v>13</v>
      </c>
      <c r="F2116" s="152" t="str">
        <f t="shared" si="98"/>
        <v/>
      </c>
      <c r="G2116" s="153">
        <f>IF($K2116="Padrão",BDI!$B$17,IF($K2116="Diferenciado",BDI!$E$17,0))</f>
        <v>0.2039</v>
      </c>
      <c r="H2116" s="151" t="str">
        <f t="shared" si="96"/>
        <v/>
      </c>
      <c r="I2116" s="152" t="str">
        <f t="shared" si="97"/>
        <v/>
      </c>
      <c r="J2116" s="154"/>
      <c r="K2116" s="155" t="s">
        <v>2966</v>
      </c>
    </row>
    <row r="2117" spans="1:11" hidden="1" x14ac:dyDescent="0.25">
      <c r="A2117" s="148" t="s">
        <v>6248</v>
      </c>
      <c r="B2117" s="149" t="s">
        <v>6249</v>
      </c>
      <c r="C2117" s="150" t="s">
        <v>18</v>
      </c>
      <c r="D2117" s="150">
        <v>0</v>
      </c>
      <c r="E2117" s="151" t="s">
        <v>13</v>
      </c>
      <c r="F2117" s="152" t="str">
        <f t="shared" si="98"/>
        <v/>
      </c>
      <c r="G2117" s="153">
        <f>IF($K2117="Padrão",BDI!$B$17,IF($K2117="Diferenciado",BDI!$E$17,0))</f>
        <v>0.2039</v>
      </c>
      <c r="H2117" s="151" t="str">
        <f t="shared" si="96"/>
        <v/>
      </c>
      <c r="I2117" s="152" t="str">
        <f t="shared" si="97"/>
        <v/>
      </c>
      <c r="J2117" s="154"/>
      <c r="K2117" s="155" t="s">
        <v>2966</v>
      </c>
    </row>
    <row r="2118" spans="1:11" hidden="1" x14ac:dyDescent="0.25">
      <c r="A2118" s="148" t="s">
        <v>6250</v>
      </c>
      <c r="B2118" s="149" t="s">
        <v>6251</v>
      </c>
      <c r="C2118" s="150" t="s">
        <v>18</v>
      </c>
      <c r="D2118" s="150">
        <v>0</v>
      </c>
      <c r="E2118" s="151" t="s">
        <v>13</v>
      </c>
      <c r="F2118" s="152" t="str">
        <f t="shared" si="98"/>
        <v/>
      </c>
      <c r="G2118" s="153">
        <f>IF($K2118="Padrão",BDI!$B$17,IF($K2118="Diferenciado",BDI!$E$17,0))</f>
        <v>0.2039</v>
      </c>
      <c r="H2118" s="151" t="str">
        <f t="shared" ref="H2118:H2181" si="99">IF(ISNUMBER(E2118),ROUND(E2118*(1+G2118),2),"")</f>
        <v/>
      </c>
      <c r="I2118" s="152" t="str">
        <f t="shared" ref="I2118:I2181" si="100">IF(ISNUMBER(E2118),ROUND(H2118*D2118,2),"")</f>
        <v/>
      </c>
      <c r="J2118" s="154"/>
      <c r="K2118" s="155" t="s">
        <v>2966</v>
      </c>
    </row>
    <row r="2119" spans="1:11" hidden="1" x14ac:dyDescent="0.25">
      <c r="A2119" s="148" t="s">
        <v>6252</v>
      </c>
      <c r="B2119" s="149" t="s">
        <v>6253</v>
      </c>
      <c r="C2119" s="150" t="s">
        <v>18</v>
      </c>
      <c r="D2119" s="150">
        <v>0</v>
      </c>
      <c r="E2119" s="151" t="s">
        <v>13</v>
      </c>
      <c r="F2119" s="152" t="str">
        <f t="shared" ref="F2119:F2182" si="101">IF(ISNUMBER(E2119),D2119*E2119,"")</f>
        <v/>
      </c>
      <c r="G2119" s="153">
        <f>IF($K2119="Padrão",BDI!$B$17,IF($K2119="Diferenciado",BDI!$E$17,0))</f>
        <v>0.2039</v>
      </c>
      <c r="H2119" s="151" t="str">
        <f t="shared" si="99"/>
        <v/>
      </c>
      <c r="I2119" s="152" t="str">
        <f t="shared" si="100"/>
        <v/>
      </c>
      <c r="J2119" s="154"/>
      <c r="K2119" s="155" t="s">
        <v>2966</v>
      </c>
    </row>
    <row r="2120" spans="1:11" hidden="1" x14ac:dyDescent="0.25">
      <c r="A2120" s="148" t="s">
        <v>6254</v>
      </c>
      <c r="B2120" s="149" t="s">
        <v>6255</v>
      </c>
      <c r="C2120" s="150" t="s">
        <v>18</v>
      </c>
      <c r="D2120" s="150">
        <v>0</v>
      </c>
      <c r="E2120" s="151" t="s">
        <v>13</v>
      </c>
      <c r="F2120" s="152" t="str">
        <f t="shared" si="101"/>
        <v/>
      </c>
      <c r="G2120" s="153">
        <f>IF($K2120="Padrão",BDI!$B$17,IF($K2120="Diferenciado",BDI!$E$17,0))</f>
        <v>0.2039</v>
      </c>
      <c r="H2120" s="151" t="str">
        <f t="shared" si="99"/>
        <v/>
      </c>
      <c r="I2120" s="152" t="str">
        <f t="shared" si="100"/>
        <v/>
      </c>
      <c r="J2120" s="154"/>
      <c r="K2120" s="155" t="s">
        <v>2966</v>
      </c>
    </row>
    <row r="2121" spans="1:11" hidden="1" x14ac:dyDescent="0.25">
      <c r="A2121" s="148" t="s">
        <v>6256</v>
      </c>
      <c r="B2121" s="149" t="s">
        <v>6257</v>
      </c>
      <c r="C2121" s="150" t="s">
        <v>18</v>
      </c>
      <c r="D2121" s="150">
        <v>0</v>
      </c>
      <c r="E2121" s="151" t="s">
        <v>13</v>
      </c>
      <c r="F2121" s="152" t="str">
        <f t="shared" si="101"/>
        <v/>
      </c>
      <c r="G2121" s="153">
        <f>IF($K2121="Padrão",BDI!$B$17,IF($K2121="Diferenciado",BDI!$E$17,0))</f>
        <v>0.2039</v>
      </c>
      <c r="H2121" s="151" t="str">
        <f t="shared" si="99"/>
        <v/>
      </c>
      <c r="I2121" s="152" t="str">
        <f t="shared" si="100"/>
        <v/>
      </c>
      <c r="J2121" s="154"/>
      <c r="K2121" s="155" t="s">
        <v>2966</v>
      </c>
    </row>
    <row r="2122" spans="1:11" hidden="1" x14ac:dyDescent="0.25">
      <c r="A2122" s="148" t="s">
        <v>6258</v>
      </c>
      <c r="B2122" s="149" t="s">
        <v>6259</v>
      </c>
      <c r="C2122" s="150" t="s">
        <v>18</v>
      </c>
      <c r="D2122" s="150">
        <v>0</v>
      </c>
      <c r="E2122" s="151" t="s">
        <v>13</v>
      </c>
      <c r="F2122" s="152" t="str">
        <f t="shared" si="101"/>
        <v/>
      </c>
      <c r="G2122" s="153">
        <f>IF($K2122="Padrão",BDI!$B$17,IF($K2122="Diferenciado",BDI!$E$17,0))</f>
        <v>0.2039</v>
      </c>
      <c r="H2122" s="151" t="str">
        <f t="shared" si="99"/>
        <v/>
      </c>
      <c r="I2122" s="152" t="str">
        <f t="shared" si="100"/>
        <v/>
      </c>
      <c r="J2122" s="154"/>
      <c r="K2122" s="155" t="s">
        <v>2966</v>
      </c>
    </row>
    <row r="2123" spans="1:11" hidden="1" x14ac:dyDescent="0.25">
      <c r="A2123" s="148" t="s">
        <v>6260</v>
      </c>
      <c r="B2123" s="149" t="s">
        <v>378</v>
      </c>
      <c r="C2123" s="150" t="s">
        <v>18</v>
      </c>
      <c r="D2123" s="150">
        <v>0</v>
      </c>
      <c r="E2123" s="151" t="s">
        <v>13</v>
      </c>
      <c r="F2123" s="152" t="str">
        <f t="shared" si="101"/>
        <v/>
      </c>
      <c r="G2123" s="153">
        <f>IF($K2123="Padrão",BDI!$B$17,IF($K2123="Diferenciado",BDI!$E$17,0))</f>
        <v>0.2039</v>
      </c>
      <c r="H2123" s="151" t="str">
        <f t="shared" si="99"/>
        <v/>
      </c>
      <c r="I2123" s="152" t="str">
        <f t="shared" si="100"/>
        <v/>
      </c>
      <c r="J2123" s="154"/>
      <c r="K2123" s="155" t="s">
        <v>2966</v>
      </c>
    </row>
    <row r="2124" spans="1:11" hidden="1" x14ac:dyDescent="0.25">
      <c r="A2124" s="148" t="s">
        <v>6261</v>
      </c>
      <c r="B2124" s="149" t="s">
        <v>383</v>
      </c>
      <c r="C2124" s="150" t="s">
        <v>18</v>
      </c>
      <c r="D2124" s="150">
        <v>0</v>
      </c>
      <c r="E2124" s="151" t="s">
        <v>13</v>
      </c>
      <c r="F2124" s="152" t="str">
        <f t="shared" si="101"/>
        <v/>
      </c>
      <c r="G2124" s="153">
        <f>IF($K2124="Padrão",BDI!$B$17,IF($K2124="Diferenciado",BDI!$E$17,0))</f>
        <v>0.2039</v>
      </c>
      <c r="H2124" s="151" t="str">
        <f t="shared" si="99"/>
        <v/>
      </c>
      <c r="I2124" s="152" t="str">
        <f t="shared" si="100"/>
        <v/>
      </c>
      <c r="J2124" s="154"/>
      <c r="K2124" s="155" t="s">
        <v>2966</v>
      </c>
    </row>
    <row r="2125" spans="1:11" hidden="1" x14ac:dyDescent="0.25">
      <c r="A2125" s="148" t="s">
        <v>6262</v>
      </c>
      <c r="B2125" s="149" t="s">
        <v>6263</v>
      </c>
      <c r="C2125" s="150" t="s">
        <v>18</v>
      </c>
      <c r="D2125" s="150">
        <v>0</v>
      </c>
      <c r="E2125" s="151" t="s">
        <v>13</v>
      </c>
      <c r="F2125" s="152" t="str">
        <f t="shared" si="101"/>
        <v/>
      </c>
      <c r="G2125" s="153">
        <f>IF($K2125="Padrão",BDI!$B$17,IF($K2125="Diferenciado",BDI!$E$17,0))</f>
        <v>0.2039</v>
      </c>
      <c r="H2125" s="151" t="str">
        <f t="shared" si="99"/>
        <v/>
      </c>
      <c r="I2125" s="152" t="str">
        <f t="shared" si="100"/>
        <v/>
      </c>
      <c r="J2125" s="154"/>
      <c r="K2125" s="155" t="s">
        <v>2966</v>
      </c>
    </row>
    <row r="2126" spans="1:11" hidden="1" x14ac:dyDescent="0.25">
      <c r="A2126" s="148" t="s">
        <v>6264</v>
      </c>
      <c r="B2126" s="149" t="s">
        <v>6265</v>
      </c>
      <c r="C2126" s="150" t="s">
        <v>18</v>
      </c>
      <c r="D2126" s="150">
        <v>0</v>
      </c>
      <c r="E2126" s="151" t="s">
        <v>13</v>
      </c>
      <c r="F2126" s="152" t="str">
        <f t="shared" si="101"/>
        <v/>
      </c>
      <c r="G2126" s="153">
        <f>IF($K2126="Padrão",BDI!$B$17,IF($K2126="Diferenciado",BDI!$E$17,0))</f>
        <v>0.2039</v>
      </c>
      <c r="H2126" s="151" t="str">
        <f t="shared" si="99"/>
        <v/>
      </c>
      <c r="I2126" s="152" t="str">
        <f t="shared" si="100"/>
        <v/>
      </c>
      <c r="J2126" s="154"/>
      <c r="K2126" s="155" t="s">
        <v>2966</v>
      </c>
    </row>
    <row r="2127" spans="1:11" hidden="1" x14ac:dyDescent="0.25">
      <c r="A2127" s="148" t="s">
        <v>6266</v>
      </c>
      <c r="B2127" s="149" t="s">
        <v>6267</v>
      </c>
      <c r="C2127" s="150" t="s">
        <v>18</v>
      </c>
      <c r="D2127" s="150">
        <v>0</v>
      </c>
      <c r="E2127" s="151" t="s">
        <v>13</v>
      </c>
      <c r="F2127" s="152" t="str">
        <f t="shared" si="101"/>
        <v/>
      </c>
      <c r="G2127" s="153">
        <f>IF($K2127="Padrão",BDI!$B$17,IF($K2127="Diferenciado",BDI!$E$17,0))</f>
        <v>0.2039</v>
      </c>
      <c r="H2127" s="151" t="str">
        <f t="shared" si="99"/>
        <v/>
      </c>
      <c r="I2127" s="152" t="str">
        <f t="shared" si="100"/>
        <v/>
      </c>
      <c r="J2127" s="154"/>
      <c r="K2127" s="155" t="s">
        <v>2966</v>
      </c>
    </row>
    <row r="2128" spans="1:11" hidden="1" x14ac:dyDescent="0.25">
      <c r="A2128" s="148" t="s">
        <v>6268</v>
      </c>
      <c r="B2128" s="149" t="s">
        <v>6269</v>
      </c>
      <c r="C2128" s="150" t="s">
        <v>18</v>
      </c>
      <c r="D2128" s="150">
        <v>0</v>
      </c>
      <c r="E2128" s="151" t="s">
        <v>13</v>
      </c>
      <c r="F2128" s="152" t="str">
        <f t="shared" si="101"/>
        <v/>
      </c>
      <c r="G2128" s="153">
        <f>IF($K2128="Padrão",BDI!$B$17,IF($K2128="Diferenciado",BDI!$E$17,0))</f>
        <v>0.2039</v>
      </c>
      <c r="H2128" s="151" t="str">
        <f t="shared" si="99"/>
        <v/>
      </c>
      <c r="I2128" s="152" t="str">
        <f t="shared" si="100"/>
        <v/>
      </c>
      <c r="J2128" s="154"/>
      <c r="K2128" s="155" t="s">
        <v>2966</v>
      </c>
    </row>
    <row r="2129" spans="1:11" hidden="1" x14ac:dyDescent="0.25">
      <c r="A2129" s="148" t="s">
        <v>6270</v>
      </c>
      <c r="B2129" s="149" t="s">
        <v>6271</v>
      </c>
      <c r="C2129" s="150" t="s">
        <v>18</v>
      </c>
      <c r="D2129" s="150">
        <v>0</v>
      </c>
      <c r="E2129" s="151" t="s">
        <v>13</v>
      </c>
      <c r="F2129" s="152" t="str">
        <f t="shared" si="101"/>
        <v/>
      </c>
      <c r="G2129" s="153">
        <f>IF($K2129="Padrão",BDI!$B$17,IF($K2129="Diferenciado",BDI!$E$17,0))</f>
        <v>0.2039</v>
      </c>
      <c r="H2129" s="151" t="str">
        <f t="shared" si="99"/>
        <v/>
      </c>
      <c r="I2129" s="152" t="str">
        <f t="shared" si="100"/>
        <v/>
      </c>
      <c r="J2129" s="154"/>
      <c r="K2129" s="155" t="s">
        <v>2966</v>
      </c>
    </row>
    <row r="2130" spans="1:11" hidden="1" x14ac:dyDescent="0.25">
      <c r="A2130" s="148" t="s">
        <v>6272</v>
      </c>
      <c r="B2130" s="149" t="s">
        <v>6273</v>
      </c>
      <c r="C2130" s="150" t="s">
        <v>18</v>
      </c>
      <c r="D2130" s="150">
        <v>0</v>
      </c>
      <c r="E2130" s="151" t="s">
        <v>13</v>
      </c>
      <c r="F2130" s="152" t="str">
        <f t="shared" si="101"/>
        <v/>
      </c>
      <c r="G2130" s="153">
        <f>IF($K2130="Padrão",BDI!$B$17,IF($K2130="Diferenciado",BDI!$E$17,0))</f>
        <v>0.2039</v>
      </c>
      <c r="H2130" s="151" t="str">
        <f t="shared" si="99"/>
        <v/>
      </c>
      <c r="I2130" s="152" t="str">
        <f t="shared" si="100"/>
        <v/>
      </c>
      <c r="J2130" s="154"/>
      <c r="K2130" s="155" t="s">
        <v>2966</v>
      </c>
    </row>
    <row r="2131" spans="1:11" hidden="1" x14ac:dyDescent="0.25">
      <c r="A2131" s="148" t="s">
        <v>6274</v>
      </c>
      <c r="B2131" s="149" t="s">
        <v>6275</v>
      </c>
      <c r="C2131" s="150" t="s">
        <v>18</v>
      </c>
      <c r="D2131" s="150">
        <v>0</v>
      </c>
      <c r="E2131" s="151" t="s">
        <v>13</v>
      </c>
      <c r="F2131" s="152" t="str">
        <f t="shared" si="101"/>
        <v/>
      </c>
      <c r="G2131" s="153">
        <f>IF($K2131="Padrão",BDI!$B$17,IF($K2131="Diferenciado",BDI!$E$17,0))</f>
        <v>0.2039</v>
      </c>
      <c r="H2131" s="151" t="str">
        <f t="shared" si="99"/>
        <v/>
      </c>
      <c r="I2131" s="152" t="str">
        <f t="shared" si="100"/>
        <v/>
      </c>
      <c r="J2131" s="154"/>
      <c r="K2131" s="155" t="s">
        <v>2966</v>
      </c>
    </row>
    <row r="2132" spans="1:11" hidden="1" x14ac:dyDescent="0.25">
      <c r="A2132" s="148" t="s">
        <v>6276</v>
      </c>
      <c r="B2132" s="149" t="s">
        <v>6277</v>
      </c>
      <c r="C2132" s="150" t="s">
        <v>18</v>
      </c>
      <c r="D2132" s="150">
        <v>0</v>
      </c>
      <c r="E2132" s="151" t="s">
        <v>13</v>
      </c>
      <c r="F2132" s="152" t="str">
        <f t="shared" si="101"/>
        <v/>
      </c>
      <c r="G2132" s="153">
        <f>IF($K2132="Padrão",BDI!$B$17,IF($K2132="Diferenciado",BDI!$E$17,0))</f>
        <v>0.2039</v>
      </c>
      <c r="H2132" s="151" t="str">
        <f t="shared" si="99"/>
        <v/>
      </c>
      <c r="I2132" s="152" t="str">
        <f t="shared" si="100"/>
        <v/>
      </c>
      <c r="J2132" s="154"/>
      <c r="K2132" s="155" t="s">
        <v>2966</v>
      </c>
    </row>
    <row r="2133" spans="1:11" hidden="1" x14ac:dyDescent="0.25">
      <c r="A2133" s="148" t="s">
        <v>6278</v>
      </c>
      <c r="B2133" s="149" t="s">
        <v>389</v>
      </c>
      <c r="C2133" s="150" t="s">
        <v>18</v>
      </c>
      <c r="D2133" s="150">
        <v>0</v>
      </c>
      <c r="E2133" s="151" t="s">
        <v>13</v>
      </c>
      <c r="F2133" s="152" t="str">
        <f t="shared" si="101"/>
        <v/>
      </c>
      <c r="G2133" s="153">
        <f>IF($K2133="Padrão",BDI!$B$17,IF($K2133="Diferenciado",BDI!$E$17,0))</f>
        <v>0.2039</v>
      </c>
      <c r="H2133" s="151" t="str">
        <f t="shared" si="99"/>
        <v/>
      </c>
      <c r="I2133" s="152" t="str">
        <f t="shared" si="100"/>
        <v/>
      </c>
      <c r="J2133" s="154"/>
      <c r="K2133" s="155" t="s">
        <v>2966</v>
      </c>
    </row>
    <row r="2134" spans="1:11" hidden="1" x14ac:dyDescent="0.25">
      <c r="A2134" s="148" t="s">
        <v>6279</v>
      </c>
      <c r="B2134" s="149" t="s">
        <v>6280</v>
      </c>
      <c r="C2134" s="150" t="s">
        <v>18</v>
      </c>
      <c r="D2134" s="150">
        <v>0</v>
      </c>
      <c r="E2134" s="151" t="s">
        <v>13</v>
      </c>
      <c r="F2134" s="152" t="str">
        <f t="shared" si="101"/>
        <v/>
      </c>
      <c r="G2134" s="153">
        <f>IF($K2134="Padrão",BDI!$B$17,IF($K2134="Diferenciado",BDI!$E$17,0))</f>
        <v>0.2039</v>
      </c>
      <c r="H2134" s="151" t="str">
        <f t="shared" si="99"/>
        <v/>
      </c>
      <c r="I2134" s="152" t="str">
        <f t="shared" si="100"/>
        <v/>
      </c>
      <c r="J2134" s="154"/>
      <c r="K2134" s="155" t="s">
        <v>2966</v>
      </c>
    </row>
    <row r="2135" spans="1:11" hidden="1" x14ac:dyDescent="0.25">
      <c r="A2135" s="148" t="s">
        <v>6281</v>
      </c>
      <c r="B2135" s="149" t="s">
        <v>6282</v>
      </c>
      <c r="C2135" s="150" t="s">
        <v>18</v>
      </c>
      <c r="D2135" s="150">
        <v>0</v>
      </c>
      <c r="E2135" s="151" t="s">
        <v>13</v>
      </c>
      <c r="F2135" s="152" t="str">
        <f t="shared" si="101"/>
        <v/>
      </c>
      <c r="G2135" s="153">
        <f>IF($K2135="Padrão",BDI!$B$17,IF($K2135="Diferenciado",BDI!$E$17,0))</f>
        <v>0.2039</v>
      </c>
      <c r="H2135" s="151" t="str">
        <f t="shared" si="99"/>
        <v/>
      </c>
      <c r="I2135" s="152" t="str">
        <f t="shared" si="100"/>
        <v/>
      </c>
      <c r="J2135" s="154"/>
      <c r="K2135" s="155" t="s">
        <v>2966</v>
      </c>
    </row>
    <row r="2136" spans="1:11" hidden="1" x14ac:dyDescent="0.25">
      <c r="A2136" s="148" t="s">
        <v>6283</v>
      </c>
      <c r="B2136" s="149" t="s">
        <v>6284</v>
      </c>
      <c r="C2136" s="150" t="s">
        <v>18</v>
      </c>
      <c r="D2136" s="150">
        <v>0</v>
      </c>
      <c r="E2136" s="151" t="s">
        <v>13</v>
      </c>
      <c r="F2136" s="152" t="str">
        <f t="shared" si="101"/>
        <v/>
      </c>
      <c r="G2136" s="153">
        <f>IF($K2136="Padrão",BDI!$B$17,IF($K2136="Diferenciado",BDI!$E$17,0))</f>
        <v>0.2039</v>
      </c>
      <c r="H2136" s="151" t="str">
        <f t="shared" si="99"/>
        <v/>
      </c>
      <c r="I2136" s="152" t="str">
        <f t="shared" si="100"/>
        <v/>
      </c>
      <c r="J2136" s="154"/>
      <c r="K2136" s="155" t="s">
        <v>2966</v>
      </c>
    </row>
    <row r="2137" spans="1:11" hidden="1" x14ac:dyDescent="0.25">
      <c r="A2137" s="148" t="s">
        <v>6285</v>
      </c>
      <c r="B2137" s="149" t="s">
        <v>6286</v>
      </c>
      <c r="C2137" s="150" t="s">
        <v>18</v>
      </c>
      <c r="D2137" s="150">
        <v>0</v>
      </c>
      <c r="E2137" s="151" t="s">
        <v>13</v>
      </c>
      <c r="F2137" s="152" t="str">
        <f t="shared" si="101"/>
        <v/>
      </c>
      <c r="G2137" s="153">
        <f>IF($K2137="Padrão",BDI!$B$17,IF($K2137="Diferenciado",BDI!$E$17,0))</f>
        <v>0.2039</v>
      </c>
      <c r="H2137" s="151" t="str">
        <f t="shared" si="99"/>
        <v/>
      </c>
      <c r="I2137" s="152" t="str">
        <f t="shared" si="100"/>
        <v/>
      </c>
      <c r="J2137" s="154"/>
      <c r="K2137" s="155" t="s">
        <v>2966</v>
      </c>
    </row>
    <row r="2138" spans="1:11" hidden="1" x14ac:dyDescent="0.25">
      <c r="A2138" s="148" t="s">
        <v>6287</v>
      </c>
      <c r="B2138" s="149" t="s">
        <v>6288</v>
      </c>
      <c r="C2138" s="150" t="s">
        <v>18</v>
      </c>
      <c r="D2138" s="150">
        <v>0</v>
      </c>
      <c r="E2138" s="151" t="s">
        <v>13</v>
      </c>
      <c r="F2138" s="152" t="str">
        <f t="shared" si="101"/>
        <v/>
      </c>
      <c r="G2138" s="153">
        <f>IF($K2138="Padrão",BDI!$B$17,IF($K2138="Diferenciado",BDI!$E$17,0))</f>
        <v>0.2039</v>
      </c>
      <c r="H2138" s="151" t="str">
        <f t="shared" si="99"/>
        <v/>
      </c>
      <c r="I2138" s="152" t="str">
        <f t="shared" si="100"/>
        <v/>
      </c>
      <c r="J2138" s="154"/>
      <c r="K2138" s="155" t="s">
        <v>2966</v>
      </c>
    </row>
    <row r="2139" spans="1:11" hidden="1" x14ac:dyDescent="0.25">
      <c r="A2139" s="148" t="s">
        <v>6289</v>
      </c>
      <c r="B2139" s="149" t="s">
        <v>6290</v>
      </c>
      <c r="C2139" s="150" t="s">
        <v>18</v>
      </c>
      <c r="D2139" s="150">
        <v>0</v>
      </c>
      <c r="E2139" s="151" t="s">
        <v>13</v>
      </c>
      <c r="F2139" s="152" t="str">
        <f t="shared" si="101"/>
        <v/>
      </c>
      <c r="G2139" s="153">
        <f>IF($K2139="Padrão",BDI!$B$17,IF($K2139="Diferenciado",BDI!$E$17,0))</f>
        <v>0.2039</v>
      </c>
      <c r="H2139" s="151" t="str">
        <f t="shared" si="99"/>
        <v/>
      </c>
      <c r="I2139" s="152" t="str">
        <f t="shared" si="100"/>
        <v/>
      </c>
      <c r="J2139" s="154"/>
      <c r="K2139" s="155" t="s">
        <v>2966</v>
      </c>
    </row>
    <row r="2140" spans="1:11" hidden="1" x14ac:dyDescent="0.25">
      <c r="A2140" s="148" t="s">
        <v>6291</v>
      </c>
      <c r="B2140" s="149" t="s">
        <v>6292</v>
      </c>
      <c r="C2140" s="150" t="s">
        <v>18</v>
      </c>
      <c r="D2140" s="150">
        <v>0</v>
      </c>
      <c r="E2140" s="151" t="s">
        <v>13</v>
      </c>
      <c r="F2140" s="152" t="str">
        <f t="shared" si="101"/>
        <v/>
      </c>
      <c r="G2140" s="153">
        <f>IF($K2140="Padrão",BDI!$B$17,IF($K2140="Diferenciado",BDI!$E$17,0))</f>
        <v>0.2039</v>
      </c>
      <c r="H2140" s="151" t="str">
        <f t="shared" si="99"/>
        <v/>
      </c>
      <c r="I2140" s="152" t="str">
        <f t="shared" si="100"/>
        <v/>
      </c>
      <c r="J2140" s="154"/>
      <c r="K2140" s="155" t="s">
        <v>2966</v>
      </c>
    </row>
    <row r="2141" spans="1:11" hidden="1" x14ac:dyDescent="0.25">
      <c r="A2141" s="148" t="s">
        <v>6293</v>
      </c>
      <c r="B2141" s="149" t="s">
        <v>6294</v>
      </c>
      <c r="C2141" s="150" t="s">
        <v>18</v>
      </c>
      <c r="D2141" s="150">
        <v>0</v>
      </c>
      <c r="E2141" s="151" t="s">
        <v>13</v>
      </c>
      <c r="F2141" s="152" t="str">
        <f t="shared" si="101"/>
        <v/>
      </c>
      <c r="G2141" s="153">
        <f>IF($K2141="Padrão",BDI!$B$17,IF($K2141="Diferenciado",BDI!$E$17,0))</f>
        <v>0.2039</v>
      </c>
      <c r="H2141" s="151" t="str">
        <f t="shared" si="99"/>
        <v/>
      </c>
      <c r="I2141" s="152" t="str">
        <f t="shared" si="100"/>
        <v/>
      </c>
      <c r="J2141" s="154"/>
      <c r="K2141" s="155" t="s">
        <v>2966</v>
      </c>
    </row>
    <row r="2142" spans="1:11" hidden="1" x14ac:dyDescent="0.25">
      <c r="A2142" s="148" t="s">
        <v>6295</v>
      </c>
      <c r="B2142" s="149" t="s">
        <v>6296</v>
      </c>
      <c r="C2142" s="150" t="s">
        <v>18</v>
      </c>
      <c r="D2142" s="150">
        <v>0</v>
      </c>
      <c r="E2142" s="151" t="s">
        <v>13</v>
      </c>
      <c r="F2142" s="152" t="str">
        <f t="shared" si="101"/>
        <v/>
      </c>
      <c r="G2142" s="153">
        <f>IF($K2142="Padrão",BDI!$B$17,IF($K2142="Diferenciado",BDI!$E$17,0))</f>
        <v>0.2039</v>
      </c>
      <c r="H2142" s="151" t="str">
        <f t="shared" si="99"/>
        <v/>
      </c>
      <c r="I2142" s="152" t="str">
        <f t="shared" si="100"/>
        <v/>
      </c>
      <c r="J2142" s="154"/>
      <c r="K2142" s="155" t="s">
        <v>2966</v>
      </c>
    </row>
    <row r="2143" spans="1:11" hidden="1" x14ac:dyDescent="0.25">
      <c r="A2143" s="148" t="s">
        <v>6297</v>
      </c>
      <c r="B2143" s="149" t="s">
        <v>6298</v>
      </c>
      <c r="C2143" s="150" t="s">
        <v>18</v>
      </c>
      <c r="D2143" s="150">
        <v>0</v>
      </c>
      <c r="E2143" s="151" t="s">
        <v>13</v>
      </c>
      <c r="F2143" s="152" t="str">
        <f t="shared" si="101"/>
        <v/>
      </c>
      <c r="G2143" s="153">
        <f>IF($K2143="Padrão",BDI!$B$17,IF($K2143="Diferenciado",BDI!$E$17,0))</f>
        <v>0.2039</v>
      </c>
      <c r="H2143" s="151" t="str">
        <f t="shared" si="99"/>
        <v/>
      </c>
      <c r="I2143" s="152" t="str">
        <f t="shared" si="100"/>
        <v/>
      </c>
      <c r="J2143" s="154"/>
      <c r="K2143" s="155" t="s">
        <v>2966</v>
      </c>
    </row>
    <row r="2144" spans="1:11" hidden="1" x14ac:dyDescent="0.25">
      <c r="A2144" s="148" t="s">
        <v>6299</v>
      </c>
      <c r="B2144" s="149" t="s">
        <v>6300</v>
      </c>
      <c r="C2144" s="150" t="s">
        <v>106</v>
      </c>
      <c r="D2144" s="150">
        <v>0</v>
      </c>
      <c r="E2144" s="151" t="s">
        <v>13</v>
      </c>
      <c r="F2144" s="152" t="str">
        <f t="shared" si="101"/>
        <v/>
      </c>
      <c r="G2144" s="153">
        <f>IF($K2144="Padrão",BDI!$B$17,IF($K2144="Diferenciado",BDI!$E$17,0))</f>
        <v>0.2039</v>
      </c>
      <c r="H2144" s="151" t="str">
        <f t="shared" si="99"/>
        <v/>
      </c>
      <c r="I2144" s="152" t="str">
        <f t="shared" si="100"/>
        <v/>
      </c>
      <c r="J2144" s="154"/>
      <c r="K2144" s="155" t="s">
        <v>2966</v>
      </c>
    </row>
    <row r="2145" spans="1:11" hidden="1" x14ac:dyDescent="0.25">
      <c r="A2145" s="148" t="s">
        <v>6301</v>
      </c>
      <c r="B2145" s="149" t="s">
        <v>6302</v>
      </c>
      <c r="C2145" s="150" t="s">
        <v>106</v>
      </c>
      <c r="D2145" s="150">
        <v>0</v>
      </c>
      <c r="E2145" s="151" t="s">
        <v>13</v>
      </c>
      <c r="F2145" s="152" t="str">
        <f t="shared" si="101"/>
        <v/>
      </c>
      <c r="G2145" s="153">
        <f>IF($K2145="Padrão",BDI!$B$17,IF($K2145="Diferenciado",BDI!$E$17,0))</f>
        <v>0.2039</v>
      </c>
      <c r="H2145" s="151" t="str">
        <f t="shared" si="99"/>
        <v/>
      </c>
      <c r="I2145" s="152" t="str">
        <f t="shared" si="100"/>
        <v/>
      </c>
      <c r="J2145" s="154"/>
      <c r="K2145" s="155" t="s">
        <v>2966</v>
      </c>
    </row>
    <row r="2146" spans="1:11" hidden="1" x14ac:dyDescent="0.25">
      <c r="A2146" s="148" t="s">
        <v>6303</v>
      </c>
      <c r="B2146" s="149" t="s">
        <v>6304</v>
      </c>
      <c r="C2146" s="150" t="s">
        <v>106</v>
      </c>
      <c r="D2146" s="150">
        <v>0</v>
      </c>
      <c r="E2146" s="151" t="s">
        <v>13</v>
      </c>
      <c r="F2146" s="152" t="str">
        <f t="shared" si="101"/>
        <v/>
      </c>
      <c r="G2146" s="153">
        <f>IF($K2146="Padrão",BDI!$B$17,IF($K2146="Diferenciado",BDI!$E$17,0))</f>
        <v>0.2039</v>
      </c>
      <c r="H2146" s="151" t="str">
        <f t="shared" si="99"/>
        <v/>
      </c>
      <c r="I2146" s="152" t="str">
        <f t="shared" si="100"/>
        <v/>
      </c>
      <c r="J2146" s="154"/>
      <c r="K2146" s="155" t="s">
        <v>2966</v>
      </c>
    </row>
    <row r="2147" spans="1:11" hidden="1" x14ac:dyDescent="0.25">
      <c r="A2147" s="148" t="s">
        <v>6305</v>
      </c>
      <c r="B2147" s="149" t="s">
        <v>6306</v>
      </c>
      <c r="C2147" s="150" t="s">
        <v>18</v>
      </c>
      <c r="D2147" s="150">
        <v>0</v>
      </c>
      <c r="E2147" s="151" t="s">
        <v>13</v>
      </c>
      <c r="F2147" s="152" t="str">
        <f t="shared" si="101"/>
        <v/>
      </c>
      <c r="G2147" s="153">
        <f>IF($K2147="Padrão",BDI!$B$17,IF($K2147="Diferenciado",BDI!$E$17,0))</f>
        <v>0.2039</v>
      </c>
      <c r="H2147" s="151" t="str">
        <f t="shared" si="99"/>
        <v/>
      </c>
      <c r="I2147" s="152" t="str">
        <f t="shared" si="100"/>
        <v/>
      </c>
      <c r="J2147" s="154"/>
      <c r="K2147" s="155" t="s">
        <v>2966</v>
      </c>
    </row>
    <row r="2148" spans="1:11" hidden="1" x14ac:dyDescent="0.25">
      <c r="A2148" s="148" t="s">
        <v>6307</v>
      </c>
      <c r="B2148" s="149" t="s">
        <v>6308</v>
      </c>
      <c r="C2148" s="150" t="s">
        <v>18</v>
      </c>
      <c r="D2148" s="150">
        <v>0</v>
      </c>
      <c r="E2148" s="151" t="s">
        <v>13</v>
      </c>
      <c r="F2148" s="152" t="str">
        <f t="shared" si="101"/>
        <v/>
      </c>
      <c r="G2148" s="153">
        <f>IF($K2148="Padrão",BDI!$B$17,IF($K2148="Diferenciado",BDI!$E$17,0))</f>
        <v>0.2039</v>
      </c>
      <c r="H2148" s="151" t="str">
        <f t="shared" si="99"/>
        <v/>
      </c>
      <c r="I2148" s="152" t="str">
        <f t="shared" si="100"/>
        <v/>
      </c>
      <c r="J2148" s="154"/>
      <c r="K2148" s="155" t="s">
        <v>2966</v>
      </c>
    </row>
    <row r="2149" spans="1:11" hidden="1" x14ac:dyDescent="0.25">
      <c r="A2149" s="148" t="s">
        <v>6309</v>
      </c>
      <c r="B2149" s="149" t="s">
        <v>6310</v>
      </c>
      <c r="C2149" s="150" t="s">
        <v>18</v>
      </c>
      <c r="D2149" s="150">
        <v>0</v>
      </c>
      <c r="E2149" s="151" t="s">
        <v>13</v>
      </c>
      <c r="F2149" s="152" t="str">
        <f t="shared" si="101"/>
        <v/>
      </c>
      <c r="G2149" s="153">
        <f>IF($K2149="Padrão",BDI!$B$17,IF($K2149="Diferenciado",BDI!$E$17,0))</f>
        <v>0.2039</v>
      </c>
      <c r="H2149" s="151" t="str">
        <f t="shared" si="99"/>
        <v/>
      </c>
      <c r="I2149" s="152" t="str">
        <f t="shared" si="100"/>
        <v/>
      </c>
      <c r="J2149" s="154"/>
      <c r="K2149" s="155" t="s">
        <v>2966</v>
      </c>
    </row>
    <row r="2150" spans="1:11" hidden="1" x14ac:dyDescent="0.25">
      <c r="A2150" s="148" t="s">
        <v>6311</v>
      </c>
      <c r="B2150" s="149" t="s">
        <v>6312</v>
      </c>
      <c r="C2150" s="150" t="s">
        <v>18</v>
      </c>
      <c r="D2150" s="150">
        <v>0</v>
      </c>
      <c r="E2150" s="151" t="s">
        <v>13</v>
      </c>
      <c r="F2150" s="152" t="str">
        <f t="shared" si="101"/>
        <v/>
      </c>
      <c r="G2150" s="153">
        <f>IF($K2150="Padrão",BDI!$B$17,IF($K2150="Diferenciado",BDI!$E$17,0))</f>
        <v>0.2039</v>
      </c>
      <c r="H2150" s="151" t="str">
        <f t="shared" si="99"/>
        <v/>
      </c>
      <c r="I2150" s="152" t="str">
        <f t="shared" si="100"/>
        <v/>
      </c>
      <c r="J2150" s="154"/>
      <c r="K2150" s="155" t="s">
        <v>2966</v>
      </c>
    </row>
    <row r="2151" spans="1:11" hidden="1" x14ac:dyDescent="0.25">
      <c r="A2151" s="148" t="s">
        <v>6313</v>
      </c>
      <c r="B2151" s="149" t="s">
        <v>6314</v>
      </c>
      <c r="C2151" s="150" t="s">
        <v>18</v>
      </c>
      <c r="D2151" s="150">
        <v>0</v>
      </c>
      <c r="E2151" s="151" t="s">
        <v>13</v>
      </c>
      <c r="F2151" s="152" t="str">
        <f t="shared" si="101"/>
        <v/>
      </c>
      <c r="G2151" s="153">
        <f>IF($K2151="Padrão",BDI!$B$17,IF($K2151="Diferenciado",BDI!$E$17,0))</f>
        <v>0.2039</v>
      </c>
      <c r="H2151" s="151" t="str">
        <f t="shared" si="99"/>
        <v/>
      </c>
      <c r="I2151" s="152" t="str">
        <f t="shared" si="100"/>
        <v/>
      </c>
      <c r="J2151" s="154"/>
      <c r="K2151" s="155" t="s">
        <v>2966</v>
      </c>
    </row>
    <row r="2152" spans="1:11" hidden="1" x14ac:dyDescent="0.25">
      <c r="A2152" s="148" t="s">
        <v>6315</v>
      </c>
      <c r="B2152" s="149" t="s">
        <v>6316</v>
      </c>
      <c r="C2152" s="150" t="s">
        <v>18</v>
      </c>
      <c r="D2152" s="150">
        <v>0</v>
      </c>
      <c r="E2152" s="151" t="s">
        <v>13</v>
      </c>
      <c r="F2152" s="152" t="str">
        <f t="shared" si="101"/>
        <v/>
      </c>
      <c r="G2152" s="153">
        <f>IF($K2152="Padrão",BDI!$B$17,IF($K2152="Diferenciado",BDI!$E$17,0))</f>
        <v>0.2039</v>
      </c>
      <c r="H2152" s="151" t="str">
        <f t="shared" si="99"/>
        <v/>
      </c>
      <c r="I2152" s="152" t="str">
        <f t="shared" si="100"/>
        <v/>
      </c>
      <c r="J2152" s="154"/>
      <c r="K2152" s="155" t="s">
        <v>2966</v>
      </c>
    </row>
    <row r="2153" spans="1:11" hidden="1" x14ac:dyDescent="0.25">
      <c r="A2153" s="148" t="s">
        <v>6317</v>
      </c>
      <c r="B2153" s="149" t="s">
        <v>6318</v>
      </c>
      <c r="C2153" s="150" t="s">
        <v>18</v>
      </c>
      <c r="D2153" s="150">
        <v>0</v>
      </c>
      <c r="E2153" s="151" t="s">
        <v>13</v>
      </c>
      <c r="F2153" s="152" t="str">
        <f t="shared" si="101"/>
        <v/>
      </c>
      <c r="G2153" s="153">
        <f>IF($K2153="Padrão",BDI!$B$17,IF($K2153="Diferenciado",BDI!$E$17,0))</f>
        <v>0.2039</v>
      </c>
      <c r="H2153" s="151" t="str">
        <f t="shared" si="99"/>
        <v/>
      </c>
      <c r="I2153" s="152" t="str">
        <f t="shared" si="100"/>
        <v/>
      </c>
      <c r="J2153" s="154"/>
      <c r="K2153" s="155" t="s">
        <v>2966</v>
      </c>
    </row>
    <row r="2154" spans="1:11" hidden="1" x14ac:dyDescent="0.25">
      <c r="A2154" s="148" t="s">
        <v>6319</v>
      </c>
      <c r="B2154" s="149" t="s">
        <v>6320</v>
      </c>
      <c r="C2154" s="150" t="s">
        <v>18</v>
      </c>
      <c r="D2154" s="150">
        <v>0</v>
      </c>
      <c r="E2154" s="151" t="s">
        <v>13</v>
      </c>
      <c r="F2154" s="152" t="str">
        <f t="shared" si="101"/>
        <v/>
      </c>
      <c r="G2154" s="153">
        <f>IF($K2154="Padrão",BDI!$B$17,IF($K2154="Diferenciado",BDI!$E$17,0))</f>
        <v>0.2039</v>
      </c>
      <c r="H2154" s="151" t="str">
        <f t="shared" si="99"/>
        <v/>
      </c>
      <c r="I2154" s="152" t="str">
        <f t="shared" si="100"/>
        <v/>
      </c>
      <c r="J2154" s="154"/>
      <c r="K2154" s="155" t="s">
        <v>2966</v>
      </c>
    </row>
    <row r="2155" spans="1:11" hidden="1" x14ac:dyDescent="0.25">
      <c r="A2155" s="148" t="s">
        <v>6321</v>
      </c>
      <c r="B2155" s="149" t="s">
        <v>6322</v>
      </c>
      <c r="C2155" s="150" t="s">
        <v>18</v>
      </c>
      <c r="D2155" s="150">
        <v>0</v>
      </c>
      <c r="E2155" s="151" t="s">
        <v>13</v>
      </c>
      <c r="F2155" s="152" t="str">
        <f t="shared" si="101"/>
        <v/>
      </c>
      <c r="G2155" s="153">
        <f>IF($K2155="Padrão",BDI!$B$17,IF($K2155="Diferenciado",BDI!$E$17,0))</f>
        <v>0.2039</v>
      </c>
      <c r="H2155" s="151" t="str">
        <f t="shared" si="99"/>
        <v/>
      </c>
      <c r="I2155" s="152" t="str">
        <f t="shared" si="100"/>
        <v/>
      </c>
      <c r="J2155" s="154"/>
      <c r="K2155" s="155" t="s">
        <v>2966</v>
      </c>
    </row>
    <row r="2156" spans="1:11" hidden="1" x14ac:dyDescent="0.25">
      <c r="A2156" s="148" t="s">
        <v>6323</v>
      </c>
      <c r="B2156" s="149" t="s">
        <v>6324</v>
      </c>
      <c r="C2156" s="150" t="s">
        <v>18</v>
      </c>
      <c r="D2156" s="150">
        <v>0</v>
      </c>
      <c r="E2156" s="151" t="s">
        <v>13</v>
      </c>
      <c r="F2156" s="152" t="str">
        <f t="shared" si="101"/>
        <v/>
      </c>
      <c r="G2156" s="153">
        <f>IF($K2156="Padrão",BDI!$B$17,IF($K2156="Diferenciado",BDI!$E$17,0))</f>
        <v>0.2039</v>
      </c>
      <c r="H2156" s="151" t="str">
        <f t="shared" si="99"/>
        <v/>
      </c>
      <c r="I2156" s="152" t="str">
        <f t="shared" si="100"/>
        <v/>
      </c>
      <c r="J2156" s="154"/>
      <c r="K2156" s="155" t="s">
        <v>2966</v>
      </c>
    </row>
    <row r="2157" spans="1:11" hidden="1" x14ac:dyDescent="0.25">
      <c r="A2157" s="148" t="s">
        <v>6325</v>
      </c>
      <c r="B2157" s="149" t="s">
        <v>6326</v>
      </c>
      <c r="C2157" s="150" t="s">
        <v>18</v>
      </c>
      <c r="D2157" s="150">
        <v>0</v>
      </c>
      <c r="E2157" s="151" t="s">
        <v>13</v>
      </c>
      <c r="F2157" s="152" t="str">
        <f t="shared" si="101"/>
        <v/>
      </c>
      <c r="G2157" s="153">
        <f>IF($K2157="Padrão",BDI!$B$17,IF($K2157="Diferenciado",BDI!$E$17,0))</f>
        <v>0.2039</v>
      </c>
      <c r="H2157" s="151" t="str">
        <f t="shared" si="99"/>
        <v/>
      </c>
      <c r="I2157" s="152" t="str">
        <f t="shared" si="100"/>
        <v/>
      </c>
      <c r="J2157" s="154"/>
      <c r="K2157" s="155" t="s">
        <v>2966</v>
      </c>
    </row>
    <row r="2158" spans="1:11" hidden="1" x14ac:dyDescent="0.25">
      <c r="A2158" s="148" t="s">
        <v>6327</v>
      </c>
      <c r="B2158" s="149" t="s">
        <v>6328</v>
      </c>
      <c r="C2158" s="150" t="s">
        <v>18</v>
      </c>
      <c r="D2158" s="150">
        <v>0</v>
      </c>
      <c r="E2158" s="151" t="s">
        <v>13</v>
      </c>
      <c r="F2158" s="152" t="str">
        <f t="shared" si="101"/>
        <v/>
      </c>
      <c r="G2158" s="153">
        <f>IF($K2158="Padrão",BDI!$B$17,IF($K2158="Diferenciado",BDI!$E$17,0))</f>
        <v>0.2039</v>
      </c>
      <c r="H2158" s="151" t="str">
        <f t="shared" si="99"/>
        <v/>
      </c>
      <c r="I2158" s="152" t="str">
        <f t="shared" si="100"/>
        <v/>
      </c>
      <c r="J2158" s="154"/>
      <c r="K2158" s="155" t="s">
        <v>2966</v>
      </c>
    </row>
    <row r="2159" spans="1:11" hidden="1" x14ac:dyDescent="0.25">
      <c r="A2159" s="148" t="s">
        <v>6329</v>
      </c>
      <c r="B2159" s="149" t="s">
        <v>6330</v>
      </c>
      <c r="C2159" s="150" t="s">
        <v>18</v>
      </c>
      <c r="D2159" s="150">
        <v>0</v>
      </c>
      <c r="E2159" s="151" t="s">
        <v>13</v>
      </c>
      <c r="F2159" s="152" t="str">
        <f t="shared" si="101"/>
        <v/>
      </c>
      <c r="G2159" s="153">
        <f>IF($K2159="Padrão",BDI!$B$17,IF($K2159="Diferenciado",BDI!$E$17,0))</f>
        <v>0.2039</v>
      </c>
      <c r="H2159" s="151" t="str">
        <f t="shared" si="99"/>
        <v/>
      </c>
      <c r="I2159" s="152" t="str">
        <f t="shared" si="100"/>
        <v/>
      </c>
      <c r="J2159" s="154"/>
      <c r="K2159" s="155" t="s">
        <v>2966</v>
      </c>
    </row>
    <row r="2160" spans="1:11" hidden="1" x14ac:dyDescent="0.25">
      <c r="A2160" s="148" t="s">
        <v>6331</v>
      </c>
      <c r="B2160" s="149" t="s">
        <v>6332</v>
      </c>
      <c r="C2160" s="150" t="s">
        <v>18</v>
      </c>
      <c r="D2160" s="150">
        <v>0</v>
      </c>
      <c r="E2160" s="151" t="s">
        <v>13</v>
      </c>
      <c r="F2160" s="152" t="str">
        <f t="shared" si="101"/>
        <v/>
      </c>
      <c r="G2160" s="153">
        <f>IF($K2160="Padrão",BDI!$B$17,IF($K2160="Diferenciado",BDI!$E$17,0))</f>
        <v>0.2039</v>
      </c>
      <c r="H2160" s="151" t="str">
        <f t="shared" si="99"/>
        <v/>
      </c>
      <c r="I2160" s="152" t="str">
        <f t="shared" si="100"/>
        <v/>
      </c>
      <c r="J2160" s="154"/>
      <c r="K2160" s="155" t="s">
        <v>2966</v>
      </c>
    </row>
    <row r="2161" spans="1:11" hidden="1" x14ac:dyDescent="0.25">
      <c r="A2161" s="148" t="s">
        <v>6333</v>
      </c>
      <c r="B2161" s="149" t="s">
        <v>6334</v>
      </c>
      <c r="C2161" s="150" t="s">
        <v>18</v>
      </c>
      <c r="D2161" s="150">
        <v>0</v>
      </c>
      <c r="E2161" s="151" t="s">
        <v>13</v>
      </c>
      <c r="F2161" s="152" t="str">
        <f t="shared" si="101"/>
        <v/>
      </c>
      <c r="G2161" s="153">
        <f>IF($K2161="Padrão",BDI!$B$17,IF($K2161="Diferenciado",BDI!$E$17,0))</f>
        <v>0.2039</v>
      </c>
      <c r="H2161" s="151" t="str">
        <f t="shared" si="99"/>
        <v/>
      </c>
      <c r="I2161" s="152" t="str">
        <f t="shared" si="100"/>
        <v/>
      </c>
      <c r="J2161" s="154"/>
      <c r="K2161" s="155" t="s">
        <v>2966</v>
      </c>
    </row>
    <row r="2162" spans="1:11" hidden="1" x14ac:dyDescent="0.25">
      <c r="A2162" s="148" t="s">
        <v>6335</v>
      </c>
      <c r="B2162" s="149" t="s">
        <v>6336</v>
      </c>
      <c r="C2162" s="150" t="s">
        <v>18</v>
      </c>
      <c r="D2162" s="150">
        <v>0</v>
      </c>
      <c r="E2162" s="151" t="s">
        <v>13</v>
      </c>
      <c r="F2162" s="152" t="str">
        <f t="shared" si="101"/>
        <v/>
      </c>
      <c r="G2162" s="153">
        <f>IF($K2162="Padrão",BDI!$B$17,IF($K2162="Diferenciado",BDI!$E$17,0))</f>
        <v>0.2039</v>
      </c>
      <c r="H2162" s="151" t="str">
        <f t="shared" si="99"/>
        <v/>
      </c>
      <c r="I2162" s="152" t="str">
        <f t="shared" si="100"/>
        <v/>
      </c>
      <c r="J2162" s="154"/>
      <c r="K2162" s="155" t="s">
        <v>2966</v>
      </c>
    </row>
    <row r="2163" spans="1:11" hidden="1" x14ac:dyDescent="0.25">
      <c r="A2163" s="148" t="s">
        <v>6337</v>
      </c>
      <c r="B2163" s="149" t="s">
        <v>6338</v>
      </c>
      <c r="C2163" s="150" t="s">
        <v>18</v>
      </c>
      <c r="D2163" s="150">
        <v>0</v>
      </c>
      <c r="E2163" s="151" t="s">
        <v>13</v>
      </c>
      <c r="F2163" s="152" t="str">
        <f t="shared" si="101"/>
        <v/>
      </c>
      <c r="G2163" s="153">
        <f>IF($K2163="Padrão",BDI!$B$17,IF($K2163="Diferenciado",BDI!$E$17,0))</f>
        <v>0.2039</v>
      </c>
      <c r="H2163" s="151" t="str">
        <f t="shared" si="99"/>
        <v/>
      </c>
      <c r="I2163" s="152" t="str">
        <f t="shared" si="100"/>
        <v/>
      </c>
      <c r="J2163" s="154"/>
      <c r="K2163" s="155" t="s">
        <v>2966</v>
      </c>
    </row>
    <row r="2164" spans="1:11" hidden="1" x14ac:dyDescent="0.25">
      <c r="A2164" s="148" t="s">
        <v>6339</v>
      </c>
      <c r="B2164" s="149" t="s">
        <v>6340</v>
      </c>
      <c r="C2164" s="150" t="s">
        <v>18</v>
      </c>
      <c r="D2164" s="150">
        <v>0</v>
      </c>
      <c r="E2164" s="151" t="s">
        <v>13</v>
      </c>
      <c r="F2164" s="152" t="str">
        <f t="shared" si="101"/>
        <v/>
      </c>
      <c r="G2164" s="153">
        <f>IF($K2164="Padrão",BDI!$B$17,IF($K2164="Diferenciado",BDI!$E$17,0))</f>
        <v>0.2039</v>
      </c>
      <c r="H2164" s="151" t="str">
        <f t="shared" si="99"/>
        <v/>
      </c>
      <c r="I2164" s="152" t="str">
        <f t="shared" si="100"/>
        <v/>
      </c>
      <c r="J2164" s="154"/>
      <c r="K2164" s="155" t="s">
        <v>2966</v>
      </c>
    </row>
    <row r="2165" spans="1:11" hidden="1" x14ac:dyDescent="0.25">
      <c r="A2165" s="148" t="s">
        <v>6341</v>
      </c>
      <c r="B2165" s="149" t="s">
        <v>6342</v>
      </c>
      <c r="C2165" s="150" t="s">
        <v>106</v>
      </c>
      <c r="D2165" s="150">
        <v>0</v>
      </c>
      <c r="E2165" s="151" t="s">
        <v>13</v>
      </c>
      <c r="F2165" s="152" t="str">
        <f t="shared" si="101"/>
        <v/>
      </c>
      <c r="G2165" s="153">
        <f>IF($K2165="Padrão",BDI!$B$17,IF($K2165="Diferenciado",BDI!$E$17,0))</f>
        <v>0.2039</v>
      </c>
      <c r="H2165" s="151" t="str">
        <f t="shared" si="99"/>
        <v/>
      </c>
      <c r="I2165" s="152" t="str">
        <f t="shared" si="100"/>
        <v/>
      </c>
      <c r="J2165" s="154"/>
      <c r="K2165" s="155" t="s">
        <v>2966</v>
      </c>
    </row>
    <row r="2166" spans="1:11" hidden="1" x14ac:dyDescent="0.25">
      <c r="A2166" s="148" t="s">
        <v>6343</v>
      </c>
      <c r="B2166" s="149" t="s">
        <v>6344</v>
      </c>
      <c r="C2166" s="150" t="s">
        <v>18</v>
      </c>
      <c r="D2166" s="150">
        <v>0</v>
      </c>
      <c r="E2166" s="151" t="s">
        <v>13</v>
      </c>
      <c r="F2166" s="152" t="str">
        <f t="shared" si="101"/>
        <v/>
      </c>
      <c r="G2166" s="153">
        <f>IF($K2166="Padrão",BDI!$B$17,IF($K2166="Diferenciado",BDI!$E$17,0))</f>
        <v>0.2039</v>
      </c>
      <c r="H2166" s="151" t="str">
        <f t="shared" si="99"/>
        <v/>
      </c>
      <c r="I2166" s="152" t="str">
        <f t="shared" si="100"/>
        <v/>
      </c>
      <c r="J2166" s="154"/>
      <c r="K2166" s="155" t="s">
        <v>2966</v>
      </c>
    </row>
    <row r="2167" spans="1:11" hidden="1" x14ac:dyDescent="0.25">
      <c r="A2167" s="148" t="s">
        <v>6345</v>
      </c>
      <c r="B2167" s="149" t="s">
        <v>6346</v>
      </c>
      <c r="C2167" s="150" t="s">
        <v>18</v>
      </c>
      <c r="D2167" s="150">
        <v>0</v>
      </c>
      <c r="E2167" s="151" t="s">
        <v>13</v>
      </c>
      <c r="F2167" s="152" t="str">
        <f t="shared" si="101"/>
        <v/>
      </c>
      <c r="G2167" s="153">
        <f>IF($K2167="Padrão",BDI!$B$17,IF($K2167="Diferenciado",BDI!$E$17,0))</f>
        <v>0.2039</v>
      </c>
      <c r="H2167" s="151" t="str">
        <f t="shared" si="99"/>
        <v/>
      </c>
      <c r="I2167" s="152" t="str">
        <f t="shared" si="100"/>
        <v/>
      </c>
      <c r="J2167" s="154"/>
      <c r="K2167" s="155" t="s">
        <v>2966</v>
      </c>
    </row>
    <row r="2168" spans="1:11" hidden="1" x14ac:dyDescent="0.25">
      <c r="A2168" s="148" t="s">
        <v>6347</v>
      </c>
      <c r="B2168" s="149" t="s">
        <v>6348</v>
      </c>
      <c r="C2168" s="150" t="s">
        <v>18</v>
      </c>
      <c r="D2168" s="150">
        <v>0</v>
      </c>
      <c r="E2168" s="151" t="s">
        <v>13</v>
      </c>
      <c r="F2168" s="152" t="str">
        <f t="shared" si="101"/>
        <v/>
      </c>
      <c r="G2168" s="153">
        <f>IF($K2168="Padrão",BDI!$B$17,IF($K2168="Diferenciado",BDI!$E$17,0))</f>
        <v>0.2039</v>
      </c>
      <c r="H2168" s="151" t="str">
        <f t="shared" si="99"/>
        <v/>
      </c>
      <c r="I2168" s="152" t="str">
        <f t="shared" si="100"/>
        <v/>
      </c>
      <c r="J2168" s="154"/>
      <c r="K2168" s="155" t="s">
        <v>2966</v>
      </c>
    </row>
    <row r="2169" spans="1:11" hidden="1" x14ac:dyDescent="0.25">
      <c r="A2169" s="148" t="s">
        <v>6349</v>
      </c>
      <c r="B2169" s="149" t="s">
        <v>6350</v>
      </c>
      <c r="C2169" s="150" t="s">
        <v>18</v>
      </c>
      <c r="D2169" s="150">
        <v>0</v>
      </c>
      <c r="E2169" s="151" t="s">
        <v>13</v>
      </c>
      <c r="F2169" s="152" t="str">
        <f t="shared" si="101"/>
        <v/>
      </c>
      <c r="G2169" s="153">
        <f>IF($K2169="Padrão",BDI!$B$17,IF($K2169="Diferenciado",BDI!$E$17,0))</f>
        <v>0.2039</v>
      </c>
      <c r="H2169" s="151" t="str">
        <f t="shared" si="99"/>
        <v/>
      </c>
      <c r="I2169" s="152" t="str">
        <f t="shared" si="100"/>
        <v/>
      </c>
      <c r="J2169" s="154"/>
      <c r="K2169" s="155" t="s">
        <v>2966</v>
      </c>
    </row>
    <row r="2170" spans="1:11" hidden="1" x14ac:dyDescent="0.25">
      <c r="A2170" s="148" t="s">
        <v>6351</v>
      </c>
      <c r="B2170" s="149" t="s">
        <v>6352</v>
      </c>
      <c r="C2170" s="150" t="s">
        <v>18</v>
      </c>
      <c r="D2170" s="150">
        <v>0</v>
      </c>
      <c r="E2170" s="151" t="s">
        <v>13</v>
      </c>
      <c r="F2170" s="152" t="str">
        <f t="shared" si="101"/>
        <v/>
      </c>
      <c r="G2170" s="153">
        <f>IF($K2170="Padrão",BDI!$B$17,IF($K2170="Diferenciado",BDI!$E$17,0))</f>
        <v>0.2039</v>
      </c>
      <c r="H2170" s="151" t="str">
        <f t="shared" si="99"/>
        <v/>
      </c>
      <c r="I2170" s="152" t="str">
        <f t="shared" si="100"/>
        <v/>
      </c>
      <c r="J2170" s="154"/>
      <c r="K2170" s="155" t="s">
        <v>2966</v>
      </c>
    </row>
    <row r="2171" spans="1:11" hidden="1" x14ac:dyDescent="0.25">
      <c r="A2171" s="148" t="s">
        <v>6353</v>
      </c>
      <c r="B2171" s="149" t="s">
        <v>6354</v>
      </c>
      <c r="C2171" s="150" t="s">
        <v>18</v>
      </c>
      <c r="D2171" s="150">
        <v>0</v>
      </c>
      <c r="E2171" s="151" t="s">
        <v>13</v>
      </c>
      <c r="F2171" s="152" t="str">
        <f t="shared" si="101"/>
        <v/>
      </c>
      <c r="G2171" s="153">
        <f>IF($K2171="Padrão",BDI!$B$17,IF($K2171="Diferenciado",BDI!$E$17,0))</f>
        <v>0.2039</v>
      </c>
      <c r="H2171" s="151" t="str">
        <f t="shared" si="99"/>
        <v/>
      </c>
      <c r="I2171" s="152" t="str">
        <f t="shared" si="100"/>
        <v/>
      </c>
      <c r="J2171" s="154"/>
      <c r="K2171" s="155" t="s">
        <v>2966</v>
      </c>
    </row>
    <row r="2172" spans="1:11" hidden="1" x14ac:dyDescent="0.25">
      <c r="A2172" s="148" t="s">
        <v>6355</v>
      </c>
      <c r="B2172" s="149" t="s">
        <v>6356</v>
      </c>
      <c r="C2172" s="150" t="s">
        <v>18</v>
      </c>
      <c r="D2172" s="150">
        <v>0</v>
      </c>
      <c r="E2172" s="151" t="s">
        <v>13</v>
      </c>
      <c r="F2172" s="152" t="str">
        <f t="shared" si="101"/>
        <v/>
      </c>
      <c r="G2172" s="153">
        <f>IF($K2172="Padrão",BDI!$B$17,IF($K2172="Diferenciado",BDI!$E$17,0))</f>
        <v>0.2039</v>
      </c>
      <c r="H2172" s="151" t="str">
        <f t="shared" si="99"/>
        <v/>
      </c>
      <c r="I2172" s="152" t="str">
        <f t="shared" si="100"/>
        <v/>
      </c>
      <c r="J2172" s="154"/>
      <c r="K2172" s="155" t="s">
        <v>2966</v>
      </c>
    </row>
    <row r="2173" spans="1:11" hidden="1" x14ac:dyDescent="0.25">
      <c r="A2173" s="148" t="s">
        <v>6357</v>
      </c>
      <c r="B2173" s="149" t="s">
        <v>6358</v>
      </c>
      <c r="C2173" s="150" t="s">
        <v>18</v>
      </c>
      <c r="D2173" s="150">
        <v>0</v>
      </c>
      <c r="E2173" s="151" t="s">
        <v>13</v>
      </c>
      <c r="F2173" s="152" t="str">
        <f t="shared" si="101"/>
        <v/>
      </c>
      <c r="G2173" s="153">
        <f>IF($K2173="Padrão",BDI!$B$17,IF($K2173="Diferenciado",BDI!$E$17,0))</f>
        <v>0.2039</v>
      </c>
      <c r="H2173" s="151" t="str">
        <f t="shared" si="99"/>
        <v/>
      </c>
      <c r="I2173" s="152" t="str">
        <f t="shared" si="100"/>
        <v/>
      </c>
      <c r="J2173" s="154"/>
      <c r="K2173" s="155" t="s">
        <v>2966</v>
      </c>
    </row>
    <row r="2174" spans="1:11" hidden="1" x14ac:dyDescent="0.25">
      <c r="A2174" s="148" t="s">
        <v>6359</v>
      </c>
      <c r="B2174" s="149" t="s">
        <v>6360</v>
      </c>
      <c r="C2174" s="150" t="s">
        <v>18</v>
      </c>
      <c r="D2174" s="150">
        <v>0</v>
      </c>
      <c r="E2174" s="151" t="s">
        <v>13</v>
      </c>
      <c r="F2174" s="152" t="str">
        <f t="shared" si="101"/>
        <v/>
      </c>
      <c r="G2174" s="153">
        <f>IF($K2174="Padrão",BDI!$B$17,IF($K2174="Diferenciado",BDI!$E$17,0))</f>
        <v>0.2039</v>
      </c>
      <c r="H2174" s="151" t="str">
        <f t="shared" si="99"/>
        <v/>
      </c>
      <c r="I2174" s="152" t="str">
        <f t="shared" si="100"/>
        <v/>
      </c>
      <c r="J2174" s="154"/>
      <c r="K2174" s="155" t="s">
        <v>2966</v>
      </c>
    </row>
    <row r="2175" spans="1:11" hidden="1" x14ac:dyDescent="0.25">
      <c r="A2175" s="148" t="s">
        <v>6361</v>
      </c>
      <c r="B2175" s="149" t="s">
        <v>6362</v>
      </c>
      <c r="C2175" s="150" t="s">
        <v>18</v>
      </c>
      <c r="D2175" s="150">
        <v>0</v>
      </c>
      <c r="E2175" s="151" t="s">
        <v>13</v>
      </c>
      <c r="F2175" s="152" t="str">
        <f t="shared" si="101"/>
        <v/>
      </c>
      <c r="G2175" s="153">
        <f>IF($K2175="Padrão",BDI!$B$17,IF($K2175="Diferenciado",BDI!$E$17,0))</f>
        <v>0.2039</v>
      </c>
      <c r="H2175" s="151" t="str">
        <f t="shared" si="99"/>
        <v/>
      </c>
      <c r="I2175" s="152" t="str">
        <f t="shared" si="100"/>
        <v/>
      </c>
      <c r="J2175" s="154"/>
      <c r="K2175" s="155" t="s">
        <v>2966</v>
      </c>
    </row>
    <row r="2176" spans="1:11" hidden="1" x14ac:dyDescent="0.25">
      <c r="A2176" s="148" t="s">
        <v>6363</v>
      </c>
      <c r="B2176" s="149" t="s">
        <v>6364</v>
      </c>
      <c r="C2176" s="150" t="s">
        <v>18</v>
      </c>
      <c r="D2176" s="150">
        <v>0</v>
      </c>
      <c r="E2176" s="151" t="s">
        <v>13</v>
      </c>
      <c r="F2176" s="152" t="str">
        <f t="shared" si="101"/>
        <v/>
      </c>
      <c r="G2176" s="153">
        <f>IF($K2176="Padrão",BDI!$B$17,IF($K2176="Diferenciado",BDI!$E$17,0))</f>
        <v>0.2039</v>
      </c>
      <c r="H2176" s="151" t="str">
        <f t="shared" si="99"/>
        <v/>
      </c>
      <c r="I2176" s="152" t="str">
        <f t="shared" si="100"/>
        <v/>
      </c>
      <c r="J2176" s="154"/>
      <c r="K2176" s="155" t="s">
        <v>2966</v>
      </c>
    </row>
    <row r="2177" spans="1:11" hidden="1" x14ac:dyDescent="0.25">
      <c r="A2177" s="148" t="s">
        <v>6365</v>
      </c>
      <c r="B2177" s="149" t="s">
        <v>6366</v>
      </c>
      <c r="C2177" s="150" t="s">
        <v>18</v>
      </c>
      <c r="D2177" s="150">
        <v>0</v>
      </c>
      <c r="E2177" s="151" t="s">
        <v>13</v>
      </c>
      <c r="F2177" s="152" t="str">
        <f t="shared" si="101"/>
        <v/>
      </c>
      <c r="G2177" s="153">
        <f>IF($K2177="Padrão",BDI!$B$17,IF($K2177="Diferenciado",BDI!$E$17,0))</f>
        <v>0.2039</v>
      </c>
      <c r="H2177" s="151" t="str">
        <f t="shared" si="99"/>
        <v/>
      </c>
      <c r="I2177" s="152" t="str">
        <f t="shared" si="100"/>
        <v/>
      </c>
      <c r="J2177" s="154"/>
      <c r="K2177" s="155" t="s">
        <v>2966</v>
      </c>
    </row>
    <row r="2178" spans="1:11" hidden="1" x14ac:dyDescent="0.25">
      <c r="A2178" s="148" t="s">
        <v>6367</v>
      </c>
      <c r="B2178" s="149" t="s">
        <v>6368</v>
      </c>
      <c r="C2178" s="150" t="s">
        <v>18</v>
      </c>
      <c r="D2178" s="150">
        <v>0</v>
      </c>
      <c r="E2178" s="151" t="s">
        <v>13</v>
      </c>
      <c r="F2178" s="152" t="str">
        <f t="shared" si="101"/>
        <v/>
      </c>
      <c r="G2178" s="153">
        <f>IF($K2178="Padrão",BDI!$B$17,IF($K2178="Diferenciado",BDI!$E$17,0))</f>
        <v>0.2039</v>
      </c>
      <c r="H2178" s="151" t="str">
        <f t="shared" si="99"/>
        <v/>
      </c>
      <c r="I2178" s="152" t="str">
        <f t="shared" si="100"/>
        <v/>
      </c>
      <c r="J2178" s="154"/>
      <c r="K2178" s="155" t="s">
        <v>2966</v>
      </c>
    </row>
    <row r="2179" spans="1:11" hidden="1" x14ac:dyDescent="0.25">
      <c r="A2179" s="148" t="s">
        <v>6369</v>
      </c>
      <c r="B2179" s="149" t="s">
        <v>6370</v>
      </c>
      <c r="C2179" s="150" t="s">
        <v>18</v>
      </c>
      <c r="D2179" s="150">
        <v>0</v>
      </c>
      <c r="E2179" s="151" t="s">
        <v>13</v>
      </c>
      <c r="F2179" s="152" t="str">
        <f t="shared" si="101"/>
        <v/>
      </c>
      <c r="G2179" s="153">
        <f>IF($K2179="Padrão",BDI!$B$17,IF($K2179="Diferenciado",BDI!$E$17,0))</f>
        <v>0.2039</v>
      </c>
      <c r="H2179" s="151" t="str">
        <f t="shared" si="99"/>
        <v/>
      </c>
      <c r="I2179" s="152" t="str">
        <f t="shared" si="100"/>
        <v/>
      </c>
      <c r="J2179" s="154"/>
      <c r="K2179" s="155" t="s">
        <v>2966</v>
      </c>
    </row>
    <row r="2180" spans="1:11" hidden="1" x14ac:dyDescent="0.25">
      <c r="A2180" s="148" t="s">
        <v>6371</v>
      </c>
      <c r="B2180" s="149" t="s">
        <v>6372</v>
      </c>
      <c r="C2180" s="150" t="s">
        <v>18</v>
      </c>
      <c r="D2180" s="150">
        <v>0</v>
      </c>
      <c r="E2180" s="151" t="s">
        <v>13</v>
      </c>
      <c r="F2180" s="152" t="str">
        <f t="shared" si="101"/>
        <v/>
      </c>
      <c r="G2180" s="153">
        <f>IF($K2180="Padrão",BDI!$B$17,IF($K2180="Diferenciado",BDI!$E$17,0))</f>
        <v>0.2039</v>
      </c>
      <c r="H2180" s="151" t="str">
        <f t="shared" si="99"/>
        <v/>
      </c>
      <c r="I2180" s="152" t="str">
        <f t="shared" si="100"/>
        <v/>
      </c>
      <c r="J2180" s="154"/>
      <c r="K2180" s="155" t="s">
        <v>2966</v>
      </c>
    </row>
    <row r="2181" spans="1:11" hidden="1" x14ac:dyDescent="0.25">
      <c r="A2181" s="148" t="s">
        <v>6373</v>
      </c>
      <c r="B2181" s="149" t="s">
        <v>6374</v>
      </c>
      <c r="C2181" s="150" t="s">
        <v>18</v>
      </c>
      <c r="D2181" s="150">
        <v>0</v>
      </c>
      <c r="E2181" s="151" t="s">
        <v>13</v>
      </c>
      <c r="F2181" s="152" t="str">
        <f t="shared" si="101"/>
        <v/>
      </c>
      <c r="G2181" s="153">
        <f>IF($K2181="Padrão",BDI!$B$17,IF($K2181="Diferenciado",BDI!$E$17,0))</f>
        <v>0.2039</v>
      </c>
      <c r="H2181" s="151" t="str">
        <f t="shared" si="99"/>
        <v/>
      </c>
      <c r="I2181" s="152" t="str">
        <f t="shared" si="100"/>
        <v/>
      </c>
      <c r="J2181" s="154"/>
      <c r="K2181" s="155" t="s">
        <v>2966</v>
      </c>
    </row>
    <row r="2182" spans="1:11" hidden="1" x14ac:dyDescent="0.25">
      <c r="A2182" s="148" t="s">
        <v>6375</v>
      </c>
      <c r="B2182" s="149" t="s">
        <v>6376</v>
      </c>
      <c r="C2182" s="150" t="s">
        <v>18</v>
      </c>
      <c r="D2182" s="150">
        <v>0</v>
      </c>
      <c r="E2182" s="151" t="s">
        <v>13</v>
      </c>
      <c r="F2182" s="152" t="str">
        <f t="shared" si="101"/>
        <v/>
      </c>
      <c r="G2182" s="153">
        <f>IF($K2182="Padrão",BDI!$B$17,IF($K2182="Diferenciado",BDI!$E$17,0))</f>
        <v>0.2039</v>
      </c>
      <c r="H2182" s="151" t="str">
        <f t="shared" ref="H2182:H2245" si="102">IF(ISNUMBER(E2182),ROUND(E2182*(1+G2182),2),"")</f>
        <v/>
      </c>
      <c r="I2182" s="152" t="str">
        <f t="shared" ref="I2182:I2245" si="103">IF(ISNUMBER(E2182),ROUND(H2182*D2182,2),"")</f>
        <v/>
      </c>
      <c r="J2182" s="154"/>
      <c r="K2182" s="155" t="s">
        <v>2966</v>
      </c>
    </row>
    <row r="2183" spans="1:11" hidden="1" x14ac:dyDescent="0.25">
      <c r="A2183" s="148" t="s">
        <v>6377</v>
      </c>
      <c r="B2183" s="149" t="s">
        <v>6378</v>
      </c>
      <c r="C2183" s="150" t="s">
        <v>18</v>
      </c>
      <c r="D2183" s="150">
        <v>0</v>
      </c>
      <c r="E2183" s="151" t="s">
        <v>13</v>
      </c>
      <c r="F2183" s="152" t="str">
        <f t="shared" ref="F2183:F2246" si="104">IF(ISNUMBER(E2183),D2183*E2183,"")</f>
        <v/>
      </c>
      <c r="G2183" s="153">
        <f>IF($K2183="Padrão",BDI!$B$17,IF($K2183="Diferenciado",BDI!$E$17,0))</f>
        <v>0.2039</v>
      </c>
      <c r="H2183" s="151" t="str">
        <f t="shared" si="102"/>
        <v/>
      </c>
      <c r="I2183" s="152" t="str">
        <f t="shared" si="103"/>
        <v/>
      </c>
      <c r="J2183" s="154"/>
      <c r="K2183" s="155" t="s">
        <v>2966</v>
      </c>
    </row>
    <row r="2184" spans="1:11" hidden="1" x14ac:dyDescent="0.25">
      <c r="A2184" s="148" t="s">
        <v>6379</v>
      </c>
      <c r="B2184" s="149" t="s">
        <v>6380</v>
      </c>
      <c r="C2184" s="150" t="s">
        <v>18</v>
      </c>
      <c r="D2184" s="150">
        <v>0</v>
      </c>
      <c r="E2184" s="151" t="s">
        <v>13</v>
      </c>
      <c r="F2184" s="152" t="str">
        <f t="shared" si="104"/>
        <v/>
      </c>
      <c r="G2184" s="153">
        <f>IF($K2184="Padrão",BDI!$B$17,IF($K2184="Diferenciado",BDI!$E$17,0))</f>
        <v>0.2039</v>
      </c>
      <c r="H2184" s="151" t="str">
        <f t="shared" si="102"/>
        <v/>
      </c>
      <c r="I2184" s="152" t="str">
        <f t="shared" si="103"/>
        <v/>
      </c>
      <c r="J2184" s="154"/>
      <c r="K2184" s="155" t="s">
        <v>2966</v>
      </c>
    </row>
    <row r="2185" spans="1:11" hidden="1" x14ac:dyDescent="0.25">
      <c r="A2185" s="148" t="s">
        <v>6381</v>
      </c>
      <c r="B2185" s="149" t="s">
        <v>6382</v>
      </c>
      <c r="C2185" s="150" t="s">
        <v>18</v>
      </c>
      <c r="D2185" s="150">
        <v>0</v>
      </c>
      <c r="E2185" s="151" t="s">
        <v>13</v>
      </c>
      <c r="F2185" s="152" t="str">
        <f t="shared" si="104"/>
        <v/>
      </c>
      <c r="G2185" s="153">
        <f>IF($K2185="Padrão",BDI!$B$17,IF($K2185="Diferenciado",BDI!$E$17,0))</f>
        <v>0.2039</v>
      </c>
      <c r="H2185" s="151" t="str">
        <f t="shared" si="102"/>
        <v/>
      </c>
      <c r="I2185" s="152" t="str">
        <f t="shared" si="103"/>
        <v/>
      </c>
      <c r="J2185" s="154"/>
      <c r="K2185" s="155" t="s">
        <v>2966</v>
      </c>
    </row>
    <row r="2186" spans="1:11" hidden="1" x14ac:dyDescent="0.25">
      <c r="A2186" s="148" t="s">
        <v>6383</v>
      </c>
      <c r="B2186" s="149" t="s">
        <v>6384</v>
      </c>
      <c r="C2186" s="150" t="s">
        <v>18</v>
      </c>
      <c r="D2186" s="150">
        <v>0</v>
      </c>
      <c r="E2186" s="151" t="s">
        <v>13</v>
      </c>
      <c r="F2186" s="152" t="str">
        <f t="shared" si="104"/>
        <v/>
      </c>
      <c r="G2186" s="153">
        <f>IF($K2186="Padrão",BDI!$B$17,IF($K2186="Diferenciado",BDI!$E$17,0))</f>
        <v>0.2039</v>
      </c>
      <c r="H2186" s="151" t="str">
        <f t="shared" si="102"/>
        <v/>
      </c>
      <c r="I2186" s="152" t="str">
        <f t="shared" si="103"/>
        <v/>
      </c>
      <c r="J2186" s="154"/>
      <c r="K2186" s="155" t="s">
        <v>2966</v>
      </c>
    </row>
    <row r="2187" spans="1:11" hidden="1" x14ac:dyDescent="0.25">
      <c r="A2187" s="148" t="s">
        <v>6385</v>
      </c>
      <c r="B2187" s="149" t="s">
        <v>6386</v>
      </c>
      <c r="C2187" s="150" t="s">
        <v>18</v>
      </c>
      <c r="D2187" s="150">
        <v>0</v>
      </c>
      <c r="E2187" s="151" t="s">
        <v>13</v>
      </c>
      <c r="F2187" s="152" t="str">
        <f t="shared" si="104"/>
        <v/>
      </c>
      <c r="G2187" s="153">
        <f>IF($K2187="Padrão",BDI!$B$17,IF($K2187="Diferenciado",BDI!$E$17,0))</f>
        <v>0.2039</v>
      </c>
      <c r="H2187" s="151" t="str">
        <f t="shared" si="102"/>
        <v/>
      </c>
      <c r="I2187" s="152" t="str">
        <f t="shared" si="103"/>
        <v/>
      </c>
      <c r="J2187" s="154"/>
      <c r="K2187" s="155" t="s">
        <v>2966</v>
      </c>
    </row>
    <row r="2188" spans="1:11" hidden="1" x14ac:dyDescent="0.25">
      <c r="A2188" s="148" t="s">
        <v>6387</v>
      </c>
      <c r="B2188" s="149" t="s">
        <v>6388</v>
      </c>
      <c r="C2188" s="150" t="s">
        <v>106</v>
      </c>
      <c r="D2188" s="150">
        <v>0</v>
      </c>
      <c r="E2188" s="151" t="s">
        <v>13</v>
      </c>
      <c r="F2188" s="152" t="str">
        <f t="shared" si="104"/>
        <v/>
      </c>
      <c r="G2188" s="153">
        <f>IF($K2188="Padrão",BDI!$B$17,IF($K2188="Diferenciado",BDI!$E$17,0))</f>
        <v>0.2039</v>
      </c>
      <c r="H2188" s="151" t="str">
        <f t="shared" si="102"/>
        <v/>
      </c>
      <c r="I2188" s="152" t="str">
        <f t="shared" si="103"/>
        <v/>
      </c>
      <c r="J2188" s="154"/>
      <c r="K2188" s="155" t="s">
        <v>2966</v>
      </c>
    </row>
    <row r="2189" spans="1:11" hidden="1" x14ac:dyDescent="0.25">
      <c r="A2189" s="148" t="s">
        <v>6389</v>
      </c>
      <c r="B2189" s="149" t="s">
        <v>6390</v>
      </c>
      <c r="C2189" s="150" t="s">
        <v>18</v>
      </c>
      <c r="D2189" s="150">
        <v>0</v>
      </c>
      <c r="E2189" s="151" t="s">
        <v>13</v>
      </c>
      <c r="F2189" s="152" t="str">
        <f t="shared" si="104"/>
        <v/>
      </c>
      <c r="G2189" s="153">
        <f>IF($K2189="Padrão",BDI!$B$17,IF($K2189="Diferenciado",BDI!$E$17,0))</f>
        <v>0.2039</v>
      </c>
      <c r="H2189" s="151" t="str">
        <f t="shared" si="102"/>
        <v/>
      </c>
      <c r="I2189" s="152" t="str">
        <f t="shared" si="103"/>
        <v/>
      </c>
      <c r="J2189" s="154"/>
      <c r="K2189" s="155" t="s">
        <v>2966</v>
      </c>
    </row>
    <row r="2190" spans="1:11" hidden="1" x14ac:dyDescent="0.25">
      <c r="A2190" s="148" t="s">
        <v>6391</v>
      </c>
      <c r="B2190" s="149" t="s">
        <v>6392</v>
      </c>
      <c r="C2190" s="150" t="s">
        <v>18</v>
      </c>
      <c r="D2190" s="150">
        <v>0</v>
      </c>
      <c r="E2190" s="151" t="s">
        <v>13</v>
      </c>
      <c r="F2190" s="152" t="str">
        <f t="shared" si="104"/>
        <v/>
      </c>
      <c r="G2190" s="153">
        <f>IF($K2190="Padrão",BDI!$B$17,IF($K2190="Diferenciado",BDI!$E$17,0))</f>
        <v>0.2039</v>
      </c>
      <c r="H2190" s="151" t="str">
        <f t="shared" si="102"/>
        <v/>
      </c>
      <c r="I2190" s="152" t="str">
        <f t="shared" si="103"/>
        <v/>
      </c>
      <c r="J2190" s="154"/>
      <c r="K2190" s="155" t="s">
        <v>2966</v>
      </c>
    </row>
    <row r="2191" spans="1:11" hidden="1" x14ac:dyDescent="0.25">
      <c r="A2191" s="148" t="s">
        <v>6393</v>
      </c>
      <c r="B2191" s="149" t="s">
        <v>6394</v>
      </c>
      <c r="C2191" s="150" t="s">
        <v>18</v>
      </c>
      <c r="D2191" s="150">
        <v>0</v>
      </c>
      <c r="E2191" s="151" t="s">
        <v>13</v>
      </c>
      <c r="F2191" s="152" t="str">
        <f t="shared" si="104"/>
        <v/>
      </c>
      <c r="G2191" s="153">
        <f>IF($K2191="Padrão",BDI!$B$17,IF($K2191="Diferenciado",BDI!$E$17,0))</f>
        <v>0.2039</v>
      </c>
      <c r="H2191" s="151" t="str">
        <f t="shared" si="102"/>
        <v/>
      </c>
      <c r="I2191" s="152" t="str">
        <f t="shared" si="103"/>
        <v/>
      </c>
      <c r="J2191" s="154"/>
      <c r="K2191" s="155" t="s">
        <v>2966</v>
      </c>
    </row>
    <row r="2192" spans="1:11" hidden="1" x14ac:dyDescent="0.25">
      <c r="A2192" s="148" t="s">
        <v>6395</v>
      </c>
      <c r="B2192" s="149" t="s">
        <v>6396</v>
      </c>
      <c r="C2192" s="150" t="s">
        <v>18</v>
      </c>
      <c r="D2192" s="150">
        <v>0</v>
      </c>
      <c r="E2192" s="151" t="s">
        <v>13</v>
      </c>
      <c r="F2192" s="152" t="str">
        <f t="shared" si="104"/>
        <v/>
      </c>
      <c r="G2192" s="153">
        <f>IF($K2192="Padrão",BDI!$B$17,IF($K2192="Diferenciado",BDI!$E$17,0))</f>
        <v>0.2039</v>
      </c>
      <c r="H2192" s="151" t="str">
        <f t="shared" si="102"/>
        <v/>
      </c>
      <c r="I2192" s="152" t="str">
        <f t="shared" si="103"/>
        <v/>
      </c>
      <c r="J2192" s="154"/>
      <c r="K2192" s="155" t="s">
        <v>2966</v>
      </c>
    </row>
    <row r="2193" spans="1:11" hidden="1" x14ac:dyDescent="0.25">
      <c r="A2193" s="148" t="s">
        <v>6397</v>
      </c>
      <c r="B2193" s="149" t="s">
        <v>6398</v>
      </c>
      <c r="C2193" s="150" t="s">
        <v>18</v>
      </c>
      <c r="D2193" s="150">
        <v>0</v>
      </c>
      <c r="E2193" s="151" t="s">
        <v>13</v>
      </c>
      <c r="F2193" s="152" t="str">
        <f t="shared" si="104"/>
        <v/>
      </c>
      <c r="G2193" s="153">
        <f>IF($K2193="Padrão",BDI!$B$17,IF($K2193="Diferenciado",BDI!$E$17,0))</f>
        <v>0.2039</v>
      </c>
      <c r="H2193" s="151" t="str">
        <f t="shared" si="102"/>
        <v/>
      </c>
      <c r="I2193" s="152" t="str">
        <f t="shared" si="103"/>
        <v/>
      </c>
      <c r="J2193" s="154"/>
      <c r="K2193" s="155" t="s">
        <v>2966</v>
      </c>
    </row>
    <row r="2194" spans="1:11" hidden="1" x14ac:dyDescent="0.25">
      <c r="A2194" s="148" t="s">
        <v>6399</v>
      </c>
      <c r="B2194" s="149" t="s">
        <v>6400</v>
      </c>
      <c r="C2194" s="150" t="s">
        <v>18</v>
      </c>
      <c r="D2194" s="150">
        <v>0</v>
      </c>
      <c r="E2194" s="151" t="s">
        <v>13</v>
      </c>
      <c r="F2194" s="152" t="str">
        <f t="shared" si="104"/>
        <v/>
      </c>
      <c r="G2194" s="153">
        <f>IF($K2194="Padrão",BDI!$B$17,IF($K2194="Diferenciado",BDI!$E$17,0))</f>
        <v>0.2039</v>
      </c>
      <c r="H2194" s="151" t="str">
        <f t="shared" si="102"/>
        <v/>
      </c>
      <c r="I2194" s="152" t="str">
        <f t="shared" si="103"/>
        <v/>
      </c>
      <c r="J2194" s="154"/>
      <c r="K2194" s="155" t="s">
        <v>2966</v>
      </c>
    </row>
    <row r="2195" spans="1:11" hidden="1" x14ac:dyDescent="0.25">
      <c r="A2195" s="148" t="s">
        <v>6401</v>
      </c>
      <c r="B2195" s="149" t="s">
        <v>6402</v>
      </c>
      <c r="C2195" s="150" t="s">
        <v>18</v>
      </c>
      <c r="D2195" s="150">
        <v>0</v>
      </c>
      <c r="E2195" s="151" t="s">
        <v>13</v>
      </c>
      <c r="F2195" s="152" t="str">
        <f t="shared" si="104"/>
        <v/>
      </c>
      <c r="G2195" s="153">
        <f>IF($K2195="Padrão",BDI!$B$17,IF($K2195="Diferenciado",BDI!$E$17,0))</f>
        <v>0.2039</v>
      </c>
      <c r="H2195" s="151" t="str">
        <f t="shared" si="102"/>
        <v/>
      </c>
      <c r="I2195" s="152" t="str">
        <f t="shared" si="103"/>
        <v/>
      </c>
      <c r="J2195" s="154"/>
      <c r="K2195" s="155" t="s">
        <v>2966</v>
      </c>
    </row>
    <row r="2196" spans="1:11" hidden="1" x14ac:dyDescent="0.25">
      <c r="A2196" s="148" t="s">
        <v>6403</v>
      </c>
      <c r="B2196" s="149" t="s">
        <v>6404</v>
      </c>
      <c r="C2196" s="150" t="s">
        <v>18</v>
      </c>
      <c r="D2196" s="150">
        <v>0</v>
      </c>
      <c r="E2196" s="151" t="s">
        <v>13</v>
      </c>
      <c r="F2196" s="152" t="str">
        <f t="shared" si="104"/>
        <v/>
      </c>
      <c r="G2196" s="153">
        <f>IF($K2196="Padrão",BDI!$B$17,IF($K2196="Diferenciado",BDI!$E$17,0))</f>
        <v>0.2039</v>
      </c>
      <c r="H2196" s="151" t="str">
        <f t="shared" si="102"/>
        <v/>
      </c>
      <c r="I2196" s="152" t="str">
        <f t="shared" si="103"/>
        <v/>
      </c>
      <c r="J2196" s="154"/>
      <c r="K2196" s="155" t="s">
        <v>2966</v>
      </c>
    </row>
    <row r="2197" spans="1:11" hidden="1" x14ac:dyDescent="0.25">
      <c r="A2197" s="148" t="s">
        <v>6405</v>
      </c>
      <c r="B2197" s="149" t="s">
        <v>6406</v>
      </c>
      <c r="C2197" s="150" t="s">
        <v>18</v>
      </c>
      <c r="D2197" s="150">
        <v>0</v>
      </c>
      <c r="E2197" s="151" t="s">
        <v>13</v>
      </c>
      <c r="F2197" s="152" t="str">
        <f t="shared" si="104"/>
        <v/>
      </c>
      <c r="G2197" s="153">
        <f>IF($K2197="Padrão",BDI!$B$17,IF($K2197="Diferenciado",BDI!$E$17,0))</f>
        <v>0.2039</v>
      </c>
      <c r="H2197" s="151" t="str">
        <f t="shared" si="102"/>
        <v/>
      </c>
      <c r="I2197" s="152" t="str">
        <f t="shared" si="103"/>
        <v/>
      </c>
      <c r="J2197" s="154"/>
      <c r="K2197" s="155" t="s">
        <v>2966</v>
      </c>
    </row>
    <row r="2198" spans="1:11" hidden="1" x14ac:dyDescent="0.25">
      <c r="A2198" s="148" t="s">
        <v>6407</v>
      </c>
      <c r="B2198" s="149" t="s">
        <v>6408</v>
      </c>
      <c r="C2198" s="150" t="s">
        <v>18</v>
      </c>
      <c r="D2198" s="150">
        <v>0</v>
      </c>
      <c r="E2198" s="151" t="s">
        <v>13</v>
      </c>
      <c r="F2198" s="152" t="str">
        <f t="shared" si="104"/>
        <v/>
      </c>
      <c r="G2198" s="153">
        <f>IF($K2198="Padrão",BDI!$B$17,IF($K2198="Diferenciado",BDI!$E$17,0))</f>
        <v>0.2039</v>
      </c>
      <c r="H2198" s="151" t="str">
        <f t="shared" si="102"/>
        <v/>
      </c>
      <c r="I2198" s="152" t="str">
        <f t="shared" si="103"/>
        <v/>
      </c>
      <c r="J2198" s="154"/>
      <c r="K2198" s="155" t="s">
        <v>2966</v>
      </c>
    </row>
    <row r="2199" spans="1:11" hidden="1" x14ac:dyDescent="0.25">
      <c r="A2199" s="148" t="s">
        <v>6409</v>
      </c>
      <c r="B2199" s="149" t="s">
        <v>6410</v>
      </c>
      <c r="C2199" s="150" t="s">
        <v>18</v>
      </c>
      <c r="D2199" s="150">
        <v>0</v>
      </c>
      <c r="E2199" s="151" t="s">
        <v>13</v>
      </c>
      <c r="F2199" s="152" t="str">
        <f t="shared" si="104"/>
        <v/>
      </c>
      <c r="G2199" s="153">
        <f>IF($K2199="Padrão",BDI!$B$17,IF($K2199="Diferenciado",BDI!$E$17,0))</f>
        <v>0.2039</v>
      </c>
      <c r="H2199" s="151" t="str">
        <f t="shared" si="102"/>
        <v/>
      </c>
      <c r="I2199" s="152" t="str">
        <f t="shared" si="103"/>
        <v/>
      </c>
      <c r="J2199" s="154"/>
      <c r="K2199" s="155" t="s">
        <v>2966</v>
      </c>
    </row>
    <row r="2200" spans="1:11" hidden="1" x14ac:dyDescent="0.25">
      <c r="A2200" s="148" t="s">
        <v>6411</v>
      </c>
      <c r="B2200" s="149" t="s">
        <v>6412</v>
      </c>
      <c r="C2200" s="150" t="s">
        <v>18</v>
      </c>
      <c r="D2200" s="150">
        <v>0</v>
      </c>
      <c r="E2200" s="151" t="s">
        <v>13</v>
      </c>
      <c r="F2200" s="152" t="str">
        <f t="shared" si="104"/>
        <v/>
      </c>
      <c r="G2200" s="153">
        <f>IF($K2200="Padrão",BDI!$B$17,IF($K2200="Diferenciado",BDI!$E$17,0))</f>
        <v>0.2039</v>
      </c>
      <c r="H2200" s="151" t="str">
        <f t="shared" si="102"/>
        <v/>
      </c>
      <c r="I2200" s="152" t="str">
        <f t="shared" si="103"/>
        <v/>
      </c>
      <c r="J2200" s="154"/>
      <c r="K2200" s="155" t="s">
        <v>2966</v>
      </c>
    </row>
    <row r="2201" spans="1:11" hidden="1" x14ac:dyDescent="0.25">
      <c r="A2201" s="148" t="s">
        <v>6413</v>
      </c>
      <c r="B2201" s="149" t="s">
        <v>6414</v>
      </c>
      <c r="C2201" s="150" t="s">
        <v>18</v>
      </c>
      <c r="D2201" s="150">
        <v>0</v>
      </c>
      <c r="E2201" s="151" t="s">
        <v>13</v>
      </c>
      <c r="F2201" s="152" t="str">
        <f t="shared" si="104"/>
        <v/>
      </c>
      <c r="G2201" s="153">
        <f>IF($K2201="Padrão",BDI!$B$17,IF($K2201="Diferenciado",BDI!$E$17,0))</f>
        <v>0.2039</v>
      </c>
      <c r="H2201" s="151" t="str">
        <f t="shared" si="102"/>
        <v/>
      </c>
      <c r="I2201" s="152" t="str">
        <f t="shared" si="103"/>
        <v/>
      </c>
      <c r="J2201" s="154"/>
      <c r="K2201" s="155" t="s">
        <v>2966</v>
      </c>
    </row>
    <row r="2202" spans="1:11" hidden="1" x14ac:dyDescent="0.25">
      <c r="A2202" s="148" t="s">
        <v>6415</v>
      </c>
      <c r="B2202" s="149" t="s">
        <v>6416</v>
      </c>
      <c r="C2202" s="150" t="s">
        <v>18</v>
      </c>
      <c r="D2202" s="150">
        <v>0</v>
      </c>
      <c r="E2202" s="151" t="s">
        <v>13</v>
      </c>
      <c r="F2202" s="152" t="str">
        <f t="shared" si="104"/>
        <v/>
      </c>
      <c r="G2202" s="153">
        <f>IF($K2202="Padrão",BDI!$B$17,IF($K2202="Diferenciado",BDI!$E$17,0))</f>
        <v>0.2039</v>
      </c>
      <c r="H2202" s="151" t="str">
        <f t="shared" si="102"/>
        <v/>
      </c>
      <c r="I2202" s="152" t="str">
        <f t="shared" si="103"/>
        <v/>
      </c>
      <c r="J2202" s="154"/>
      <c r="K2202" s="155" t="s">
        <v>2966</v>
      </c>
    </row>
    <row r="2203" spans="1:11" hidden="1" x14ac:dyDescent="0.25">
      <c r="A2203" s="148" t="s">
        <v>6417</v>
      </c>
      <c r="B2203" s="149" t="s">
        <v>6418</v>
      </c>
      <c r="C2203" s="150" t="s">
        <v>18</v>
      </c>
      <c r="D2203" s="150">
        <v>0</v>
      </c>
      <c r="E2203" s="151" t="s">
        <v>13</v>
      </c>
      <c r="F2203" s="152" t="str">
        <f t="shared" si="104"/>
        <v/>
      </c>
      <c r="G2203" s="153">
        <f>IF($K2203="Padrão",BDI!$B$17,IF($K2203="Diferenciado",BDI!$E$17,0))</f>
        <v>0.2039</v>
      </c>
      <c r="H2203" s="151" t="str">
        <f t="shared" si="102"/>
        <v/>
      </c>
      <c r="I2203" s="152" t="str">
        <f t="shared" si="103"/>
        <v/>
      </c>
      <c r="J2203" s="154"/>
      <c r="K2203" s="155" t="s">
        <v>2966</v>
      </c>
    </row>
    <row r="2204" spans="1:11" hidden="1" x14ac:dyDescent="0.25">
      <c r="A2204" s="148" t="s">
        <v>6419</v>
      </c>
      <c r="B2204" s="149" t="s">
        <v>6420</v>
      </c>
      <c r="C2204" s="150" t="s">
        <v>18</v>
      </c>
      <c r="D2204" s="150">
        <v>0</v>
      </c>
      <c r="E2204" s="151" t="s">
        <v>13</v>
      </c>
      <c r="F2204" s="152" t="str">
        <f t="shared" si="104"/>
        <v/>
      </c>
      <c r="G2204" s="153">
        <f>IF($K2204="Padrão",BDI!$B$17,IF($K2204="Diferenciado",BDI!$E$17,0))</f>
        <v>0.2039</v>
      </c>
      <c r="H2204" s="151" t="str">
        <f t="shared" si="102"/>
        <v/>
      </c>
      <c r="I2204" s="152" t="str">
        <f t="shared" si="103"/>
        <v/>
      </c>
      <c r="J2204" s="154"/>
      <c r="K2204" s="155" t="s">
        <v>2966</v>
      </c>
    </row>
    <row r="2205" spans="1:11" hidden="1" x14ac:dyDescent="0.25">
      <c r="A2205" s="148" t="s">
        <v>6421</v>
      </c>
      <c r="B2205" s="149" t="s">
        <v>6422</v>
      </c>
      <c r="C2205" s="150" t="s">
        <v>18</v>
      </c>
      <c r="D2205" s="150">
        <v>0</v>
      </c>
      <c r="E2205" s="151" t="s">
        <v>13</v>
      </c>
      <c r="F2205" s="152" t="str">
        <f t="shared" si="104"/>
        <v/>
      </c>
      <c r="G2205" s="153">
        <f>IF($K2205="Padrão",BDI!$B$17,IF($K2205="Diferenciado",BDI!$E$17,0))</f>
        <v>0.2039</v>
      </c>
      <c r="H2205" s="151" t="str">
        <f t="shared" si="102"/>
        <v/>
      </c>
      <c r="I2205" s="152" t="str">
        <f t="shared" si="103"/>
        <v/>
      </c>
      <c r="J2205" s="154"/>
      <c r="K2205" s="155" t="s">
        <v>2966</v>
      </c>
    </row>
    <row r="2206" spans="1:11" hidden="1" x14ac:dyDescent="0.25">
      <c r="A2206" s="148" t="s">
        <v>6423</v>
      </c>
      <c r="B2206" s="149" t="s">
        <v>6424</v>
      </c>
      <c r="C2206" s="150" t="s">
        <v>18</v>
      </c>
      <c r="D2206" s="150">
        <v>0</v>
      </c>
      <c r="E2206" s="151" t="s">
        <v>13</v>
      </c>
      <c r="F2206" s="152" t="str">
        <f t="shared" si="104"/>
        <v/>
      </c>
      <c r="G2206" s="153">
        <f>IF($K2206="Padrão",BDI!$B$17,IF($K2206="Diferenciado",BDI!$E$17,0))</f>
        <v>0.2039</v>
      </c>
      <c r="H2206" s="151" t="str">
        <f t="shared" si="102"/>
        <v/>
      </c>
      <c r="I2206" s="152" t="str">
        <f t="shared" si="103"/>
        <v/>
      </c>
      <c r="J2206" s="154"/>
      <c r="K2206" s="155" t="s">
        <v>2966</v>
      </c>
    </row>
    <row r="2207" spans="1:11" hidden="1" x14ac:dyDescent="0.25">
      <c r="A2207" s="148" t="s">
        <v>6425</v>
      </c>
      <c r="B2207" s="149" t="s">
        <v>6426</v>
      </c>
      <c r="C2207" s="150" t="s">
        <v>18</v>
      </c>
      <c r="D2207" s="150">
        <v>0</v>
      </c>
      <c r="E2207" s="151" t="s">
        <v>13</v>
      </c>
      <c r="F2207" s="152" t="str">
        <f t="shared" si="104"/>
        <v/>
      </c>
      <c r="G2207" s="153">
        <f>IF($K2207="Padrão",BDI!$B$17,IF($K2207="Diferenciado",BDI!$E$17,0))</f>
        <v>0.2039</v>
      </c>
      <c r="H2207" s="151" t="str">
        <f t="shared" si="102"/>
        <v/>
      </c>
      <c r="I2207" s="152" t="str">
        <f t="shared" si="103"/>
        <v/>
      </c>
      <c r="J2207" s="154"/>
      <c r="K2207" s="155" t="s">
        <v>2966</v>
      </c>
    </row>
    <row r="2208" spans="1:11" hidden="1" x14ac:dyDescent="0.25">
      <c r="A2208" s="148" t="s">
        <v>6427</v>
      </c>
      <c r="B2208" s="149" t="s">
        <v>6428</v>
      </c>
      <c r="C2208" s="150" t="s">
        <v>18</v>
      </c>
      <c r="D2208" s="150">
        <v>0</v>
      </c>
      <c r="E2208" s="151" t="s">
        <v>13</v>
      </c>
      <c r="F2208" s="152" t="str">
        <f t="shared" si="104"/>
        <v/>
      </c>
      <c r="G2208" s="153">
        <f>IF($K2208="Padrão",BDI!$B$17,IF($K2208="Diferenciado",BDI!$E$17,0))</f>
        <v>0.2039</v>
      </c>
      <c r="H2208" s="151" t="str">
        <f t="shared" si="102"/>
        <v/>
      </c>
      <c r="I2208" s="152" t="str">
        <f t="shared" si="103"/>
        <v/>
      </c>
      <c r="J2208" s="154"/>
      <c r="K2208" s="155" t="s">
        <v>2966</v>
      </c>
    </row>
    <row r="2209" spans="1:11" hidden="1" x14ac:dyDescent="0.25">
      <c r="A2209" s="148" t="s">
        <v>6429</v>
      </c>
      <c r="B2209" s="149" t="s">
        <v>6430</v>
      </c>
      <c r="C2209" s="150" t="s">
        <v>18</v>
      </c>
      <c r="D2209" s="150">
        <v>0</v>
      </c>
      <c r="E2209" s="151" t="s">
        <v>13</v>
      </c>
      <c r="F2209" s="152" t="str">
        <f t="shared" si="104"/>
        <v/>
      </c>
      <c r="G2209" s="153">
        <f>IF($K2209="Padrão",BDI!$B$17,IF($K2209="Diferenciado",BDI!$E$17,0))</f>
        <v>0.2039</v>
      </c>
      <c r="H2209" s="151" t="str">
        <f t="shared" si="102"/>
        <v/>
      </c>
      <c r="I2209" s="152" t="str">
        <f t="shared" si="103"/>
        <v/>
      </c>
      <c r="J2209" s="154"/>
      <c r="K2209" s="155" t="s">
        <v>2966</v>
      </c>
    </row>
    <row r="2210" spans="1:11" hidden="1" x14ac:dyDescent="0.25">
      <c r="A2210" s="148" t="s">
        <v>6431</v>
      </c>
      <c r="B2210" s="149" t="s">
        <v>6432</v>
      </c>
      <c r="C2210" s="150" t="s">
        <v>18</v>
      </c>
      <c r="D2210" s="150">
        <v>0</v>
      </c>
      <c r="E2210" s="151" t="s">
        <v>13</v>
      </c>
      <c r="F2210" s="152" t="str">
        <f t="shared" si="104"/>
        <v/>
      </c>
      <c r="G2210" s="153">
        <f>IF($K2210="Padrão",BDI!$B$17,IF($K2210="Diferenciado",BDI!$E$17,0))</f>
        <v>0.2039</v>
      </c>
      <c r="H2210" s="151" t="str">
        <f t="shared" si="102"/>
        <v/>
      </c>
      <c r="I2210" s="152" t="str">
        <f t="shared" si="103"/>
        <v/>
      </c>
      <c r="J2210" s="154"/>
      <c r="K2210" s="155" t="s">
        <v>2966</v>
      </c>
    </row>
    <row r="2211" spans="1:11" hidden="1" x14ac:dyDescent="0.25">
      <c r="A2211" s="148" t="s">
        <v>6433</v>
      </c>
      <c r="B2211" s="149" t="s">
        <v>6434</v>
      </c>
      <c r="C2211" s="150" t="s">
        <v>18</v>
      </c>
      <c r="D2211" s="150">
        <v>0</v>
      </c>
      <c r="E2211" s="151" t="s">
        <v>13</v>
      </c>
      <c r="F2211" s="152" t="str">
        <f t="shared" si="104"/>
        <v/>
      </c>
      <c r="G2211" s="153">
        <f>IF($K2211="Padrão",BDI!$B$17,IF($K2211="Diferenciado",BDI!$E$17,0))</f>
        <v>0.2039</v>
      </c>
      <c r="H2211" s="151" t="str">
        <f t="shared" si="102"/>
        <v/>
      </c>
      <c r="I2211" s="152" t="str">
        <f t="shared" si="103"/>
        <v/>
      </c>
      <c r="J2211" s="154"/>
      <c r="K2211" s="155" t="s">
        <v>2966</v>
      </c>
    </row>
    <row r="2212" spans="1:11" hidden="1" x14ac:dyDescent="0.25">
      <c r="A2212" s="148" t="s">
        <v>6435</v>
      </c>
      <c r="B2212" s="149" t="s">
        <v>6436</v>
      </c>
      <c r="C2212" s="150" t="s">
        <v>18</v>
      </c>
      <c r="D2212" s="150">
        <v>0</v>
      </c>
      <c r="E2212" s="151" t="s">
        <v>13</v>
      </c>
      <c r="F2212" s="152" t="str">
        <f t="shared" si="104"/>
        <v/>
      </c>
      <c r="G2212" s="153">
        <f>IF($K2212="Padrão",BDI!$B$17,IF($K2212="Diferenciado",BDI!$E$17,0))</f>
        <v>0.2039</v>
      </c>
      <c r="H2212" s="151" t="str">
        <f t="shared" si="102"/>
        <v/>
      </c>
      <c r="I2212" s="152" t="str">
        <f t="shared" si="103"/>
        <v/>
      </c>
      <c r="J2212" s="154"/>
      <c r="K2212" s="155" t="s">
        <v>2966</v>
      </c>
    </row>
    <row r="2213" spans="1:11" hidden="1" x14ac:dyDescent="0.25">
      <c r="A2213" s="148" t="s">
        <v>6437</v>
      </c>
      <c r="B2213" s="149" t="s">
        <v>6438</v>
      </c>
      <c r="C2213" s="150" t="s">
        <v>18</v>
      </c>
      <c r="D2213" s="150">
        <v>0</v>
      </c>
      <c r="E2213" s="151" t="s">
        <v>13</v>
      </c>
      <c r="F2213" s="152" t="str">
        <f t="shared" si="104"/>
        <v/>
      </c>
      <c r="G2213" s="153">
        <f>IF($K2213="Padrão",BDI!$B$17,IF($K2213="Diferenciado",BDI!$E$17,0))</f>
        <v>0.2039</v>
      </c>
      <c r="H2213" s="151" t="str">
        <f t="shared" si="102"/>
        <v/>
      </c>
      <c r="I2213" s="152" t="str">
        <f t="shared" si="103"/>
        <v/>
      </c>
      <c r="J2213" s="154"/>
      <c r="K2213" s="155" t="s">
        <v>2966</v>
      </c>
    </row>
    <row r="2214" spans="1:11" hidden="1" x14ac:dyDescent="0.25">
      <c r="A2214" s="148" t="s">
        <v>6439</v>
      </c>
      <c r="B2214" s="149" t="s">
        <v>6440</v>
      </c>
      <c r="C2214" s="150" t="s">
        <v>18</v>
      </c>
      <c r="D2214" s="150">
        <v>0</v>
      </c>
      <c r="E2214" s="151" t="s">
        <v>13</v>
      </c>
      <c r="F2214" s="152" t="str">
        <f t="shared" si="104"/>
        <v/>
      </c>
      <c r="G2214" s="153">
        <f>IF($K2214="Padrão",BDI!$B$17,IF($K2214="Diferenciado",BDI!$E$17,0))</f>
        <v>0.2039</v>
      </c>
      <c r="H2214" s="151" t="str">
        <f t="shared" si="102"/>
        <v/>
      </c>
      <c r="I2214" s="152" t="str">
        <f t="shared" si="103"/>
        <v/>
      </c>
      <c r="J2214" s="154"/>
      <c r="K2214" s="155" t="s">
        <v>2966</v>
      </c>
    </row>
    <row r="2215" spans="1:11" hidden="1" x14ac:dyDescent="0.25">
      <c r="A2215" s="148" t="s">
        <v>6441</v>
      </c>
      <c r="B2215" s="149" t="s">
        <v>6442</v>
      </c>
      <c r="C2215" s="150" t="s">
        <v>18</v>
      </c>
      <c r="D2215" s="150">
        <v>0</v>
      </c>
      <c r="E2215" s="151" t="s">
        <v>13</v>
      </c>
      <c r="F2215" s="152" t="str">
        <f t="shared" si="104"/>
        <v/>
      </c>
      <c r="G2215" s="153">
        <f>IF($K2215="Padrão",BDI!$B$17,IF($K2215="Diferenciado",BDI!$E$17,0))</f>
        <v>0.2039</v>
      </c>
      <c r="H2215" s="151" t="str">
        <f t="shared" si="102"/>
        <v/>
      </c>
      <c r="I2215" s="152" t="str">
        <f t="shared" si="103"/>
        <v/>
      </c>
      <c r="J2215" s="154"/>
      <c r="K2215" s="155" t="s">
        <v>2966</v>
      </c>
    </row>
    <row r="2216" spans="1:11" hidden="1" x14ac:dyDescent="0.25">
      <c r="A2216" s="148" t="s">
        <v>6443</v>
      </c>
      <c r="B2216" s="149" t="s">
        <v>6444</v>
      </c>
      <c r="C2216" s="150" t="s">
        <v>18</v>
      </c>
      <c r="D2216" s="150">
        <v>0</v>
      </c>
      <c r="E2216" s="151" t="s">
        <v>13</v>
      </c>
      <c r="F2216" s="152" t="str">
        <f t="shared" si="104"/>
        <v/>
      </c>
      <c r="G2216" s="153">
        <f>IF($K2216="Padrão",BDI!$B$17,IF($K2216="Diferenciado",BDI!$E$17,0))</f>
        <v>0.2039</v>
      </c>
      <c r="H2216" s="151" t="str">
        <f t="shared" si="102"/>
        <v/>
      </c>
      <c r="I2216" s="152" t="str">
        <f t="shared" si="103"/>
        <v/>
      </c>
      <c r="J2216" s="154"/>
      <c r="K2216" s="155" t="s">
        <v>2966</v>
      </c>
    </row>
    <row r="2217" spans="1:11" hidden="1" x14ac:dyDescent="0.25">
      <c r="A2217" s="148" t="s">
        <v>1489</v>
      </c>
      <c r="B2217" s="149" t="s">
        <v>6445</v>
      </c>
      <c r="C2217" s="150" t="s">
        <v>18</v>
      </c>
      <c r="D2217" s="150">
        <v>0</v>
      </c>
      <c r="E2217" s="151">
        <f ca="1">OFFSET(INDEX(Composições!A:H,MATCH(Orçamentária!A2217,Composições!A:A,0),8),2,0)</f>
        <v>269.14449999999999</v>
      </c>
      <c r="F2217" s="152">
        <f t="shared" ca="1" si="104"/>
        <v>0</v>
      </c>
      <c r="G2217" s="153">
        <f>IF($K2217="Padrão",BDI!$B$17,IF($K2217="Diferenciado",BDI!$E$17,0))</f>
        <v>0.2039</v>
      </c>
      <c r="H2217" s="151">
        <f t="shared" ca="1" si="102"/>
        <v>324.02</v>
      </c>
      <c r="I2217" s="152">
        <f t="shared" ca="1" si="103"/>
        <v>0</v>
      </c>
      <c r="J2217" s="154"/>
      <c r="K2217" s="155" t="s">
        <v>2966</v>
      </c>
    </row>
    <row r="2218" spans="1:11" hidden="1" x14ac:dyDescent="0.25">
      <c r="A2218" s="148" t="s">
        <v>1490</v>
      </c>
      <c r="B2218" s="149" t="s">
        <v>6446</v>
      </c>
      <c r="C2218" s="150" t="s">
        <v>18</v>
      </c>
      <c r="D2218" s="150">
        <v>0</v>
      </c>
      <c r="E2218" s="151">
        <f ca="1">OFFSET(INDEX(Composições!A:H,MATCH(Orçamentária!A2218,Composições!A:A,0),8),2,0)</f>
        <v>498.64549999999997</v>
      </c>
      <c r="F2218" s="152">
        <f t="shared" ca="1" si="104"/>
        <v>0</v>
      </c>
      <c r="G2218" s="153">
        <f>IF($K2218="Padrão",BDI!$B$17,IF($K2218="Diferenciado",BDI!$E$17,0))</f>
        <v>0.2039</v>
      </c>
      <c r="H2218" s="151">
        <f t="shared" ca="1" si="102"/>
        <v>600.32000000000005</v>
      </c>
      <c r="I2218" s="152">
        <f t="shared" ca="1" si="103"/>
        <v>0</v>
      </c>
      <c r="J2218" s="154"/>
      <c r="K2218" s="155" t="s">
        <v>2966</v>
      </c>
    </row>
    <row r="2219" spans="1:11" hidden="1" x14ac:dyDescent="0.25">
      <c r="A2219" s="148" t="s">
        <v>1491</v>
      </c>
      <c r="B2219" s="149" t="s">
        <v>6447</v>
      </c>
      <c r="C2219" s="150" t="s">
        <v>18</v>
      </c>
      <c r="D2219" s="150">
        <v>0</v>
      </c>
      <c r="E2219" s="151">
        <f ca="1">OFFSET(INDEX(Composições!A:H,MATCH(Orçamentária!A2219,Composições!A:A,0),8),2,0)</f>
        <v>1080.6819999999998</v>
      </c>
      <c r="F2219" s="152">
        <f t="shared" ca="1" si="104"/>
        <v>0</v>
      </c>
      <c r="G2219" s="153">
        <f>IF($K2219="Padrão",BDI!$B$17,IF($K2219="Diferenciado",BDI!$E$17,0))</f>
        <v>0.2039</v>
      </c>
      <c r="H2219" s="151">
        <f t="shared" ca="1" si="102"/>
        <v>1301.03</v>
      </c>
      <c r="I2219" s="152">
        <f t="shared" ca="1" si="103"/>
        <v>0</v>
      </c>
      <c r="J2219" s="154"/>
      <c r="K2219" s="155" t="s">
        <v>2966</v>
      </c>
    </row>
    <row r="2220" spans="1:11" hidden="1" x14ac:dyDescent="0.25">
      <c r="A2220" s="148" t="s">
        <v>6448</v>
      </c>
      <c r="B2220" s="149" t="s">
        <v>6449</v>
      </c>
      <c r="C2220" s="150" t="s">
        <v>18</v>
      </c>
      <c r="D2220" s="150">
        <v>0</v>
      </c>
      <c r="E2220" s="151" t="s">
        <v>13</v>
      </c>
      <c r="F2220" s="152" t="str">
        <f t="shared" si="104"/>
        <v/>
      </c>
      <c r="G2220" s="153">
        <f>IF($K2220="Padrão",BDI!$B$17,IF($K2220="Diferenciado",BDI!$E$17,0))</f>
        <v>0.2039</v>
      </c>
      <c r="H2220" s="151" t="str">
        <f t="shared" si="102"/>
        <v/>
      </c>
      <c r="I2220" s="152" t="str">
        <f t="shared" si="103"/>
        <v/>
      </c>
      <c r="J2220" s="154"/>
      <c r="K2220" s="155" t="s">
        <v>2966</v>
      </c>
    </row>
    <row r="2221" spans="1:11" hidden="1" x14ac:dyDescent="0.25">
      <c r="A2221" s="148" t="s">
        <v>6450</v>
      </c>
      <c r="B2221" s="149" t="s">
        <v>6451</v>
      </c>
      <c r="C2221" s="150" t="s">
        <v>18</v>
      </c>
      <c r="D2221" s="150">
        <v>0</v>
      </c>
      <c r="E2221" s="151" t="s">
        <v>13</v>
      </c>
      <c r="F2221" s="152" t="str">
        <f t="shared" si="104"/>
        <v/>
      </c>
      <c r="G2221" s="153">
        <f>IF($K2221="Padrão",BDI!$B$17,IF($K2221="Diferenciado",BDI!$E$17,0))</f>
        <v>0.2039</v>
      </c>
      <c r="H2221" s="151" t="str">
        <f t="shared" si="102"/>
        <v/>
      </c>
      <c r="I2221" s="152" t="str">
        <f t="shared" si="103"/>
        <v/>
      </c>
      <c r="J2221" s="154"/>
      <c r="K2221" s="155" t="s">
        <v>2966</v>
      </c>
    </row>
    <row r="2222" spans="1:11" hidden="1" x14ac:dyDescent="0.25">
      <c r="A2222" s="148" t="s">
        <v>6452</v>
      </c>
      <c r="B2222" s="149" t="s">
        <v>6453</v>
      </c>
      <c r="C2222" s="150" t="s">
        <v>18</v>
      </c>
      <c r="D2222" s="150">
        <v>0</v>
      </c>
      <c r="E2222" s="151" t="s">
        <v>13</v>
      </c>
      <c r="F2222" s="152" t="str">
        <f t="shared" si="104"/>
        <v/>
      </c>
      <c r="G2222" s="153">
        <f>IF($K2222="Padrão",BDI!$B$17,IF($K2222="Diferenciado",BDI!$E$17,0))</f>
        <v>0.2039</v>
      </c>
      <c r="H2222" s="151" t="str">
        <f t="shared" si="102"/>
        <v/>
      </c>
      <c r="I2222" s="152" t="str">
        <f t="shared" si="103"/>
        <v/>
      </c>
      <c r="J2222" s="154"/>
      <c r="K2222" s="155" t="s">
        <v>2966</v>
      </c>
    </row>
    <row r="2223" spans="1:11" hidden="1" x14ac:dyDescent="0.25">
      <c r="A2223" s="148" t="s">
        <v>6454</v>
      </c>
      <c r="B2223" s="149" t="s">
        <v>6455</v>
      </c>
      <c r="C2223" s="150" t="s">
        <v>18</v>
      </c>
      <c r="D2223" s="150">
        <v>0</v>
      </c>
      <c r="E2223" s="151" t="s">
        <v>13</v>
      </c>
      <c r="F2223" s="152" t="str">
        <f t="shared" si="104"/>
        <v/>
      </c>
      <c r="G2223" s="153">
        <f>IF($K2223="Padrão",BDI!$B$17,IF($K2223="Diferenciado",BDI!$E$17,0))</f>
        <v>0.2039</v>
      </c>
      <c r="H2223" s="151" t="str">
        <f t="shared" si="102"/>
        <v/>
      </c>
      <c r="I2223" s="152" t="str">
        <f t="shared" si="103"/>
        <v/>
      </c>
      <c r="J2223" s="154"/>
      <c r="K2223" s="155" t="s">
        <v>2966</v>
      </c>
    </row>
    <row r="2224" spans="1:11" hidden="1" x14ac:dyDescent="0.25">
      <c r="A2224" s="148" t="s">
        <v>6456</v>
      </c>
      <c r="B2224" s="149" t="s">
        <v>6457</v>
      </c>
      <c r="C2224" s="150" t="s">
        <v>18</v>
      </c>
      <c r="D2224" s="150">
        <v>0</v>
      </c>
      <c r="E2224" s="151" t="s">
        <v>13</v>
      </c>
      <c r="F2224" s="152" t="str">
        <f t="shared" si="104"/>
        <v/>
      </c>
      <c r="G2224" s="153">
        <f>IF($K2224="Padrão",BDI!$B$17,IF($K2224="Diferenciado",BDI!$E$17,0))</f>
        <v>0.2039</v>
      </c>
      <c r="H2224" s="151" t="str">
        <f t="shared" si="102"/>
        <v/>
      </c>
      <c r="I2224" s="152" t="str">
        <f t="shared" si="103"/>
        <v/>
      </c>
      <c r="J2224" s="154"/>
      <c r="K2224" s="155" t="s">
        <v>2966</v>
      </c>
    </row>
    <row r="2225" spans="1:11" hidden="1" x14ac:dyDescent="0.25">
      <c r="A2225" s="148" t="s">
        <v>6458</v>
      </c>
      <c r="B2225" s="149" t="s">
        <v>6459</v>
      </c>
      <c r="C2225" s="150" t="s">
        <v>18</v>
      </c>
      <c r="D2225" s="150">
        <v>0</v>
      </c>
      <c r="E2225" s="151" t="s">
        <v>13</v>
      </c>
      <c r="F2225" s="152" t="str">
        <f t="shared" si="104"/>
        <v/>
      </c>
      <c r="G2225" s="153">
        <f>IF($K2225="Padrão",BDI!$B$17,IF($K2225="Diferenciado",BDI!$E$17,0))</f>
        <v>0.2039</v>
      </c>
      <c r="H2225" s="151" t="str">
        <f t="shared" si="102"/>
        <v/>
      </c>
      <c r="I2225" s="152" t="str">
        <f t="shared" si="103"/>
        <v/>
      </c>
      <c r="J2225" s="154"/>
      <c r="K2225" s="155" t="s">
        <v>2966</v>
      </c>
    </row>
    <row r="2226" spans="1:11" hidden="1" x14ac:dyDescent="0.25">
      <c r="A2226" s="148" t="s">
        <v>6460</v>
      </c>
      <c r="B2226" s="149" t="s">
        <v>6461</v>
      </c>
      <c r="C2226" s="150" t="s">
        <v>18</v>
      </c>
      <c r="D2226" s="150">
        <v>0</v>
      </c>
      <c r="E2226" s="151" t="s">
        <v>13</v>
      </c>
      <c r="F2226" s="152" t="str">
        <f t="shared" si="104"/>
        <v/>
      </c>
      <c r="G2226" s="153">
        <f>IF($K2226="Padrão",BDI!$B$17,IF($K2226="Diferenciado",BDI!$E$17,0))</f>
        <v>0.2039</v>
      </c>
      <c r="H2226" s="151" t="str">
        <f t="shared" si="102"/>
        <v/>
      </c>
      <c r="I2226" s="152" t="str">
        <f t="shared" si="103"/>
        <v/>
      </c>
      <c r="J2226" s="154"/>
      <c r="K2226" s="155" t="s">
        <v>2966</v>
      </c>
    </row>
    <row r="2227" spans="1:11" hidden="1" x14ac:dyDescent="0.25">
      <c r="A2227" s="148" t="s">
        <v>6462</v>
      </c>
      <c r="B2227" s="149" t="s">
        <v>6463</v>
      </c>
      <c r="C2227" s="150" t="s">
        <v>18</v>
      </c>
      <c r="D2227" s="150">
        <v>0</v>
      </c>
      <c r="E2227" s="151" t="s">
        <v>13</v>
      </c>
      <c r="F2227" s="152" t="str">
        <f t="shared" si="104"/>
        <v/>
      </c>
      <c r="G2227" s="153">
        <f>IF($K2227="Padrão",BDI!$B$17,IF($K2227="Diferenciado",BDI!$E$17,0))</f>
        <v>0.2039</v>
      </c>
      <c r="H2227" s="151" t="str">
        <f t="shared" si="102"/>
        <v/>
      </c>
      <c r="I2227" s="152" t="str">
        <f t="shared" si="103"/>
        <v/>
      </c>
      <c r="J2227" s="154"/>
      <c r="K2227" s="155" t="s">
        <v>2966</v>
      </c>
    </row>
    <row r="2228" spans="1:11" hidden="1" x14ac:dyDescent="0.25">
      <c r="A2228" s="148" t="s">
        <v>6464</v>
      </c>
      <c r="B2228" s="149" t="s">
        <v>6465</v>
      </c>
      <c r="C2228" s="150" t="s">
        <v>18</v>
      </c>
      <c r="D2228" s="150">
        <v>0</v>
      </c>
      <c r="E2228" s="151" t="s">
        <v>13</v>
      </c>
      <c r="F2228" s="152" t="str">
        <f t="shared" si="104"/>
        <v/>
      </c>
      <c r="G2228" s="153">
        <f>IF($K2228="Padrão",BDI!$B$17,IF($K2228="Diferenciado",BDI!$E$17,0))</f>
        <v>0.2039</v>
      </c>
      <c r="H2228" s="151" t="str">
        <f t="shared" si="102"/>
        <v/>
      </c>
      <c r="I2228" s="152" t="str">
        <f t="shared" si="103"/>
        <v/>
      </c>
      <c r="J2228" s="154"/>
      <c r="K2228" s="155" t="s">
        <v>2966</v>
      </c>
    </row>
    <row r="2229" spans="1:11" hidden="1" x14ac:dyDescent="0.25">
      <c r="A2229" s="148" t="s">
        <v>6466</v>
      </c>
      <c r="B2229" s="149" t="s">
        <v>6467</v>
      </c>
      <c r="C2229" s="150" t="s">
        <v>18</v>
      </c>
      <c r="D2229" s="150">
        <v>0</v>
      </c>
      <c r="E2229" s="151" t="s">
        <v>13</v>
      </c>
      <c r="F2229" s="152" t="str">
        <f t="shared" si="104"/>
        <v/>
      </c>
      <c r="G2229" s="153">
        <f>IF($K2229="Padrão",BDI!$B$17,IF($K2229="Diferenciado",BDI!$E$17,0))</f>
        <v>0.2039</v>
      </c>
      <c r="H2229" s="151" t="str">
        <f t="shared" si="102"/>
        <v/>
      </c>
      <c r="I2229" s="152" t="str">
        <f t="shared" si="103"/>
        <v/>
      </c>
      <c r="J2229" s="154"/>
      <c r="K2229" s="155" t="s">
        <v>2966</v>
      </c>
    </row>
    <row r="2230" spans="1:11" hidden="1" x14ac:dyDescent="0.25">
      <c r="A2230" s="148" t="s">
        <v>6468</v>
      </c>
      <c r="B2230" s="149" t="s">
        <v>6469</v>
      </c>
      <c r="C2230" s="150" t="s">
        <v>18</v>
      </c>
      <c r="D2230" s="150">
        <v>0</v>
      </c>
      <c r="E2230" s="151" t="s">
        <v>13</v>
      </c>
      <c r="F2230" s="152" t="str">
        <f t="shared" si="104"/>
        <v/>
      </c>
      <c r="G2230" s="153">
        <f>IF($K2230="Padrão",BDI!$B$17,IF($K2230="Diferenciado",BDI!$E$17,0))</f>
        <v>0.2039</v>
      </c>
      <c r="H2230" s="151" t="str">
        <f t="shared" si="102"/>
        <v/>
      </c>
      <c r="I2230" s="152" t="str">
        <f t="shared" si="103"/>
        <v/>
      </c>
      <c r="J2230" s="154"/>
      <c r="K2230" s="155" t="s">
        <v>2966</v>
      </c>
    </row>
    <row r="2231" spans="1:11" hidden="1" x14ac:dyDescent="0.25">
      <c r="A2231" s="148" t="s">
        <v>6470</v>
      </c>
      <c r="B2231" s="149" t="s">
        <v>6471</v>
      </c>
      <c r="C2231" s="150" t="s">
        <v>18</v>
      </c>
      <c r="D2231" s="150">
        <v>0</v>
      </c>
      <c r="E2231" s="151" t="s">
        <v>13</v>
      </c>
      <c r="F2231" s="152" t="str">
        <f t="shared" si="104"/>
        <v/>
      </c>
      <c r="G2231" s="153">
        <f>IF($K2231="Padrão",BDI!$B$17,IF($K2231="Diferenciado",BDI!$E$17,0))</f>
        <v>0.2039</v>
      </c>
      <c r="H2231" s="151" t="str">
        <f t="shared" si="102"/>
        <v/>
      </c>
      <c r="I2231" s="152" t="str">
        <f t="shared" si="103"/>
        <v/>
      </c>
      <c r="J2231" s="154"/>
      <c r="K2231" s="155" t="s">
        <v>2966</v>
      </c>
    </row>
    <row r="2232" spans="1:11" hidden="1" x14ac:dyDescent="0.25">
      <c r="A2232" s="148" t="s">
        <v>6472</v>
      </c>
      <c r="B2232" s="149" t="s">
        <v>6473</v>
      </c>
      <c r="C2232" s="150" t="s">
        <v>18</v>
      </c>
      <c r="D2232" s="150">
        <v>0</v>
      </c>
      <c r="E2232" s="151" t="s">
        <v>13</v>
      </c>
      <c r="F2232" s="152" t="str">
        <f t="shared" si="104"/>
        <v/>
      </c>
      <c r="G2232" s="153">
        <f>IF($K2232="Padrão",BDI!$B$17,IF($K2232="Diferenciado",BDI!$E$17,0))</f>
        <v>0.2039</v>
      </c>
      <c r="H2232" s="151" t="str">
        <f t="shared" si="102"/>
        <v/>
      </c>
      <c r="I2232" s="152" t="str">
        <f t="shared" si="103"/>
        <v/>
      </c>
      <c r="J2232" s="154"/>
      <c r="K2232" s="155" t="s">
        <v>2966</v>
      </c>
    </row>
    <row r="2233" spans="1:11" hidden="1" x14ac:dyDescent="0.25">
      <c r="A2233" s="148" t="s">
        <v>6474</v>
      </c>
      <c r="B2233" s="149" t="s">
        <v>6475</v>
      </c>
      <c r="C2233" s="150" t="s">
        <v>18</v>
      </c>
      <c r="D2233" s="150">
        <v>0</v>
      </c>
      <c r="E2233" s="151" t="s">
        <v>13</v>
      </c>
      <c r="F2233" s="152" t="str">
        <f t="shared" si="104"/>
        <v/>
      </c>
      <c r="G2233" s="153">
        <f>IF($K2233="Padrão",BDI!$B$17,IF($K2233="Diferenciado",BDI!$E$17,0))</f>
        <v>0.2039</v>
      </c>
      <c r="H2233" s="151" t="str">
        <f t="shared" si="102"/>
        <v/>
      </c>
      <c r="I2233" s="152" t="str">
        <f t="shared" si="103"/>
        <v/>
      </c>
      <c r="J2233" s="154"/>
      <c r="K2233" s="155" t="s">
        <v>2966</v>
      </c>
    </row>
    <row r="2234" spans="1:11" hidden="1" x14ac:dyDescent="0.25">
      <c r="A2234" s="148" t="s">
        <v>6476</v>
      </c>
      <c r="B2234" s="149" t="s">
        <v>6477</v>
      </c>
      <c r="C2234" s="150" t="s">
        <v>18</v>
      </c>
      <c r="D2234" s="150">
        <v>0</v>
      </c>
      <c r="E2234" s="151" t="s">
        <v>13</v>
      </c>
      <c r="F2234" s="152" t="str">
        <f t="shared" si="104"/>
        <v/>
      </c>
      <c r="G2234" s="153">
        <f>IF($K2234="Padrão",BDI!$B$17,IF($K2234="Diferenciado",BDI!$E$17,0))</f>
        <v>0.2039</v>
      </c>
      <c r="H2234" s="151" t="str">
        <f t="shared" si="102"/>
        <v/>
      </c>
      <c r="I2234" s="152" t="str">
        <f t="shared" si="103"/>
        <v/>
      </c>
      <c r="J2234" s="154"/>
      <c r="K2234" s="155" t="s">
        <v>2966</v>
      </c>
    </row>
    <row r="2235" spans="1:11" hidden="1" x14ac:dyDescent="0.25">
      <c r="A2235" s="148" t="s">
        <v>6478</v>
      </c>
      <c r="B2235" s="149" t="s">
        <v>6479</v>
      </c>
      <c r="C2235" s="150" t="s">
        <v>18</v>
      </c>
      <c r="D2235" s="150">
        <v>0</v>
      </c>
      <c r="E2235" s="151" t="s">
        <v>13</v>
      </c>
      <c r="F2235" s="152" t="str">
        <f t="shared" si="104"/>
        <v/>
      </c>
      <c r="G2235" s="153">
        <f>IF($K2235="Padrão",BDI!$B$17,IF($K2235="Diferenciado",BDI!$E$17,0))</f>
        <v>0.2039</v>
      </c>
      <c r="H2235" s="151" t="str">
        <f t="shared" si="102"/>
        <v/>
      </c>
      <c r="I2235" s="152" t="str">
        <f t="shared" si="103"/>
        <v/>
      </c>
      <c r="J2235" s="154"/>
      <c r="K2235" s="155" t="s">
        <v>2966</v>
      </c>
    </row>
    <row r="2236" spans="1:11" hidden="1" x14ac:dyDescent="0.25">
      <c r="A2236" s="148" t="s">
        <v>6480</v>
      </c>
      <c r="B2236" s="149" t="s">
        <v>6481</v>
      </c>
      <c r="C2236" s="150" t="s">
        <v>18</v>
      </c>
      <c r="D2236" s="150">
        <v>0</v>
      </c>
      <c r="E2236" s="151" t="s">
        <v>13</v>
      </c>
      <c r="F2236" s="152" t="str">
        <f t="shared" si="104"/>
        <v/>
      </c>
      <c r="G2236" s="153">
        <f>IF($K2236="Padrão",BDI!$B$17,IF($K2236="Diferenciado",BDI!$E$17,0))</f>
        <v>0.2039</v>
      </c>
      <c r="H2236" s="151" t="str">
        <f t="shared" si="102"/>
        <v/>
      </c>
      <c r="I2236" s="152" t="str">
        <f t="shared" si="103"/>
        <v/>
      </c>
      <c r="J2236" s="154"/>
      <c r="K2236" s="155" t="s">
        <v>2966</v>
      </c>
    </row>
    <row r="2237" spans="1:11" hidden="1" x14ac:dyDescent="0.25">
      <c r="A2237" s="148" t="s">
        <v>6482</v>
      </c>
      <c r="B2237" s="149" t="s">
        <v>6483</v>
      </c>
      <c r="C2237" s="150" t="s">
        <v>18</v>
      </c>
      <c r="D2237" s="150">
        <v>0</v>
      </c>
      <c r="E2237" s="151" t="s">
        <v>13</v>
      </c>
      <c r="F2237" s="152" t="str">
        <f t="shared" si="104"/>
        <v/>
      </c>
      <c r="G2237" s="153">
        <f>IF($K2237="Padrão",BDI!$B$17,IF($K2237="Diferenciado",BDI!$E$17,0))</f>
        <v>0.2039</v>
      </c>
      <c r="H2237" s="151" t="str">
        <f t="shared" si="102"/>
        <v/>
      </c>
      <c r="I2237" s="152" t="str">
        <f t="shared" si="103"/>
        <v/>
      </c>
      <c r="J2237" s="154"/>
      <c r="K2237" s="155" t="s">
        <v>2966</v>
      </c>
    </row>
    <row r="2238" spans="1:11" hidden="1" x14ac:dyDescent="0.25">
      <c r="A2238" s="148" t="s">
        <v>6484</v>
      </c>
      <c r="B2238" s="149" t="s">
        <v>6485</v>
      </c>
      <c r="C2238" s="150" t="s">
        <v>18</v>
      </c>
      <c r="D2238" s="150">
        <v>0</v>
      </c>
      <c r="E2238" s="151" t="s">
        <v>13</v>
      </c>
      <c r="F2238" s="152" t="str">
        <f t="shared" si="104"/>
        <v/>
      </c>
      <c r="G2238" s="153">
        <f>IF($K2238="Padrão",BDI!$B$17,IF($K2238="Diferenciado",BDI!$E$17,0))</f>
        <v>0.2039</v>
      </c>
      <c r="H2238" s="151" t="str">
        <f t="shared" si="102"/>
        <v/>
      </c>
      <c r="I2238" s="152" t="str">
        <f t="shared" si="103"/>
        <v/>
      </c>
      <c r="J2238" s="154"/>
      <c r="K2238" s="155" t="s">
        <v>2966</v>
      </c>
    </row>
    <row r="2239" spans="1:11" hidden="1" x14ac:dyDescent="0.25">
      <c r="A2239" s="148" t="s">
        <v>6486</v>
      </c>
      <c r="B2239" s="149" t="s">
        <v>6487</v>
      </c>
      <c r="C2239" s="150" t="s">
        <v>18</v>
      </c>
      <c r="D2239" s="150">
        <v>0</v>
      </c>
      <c r="E2239" s="151" t="s">
        <v>13</v>
      </c>
      <c r="F2239" s="152" t="str">
        <f t="shared" si="104"/>
        <v/>
      </c>
      <c r="G2239" s="153">
        <f>IF($K2239="Padrão",BDI!$B$17,IF($K2239="Diferenciado",BDI!$E$17,0))</f>
        <v>0.2039</v>
      </c>
      <c r="H2239" s="151" t="str">
        <f t="shared" si="102"/>
        <v/>
      </c>
      <c r="I2239" s="152" t="str">
        <f t="shared" si="103"/>
        <v/>
      </c>
      <c r="J2239" s="154"/>
      <c r="K2239" s="155" t="s">
        <v>2966</v>
      </c>
    </row>
    <row r="2240" spans="1:11" hidden="1" x14ac:dyDescent="0.25">
      <c r="A2240" s="148" t="s">
        <v>6488</v>
      </c>
      <c r="B2240" s="149" t="s">
        <v>6489</v>
      </c>
      <c r="C2240" s="150" t="s">
        <v>18</v>
      </c>
      <c r="D2240" s="150">
        <v>0</v>
      </c>
      <c r="E2240" s="151" t="s">
        <v>13</v>
      </c>
      <c r="F2240" s="152" t="str">
        <f t="shared" si="104"/>
        <v/>
      </c>
      <c r="G2240" s="153">
        <f>IF($K2240="Padrão",BDI!$B$17,IF($K2240="Diferenciado",BDI!$E$17,0))</f>
        <v>0.2039</v>
      </c>
      <c r="H2240" s="151" t="str">
        <f t="shared" si="102"/>
        <v/>
      </c>
      <c r="I2240" s="152" t="str">
        <f t="shared" si="103"/>
        <v/>
      </c>
      <c r="J2240" s="154"/>
      <c r="K2240" s="155" t="s">
        <v>2966</v>
      </c>
    </row>
    <row r="2241" spans="1:11" hidden="1" x14ac:dyDescent="0.25">
      <c r="A2241" s="148" t="s">
        <v>6490</v>
      </c>
      <c r="B2241" s="149" t="s">
        <v>6491</v>
      </c>
      <c r="C2241" s="150" t="s">
        <v>18</v>
      </c>
      <c r="D2241" s="150">
        <v>0</v>
      </c>
      <c r="E2241" s="151" t="s">
        <v>13</v>
      </c>
      <c r="F2241" s="152" t="str">
        <f t="shared" si="104"/>
        <v/>
      </c>
      <c r="G2241" s="153">
        <f>IF($K2241="Padrão",BDI!$B$17,IF($K2241="Diferenciado",BDI!$E$17,0))</f>
        <v>0.2039</v>
      </c>
      <c r="H2241" s="151" t="str">
        <f t="shared" si="102"/>
        <v/>
      </c>
      <c r="I2241" s="152" t="str">
        <f t="shared" si="103"/>
        <v/>
      </c>
      <c r="J2241" s="154"/>
      <c r="K2241" s="155" t="s">
        <v>2966</v>
      </c>
    </row>
    <row r="2242" spans="1:11" hidden="1" x14ac:dyDescent="0.25">
      <c r="A2242" s="148" t="s">
        <v>6492</v>
      </c>
      <c r="B2242" s="149" t="s">
        <v>6493</v>
      </c>
      <c r="C2242" s="150" t="s">
        <v>18</v>
      </c>
      <c r="D2242" s="150">
        <v>0</v>
      </c>
      <c r="E2242" s="151" t="s">
        <v>13</v>
      </c>
      <c r="F2242" s="152" t="str">
        <f t="shared" si="104"/>
        <v/>
      </c>
      <c r="G2242" s="153">
        <f>IF($K2242="Padrão",BDI!$B$17,IF($K2242="Diferenciado",BDI!$E$17,0))</f>
        <v>0.2039</v>
      </c>
      <c r="H2242" s="151" t="str">
        <f t="shared" si="102"/>
        <v/>
      </c>
      <c r="I2242" s="152" t="str">
        <f t="shared" si="103"/>
        <v/>
      </c>
      <c r="J2242" s="154"/>
      <c r="K2242" s="155" t="s">
        <v>2966</v>
      </c>
    </row>
    <row r="2243" spans="1:11" hidden="1" x14ac:dyDescent="0.25">
      <c r="A2243" s="148" t="s">
        <v>6494</v>
      </c>
      <c r="B2243" s="149" t="s">
        <v>6495</v>
      </c>
      <c r="C2243" s="150" t="s">
        <v>18</v>
      </c>
      <c r="D2243" s="150">
        <v>0</v>
      </c>
      <c r="E2243" s="151" t="s">
        <v>13</v>
      </c>
      <c r="F2243" s="152" t="str">
        <f t="shared" si="104"/>
        <v/>
      </c>
      <c r="G2243" s="153">
        <f>IF($K2243="Padrão",BDI!$B$17,IF($K2243="Diferenciado",BDI!$E$17,0))</f>
        <v>0.2039</v>
      </c>
      <c r="H2243" s="151" t="str">
        <f t="shared" si="102"/>
        <v/>
      </c>
      <c r="I2243" s="152" t="str">
        <f t="shared" si="103"/>
        <v/>
      </c>
      <c r="J2243" s="154"/>
      <c r="K2243" s="155" t="s">
        <v>2966</v>
      </c>
    </row>
    <row r="2244" spans="1:11" hidden="1" x14ac:dyDescent="0.25">
      <c r="A2244" s="148" t="s">
        <v>6496</v>
      </c>
      <c r="B2244" s="149" t="s">
        <v>6497</v>
      </c>
      <c r="C2244" s="150" t="s">
        <v>18</v>
      </c>
      <c r="D2244" s="150">
        <v>0</v>
      </c>
      <c r="E2244" s="151" t="s">
        <v>13</v>
      </c>
      <c r="F2244" s="152" t="str">
        <f t="shared" si="104"/>
        <v/>
      </c>
      <c r="G2244" s="153">
        <f>IF($K2244="Padrão",BDI!$B$17,IF($K2244="Diferenciado",BDI!$E$17,0))</f>
        <v>0.2039</v>
      </c>
      <c r="H2244" s="151" t="str">
        <f t="shared" si="102"/>
        <v/>
      </c>
      <c r="I2244" s="152" t="str">
        <f t="shared" si="103"/>
        <v/>
      </c>
      <c r="J2244" s="154"/>
      <c r="K2244" s="155" t="s">
        <v>2966</v>
      </c>
    </row>
    <row r="2245" spans="1:11" hidden="1" x14ac:dyDescent="0.25">
      <c r="A2245" s="148" t="s">
        <v>6498</v>
      </c>
      <c r="B2245" s="149" t="s">
        <v>6499</v>
      </c>
      <c r="C2245" s="150" t="s">
        <v>18</v>
      </c>
      <c r="D2245" s="150">
        <v>0</v>
      </c>
      <c r="E2245" s="151" t="s">
        <v>13</v>
      </c>
      <c r="F2245" s="152" t="str">
        <f t="shared" si="104"/>
        <v/>
      </c>
      <c r="G2245" s="153">
        <f>IF($K2245="Padrão",BDI!$B$17,IF($K2245="Diferenciado",BDI!$E$17,0))</f>
        <v>0.2039</v>
      </c>
      <c r="H2245" s="151" t="str">
        <f t="shared" si="102"/>
        <v/>
      </c>
      <c r="I2245" s="152" t="str">
        <f t="shared" si="103"/>
        <v/>
      </c>
      <c r="J2245" s="154"/>
      <c r="K2245" s="155" t="s">
        <v>2966</v>
      </c>
    </row>
    <row r="2246" spans="1:11" hidden="1" x14ac:dyDescent="0.25">
      <c r="A2246" s="148" t="s">
        <v>6500</v>
      </c>
      <c r="B2246" s="149" t="s">
        <v>6501</v>
      </c>
      <c r="C2246" s="150" t="s">
        <v>18</v>
      </c>
      <c r="D2246" s="150">
        <v>0</v>
      </c>
      <c r="E2246" s="151" t="s">
        <v>13</v>
      </c>
      <c r="F2246" s="152" t="str">
        <f t="shared" si="104"/>
        <v/>
      </c>
      <c r="G2246" s="153">
        <f>IF($K2246="Padrão",BDI!$B$17,IF($K2246="Diferenciado",BDI!$E$17,0))</f>
        <v>0.2039</v>
      </c>
      <c r="H2246" s="151" t="str">
        <f t="shared" ref="H2246:H2309" si="105">IF(ISNUMBER(E2246),ROUND(E2246*(1+G2246),2),"")</f>
        <v/>
      </c>
      <c r="I2246" s="152" t="str">
        <f t="shared" ref="I2246:I2309" si="106">IF(ISNUMBER(E2246),ROUND(H2246*D2246,2),"")</f>
        <v/>
      </c>
      <c r="J2246" s="154"/>
      <c r="K2246" s="155" t="s">
        <v>2966</v>
      </c>
    </row>
    <row r="2247" spans="1:11" hidden="1" x14ac:dyDescent="0.25">
      <c r="A2247" s="148" t="s">
        <v>6502</v>
      </c>
      <c r="B2247" s="149" t="s">
        <v>6503</v>
      </c>
      <c r="C2247" s="150" t="s">
        <v>68</v>
      </c>
      <c r="D2247" s="150">
        <v>0</v>
      </c>
      <c r="E2247" s="151" t="s">
        <v>13</v>
      </c>
      <c r="F2247" s="152" t="str">
        <f t="shared" ref="F2247:F2310" si="107">IF(ISNUMBER(E2247),D2247*E2247,"")</f>
        <v/>
      </c>
      <c r="G2247" s="153">
        <f>IF($K2247="Padrão",BDI!$B$17,IF($K2247="Diferenciado",BDI!$E$17,0))</f>
        <v>0.2039</v>
      </c>
      <c r="H2247" s="151" t="str">
        <f t="shared" si="105"/>
        <v/>
      </c>
      <c r="I2247" s="152" t="str">
        <f t="shared" si="106"/>
        <v/>
      </c>
      <c r="J2247" s="154"/>
      <c r="K2247" s="155" t="s">
        <v>2966</v>
      </c>
    </row>
    <row r="2248" spans="1:11" hidden="1" x14ac:dyDescent="0.25">
      <c r="A2248" s="148" t="s">
        <v>6504</v>
      </c>
      <c r="B2248" s="149" t="s">
        <v>6505</v>
      </c>
      <c r="C2248" s="150" t="s">
        <v>68</v>
      </c>
      <c r="D2248" s="150">
        <v>0</v>
      </c>
      <c r="E2248" s="151" t="s">
        <v>13</v>
      </c>
      <c r="F2248" s="152" t="str">
        <f t="shared" si="107"/>
        <v/>
      </c>
      <c r="G2248" s="153">
        <f>IF($K2248="Padrão",BDI!$B$17,IF($K2248="Diferenciado",BDI!$E$17,0))</f>
        <v>0.2039</v>
      </c>
      <c r="H2248" s="151" t="str">
        <f t="shared" si="105"/>
        <v/>
      </c>
      <c r="I2248" s="152" t="str">
        <f t="shared" si="106"/>
        <v/>
      </c>
      <c r="J2248" s="154"/>
      <c r="K2248" s="155" t="s">
        <v>2966</v>
      </c>
    </row>
    <row r="2249" spans="1:11" hidden="1" x14ac:dyDescent="0.25">
      <c r="A2249" s="148" t="s">
        <v>6506</v>
      </c>
      <c r="B2249" s="149" t="s">
        <v>6507</v>
      </c>
      <c r="C2249" s="150" t="s">
        <v>18</v>
      </c>
      <c r="D2249" s="150">
        <v>0</v>
      </c>
      <c r="E2249" s="151" t="s">
        <v>13</v>
      </c>
      <c r="F2249" s="152" t="str">
        <f t="shared" si="107"/>
        <v/>
      </c>
      <c r="G2249" s="153">
        <f>IF($K2249="Padrão",BDI!$B$17,IF($K2249="Diferenciado",BDI!$E$17,0))</f>
        <v>0.2039</v>
      </c>
      <c r="H2249" s="151" t="str">
        <f t="shared" si="105"/>
        <v/>
      </c>
      <c r="I2249" s="152" t="str">
        <f t="shared" si="106"/>
        <v/>
      </c>
      <c r="J2249" s="154"/>
      <c r="K2249" s="155" t="s">
        <v>2966</v>
      </c>
    </row>
    <row r="2250" spans="1:11" hidden="1" x14ac:dyDescent="0.25">
      <c r="A2250" s="148" t="s">
        <v>6508</v>
      </c>
      <c r="B2250" s="149" t="s">
        <v>6509</v>
      </c>
      <c r="C2250" s="150" t="s">
        <v>18</v>
      </c>
      <c r="D2250" s="150">
        <v>0</v>
      </c>
      <c r="E2250" s="151" t="s">
        <v>13</v>
      </c>
      <c r="F2250" s="152" t="str">
        <f t="shared" si="107"/>
        <v/>
      </c>
      <c r="G2250" s="153">
        <f>IF($K2250="Padrão",BDI!$B$17,IF($K2250="Diferenciado",BDI!$E$17,0))</f>
        <v>0.2039</v>
      </c>
      <c r="H2250" s="151" t="str">
        <f t="shared" si="105"/>
        <v/>
      </c>
      <c r="I2250" s="152" t="str">
        <f t="shared" si="106"/>
        <v/>
      </c>
      <c r="J2250" s="154"/>
      <c r="K2250" s="155" t="s">
        <v>2966</v>
      </c>
    </row>
    <row r="2251" spans="1:11" hidden="1" x14ac:dyDescent="0.25">
      <c r="A2251" s="148" t="s">
        <v>6510</v>
      </c>
      <c r="B2251" s="149" t="s">
        <v>6511</v>
      </c>
      <c r="C2251" s="150" t="s">
        <v>18</v>
      </c>
      <c r="D2251" s="150">
        <v>0</v>
      </c>
      <c r="E2251" s="151" t="s">
        <v>13</v>
      </c>
      <c r="F2251" s="152" t="str">
        <f t="shared" si="107"/>
        <v/>
      </c>
      <c r="G2251" s="153">
        <f>IF($K2251="Padrão",BDI!$B$17,IF($K2251="Diferenciado",BDI!$E$17,0))</f>
        <v>0.2039</v>
      </c>
      <c r="H2251" s="151" t="str">
        <f t="shared" si="105"/>
        <v/>
      </c>
      <c r="I2251" s="152" t="str">
        <f t="shared" si="106"/>
        <v/>
      </c>
      <c r="J2251" s="154"/>
      <c r="K2251" s="155" t="s">
        <v>2966</v>
      </c>
    </row>
    <row r="2252" spans="1:11" hidden="1" x14ac:dyDescent="0.25">
      <c r="A2252" s="148" t="s">
        <v>6512</v>
      </c>
      <c r="B2252" s="149" t="s">
        <v>6513</v>
      </c>
      <c r="C2252" s="150" t="s">
        <v>18</v>
      </c>
      <c r="D2252" s="150">
        <v>0</v>
      </c>
      <c r="E2252" s="151" t="s">
        <v>13</v>
      </c>
      <c r="F2252" s="152" t="str">
        <f t="shared" si="107"/>
        <v/>
      </c>
      <c r="G2252" s="153">
        <f>IF($K2252="Padrão",BDI!$B$17,IF($K2252="Diferenciado",BDI!$E$17,0))</f>
        <v>0.2039</v>
      </c>
      <c r="H2252" s="151" t="str">
        <f t="shared" si="105"/>
        <v/>
      </c>
      <c r="I2252" s="152" t="str">
        <f t="shared" si="106"/>
        <v/>
      </c>
      <c r="J2252" s="154"/>
      <c r="K2252" s="155" t="s">
        <v>2966</v>
      </c>
    </row>
    <row r="2253" spans="1:11" hidden="1" x14ac:dyDescent="0.25">
      <c r="A2253" s="148" t="s">
        <v>6514</v>
      </c>
      <c r="B2253" s="149" t="s">
        <v>6515</v>
      </c>
      <c r="C2253" s="150" t="s">
        <v>18</v>
      </c>
      <c r="D2253" s="150">
        <v>0</v>
      </c>
      <c r="E2253" s="151" t="s">
        <v>13</v>
      </c>
      <c r="F2253" s="152" t="str">
        <f t="shared" si="107"/>
        <v/>
      </c>
      <c r="G2253" s="153">
        <f>IF($K2253="Padrão",BDI!$B$17,IF($K2253="Diferenciado",BDI!$E$17,0))</f>
        <v>0.2039</v>
      </c>
      <c r="H2253" s="151" t="str">
        <f t="shared" si="105"/>
        <v/>
      </c>
      <c r="I2253" s="152" t="str">
        <f t="shared" si="106"/>
        <v/>
      </c>
      <c r="J2253" s="154"/>
      <c r="K2253" s="155" t="s">
        <v>2966</v>
      </c>
    </row>
    <row r="2254" spans="1:11" hidden="1" x14ac:dyDescent="0.25">
      <c r="A2254" s="148" t="s">
        <v>6516</v>
      </c>
      <c r="B2254" s="149" t="s">
        <v>6517</v>
      </c>
      <c r="C2254" s="150" t="s">
        <v>18</v>
      </c>
      <c r="D2254" s="150">
        <v>0</v>
      </c>
      <c r="E2254" s="151" t="s">
        <v>13</v>
      </c>
      <c r="F2254" s="152" t="str">
        <f t="shared" si="107"/>
        <v/>
      </c>
      <c r="G2254" s="153">
        <f>IF($K2254="Padrão",BDI!$B$17,IF($K2254="Diferenciado",BDI!$E$17,0))</f>
        <v>0.2039</v>
      </c>
      <c r="H2254" s="151" t="str">
        <f t="shared" si="105"/>
        <v/>
      </c>
      <c r="I2254" s="152" t="str">
        <f t="shared" si="106"/>
        <v/>
      </c>
      <c r="J2254" s="154"/>
      <c r="K2254" s="155" t="s">
        <v>2966</v>
      </c>
    </row>
    <row r="2255" spans="1:11" hidden="1" x14ac:dyDescent="0.25">
      <c r="A2255" s="148" t="s">
        <v>1492</v>
      </c>
      <c r="B2255" s="149" t="s">
        <v>6518</v>
      </c>
      <c r="C2255" s="150" t="s">
        <v>18</v>
      </c>
      <c r="D2255" s="150">
        <v>0</v>
      </c>
      <c r="E2255" s="151">
        <f ca="1">OFFSET(INDEX(Composições!A:H,MATCH(Orçamentária!A2255,Composições!A:A,0),8),2,0)</f>
        <v>60.42</v>
      </c>
      <c r="F2255" s="152">
        <f t="shared" ca="1" si="107"/>
        <v>0</v>
      </c>
      <c r="G2255" s="153">
        <f>IF($K2255="Padrão",BDI!$B$17,IF($K2255="Diferenciado",BDI!$E$17,0))</f>
        <v>0.2039</v>
      </c>
      <c r="H2255" s="151">
        <f t="shared" ca="1" si="105"/>
        <v>72.739999999999995</v>
      </c>
      <c r="I2255" s="152">
        <f t="shared" ca="1" si="106"/>
        <v>0</v>
      </c>
      <c r="J2255" s="154"/>
      <c r="K2255" s="155" t="s">
        <v>2966</v>
      </c>
    </row>
    <row r="2256" spans="1:11" hidden="1" x14ac:dyDescent="0.25">
      <c r="A2256" s="148" t="s">
        <v>6519</v>
      </c>
      <c r="B2256" s="149" t="s">
        <v>6520</v>
      </c>
      <c r="C2256" s="150" t="s">
        <v>18</v>
      </c>
      <c r="D2256" s="150">
        <v>0</v>
      </c>
      <c r="E2256" s="151" t="s">
        <v>13</v>
      </c>
      <c r="F2256" s="152" t="str">
        <f t="shared" si="107"/>
        <v/>
      </c>
      <c r="G2256" s="153">
        <f>IF($K2256="Padrão",BDI!$B$17,IF($K2256="Diferenciado",BDI!$E$17,0))</f>
        <v>0.2039</v>
      </c>
      <c r="H2256" s="151" t="str">
        <f t="shared" si="105"/>
        <v/>
      </c>
      <c r="I2256" s="152" t="str">
        <f t="shared" si="106"/>
        <v/>
      </c>
      <c r="J2256" s="154"/>
      <c r="K2256" s="155" t="s">
        <v>2966</v>
      </c>
    </row>
    <row r="2257" spans="1:11" hidden="1" x14ac:dyDescent="0.25">
      <c r="A2257" s="148" t="s">
        <v>6521</v>
      </c>
      <c r="B2257" s="149" t="s">
        <v>6522</v>
      </c>
      <c r="C2257" s="150" t="s">
        <v>18</v>
      </c>
      <c r="D2257" s="150">
        <v>0</v>
      </c>
      <c r="E2257" s="151" t="s">
        <v>13</v>
      </c>
      <c r="F2257" s="152" t="str">
        <f t="shared" si="107"/>
        <v/>
      </c>
      <c r="G2257" s="153">
        <f>IF($K2257="Padrão",BDI!$B$17,IF($K2257="Diferenciado",BDI!$E$17,0))</f>
        <v>0.2039</v>
      </c>
      <c r="H2257" s="151" t="str">
        <f t="shared" si="105"/>
        <v/>
      </c>
      <c r="I2257" s="152" t="str">
        <f t="shared" si="106"/>
        <v/>
      </c>
      <c r="J2257" s="154"/>
      <c r="K2257" s="155" t="s">
        <v>2966</v>
      </c>
    </row>
    <row r="2258" spans="1:11" hidden="1" x14ac:dyDescent="0.25">
      <c r="A2258" s="148" t="s">
        <v>6523</v>
      </c>
      <c r="B2258" s="149" t="s">
        <v>6524</v>
      </c>
      <c r="C2258" s="150" t="s">
        <v>18</v>
      </c>
      <c r="D2258" s="150">
        <v>0</v>
      </c>
      <c r="E2258" s="151" t="s">
        <v>13</v>
      </c>
      <c r="F2258" s="152" t="str">
        <f t="shared" si="107"/>
        <v/>
      </c>
      <c r="G2258" s="153">
        <f>IF($K2258="Padrão",BDI!$B$17,IF($K2258="Diferenciado",BDI!$E$17,0))</f>
        <v>0.2039</v>
      </c>
      <c r="H2258" s="151" t="str">
        <f t="shared" si="105"/>
        <v/>
      </c>
      <c r="I2258" s="152" t="str">
        <f t="shared" si="106"/>
        <v/>
      </c>
      <c r="J2258" s="154"/>
      <c r="K2258" s="155" t="s">
        <v>2966</v>
      </c>
    </row>
    <row r="2259" spans="1:11" hidden="1" x14ac:dyDescent="0.25">
      <c r="A2259" s="148" t="s">
        <v>6525</v>
      </c>
      <c r="B2259" s="149" t="s">
        <v>6526</v>
      </c>
      <c r="C2259" s="150" t="s">
        <v>18</v>
      </c>
      <c r="D2259" s="150">
        <v>0</v>
      </c>
      <c r="E2259" s="151" t="s">
        <v>13</v>
      </c>
      <c r="F2259" s="152" t="str">
        <f t="shared" si="107"/>
        <v/>
      </c>
      <c r="G2259" s="153">
        <f>IF($K2259="Padrão",BDI!$B$17,IF($K2259="Diferenciado",BDI!$E$17,0))</f>
        <v>0.2039</v>
      </c>
      <c r="H2259" s="151" t="str">
        <f t="shared" si="105"/>
        <v/>
      </c>
      <c r="I2259" s="152" t="str">
        <f t="shared" si="106"/>
        <v/>
      </c>
      <c r="J2259" s="154"/>
      <c r="K2259" s="155" t="s">
        <v>2966</v>
      </c>
    </row>
    <row r="2260" spans="1:11" hidden="1" x14ac:dyDescent="0.25">
      <c r="A2260" s="148" t="s">
        <v>6527</v>
      </c>
      <c r="B2260" s="149" t="s">
        <v>6528</v>
      </c>
      <c r="C2260" s="150" t="s">
        <v>18</v>
      </c>
      <c r="D2260" s="150">
        <v>0</v>
      </c>
      <c r="E2260" s="151" t="s">
        <v>13</v>
      </c>
      <c r="F2260" s="152" t="str">
        <f t="shared" si="107"/>
        <v/>
      </c>
      <c r="G2260" s="153">
        <f>IF($K2260="Padrão",BDI!$B$17,IF($K2260="Diferenciado",BDI!$E$17,0))</f>
        <v>0.2039</v>
      </c>
      <c r="H2260" s="151" t="str">
        <f t="shared" si="105"/>
        <v/>
      </c>
      <c r="I2260" s="152" t="str">
        <f t="shared" si="106"/>
        <v/>
      </c>
      <c r="J2260" s="154"/>
      <c r="K2260" s="155" t="s">
        <v>2966</v>
      </c>
    </row>
    <row r="2261" spans="1:11" hidden="1" x14ac:dyDescent="0.25">
      <c r="A2261" s="148" t="s">
        <v>6529</v>
      </c>
      <c r="B2261" s="149" t="s">
        <v>6530</v>
      </c>
      <c r="C2261" s="150" t="s">
        <v>18</v>
      </c>
      <c r="D2261" s="150">
        <v>0</v>
      </c>
      <c r="E2261" s="151" t="s">
        <v>13</v>
      </c>
      <c r="F2261" s="152" t="str">
        <f t="shared" si="107"/>
        <v/>
      </c>
      <c r="G2261" s="153">
        <f>IF($K2261="Padrão",BDI!$B$17,IF($K2261="Diferenciado",BDI!$E$17,0))</f>
        <v>0.2039</v>
      </c>
      <c r="H2261" s="151" t="str">
        <f t="shared" si="105"/>
        <v/>
      </c>
      <c r="I2261" s="152" t="str">
        <f t="shared" si="106"/>
        <v/>
      </c>
      <c r="J2261" s="154"/>
      <c r="K2261" s="155" t="s">
        <v>2966</v>
      </c>
    </row>
    <row r="2262" spans="1:11" hidden="1" x14ac:dyDescent="0.25">
      <c r="A2262" s="148" t="s">
        <v>6531</v>
      </c>
      <c r="B2262" s="149" t="s">
        <v>6532</v>
      </c>
      <c r="C2262" s="150" t="s">
        <v>18</v>
      </c>
      <c r="D2262" s="150">
        <v>0</v>
      </c>
      <c r="E2262" s="151" t="s">
        <v>13</v>
      </c>
      <c r="F2262" s="152" t="str">
        <f t="shared" si="107"/>
        <v/>
      </c>
      <c r="G2262" s="153">
        <f>IF($K2262="Padrão",BDI!$B$17,IF($K2262="Diferenciado",BDI!$E$17,0))</f>
        <v>0.2039</v>
      </c>
      <c r="H2262" s="151" t="str">
        <f t="shared" si="105"/>
        <v/>
      </c>
      <c r="I2262" s="152" t="str">
        <f t="shared" si="106"/>
        <v/>
      </c>
      <c r="J2262" s="154"/>
      <c r="K2262" s="155" t="s">
        <v>2966</v>
      </c>
    </row>
    <row r="2263" spans="1:11" hidden="1" x14ac:dyDescent="0.25">
      <c r="A2263" s="148" t="s">
        <v>6533</v>
      </c>
      <c r="B2263" s="149" t="s">
        <v>6534</v>
      </c>
      <c r="C2263" s="150" t="s">
        <v>18</v>
      </c>
      <c r="D2263" s="150">
        <v>0</v>
      </c>
      <c r="E2263" s="151" t="s">
        <v>13</v>
      </c>
      <c r="F2263" s="152" t="str">
        <f t="shared" si="107"/>
        <v/>
      </c>
      <c r="G2263" s="153">
        <f>IF($K2263="Padrão",BDI!$B$17,IF($K2263="Diferenciado",BDI!$E$17,0))</f>
        <v>0.2039</v>
      </c>
      <c r="H2263" s="151" t="str">
        <f t="shared" si="105"/>
        <v/>
      </c>
      <c r="I2263" s="152" t="str">
        <f t="shared" si="106"/>
        <v/>
      </c>
      <c r="J2263" s="154"/>
      <c r="K2263" s="155" t="s">
        <v>2966</v>
      </c>
    </row>
    <row r="2264" spans="1:11" hidden="1" x14ac:dyDescent="0.25">
      <c r="A2264" s="148" t="s">
        <v>6535</v>
      </c>
      <c r="B2264" s="149" t="s">
        <v>6536</v>
      </c>
      <c r="C2264" s="150" t="s">
        <v>18</v>
      </c>
      <c r="D2264" s="150">
        <v>0</v>
      </c>
      <c r="E2264" s="151" t="s">
        <v>13</v>
      </c>
      <c r="F2264" s="152" t="str">
        <f t="shared" si="107"/>
        <v/>
      </c>
      <c r="G2264" s="153">
        <f>IF($K2264="Padrão",BDI!$B$17,IF($K2264="Diferenciado",BDI!$E$17,0))</f>
        <v>0.2039</v>
      </c>
      <c r="H2264" s="151" t="str">
        <f t="shared" si="105"/>
        <v/>
      </c>
      <c r="I2264" s="152" t="str">
        <f t="shared" si="106"/>
        <v/>
      </c>
      <c r="J2264" s="154"/>
      <c r="K2264" s="155" t="s">
        <v>2966</v>
      </c>
    </row>
    <row r="2265" spans="1:11" hidden="1" x14ac:dyDescent="0.25">
      <c r="A2265" s="148" t="s">
        <v>6537</v>
      </c>
      <c r="B2265" s="149" t="s">
        <v>6538</v>
      </c>
      <c r="C2265" s="150" t="s">
        <v>18</v>
      </c>
      <c r="D2265" s="150">
        <v>0</v>
      </c>
      <c r="E2265" s="151" t="s">
        <v>13</v>
      </c>
      <c r="F2265" s="152" t="str">
        <f t="shared" si="107"/>
        <v/>
      </c>
      <c r="G2265" s="153">
        <f>IF($K2265="Padrão",BDI!$B$17,IF($K2265="Diferenciado",BDI!$E$17,0))</f>
        <v>0.2039</v>
      </c>
      <c r="H2265" s="151" t="str">
        <f t="shared" si="105"/>
        <v/>
      </c>
      <c r="I2265" s="152" t="str">
        <f t="shared" si="106"/>
        <v/>
      </c>
      <c r="J2265" s="154"/>
      <c r="K2265" s="155" t="s">
        <v>2966</v>
      </c>
    </row>
    <row r="2266" spans="1:11" hidden="1" x14ac:dyDescent="0.25">
      <c r="A2266" s="148" t="s">
        <v>6539</v>
      </c>
      <c r="B2266" s="149" t="s">
        <v>6540</v>
      </c>
      <c r="C2266" s="150" t="s">
        <v>18</v>
      </c>
      <c r="D2266" s="150">
        <v>0</v>
      </c>
      <c r="E2266" s="151" t="s">
        <v>13</v>
      </c>
      <c r="F2266" s="152" t="str">
        <f t="shared" si="107"/>
        <v/>
      </c>
      <c r="G2266" s="153">
        <f>IF($K2266="Padrão",BDI!$B$17,IF($K2266="Diferenciado",BDI!$E$17,0))</f>
        <v>0.2039</v>
      </c>
      <c r="H2266" s="151" t="str">
        <f t="shared" si="105"/>
        <v/>
      </c>
      <c r="I2266" s="152" t="str">
        <f t="shared" si="106"/>
        <v/>
      </c>
      <c r="J2266" s="154"/>
      <c r="K2266" s="155" t="s">
        <v>2966</v>
      </c>
    </row>
    <row r="2267" spans="1:11" hidden="1" x14ac:dyDescent="0.25">
      <c r="A2267" s="148" t="s">
        <v>6541</v>
      </c>
      <c r="B2267" s="149" t="s">
        <v>6542</v>
      </c>
      <c r="C2267" s="150" t="s">
        <v>18</v>
      </c>
      <c r="D2267" s="150">
        <v>0</v>
      </c>
      <c r="E2267" s="151" t="s">
        <v>13</v>
      </c>
      <c r="F2267" s="152" t="str">
        <f t="shared" si="107"/>
        <v/>
      </c>
      <c r="G2267" s="153">
        <f>IF($K2267="Padrão",BDI!$B$17,IF($K2267="Diferenciado",BDI!$E$17,0))</f>
        <v>0.2039</v>
      </c>
      <c r="H2267" s="151" t="str">
        <f t="shared" si="105"/>
        <v/>
      </c>
      <c r="I2267" s="152" t="str">
        <f t="shared" si="106"/>
        <v/>
      </c>
      <c r="J2267" s="154"/>
      <c r="K2267" s="155" t="s">
        <v>2966</v>
      </c>
    </row>
    <row r="2268" spans="1:11" hidden="1" x14ac:dyDescent="0.25">
      <c r="A2268" s="148" t="s">
        <v>6543</v>
      </c>
      <c r="B2268" s="149" t="s">
        <v>6544</v>
      </c>
      <c r="C2268" s="150" t="s">
        <v>18</v>
      </c>
      <c r="D2268" s="150">
        <v>0</v>
      </c>
      <c r="E2268" s="151" t="s">
        <v>13</v>
      </c>
      <c r="F2268" s="152" t="str">
        <f t="shared" si="107"/>
        <v/>
      </c>
      <c r="G2268" s="153">
        <f>IF($K2268="Padrão",BDI!$B$17,IF($K2268="Diferenciado",BDI!$E$17,0))</f>
        <v>0.2039</v>
      </c>
      <c r="H2268" s="151" t="str">
        <f t="shared" si="105"/>
        <v/>
      </c>
      <c r="I2268" s="152" t="str">
        <f t="shared" si="106"/>
        <v/>
      </c>
      <c r="J2268" s="154"/>
      <c r="K2268" s="155" t="s">
        <v>2966</v>
      </c>
    </row>
    <row r="2269" spans="1:11" hidden="1" x14ac:dyDescent="0.25">
      <c r="A2269" s="148" t="s">
        <v>6545</v>
      </c>
      <c r="B2269" s="149" t="s">
        <v>6546</v>
      </c>
      <c r="C2269" s="150" t="s">
        <v>18</v>
      </c>
      <c r="D2269" s="150">
        <v>0</v>
      </c>
      <c r="E2269" s="151" t="s">
        <v>13</v>
      </c>
      <c r="F2269" s="152" t="str">
        <f t="shared" si="107"/>
        <v/>
      </c>
      <c r="G2269" s="153">
        <f>IF($K2269="Padrão",BDI!$B$17,IF($K2269="Diferenciado",BDI!$E$17,0))</f>
        <v>0.2039</v>
      </c>
      <c r="H2269" s="151" t="str">
        <f t="shared" si="105"/>
        <v/>
      </c>
      <c r="I2269" s="152" t="str">
        <f t="shared" si="106"/>
        <v/>
      </c>
      <c r="J2269" s="154"/>
      <c r="K2269" s="155" t="s">
        <v>2966</v>
      </c>
    </row>
    <row r="2270" spans="1:11" hidden="1" x14ac:dyDescent="0.25">
      <c r="A2270" s="148" t="s">
        <v>6547</v>
      </c>
      <c r="B2270" s="149" t="s">
        <v>6548</v>
      </c>
      <c r="C2270" s="150" t="s">
        <v>18</v>
      </c>
      <c r="D2270" s="150">
        <v>0</v>
      </c>
      <c r="E2270" s="151" t="s">
        <v>13</v>
      </c>
      <c r="F2270" s="152" t="str">
        <f t="shared" si="107"/>
        <v/>
      </c>
      <c r="G2270" s="153">
        <f>IF($K2270="Padrão",BDI!$B$17,IF($K2270="Diferenciado",BDI!$E$17,0))</f>
        <v>0.2039</v>
      </c>
      <c r="H2270" s="151" t="str">
        <f t="shared" si="105"/>
        <v/>
      </c>
      <c r="I2270" s="152" t="str">
        <f t="shared" si="106"/>
        <v/>
      </c>
      <c r="J2270" s="154"/>
      <c r="K2270" s="155" t="s">
        <v>2966</v>
      </c>
    </row>
    <row r="2271" spans="1:11" hidden="1" x14ac:dyDescent="0.25">
      <c r="A2271" s="148" t="s">
        <v>6549</v>
      </c>
      <c r="B2271" s="149" t="s">
        <v>6550</v>
      </c>
      <c r="C2271" s="150" t="s">
        <v>18</v>
      </c>
      <c r="D2271" s="150">
        <v>0</v>
      </c>
      <c r="E2271" s="151" t="s">
        <v>13</v>
      </c>
      <c r="F2271" s="152" t="str">
        <f t="shared" si="107"/>
        <v/>
      </c>
      <c r="G2271" s="153">
        <f>IF($K2271="Padrão",BDI!$B$17,IF($K2271="Diferenciado",BDI!$E$17,0))</f>
        <v>0.2039</v>
      </c>
      <c r="H2271" s="151" t="str">
        <f t="shared" si="105"/>
        <v/>
      </c>
      <c r="I2271" s="152" t="str">
        <f t="shared" si="106"/>
        <v/>
      </c>
      <c r="J2271" s="154"/>
      <c r="K2271" s="155" t="s">
        <v>2966</v>
      </c>
    </row>
    <row r="2272" spans="1:11" hidden="1" x14ac:dyDescent="0.25">
      <c r="A2272" s="148" t="s">
        <v>6551</v>
      </c>
      <c r="B2272" s="149" t="s">
        <v>6552</v>
      </c>
      <c r="C2272" s="150" t="s">
        <v>18</v>
      </c>
      <c r="D2272" s="150">
        <v>0</v>
      </c>
      <c r="E2272" s="151" t="s">
        <v>13</v>
      </c>
      <c r="F2272" s="152" t="str">
        <f t="shared" si="107"/>
        <v/>
      </c>
      <c r="G2272" s="153">
        <f>IF($K2272="Padrão",BDI!$B$17,IF($K2272="Diferenciado",BDI!$E$17,0))</f>
        <v>0.2039</v>
      </c>
      <c r="H2272" s="151" t="str">
        <f t="shared" si="105"/>
        <v/>
      </c>
      <c r="I2272" s="152" t="str">
        <f t="shared" si="106"/>
        <v/>
      </c>
      <c r="J2272" s="154"/>
      <c r="K2272" s="155" t="s">
        <v>2966</v>
      </c>
    </row>
    <row r="2273" spans="1:11" hidden="1" x14ac:dyDescent="0.25">
      <c r="A2273" s="148" t="s">
        <v>6553</v>
      </c>
      <c r="B2273" s="149" t="s">
        <v>6554</v>
      </c>
      <c r="C2273" s="150" t="s">
        <v>18</v>
      </c>
      <c r="D2273" s="150">
        <v>0</v>
      </c>
      <c r="E2273" s="151" t="s">
        <v>13</v>
      </c>
      <c r="F2273" s="152" t="str">
        <f t="shared" si="107"/>
        <v/>
      </c>
      <c r="G2273" s="153">
        <f>IF($K2273="Padrão",BDI!$B$17,IF($K2273="Diferenciado",BDI!$E$17,0))</f>
        <v>0.2039</v>
      </c>
      <c r="H2273" s="151" t="str">
        <f t="shared" si="105"/>
        <v/>
      </c>
      <c r="I2273" s="152" t="str">
        <f t="shared" si="106"/>
        <v/>
      </c>
      <c r="J2273" s="154"/>
      <c r="K2273" s="155" t="s">
        <v>2966</v>
      </c>
    </row>
    <row r="2274" spans="1:11" hidden="1" x14ac:dyDescent="0.25">
      <c r="A2274" s="148" t="s">
        <v>6555</v>
      </c>
      <c r="B2274" s="149" t="s">
        <v>6556</v>
      </c>
      <c r="C2274" s="150" t="s">
        <v>18</v>
      </c>
      <c r="D2274" s="150">
        <v>0</v>
      </c>
      <c r="E2274" s="151" t="s">
        <v>13</v>
      </c>
      <c r="F2274" s="152" t="str">
        <f t="shared" si="107"/>
        <v/>
      </c>
      <c r="G2274" s="153">
        <f>IF($K2274="Padrão",BDI!$B$17,IF($K2274="Diferenciado",BDI!$E$17,0))</f>
        <v>0.2039</v>
      </c>
      <c r="H2274" s="151" t="str">
        <f t="shared" si="105"/>
        <v/>
      </c>
      <c r="I2274" s="152" t="str">
        <f t="shared" si="106"/>
        <v/>
      </c>
      <c r="J2274" s="154"/>
      <c r="K2274" s="155" t="s">
        <v>2966</v>
      </c>
    </row>
    <row r="2275" spans="1:11" hidden="1" x14ac:dyDescent="0.25">
      <c r="A2275" s="148" t="s">
        <v>6557</v>
      </c>
      <c r="B2275" s="149" t="s">
        <v>6558</v>
      </c>
      <c r="C2275" s="150" t="s">
        <v>18</v>
      </c>
      <c r="D2275" s="150">
        <v>0</v>
      </c>
      <c r="E2275" s="151" t="s">
        <v>13</v>
      </c>
      <c r="F2275" s="152" t="str">
        <f t="shared" si="107"/>
        <v/>
      </c>
      <c r="G2275" s="153">
        <f>IF($K2275="Padrão",BDI!$B$17,IF($K2275="Diferenciado",BDI!$E$17,0))</f>
        <v>0.2039</v>
      </c>
      <c r="H2275" s="151" t="str">
        <f t="shared" si="105"/>
        <v/>
      </c>
      <c r="I2275" s="152" t="str">
        <f t="shared" si="106"/>
        <v/>
      </c>
      <c r="J2275" s="154"/>
      <c r="K2275" s="155" t="s">
        <v>2966</v>
      </c>
    </row>
    <row r="2276" spans="1:11" hidden="1" x14ac:dyDescent="0.25">
      <c r="A2276" s="148" t="s">
        <v>6559</v>
      </c>
      <c r="B2276" s="149" t="s">
        <v>6560</v>
      </c>
      <c r="C2276" s="150" t="s">
        <v>18</v>
      </c>
      <c r="D2276" s="150">
        <v>0</v>
      </c>
      <c r="E2276" s="151" t="s">
        <v>13</v>
      </c>
      <c r="F2276" s="152" t="str">
        <f t="shared" si="107"/>
        <v/>
      </c>
      <c r="G2276" s="153">
        <f>IF($K2276="Padrão",BDI!$B$17,IF($K2276="Diferenciado",BDI!$E$17,0))</f>
        <v>0.2039</v>
      </c>
      <c r="H2276" s="151" t="str">
        <f t="shared" si="105"/>
        <v/>
      </c>
      <c r="I2276" s="152" t="str">
        <f t="shared" si="106"/>
        <v/>
      </c>
      <c r="J2276" s="154"/>
      <c r="K2276" s="155" t="s">
        <v>2966</v>
      </c>
    </row>
    <row r="2277" spans="1:11" hidden="1" x14ac:dyDescent="0.25">
      <c r="A2277" s="148" t="s">
        <v>6561</v>
      </c>
      <c r="B2277" s="149" t="s">
        <v>6562</v>
      </c>
      <c r="C2277" s="150" t="s">
        <v>18</v>
      </c>
      <c r="D2277" s="150">
        <v>0</v>
      </c>
      <c r="E2277" s="151" t="s">
        <v>13</v>
      </c>
      <c r="F2277" s="152" t="str">
        <f t="shared" si="107"/>
        <v/>
      </c>
      <c r="G2277" s="153">
        <f>IF($K2277="Padrão",BDI!$B$17,IF($K2277="Diferenciado",BDI!$E$17,0))</f>
        <v>0.2039</v>
      </c>
      <c r="H2277" s="151" t="str">
        <f t="shared" si="105"/>
        <v/>
      </c>
      <c r="I2277" s="152" t="str">
        <f t="shared" si="106"/>
        <v/>
      </c>
      <c r="J2277" s="154"/>
      <c r="K2277" s="155" t="s">
        <v>2966</v>
      </c>
    </row>
    <row r="2278" spans="1:11" hidden="1" x14ac:dyDescent="0.25">
      <c r="A2278" s="148" t="s">
        <v>6563</v>
      </c>
      <c r="B2278" s="149" t="s">
        <v>6564</v>
      </c>
      <c r="C2278" s="150" t="s">
        <v>18</v>
      </c>
      <c r="D2278" s="150">
        <v>0</v>
      </c>
      <c r="E2278" s="151" t="s">
        <v>13</v>
      </c>
      <c r="F2278" s="152" t="str">
        <f t="shared" si="107"/>
        <v/>
      </c>
      <c r="G2278" s="153">
        <f>IF($K2278="Padrão",BDI!$B$17,IF($K2278="Diferenciado",BDI!$E$17,0))</f>
        <v>0.2039</v>
      </c>
      <c r="H2278" s="151" t="str">
        <f t="shared" si="105"/>
        <v/>
      </c>
      <c r="I2278" s="152" t="str">
        <f t="shared" si="106"/>
        <v/>
      </c>
      <c r="J2278" s="154"/>
      <c r="K2278" s="155" t="s">
        <v>2966</v>
      </c>
    </row>
    <row r="2279" spans="1:11" hidden="1" x14ac:dyDescent="0.25">
      <c r="A2279" s="148" t="s">
        <v>6565</v>
      </c>
      <c r="B2279" s="149" t="s">
        <v>6566</v>
      </c>
      <c r="C2279" s="150" t="s">
        <v>18</v>
      </c>
      <c r="D2279" s="150">
        <v>0</v>
      </c>
      <c r="E2279" s="151" t="s">
        <v>13</v>
      </c>
      <c r="F2279" s="152" t="str">
        <f t="shared" si="107"/>
        <v/>
      </c>
      <c r="G2279" s="153">
        <f>IF($K2279="Padrão",BDI!$B$17,IF($K2279="Diferenciado",BDI!$E$17,0))</f>
        <v>0.2039</v>
      </c>
      <c r="H2279" s="151" t="str">
        <f t="shared" si="105"/>
        <v/>
      </c>
      <c r="I2279" s="152" t="str">
        <f t="shared" si="106"/>
        <v/>
      </c>
      <c r="J2279" s="154"/>
      <c r="K2279" s="155" t="s">
        <v>2966</v>
      </c>
    </row>
    <row r="2280" spans="1:11" hidden="1" x14ac:dyDescent="0.25">
      <c r="A2280" s="148" t="s">
        <v>6567</v>
      </c>
      <c r="B2280" s="149" t="s">
        <v>6568</v>
      </c>
      <c r="C2280" s="150" t="s">
        <v>18</v>
      </c>
      <c r="D2280" s="150">
        <v>0</v>
      </c>
      <c r="E2280" s="151" t="s">
        <v>13</v>
      </c>
      <c r="F2280" s="152" t="str">
        <f t="shared" si="107"/>
        <v/>
      </c>
      <c r="G2280" s="153">
        <f>IF($K2280="Padrão",BDI!$B$17,IF($K2280="Diferenciado",BDI!$E$17,0))</f>
        <v>0.2039</v>
      </c>
      <c r="H2280" s="151" t="str">
        <f t="shared" si="105"/>
        <v/>
      </c>
      <c r="I2280" s="152" t="str">
        <f t="shared" si="106"/>
        <v/>
      </c>
      <c r="J2280" s="154"/>
      <c r="K2280" s="155" t="s">
        <v>2966</v>
      </c>
    </row>
    <row r="2281" spans="1:11" hidden="1" x14ac:dyDescent="0.25">
      <c r="A2281" s="148" t="s">
        <v>6569</v>
      </c>
      <c r="B2281" s="149" t="s">
        <v>6570</v>
      </c>
      <c r="C2281" s="150" t="s">
        <v>18</v>
      </c>
      <c r="D2281" s="150">
        <v>0</v>
      </c>
      <c r="E2281" s="151" t="s">
        <v>13</v>
      </c>
      <c r="F2281" s="152" t="str">
        <f t="shared" si="107"/>
        <v/>
      </c>
      <c r="G2281" s="153">
        <f>IF($K2281="Padrão",BDI!$B$17,IF($K2281="Diferenciado",BDI!$E$17,0))</f>
        <v>0.2039</v>
      </c>
      <c r="H2281" s="151" t="str">
        <f t="shared" si="105"/>
        <v/>
      </c>
      <c r="I2281" s="152" t="str">
        <f t="shared" si="106"/>
        <v/>
      </c>
      <c r="J2281" s="154"/>
      <c r="K2281" s="155" t="s">
        <v>2966</v>
      </c>
    </row>
    <row r="2282" spans="1:11" hidden="1" x14ac:dyDescent="0.25">
      <c r="A2282" s="148" t="s">
        <v>6571</v>
      </c>
      <c r="B2282" s="149" t="s">
        <v>6572</v>
      </c>
      <c r="C2282" s="150" t="s">
        <v>18</v>
      </c>
      <c r="D2282" s="150">
        <v>0</v>
      </c>
      <c r="E2282" s="151" t="s">
        <v>13</v>
      </c>
      <c r="F2282" s="152" t="str">
        <f t="shared" si="107"/>
        <v/>
      </c>
      <c r="G2282" s="153">
        <f>IF($K2282="Padrão",BDI!$B$17,IF($K2282="Diferenciado",BDI!$E$17,0))</f>
        <v>0.2039</v>
      </c>
      <c r="H2282" s="151" t="str">
        <f t="shared" si="105"/>
        <v/>
      </c>
      <c r="I2282" s="152" t="str">
        <f t="shared" si="106"/>
        <v/>
      </c>
      <c r="J2282" s="154"/>
      <c r="K2282" s="155" t="s">
        <v>2966</v>
      </c>
    </row>
    <row r="2283" spans="1:11" hidden="1" x14ac:dyDescent="0.25">
      <c r="A2283" s="148" t="s">
        <v>6573</v>
      </c>
      <c r="B2283" s="149" t="s">
        <v>6574</v>
      </c>
      <c r="C2283" s="150" t="s">
        <v>18</v>
      </c>
      <c r="D2283" s="150">
        <v>0</v>
      </c>
      <c r="E2283" s="151" t="s">
        <v>13</v>
      </c>
      <c r="F2283" s="152" t="str">
        <f t="shared" si="107"/>
        <v/>
      </c>
      <c r="G2283" s="153">
        <f>IF($K2283="Padrão",BDI!$B$17,IF($K2283="Diferenciado",BDI!$E$17,0))</f>
        <v>0.2039</v>
      </c>
      <c r="H2283" s="151" t="str">
        <f t="shared" si="105"/>
        <v/>
      </c>
      <c r="I2283" s="152" t="str">
        <f t="shared" si="106"/>
        <v/>
      </c>
      <c r="J2283" s="154"/>
      <c r="K2283" s="155" t="s">
        <v>2966</v>
      </c>
    </row>
    <row r="2284" spans="1:11" hidden="1" x14ac:dyDescent="0.25">
      <c r="A2284" s="148" t="s">
        <v>6575</v>
      </c>
      <c r="B2284" s="149" t="s">
        <v>6576</v>
      </c>
      <c r="C2284" s="150" t="s">
        <v>4492</v>
      </c>
      <c r="D2284" s="150">
        <v>0</v>
      </c>
      <c r="E2284" s="151" t="s">
        <v>13</v>
      </c>
      <c r="F2284" s="152" t="str">
        <f t="shared" si="107"/>
        <v/>
      </c>
      <c r="G2284" s="153">
        <f>IF($K2284="Padrão",BDI!$B$17,IF($K2284="Diferenciado",BDI!$E$17,0))</f>
        <v>0.2039</v>
      </c>
      <c r="H2284" s="151" t="str">
        <f t="shared" si="105"/>
        <v/>
      </c>
      <c r="I2284" s="152" t="str">
        <f t="shared" si="106"/>
        <v/>
      </c>
      <c r="J2284" s="154"/>
      <c r="K2284" s="155" t="s">
        <v>2966</v>
      </c>
    </row>
    <row r="2285" spans="1:11" hidden="1" x14ac:dyDescent="0.25">
      <c r="A2285" s="148" t="s">
        <v>6577</v>
      </c>
      <c r="B2285" s="149" t="s">
        <v>6578</v>
      </c>
      <c r="C2285" s="150" t="s">
        <v>18</v>
      </c>
      <c r="D2285" s="150">
        <v>0</v>
      </c>
      <c r="E2285" s="151" t="s">
        <v>13</v>
      </c>
      <c r="F2285" s="152" t="str">
        <f t="shared" si="107"/>
        <v/>
      </c>
      <c r="G2285" s="153">
        <f>IF($K2285="Padrão",BDI!$B$17,IF($K2285="Diferenciado",BDI!$E$17,0))</f>
        <v>0.2039</v>
      </c>
      <c r="H2285" s="151" t="str">
        <f t="shared" si="105"/>
        <v/>
      </c>
      <c r="I2285" s="152" t="str">
        <f t="shared" si="106"/>
        <v/>
      </c>
      <c r="J2285" s="154"/>
      <c r="K2285" s="155" t="s">
        <v>2966</v>
      </c>
    </row>
    <row r="2286" spans="1:11" hidden="1" x14ac:dyDescent="0.25">
      <c r="A2286" s="148" t="s">
        <v>6579</v>
      </c>
      <c r="B2286" s="149" t="s">
        <v>6580</v>
      </c>
      <c r="C2286" s="150" t="s">
        <v>18</v>
      </c>
      <c r="D2286" s="150">
        <v>0</v>
      </c>
      <c r="E2286" s="151" t="s">
        <v>13</v>
      </c>
      <c r="F2286" s="152" t="str">
        <f t="shared" si="107"/>
        <v/>
      </c>
      <c r="G2286" s="153">
        <f>IF($K2286="Padrão",BDI!$B$17,IF($K2286="Diferenciado",BDI!$E$17,0))</f>
        <v>0.2039</v>
      </c>
      <c r="H2286" s="151" t="str">
        <f t="shared" si="105"/>
        <v/>
      </c>
      <c r="I2286" s="152" t="str">
        <f t="shared" si="106"/>
        <v/>
      </c>
      <c r="J2286" s="154"/>
      <c r="K2286" s="155" t="s">
        <v>2966</v>
      </c>
    </row>
    <row r="2287" spans="1:11" hidden="1" x14ac:dyDescent="0.25">
      <c r="A2287" s="148" t="s">
        <v>6581</v>
      </c>
      <c r="B2287" s="149" t="s">
        <v>6582</v>
      </c>
      <c r="C2287" s="150" t="s">
        <v>18</v>
      </c>
      <c r="D2287" s="150">
        <v>0</v>
      </c>
      <c r="E2287" s="151" t="s">
        <v>13</v>
      </c>
      <c r="F2287" s="152" t="str">
        <f t="shared" si="107"/>
        <v/>
      </c>
      <c r="G2287" s="153">
        <f>IF($K2287="Padrão",BDI!$B$17,IF($K2287="Diferenciado",BDI!$E$17,0))</f>
        <v>0.2039</v>
      </c>
      <c r="H2287" s="151" t="str">
        <f t="shared" si="105"/>
        <v/>
      </c>
      <c r="I2287" s="152" t="str">
        <f t="shared" si="106"/>
        <v/>
      </c>
      <c r="J2287" s="154"/>
      <c r="K2287" s="155" t="s">
        <v>2966</v>
      </c>
    </row>
    <row r="2288" spans="1:11" hidden="1" x14ac:dyDescent="0.25">
      <c r="A2288" s="148" t="s">
        <v>6583</v>
      </c>
      <c r="B2288" s="149" t="s">
        <v>6584</v>
      </c>
      <c r="C2288" s="150" t="s">
        <v>18</v>
      </c>
      <c r="D2288" s="150">
        <v>0</v>
      </c>
      <c r="E2288" s="151" t="s">
        <v>13</v>
      </c>
      <c r="F2288" s="152" t="str">
        <f t="shared" si="107"/>
        <v/>
      </c>
      <c r="G2288" s="153">
        <f>IF($K2288="Padrão",BDI!$B$17,IF($K2288="Diferenciado",BDI!$E$17,0))</f>
        <v>0.2039</v>
      </c>
      <c r="H2288" s="151" t="str">
        <f t="shared" si="105"/>
        <v/>
      </c>
      <c r="I2288" s="152" t="str">
        <f t="shared" si="106"/>
        <v/>
      </c>
      <c r="J2288" s="154"/>
      <c r="K2288" s="155" t="s">
        <v>2966</v>
      </c>
    </row>
    <row r="2289" spans="1:11" hidden="1" x14ac:dyDescent="0.25">
      <c r="A2289" s="148" t="s">
        <v>6585</v>
      </c>
      <c r="B2289" s="149" t="s">
        <v>6586</v>
      </c>
      <c r="C2289" s="150" t="s">
        <v>18</v>
      </c>
      <c r="D2289" s="150">
        <v>0</v>
      </c>
      <c r="E2289" s="151" t="s">
        <v>13</v>
      </c>
      <c r="F2289" s="152" t="str">
        <f t="shared" si="107"/>
        <v/>
      </c>
      <c r="G2289" s="153">
        <f>IF($K2289="Padrão",BDI!$B$17,IF($K2289="Diferenciado",BDI!$E$17,0))</f>
        <v>0.2039</v>
      </c>
      <c r="H2289" s="151" t="str">
        <f t="shared" si="105"/>
        <v/>
      </c>
      <c r="I2289" s="152" t="str">
        <f t="shared" si="106"/>
        <v/>
      </c>
      <c r="J2289" s="154"/>
      <c r="K2289" s="155" t="s">
        <v>2966</v>
      </c>
    </row>
    <row r="2290" spans="1:11" hidden="1" x14ac:dyDescent="0.25">
      <c r="A2290" s="148" t="s">
        <v>1493</v>
      </c>
      <c r="B2290" s="149" t="s">
        <v>6587</v>
      </c>
      <c r="C2290" s="150" t="s">
        <v>18</v>
      </c>
      <c r="D2290" s="150">
        <v>0</v>
      </c>
      <c r="E2290" s="151">
        <f ca="1">OFFSET(INDEX(Composições!A:H,MATCH(Orçamentária!A2290,Composições!A:A,0),8),2,0)</f>
        <v>57.683999999999997</v>
      </c>
      <c r="F2290" s="152">
        <f t="shared" ca="1" si="107"/>
        <v>0</v>
      </c>
      <c r="G2290" s="153">
        <f>IF($K2290="Padrão",BDI!$B$17,IF($K2290="Diferenciado",BDI!$E$17,0))</f>
        <v>0.2039</v>
      </c>
      <c r="H2290" s="151">
        <f t="shared" ca="1" si="105"/>
        <v>69.45</v>
      </c>
      <c r="I2290" s="152">
        <f t="shared" ca="1" si="106"/>
        <v>0</v>
      </c>
      <c r="J2290" s="154"/>
      <c r="K2290" s="155" t="s">
        <v>2966</v>
      </c>
    </row>
    <row r="2291" spans="1:11" hidden="1" x14ac:dyDescent="0.25">
      <c r="A2291" s="148" t="s">
        <v>6588</v>
      </c>
      <c r="B2291" s="149" t="s">
        <v>6589</v>
      </c>
      <c r="C2291" s="150" t="s">
        <v>18</v>
      </c>
      <c r="D2291" s="150">
        <v>0</v>
      </c>
      <c r="E2291" s="151" t="s">
        <v>13</v>
      </c>
      <c r="F2291" s="152" t="str">
        <f t="shared" si="107"/>
        <v/>
      </c>
      <c r="G2291" s="153">
        <f>IF($K2291="Padrão",BDI!$B$17,IF($K2291="Diferenciado",BDI!$E$17,0))</f>
        <v>0.2039</v>
      </c>
      <c r="H2291" s="151" t="str">
        <f t="shared" si="105"/>
        <v/>
      </c>
      <c r="I2291" s="152" t="str">
        <f t="shared" si="106"/>
        <v/>
      </c>
      <c r="J2291" s="154"/>
      <c r="K2291" s="155" t="s">
        <v>2966</v>
      </c>
    </row>
    <row r="2292" spans="1:11" hidden="1" x14ac:dyDescent="0.25">
      <c r="A2292" s="148" t="s">
        <v>6590</v>
      </c>
      <c r="B2292" s="149" t="s">
        <v>6591</v>
      </c>
      <c r="C2292" s="150" t="s">
        <v>18</v>
      </c>
      <c r="D2292" s="150">
        <v>0</v>
      </c>
      <c r="E2292" s="151" t="s">
        <v>13</v>
      </c>
      <c r="F2292" s="152" t="str">
        <f t="shared" si="107"/>
        <v/>
      </c>
      <c r="G2292" s="153">
        <f>IF($K2292="Padrão",BDI!$B$17,IF($K2292="Diferenciado",BDI!$E$17,0))</f>
        <v>0.2039</v>
      </c>
      <c r="H2292" s="151" t="str">
        <f t="shared" si="105"/>
        <v/>
      </c>
      <c r="I2292" s="152" t="str">
        <f t="shared" si="106"/>
        <v/>
      </c>
      <c r="J2292" s="154"/>
      <c r="K2292" s="155" t="s">
        <v>2966</v>
      </c>
    </row>
    <row r="2293" spans="1:11" hidden="1" x14ac:dyDescent="0.25">
      <c r="A2293" s="148" t="s">
        <v>6592</v>
      </c>
      <c r="B2293" s="149" t="s">
        <v>6593</v>
      </c>
      <c r="C2293" s="150" t="s">
        <v>18</v>
      </c>
      <c r="D2293" s="150">
        <v>0</v>
      </c>
      <c r="E2293" s="151" t="s">
        <v>13</v>
      </c>
      <c r="F2293" s="152" t="str">
        <f t="shared" si="107"/>
        <v/>
      </c>
      <c r="G2293" s="153">
        <f>IF($K2293="Padrão",BDI!$B$17,IF($K2293="Diferenciado",BDI!$E$17,0))</f>
        <v>0.2039</v>
      </c>
      <c r="H2293" s="151" t="str">
        <f t="shared" si="105"/>
        <v/>
      </c>
      <c r="I2293" s="152" t="str">
        <f t="shared" si="106"/>
        <v/>
      </c>
      <c r="J2293" s="154"/>
      <c r="K2293" s="155" t="s">
        <v>2966</v>
      </c>
    </row>
    <row r="2294" spans="1:11" hidden="1" x14ac:dyDescent="0.25">
      <c r="A2294" s="148" t="s">
        <v>6594</v>
      </c>
      <c r="B2294" s="149" t="s">
        <v>6595</v>
      </c>
      <c r="C2294" s="150" t="s">
        <v>106</v>
      </c>
      <c r="D2294" s="150">
        <v>0</v>
      </c>
      <c r="E2294" s="151" t="s">
        <v>13</v>
      </c>
      <c r="F2294" s="152" t="str">
        <f t="shared" si="107"/>
        <v/>
      </c>
      <c r="G2294" s="153">
        <f>IF($K2294="Padrão",BDI!$B$17,IF($K2294="Diferenciado",BDI!$E$17,0))</f>
        <v>0.2039</v>
      </c>
      <c r="H2294" s="151" t="str">
        <f t="shared" si="105"/>
        <v/>
      </c>
      <c r="I2294" s="152" t="str">
        <f t="shared" si="106"/>
        <v/>
      </c>
      <c r="J2294" s="154"/>
      <c r="K2294" s="155" t="s">
        <v>2966</v>
      </c>
    </row>
    <row r="2295" spans="1:11" hidden="1" x14ac:dyDescent="0.25">
      <c r="A2295" s="148" t="s">
        <v>1494</v>
      </c>
      <c r="B2295" s="149" t="s">
        <v>6596</v>
      </c>
      <c r="C2295" s="150" t="s">
        <v>18</v>
      </c>
      <c r="D2295" s="150">
        <v>0</v>
      </c>
      <c r="E2295" s="151">
        <f ca="1">OFFSET(INDEX(Composições!A:H,MATCH(Orçamentária!A2295,Composições!A:A,0),8),2,0)</f>
        <v>100.40549999999999</v>
      </c>
      <c r="F2295" s="152">
        <f t="shared" ca="1" si="107"/>
        <v>0</v>
      </c>
      <c r="G2295" s="153">
        <f>IF($K2295="Padrão",BDI!$B$17,IF($K2295="Diferenciado",BDI!$E$17,0))</f>
        <v>0.2039</v>
      </c>
      <c r="H2295" s="151">
        <f t="shared" ca="1" si="105"/>
        <v>120.88</v>
      </c>
      <c r="I2295" s="152">
        <f t="shared" ca="1" si="106"/>
        <v>0</v>
      </c>
      <c r="J2295" s="154"/>
      <c r="K2295" s="155" t="s">
        <v>2966</v>
      </c>
    </row>
    <row r="2296" spans="1:11" hidden="1" x14ac:dyDescent="0.25">
      <c r="A2296" s="148" t="s">
        <v>1495</v>
      </c>
      <c r="B2296" s="149" t="s">
        <v>6597</v>
      </c>
      <c r="C2296" s="150" t="s">
        <v>18</v>
      </c>
      <c r="D2296" s="150">
        <v>0</v>
      </c>
      <c r="E2296" s="151">
        <f ca="1">OFFSET(INDEX(Composições!A:H,MATCH(Orçamentária!A2296,Composições!A:A,0),8),2,0)</f>
        <v>5.6714999999999991</v>
      </c>
      <c r="F2296" s="152">
        <f t="shared" ca="1" si="107"/>
        <v>0</v>
      </c>
      <c r="G2296" s="153">
        <f>IF($K2296="Padrão",BDI!$B$17,IF($K2296="Diferenciado",BDI!$E$17,0))</f>
        <v>0.2039</v>
      </c>
      <c r="H2296" s="151">
        <f t="shared" ca="1" si="105"/>
        <v>6.83</v>
      </c>
      <c r="I2296" s="152">
        <f t="shared" ca="1" si="106"/>
        <v>0</v>
      </c>
      <c r="J2296" s="154"/>
      <c r="K2296" s="155" t="s">
        <v>2966</v>
      </c>
    </row>
    <row r="2297" spans="1:11" hidden="1" x14ac:dyDescent="0.25">
      <c r="A2297" s="148" t="s">
        <v>1496</v>
      </c>
      <c r="B2297" s="149" t="s">
        <v>6598</v>
      </c>
      <c r="C2297" s="150" t="s">
        <v>18</v>
      </c>
      <c r="D2297" s="150">
        <v>0</v>
      </c>
      <c r="E2297" s="151">
        <f ca="1">OFFSET(INDEX(Composições!A:H,MATCH(Orçamentária!A2297,Composições!A:A,0),8),2,0)</f>
        <v>10.231499999999999</v>
      </c>
      <c r="F2297" s="152">
        <f t="shared" ca="1" si="107"/>
        <v>0</v>
      </c>
      <c r="G2297" s="153">
        <f>IF($K2297="Padrão",BDI!$B$17,IF($K2297="Diferenciado",BDI!$E$17,0))</f>
        <v>0.2039</v>
      </c>
      <c r="H2297" s="151">
        <f t="shared" ca="1" si="105"/>
        <v>12.32</v>
      </c>
      <c r="I2297" s="152">
        <f t="shared" ca="1" si="106"/>
        <v>0</v>
      </c>
      <c r="J2297" s="154"/>
      <c r="K2297" s="155" t="s">
        <v>2966</v>
      </c>
    </row>
    <row r="2298" spans="1:11" hidden="1" x14ac:dyDescent="0.25">
      <c r="A2298" s="148" t="s">
        <v>6599</v>
      </c>
      <c r="B2298" s="149" t="s">
        <v>6600</v>
      </c>
      <c r="C2298" s="150" t="s">
        <v>18</v>
      </c>
      <c r="D2298" s="150">
        <v>0</v>
      </c>
      <c r="E2298" s="151" t="s">
        <v>13</v>
      </c>
      <c r="F2298" s="152" t="str">
        <f t="shared" si="107"/>
        <v/>
      </c>
      <c r="G2298" s="153">
        <f>IF($K2298="Padrão",BDI!$B$17,IF($K2298="Diferenciado",BDI!$E$17,0))</f>
        <v>0.2039</v>
      </c>
      <c r="H2298" s="151" t="str">
        <f t="shared" si="105"/>
        <v/>
      </c>
      <c r="I2298" s="152" t="str">
        <f t="shared" si="106"/>
        <v/>
      </c>
      <c r="J2298" s="154"/>
      <c r="K2298" s="155" t="s">
        <v>2966</v>
      </c>
    </row>
    <row r="2299" spans="1:11" hidden="1" x14ac:dyDescent="0.25">
      <c r="A2299" s="148" t="s">
        <v>1497</v>
      </c>
      <c r="B2299" s="149" t="s">
        <v>6601</v>
      </c>
      <c r="C2299" s="150" t="s">
        <v>18</v>
      </c>
      <c r="D2299" s="150">
        <v>0</v>
      </c>
      <c r="E2299" s="151">
        <f ca="1">OFFSET(INDEX(Composições!A:H,MATCH(Orçamentária!A2299,Composições!A:A,0),8),2,0)</f>
        <v>143.61150000000001</v>
      </c>
      <c r="F2299" s="152">
        <f t="shared" ca="1" si="107"/>
        <v>0</v>
      </c>
      <c r="G2299" s="153">
        <f>IF($K2299="Padrão",BDI!$B$17,IF($K2299="Diferenciado",BDI!$E$17,0))</f>
        <v>0.2039</v>
      </c>
      <c r="H2299" s="151">
        <f t="shared" ca="1" si="105"/>
        <v>172.89</v>
      </c>
      <c r="I2299" s="152">
        <f t="shared" ca="1" si="106"/>
        <v>0</v>
      </c>
      <c r="J2299" s="154"/>
      <c r="K2299" s="155" t="s">
        <v>2966</v>
      </c>
    </row>
    <row r="2300" spans="1:11" hidden="1" x14ac:dyDescent="0.25">
      <c r="A2300" s="148" t="s">
        <v>6602</v>
      </c>
      <c r="B2300" s="149" t="s">
        <v>6603</v>
      </c>
      <c r="C2300" s="150" t="s">
        <v>18</v>
      </c>
      <c r="D2300" s="150">
        <v>0</v>
      </c>
      <c r="E2300" s="151" t="s">
        <v>13</v>
      </c>
      <c r="F2300" s="152" t="str">
        <f t="shared" si="107"/>
        <v/>
      </c>
      <c r="G2300" s="153">
        <f>IF($K2300="Padrão",BDI!$B$17,IF($K2300="Diferenciado",BDI!$E$17,0))</f>
        <v>0.2039</v>
      </c>
      <c r="H2300" s="151" t="str">
        <f t="shared" si="105"/>
        <v/>
      </c>
      <c r="I2300" s="152" t="str">
        <f t="shared" si="106"/>
        <v/>
      </c>
      <c r="J2300" s="154"/>
      <c r="K2300" s="155" t="s">
        <v>2966</v>
      </c>
    </row>
    <row r="2301" spans="1:11" hidden="1" x14ac:dyDescent="0.25">
      <c r="A2301" s="148" t="s">
        <v>6604</v>
      </c>
      <c r="B2301" s="149" t="s">
        <v>6605</v>
      </c>
      <c r="C2301" s="150" t="s">
        <v>18</v>
      </c>
      <c r="D2301" s="150">
        <v>0</v>
      </c>
      <c r="E2301" s="151" t="s">
        <v>13</v>
      </c>
      <c r="F2301" s="152" t="str">
        <f t="shared" si="107"/>
        <v/>
      </c>
      <c r="G2301" s="153">
        <f>IF($K2301="Padrão",BDI!$B$17,IF($K2301="Diferenciado",BDI!$E$17,0))</f>
        <v>0.2039</v>
      </c>
      <c r="H2301" s="151" t="str">
        <f t="shared" si="105"/>
        <v/>
      </c>
      <c r="I2301" s="152" t="str">
        <f t="shared" si="106"/>
        <v/>
      </c>
      <c r="J2301" s="154"/>
      <c r="K2301" s="155" t="s">
        <v>2966</v>
      </c>
    </row>
    <row r="2302" spans="1:11" hidden="1" x14ac:dyDescent="0.25">
      <c r="A2302" s="148" t="s">
        <v>6606</v>
      </c>
      <c r="B2302" s="149" t="s">
        <v>6607</v>
      </c>
      <c r="C2302" s="150" t="s">
        <v>18</v>
      </c>
      <c r="D2302" s="150">
        <v>0</v>
      </c>
      <c r="E2302" s="151" t="s">
        <v>13</v>
      </c>
      <c r="F2302" s="152" t="str">
        <f t="shared" si="107"/>
        <v/>
      </c>
      <c r="G2302" s="153">
        <f>IF($K2302="Padrão",BDI!$B$17,IF($K2302="Diferenciado",BDI!$E$17,0))</f>
        <v>0.2039</v>
      </c>
      <c r="H2302" s="151" t="str">
        <f t="shared" si="105"/>
        <v/>
      </c>
      <c r="I2302" s="152" t="str">
        <f t="shared" si="106"/>
        <v/>
      </c>
      <c r="J2302" s="154"/>
      <c r="K2302" s="155" t="s">
        <v>2966</v>
      </c>
    </row>
    <row r="2303" spans="1:11" hidden="1" x14ac:dyDescent="0.25">
      <c r="A2303" s="148" t="s">
        <v>6608</v>
      </c>
      <c r="B2303" s="149" t="s">
        <v>6609</v>
      </c>
      <c r="C2303" s="150" t="s">
        <v>18</v>
      </c>
      <c r="D2303" s="150">
        <v>0</v>
      </c>
      <c r="E2303" s="151" t="s">
        <v>13</v>
      </c>
      <c r="F2303" s="152" t="str">
        <f t="shared" si="107"/>
        <v/>
      </c>
      <c r="G2303" s="153">
        <f>IF($K2303="Padrão",BDI!$B$17,IF($K2303="Diferenciado",BDI!$E$17,0))</f>
        <v>0.2039</v>
      </c>
      <c r="H2303" s="151" t="str">
        <f t="shared" si="105"/>
        <v/>
      </c>
      <c r="I2303" s="152" t="str">
        <f t="shared" si="106"/>
        <v/>
      </c>
      <c r="J2303" s="154"/>
      <c r="K2303" s="155" t="s">
        <v>2966</v>
      </c>
    </row>
    <row r="2304" spans="1:11" hidden="1" x14ac:dyDescent="0.25">
      <c r="A2304" s="148" t="s">
        <v>6610</v>
      </c>
      <c r="B2304" s="149" t="s">
        <v>6611</v>
      </c>
      <c r="C2304" s="150" t="s">
        <v>18</v>
      </c>
      <c r="D2304" s="150">
        <v>0</v>
      </c>
      <c r="E2304" s="151" t="s">
        <v>13</v>
      </c>
      <c r="F2304" s="152" t="str">
        <f t="shared" si="107"/>
        <v/>
      </c>
      <c r="G2304" s="153">
        <f>IF($K2304="Padrão",BDI!$B$17,IF($K2304="Diferenciado",BDI!$E$17,0))</f>
        <v>0.2039</v>
      </c>
      <c r="H2304" s="151" t="str">
        <f t="shared" si="105"/>
        <v/>
      </c>
      <c r="I2304" s="152" t="str">
        <f t="shared" si="106"/>
        <v/>
      </c>
      <c r="J2304" s="154"/>
      <c r="K2304" s="155" t="s">
        <v>2966</v>
      </c>
    </row>
    <row r="2305" spans="1:11" hidden="1" x14ac:dyDescent="0.25">
      <c r="A2305" s="148" t="s">
        <v>6612</v>
      </c>
      <c r="B2305" s="149" t="s">
        <v>6613</v>
      </c>
      <c r="C2305" s="150" t="s">
        <v>18</v>
      </c>
      <c r="D2305" s="150">
        <v>0</v>
      </c>
      <c r="E2305" s="151" t="s">
        <v>13</v>
      </c>
      <c r="F2305" s="152" t="str">
        <f t="shared" si="107"/>
        <v/>
      </c>
      <c r="G2305" s="153">
        <f>IF($K2305="Padrão",BDI!$B$17,IF($K2305="Diferenciado",BDI!$E$17,0))</f>
        <v>0.2039</v>
      </c>
      <c r="H2305" s="151" t="str">
        <f t="shared" si="105"/>
        <v/>
      </c>
      <c r="I2305" s="152" t="str">
        <f t="shared" si="106"/>
        <v/>
      </c>
      <c r="J2305" s="154"/>
      <c r="K2305" s="155" t="s">
        <v>2966</v>
      </c>
    </row>
    <row r="2306" spans="1:11" hidden="1" x14ac:dyDescent="0.25">
      <c r="A2306" s="148" t="s">
        <v>6614</v>
      </c>
      <c r="B2306" s="149" t="s">
        <v>6615</v>
      </c>
      <c r="C2306" s="150" t="s">
        <v>18</v>
      </c>
      <c r="D2306" s="150">
        <v>0</v>
      </c>
      <c r="E2306" s="151" t="s">
        <v>13</v>
      </c>
      <c r="F2306" s="152" t="str">
        <f t="shared" si="107"/>
        <v/>
      </c>
      <c r="G2306" s="153">
        <f>IF($K2306="Padrão",BDI!$B$17,IF($K2306="Diferenciado",BDI!$E$17,0))</f>
        <v>0.2039</v>
      </c>
      <c r="H2306" s="151" t="str">
        <f t="shared" si="105"/>
        <v/>
      </c>
      <c r="I2306" s="152" t="str">
        <f t="shared" si="106"/>
        <v/>
      </c>
      <c r="J2306" s="154"/>
      <c r="K2306" s="155" t="s">
        <v>2966</v>
      </c>
    </row>
    <row r="2307" spans="1:11" hidden="1" x14ac:dyDescent="0.25">
      <c r="A2307" s="148" t="s">
        <v>6616</v>
      </c>
      <c r="B2307" s="149" t="s">
        <v>6617</v>
      </c>
      <c r="C2307" s="150" t="s">
        <v>18</v>
      </c>
      <c r="D2307" s="150">
        <v>0</v>
      </c>
      <c r="E2307" s="151" t="s">
        <v>13</v>
      </c>
      <c r="F2307" s="152" t="str">
        <f t="shared" si="107"/>
        <v/>
      </c>
      <c r="G2307" s="153">
        <f>IF($K2307="Padrão",BDI!$B$17,IF($K2307="Diferenciado",BDI!$E$17,0))</f>
        <v>0.2039</v>
      </c>
      <c r="H2307" s="151" t="str">
        <f t="shared" si="105"/>
        <v/>
      </c>
      <c r="I2307" s="152" t="str">
        <f t="shared" si="106"/>
        <v/>
      </c>
      <c r="J2307" s="154"/>
      <c r="K2307" s="155" t="s">
        <v>2966</v>
      </c>
    </row>
    <row r="2308" spans="1:11" hidden="1" x14ac:dyDescent="0.25">
      <c r="A2308" s="148" t="s">
        <v>6618</v>
      </c>
      <c r="B2308" s="149" t="s">
        <v>6619</v>
      </c>
      <c r="C2308" s="150" t="s">
        <v>18</v>
      </c>
      <c r="D2308" s="150">
        <v>0</v>
      </c>
      <c r="E2308" s="151" t="s">
        <v>13</v>
      </c>
      <c r="F2308" s="152" t="str">
        <f t="shared" si="107"/>
        <v/>
      </c>
      <c r="G2308" s="153">
        <f>IF($K2308="Padrão",BDI!$B$17,IF($K2308="Diferenciado",BDI!$E$17,0))</f>
        <v>0.2039</v>
      </c>
      <c r="H2308" s="151" t="str">
        <f t="shared" si="105"/>
        <v/>
      </c>
      <c r="I2308" s="152" t="str">
        <f t="shared" si="106"/>
        <v/>
      </c>
      <c r="J2308" s="154"/>
      <c r="K2308" s="155" t="s">
        <v>2966</v>
      </c>
    </row>
    <row r="2309" spans="1:11" hidden="1" x14ac:dyDescent="0.25">
      <c r="A2309" s="148" t="s">
        <v>6620</v>
      </c>
      <c r="B2309" s="149" t="s">
        <v>6621</v>
      </c>
      <c r="C2309" s="150" t="s">
        <v>18</v>
      </c>
      <c r="D2309" s="150">
        <v>0</v>
      </c>
      <c r="E2309" s="151" t="s">
        <v>13</v>
      </c>
      <c r="F2309" s="152" t="str">
        <f t="shared" si="107"/>
        <v/>
      </c>
      <c r="G2309" s="153">
        <f>IF($K2309="Padrão",BDI!$B$17,IF($K2309="Diferenciado",BDI!$E$17,0))</f>
        <v>0.2039</v>
      </c>
      <c r="H2309" s="151" t="str">
        <f t="shared" si="105"/>
        <v/>
      </c>
      <c r="I2309" s="152" t="str">
        <f t="shared" si="106"/>
        <v/>
      </c>
      <c r="J2309" s="154"/>
      <c r="K2309" s="155" t="s">
        <v>2966</v>
      </c>
    </row>
    <row r="2310" spans="1:11" hidden="1" x14ac:dyDescent="0.25">
      <c r="A2310" s="148" t="s">
        <v>6622</v>
      </c>
      <c r="B2310" s="149" t="s">
        <v>6623</v>
      </c>
      <c r="C2310" s="150" t="s">
        <v>18</v>
      </c>
      <c r="D2310" s="150">
        <v>0</v>
      </c>
      <c r="E2310" s="151" t="s">
        <v>13</v>
      </c>
      <c r="F2310" s="152" t="str">
        <f t="shared" si="107"/>
        <v/>
      </c>
      <c r="G2310" s="153">
        <f>IF($K2310="Padrão",BDI!$B$17,IF($K2310="Diferenciado",BDI!$E$17,0))</f>
        <v>0.2039</v>
      </c>
      <c r="H2310" s="151" t="str">
        <f t="shared" ref="H2310:H2373" si="108">IF(ISNUMBER(E2310),ROUND(E2310*(1+G2310),2),"")</f>
        <v/>
      </c>
      <c r="I2310" s="152" t="str">
        <f t="shared" ref="I2310:I2373" si="109">IF(ISNUMBER(E2310),ROUND(H2310*D2310,2),"")</f>
        <v/>
      </c>
      <c r="J2310" s="154"/>
      <c r="K2310" s="155" t="s">
        <v>2966</v>
      </c>
    </row>
    <row r="2311" spans="1:11" hidden="1" x14ac:dyDescent="0.25">
      <c r="A2311" s="148" t="s">
        <v>6624</v>
      </c>
      <c r="B2311" s="149" t="s">
        <v>6625</v>
      </c>
      <c r="C2311" s="150" t="s">
        <v>18</v>
      </c>
      <c r="D2311" s="150">
        <v>0</v>
      </c>
      <c r="E2311" s="151" t="s">
        <v>13</v>
      </c>
      <c r="F2311" s="152" t="str">
        <f t="shared" ref="F2311:F2374" si="110">IF(ISNUMBER(E2311),D2311*E2311,"")</f>
        <v/>
      </c>
      <c r="G2311" s="153">
        <f>IF($K2311="Padrão",BDI!$B$17,IF($K2311="Diferenciado",BDI!$E$17,0))</f>
        <v>0.2039</v>
      </c>
      <c r="H2311" s="151" t="str">
        <f t="shared" si="108"/>
        <v/>
      </c>
      <c r="I2311" s="152" t="str">
        <f t="shared" si="109"/>
        <v/>
      </c>
      <c r="J2311" s="154"/>
      <c r="K2311" s="155" t="s">
        <v>2966</v>
      </c>
    </row>
    <row r="2312" spans="1:11" hidden="1" x14ac:dyDescent="0.25">
      <c r="A2312" s="148" t="s">
        <v>6626</v>
      </c>
      <c r="B2312" s="149" t="s">
        <v>6627</v>
      </c>
      <c r="C2312" s="150" t="s">
        <v>18</v>
      </c>
      <c r="D2312" s="150">
        <v>0</v>
      </c>
      <c r="E2312" s="151" t="s">
        <v>13</v>
      </c>
      <c r="F2312" s="152" t="str">
        <f t="shared" si="110"/>
        <v/>
      </c>
      <c r="G2312" s="153">
        <f>IF($K2312="Padrão",BDI!$B$17,IF($K2312="Diferenciado",BDI!$E$17,0))</f>
        <v>0.2039</v>
      </c>
      <c r="H2312" s="151" t="str">
        <f t="shared" si="108"/>
        <v/>
      </c>
      <c r="I2312" s="152" t="str">
        <f t="shared" si="109"/>
        <v/>
      </c>
      <c r="J2312" s="154"/>
      <c r="K2312" s="155" t="s">
        <v>2966</v>
      </c>
    </row>
    <row r="2313" spans="1:11" hidden="1" x14ac:dyDescent="0.25">
      <c r="A2313" s="148" t="s">
        <v>6628</v>
      </c>
      <c r="B2313" s="149" t="s">
        <v>2793</v>
      </c>
      <c r="C2313" s="150" t="s">
        <v>18</v>
      </c>
      <c r="D2313" s="150">
        <v>0</v>
      </c>
      <c r="E2313" s="151" t="s">
        <v>13</v>
      </c>
      <c r="F2313" s="152" t="str">
        <f t="shared" si="110"/>
        <v/>
      </c>
      <c r="G2313" s="153">
        <f>IF($K2313="Padrão",BDI!$B$17,IF($K2313="Diferenciado",BDI!$E$17,0))</f>
        <v>0.2039</v>
      </c>
      <c r="H2313" s="151" t="str">
        <f t="shared" si="108"/>
        <v/>
      </c>
      <c r="I2313" s="152" t="str">
        <f t="shared" si="109"/>
        <v/>
      </c>
      <c r="J2313" s="154"/>
      <c r="K2313" s="155" t="s">
        <v>2966</v>
      </c>
    </row>
    <row r="2314" spans="1:11" hidden="1" x14ac:dyDescent="0.25">
      <c r="A2314" s="148" t="s">
        <v>6629</v>
      </c>
      <c r="B2314" s="149" t="s">
        <v>2795</v>
      </c>
      <c r="C2314" s="150" t="s">
        <v>18</v>
      </c>
      <c r="D2314" s="150">
        <v>0</v>
      </c>
      <c r="E2314" s="151" t="s">
        <v>13</v>
      </c>
      <c r="F2314" s="152" t="str">
        <f t="shared" si="110"/>
        <v/>
      </c>
      <c r="G2314" s="153">
        <f>IF($K2314="Padrão",BDI!$B$17,IF($K2314="Diferenciado",BDI!$E$17,0))</f>
        <v>0.2039</v>
      </c>
      <c r="H2314" s="151" t="str">
        <f t="shared" si="108"/>
        <v/>
      </c>
      <c r="I2314" s="152" t="str">
        <f t="shared" si="109"/>
        <v/>
      </c>
      <c r="J2314" s="154"/>
      <c r="K2314" s="155" t="s">
        <v>2966</v>
      </c>
    </row>
    <row r="2315" spans="1:11" hidden="1" x14ac:dyDescent="0.25">
      <c r="A2315" s="148" t="s">
        <v>1499</v>
      </c>
      <c r="B2315" s="149" t="s">
        <v>6630</v>
      </c>
      <c r="C2315" s="150" t="s">
        <v>5031</v>
      </c>
      <c r="D2315" s="150">
        <v>0</v>
      </c>
      <c r="E2315" s="151">
        <f ca="1">OFFSET(INDEX(Composições!A:H,MATCH(Orçamentária!A2315,Composições!A:A,0),8),2,0)</f>
        <v>56.296999999999997</v>
      </c>
      <c r="F2315" s="152">
        <f t="shared" ca="1" si="110"/>
        <v>0</v>
      </c>
      <c r="G2315" s="153">
        <f>IF($K2315="Padrão",BDI!$B$17,IF($K2315="Diferenciado",BDI!$E$17,0))</f>
        <v>0.2039</v>
      </c>
      <c r="H2315" s="151">
        <f t="shared" ca="1" si="108"/>
        <v>67.78</v>
      </c>
      <c r="I2315" s="152">
        <f t="shared" ca="1" si="109"/>
        <v>0</v>
      </c>
      <c r="J2315" s="154"/>
      <c r="K2315" s="155" t="s">
        <v>2966</v>
      </c>
    </row>
    <row r="2316" spans="1:11" hidden="1" x14ac:dyDescent="0.25">
      <c r="A2316" s="148" t="s">
        <v>6631</v>
      </c>
      <c r="B2316" s="149" t="s">
        <v>6632</v>
      </c>
      <c r="C2316" s="150" t="s">
        <v>18</v>
      </c>
      <c r="D2316" s="150">
        <v>0</v>
      </c>
      <c r="E2316" s="151" t="s">
        <v>13</v>
      </c>
      <c r="F2316" s="152" t="str">
        <f t="shared" si="110"/>
        <v/>
      </c>
      <c r="G2316" s="153">
        <f>IF($K2316="Padrão",BDI!$B$17,IF($K2316="Diferenciado",BDI!$E$17,0))</f>
        <v>0.2039</v>
      </c>
      <c r="H2316" s="151" t="str">
        <f t="shared" si="108"/>
        <v/>
      </c>
      <c r="I2316" s="152" t="str">
        <f t="shared" si="109"/>
        <v/>
      </c>
      <c r="J2316" s="154"/>
      <c r="K2316" s="155" t="s">
        <v>2966</v>
      </c>
    </row>
    <row r="2317" spans="1:11" hidden="1" x14ac:dyDescent="0.25">
      <c r="A2317" s="148" t="s">
        <v>6633</v>
      </c>
      <c r="B2317" s="149" t="s">
        <v>6634</v>
      </c>
      <c r="C2317" s="150" t="s">
        <v>18</v>
      </c>
      <c r="D2317" s="150">
        <v>0</v>
      </c>
      <c r="E2317" s="151" t="s">
        <v>13</v>
      </c>
      <c r="F2317" s="152" t="str">
        <f t="shared" si="110"/>
        <v/>
      </c>
      <c r="G2317" s="153">
        <f>IF($K2317="Padrão",BDI!$B$17,IF($K2317="Diferenciado",BDI!$E$17,0))</f>
        <v>0.2039</v>
      </c>
      <c r="H2317" s="151" t="str">
        <f t="shared" si="108"/>
        <v/>
      </c>
      <c r="I2317" s="152" t="str">
        <f t="shared" si="109"/>
        <v/>
      </c>
      <c r="J2317" s="154"/>
      <c r="K2317" s="155" t="s">
        <v>2966</v>
      </c>
    </row>
    <row r="2318" spans="1:11" hidden="1" x14ac:dyDescent="0.25">
      <c r="A2318" s="148" t="s">
        <v>6635</v>
      </c>
      <c r="B2318" s="149" t="s">
        <v>6636</v>
      </c>
      <c r="C2318" s="150" t="s">
        <v>18</v>
      </c>
      <c r="D2318" s="150">
        <v>0</v>
      </c>
      <c r="E2318" s="151" t="s">
        <v>13</v>
      </c>
      <c r="F2318" s="152" t="str">
        <f t="shared" si="110"/>
        <v/>
      </c>
      <c r="G2318" s="153">
        <f>IF($K2318="Padrão",BDI!$B$17,IF($K2318="Diferenciado",BDI!$E$17,0))</f>
        <v>0.2039</v>
      </c>
      <c r="H2318" s="151" t="str">
        <f t="shared" si="108"/>
        <v/>
      </c>
      <c r="I2318" s="152" t="str">
        <f t="shared" si="109"/>
        <v/>
      </c>
      <c r="J2318" s="154"/>
      <c r="K2318" s="155" t="s">
        <v>2966</v>
      </c>
    </row>
    <row r="2319" spans="1:11" hidden="1" x14ac:dyDescent="0.25">
      <c r="A2319" s="148" t="s">
        <v>1498</v>
      </c>
      <c r="B2319" s="149" t="s">
        <v>6637</v>
      </c>
      <c r="C2319" s="150" t="s">
        <v>18</v>
      </c>
      <c r="D2319" s="150">
        <v>0</v>
      </c>
      <c r="E2319" s="151">
        <f ca="1">OFFSET(INDEX(Composições!A:H,MATCH(Orçamentária!A2319,Composições!A:A,0),8),2,0)</f>
        <v>3.952</v>
      </c>
      <c r="F2319" s="152">
        <f t="shared" ca="1" si="110"/>
        <v>0</v>
      </c>
      <c r="G2319" s="153">
        <f>IF($K2319="Padrão",BDI!$B$17,IF($K2319="Diferenciado",BDI!$E$17,0))</f>
        <v>0.2039</v>
      </c>
      <c r="H2319" s="151">
        <f t="shared" ca="1" si="108"/>
        <v>4.76</v>
      </c>
      <c r="I2319" s="152">
        <f t="shared" ca="1" si="109"/>
        <v>0</v>
      </c>
      <c r="J2319" s="154"/>
      <c r="K2319" s="155" t="s">
        <v>2966</v>
      </c>
    </row>
    <row r="2320" spans="1:11" hidden="1" x14ac:dyDescent="0.25">
      <c r="A2320" s="148" t="s">
        <v>6638</v>
      </c>
      <c r="B2320" s="149" t="s">
        <v>6639</v>
      </c>
      <c r="C2320" s="150" t="s">
        <v>18</v>
      </c>
      <c r="D2320" s="150">
        <v>0</v>
      </c>
      <c r="E2320" s="151" t="s">
        <v>13</v>
      </c>
      <c r="F2320" s="152" t="str">
        <f t="shared" si="110"/>
        <v/>
      </c>
      <c r="G2320" s="153">
        <f>IF($K2320="Padrão",BDI!$B$17,IF($K2320="Diferenciado",BDI!$E$17,0))</f>
        <v>0.2039</v>
      </c>
      <c r="H2320" s="151" t="str">
        <f t="shared" si="108"/>
        <v/>
      </c>
      <c r="I2320" s="152" t="str">
        <f t="shared" si="109"/>
        <v/>
      </c>
      <c r="J2320" s="154"/>
      <c r="K2320" s="155" t="s">
        <v>2966</v>
      </c>
    </row>
    <row r="2321" spans="1:11" hidden="1" x14ac:dyDescent="0.25">
      <c r="A2321" s="148" t="s">
        <v>6640</v>
      </c>
      <c r="B2321" s="149" t="s">
        <v>6641</v>
      </c>
      <c r="C2321" s="150" t="s">
        <v>18</v>
      </c>
      <c r="D2321" s="150">
        <v>0</v>
      </c>
      <c r="E2321" s="151" t="s">
        <v>13</v>
      </c>
      <c r="F2321" s="152" t="str">
        <f t="shared" si="110"/>
        <v/>
      </c>
      <c r="G2321" s="153">
        <f>IF($K2321="Padrão",BDI!$B$17,IF($K2321="Diferenciado",BDI!$E$17,0))</f>
        <v>0.2039</v>
      </c>
      <c r="H2321" s="151" t="str">
        <f t="shared" si="108"/>
        <v/>
      </c>
      <c r="I2321" s="152" t="str">
        <f t="shared" si="109"/>
        <v/>
      </c>
      <c r="J2321" s="154"/>
      <c r="K2321" s="155" t="s">
        <v>2966</v>
      </c>
    </row>
    <row r="2322" spans="1:11" hidden="1" x14ac:dyDescent="0.25">
      <c r="A2322" s="148" t="s">
        <v>6642</v>
      </c>
      <c r="B2322" s="149" t="s">
        <v>2797</v>
      </c>
      <c r="C2322" s="150" t="s">
        <v>18</v>
      </c>
      <c r="D2322" s="150">
        <v>0</v>
      </c>
      <c r="E2322" s="151" t="s">
        <v>13</v>
      </c>
      <c r="F2322" s="152" t="str">
        <f t="shared" si="110"/>
        <v/>
      </c>
      <c r="G2322" s="153">
        <f>IF($K2322="Padrão",BDI!$B$17,IF($K2322="Diferenciado",BDI!$E$17,0))</f>
        <v>0.2039</v>
      </c>
      <c r="H2322" s="151" t="str">
        <f t="shared" si="108"/>
        <v/>
      </c>
      <c r="I2322" s="152" t="str">
        <f t="shared" si="109"/>
        <v/>
      </c>
      <c r="J2322" s="154"/>
      <c r="K2322" s="155" t="s">
        <v>2966</v>
      </c>
    </row>
    <row r="2323" spans="1:11" hidden="1" x14ac:dyDescent="0.25">
      <c r="A2323" s="148" t="s">
        <v>6643</v>
      </c>
      <c r="B2323" s="149" t="s">
        <v>6644</v>
      </c>
      <c r="C2323" s="150" t="s">
        <v>18</v>
      </c>
      <c r="D2323" s="150">
        <v>0</v>
      </c>
      <c r="E2323" s="151" t="s">
        <v>13</v>
      </c>
      <c r="F2323" s="152" t="str">
        <f t="shared" si="110"/>
        <v/>
      </c>
      <c r="G2323" s="153">
        <f>IF($K2323="Padrão",BDI!$B$17,IF($K2323="Diferenciado",BDI!$E$17,0))</f>
        <v>0.2039</v>
      </c>
      <c r="H2323" s="151" t="str">
        <f t="shared" si="108"/>
        <v/>
      </c>
      <c r="I2323" s="152" t="str">
        <f t="shared" si="109"/>
        <v/>
      </c>
      <c r="J2323" s="154"/>
      <c r="K2323" s="155" t="s">
        <v>2966</v>
      </c>
    </row>
    <row r="2324" spans="1:11" hidden="1" x14ac:dyDescent="0.25">
      <c r="A2324" s="148" t="s">
        <v>6645</v>
      </c>
      <c r="B2324" s="149" t="s">
        <v>6646</v>
      </c>
      <c r="C2324" s="150" t="s">
        <v>18</v>
      </c>
      <c r="D2324" s="150">
        <v>0</v>
      </c>
      <c r="E2324" s="151" t="s">
        <v>13</v>
      </c>
      <c r="F2324" s="152" t="str">
        <f t="shared" si="110"/>
        <v/>
      </c>
      <c r="G2324" s="153">
        <f>IF($K2324="Padrão",BDI!$B$17,IF($K2324="Diferenciado",BDI!$E$17,0))</f>
        <v>0.2039</v>
      </c>
      <c r="H2324" s="151" t="str">
        <f t="shared" si="108"/>
        <v/>
      </c>
      <c r="I2324" s="152" t="str">
        <f t="shared" si="109"/>
        <v/>
      </c>
      <c r="J2324" s="154"/>
      <c r="K2324" s="155" t="s">
        <v>2966</v>
      </c>
    </row>
    <row r="2325" spans="1:11" hidden="1" x14ac:dyDescent="0.25">
      <c r="A2325" s="148" t="s">
        <v>6647</v>
      </c>
      <c r="B2325" s="149" t="s">
        <v>6648</v>
      </c>
      <c r="C2325" s="150" t="s">
        <v>106</v>
      </c>
      <c r="D2325" s="150">
        <v>0</v>
      </c>
      <c r="E2325" s="151" t="s">
        <v>13</v>
      </c>
      <c r="F2325" s="152" t="str">
        <f t="shared" si="110"/>
        <v/>
      </c>
      <c r="G2325" s="153">
        <f>IF($K2325="Padrão",BDI!$B$17,IF($K2325="Diferenciado",BDI!$E$17,0))</f>
        <v>0.2039</v>
      </c>
      <c r="H2325" s="151" t="str">
        <f t="shared" si="108"/>
        <v/>
      </c>
      <c r="I2325" s="152" t="str">
        <f t="shared" si="109"/>
        <v/>
      </c>
      <c r="J2325" s="154"/>
      <c r="K2325" s="155" t="s">
        <v>2966</v>
      </c>
    </row>
    <row r="2326" spans="1:11" hidden="1" x14ac:dyDescent="0.25">
      <c r="A2326" s="148" t="s">
        <v>6649</v>
      </c>
      <c r="B2326" s="149" t="s">
        <v>6650</v>
      </c>
      <c r="C2326" s="150" t="s">
        <v>18</v>
      </c>
      <c r="D2326" s="150">
        <v>0</v>
      </c>
      <c r="E2326" s="151" t="s">
        <v>13</v>
      </c>
      <c r="F2326" s="152" t="str">
        <f t="shared" si="110"/>
        <v/>
      </c>
      <c r="G2326" s="153">
        <f>IF($K2326="Padrão",BDI!$B$17,IF($K2326="Diferenciado",BDI!$E$17,0))</f>
        <v>0.2039</v>
      </c>
      <c r="H2326" s="151" t="str">
        <f t="shared" si="108"/>
        <v/>
      </c>
      <c r="I2326" s="152" t="str">
        <f t="shared" si="109"/>
        <v/>
      </c>
      <c r="J2326" s="154"/>
      <c r="K2326" s="155" t="s">
        <v>2966</v>
      </c>
    </row>
    <row r="2327" spans="1:11" hidden="1" x14ac:dyDescent="0.25">
      <c r="A2327" s="148" t="s">
        <v>6651</v>
      </c>
      <c r="B2327" s="149" t="s">
        <v>6652</v>
      </c>
      <c r="C2327" s="150" t="s">
        <v>18</v>
      </c>
      <c r="D2327" s="150">
        <v>0</v>
      </c>
      <c r="E2327" s="151" t="s">
        <v>13</v>
      </c>
      <c r="F2327" s="152" t="str">
        <f t="shared" si="110"/>
        <v/>
      </c>
      <c r="G2327" s="153">
        <f>IF($K2327="Padrão",BDI!$B$17,IF($K2327="Diferenciado",BDI!$E$17,0))</f>
        <v>0.2039</v>
      </c>
      <c r="H2327" s="151" t="str">
        <f t="shared" si="108"/>
        <v/>
      </c>
      <c r="I2327" s="152" t="str">
        <f t="shared" si="109"/>
        <v/>
      </c>
      <c r="J2327" s="154"/>
      <c r="K2327" s="155" t="s">
        <v>2966</v>
      </c>
    </row>
    <row r="2328" spans="1:11" hidden="1" x14ac:dyDescent="0.25">
      <c r="A2328" s="148" t="s">
        <v>6653</v>
      </c>
      <c r="B2328" s="149" t="s">
        <v>6654</v>
      </c>
      <c r="C2328" s="150" t="s">
        <v>18</v>
      </c>
      <c r="D2328" s="150">
        <v>0</v>
      </c>
      <c r="E2328" s="151" t="s">
        <v>13</v>
      </c>
      <c r="F2328" s="152" t="str">
        <f t="shared" si="110"/>
        <v/>
      </c>
      <c r="G2328" s="153">
        <f>IF($K2328="Padrão",BDI!$B$17,IF($K2328="Diferenciado",BDI!$E$17,0))</f>
        <v>0.2039</v>
      </c>
      <c r="H2328" s="151" t="str">
        <f t="shared" si="108"/>
        <v/>
      </c>
      <c r="I2328" s="152" t="str">
        <f t="shared" si="109"/>
        <v/>
      </c>
      <c r="J2328" s="154"/>
      <c r="K2328" s="155" t="s">
        <v>2966</v>
      </c>
    </row>
    <row r="2329" spans="1:11" ht="25.5" hidden="1" x14ac:dyDescent="0.25">
      <c r="A2329" s="148" t="s">
        <v>6655</v>
      </c>
      <c r="B2329" s="149" t="s">
        <v>6656</v>
      </c>
      <c r="C2329" s="150" t="s">
        <v>18</v>
      </c>
      <c r="D2329" s="150">
        <v>0</v>
      </c>
      <c r="E2329" s="151" t="s">
        <v>13</v>
      </c>
      <c r="F2329" s="152" t="str">
        <f t="shared" si="110"/>
        <v/>
      </c>
      <c r="G2329" s="153">
        <f>IF($K2329="Padrão",BDI!$B$17,IF($K2329="Diferenciado",BDI!$E$17,0))</f>
        <v>0.2039</v>
      </c>
      <c r="H2329" s="151" t="str">
        <f t="shared" si="108"/>
        <v/>
      </c>
      <c r="I2329" s="152" t="str">
        <f t="shared" si="109"/>
        <v/>
      </c>
      <c r="J2329" s="154"/>
      <c r="K2329" s="155" t="s">
        <v>2966</v>
      </c>
    </row>
    <row r="2330" spans="1:11" ht="25.5" hidden="1" x14ac:dyDescent="0.25">
      <c r="A2330" s="148" t="s">
        <v>6657</v>
      </c>
      <c r="B2330" s="149" t="s">
        <v>6658</v>
      </c>
      <c r="C2330" s="150" t="s">
        <v>18</v>
      </c>
      <c r="D2330" s="150">
        <v>0</v>
      </c>
      <c r="E2330" s="151" t="s">
        <v>13</v>
      </c>
      <c r="F2330" s="152" t="str">
        <f t="shared" si="110"/>
        <v/>
      </c>
      <c r="G2330" s="153">
        <f>IF($K2330="Padrão",BDI!$B$17,IF($K2330="Diferenciado",BDI!$E$17,0))</f>
        <v>0.2039</v>
      </c>
      <c r="H2330" s="151" t="str">
        <f t="shared" si="108"/>
        <v/>
      </c>
      <c r="I2330" s="152" t="str">
        <f t="shared" si="109"/>
        <v/>
      </c>
      <c r="J2330" s="154"/>
      <c r="K2330" s="155" t="s">
        <v>2966</v>
      </c>
    </row>
    <row r="2331" spans="1:11" hidden="1" x14ac:dyDescent="0.25">
      <c r="A2331" s="148" t="s">
        <v>6659</v>
      </c>
      <c r="B2331" s="149" t="s">
        <v>6660</v>
      </c>
      <c r="C2331" s="150" t="s">
        <v>18</v>
      </c>
      <c r="D2331" s="150">
        <v>0</v>
      </c>
      <c r="E2331" s="151" t="s">
        <v>13</v>
      </c>
      <c r="F2331" s="152" t="str">
        <f t="shared" si="110"/>
        <v/>
      </c>
      <c r="G2331" s="153">
        <f>IF($K2331="Padrão",BDI!$B$17,IF($K2331="Diferenciado",BDI!$E$17,0))</f>
        <v>0.2039</v>
      </c>
      <c r="H2331" s="151" t="str">
        <f t="shared" si="108"/>
        <v/>
      </c>
      <c r="I2331" s="152" t="str">
        <f t="shared" si="109"/>
        <v/>
      </c>
      <c r="J2331" s="154"/>
      <c r="K2331" s="155" t="s">
        <v>2966</v>
      </c>
    </row>
    <row r="2332" spans="1:11" hidden="1" x14ac:dyDescent="0.25">
      <c r="A2332" s="148" t="s">
        <v>6661</v>
      </c>
      <c r="B2332" s="149" t="s">
        <v>6662</v>
      </c>
      <c r="C2332" s="150" t="s">
        <v>18</v>
      </c>
      <c r="D2332" s="150">
        <v>0</v>
      </c>
      <c r="E2332" s="151" t="s">
        <v>13</v>
      </c>
      <c r="F2332" s="152" t="str">
        <f t="shared" si="110"/>
        <v/>
      </c>
      <c r="G2332" s="153">
        <f>IF($K2332="Padrão",BDI!$B$17,IF($K2332="Diferenciado",BDI!$E$17,0))</f>
        <v>0.2039</v>
      </c>
      <c r="H2332" s="151" t="str">
        <f t="shared" si="108"/>
        <v/>
      </c>
      <c r="I2332" s="152" t="str">
        <f t="shared" si="109"/>
        <v/>
      </c>
      <c r="J2332" s="154"/>
      <c r="K2332" s="155" t="s">
        <v>2966</v>
      </c>
    </row>
    <row r="2333" spans="1:11" hidden="1" x14ac:dyDescent="0.25">
      <c r="A2333" s="148" t="s">
        <v>1500</v>
      </c>
      <c r="B2333" s="149" t="s">
        <v>6663</v>
      </c>
      <c r="C2333" s="150" t="s">
        <v>18</v>
      </c>
      <c r="D2333" s="150">
        <v>0</v>
      </c>
      <c r="E2333" s="151">
        <f ca="1">OFFSET(INDEX(Composições!A:H,MATCH(Orçamentária!A2333,Composições!A:A,0),8),2,0)</f>
        <v>649.66700000000003</v>
      </c>
      <c r="F2333" s="152">
        <f t="shared" ca="1" si="110"/>
        <v>0</v>
      </c>
      <c r="G2333" s="153">
        <f>IF($K2333="Padrão",BDI!$B$17,IF($K2333="Diferenciado",BDI!$E$17,0))</f>
        <v>0.2039</v>
      </c>
      <c r="H2333" s="151">
        <f t="shared" ca="1" si="108"/>
        <v>782.13</v>
      </c>
      <c r="I2333" s="152">
        <f t="shared" ca="1" si="109"/>
        <v>0</v>
      </c>
      <c r="J2333" s="154"/>
      <c r="K2333" s="155" t="s">
        <v>2966</v>
      </c>
    </row>
    <row r="2334" spans="1:11" ht="25.5" hidden="1" x14ac:dyDescent="0.25">
      <c r="A2334" s="148" t="s">
        <v>1501</v>
      </c>
      <c r="B2334" s="149" t="s">
        <v>6664</v>
      </c>
      <c r="C2334" s="150" t="s">
        <v>18</v>
      </c>
      <c r="D2334" s="150">
        <v>0</v>
      </c>
      <c r="E2334" s="151">
        <f ca="1">OFFSET(INDEX(Composições!A:H,MATCH(Orçamentária!A2334,Composições!A:A,0),8),2,0)</f>
        <v>530.18550000000005</v>
      </c>
      <c r="F2334" s="152">
        <f t="shared" ca="1" si="110"/>
        <v>0</v>
      </c>
      <c r="G2334" s="153">
        <f>IF($K2334="Padrão",BDI!$B$17,IF($K2334="Diferenciado",BDI!$E$17,0))</f>
        <v>0.2039</v>
      </c>
      <c r="H2334" s="151">
        <f t="shared" ca="1" si="108"/>
        <v>638.29</v>
      </c>
      <c r="I2334" s="152">
        <f t="shared" ca="1" si="109"/>
        <v>0</v>
      </c>
      <c r="J2334" s="154"/>
      <c r="K2334" s="155" t="s">
        <v>2966</v>
      </c>
    </row>
    <row r="2335" spans="1:11" ht="25.5" hidden="1" x14ac:dyDescent="0.25">
      <c r="A2335" s="148" t="s">
        <v>1502</v>
      </c>
      <c r="B2335" s="149" t="s">
        <v>6665</v>
      </c>
      <c r="C2335" s="150" t="s">
        <v>18</v>
      </c>
      <c r="D2335" s="150">
        <v>0</v>
      </c>
      <c r="E2335" s="151">
        <f ca="1">OFFSET(INDEX(Composições!A:H,MATCH(Orçamentária!A2335,Composições!A:A,0),8),2,0)</f>
        <v>271.06349999999998</v>
      </c>
      <c r="F2335" s="152">
        <f t="shared" ca="1" si="110"/>
        <v>0</v>
      </c>
      <c r="G2335" s="153">
        <f>IF($K2335="Padrão",BDI!$B$17,IF($K2335="Diferenciado",BDI!$E$17,0))</f>
        <v>0.2039</v>
      </c>
      <c r="H2335" s="151">
        <f t="shared" ca="1" si="108"/>
        <v>326.33</v>
      </c>
      <c r="I2335" s="152">
        <f t="shared" ca="1" si="109"/>
        <v>0</v>
      </c>
      <c r="J2335" s="154"/>
      <c r="K2335" s="155" t="s">
        <v>2966</v>
      </c>
    </row>
    <row r="2336" spans="1:11" hidden="1" x14ac:dyDescent="0.25">
      <c r="A2336" s="148" t="s">
        <v>6666</v>
      </c>
      <c r="B2336" s="149" t="s">
        <v>6667</v>
      </c>
      <c r="C2336" s="150" t="s">
        <v>18</v>
      </c>
      <c r="D2336" s="150">
        <v>0</v>
      </c>
      <c r="E2336" s="151" t="s">
        <v>13</v>
      </c>
      <c r="F2336" s="152" t="str">
        <f t="shared" si="110"/>
        <v/>
      </c>
      <c r="G2336" s="153">
        <f>IF($K2336="Padrão",BDI!$B$17,IF($K2336="Diferenciado",BDI!$E$17,0))</f>
        <v>0.2039</v>
      </c>
      <c r="H2336" s="151" t="str">
        <f t="shared" si="108"/>
        <v/>
      </c>
      <c r="I2336" s="152" t="str">
        <f t="shared" si="109"/>
        <v/>
      </c>
      <c r="J2336" s="154"/>
      <c r="K2336" s="155" t="s">
        <v>2966</v>
      </c>
    </row>
    <row r="2337" spans="1:11" hidden="1" x14ac:dyDescent="0.25">
      <c r="A2337" s="148" t="s">
        <v>6668</v>
      </c>
      <c r="B2337" s="149" t="s">
        <v>6669</v>
      </c>
      <c r="C2337" s="150" t="s">
        <v>18</v>
      </c>
      <c r="D2337" s="150">
        <v>0</v>
      </c>
      <c r="E2337" s="151" t="s">
        <v>13</v>
      </c>
      <c r="F2337" s="152" t="str">
        <f t="shared" si="110"/>
        <v/>
      </c>
      <c r="G2337" s="153">
        <f>IF($K2337="Padrão",BDI!$B$17,IF($K2337="Diferenciado",BDI!$E$17,0))</f>
        <v>0.2039</v>
      </c>
      <c r="H2337" s="151" t="str">
        <f t="shared" si="108"/>
        <v/>
      </c>
      <c r="I2337" s="152" t="str">
        <f t="shared" si="109"/>
        <v/>
      </c>
      <c r="J2337" s="154"/>
      <c r="K2337" s="155" t="s">
        <v>2966</v>
      </c>
    </row>
    <row r="2338" spans="1:11" hidden="1" x14ac:dyDescent="0.25">
      <c r="A2338" s="148" t="s">
        <v>6670</v>
      </c>
      <c r="B2338" s="149" t="s">
        <v>6671</v>
      </c>
      <c r="C2338" s="150" t="s">
        <v>18</v>
      </c>
      <c r="D2338" s="150">
        <v>0</v>
      </c>
      <c r="E2338" s="151" t="s">
        <v>13</v>
      </c>
      <c r="F2338" s="152" t="str">
        <f t="shared" si="110"/>
        <v/>
      </c>
      <c r="G2338" s="153">
        <f>IF($K2338="Padrão",BDI!$B$17,IF($K2338="Diferenciado",BDI!$E$17,0))</f>
        <v>0.2039</v>
      </c>
      <c r="H2338" s="151" t="str">
        <f t="shared" si="108"/>
        <v/>
      </c>
      <c r="I2338" s="152" t="str">
        <f t="shared" si="109"/>
        <v/>
      </c>
      <c r="J2338" s="154"/>
      <c r="K2338" s="155" t="s">
        <v>2966</v>
      </c>
    </row>
    <row r="2339" spans="1:11" hidden="1" x14ac:dyDescent="0.25">
      <c r="A2339" s="148" t="s">
        <v>6672</v>
      </c>
      <c r="B2339" s="149" t="s">
        <v>6673</v>
      </c>
      <c r="C2339" s="150" t="s">
        <v>18</v>
      </c>
      <c r="D2339" s="150">
        <v>0</v>
      </c>
      <c r="E2339" s="151" t="s">
        <v>13</v>
      </c>
      <c r="F2339" s="152" t="str">
        <f t="shared" si="110"/>
        <v/>
      </c>
      <c r="G2339" s="153">
        <f>IF($K2339="Padrão",BDI!$B$17,IF($K2339="Diferenciado",BDI!$E$17,0))</f>
        <v>0.2039</v>
      </c>
      <c r="H2339" s="151" t="str">
        <f t="shared" si="108"/>
        <v/>
      </c>
      <c r="I2339" s="152" t="str">
        <f t="shared" si="109"/>
        <v/>
      </c>
      <c r="J2339" s="154"/>
      <c r="K2339" s="155" t="s">
        <v>2966</v>
      </c>
    </row>
    <row r="2340" spans="1:11" hidden="1" x14ac:dyDescent="0.25">
      <c r="A2340" s="148" t="s">
        <v>6674</v>
      </c>
      <c r="B2340" s="149" t="s">
        <v>6675</v>
      </c>
      <c r="C2340" s="150" t="s">
        <v>18</v>
      </c>
      <c r="D2340" s="150">
        <v>0</v>
      </c>
      <c r="E2340" s="151" t="s">
        <v>13</v>
      </c>
      <c r="F2340" s="152" t="str">
        <f t="shared" si="110"/>
        <v/>
      </c>
      <c r="G2340" s="153">
        <f>IF($K2340="Padrão",BDI!$B$17,IF($K2340="Diferenciado",BDI!$E$17,0))</f>
        <v>0.2039</v>
      </c>
      <c r="H2340" s="151" t="str">
        <f t="shared" si="108"/>
        <v/>
      </c>
      <c r="I2340" s="152" t="str">
        <f t="shared" si="109"/>
        <v/>
      </c>
      <c r="J2340" s="154"/>
      <c r="K2340" s="155" t="s">
        <v>2966</v>
      </c>
    </row>
    <row r="2341" spans="1:11" hidden="1" x14ac:dyDescent="0.25">
      <c r="A2341" s="148" t="s">
        <v>6676</v>
      </c>
      <c r="B2341" s="149" t="s">
        <v>6677</v>
      </c>
      <c r="C2341" s="150" t="s">
        <v>18</v>
      </c>
      <c r="D2341" s="150">
        <v>0</v>
      </c>
      <c r="E2341" s="151" t="s">
        <v>13</v>
      </c>
      <c r="F2341" s="152" t="str">
        <f t="shared" si="110"/>
        <v/>
      </c>
      <c r="G2341" s="153">
        <f>IF($K2341="Padrão",BDI!$B$17,IF($K2341="Diferenciado",BDI!$E$17,0))</f>
        <v>0.2039</v>
      </c>
      <c r="H2341" s="151" t="str">
        <f t="shared" si="108"/>
        <v/>
      </c>
      <c r="I2341" s="152" t="str">
        <f t="shared" si="109"/>
        <v/>
      </c>
      <c r="J2341" s="154"/>
      <c r="K2341" s="155" t="s">
        <v>2966</v>
      </c>
    </row>
    <row r="2342" spans="1:11" hidden="1" x14ac:dyDescent="0.25">
      <c r="A2342" s="148" t="s">
        <v>6678</v>
      </c>
      <c r="B2342" s="149" t="s">
        <v>6679</v>
      </c>
      <c r="C2342" s="150" t="s">
        <v>18</v>
      </c>
      <c r="D2342" s="150">
        <v>0</v>
      </c>
      <c r="E2342" s="151" t="s">
        <v>13</v>
      </c>
      <c r="F2342" s="152" t="str">
        <f t="shared" si="110"/>
        <v/>
      </c>
      <c r="G2342" s="153">
        <f>IF($K2342="Padrão",BDI!$B$17,IF($K2342="Diferenciado",BDI!$E$17,0))</f>
        <v>0.2039</v>
      </c>
      <c r="H2342" s="151" t="str">
        <f t="shared" si="108"/>
        <v/>
      </c>
      <c r="I2342" s="152" t="str">
        <f t="shared" si="109"/>
        <v/>
      </c>
      <c r="J2342" s="154"/>
      <c r="K2342" s="155" t="s">
        <v>2966</v>
      </c>
    </row>
    <row r="2343" spans="1:11" hidden="1" x14ac:dyDescent="0.25">
      <c r="A2343" s="148" t="s">
        <v>6680</v>
      </c>
      <c r="B2343" s="149" t="s">
        <v>6681</v>
      </c>
      <c r="C2343" s="150" t="s">
        <v>18</v>
      </c>
      <c r="D2343" s="150">
        <v>0</v>
      </c>
      <c r="E2343" s="151" t="s">
        <v>13</v>
      </c>
      <c r="F2343" s="152" t="str">
        <f t="shared" si="110"/>
        <v/>
      </c>
      <c r="G2343" s="153">
        <f>IF($K2343="Padrão",BDI!$B$17,IF($K2343="Diferenciado",BDI!$E$17,0))</f>
        <v>0.2039</v>
      </c>
      <c r="H2343" s="151" t="str">
        <f t="shared" si="108"/>
        <v/>
      </c>
      <c r="I2343" s="152" t="str">
        <f t="shared" si="109"/>
        <v/>
      </c>
      <c r="J2343" s="154"/>
      <c r="K2343" s="155" t="s">
        <v>2966</v>
      </c>
    </row>
    <row r="2344" spans="1:11" hidden="1" x14ac:dyDescent="0.25">
      <c r="A2344" s="148" t="s">
        <v>6682</v>
      </c>
      <c r="B2344" s="149" t="s">
        <v>6683</v>
      </c>
      <c r="C2344" s="150" t="s">
        <v>18</v>
      </c>
      <c r="D2344" s="150">
        <v>0</v>
      </c>
      <c r="E2344" s="151" t="s">
        <v>13</v>
      </c>
      <c r="F2344" s="152" t="str">
        <f t="shared" si="110"/>
        <v/>
      </c>
      <c r="G2344" s="153">
        <f>IF($K2344="Padrão",BDI!$B$17,IF($K2344="Diferenciado",BDI!$E$17,0))</f>
        <v>0.2039</v>
      </c>
      <c r="H2344" s="151" t="str">
        <f t="shared" si="108"/>
        <v/>
      </c>
      <c r="I2344" s="152" t="str">
        <f t="shared" si="109"/>
        <v/>
      </c>
      <c r="J2344" s="154"/>
      <c r="K2344" s="155" t="s">
        <v>2966</v>
      </c>
    </row>
    <row r="2345" spans="1:11" hidden="1" x14ac:dyDescent="0.25">
      <c r="A2345" s="148" t="s">
        <v>6684</v>
      </c>
      <c r="B2345" s="149" t="s">
        <v>6685</v>
      </c>
      <c r="C2345" s="150" t="s">
        <v>18</v>
      </c>
      <c r="D2345" s="150">
        <v>0</v>
      </c>
      <c r="E2345" s="151" t="s">
        <v>13</v>
      </c>
      <c r="F2345" s="152" t="str">
        <f t="shared" si="110"/>
        <v/>
      </c>
      <c r="G2345" s="153">
        <f>IF($K2345="Padrão",BDI!$B$17,IF($K2345="Diferenciado",BDI!$E$17,0))</f>
        <v>0.2039</v>
      </c>
      <c r="H2345" s="151" t="str">
        <f t="shared" si="108"/>
        <v/>
      </c>
      <c r="I2345" s="152" t="str">
        <f t="shared" si="109"/>
        <v/>
      </c>
      <c r="J2345" s="154"/>
      <c r="K2345" s="155" t="s">
        <v>2966</v>
      </c>
    </row>
    <row r="2346" spans="1:11" hidden="1" x14ac:dyDescent="0.25">
      <c r="A2346" s="148" t="s">
        <v>6686</v>
      </c>
      <c r="B2346" s="149" t="s">
        <v>6687</v>
      </c>
      <c r="C2346" s="150" t="s">
        <v>18</v>
      </c>
      <c r="D2346" s="150">
        <v>0</v>
      </c>
      <c r="E2346" s="151" t="s">
        <v>13</v>
      </c>
      <c r="F2346" s="152" t="str">
        <f t="shared" si="110"/>
        <v/>
      </c>
      <c r="G2346" s="153">
        <f>IF($K2346="Padrão",BDI!$B$17,IF($K2346="Diferenciado",BDI!$E$17,0))</f>
        <v>0.2039</v>
      </c>
      <c r="H2346" s="151" t="str">
        <f t="shared" si="108"/>
        <v/>
      </c>
      <c r="I2346" s="152" t="str">
        <f t="shared" si="109"/>
        <v/>
      </c>
      <c r="J2346" s="154"/>
      <c r="K2346" s="155" t="s">
        <v>2966</v>
      </c>
    </row>
    <row r="2347" spans="1:11" hidden="1" x14ac:dyDescent="0.25">
      <c r="A2347" s="148" t="s">
        <v>6688</v>
      </c>
      <c r="B2347" s="149" t="s">
        <v>6689</v>
      </c>
      <c r="C2347" s="150" t="s">
        <v>18</v>
      </c>
      <c r="D2347" s="150">
        <v>0</v>
      </c>
      <c r="E2347" s="151" t="s">
        <v>13</v>
      </c>
      <c r="F2347" s="152" t="str">
        <f t="shared" si="110"/>
        <v/>
      </c>
      <c r="G2347" s="153">
        <f>IF($K2347="Padrão",BDI!$B$17,IF($K2347="Diferenciado",BDI!$E$17,0))</f>
        <v>0.2039</v>
      </c>
      <c r="H2347" s="151" t="str">
        <f t="shared" si="108"/>
        <v/>
      </c>
      <c r="I2347" s="152" t="str">
        <f t="shared" si="109"/>
        <v/>
      </c>
      <c r="J2347" s="154"/>
      <c r="K2347" s="155" t="s">
        <v>2966</v>
      </c>
    </row>
    <row r="2348" spans="1:11" hidden="1" x14ac:dyDescent="0.25">
      <c r="A2348" s="148" t="s">
        <v>6690</v>
      </c>
      <c r="B2348" s="149" t="s">
        <v>6691</v>
      </c>
      <c r="C2348" s="150" t="s">
        <v>18</v>
      </c>
      <c r="D2348" s="150">
        <v>0</v>
      </c>
      <c r="E2348" s="151" t="s">
        <v>13</v>
      </c>
      <c r="F2348" s="152" t="str">
        <f t="shared" si="110"/>
        <v/>
      </c>
      <c r="G2348" s="153">
        <f>IF($K2348="Padrão",BDI!$B$17,IF($K2348="Diferenciado",BDI!$E$17,0))</f>
        <v>0.2039</v>
      </c>
      <c r="H2348" s="151" t="str">
        <f t="shared" si="108"/>
        <v/>
      </c>
      <c r="I2348" s="152" t="str">
        <f t="shared" si="109"/>
        <v/>
      </c>
      <c r="J2348" s="154"/>
      <c r="K2348" s="155" t="s">
        <v>2966</v>
      </c>
    </row>
    <row r="2349" spans="1:11" hidden="1" x14ac:dyDescent="0.25">
      <c r="A2349" s="148" t="s">
        <v>6692</v>
      </c>
      <c r="B2349" s="149" t="s">
        <v>6693</v>
      </c>
      <c r="C2349" s="150" t="s">
        <v>18</v>
      </c>
      <c r="D2349" s="150">
        <v>0</v>
      </c>
      <c r="E2349" s="151" t="s">
        <v>13</v>
      </c>
      <c r="F2349" s="152" t="str">
        <f t="shared" si="110"/>
        <v/>
      </c>
      <c r="G2349" s="153">
        <f>IF($K2349="Padrão",BDI!$B$17,IF($K2349="Diferenciado",BDI!$E$17,0))</f>
        <v>0.2039</v>
      </c>
      <c r="H2349" s="151" t="str">
        <f t="shared" si="108"/>
        <v/>
      </c>
      <c r="I2349" s="152" t="str">
        <f t="shared" si="109"/>
        <v/>
      </c>
      <c r="J2349" s="154"/>
      <c r="K2349" s="155" t="s">
        <v>2966</v>
      </c>
    </row>
    <row r="2350" spans="1:11" hidden="1" x14ac:dyDescent="0.25">
      <c r="A2350" s="148" t="s">
        <v>6694</v>
      </c>
      <c r="B2350" s="149" t="s">
        <v>6695</v>
      </c>
      <c r="C2350" s="150" t="s">
        <v>18</v>
      </c>
      <c r="D2350" s="150">
        <v>0</v>
      </c>
      <c r="E2350" s="151" t="s">
        <v>13</v>
      </c>
      <c r="F2350" s="152" t="str">
        <f t="shared" si="110"/>
        <v/>
      </c>
      <c r="G2350" s="153">
        <f>IF($K2350="Padrão",BDI!$B$17,IF($K2350="Diferenciado",BDI!$E$17,0))</f>
        <v>0.2039</v>
      </c>
      <c r="H2350" s="151" t="str">
        <f t="shared" si="108"/>
        <v/>
      </c>
      <c r="I2350" s="152" t="str">
        <f t="shared" si="109"/>
        <v/>
      </c>
      <c r="J2350" s="154"/>
      <c r="K2350" s="155" t="s">
        <v>2966</v>
      </c>
    </row>
    <row r="2351" spans="1:11" hidden="1" x14ac:dyDescent="0.25">
      <c r="A2351" s="148" t="s">
        <v>6696</v>
      </c>
      <c r="B2351" s="149" t="s">
        <v>6697</v>
      </c>
      <c r="C2351" s="150" t="s">
        <v>18</v>
      </c>
      <c r="D2351" s="150">
        <v>0</v>
      </c>
      <c r="E2351" s="151" t="s">
        <v>13</v>
      </c>
      <c r="F2351" s="152" t="str">
        <f t="shared" si="110"/>
        <v/>
      </c>
      <c r="G2351" s="153">
        <f>IF($K2351="Padrão",BDI!$B$17,IF($K2351="Diferenciado",BDI!$E$17,0))</f>
        <v>0.2039</v>
      </c>
      <c r="H2351" s="151" t="str">
        <f t="shared" si="108"/>
        <v/>
      </c>
      <c r="I2351" s="152" t="str">
        <f t="shared" si="109"/>
        <v/>
      </c>
      <c r="J2351" s="154"/>
      <c r="K2351" s="155" t="s">
        <v>2966</v>
      </c>
    </row>
    <row r="2352" spans="1:11" hidden="1" x14ac:dyDescent="0.25">
      <c r="A2352" s="148" t="s">
        <v>6698</v>
      </c>
      <c r="B2352" s="149" t="s">
        <v>6699</v>
      </c>
      <c r="C2352" s="150" t="s">
        <v>18</v>
      </c>
      <c r="D2352" s="150">
        <v>0</v>
      </c>
      <c r="E2352" s="151" t="s">
        <v>13</v>
      </c>
      <c r="F2352" s="152" t="str">
        <f t="shared" si="110"/>
        <v/>
      </c>
      <c r="G2352" s="153">
        <f>IF($K2352="Padrão",BDI!$B$17,IF($K2352="Diferenciado",BDI!$E$17,0))</f>
        <v>0.2039</v>
      </c>
      <c r="H2352" s="151" t="str">
        <f t="shared" si="108"/>
        <v/>
      </c>
      <c r="I2352" s="152" t="str">
        <f t="shared" si="109"/>
        <v/>
      </c>
      <c r="J2352" s="154"/>
      <c r="K2352" s="155" t="s">
        <v>2966</v>
      </c>
    </row>
    <row r="2353" spans="1:11" hidden="1" x14ac:dyDescent="0.25">
      <c r="A2353" s="148" t="s">
        <v>6700</v>
      </c>
      <c r="B2353" s="149" t="s">
        <v>6701</v>
      </c>
      <c r="C2353" s="150" t="s">
        <v>18</v>
      </c>
      <c r="D2353" s="150">
        <v>0</v>
      </c>
      <c r="E2353" s="151" t="s">
        <v>13</v>
      </c>
      <c r="F2353" s="152" t="str">
        <f t="shared" si="110"/>
        <v/>
      </c>
      <c r="G2353" s="153">
        <f>IF($K2353="Padrão",BDI!$B$17,IF($K2353="Diferenciado",BDI!$E$17,0))</f>
        <v>0.2039</v>
      </c>
      <c r="H2353" s="151" t="str">
        <f t="shared" si="108"/>
        <v/>
      </c>
      <c r="I2353" s="152" t="str">
        <f t="shared" si="109"/>
        <v/>
      </c>
      <c r="J2353" s="154"/>
      <c r="K2353" s="155" t="s">
        <v>2966</v>
      </c>
    </row>
    <row r="2354" spans="1:11" hidden="1" x14ac:dyDescent="0.25">
      <c r="A2354" s="148" t="s">
        <v>6702</v>
      </c>
      <c r="B2354" s="149" t="s">
        <v>6703</v>
      </c>
      <c r="C2354" s="150" t="s">
        <v>18</v>
      </c>
      <c r="D2354" s="150">
        <v>0</v>
      </c>
      <c r="E2354" s="151" t="s">
        <v>13</v>
      </c>
      <c r="F2354" s="152" t="str">
        <f t="shared" si="110"/>
        <v/>
      </c>
      <c r="G2354" s="153">
        <f>IF($K2354="Padrão",BDI!$B$17,IF($K2354="Diferenciado",BDI!$E$17,0))</f>
        <v>0.2039</v>
      </c>
      <c r="H2354" s="151" t="str">
        <f t="shared" si="108"/>
        <v/>
      </c>
      <c r="I2354" s="152" t="str">
        <f t="shared" si="109"/>
        <v/>
      </c>
      <c r="J2354" s="154"/>
      <c r="K2354" s="155" t="s">
        <v>2966</v>
      </c>
    </row>
    <row r="2355" spans="1:11" hidden="1" x14ac:dyDescent="0.25">
      <c r="A2355" s="148" t="s">
        <v>6704</v>
      </c>
      <c r="B2355" s="149" t="s">
        <v>6705</v>
      </c>
      <c r="C2355" s="150" t="s">
        <v>18</v>
      </c>
      <c r="D2355" s="150">
        <v>0</v>
      </c>
      <c r="E2355" s="151" t="s">
        <v>13</v>
      </c>
      <c r="F2355" s="152" t="str">
        <f t="shared" si="110"/>
        <v/>
      </c>
      <c r="G2355" s="153">
        <f>IF($K2355="Padrão",BDI!$B$17,IF($K2355="Diferenciado",BDI!$E$17,0))</f>
        <v>0.2039</v>
      </c>
      <c r="H2355" s="151" t="str">
        <f t="shared" si="108"/>
        <v/>
      </c>
      <c r="I2355" s="152" t="str">
        <f t="shared" si="109"/>
        <v/>
      </c>
      <c r="J2355" s="154"/>
      <c r="K2355" s="155" t="s">
        <v>2966</v>
      </c>
    </row>
    <row r="2356" spans="1:11" hidden="1" x14ac:dyDescent="0.25">
      <c r="A2356" s="148" t="s">
        <v>6706</v>
      </c>
      <c r="B2356" s="149" t="s">
        <v>6707</v>
      </c>
      <c r="C2356" s="150" t="s">
        <v>18</v>
      </c>
      <c r="D2356" s="150">
        <v>0</v>
      </c>
      <c r="E2356" s="151" t="s">
        <v>13</v>
      </c>
      <c r="F2356" s="152" t="str">
        <f t="shared" si="110"/>
        <v/>
      </c>
      <c r="G2356" s="153">
        <f>IF($K2356="Padrão",BDI!$B$17,IF($K2356="Diferenciado",BDI!$E$17,0))</f>
        <v>0.2039</v>
      </c>
      <c r="H2356" s="151" t="str">
        <f t="shared" si="108"/>
        <v/>
      </c>
      <c r="I2356" s="152" t="str">
        <f t="shared" si="109"/>
        <v/>
      </c>
      <c r="J2356" s="154"/>
      <c r="K2356" s="155" t="s">
        <v>2966</v>
      </c>
    </row>
    <row r="2357" spans="1:11" hidden="1" x14ac:dyDescent="0.25">
      <c r="A2357" s="148" t="s">
        <v>6708</v>
      </c>
      <c r="B2357" s="149" t="s">
        <v>6709</v>
      </c>
      <c r="C2357" s="150" t="s">
        <v>18</v>
      </c>
      <c r="D2357" s="150">
        <v>0</v>
      </c>
      <c r="E2357" s="151" t="s">
        <v>13</v>
      </c>
      <c r="F2357" s="152" t="str">
        <f t="shared" si="110"/>
        <v/>
      </c>
      <c r="G2357" s="153">
        <f>IF($K2357="Padrão",BDI!$B$17,IF($K2357="Diferenciado",BDI!$E$17,0))</f>
        <v>0.2039</v>
      </c>
      <c r="H2357" s="151" t="str">
        <f t="shared" si="108"/>
        <v/>
      </c>
      <c r="I2357" s="152" t="str">
        <f t="shared" si="109"/>
        <v/>
      </c>
      <c r="J2357" s="154"/>
      <c r="K2357" s="155" t="s">
        <v>2966</v>
      </c>
    </row>
    <row r="2358" spans="1:11" hidden="1" x14ac:dyDescent="0.25">
      <c r="A2358" s="148" t="s">
        <v>6710</v>
      </c>
      <c r="B2358" s="149" t="s">
        <v>6711</v>
      </c>
      <c r="C2358" s="150" t="s">
        <v>18</v>
      </c>
      <c r="D2358" s="150">
        <v>0</v>
      </c>
      <c r="E2358" s="151" t="s">
        <v>13</v>
      </c>
      <c r="F2358" s="152" t="str">
        <f t="shared" si="110"/>
        <v/>
      </c>
      <c r="G2358" s="153">
        <f>IF($K2358="Padrão",BDI!$B$17,IF($K2358="Diferenciado",BDI!$E$17,0))</f>
        <v>0.2039</v>
      </c>
      <c r="H2358" s="151" t="str">
        <f t="shared" si="108"/>
        <v/>
      </c>
      <c r="I2358" s="152" t="str">
        <f t="shared" si="109"/>
        <v/>
      </c>
      <c r="J2358" s="154"/>
      <c r="K2358" s="155" t="s">
        <v>2966</v>
      </c>
    </row>
    <row r="2359" spans="1:11" hidden="1" x14ac:dyDescent="0.25">
      <c r="A2359" s="148" t="s">
        <v>6712</v>
      </c>
      <c r="B2359" s="149" t="s">
        <v>6713</v>
      </c>
      <c r="C2359" s="150" t="s">
        <v>18</v>
      </c>
      <c r="D2359" s="150">
        <v>0</v>
      </c>
      <c r="E2359" s="151" t="s">
        <v>13</v>
      </c>
      <c r="F2359" s="152" t="str">
        <f t="shared" si="110"/>
        <v/>
      </c>
      <c r="G2359" s="153">
        <f>IF($K2359="Padrão",BDI!$B$17,IF($K2359="Diferenciado",BDI!$E$17,0))</f>
        <v>0.2039</v>
      </c>
      <c r="H2359" s="151" t="str">
        <f t="shared" si="108"/>
        <v/>
      </c>
      <c r="I2359" s="152" t="str">
        <f t="shared" si="109"/>
        <v/>
      </c>
      <c r="J2359" s="154"/>
      <c r="K2359" s="155" t="s">
        <v>2966</v>
      </c>
    </row>
    <row r="2360" spans="1:11" hidden="1" x14ac:dyDescent="0.25">
      <c r="A2360" s="148" t="s">
        <v>6714</v>
      </c>
      <c r="B2360" s="149" t="s">
        <v>6715</v>
      </c>
      <c r="C2360" s="150" t="s">
        <v>18</v>
      </c>
      <c r="D2360" s="150">
        <v>0</v>
      </c>
      <c r="E2360" s="151" t="s">
        <v>13</v>
      </c>
      <c r="F2360" s="152" t="str">
        <f t="shared" si="110"/>
        <v/>
      </c>
      <c r="G2360" s="153">
        <f>IF($K2360="Padrão",BDI!$B$17,IF($K2360="Diferenciado",BDI!$E$17,0))</f>
        <v>0.2039</v>
      </c>
      <c r="H2360" s="151" t="str">
        <f t="shared" si="108"/>
        <v/>
      </c>
      <c r="I2360" s="152" t="str">
        <f t="shared" si="109"/>
        <v/>
      </c>
      <c r="J2360" s="154"/>
      <c r="K2360" s="155" t="s">
        <v>2966</v>
      </c>
    </row>
    <row r="2361" spans="1:11" hidden="1" x14ac:dyDescent="0.25">
      <c r="A2361" s="148" t="s">
        <v>6716</v>
      </c>
      <c r="B2361" s="149" t="s">
        <v>6717</v>
      </c>
      <c r="C2361" s="150" t="s">
        <v>18</v>
      </c>
      <c r="D2361" s="150">
        <v>0</v>
      </c>
      <c r="E2361" s="151" t="s">
        <v>13</v>
      </c>
      <c r="F2361" s="152" t="str">
        <f t="shared" si="110"/>
        <v/>
      </c>
      <c r="G2361" s="153">
        <f>IF($K2361="Padrão",BDI!$B$17,IF($K2361="Diferenciado",BDI!$E$17,0))</f>
        <v>0.2039</v>
      </c>
      <c r="H2361" s="151" t="str">
        <f t="shared" si="108"/>
        <v/>
      </c>
      <c r="I2361" s="152" t="str">
        <f t="shared" si="109"/>
        <v/>
      </c>
      <c r="J2361" s="154"/>
      <c r="K2361" s="155" t="s">
        <v>2966</v>
      </c>
    </row>
    <row r="2362" spans="1:11" hidden="1" x14ac:dyDescent="0.25">
      <c r="A2362" s="148" t="s">
        <v>6718</v>
      </c>
      <c r="B2362" s="149" t="s">
        <v>6719</v>
      </c>
      <c r="C2362" s="150" t="s">
        <v>18</v>
      </c>
      <c r="D2362" s="150">
        <v>0</v>
      </c>
      <c r="E2362" s="151" t="s">
        <v>13</v>
      </c>
      <c r="F2362" s="152" t="str">
        <f t="shared" si="110"/>
        <v/>
      </c>
      <c r="G2362" s="153">
        <f>IF($K2362="Padrão",BDI!$B$17,IF($K2362="Diferenciado",BDI!$E$17,0))</f>
        <v>0.2039</v>
      </c>
      <c r="H2362" s="151" t="str">
        <f t="shared" si="108"/>
        <v/>
      </c>
      <c r="I2362" s="152" t="str">
        <f t="shared" si="109"/>
        <v/>
      </c>
      <c r="J2362" s="154"/>
      <c r="K2362" s="155" t="s">
        <v>2966</v>
      </c>
    </row>
    <row r="2363" spans="1:11" hidden="1" x14ac:dyDescent="0.25">
      <c r="A2363" s="148" t="s">
        <v>6720</v>
      </c>
      <c r="B2363" s="149" t="s">
        <v>6721</v>
      </c>
      <c r="C2363" s="150" t="s">
        <v>18</v>
      </c>
      <c r="D2363" s="150">
        <v>0</v>
      </c>
      <c r="E2363" s="151" t="s">
        <v>13</v>
      </c>
      <c r="F2363" s="152" t="str">
        <f t="shared" si="110"/>
        <v/>
      </c>
      <c r="G2363" s="153">
        <f>IF($K2363="Padrão",BDI!$B$17,IF($K2363="Diferenciado",BDI!$E$17,0))</f>
        <v>0.2039</v>
      </c>
      <c r="H2363" s="151" t="str">
        <f t="shared" si="108"/>
        <v/>
      </c>
      <c r="I2363" s="152" t="str">
        <f t="shared" si="109"/>
        <v/>
      </c>
      <c r="J2363" s="154"/>
      <c r="K2363" s="155" t="s">
        <v>2966</v>
      </c>
    </row>
    <row r="2364" spans="1:11" hidden="1" x14ac:dyDescent="0.25">
      <c r="A2364" s="148" t="s">
        <v>6722</v>
      </c>
      <c r="B2364" s="149" t="s">
        <v>6723</v>
      </c>
      <c r="C2364" s="150" t="s">
        <v>18</v>
      </c>
      <c r="D2364" s="150">
        <v>0</v>
      </c>
      <c r="E2364" s="151" t="s">
        <v>13</v>
      </c>
      <c r="F2364" s="152" t="str">
        <f t="shared" si="110"/>
        <v/>
      </c>
      <c r="G2364" s="153">
        <f>IF($K2364="Padrão",BDI!$B$17,IF($K2364="Diferenciado",BDI!$E$17,0))</f>
        <v>0.2039</v>
      </c>
      <c r="H2364" s="151" t="str">
        <f t="shared" si="108"/>
        <v/>
      </c>
      <c r="I2364" s="152" t="str">
        <f t="shared" si="109"/>
        <v/>
      </c>
      <c r="J2364" s="154"/>
      <c r="K2364" s="155" t="s">
        <v>2966</v>
      </c>
    </row>
    <row r="2365" spans="1:11" hidden="1" x14ac:dyDescent="0.25">
      <c r="A2365" s="148" t="s">
        <v>6724</v>
      </c>
      <c r="B2365" s="149" t="s">
        <v>6725</v>
      </c>
      <c r="C2365" s="150" t="s">
        <v>18</v>
      </c>
      <c r="D2365" s="150">
        <v>0</v>
      </c>
      <c r="E2365" s="151" t="s">
        <v>13</v>
      </c>
      <c r="F2365" s="152" t="str">
        <f t="shared" si="110"/>
        <v/>
      </c>
      <c r="G2365" s="153">
        <f>IF($K2365="Padrão",BDI!$B$17,IF($K2365="Diferenciado",BDI!$E$17,0))</f>
        <v>0.2039</v>
      </c>
      <c r="H2365" s="151" t="str">
        <f t="shared" si="108"/>
        <v/>
      </c>
      <c r="I2365" s="152" t="str">
        <f t="shared" si="109"/>
        <v/>
      </c>
      <c r="J2365" s="154"/>
      <c r="K2365" s="155" t="s">
        <v>2966</v>
      </c>
    </row>
    <row r="2366" spans="1:11" hidden="1" x14ac:dyDescent="0.25">
      <c r="A2366" s="148" t="s">
        <v>6726</v>
      </c>
      <c r="B2366" s="149" t="s">
        <v>6727</v>
      </c>
      <c r="C2366" s="150" t="s">
        <v>18</v>
      </c>
      <c r="D2366" s="150">
        <v>0</v>
      </c>
      <c r="E2366" s="151" t="s">
        <v>13</v>
      </c>
      <c r="F2366" s="152" t="str">
        <f t="shared" si="110"/>
        <v/>
      </c>
      <c r="G2366" s="153">
        <f>IF($K2366="Padrão",BDI!$B$17,IF($K2366="Diferenciado",BDI!$E$17,0))</f>
        <v>0.2039</v>
      </c>
      <c r="H2366" s="151" t="str">
        <f t="shared" si="108"/>
        <v/>
      </c>
      <c r="I2366" s="152" t="str">
        <f t="shared" si="109"/>
        <v/>
      </c>
      <c r="J2366" s="154"/>
      <c r="K2366" s="155" t="s">
        <v>2966</v>
      </c>
    </row>
    <row r="2367" spans="1:11" hidden="1" x14ac:dyDescent="0.25">
      <c r="A2367" s="148" t="s">
        <v>6728</v>
      </c>
      <c r="B2367" s="149" t="s">
        <v>6729</v>
      </c>
      <c r="C2367" s="150" t="s">
        <v>18</v>
      </c>
      <c r="D2367" s="150">
        <v>0</v>
      </c>
      <c r="E2367" s="151" t="s">
        <v>13</v>
      </c>
      <c r="F2367" s="152" t="str">
        <f t="shared" si="110"/>
        <v/>
      </c>
      <c r="G2367" s="153">
        <f>IF($K2367="Padrão",BDI!$B$17,IF($K2367="Diferenciado",BDI!$E$17,0))</f>
        <v>0.2039</v>
      </c>
      <c r="H2367" s="151" t="str">
        <f t="shared" si="108"/>
        <v/>
      </c>
      <c r="I2367" s="152" t="str">
        <f t="shared" si="109"/>
        <v/>
      </c>
      <c r="J2367" s="154"/>
      <c r="K2367" s="155" t="s">
        <v>2966</v>
      </c>
    </row>
    <row r="2368" spans="1:11" hidden="1" x14ac:dyDescent="0.25">
      <c r="A2368" s="148" t="s">
        <v>1503</v>
      </c>
      <c r="B2368" s="149" t="s">
        <v>6730</v>
      </c>
      <c r="C2368" s="150" t="s">
        <v>68</v>
      </c>
      <c r="D2368" s="150">
        <v>0</v>
      </c>
      <c r="E2368" s="151">
        <f ca="1">OFFSET(INDEX(Composições!A:H,MATCH(Orçamentária!A2368,Composições!A:A,0),8),2,0)</f>
        <v>702.66272189349104</v>
      </c>
      <c r="F2368" s="152">
        <f t="shared" ca="1" si="110"/>
        <v>0</v>
      </c>
      <c r="G2368" s="153">
        <f>IF($K2368="Padrão",BDI!$B$17,IF($K2368="Diferenciado",BDI!$E$17,0))</f>
        <v>0.2039</v>
      </c>
      <c r="H2368" s="151">
        <f t="shared" ca="1" si="108"/>
        <v>845.94</v>
      </c>
      <c r="I2368" s="152">
        <f t="shared" ca="1" si="109"/>
        <v>0</v>
      </c>
      <c r="J2368" s="154"/>
      <c r="K2368" s="155" t="s">
        <v>2966</v>
      </c>
    </row>
    <row r="2369" spans="1:11" hidden="1" x14ac:dyDescent="0.25">
      <c r="A2369" s="148" t="s">
        <v>6731</v>
      </c>
      <c r="B2369" s="149" t="s">
        <v>6732</v>
      </c>
      <c r="C2369" s="150" t="s">
        <v>18</v>
      </c>
      <c r="D2369" s="150">
        <v>0</v>
      </c>
      <c r="E2369" s="151" t="s">
        <v>13</v>
      </c>
      <c r="F2369" s="152" t="str">
        <f t="shared" si="110"/>
        <v/>
      </c>
      <c r="G2369" s="153">
        <f>IF($K2369="Padrão",BDI!$B$17,IF($K2369="Diferenciado",BDI!$E$17,0))</f>
        <v>0.2039</v>
      </c>
      <c r="H2369" s="151" t="str">
        <f t="shared" si="108"/>
        <v/>
      </c>
      <c r="I2369" s="152" t="str">
        <f t="shared" si="109"/>
        <v/>
      </c>
      <c r="J2369" s="154"/>
      <c r="K2369" s="155" t="s">
        <v>2966</v>
      </c>
    </row>
    <row r="2370" spans="1:11" hidden="1" x14ac:dyDescent="0.25">
      <c r="A2370" s="148" t="s">
        <v>6733</v>
      </c>
      <c r="B2370" s="149" t="s">
        <v>6734</v>
      </c>
      <c r="C2370" s="150" t="s">
        <v>18</v>
      </c>
      <c r="D2370" s="150">
        <v>0</v>
      </c>
      <c r="E2370" s="151" t="s">
        <v>13</v>
      </c>
      <c r="F2370" s="152" t="str">
        <f t="shared" si="110"/>
        <v/>
      </c>
      <c r="G2370" s="153">
        <f>IF($K2370="Padrão",BDI!$B$17,IF($K2370="Diferenciado",BDI!$E$17,0))</f>
        <v>0.2039</v>
      </c>
      <c r="H2370" s="151" t="str">
        <f t="shared" si="108"/>
        <v/>
      </c>
      <c r="I2370" s="152" t="str">
        <f t="shared" si="109"/>
        <v/>
      </c>
      <c r="J2370" s="154"/>
      <c r="K2370" s="155" t="s">
        <v>2966</v>
      </c>
    </row>
    <row r="2371" spans="1:11" hidden="1" x14ac:dyDescent="0.25">
      <c r="A2371" s="148" t="s">
        <v>6735</v>
      </c>
      <c r="B2371" s="149" t="s">
        <v>6736</v>
      </c>
      <c r="C2371" s="150" t="s">
        <v>18</v>
      </c>
      <c r="D2371" s="150">
        <v>0</v>
      </c>
      <c r="E2371" s="151" t="s">
        <v>13</v>
      </c>
      <c r="F2371" s="152" t="str">
        <f t="shared" si="110"/>
        <v/>
      </c>
      <c r="G2371" s="153">
        <f>IF($K2371="Padrão",BDI!$B$17,IF($K2371="Diferenciado",BDI!$E$17,0))</f>
        <v>0.2039</v>
      </c>
      <c r="H2371" s="151" t="str">
        <f t="shared" si="108"/>
        <v/>
      </c>
      <c r="I2371" s="152" t="str">
        <f t="shared" si="109"/>
        <v/>
      </c>
      <c r="J2371" s="154"/>
      <c r="K2371" s="155" t="s">
        <v>2966</v>
      </c>
    </row>
    <row r="2372" spans="1:11" hidden="1" x14ac:dyDescent="0.25">
      <c r="A2372" s="148" t="s">
        <v>6737</v>
      </c>
      <c r="B2372" s="149" t="s">
        <v>6738</v>
      </c>
      <c r="C2372" s="150" t="s">
        <v>18</v>
      </c>
      <c r="D2372" s="150">
        <v>0</v>
      </c>
      <c r="E2372" s="151" t="s">
        <v>13</v>
      </c>
      <c r="F2372" s="152" t="str">
        <f t="shared" si="110"/>
        <v/>
      </c>
      <c r="G2372" s="153">
        <f>IF($K2372="Padrão",BDI!$B$17,IF($K2372="Diferenciado",BDI!$E$17,0))</f>
        <v>0.2039</v>
      </c>
      <c r="H2372" s="151" t="str">
        <f t="shared" si="108"/>
        <v/>
      </c>
      <c r="I2372" s="152" t="str">
        <f t="shared" si="109"/>
        <v/>
      </c>
      <c r="J2372" s="154"/>
      <c r="K2372" s="155" t="s">
        <v>2966</v>
      </c>
    </row>
    <row r="2373" spans="1:11" hidden="1" x14ac:dyDescent="0.25">
      <c r="A2373" s="148" t="s">
        <v>6739</v>
      </c>
      <c r="B2373" s="149" t="s">
        <v>6740</v>
      </c>
      <c r="C2373" s="150" t="s">
        <v>18</v>
      </c>
      <c r="D2373" s="150">
        <v>0</v>
      </c>
      <c r="E2373" s="151" t="s">
        <v>13</v>
      </c>
      <c r="F2373" s="152" t="str">
        <f t="shared" si="110"/>
        <v/>
      </c>
      <c r="G2373" s="153">
        <f>IF($K2373="Padrão",BDI!$B$17,IF($K2373="Diferenciado",BDI!$E$17,0))</f>
        <v>0.2039</v>
      </c>
      <c r="H2373" s="151" t="str">
        <f t="shared" si="108"/>
        <v/>
      </c>
      <c r="I2373" s="152" t="str">
        <f t="shared" si="109"/>
        <v/>
      </c>
      <c r="J2373" s="154"/>
      <c r="K2373" s="155" t="s">
        <v>2966</v>
      </c>
    </row>
    <row r="2374" spans="1:11" hidden="1" x14ac:dyDescent="0.25">
      <c r="A2374" s="148" t="s">
        <v>6741</v>
      </c>
      <c r="B2374" s="149" t="s">
        <v>6742</v>
      </c>
      <c r="C2374" s="150" t="s">
        <v>18</v>
      </c>
      <c r="D2374" s="150">
        <v>0</v>
      </c>
      <c r="E2374" s="151" t="s">
        <v>13</v>
      </c>
      <c r="F2374" s="152" t="str">
        <f t="shared" si="110"/>
        <v/>
      </c>
      <c r="G2374" s="153">
        <f>IF($K2374="Padrão",BDI!$B$17,IF($K2374="Diferenciado",BDI!$E$17,0))</f>
        <v>0.2039</v>
      </c>
      <c r="H2374" s="151" t="str">
        <f t="shared" ref="H2374:H2437" si="111">IF(ISNUMBER(E2374),ROUND(E2374*(1+G2374),2),"")</f>
        <v/>
      </c>
      <c r="I2374" s="152" t="str">
        <f t="shared" ref="I2374:I2437" si="112">IF(ISNUMBER(E2374),ROUND(H2374*D2374,2),"")</f>
        <v/>
      </c>
      <c r="J2374" s="154"/>
      <c r="K2374" s="155" t="s">
        <v>2966</v>
      </c>
    </row>
    <row r="2375" spans="1:11" hidden="1" x14ac:dyDescent="0.25">
      <c r="A2375" s="148" t="s">
        <v>6743</v>
      </c>
      <c r="B2375" s="149" t="s">
        <v>6744</v>
      </c>
      <c r="C2375" s="150" t="s">
        <v>18</v>
      </c>
      <c r="D2375" s="150">
        <v>0</v>
      </c>
      <c r="E2375" s="151" t="s">
        <v>13</v>
      </c>
      <c r="F2375" s="152" t="str">
        <f t="shared" ref="F2375:F2438" si="113">IF(ISNUMBER(E2375),D2375*E2375,"")</f>
        <v/>
      </c>
      <c r="G2375" s="153">
        <f>IF($K2375="Padrão",BDI!$B$17,IF($K2375="Diferenciado",BDI!$E$17,0))</f>
        <v>0.2039</v>
      </c>
      <c r="H2375" s="151" t="str">
        <f t="shared" si="111"/>
        <v/>
      </c>
      <c r="I2375" s="152" t="str">
        <f t="shared" si="112"/>
        <v/>
      </c>
      <c r="J2375" s="154"/>
      <c r="K2375" s="155" t="s">
        <v>2966</v>
      </c>
    </row>
    <row r="2376" spans="1:11" hidden="1" x14ac:dyDescent="0.25">
      <c r="A2376" s="148" t="s">
        <v>6745</v>
      </c>
      <c r="B2376" s="149" t="s">
        <v>6746</v>
      </c>
      <c r="C2376" s="150" t="s">
        <v>18</v>
      </c>
      <c r="D2376" s="150">
        <v>0</v>
      </c>
      <c r="E2376" s="151" t="s">
        <v>13</v>
      </c>
      <c r="F2376" s="152" t="str">
        <f t="shared" si="113"/>
        <v/>
      </c>
      <c r="G2376" s="153">
        <f>IF($K2376="Padrão",BDI!$B$17,IF($K2376="Diferenciado",BDI!$E$17,0))</f>
        <v>0.2039</v>
      </c>
      <c r="H2376" s="151" t="str">
        <f t="shared" si="111"/>
        <v/>
      </c>
      <c r="I2376" s="152" t="str">
        <f t="shared" si="112"/>
        <v/>
      </c>
      <c r="J2376" s="154"/>
      <c r="K2376" s="155" t="s">
        <v>2966</v>
      </c>
    </row>
    <row r="2377" spans="1:11" hidden="1" x14ac:dyDescent="0.25">
      <c r="A2377" s="148" t="s">
        <v>6747</v>
      </c>
      <c r="B2377" s="149" t="s">
        <v>6748</v>
      </c>
      <c r="C2377" s="150" t="s">
        <v>72</v>
      </c>
      <c r="D2377" s="150">
        <v>0</v>
      </c>
      <c r="E2377" s="151" t="s">
        <v>13</v>
      </c>
      <c r="F2377" s="152" t="str">
        <f t="shared" si="113"/>
        <v/>
      </c>
      <c r="G2377" s="153">
        <f>IF($K2377="Padrão",BDI!$B$17,IF($K2377="Diferenciado",BDI!$E$17,0))</f>
        <v>0.2039</v>
      </c>
      <c r="H2377" s="151" t="str">
        <f t="shared" si="111"/>
        <v/>
      </c>
      <c r="I2377" s="152" t="str">
        <f t="shared" si="112"/>
        <v/>
      </c>
      <c r="J2377" s="154"/>
      <c r="K2377" s="155" t="s">
        <v>2966</v>
      </c>
    </row>
    <row r="2378" spans="1:11" hidden="1" x14ac:dyDescent="0.25">
      <c r="A2378" s="148" t="s">
        <v>6749</v>
      </c>
      <c r="B2378" s="149" t="s">
        <v>6750</v>
      </c>
      <c r="C2378" s="150" t="s">
        <v>4190</v>
      </c>
      <c r="D2378" s="150">
        <v>0</v>
      </c>
      <c r="E2378" s="151" t="s">
        <v>13</v>
      </c>
      <c r="F2378" s="152" t="str">
        <f t="shared" si="113"/>
        <v/>
      </c>
      <c r="G2378" s="153">
        <f>IF($K2378="Padrão",BDI!$B$17,IF($K2378="Diferenciado",BDI!$E$17,0))</f>
        <v>0.2039</v>
      </c>
      <c r="H2378" s="151" t="str">
        <f t="shared" si="111"/>
        <v/>
      </c>
      <c r="I2378" s="152" t="str">
        <f t="shared" si="112"/>
        <v/>
      </c>
      <c r="J2378" s="154"/>
      <c r="K2378" s="155" t="s">
        <v>2966</v>
      </c>
    </row>
    <row r="2379" spans="1:11" hidden="1" x14ac:dyDescent="0.25">
      <c r="A2379" s="148" t="s">
        <v>6751</v>
      </c>
      <c r="B2379" s="149" t="s">
        <v>6752</v>
      </c>
      <c r="C2379" s="150" t="s">
        <v>4190</v>
      </c>
      <c r="D2379" s="150">
        <v>0</v>
      </c>
      <c r="E2379" s="151" t="s">
        <v>13</v>
      </c>
      <c r="F2379" s="152" t="str">
        <f t="shared" si="113"/>
        <v/>
      </c>
      <c r="G2379" s="153">
        <f>IF($K2379="Padrão",BDI!$B$17,IF($K2379="Diferenciado",BDI!$E$17,0))</f>
        <v>0.2039</v>
      </c>
      <c r="H2379" s="151" t="str">
        <f t="shared" si="111"/>
        <v/>
      </c>
      <c r="I2379" s="152" t="str">
        <f t="shared" si="112"/>
        <v/>
      </c>
      <c r="J2379" s="154"/>
      <c r="K2379" s="155" t="s">
        <v>2966</v>
      </c>
    </row>
    <row r="2380" spans="1:11" hidden="1" x14ac:dyDescent="0.25">
      <c r="A2380" s="148" t="s">
        <v>6753</v>
      </c>
      <c r="B2380" s="149" t="s">
        <v>6754</v>
      </c>
      <c r="C2380" s="150" t="s">
        <v>4190</v>
      </c>
      <c r="D2380" s="150">
        <v>0</v>
      </c>
      <c r="E2380" s="151" t="s">
        <v>13</v>
      </c>
      <c r="F2380" s="152" t="str">
        <f t="shared" si="113"/>
        <v/>
      </c>
      <c r="G2380" s="153">
        <f>IF($K2380="Padrão",BDI!$B$17,IF($K2380="Diferenciado",BDI!$E$17,0))</f>
        <v>0.2039</v>
      </c>
      <c r="H2380" s="151" t="str">
        <f t="shared" si="111"/>
        <v/>
      </c>
      <c r="I2380" s="152" t="str">
        <f t="shared" si="112"/>
        <v/>
      </c>
      <c r="J2380" s="154"/>
      <c r="K2380" s="155" t="s">
        <v>2966</v>
      </c>
    </row>
    <row r="2381" spans="1:11" hidden="1" x14ac:dyDescent="0.25">
      <c r="A2381" s="148" t="s">
        <v>6755</v>
      </c>
      <c r="B2381" s="149" t="s">
        <v>6756</v>
      </c>
      <c r="C2381" s="150" t="s">
        <v>4190</v>
      </c>
      <c r="D2381" s="150">
        <v>0</v>
      </c>
      <c r="E2381" s="151" t="s">
        <v>13</v>
      </c>
      <c r="F2381" s="152" t="str">
        <f t="shared" si="113"/>
        <v/>
      </c>
      <c r="G2381" s="153">
        <f>IF($K2381="Padrão",BDI!$B$17,IF($K2381="Diferenciado",BDI!$E$17,0))</f>
        <v>0.2039</v>
      </c>
      <c r="H2381" s="151" t="str">
        <f t="shared" si="111"/>
        <v/>
      </c>
      <c r="I2381" s="152" t="str">
        <f t="shared" si="112"/>
        <v/>
      </c>
      <c r="J2381" s="154"/>
      <c r="K2381" s="155" t="s">
        <v>2966</v>
      </c>
    </row>
    <row r="2382" spans="1:11" hidden="1" x14ac:dyDescent="0.25">
      <c r="A2382" s="148" t="s">
        <v>6757</v>
      </c>
      <c r="B2382" s="149" t="s">
        <v>6758</v>
      </c>
      <c r="C2382" s="150" t="s">
        <v>4190</v>
      </c>
      <c r="D2382" s="150">
        <v>0</v>
      </c>
      <c r="E2382" s="151" t="s">
        <v>13</v>
      </c>
      <c r="F2382" s="152" t="str">
        <f t="shared" si="113"/>
        <v/>
      </c>
      <c r="G2382" s="153">
        <f>IF($K2382="Padrão",BDI!$B$17,IF($K2382="Diferenciado",BDI!$E$17,0))</f>
        <v>0.2039</v>
      </c>
      <c r="H2382" s="151" t="str">
        <f t="shared" si="111"/>
        <v/>
      </c>
      <c r="I2382" s="152" t="str">
        <f t="shared" si="112"/>
        <v/>
      </c>
      <c r="J2382" s="154"/>
      <c r="K2382" s="155" t="s">
        <v>2966</v>
      </c>
    </row>
    <row r="2383" spans="1:11" hidden="1" x14ac:dyDescent="0.25">
      <c r="A2383" s="148" t="s">
        <v>6759</v>
      </c>
      <c r="B2383" s="149" t="s">
        <v>6760</v>
      </c>
      <c r="C2383" s="150" t="s">
        <v>4530</v>
      </c>
      <c r="D2383" s="150">
        <v>0</v>
      </c>
      <c r="E2383" s="151" t="s">
        <v>13</v>
      </c>
      <c r="F2383" s="152" t="str">
        <f t="shared" si="113"/>
        <v/>
      </c>
      <c r="G2383" s="153">
        <f>IF($K2383="Padrão",BDI!$B$17,IF($K2383="Diferenciado",BDI!$E$17,0))</f>
        <v>0.2039</v>
      </c>
      <c r="H2383" s="151" t="str">
        <f t="shared" si="111"/>
        <v/>
      </c>
      <c r="I2383" s="152" t="str">
        <f t="shared" si="112"/>
        <v/>
      </c>
      <c r="J2383" s="154"/>
      <c r="K2383" s="155" t="s">
        <v>2966</v>
      </c>
    </row>
    <row r="2384" spans="1:11" hidden="1" x14ac:dyDescent="0.25">
      <c r="A2384" s="148" t="s">
        <v>1504</v>
      </c>
      <c r="B2384" s="149" t="s">
        <v>6761</v>
      </c>
      <c r="C2384" s="150" t="s">
        <v>18</v>
      </c>
      <c r="D2384" s="150">
        <v>0</v>
      </c>
      <c r="E2384" s="151">
        <f ca="1">OFFSET(INDEX(Composições!A:H,MATCH(Orçamentária!A2384,Composições!A:A,0),8),2,0)</f>
        <v>31.010375000000003</v>
      </c>
      <c r="F2384" s="152">
        <f t="shared" ca="1" si="113"/>
        <v>0</v>
      </c>
      <c r="G2384" s="153">
        <f>IF($K2384="Padrão",BDI!$B$17,IF($K2384="Diferenciado",BDI!$E$17,0))</f>
        <v>0.2039</v>
      </c>
      <c r="H2384" s="151">
        <f t="shared" ca="1" si="111"/>
        <v>37.33</v>
      </c>
      <c r="I2384" s="152">
        <f t="shared" ca="1" si="112"/>
        <v>0</v>
      </c>
      <c r="J2384" s="154"/>
      <c r="K2384" s="155" t="s">
        <v>2966</v>
      </c>
    </row>
    <row r="2385" spans="1:11" hidden="1" x14ac:dyDescent="0.25">
      <c r="A2385" s="148" t="s">
        <v>6762</v>
      </c>
      <c r="B2385" s="149" t="s">
        <v>6763</v>
      </c>
      <c r="C2385" s="150" t="s">
        <v>18</v>
      </c>
      <c r="D2385" s="150">
        <v>0</v>
      </c>
      <c r="E2385" s="151" t="s">
        <v>13</v>
      </c>
      <c r="F2385" s="152" t="str">
        <f t="shared" si="113"/>
        <v/>
      </c>
      <c r="G2385" s="153">
        <f>IF($K2385="Padrão",BDI!$B$17,IF($K2385="Diferenciado",BDI!$E$17,0))</f>
        <v>0.2039</v>
      </c>
      <c r="H2385" s="151" t="str">
        <f t="shared" si="111"/>
        <v/>
      </c>
      <c r="I2385" s="152" t="str">
        <f t="shared" si="112"/>
        <v/>
      </c>
      <c r="J2385" s="154"/>
      <c r="K2385" s="155" t="s">
        <v>2966</v>
      </c>
    </row>
    <row r="2386" spans="1:11" hidden="1" x14ac:dyDescent="0.25">
      <c r="A2386" s="148" t="s">
        <v>6764</v>
      </c>
      <c r="B2386" s="149" t="s">
        <v>6765</v>
      </c>
      <c r="C2386" s="150" t="s">
        <v>18</v>
      </c>
      <c r="D2386" s="150">
        <v>0</v>
      </c>
      <c r="E2386" s="151" t="s">
        <v>13</v>
      </c>
      <c r="F2386" s="152" t="str">
        <f t="shared" si="113"/>
        <v/>
      </c>
      <c r="G2386" s="153">
        <f>IF($K2386="Padrão",BDI!$B$17,IF($K2386="Diferenciado",BDI!$E$17,0))</f>
        <v>0.2039</v>
      </c>
      <c r="H2386" s="151" t="str">
        <f t="shared" si="111"/>
        <v/>
      </c>
      <c r="I2386" s="152" t="str">
        <f t="shared" si="112"/>
        <v/>
      </c>
      <c r="J2386" s="154"/>
      <c r="K2386" s="155" t="s">
        <v>2966</v>
      </c>
    </row>
    <row r="2387" spans="1:11" hidden="1" x14ac:dyDescent="0.25">
      <c r="A2387" s="148" t="s">
        <v>6766</v>
      </c>
      <c r="B2387" s="149" t="s">
        <v>6767</v>
      </c>
      <c r="C2387" s="150" t="s">
        <v>18</v>
      </c>
      <c r="D2387" s="150">
        <v>0</v>
      </c>
      <c r="E2387" s="151" t="s">
        <v>13</v>
      </c>
      <c r="F2387" s="152" t="str">
        <f t="shared" si="113"/>
        <v/>
      </c>
      <c r="G2387" s="153">
        <f>IF($K2387="Padrão",BDI!$B$17,IF($K2387="Diferenciado",BDI!$E$17,0))</f>
        <v>0.2039</v>
      </c>
      <c r="H2387" s="151" t="str">
        <f t="shared" si="111"/>
        <v/>
      </c>
      <c r="I2387" s="152" t="str">
        <f t="shared" si="112"/>
        <v/>
      </c>
      <c r="J2387" s="154"/>
      <c r="K2387" s="155" t="s">
        <v>2966</v>
      </c>
    </row>
    <row r="2388" spans="1:11" hidden="1" x14ac:dyDescent="0.25">
      <c r="A2388" s="148" t="s">
        <v>6768</v>
      </c>
      <c r="B2388" s="149" t="s">
        <v>6769</v>
      </c>
      <c r="C2388" s="150" t="s">
        <v>18</v>
      </c>
      <c r="D2388" s="150">
        <v>0</v>
      </c>
      <c r="E2388" s="151" t="s">
        <v>13</v>
      </c>
      <c r="F2388" s="152" t="str">
        <f t="shared" si="113"/>
        <v/>
      </c>
      <c r="G2388" s="153">
        <f>IF($K2388="Padrão",BDI!$B$17,IF($K2388="Diferenciado",BDI!$E$17,0))</f>
        <v>0.2039</v>
      </c>
      <c r="H2388" s="151" t="str">
        <f t="shared" si="111"/>
        <v/>
      </c>
      <c r="I2388" s="152" t="str">
        <f t="shared" si="112"/>
        <v/>
      </c>
      <c r="J2388" s="154"/>
      <c r="K2388" s="155" t="s">
        <v>2966</v>
      </c>
    </row>
    <row r="2389" spans="1:11" hidden="1" x14ac:dyDescent="0.25">
      <c r="A2389" s="148" t="s">
        <v>6770</v>
      </c>
      <c r="B2389" s="149" t="s">
        <v>6771</v>
      </c>
      <c r="C2389" s="150" t="s">
        <v>18</v>
      </c>
      <c r="D2389" s="150">
        <v>0</v>
      </c>
      <c r="E2389" s="151" t="s">
        <v>13</v>
      </c>
      <c r="F2389" s="152" t="str">
        <f t="shared" si="113"/>
        <v/>
      </c>
      <c r="G2389" s="153">
        <f>IF($K2389="Padrão",BDI!$B$17,IF($K2389="Diferenciado",BDI!$E$17,0))</f>
        <v>0.2039</v>
      </c>
      <c r="H2389" s="151" t="str">
        <f t="shared" si="111"/>
        <v/>
      </c>
      <c r="I2389" s="152" t="str">
        <f t="shared" si="112"/>
        <v/>
      </c>
      <c r="J2389" s="154"/>
      <c r="K2389" s="155" t="s">
        <v>2966</v>
      </c>
    </row>
    <row r="2390" spans="1:11" hidden="1" x14ac:dyDescent="0.25">
      <c r="A2390" s="148" t="s">
        <v>6772</v>
      </c>
      <c r="B2390" s="149" t="s">
        <v>6773</v>
      </c>
      <c r="C2390" s="150" t="s">
        <v>18</v>
      </c>
      <c r="D2390" s="150">
        <v>0</v>
      </c>
      <c r="E2390" s="151" t="s">
        <v>13</v>
      </c>
      <c r="F2390" s="152" t="str">
        <f t="shared" si="113"/>
        <v/>
      </c>
      <c r="G2390" s="153">
        <f>IF($K2390="Padrão",BDI!$B$17,IF($K2390="Diferenciado",BDI!$E$17,0))</f>
        <v>0.2039</v>
      </c>
      <c r="H2390" s="151" t="str">
        <f t="shared" si="111"/>
        <v/>
      </c>
      <c r="I2390" s="152" t="str">
        <f t="shared" si="112"/>
        <v/>
      </c>
      <c r="J2390" s="154"/>
      <c r="K2390" s="155" t="s">
        <v>2966</v>
      </c>
    </row>
    <row r="2391" spans="1:11" hidden="1" x14ac:dyDescent="0.25">
      <c r="A2391" s="148" t="s">
        <v>6774</v>
      </c>
      <c r="B2391" s="149" t="s">
        <v>6775</v>
      </c>
      <c r="C2391" s="150" t="s">
        <v>18</v>
      </c>
      <c r="D2391" s="150">
        <v>0</v>
      </c>
      <c r="E2391" s="151" t="s">
        <v>13</v>
      </c>
      <c r="F2391" s="152" t="str">
        <f t="shared" si="113"/>
        <v/>
      </c>
      <c r="G2391" s="153">
        <f>IF($K2391="Padrão",BDI!$B$17,IF($K2391="Diferenciado",BDI!$E$17,0))</f>
        <v>0.2039</v>
      </c>
      <c r="H2391" s="151" t="str">
        <f t="shared" si="111"/>
        <v/>
      </c>
      <c r="I2391" s="152" t="str">
        <f t="shared" si="112"/>
        <v/>
      </c>
      <c r="J2391" s="154"/>
      <c r="K2391" s="155" t="s">
        <v>2966</v>
      </c>
    </row>
    <row r="2392" spans="1:11" hidden="1" x14ac:dyDescent="0.25">
      <c r="A2392" s="148" t="s">
        <v>6776</v>
      </c>
      <c r="B2392" s="149" t="s">
        <v>6777</v>
      </c>
      <c r="C2392" s="150" t="s">
        <v>18</v>
      </c>
      <c r="D2392" s="150">
        <v>0</v>
      </c>
      <c r="E2392" s="151" t="s">
        <v>13</v>
      </c>
      <c r="F2392" s="152" t="str">
        <f t="shared" si="113"/>
        <v/>
      </c>
      <c r="G2392" s="153">
        <f>IF($K2392="Padrão",BDI!$B$17,IF($K2392="Diferenciado",BDI!$E$17,0))</f>
        <v>0.2039</v>
      </c>
      <c r="H2392" s="151" t="str">
        <f t="shared" si="111"/>
        <v/>
      </c>
      <c r="I2392" s="152" t="str">
        <f t="shared" si="112"/>
        <v/>
      </c>
      <c r="J2392" s="154"/>
      <c r="K2392" s="155" t="s">
        <v>2966</v>
      </c>
    </row>
    <row r="2393" spans="1:11" hidden="1" x14ac:dyDescent="0.25">
      <c r="A2393" s="148" t="s">
        <v>6778</v>
      </c>
      <c r="B2393" s="149" t="s">
        <v>6779</v>
      </c>
      <c r="C2393" s="150" t="s">
        <v>18</v>
      </c>
      <c r="D2393" s="150">
        <v>0</v>
      </c>
      <c r="E2393" s="151" t="s">
        <v>13</v>
      </c>
      <c r="F2393" s="152" t="str">
        <f t="shared" si="113"/>
        <v/>
      </c>
      <c r="G2393" s="153">
        <f>IF($K2393="Padrão",BDI!$B$17,IF($K2393="Diferenciado",BDI!$E$17,0))</f>
        <v>0.2039</v>
      </c>
      <c r="H2393" s="151" t="str">
        <f t="shared" si="111"/>
        <v/>
      </c>
      <c r="I2393" s="152" t="str">
        <f t="shared" si="112"/>
        <v/>
      </c>
      <c r="J2393" s="154"/>
      <c r="K2393" s="155" t="s">
        <v>2966</v>
      </c>
    </row>
    <row r="2394" spans="1:11" hidden="1" x14ac:dyDescent="0.25">
      <c r="A2394" s="148" t="s">
        <v>1508</v>
      </c>
      <c r="B2394" s="149" t="s">
        <v>6780</v>
      </c>
      <c r="C2394" s="150" t="s">
        <v>18</v>
      </c>
      <c r="D2394" s="150">
        <v>0</v>
      </c>
      <c r="E2394" s="151">
        <f ca="1">OFFSET(INDEX(Composições!A:H,MATCH(Orçamentária!A2394,Composições!A:A,0),8),2,0)</f>
        <v>38.475000000000001</v>
      </c>
      <c r="F2394" s="152">
        <f t="shared" ca="1" si="113"/>
        <v>0</v>
      </c>
      <c r="G2394" s="153">
        <f>IF($K2394="Padrão",BDI!$B$17,IF($K2394="Diferenciado",BDI!$E$17,0))</f>
        <v>0.2039</v>
      </c>
      <c r="H2394" s="151">
        <f t="shared" ca="1" si="111"/>
        <v>46.32</v>
      </c>
      <c r="I2394" s="152">
        <f t="shared" ca="1" si="112"/>
        <v>0</v>
      </c>
      <c r="J2394" s="154"/>
      <c r="K2394" s="155" t="s">
        <v>2966</v>
      </c>
    </row>
    <row r="2395" spans="1:11" hidden="1" x14ac:dyDescent="0.25">
      <c r="A2395" s="148" t="s">
        <v>6781</v>
      </c>
      <c r="B2395" s="149" t="s">
        <v>6782</v>
      </c>
      <c r="C2395" s="150" t="s">
        <v>18</v>
      </c>
      <c r="D2395" s="150">
        <v>0</v>
      </c>
      <c r="E2395" s="151" t="s">
        <v>13</v>
      </c>
      <c r="F2395" s="152" t="str">
        <f t="shared" si="113"/>
        <v/>
      </c>
      <c r="G2395" s="153">
        <f>IF($K2395="Padrão",BDI!$B$17,IF($K2395="Diferenciado",BDI!$E$17,0))</f>
        <v>0.2039</v>
      </c>
      <c r="H2395" s="151" t="str">
        <f t="shared" si="111"/>
        <v/>
      </c>
      <c r="I2395" s="152" t="str">
        <f t="shared" si="112"/>
        <v/>
      </c>
      <c r="J2395" s="154"/>
      <c r="K2395" s="155" t="s">
        <v>2966</v>
      </c>
    </row>
    <row r="2396" spans="1:11" hidden="1" x14ac:dyDescent="0.25">
      <c r="A2396" s="148" t="s">
        <v>6783</v>
      </c>
      <c r="B2396" s="149" t="s">
        <v>6784</v>
      </c>
      <c r="C2396" s="150" t="s">
        <v>18</v>
      </c>
      <c r="D2396" s="150">
        <v>0</v>
      </c>
      <c r="E2396" s="151" t="s">
        <v>13</v>
      </c>
      <c r="F2396" s="152" t="str">
        <f t="shared" si="113"/>
        <v/>
      </c>
      <c r="G2396" s="153">
        <f>IF($K2396="Padrão",BDI!$B$17,IF($K2396="Diferenciado",BDI!$E$17,0))</f>
        <v>0.2039</v>
      </c>
      <c r="H2396" s="151" t="str">
        <f t="shared" si="111"/>
        <v/>
      </c>
      <c r="I2396" s="152" t="str">
        <f t="shared" si="112"/>
        <v/>
      </c>
      <c r="J2396" s="154"/>
      <c r="K2396" s="155" t="s">
        <v>2966</v>
      </c>
    </row>
    <row r="2397" spans="1:11" hidden="1" x14ac:dyDescent="0.25">
      <c r="A2397" s="148" t="s">
        <v>6785</v>
      </c>
      <c r="B2397" s="149" t="s">
        <v>6786</v>
      </c>
      <c r="C2397" s="150" t="s">
        <v>18</v>
      </c>
      <c r="D2397" s="150">
        <v>0</v>
      </c>
      <c r="E2397" s="151" t="s">
        <v>13</v>
      </c>
      <c r="F2397" s="152" t="str">
        <f t="shared" si="113"/>
        <v/>
      </c>
      <c r="G2397" s="153">
        <f>IF($K2397="Padrão",BDI!$B$17,IF($K2397="Diferenciado",BDI!$E$17,0))</f>
        <v>0.2039</v>
      </c>
      <c r="H2397" s="151" t="str">
        <f t="shared" si="111"/>
        <v/>
      </c>
      <c r="I2397" s="152" t="str">
        <f t="shared" si="112"/>
        <v/>
      </c>
      <c r="J2397" s="154"/>
      <c r="K2397" s="155" t="s">
        <v>2966</v>
      </c>
    </row>
    <row r="2398" spans="1:11" hidden="1" x14ac:dyDescent="0.25">
      <c r="A2398" s="148" t="s">
        <v>6787</v>
      </c>
      <c r="B2398" s="149" t="s">
        <v>6788</v>
      </c>
      <c r="C2398" s="150" t="s">
        <v>18</v>
      </c>
      <c r="D2398" s="150">
        <v>0</v>
      </c>
      <c r="E2398" s="151" t="s">
        <v>13</v>
      </c>
      <c r="F2398" s="152" t="str">
        <f t="shared" si="113"/>
        <v/>
      </c>
      <c r="G2398" s="153">
        <f>IF($K2398="Padrão",BDI!$B$17,IF($K2398="Diferenciado",BDI!$E$17,0))</f>
        <v>0.2039</v>
      </c>
      <c r="H2398" s="151" t="str">
        <f t="shared" si="111"/>
        <v/>
      </c>
      <c r="I2398" s="152" t="str">
        <f t="shared" si="112"/>
        <v/>
      </c>
      <c r="J2398" s="154"/>
      <c r="K2398" s="155" t="s">
        <v>2966</v>
      </c>
    </row>
    <row r="2399" spans="1:11" hidden="1" x14ac:dyDescent="0.25">
      <c r="A2399" s="148" t="s">
        <v>6789</v>
      </c>
      <c r="B2399" s="149" t="s">
        <v>6790</v>
      </c>
      <c r="C2399" s="150" t="s">
        <v>18</v>
      </c>
      <c r="D2399" s="150">
        <v>0</v>
      </c>
      <c r="E2399" s="151" t="s">
        <v>13</v>
      </c>
      <c r="F2399" s="152" t="str">
        <f t="shared" si="113"/>
        <v/>
      </c>
      <c r="G2399" s="153">
        <f>IF($K2399="Padrão",BDI!$B$17,IF($K2399="Diferenciado",BDI!$E$17,0))</f>
        <v>0.2039</v>
      </c>
      <c r="H2399" s="151" t="str">
        <f t="shared" si="111"/>
        <v/>
      </c>
      <c r="I2399" s="152" t="str">
        <f t="shared" si="112"/>
        <v/>
      </c>
      <c r="J2399" s="154"/>
      <c r="K2399" s="155" t="s">
        <v>2966</v>
      </c>
    </row>
    <row r="2400" spans="1:11" hidden="1" x14ac:dyDescent="0.25">
      <c r="A2400" s="148" t="s">
        <v>6791</v>
      </c>
      <c r="B2400" s="149" t="s">
        <v>6792</v>
      </c>
      <c r="C2400" s="150" t="s">
        <v>18</v>
      </c>
      <c r="D2400" s="150">
        <v>0</v>
      </c>
      <c r="E2400" s="151" t="s">
        <v>13</v>
      </c>
      <c r="F2400" s="152" t="str">
        <f t="shared" si="113"/>
        <v/>
      </c>
      <c r="G2400" s="153">
        <f>IF($K2400="Padrão",BDI!$B$17,IF($K2400="Diferenciado",BDI!$E$17,0))</f>
        <v>0.2039</v>
      </c>
      <c r="H2400" s="151" t="str">
        <f t="shared" si="111"/>
        <v/>
      </c>
      <c r="I2400" s="152" t="str">
        <f t="shared" si="112"/>
        <v/>
      </c>
      <c r="J2400" s="154"/>
      <c r="K2400" s="155" t="s">
        <v>2966</v>
      </c>
    </row>
    <row r="2401" spans="1:11" hidden="1" x14ac:dyDescent="0.25">
      <c r="A2401" s="148" t="s">
        <v>6793</v>
      </c>
      <c r="B2401" s="149" t="s">
        <v>6794</v>
      </c>
      <c r="C2401" s="150" t="s">
        <v>18</v>
      </c>
      <c r="D2401" s="150">
        <v>0</v>
      </c>
      <c r="E2401" s="151" t="s">
        <v>13</v>
      </c>
      <c r="F2401" s="152" t="str">
        <f t="shared" si="113"/>
        <v/>
      </c>
      <c r="G2401" s="153">
        <f>IF($K2401="Padrão",BDI!$B$17,IF($K2401="Diferenciado",BDI!$E$17,0))</f>
        <v>0.2039</v>
      </c>
      <c r="H2401" s="151" t="str">
        <f t="shared" si="111"/>
        <v/>
      </c>
      <c r="I2401" s="152" t="str">
        <f t="shared" si="112"/>
        <v/>
      </c>
      <c r="J2401" s="154"/>
      <c r="K2401" s="155" t="s">
        <v>2966</v>
      </c>
    </row>
    <row r="2402" spans="1:11" hidden="1" x14ac:dyDescent="0.25">
      <c r="A2402" s="148" t="s">
        <v>6795</v>
      </c>
      <c r="B2402" s="149" t="s">
        <v>6796</v>
      </c>
      <c r="C2402" s="150" t="s">
        <v>18</v>
      </c>
      <c r="D2402" s="150">
        <v>0</v>
      </c>
      <c r="E2402" s="151" t="s">
        <v>13</v>
      </c>
      <c r="F2402" s="152" t="str">
        <f t="shared" si="113"/>
        <v/>
      </c>
      <c r="G2402" s="153">
        <f>IF($K2402="Padrão",BDI!$B$17,IF($K2402="Diferenciado",BDI!$E$17,0))</f>
        <v>0.2039</v>
      </c>
      <c r="H2402" s="151" t="str">
        <f t="shared" si="111"/>
        <v/>
      </c>
      <c r="I2402" s="152" t="str">
        <f t="shared" si="112"/>
        <v/>
      </c>
      <c r="J2402" s="154"/>
      <c r="K2402" s="155" t="s">
        <v>2966</v>
      </c>
    </row>
    <row r="2403" spans="1:11" hidden="1" x14ac:dyDescent="0.25">
      <c r="A2403" s="148" t="s">
        <v>6797</v>
      </c>
      <c r="B2403" s="149" t="s">
        <v>6798</v>
      </c>
      <c r="C2403" s="150" t="s">
        <v>18</v>
      </c>
      <c r="D2403" s="150">
        <v>0</v>
      </c>
      <c r="E2403" s="151" t="s">
        <v>13</v>
      </c>
      <c r="F2403" s="152" t="str">
        <f t="shared" si="113"/>
        <v/>
      </c>
      <c r="G2403" s="153">
        <f>IF($K2403="Padrão",BDI!$B$17,IF($K2403="Diferenciado",BDI!$E$17,0))</f>
        <v>0.2039</v>
      </c>
      <c r="H2403" s="151" t="str">
        <f t="shared" si="111"/>
        <v/>
      </c>
      <c r="I2403" s="152" t="str">
        <f t="shared" si="112"/>
        <v/>
      </c>
      <c r="J2403" s="154"/>
      <c r="K2403" s="155" t="s">
        <v>2966</v>
      </c>
    </row>
    <row r="2404" spans="1:11" hidden="1" x14ac:dyDescent="0.25">
      <c r="A2404" s="148" t="s">
        <v>6799</v>
      </c>
      <c r="B2404" s="149" t="s">
        <v>6800</v>
      </c>
      <c r="C2404" s="150" t="s">
        <v>18</v>
      </c>
      <c r="D2404" s="150">
        <v>0</v>
      </c>
      <c r="E2404" s="151" t="s">
        <v>13</v>
      </c>
      <c r="F2404" s="152" t="str">
        <f t="shared" si="113"/>
        <v/>
      </c>
      <c r="G2404" s="153">
        <f>IF($K2404="Padrão",BDI!$B$17,IF($K2404="Diferenciado",BDI!$E$17,0))</f>
        <v>0.2039</v>
      </c>
      <c r="H2404" s="151" t="str">
        <f t="shared" si="111"/>
        <v/>
      </c>
      <c r="I2404" s="152" t="str">
        <f t="shared" si="112"/>
        <v/>
      </c>
      <c r="J2404" s="154"/>
      <c r="K2404" s="155" t="s">
        <v>2966</v>
      </c>
    </row>
    <row r="2405" spans="1:11" hidden="1" x14ac:dyDescent="0.25">
      <c r="A2405" s="148" t="s">
        <v>6801</v>
      </c>
      <c r="B2405" s="149" t="s">
        <v>6802</v>
      </c>
      <c r="C2405" s="150" t="s">
        <v>18</v>
      </c>
      <c r="D2405" s="150">
        <v>0</v>
      </c>
      <c r="E2405" s="151" t="s">
        <v>13</v>
      </c>
      <c r="F2405" s="152" t="str">
        <f t="shared" si="113"/>
        <v/>
      </c>
      <c r="G2405" s="153">
        <f>IF($K2405="Padrão",BDI!$B$17,IF($K2405="Diferenciado",BDI!$E$17,0))</f>
        <v>0.2039</v>
      </c>
      <c r="H2405" s="151" t="str">
        <f t="shared" si="111"/>
        <v/>
      </c>
      <c r="I2405" s="152" t="str">
        <f t="shared" si="112"/>
        <v/>
      </c>
      <c r="J2405" s="154"/>
      <c r="K2405" s="155" t="s">
        <v>2966</v>
      </c>
    </row>
    <row r="2406" spans="1:11" hidden="1" x14ac:dyDescent="0.25">
      <c r="A2406" s="148" t="s">
        <v>6803</v>
      </c>
      <c r="B2406" s="149" t="s">
        <v>6804</v>
      </c>
      <c r="C2406" s="150" t="s">
        <v>18</v>
      </c>
      <c r="D2406" s="150">
        <v>0</v>
      </c>
      <c r="E2406" s="151" t="s">
        <v>13</v>
      </c>
      <c r="F2406" s="152" t="str">
        <f t="shared" si="113"/>
        <v/>
      </c>
      <c r="G2406" s="153">
        <f>IF($K2406="Padrão",BDI!$B$17,IF($K2406="Diferenciado",BDI!$E$17,0))</f>
        <v>0.2039</v>
      </c>
      <c r="H2406" s="151" t="str">
        <f t="shared" si="111"/>
        <v/>
      </c>
      <c r="I2406" s="152" t="str">
        <f t="shared" si="112"/>
        <v/>
      </c>
      <c r="J2406" s="154"/>
      <c r="K2406" s="155" t="s">
        <v>2966</v>
      </c>
    </row>
    <row r="2407" spans="1:11" hidden="1" x14ac:dyDescent="0.25">
      <c r="A2407" s="148" t="s">
        <v>6805</v>
      </c>
      <c r="B2407" s="149" t="s">
        <v>6806</v>
      </c>
      <c r="C2407" s="150" t="s">
        <v>18</v>
      </c>
      <c r="D2407" s="150">
        <v>0</v>
      </c>
      <c r="E2407" s="151" t="s">
        <v>13</v>
      </c>
      <c r="F2407" s="152" t="str">
        <f t="shared" si="113"/>
        <v/>
      </c>
      <c r="G2407" s="153">
        <f>IF($K2407="Padrão",BDI!$B$17,IF($K2407="Diferenciado",BDI!$E$17,0))</f>
        <v>0.2039</v>
      </c>
      <c r="H2407" s="151" t="str">
        <f t="shared" si="111"/>
        <v/>
      </c>
      <c r="I2407" s="152" t="str">
        <f t="shared" si="112"/>
        <v/>
      </c>
      <c r="J2407" s="154"/>
      <c r="K2407" s="155" t="s">
        <v>2966</v>
      </c>
    </row>
    <row r="2408" spans="1:11" hidden="1" x14ac:dyDescent="0.25">
      <c r="A2408" s="148" t="s">
        <v>6807</v>
      </c>
      <c r="B2408" s="149" t="s">
        <v>6808</v>
      </c>
      <c r="C2408" s="150" t="s">
        <v>18</v>
      </c>
      <c r="D2408" s="150">
        <v>0</v>
      </c>
      <c r="E2408" s="151" t="s">
        <v>13</v>
      </c>
      <c r="F2408" s="152" t="str">
        <f t="shared" si="113"/>
        <v/>
      </c>
      <c r="G2408" s="153">
        <f>IF($K2408="Padrão",BDI!$B$17,IF($K2408="Diferenciado",BDI!$E$17,0))</f>
        <v>0.2039</v>
      </c>
      <c r="H2408" s="151" t="str">
        <f t="shared" si="111"/>
        <v/>
      </c>
      <c r="I2408" s="152" t="str">
        <f t="shared" si="112"/>
        <v/>
      </c>
      <c r="J2408" s="154"/>
      <c r="K2408" s="155" t="s">
        <v>2966</v>
      </c>
    </row>
    <row r="2409" spans="1:11" hidden="1" x14ac:dyDescent="0.25">
      <c r="A2409" s="148" t="s">
        <v>6809</v>
      </c>
      <c r="B2409" s="149" t="s">
        <v>6810</v>
      </c>
      <c r="C2409" s="150" t="s">
        <v>18</v>
      </c>
      <c r="D2409" s="150">
        <v>0</v>
      </c>
      <c r="E2409" s="151" t="s">
        <v>13</v>
      </c>
      <c r="F2409" s="152" t="str">
        <f t="shared" si="113"/>
        <v/>
      </c>
      <c r="G2409" s="153">
        <f>IF($K2409="Padrão",BDI!$B$17,IF($K2409="Diferenciado",BDI!$E$17,0))</f>
        <v>0.2039</v>
      </c>
      <c r="H2409" s="151" t="str">
        <f t="shared" si="111"/>
        <v/>
      </c>
      <c r="I2409" s="152" t="str">
        <f t="shared" si="112"/>
        <v/>
      </c>
      <c r="J2409" s="154"/>
      <c r="K2409" s="155" t="s">
        <v>2966</v>
      </c>
    </row>
    <row r="2410" spans="1:11" hidden="1" x14ac:dyDescent="0.25">
      <c r="A2410" s="148" t="s">
        <v>6811</v>
      </c>
      <c r="B2410" s="149" t="s">
        <v>6812</v>
      </c>
      <c r="C2410" s="150" t="s">
        <v>18</v>
      </c>
      <c r="D2410" s="150">
        <v>0</v>
      </c>
      <c r="E2410" s="151" t="s">
        <v>13</v>
      </c>
      <c r="F2410" s="152" t="str">
        <f t="shared" si="113"/>
        <v/>
      </c>
      <c r="G2410" s="153">
        <f>IF($K2410="Padrão",BDI!$B$17,IF($K2410="Diferenciado",BDI!$E$17,0))</f>
        <v>0.2039</v>
      </c>
      <c r="H2410" s="151" t="str">
        <f t="shared" si="111"/>
        <v/>
      </c>
      <c r="I2410" s="152" t="str">
        <f t="shared" si="112"/>
        <v/>
      </c>
      <c r="J2410" s="154"/>
      <c r="K2410" s="155" t="s">
        <v>2966</v>
      </c>
    </row>
    <row r="2411" spans="1:11" hidden="1" x14ac:dyDescent="0.25">
      <c r="A2411" s="148" t="s">
        <v>6813</v>
      </c>
      <c r="B2411" s="149" t="s">
        <v>6814</v>
      </c>
      <c r="C2411" s="150" t="s">
        <v>18</v>
      </c>
      <c r="D2411" s="150">
        <v>0</v>
      </c>
      <c r="E2411" s="151" t="s">
        <v>13</v>
      </c>
      <c r="F2411" s="152" t="str">
        <f t="shared" si="113"/>
        <v/>
      </c>
      <c r="G2411" s="153">
        <f>IF($K2411="Padrão",BDI!$B$17,IF($K2411="Diferenciado",BDI!$E$17,0))</f>
        <v>0.2039</v>
      </c>
      <c r="H2411" s="151" t="str">
        <f t="shared" si="111"/>
        <v/>
      </c>
      <c r="I2411" s="152" t="str">
        <f t="shared" si="112"/>
        <v/>
      </c>
      <c r="J2411" s="154"/>
      <c r="K2411" s="155" t="s">
        <v>2966</v>
      </c>
    </row>
    <row r="2412" spans="1:11" hidden="1" x14ac:dyDescent="0.25">
      <c r="A2412" s="148" t="s">
        <v>6815</v>
      </c>
      <c r="B2412" s="149" t="s">
        <v>6816</v>
      </c>
      <c r="C2412" s="150" t="s">
        <v>18</v>
      </c>
      <c r="D2412" s="150">
        <v>0</v>
      </c>
      <c r="E2412" s="151" t="s">
        <v>13</v>
      </c>
      <c r="F2412" s="152" t="str">
        <f t="shared" si="113"/>
        <v/>
      </c>
      <c r="G2412" s="153">
        <f>IF($K2412="Padrão",BDI!$B$17,IF($K2412="Diferenciado",BDI!$E$17,0))</f>
        <v>0.2039</v>
      </c>
      <c r="H2412" s="151" t="str">
        <f t="shared" si="111"/>
        <v/>
      </c>
      <c r="I2412" s="152" t="str">
        <f t="shared" si="112"/>
        <v/>
      </c>
      <c r="J2412" s="154"/>
      <c r="K2412" s="155" t="s">
        <v>2966</v>
      </c>
    </row>
    <row r="2413" spans="1:11" hidden="1" x14ac:dyDescent="0.25">
      <c r="A2413" s="148" t="s">
        <v>6817</v>
      </c>
      <c r="B2413" s="149" t="s">
        <v>6818</v>
      </c>
      <c r="C2413" s="150" t="s">
        <v>18</v>
      </c>
      <c r="D2413" s="150">
        <v>0</v>
      </c>
      <c r="E2413" s="151" t="s">
        <v>13</v>
      </c>
      <c r="F2413" s="152" t="str">
        <f t="shared" si="113"/>
        <v/>
      </c>
      <c r="G2413" s="153">
        <f>IF($K2413="Padrão",BDI!$B$17,IF($K2413="Diferenciado",BDI!$E$17,0))</f>
        <v>0.2039</v>
      </c>
      <c r="H2413" s="151" t="str">
        <f t="shared" si="111"/>
        <v/>
      </c>
      <c r="I2413" s="152" t="str">
        <f t="shared" si="112"/>
        <v/>
      </c>
      <c r="J2413" s="154"/>
      <c r="K2413" s="155" t="s">
        <v>2966</v>
      </c>
    </row>
    <row r="2414" spans="1:11" hidden="1" x14ac:dyDescent="0.25">
      <c r="A2414" s="148" t="s">
        <v>6819</v>
      </c>
      <c r="B2414" s="149" t="s">
        <v>6820</v>
      </c>
      <c r="C2414" s="150" t="s">
        <v>18</v>
      </c>
      <c r="D2414" s="150">
        <v>0</v>
      </c>
      <c r="E2414" s="151" t="s">
        <v>13</v>
      </c>
      <c r="F2414" s="152" t="str">
        <f t="shared" si="113"/>
        <v/>
      </c>
      <c r="G2414" s="153">
        <f>IF($K2414="Padrão",BDI!$B$17,IF($K2414="Diferenciado",BDI!$E$17,0))</f>
        <v>0.2039</v>
      </c>
      <c r="H2414" s="151" t="str">
        <f t="shared" si="111"/>
        <v/>
      </c>
      <c r="I2414" s="152" t="str">
        <f t="shared" si="112"/>
        <v/>
      </c>
      <c r="J2414" s="154"/>
      <c r="K2414" s="155" t="s">
        <v>2966</v>
      </c>
    </row>
    <row r="2415" spans="1:11" hidden="1" x14ac:dyDescent="0.25">
      <c r="A2415" s="148" t="s">
        <v>6821</v>
      </c>
      <c r="B2415" s="149" t="s">
        <v>6822</v>
      </c>
      <c r="C2415" s="150" t="s">
        <v>18</v>
      </c>
      <c r="D2415" s="150">
        <v>0</v>
      </c>
      <c r="E2415" s="151" t="s">
        <v>13</v>
      </c>
      <c r="F2415" s="152" t="str">
        <f t="shared" si="113"/>
        <v/>
      </c>
      <c r="G2415" s="153">
        <f>IF($K2415="Padrão",BDI!$B$17,IF($K2415="Diferenciado",BDI!$E$17,0))</f>
        <v>0.2039</v>
      </c>
      <c r="H2415" s="151" t="str">
        <f t="shared" si="111"/>
        <v/>
      </c>
      <c r="I2415" s="152" t="str">
        <f t="shared" si="112"/>
        <v/>
      </c>
      <c r="J2415" s="154"/>
      <c r="K2415" s="155" t="s">
        <v>2966</v>
      </c>
    </row>
    <row r="2416" spans="1:11" hidden="1" x14ac:dyDescent="0.25">
      <c r="A2416" s="148" t="s">
        <v>6823</v>
      </c>
      <c r="B2416" s="149" t="s">
        <v>6824</v>
      </c>
      <c r="C2416" s="150" t="s">
        <v>106</v>
      </c>
      <c r="D2416" s="150">
        <v>0</v>
      </c>
      <c r="E2416" s="151" t="s">
        <v>13</v>
      </c>
      <c r="F2416" s="152" t="str">
        <f t="shared" si="113"/>
        <v/>
      </c>
      <c r="G2416" s="153">
        <f>IF($K2416="Padrão",BDI!$B$17,IF($K2416="Diferenciado",BDI!$E$17,0))</f>
        <v>0.2039</v>
      </c>
      <c r="H2416" s="151" t="str">
        <f t="shared" si="111"/>
        <v/>
      </c>
      <c r="I2416" s="152" t="str">
        <f t="shared" si="112"/>
        <v/>
      </c>
      <c r="J2416" s="154"/>
      <c r="K2416" s="155" t="s">
        <v>2966</v>
      </c>
    </row>
    <row r="2417" spans="1:11" hidden="1" x14ac:dyDescent="0.25">
      <c r="A2417" s="148" t="s">
        <v>6825</v>
      </c>
      <c r="B2417" s="149" t="s">
        <v>6826</v>
      </c>
      <c r="C2417" s="150" t="s">
        <v>18</v>
      </c>
      <c r="D2417" s="150">
        <v>0</v>
      </c>
      <c r="E2417" s="151" t="s">
        <v>13</v>
      </c>
      <c r="F2417" s="152" t="str">
        <f t="shared" si="113"/>
        <v/>
      </c>
      <c r="G2417" s="153">
        <f>IF($K2417="Padrão",BDI!$B$17,IF($K2417="Diferenciado",BDI!$E$17,0))</f>
        <v>0.2039</v>
      </c>
      <c r="H2417" s="151" t="str">
        <f t="shared" si="111"/>
        <v/>
      </c>
      <c r="I2417" s="152" t="str">
        <f t="shared" si="112"/>
        <v/>
      </c>
      <c r="J2417" s="154"/>
      <c r="K2417" s="155" t="s">
        <v>2966</v>
      </c>
    </row>
    <row r="2418" spans="1:11" hidden="1" x14ac:dyDescent="0.25">
      <c r="A2418" s="148" t="s">
        <v>6827</v>
      </c>
      <c r="B2418" s="149" t="s">
        <v>6828</v>
      </c>
      <c r="C2418" s="150" t="s">
        <v>18</v>
      </c>
      <c r="D2418" s="150">
        <v>0</v>
      </c>
      <c r="E2418" s="151" t="s">
        <v>13</v>
      </c>
      <c r="F2418" s="152" t="str">
        <f t="shared" si="113"/>
        <v/>
      </c>
      <c r="G2418" s="153">
        <f>IF($K2418="Padrão",BDI!$B$17,IF($K2418="Diferenciado",BDI!$E$17,0))</f>
        <v>0.2039</v>
      </c>
      <c r="H2418" s="151" t="str">
        <f t="shared" si="111"/>
        <v/>
      </c>
      <c r="I2418" s="152" t="str">
        <f t="shared" si="112"/>
        <v/>
      </c>
      <c r="J2418" s="154"/>
      <c r="K2418" s="155" t="s">
        <v>2966</v>
      </c>
    </row>
    <row r="2419" spans="1:11" hidden="1" x14ac:dyDescent="0.25">
      <c r="A2419" s="148" t="s">
        <v>6829</v>
      </c>
      <c r="B2419" s="149" t="s">
        <v>6830</v>
      </c>
      <c r="C2419" s="150" t="s">
        <v>18</v>
      </c>
      <c r="D2419" s="150">
        <v>0</v>
      </c>
      <c r="E2419" s="151" t="s">
        <v>13</v>
      </c>
      <c r="F2419" s="152" t="str">
        <f t="shared" si="113"/>
        <v/>
      </c>
      <c r="G2419" s="153">
        <f>IF($K2419="Padrão",BDI!$B$17,IF($K2419="Diferenciado",BDI!$E$17,0))</f>
        <v>0.2039</v>
      </c>
      <c r="H2419" s="151" t="str">
        <f t="shared" si="111"/>
        <v/>
      </c>
      <c r="I2419" s="152" t="str">
        <f t="shared" si="112"/>
        <v/>
      </c>
      <c r="J2419" s="154"/>
      <c r="K2419" s="155" t="s">
        <v>2966</v>
      </c>
    </row>
    <row r="2420" spans="1:11" hidden="1" x14ac:dyDescent="0.25">
      <c r="A2420" s="148" t="s">
        <v>6831</v>
      </c>
      <c r="B2420" s="149" t="s">
        <v>6832</v>
      </c>
      <c r="C2420" s="150" t="s">
        <v>18</v>
      </c>
      <c r="D2420" s="150">
        <v>0</v>
      </c>
      <c r="E2420" s="151" t="s">
        <v>13</v>
      </c>
      <c r="F2420" s="152" t="str">
        <f t="shared" si="113"/>
        <v/>
      </c>
      <c r="G2420" s="153">
        <f>IF($K2420="Padrão",BDI!$B$17,IF($K2420="Diferenciado",BDI!$E$17,0))</f>
        <v>0.2039</v>
      </c>
      <c r="H2420" s="151" t="str">
        <f t="shared" si="111"/>
        <v/>
      </c>
      <c r="I2420" s="152" t="str">
        <f t="shared" si="112"/>
        <v/>
      </c>
      <c r="J2420" s="154"/>
      <c r="K2420" s="155" t="s">
        <v>2966</v>
      </c>
    </row>
    <row r="2421" spans="1:11" hidden="1" x14ac:dyDescent="0.25">
      <c r="A2421" s="148" t="s">
        <v>6833</v>
      </c>
      <c r="B2421" s="149" t="s">
        <v>6834</v>
      </c>
      <c r="C2421" s="150" t="s">
        <v>18</v>
      </c>
      <c r="D2421" s="150">
        <v>0</v>
      </c>
      <c r="E2421" s="151" t="s">
        <v>13</v>
      </c>
      <c r="F2421" s="152" t="str">
        <f t="shared" si="113"/>
        <v/>
      </c>
      <c r="G2421" s="153">
        <f>IF($K2421="Padrão",BDI!$B$17,IF($K2421="Diferenciado",BDI!$E$17,0))</f>
        <v>0.2039</v>
      </c>
      <c r="H2421" s="151" t="str">
        <f t="shared" si="111"/>
        <v/>
      </c>
      <c r="I2421" s="152" t="str">
        <f t="shared" si="112"/>
        <v/>
      </c>
      <c r="J2421" s="154"/>
      <c r="K2421" s="155" t="s">
        <v>2966</v>
      </c>
    </row>
    <row r="2422" spans="1:11" hidden="1" x14ac:dyDescent="0.25">
      <c r="A2422" s="148" t="s">
        <v>6835</v>
      </c>
      <c r="B2422" s="149" t="s">
        <v>6836</v>
      </c>
      <c r="C2422" s="150" t="s">
        <v>18</v>
      </c>
      <c r="D2422" s="150">
        <v>0</v>
      </c>
      <c r="E2422" s="151" t="s">
        <v>13</v>
      </c>
      <c r="F2422" s="152" t="str">
        <f t="shared" si="113"/>
        <v/>
      </c>
      <c r="G2422" s="153">
        <f>IF($K2422="Padrão",BDI!$B$17,IF($K2422="Diferenciado",BDI!$E$17,0))</f>
        <v>0.2039</v>
      </c>
      <c r="H2422" s="151" t="str">
        <f t="shared" si="111"/>
        <v/>
      </c>
      <c r="I2422" s="152" t="str">
        <f t="shared" si="112"/>
        <v/>
      </c>
      <c r="J2422" s="154"/>
      <c r="K2422" s="155" t="s">
        <v>2966</v>
      </c>
    </row>
    <row r="2423" spans="1:11" hidden="1" x14ac:dyDescent="0.25">
      <c r="A2423" s="148" t="s">
        <v>6837</v>
      </c>
      <c r="B2423" s="149" t="s">
        <v>6838</v>
      </c>
      <c r="C2423" s="150" t="s">
        <v>18</v>
      </c>
      <c r="D2423" s="150">
        <v>0</v>
      </c>
      <c r="E2423" s="151" t="s">
        <v>13</v>
      </c>
      <c r="F2423" s="152" t="str">
        <f t="shared" si="113"/>
        <v/>
      </c>
      <c r="G2423" s="153">
        <f>IF($K2423="Padrão",BDI!$B$17,IF($K2423="Diferenciado",BDI!$E$17,0))</f>
        <v>0.2039</v>
      </c>
      <c r="H2423" s="151" t="str">
        <f t="shared" si="111"/>
        <v/>
      </c>
      <c r="I2423" s="152" t="str">
        <f t="shared" si="112"/>
        <v/>
      </c>
      <c r="J2423" s="154"/>
      <c r="K2423" s="155" t="s">
        <v>2966</v>
      </c>
    </row>
    <row r="2424" spans="1:11" hidden="1" x14ac:dyDescent="0.25">
      <c r="A2424" s="148" t="s">
        <v>6839</v>
      </c>
      <c r="B2424" s="149" t="s">
        <v>6840</v>
      </c>
      <c r="C2424" s="150" t="s">
        <v>18</v>
      </c>
      <c r="D2424" s="150">
        <v>0</v>
      </c>
      <c r="E2424" s="151" t="s">
        <v>13</v>
      </c>
      <c r="F2424" s="152" t="str">
        <f t="shared" si="113"/>
        <v/>
      </c>
      <c r="G2424" s="153">
        <f>IF($K2424="Padrão",BDI!$B$17,IF($K2424="Diferenciado",BDI!$E$17,0))</f>
        <v>0.2039</v>
      </c>
      <c r="H2424" s="151" t="str">
        <f t="shared" si="111"/>
        <v/>
      </c>
      <c r="I2424" s="152" t="str">
        <f t="shared" si="112"/>
        <v/>
      </c>
      <c r="J2424" s="154"/>
      <c r="K2424" s="155" t="s">
        <v>2966</v>
      </c>
    </row>
    <row r="2425" spans="1:11" hidden="1" x14ac:dyDescent="0.25">
      <c r="A2425" s="148" t="s">
        <v>6841</v>
      </c>
      <c r="B2425" s="149" t="s">
        <v>6842</v>
      </c>
      <c r="C2425" s="150" t="s">
        <v>18</v>
      </c>
      <c r="D2425" s="150">
        <v>0</v>
      </c>
      <c r="E2425" s="151" t="s">
        <v>13</v>
      </c>
      <c r="F2425" s="152" t="str">
        <f t="shared" si="113"/>
        <v/>
      </c>
      <c r="G2425" s="153">
        <f>IF($K2425="Padrão",BDI!$B$17,IF($K2425="Diferenciado",BDI!$E$17,0))</f>
        <v>0.2039</v>
      </c>
      <c r="H2425" s="151" t="str">
        <f t="shared" si="111"/>
        <v/>
      </c>
      <c r="I2425" s="152" t="str">
        <f t="shared" si="112"/>
        <v/>
      </c>
      <c r="J2425" s="154"/>
      <c r="K2425" s="155" t="s">
        <v>2966</v>
      </c>
    </row>
    <row r="2426" spans="1:11" hidden="1" x14ac:dyDescent="0.25">
      <c r="A2426" s="148" t="s">
        <v>6843</v>
      </c>
      <c r="B2426" s="149" t="s">
        <v>6844</v>
      </c>
      <c r="C2426" s="150" t="s">
        <v>18</v>
      </c>
      <c r="D2426" s="150">
        <v>0</v>
      </c>
      <c r="E2426" s="151" t="s">
        <v>13</v>
      </c>
      <c r="F2426" s="152" t="str">
        <f t="shared" si="113"/>
        <v/>
      </c>
      <c r="G2426" s="153">
        <f>IF($K2426="Padrão",BDI!$B$17,IF($K2426="Diferenciado",BDI!$E$17,0))</f>
        <v>0.2039</v>
      </c>
      <c r="H2426" s="151" t="str">
        <f t="shared" si="111"/>
        <v/>
      </c>
      <c r="I2426" s="152" t="str">
        <f t="shared" si="112"/>
        <v/>
      </c>
      <c r="J2426" s="154"/>
      <c r="K2426" s="155" t="s">
        <v>2966</v>
      </c>
    </row>
    <row r="2427" spans="1:11" hidden="1" x14ac:dyDescent="0.25">
      <c r="A2427" s="148" t="s">
        <v>6845</v>
      </c>
      <c r="B2427" s="149" t="s">
        <v>6846</v>
      </c>
      <c r="C2427" s="150" t="s">
        <v>18</v>
      </c>
      <c r="D2427" s="150">
        <v>0</v>
      </c>
      <c r="E2427" s="151" t="s">
        <v>13</v>
      </c>
      <c r="F2427" s="152" t="str">
        <f t="shared" si="113"/>
        <v/>
      </c>
      <c r="G2427" s="153">
        <f>IF($K2427="Padrão",BDI!$B$17,IF($K2427="Diferenciado",BDI!$E$17,0))</f>
        <v>0.2039</v>
      </c>
      <c r="H2427" s="151" t="str">
        <f t="shared" si="111"/>
        <v/>
      </c>
      <c r="I2427" s="152" t="str">
        <f t="shared" si="112"/>
        <v/>
      </c>
      <c r="J2427" s="154"/>
      <c r="K2427" s="155" t="s">
        <v>2966</v>
      </c>
    </row>
    <row r="2428" spans="1:11" hidden="1" x14ac:dyDescent="0.25">
      <c r="A2428" s="148" t="s">
        <v>6847</v>
      </c>
      <c r="B2428" s="149" t="s">
        <v>6848</v>
      </c>
      <c r="C2428" s="150" t="s">
        <v>18</v>
      </c>
      <c r="D2428" s="150">
        <v>0</v>
      </c>
      <c r="E2428" s="151" t="s">
        <v>13</v>
      </c>
      <c r="F2428" s="152" t="str">
        <f t="shared" si="113"/>
        <v/>
      </c>
      <c r="G2428" s="153">
        <f>IF($K2428="Padrão",BDI!$B$17,IF($K2428="Diferenciado",BDI!$E$17,0))</f>
        <v>0.2039</v>
      </c>
      <c r="H2428" s="151" t="str">
        <f t="shared" si="111"/>
        <v/>
      </c>
      <c r="I2428" s="152" t="str">
        <f t="shared" si="112"/>
        <v/>
      </c>
      <c r="J2428" s="154"/>
      <c r="K2428" s="155" t="s">
        <v>2966</v>
      </c>
    </row>
    <row r="2429" spans="1:11" hidden="1" x14ac:dyDescent="0.25">
      <c r="A2429" s="148" t="s">
        <v>6849</v>
      </c>
      <c r="B2429" s="149" t="s">
        <v>6850</v>
      </c>
      <c r="C2429" s="150" t="s">
        <v>18</v>
      </c>
      <c r="D2429" s="150">
        <v>0</v>
      </c>
      <c r="E2429" s="151" t="s">
        <v>13</v>
      </c>
      <c r="F2429" s="152" t="str">
        <f t="shared" si="113"/>
        <v/>
      </c>
      <c r="G2429" s="153">
        <f>IF($K2429="Padrão",BDI!$B$17,IF($K2429="Diferenciado",BDI!$E$17,0))</f>
        <v>0.2039</v>
      </c>
      <c r="H2429" s="151" t="str">
        <f t="shared" si="111"/>
        <v/>
      </c>
      <c r="I2429" s="152" t="str">
        <f t="shared" si="112"/>
        <v/>
      </c>
      <c r="J2429" s="154"/>
      <c r="K2429" s="155" t="s">
        <v>2966</v>
      </c>
    </row>
    <row r="2430" spans="1:11" hidden="1" x14ac:dyDescent="0.25">
      <c r="A2430" s="148" t="s">
        <v>6851</v>
      </c>
      <c r="B2430" s="149" t="s">
        <v>6852</v>
      </c>
      <c r="C2430" s="150" t="s">
        <v>18</v>
      </c>
      <c r="D2430" s="150">
        <v>0</v>
      </c>
      <c r="E2430" s="151" t="s">
        <v>13</v>
      </c>
      <c r="F2430" s="152" t="str">
        <f t="shared" si="113"/>
        <v/>
      </c>
      <c r="G2430" s="153">
        <f>IF($K2430="Padrão",BDI!$B$17,IF($K2430="Diferenciado",BDI!$E$17,0))</f>
        <v>0.2039</v>
      </c>
      <c r="H2430" s="151" t="str">
        <f t="shared" si="111"/>
        <v/>
      </c>
      <c r="I2430" s="152" t="str">
        <f t="shared" si="112"/>
        <v/>
      </c>
      <c r="J2430" s="154"/>
      <c r="K2430" s="155" t="s">
        <v>2966</v>
      </c>
    </row>
    <row r="2431" spans="1:11" hidden="1" x14ac:dyDescent="0.25">
      <c r="A2431" s="148" t="s">
        <v>6853</v>
      </c>
      <c r="B2431" s="149" t="s">
        <v>6854</v>
      </c>
      <c r="C2431" s="150" t="s">
        <v>18</v>
      </c>
      <c r="D2431" s="150">
        <v>0</v>
      </c>
      <c r="E2431" s="151" t="s">
        <v>13</v>
      </c>
      <c r="F2431" s="152" t="str">
        <f t="shared" si="113"/>
        <v/>
      </c>
      <c r="G2431" s="153">
        <f>IF($K2431="Padrão",BDI!$B$17,IF($K2431="Diferenciado",BDI!$E$17,0))</f>
        <v>0.2039</v>
      </c>
      <c r="H2431" s="151" t="str">
        <f t="shared" si="111"/>
        <v/>
      </c>
      <c r="I2431" s="152" t="str">
        <f t="shared" si="112"/>
        <v/>
      </c>
      <c r="J2431" s="154"/>
      <c r="K2431" s="155" t="s">
        <v>2966</v>
      </c>
    </row>
    <row r="2432" spans="1:11" hidden="1" x14ac:dyDescent="0.25">
      <c r="A2432" s="148" t="s">
        <v>6855</v>
      </c>
      <c r="B2432" s="149" t="s">
        <v>6856</v>
      </c>
      <c r="C2432" s="150" t="s">
        <v>18</v>
      </c>
      <c r="D2432" s="150">
        <v>0</v>
      </c>
      <c r="E2432" s="151" t="s">
        <v>13</v>
      </c>
      <c r="F2432" s="152" t="str">
        <f t="shared" si="113"/>
        <v/>
      </c>
      <c r="G2432" s="153">
        <f>IF($K2432="Padrão",BDI!$B$17,IF($K2432="Diferenciado",BDI!$E$17,0))</f>
        <v>0.2039</v>
      </c>
      <c r="H2432" s="151" t="str">
        <f t="shared" si="111"/>
        <v/>
      </c>
      <c r="I2432" s="152" t="str">
        <f t="shared" si="112"/>
        <v/>
      </c>
      <c r="J2432" s="154"/>
      <c r="K2432" s="155" t="s">
        <v>2966</v>
      </c>
    </row>
    <row r="2433" spans="1:11" hidden="1" x14ac:dyDescent="0.25">
      <c r="A2433" s="148" t="s">
        <v>6857</v>
      </c>
      <c r="B2433" s="149" t="s">
        <v>6858</v>
      </c>
      <c r="C2433" s="150" t="s">
        <v>18</v>
      </c>
      <c r="D2433" s="150">
        <v>0</v>
      </c>
      <c r="E2433" s="151" t="s">
        <v>13</v>
      </c>
      <c r="F2433" s="152" t="str">
        <f t="shared" si="113"/>
        <v/>
      </c>
      <c r="G2433" s="153">
        <f>IF($K2433="Padrão",BDI!$B$17,IF($K2433="Diferenciado",BDI!$E$17,0))</f>
        <v>0.2039</v>
      </c>
      <c r="H2433" s="151" t="str">
        <f t="shared" si="111"/>
        <v/>
      </c>
      <c r="I2433" s="152" t="str">
        <f t="shared" si="112"/>
        <v/>
      </c>
      <c r="J2433" s="154"/>
      <c r="K2433" s="155" t="s">
        <v>2966</v>
      </c>
    </row>
    <row r="2434" spans="1:11" hidden="1" x14ac:dyDescent="0.25">
      <c r="A2434" s="148" t="s">
        <v>6859</v>
      </c>
      <c r="B2434" s="149" t="s">
        <v>6860</v>
      </c>
      <c r="C2434" s="150" t="s">
        <v>18</v>
      </c>
      <c r="D2434" s="150">
        <v>0</v>
      </c>
      <c r="E2434" s="151" t="s">
        <v>13</v>
      </c>
      <c r="F2434" s="152" t="str">
        <f t="shared" si="113"/>
        <v/>
      </c>
      <c r="G2434" s="153">
        <f>IF($K2434="Padrão",BDI!$B$17,IF($K2434="Diferenciado",BDI!$E$17,0))</f>
        <v>0.2039</v>
      </c>
      <c r="H2434" s="151" t="str">
        <f t="shared" si="111"/>
        <v/>
      </c>
      <c r="I2434" s="152" t="str">
        <f t="shared" si="112"/>
        <v/>
      </c>
      <c r="J2434" s="154"/>
      <c r="K2434" s="155" t="s">
        <v>2966</v>
      </c>
    </row>
    <row r="2435" spans="1:11" hidden="1" x14ac:dyDescent="0.25">
      <c r="A2435" s="148" t="s">
        <v>6861</v>
      </c>
      <c r="B2435" s="149" t="s">
        <v>6862</v>
      </c>
      <c r="C2435" s="150" t="s">
        <v>18</v>
      </c>
      <c r="D2435" s="150">
        <v>0</v>
      </c>
      <c r="E2435" s="151" t="s">
        <v>13</v>
      </c>
      <c r="F2435" s="152" t="str">
        <f t="shared" si="113"/>
        <v/>
      </c>
      <c r="G2435" s="153">
        <f>IF($K2435="Padrão",BDI!$B$17,IF($K2435="Diferenciado",BDI!$E$17,0))</f>
        <v>0.2039</v>
      </c>
      <c r="H2435" s="151" t="str">
        <f t="shared" si="111"/>
        <v/>
      </c>
      <c r="I2435" s="152" t="str">
        <f t="shared" si="112"/>
        <v/>
      </c>
      <c r="J2435" s="154"/>
      <c r="K2435" s="155" t="s">
        <v>2966</v>
      </c>
    </row>
    <row r="2436" spans="1:11" hidden="1" x14ac:dyDescent="0.25">
      <c r="A2436" s="148" t="s">
        <v>6863</v>
      </c>
      <c r="B2436" s="149" t="s">
        <v>6864</v>
      </c>
      <c r="C2436" s="150" t="s">
        <v>18</v>
      </c>
      <c r="D2436" s="150">
        <v>0</v>
      </c>
      <c r="E2436" s="151" t="s">
        <v>13</v>
      </c>
      <c r="F2436" s="152" t="str">
        <f t="shared" si="113"/>
        <v/>
      </c>
      <c r="G2436" s="153">
        <f>IF($K2436="Padrão",BDI!$B$17,IF($K2436="Diferenciado",BDI!$E$17,0))</f>
        <v>0.2039</v>
      </c>
      <c r="H2436" s="151" t="str">
        <f t="shared" si="111"/>
        <v/>
      </c>
      <c r="I2436" s="152" t="str">
        <f t="shared" si="112"/>
        <v/>
      </c>
      <c r="J2436" s="154"/>
      <c r="K2436" s="155" t="s">
        <v>2966</v>
      </c>
    </row>
    <row r="2437" spans="1:11" hidden="1" x14ac:dyDescent="0.25">
      <c r="A2437" s="148" t="s">
        <v>6865</v>
      </c>
      <c r="B2437" s="149" t="s">
        <v>6866</v>
      </c>
      <c r="C2437" s="150" t="s">
        <v>18</v>
      </c>
      <c r="D2437" s="150">
        <v>0</v>
      </c>
      <c r="E2437" s="151" t="s">
        <v>13</v>
      </c>
      <c r="F2437" s="152" t="str">
        <f t="shared" si="113"/>
        <v/>
      </c>
      <c r="G2437" s="153">
        <f>IF($K2437="Padrão",BDI!$B$17,IF($K2437="Diferenciado",BDI!$E$17,0))</f>
        <v>0.2039</v>
      </c>
      <c r="H2437" s="151" t="str">
        <f t="shared" si="111"/>
        <v/>
      </c>
      <c r="I2437" s="152" t="str">
        <f t="shared" si="112"/>
        <v/>
      </c>
      <c r="J2437" s="154"/>
      <c r="K2437" s="155" t="s">
        <v>2966</v>
      </c>
    </row>
    <row r="2438" spans="1:11" hidden="1" x14ac:dyDescent="0.25">
      <c r="A2438" s="148" t="s">
        <v>6867</v>
      </c>
      <c r="B2438" s="149" t="s">
        <v>6868</v>
      </c>
      <c r="C2438" s="150" t="s">
        <v>18</v>
      </c>
      <c r="D2438" s="150">
        <v>0</v>
      </c>
      <c r="E2438" s="151" t="s">
        <v>13</v>
      </c>
      <c r="F2438" s="152" t="str">
        <f t="shared" si="113"/>
        <v/>
      </c>
      <c r="G2438" s="153">
        <f>IF($K2438="Padrão",BDI!$B$17,IF($K2438="Diferenciado",BDI!$E$17,0))</f>
        <v>0.2039</v>
      </c>
      <c r="H2438" s="151" t="str">
        <f t="shared" ref="H2438:H2501" si="114">IF(ISNUMBER(E2438),ROUND(E2438*(1+G2438),2),"")</f>
        <v/>
      </c>
      <c r="I2438" s="152" t="str">
        <f t="shared" ref="I2438:I2501" si="115">IF(ISNUMBER(E2438),ROUND(H2438*D2438,2),"")</f>
        <v/>
      </c>
      <c r="J2438" s="154"/>
      <c r="K2438" s="155" t="s">
        <v>2966</v>
      </c>
    </row>
    <row r="2439" spans="1:11" hidden="1" x14ac:dyDescent="0.25">
      <c r="A2439" s="148" t="s">
        <v>6869</v>
      </c>
      <c r="B2439" s="149" t="s">
        <v>6870</v>
      </c>
      <c r="C2439" s="150" t="s">
        <v>18</v>
      </c>
      <c r="D2439" s="150">
        <v>0</v>
      </c>
      <c r="E2439" s="151" t="s">
        <v>13</v>
      </c>
      <c r="F2439" s="152" t="str">
        <f t="shared" ref="F2439:F2502" si="116">IF(ISNUMBER(E2439),D2439*E2439,"")</f>
        <v/>
      </c>
      <c r="G2439" s="153">
        <f>IF($K2439="Padrão",BDI!$B$17,IF($K2439="Diferenciado",BDI!$E$17,0))</f>
        <v>0.2039</v>
      </c>
      <c r="H2439" s="151" t="str">
        <f t="shared" si="114"/>
        <v/>
      </c>
      <c r="I2439" s="152" t="str">
        <f t="shared" si="115"/>
        <v/>
      </c>
      <c r="J2439" s="154"/>
      <c r="K2439" s="155" t="s">
        <v>2966</v>
      </c>
    </row>
    <row r="2440" spans="1:11" hidden="1" x14ac:dyDescent="0.25">
      <c r="A2440" s="148" t="s">
        <v>6871</v>
      </c>
      <c r="B2440" s="149" t="s">
        <v>6872</v>
      </c>
      <c r="C2440" s="150" t="s">
        <v>18</v>
      </c>
      <c r="D2440" s="150">
        <v>0</v>
      </c>
      <c r="E2440" s="151" t="s">
        <v>13</v>
      </c>
      <c r="F2440" s="152" t="str">
        <f t="shared" si="116"/>
        <v/>
      </c>
      <c r="G2440" s="153">
        <f>IF($K2440="Padrão",BDI!$B$17,IF($K2440="Diferenciado",BDI!$E$17,0))</f>
        <v>0.2039</v>
      </c>
      <c r="H2440" s="151" t="str">
        <f t="shared" si="114"/>
        <v/>
      </c>
      <c r="I2440" s="152" t="str">
        <f t="shared" si="115"/>
        <v/>
      </c>
      <c r="J2440" s="154"/>
      <c r="K2440" s="155" t="s">
        <v>2966</v>
      </c>
    </row>
    <row r="2441" spans="1:11" hidden="1" x14ac:dyDescent="0.25">
      <c r="A2441" s="148" t="s">
        <v>6873</v>
      </c>
      <c r="B2441" s="149" t="s">
        <v>6874</v>
      </c>
      <c r="C2441" s="150" t="s">
        <v>18</v>
      </c>
      <c r="D2441" s="150">
        <v>0</v>
      </c>
      <c r="E2441" s="151" t="s">
        <v>13</v>
      </c>
      <c r="F2441" s="152" t="str">
        <f t="shared" si="116"/>
        <v/>
      </c>
      <c r="G2441" s="153">
        <f>IF($K2441="Padrão",BDI!$B$17,IF($K2441="Diferenciado",BDI!$E$17,0))</f>
        <v>0.2039</v>
      </c>
      <c r="H2441" s="151" t="str">
        <f t="shared" si="114"/>
        <v/>
      </c>
      <c r="I2441" s="152" t="str">
        <f t="shared" si="115"/>
        <v/>
      </c>
      <c r="J2441" s="154"/>
      <c r="K2441" s="155" t="s">
        <v>2966</v>
      </c>
    </row>
    <row r="2442" spans="1:11" hidden="1" x14ac:dyDescent="0.25">
      <c r="A2442" s="148" t="s">
        <v>6875</v>
      </c>
      <c r="B2442" s="149" t="s">
        <v>6876</v>
      </c>
      <c r="C2442" s="150" t="s">
        <v>18</v>
      </c>
      <c r="D2442" s="150">
        <v>0</v>
      </c>
      <c r="E2442" s="151" t="s">
        <v>13</v>
      </c>
      <c r="F2442" s="152" t="str">
        <f t="shared" si="116"/>
        <v/>
      </c>
      <c r="G2442" s="153">
        <f>IF($K2442="Padrão",BDI!$B$17,IF($K2442="Diferenciado",BDI!$E$17,0))</f>
        <v>0.2039</v>
      </c>
      <c r="H2442" s="151" t="str">
        <f t="shared" si="114"/>
        <v/>
      </c>
      <c r="I2442" s="152" t="str">
        <f t="shared" si="115"/>
        <v/>
      </c>
      <c r="J2442" s="154"/>
      <c r="K2442" s="155" t="s">
        <v>2966</v>
      </c>
    </row>
    <row r="2443" spans="1:11" hidden="1" x14ac:dyDescent="0.25">
      <c r="A2443" s="148" t="s">
        <v>6877</v>
      </c>
      <c r="B2443" s="149" t="s">
        <v>6878</v>
      </c>
      <c r="C2443" s="150" t="s">
        <v>18</v>
      </c>
      <c r="D2443" s="150">
        <v>0</v>
      </c>
      <c r="E2443" s="151" t="s">
        <v>13</v>
      </c>
      <c r="F2443" s="152" t="str">
        <f t="shared" si="116"/>
        <v/>
      </c>
      <c r="G2443" s="153">
        <f>IF($K2443="Padrão",BDI!$B$17,IF($K2443="Diferenciado",BDI!$E$17,0))</f>
        <v>0.2039</v>
      </c>
      <c r="H2443" s="151" t="str">
        <f t="shared" si="114"/>
        <v/>
      </c>
      <c r="I2443" s="152" t="str">
        <f t="shared" si="115"/>
        <v/>
      </c>
      <c r="J2443" s="154"/>
      <c r="K2443" s="155" t="s">
        <v>2966</v>
      </c>
    </row>
    <row r="2444" spans="1:11" hidden="1" x14ac:dyDescent="0.25">
      <c r="A2444" s="148" t="s">
        <v>6879</v>
      </c>
      <c r="B2444" s="149" t="s">
        <v>6880</v>
      </c>
      <c r="C2444" s="150" t="s">
        <v>18</v>
      </c>
      <c r="D2444" s="150">
        <v>0</v>
      </c>
      <c r="E2444" s="151" t="s">
        <v>13</v>
      </c>
      <c r="F2444" s="152" t="str">
        <f t="shared" si="116"/>
        <v/>
      </c>
      <c r="G2444" s="153">
        <f>IF($K2444="Padrão",BDI!$B$17,IF($K2444="Diferenciado",BDI!$E$17,0))</f>
        <v>0.2039</v>
      </c>
      <c r="H2444" s="151" t="str">
        <f t="shared" si="114"/>
        <v/>
      </c>
      <c r="I2444" s="152" t="str">
        <f t="shared" si="115"/>
        <v/>
      </c>
      <c r="J2444" s="154"/>
      <c r="K2444" s="155" t="s">
        <v>2966</v>
      </c>
    </row>
    <row r="2445" spans="1:11" hidden="1" x14ac:dyDescent="0.25">
      <c r="A2445" s="148" t="s">
        <v>6881</v>
      </c>
      <c r="B2445" s="149" t="s">
        <v>6882</v>
      </c>
      <c r="C2445" s="150" t="s">
        <v>18</v>
      </c>
      <c r="D2445" s="150">
        <v>0</v>
      </c>
      <c r="E2445" s="151" t="s">
        <v>13</v>
      </c>
      <c r="F2445" s="152" t="str">
        <f t="shared" si="116"/>
        <v/>
      </c>
      <c r="G2445" s="153">
        <f>IF($K2445="Padrão",BDI!$B$17,IF($K2445="Diferenciado",BDI!$E$17,0))</f>
        <v>0.2039</v>
      </c>
      <c r="H2445" s="151" t="str">
        <f t="shared" si="114"/>
        <v/>
      </c>
      <c r="I2445" s="152" t="str">
        <f t="shared" si="115"/>
        <v/>
      </c>
      <c r="J2445" s="154"/>
      <c r="K2445" s="155" t="s">
        <v>2966</v>
      </c>
    </row>
    <row r="2446" spans="1:11" hidden="1" x14ac:dyDescent="0.25">
      <c r="A2446" s="148" t="s">
        <v>6883</v>
      </c>
      <c r="B2446" s="149" t="s">
        <v>6884</v>
      </c>
      <c r="C2446" s="150" t="s">
        <v>18</v>
      </c>
      <c r="D2446" s="150">
        <v>0</v>
      </c>
      <c r="E2446" s="151" t="s">
        <v>13</v>
      </c>
      <c r="F2446" s="152" t="str">
        <f t="shared" si="116"/>
        <v/>
      </c>
      <c r="G2446" s="153">
        <f>IF($K2446="Padrão",BDI!$B$17,IF($K2446="Diferenciado",BDI!$E$17,0))</f>
        <v>0.2039</v>
      </c>
      <c r="H2446" s="151" t="str">
        <f t="shared" si="114"/>
        <v/>
      </c>
      <c r="I2446" s="152" t="str">
        <f t="shared" si="115"/>
        <v/>
      </c>
      <c r="J2446" s="154"/>
      <c r="K2446" s="155" t="s">
        <v>2966</v>
      </c>
    </row>
    <row r="2447" spans="1:11" hidden="1" x14ac:dyDescent="0.25">
      <c r="A2447" s="148" t="s">
        <v>6885</v>
      </c>
      <c r="B2447" s="149" t="s">
        <v>6886</v>
      </c>
      <c r="C2447" s="150" t="s">
        <v>18</v>
      </c>
      <c r="D2447" s="150">
        <v>0</v>
      </c>
      <c r="E2447" s="151" t="s">
        <v>13</v>
      </c>
      <c r="F2447" s="152" t="str">
        <f t="shared" si="116"/>
        <v/>
      </c>
      <c r="G2447" s="153">
        <f>IF($K2447="Padrão",BDI!$B$17,IF($K2447="Diferenciado",BDI!$E$17,0))</f>
        <v>0.2039</v>
      </c>
      <c r="H2447" s="151" t="str">
        <f t="shared" si="114"/>
        <v/>
      </c>
      <c r="I2447" s="152" t="str">
        <f t="shared" si="115"/>
        <v/>
      </c>
      <c r="J2447" s="154"/>
      <c r="K2447" s="155" t="s">
        <v>2966</v>
      </c>
    </row>
    <row r="2448" spans="1:11" hidden="1" x14ac:dyDescent="0.25">
      <c r="A2448" s="148" t="s">
        <v>6887</v>
      </c>
      <c r="B2448" s="149" t="s">
        <v>6888</v>
      </c>
      <c r="C2448" s="150" t="s">
        <v>18</v>
      </c>
      <c r="D2448" s="150">
        <v>0</v>
      </c>
      <c r="E2448" s="151" t="s">
        <v>13</v>
      </c>
      <c r="F2448" s="152" t="str">
        <f t="shared" si="116"/>
        <v/>
      </c>
      <c r="G2448" s="153">
        <f>IF($K2448="Padrão",BDI!$B$17,IF($K2448="Diferenciado",BDI!$E$17,0))</f>
        <v>0.2039</v>
      </c>
      <c r="H2448" s="151" t="str">
        <f t="shared" si="114"/>
        <v/>
      </c>
      <c r="I2448" s="152" t="str">
        <f t="shared" si="115"/>
        <v/>
      </c>
      <c r="J2448" s="154"/>
      <c r="K2448" s="155" t="s">
        <v>2966</v>
      </c>
    </row>
    <row r="2449" spans="1:11" hidden="1" x14ac:dyDescent="0.25">
      <c r="A2449" s="148" t="s">
        <v>6889</v>
      </c>
      <c r="B2449" s="149" t="s">
        <v>6890</v>
      </c>
      <c r="C2449" s="150" t="s">
        <v>18</v>
      </c>
      <c r="D2449" s="150">
        <v>0</v>
      </c>
      <c r="E2449" s="151" t="s">
        <v>13</v>
      </c>
      <c r="F2449" s="152" t="str">
        <f t="shared" si="116"/>
        <v/>
      </c>
      <c r="G2449" s="153">
        <f>IF($K2449="Padrão",BDI!$B$17,IF($K2449="Diferenciado",BDI!$E$17,0))</f>
        <v>0.2039</v>
      </c>
      <c r="H2449" s="151" t="str">
        <f t="shared" si="114"/>
        <v/>
      </c>
      <c r="I2449" s="152" t="str">
        <f t="shared" si="115"/>
        <v/>
      </c>
      <c r="J2449" s="154"/>
      <c r="K2449" s="155" t="s">
        <v>2966</v>
      </c>
    </row>
    <row r="2450" spans="1:11" hidden="1" x14ac:dyDescent="0.25">
      <c r="A2450" s="148" t="s">
        <v>6891</v>
      </c>
      <c r="B2450" s="149" t="s">
        <v>6892</v>
      </c>
      <c r="C2450" s="150" t="s">
        <v>18</v>
      </c>
      <c r="D2450" s="150">
        <v>0</v>
      </c>
      <c r="E2450" s="151" t="s">
        <v>13</v>
      </c>
      <c r="F2450" s="152" t="str">
        <f t="shared" si="116"/>
        <v/>
      </c>
      <c r="G2450" s="153">
        <f>IF($K2450="Padrão",BDI!$B$17,IF($K2450="Diferenciado",BDI!$E$17,0))</f>
        <v>0.2039</v>
      </c>
      <c r="H2450" s="151" t="str">
        <f t="shared" si="114"/>
        <v/>
      </c>
      <c r="I2450" s="152" t="str">
        <f t="shared" si="115"/>
        <v/>
      </c>
      <c r="J2450" s="154"/>
      <c r="K2450" s="155" t="s">
        <v>2966</v>
      </c>
    </row>
    <row r="2451" spans="1:11" hidden="1" x14ac:dyDescent="0.25">
      <c r="A2451" s="148" t="s">
        <v>6893</v>
      </c>
      <c r="B2451" s="149" t="s">
        <v>6894</v>
      </c>
      <c r="C2451" s="150" t="s">
        <v>18</v>
      </c>
      <c r="D2451" s="150">
        <v>0</v>
      </c>
      <c r="E2451" s="151" t="s">
        <v>13</v>
      </c>
      <c r="F2451" s="152" t="str">
        <f t="shared" si="116"/>
        <v/>
      </c>
      <c r="G2451" s="153">
        <f>IF($K2451="Padrão",BDI!$B$17,IF($K2451="Diferenciado",BDI!$E$17,0))</f>
        <v>0.2039</v>
      </c>
      <c r="H2451" s="151" t="str">
        <f t="shared" si="114"/>
        <v/>
      </c>
      <c r="I2451" s="152" t="str">
        <f t="shared" si="115"/>
        <v/>
      </c>
      <c r="J2451" s="154"/>
      <c r="K2451" s="155" t="s">
        <v>2966</v>
      </c>
    </row>
    <row r="2452" spans="1:11" hidden="1" x14ac:dyDescent="0.25">
      <c r="A2452" s="148" t="s">
        <v>6895</v>
      </c>
      <c r="B2452" s="149" t="s">
        <v>6896</v>
      </c>
      <c r="C2452" s="150" t="s">
        <v>18</v>
      </c>
      <c r="D2452" s="150">
        <v>0</v>
      </c>
      <c r="E2452" s="151" t="s">
        <v>13</v>
      </c>
      <c r="F2452" s="152" t="str">
        <f t="shared" si="116"/>
        <v/>
      </c>
      <c r="G2452" s="153">
        <f>IF($K2452="Padrão",BDI!$B$17,IF($K2452="Diferenciado",BDI!$E$17,0))</f>
        <v>0.2039</v>
      </c>
      <c r="H2452" s="151" t="str">
        <f t="shared" si="114"/>
        <v/>
      </c>
      <c r="I2452" s="152" t="str">
        <f t="shared" si="115"/>
        <v/>
      </c>
      <c r="J2452" s="154"/>
      <c r="K2452" s="155" t="s">
        <v>2966</v>
      </c>
    </row>
    <row r="2453" spans="1:11" hidden="1" x14ac:dyDescent="0.25">
      <c r="A2453" s="148" t="s">
        <v>6897</v>
      </c>
      <c r="B2453" s="149" t="s">
        <v>6898</v>
      </c>
      <c r="C2453" s="150" t="s">
        <v>18</v>
      </c>
      <c r="D2453" s="150">
        <v>0</v>
      </c>
      <c r="E2453" s="151" t="s">
        <v>13</v>
      </c>
      <c r="F2453" s="152" t="str">
        <f t="shared" si="116"/>
        <v/>
      </c>
      <c r="G2453" s="153">
        <f>IF($K2453="Padrão",BDI!$B$17,IF($K2453="Diferenciado",BDI!$E$17,0))</f>
        <v>0.2039</v>
      </c>
      <c r="H2453" s="151" t="str">
        <f t="shared" si="114"/>
        <v/>
      </c>
      <c r="I2453" s="152" t="str">
        <f t="shared" si="115"/>
        <v/>
      </c>
      <c r="J2453" s="154"/>
      <c r="K2453" s="155" t="s">
        <v>2966</v>
      </c>
    </row>
    <row r="2454" spans="1:11" hidden="1" x14ac:dyDescent="0.25">
      <c r="A2454" s="148" t="s">
        <v>6899</v>
      </c>
      <c r="B2454" s="149" t="s">
        <v>6900</v>
      </c>
      <c r="C2454" s="150" t="s">
        <v>18</v>
      </c>
      <c r="D2454" s="150">
        <v>0</v>
      </c>
      <c r="E2454" s="151" t="s">
        <v>13</v>
      </c>
      <c r="F2454" s="152" t="str">
        <f t="shared" si="116"/>
        <v/>
      </c>
      <c r="G2454" s="153">
        <f>IF($K2454="Padrão",BDI!$B$17,IF($K2454="Diferenciado",BDI!$E$17,0))</f>
        <v>0.2039</v>
      </c>
      <c r="H2454" s="151" t="str">
        <f t="shared" si="114"/>
        <v/>
      </c>
      <c r="I2454" s="152" t="str">
        <f t="shared" si="115"/>
        <v/>
      </c>
      <c r="J2454" s="154"/>
      <c r="K2454" s="155" t="s">
        <v>2966</v>
      </c>
    </row>
    <row r="2455" spans="1:11" hidden="1" x14ac:dyDescent="0.25">
      <c r="A2455" s="148" t="s">
        <v>6901</v>
      </c>
      <c r="B2455" s="149" t="s">
        <v>6902</v>
      </c>
      <c r="C2455" s="150" t="s">
        <v>18</v>
      </c>
      <c r="D2455" s="150">
        <v>0</v>
      </c>
      <c r="E2455" s="151" t="s">
        <v>13</v>
      </c>
      <c r="F2455" s="152" t="str">
        <f t="shared" si="116"/>
        <v/>
      </c>
      <c r="G2455" s="153">
        <f>IF($K2455="Padrão",BDI!$B$17,IF($K2455="Diferenciado",BDI!$E$17,0))</f>
        <v>0.2039</v>
      </c>
      <c r="H2455" s="151" t="str">
        <f t="shared" si="114"/>
        <v/>
      </c>
      <c r="I2455" s="152" t="str">
        <f t="shared" si="115"/>
        <v/>
      </c>
      <c r="J2455" s="154"/>
      <c r="K2455" s="155" t="s">
        <v>2966</v>
      </c>
    </row>
    <row r="2456" spans="1:11" hidden="1" x14ac:dyDescent="0.25">
      <c r="A2456" s="148" t="s">
        <v>6903</v>
      </c>
      <c r="B2456" s="149" t="s">
        <v>6904</v>
      </c>
      <c r="C2456" s="150" t="s">
        <v>18</v>
      </c>
      <c r="D2456" s="150">
        <v>0</v>
      </c>
      <c r="E2456" s="151" t="s">
        <v>13</v>
      </c>
      <c r="F2456" s="152" t="str">
        <f t="shared" si="116"/>
        <v/>
      </c>
      <c r="G2456" s="153">
        <f>IF($K2456="Padrão",BDI!$B$17,IF($K2456="Diferenciado",BDI!$E$17,0))</f>
        <v>0.2039</v>
      </c>
      <c r="H2456" s="151" t="str">
        <f t="shared" si="114"/>
        <v/>
      </c>
      <c r="I2456" s="152" t="str">
        <f t="shared" si="115"/>
        <v/>
      </c>
      <c r="J2456" s="154"/>
      <c r="K2456" s="155" t="s">
        <v>2966</v>
      </c>
    </row>
    <row r="2457" spans="1:11" hidden="1" x14ac:dyDescent="0.25">
      <c r="A2457" s="148" t="s">
        <v>6905</v>
      </c>
      <c r="B2457" s="149" t="s">
        <v>6906</v>
      </c>
      <c r="C2457" s="150" t="s">
        <v>18</v>
      </c>
      <c r="D2457" s="150">
        <v>0</v>
      </c>
      <c r="E2457" s="151" t="s">
        <v>13</v>
      </c>
      <c r="F2457" s="152" t="str">
        <f t="shared" si="116"/>
        <v/>
      </c>
      <c r="G2457" s="153">
        <f>IF($K2457="Padrão",BDI!$B$17,IF($K2457="Diferenciado",BDI!$E$17,0))</f>
        <v>0.2039</v>
      </c>
      <c r="H2457" s="151" t="str">
        <f t="shared" si="114"/>
        <v/>
      </c>
      <c r="I2457" s="152" t="str">
        <f t="shared" si="115"/>
        <v/>
      </c>
      <c r="J2457" s="154"/>
      <c r="K2457" s="155" t="s">
        <v>2966</v>
      </c>
    </row>
    <row r="2458" spans="1:11" hidden="1" x14ac:dyDescent="0.25">
      <c r="A2458" s="148" t="s">
        <v>6907</v>
      </c>
      <c r="B2458" s="149" t="s">
        <v>6908</v>
      </c>
      <c r="C2458" s="150" t="s">
        <v>18</v>
      </c>
      <c r="D2458" s="150">
        <v>0</v>
      </c>
      <c r="E2458" s="151" t="s">
        <v>13</v>
      </c>
      <c r="F2458" s="152" t="str">
        <f t="shared" si="116"/>
        <v/>
      </c>
      <c r="G2458" s="153">
        <f>IF($K2458="Padrão",BDI!$B$17,IF($K2458="Diferenciado",BDI!$E$17,0))</f>
        <v>0.2039</v>
      </c>
      <c r="H2458" s="151" t="str">
        <f t="shared" si="114"/>
        <v/>
      </c>
      <c r="I2458" s="152" t="str">
        <f t="shared" si="115"/>
        <v/>
      </c>
      <c r="J2458" s="154"/>
      <c r="K2458" s="155" t="s">
        <v>2966</v>
      </c>
    </row>
    <row r="2459" spans="1:11" hidden="1" x14ac:dyDescent="0.25">
      <c r="A2459" s="148" t="s">
        <v>6909</v>
      </c>
      <c r="B2459" s="149" t="s">
        <v>6910</v>
      </c>
      <c r="C2459" s="150" t="s">
        <v>18</v>
      </c>
      <c r="D2459" s="150">
        <v>0</v>
      </c>
      <c r="E2459" s="151" t="s">
        <v>13</v>
      </c>
      <c r="F2459" s="152" t="str">
        <f t="shared" si="116"/>
        <v/>
      </c>
      <c r="G2459" s="153">
        <f>IF($K2459="Padrão",BDI!$B$17,IF($K2459="Diferenciado",BDI!$E$17,0))</f>
        <v>0.2039</v>
      </c>
      <c r="H2459" s="151" t="str">
        <f t="shared" si="114"/>
        <v/>
      </c>
      <c r="I2459" s="152" t="str">
        <f t="shared" si="115"/>
        <v/>
      </c>
      <c r="J2459" s="154"/>
      <c r="K2459" s="155" t="s">
        <v>2966</v>
      </c>
    </row>
    <row r="2460" spans="1:11" hidden="1" x14ac:dyDescent="0.25">
      <c r="A2460" s="148" t="s">
        <v>6911</v>
      </c>
      <c r="B2460" s="149" t="s">
        <v>6912</v>
      </c>
      <c r="C2460" s="150" t="s">
        <v>18</v>
      </c>
      <c r="D2460" s="150">
        <v>0</v>
      </c>
      <c r="E2460" s="151" t="s">
        <v>13</v>
      </c>
      <c r="F2460" s="152" t="str">
        <f t="shared" si="116"/>
        <v/>
      </c>
      <c r="G2460" s="153">
        <f>IF($K2460="Padrão",BDI!$B$17,IF($K2460="Diferenciado",BDI!$E$17,0))</f>
        <v>0.2039</v>
      </c>
      <c r="H2460" s="151" t="str">
        <f t="shared" si="114"/>
        <v/>
      </c>
      <c r="I2460" s="152" t="str">
        <f t="shared" si="115"/>
        <v/>
      </c>
      <c r="J2460" s="154"/>
      <c r="K2460" s="155" t="s">
        <v>2966</v>
      </c>
    </row>
    <row r="2461" spans="1:11" hidden="1" x14ac:dyDescent="0.25">
      <c r="A2461" s="148" t="s">
        <v>6913</v>
      </c>
      <c r="B2461" s="149" t="s">
        <v>6914</v>
      </c>
      <c r="C2461" s="150" t="s">
        <v>18</v>
      </c>
      <c r="D2461" s="150">
        <v>0</v>
      </c>
      <c r="E2461" s="151" t="s">
        <v>13</v>
      </c>
      <c r="F2461" s="152" t="str">
        <f t="shared" si="116"/>
        <v/>
      </c>
      <c r="G2461" s="153">
        <f>IF($K2461="Padrão",BDI!$B$17,IF($K2461="Diferenciado",BDI!$E$17,0))</f>
        <v>0.2039</v>
      </c>
      <c r="H2461" s="151" t="str">
        <f t="shared" si="114"/>
        <v/>
      </c>
      <c r="I2461" s="152" t="str">
        <f t="shared" si="115"/>
        <v/>
      </c>
      <c r="J2461" s="154"/>
      <c r="K2461" s="155" t="s">
        <v>2966</v>
      </c>
    </row>
    <row r="2462" spans="1:11" hidden="1" x14ac:dyDescent="0.25">
      <c r="A2462" s="148" t="s">
        <v>6915</v>
      </c>
      <c r="B2462" s="149" t="s">
        <v>6916</v>
      </c>
      <c r="C2462" s="150" t="s">
        <v>18</v>
      </c>
      <c r="D2462" s="150">
        <v>0</v>
      </c>
      <c r="E2462" s="151" t="s">
        <v>13</v>
      </c>
      <c r="F2462" s="152" t="str">
        <f t="shared" si="116"/>
        <v/>
      </c>
      <c r="G2462" s="153">
        <f>IF($K2462="Padrão",BDI!$B$17,IF($K2462="Diferenciado",BDI!$E$17,0))</f>
        <v>0.2039</v>
      </c>
      <c r="H2462" s="151" t="str">
        <f t="shared" si="114"/>
        <v/>
      </c>
      <c r="I2462" s="152" t="str">
        <f t="shared" si="115"/>
        <v/>
      </c>
      <c r="J2462" s="154"/>
      <c r="K2462" s="155" t="s">
        <v>2966</v>
      </c>
    </row>
    <row r="2463" spans="1:11" hidden="1" x14ac:dyDescent="0.25">
      <c r="A2463" s="148" t="s">
        <v>6917</v>
      </c>
      <c r="B2463" s="149" t="s">
        <v>6918</v>
      </c>
      <c r="C2463" s="150" t="s">
        <v>18</v>
      </c>
      <c r="D2463" s="150">
        <v>0</v>
      </c>
      <c r="E2463" s="151" t="s">
        <v>13</v>
      </c>
      <c r="F2463" s="152" t="str">
        <f t="shared" si="116"/>
        <v/>
      </c>
      <c r="G2463" s="153">
        <f>IF($K2463="Padrão",BDI!$B$17,IF($K2463="Diferenciado",BDI!$E$17,0))</f>
        <v>0.2039</v>
      </c>
      <c r="H2463" s="151" t="str">
        <f t="shared" si="114"/>
        <v/>
      </c>
      <c r="I2463" s="152" t="str">
        <f t="shared" si="115"/>
        <v/>
      </c>
      <c r="J2463" s="154"/>
      <c r="K2463" s="155" t="s">
        <v>2966</v>
      </c>
    </row>
    <row r="2464" spans="1:11" hidden="1" x14ac:dyDescent="0.25">
      <c r="A2464" s="148" t="s">
        <v>6919</v>
      </c>
      <c r="B2464" s="149" t="s">
        <v>6920</v>
      </c>
      <c r="C2464" s="150" t="s">
        <v>18</v>
      </c>
      <c r="D2464" s="150">
        <v>0</v>
      </c>
      <c r="E2464" s="151" t="s">
        <v>13</v>
      </c>
      <c r="F2464" s="152" t="str">
        <f t="shared" si="116"/>
        <v/>
      </c>
      <c r="G2464" s="153">
        <f>IF($K2464="Padrão",BDI!$B$17,IF($K2464="Diferenciado",BDI!$E$17,0))</f>
        <v>0.2039</v>
      </c>
      <c r="H2464" s="151" t="str">
        <f t="shared" si="114"/>
        <v/>
      </c>
      <c r="I2464" s="152" t="str">
        <f t="shared" si="115"/>
        <v/>
      </c>
      <c r="J2464" s="154"/>
      <c r="K2464" s="155" t="s">
        <v>2966</v>
      </c>
    </row>
    <row r="2465" spans="1:11" hidden="1" x14ac:dyDescent="0.25">
      <c r="A2465" s="148" t="s">
        <v>6921</v>
      </c>
      <c r="B2465" s="149" t="s">
        <v>6922</v>
      </c>
      <c r="C2465" s="150" t="s">
        <v>18</v>
      </c>
      <c r="D2465" s="150">
        <v>0</v>
      </c>
      <c r="E2465" s="151" t="s">
        <v>13</v>
      </c>
      <c r="F2465" s="152" t="str">
        <f t="shared" si="116"/>
        <v/>
      </c>
      <c r="G2465" s="153">
        <f>IF($K2465="Padrão",BDI!$B$17,IF($K2465="Diferenciado",BDI!$E$17,0))</f>
        <v>0.2039</v>
      </c>
      <c r="H2465" s="151" t="str">
        <f t="shared" si="114"/>
        <v/>
      </c>
      <c r="I2465" s="152" t="str">
        <f t="shared" si="115"/>
        <v/>
      </c>
      <c r="J2465" s="154"/>
      <c r="K2465" s="155" t="s">
        <v>2966</v>
      </c>
    </row>
    <row r="2466" spans="1:11" hidden="1" x14ac:dyDescent="0.25">
      <c r="A2466" s="148" t="s">
        <v>6923</v>
      </c>
      <c r="B2466" s="149" t="s">
        <v>6924</v>
      </c>
      <c r="C2466" s="150" t="s">
        <v>18</v>
      </c>
      <c r="D2466" s="150">
        <v>0</v>
      </c>
      <c r="E2466" s="151" t="s">
        <v>13</v>
      </c>
      <c r="F2466" s="152" t="str">
        <f t="shared" si="116"/>
        <v/>
      </c>
      <c r="G2466" s="153">
        <f>IF($K2466="Padrão",BDI!$B$17,IF($K2466="Diferenciado",BDI!$E$17,0))</f>
        <v>0.2039</v>
      </c>
      <c r="H2466" s="151" t="str">
        <f t="shared" si="114"/>
        <v/>
      </c>
      <c r="I2466" s="152" t="str">
        <f t="shared" si="115"/>
        <v/>
      </c>
      <c r="J2466" s="154"/>
      <c r="K2466" s="155" t="s">
        <v>2966</v>
      </c>
    </row>
    <row r="2467" spans="1:11" hidden="1" x14ac:dyDescent="0.25">
      <c r="A2467" s="148" t="s">
        <v>6925</v>
      </c>
      <c r="B2467" s="149" t="s">
        <v>6926</v>
      </c>
      <c r="C2467" s="150" t="s">
        <v>18</v>
      </c>
      <c r="D2467" s="150">
        <v>0</v>
      </c>
      <c r="E2467" s="151" t="s">
        <v>13</v>
      </c>
      <c r="F2467" s="152" t="str">
        <f t="shared" si="116"/>
        <v/>
      </c>
      <c r="G2467" s="153">
        <f>IF($K2467="Padrão",BDI!$B$17,IF($K2467="Diferenciado",BDI!$E$17,0))</f>
        <v>0.2039</v>
      </c>
      <c r="H2467" s="151" t="str">
        <f t="shared" si="114"/>
        <v/>
      </c>
      <c r="I2467" s="152" t="str">
        <f t="shared" si="115"/>
        <v/>
      </c>
      <c r="J2467" s="154"/>
      <c r="K2467" s="155" t="s">
        <v>2966</v>
      </c>
    </row>
    <row r="2468" spans="1:11" hidden="1" x14ac:dyDescent="0.25">
      <c r="A2468" s="148" t="s">
        <v>6927</v>
      </c>
      <c r="B2468" s="149" t="s">
        <v>6928</v>
      </c>
      <c r="C2468" s="150" t="s">
        <v>18</v>
      </c>
      <c r="D2468" s="150">
        <v>0</v>
      </c>
      <c r="E2468" s="151" t="s">
        <v>13</v>
      </c>
      <c r="F2468" s="152" t="str">
        <f t="shared" si="116"/>
        <v/>
      </c>
      <c r="G2468" s="153">
        <f>IF($K2468="Padrão",BDI!$B$17,IF($K2468="Diferenciado",BDI!$E$17,0))</f>
        <v>0.2039</v>
      </c>
      <c r="H2468" s="151" t="str">
        <f t="shared" si="114"/>
        <v/>
      </c>
      <c r="I2468" s="152" t="str">
        <f t="shared" si="115"/>
        <v/>
      </c>
      <c r="J2468" s="154"/>
      <c r="K2468" s="155" t="s">
        <v>2966</v>
      </c>
    </row>
    <row r="2469" spans="1:11" hidden="1" x14ac:dyDescent="0.25">
      <c r="A2469" s="148" t="s">
        <v>6929</v>
      </c>
      <c r="B2469" s="149" t="s">
        <v>6930</v>
      </c>
      <c r="C2469" s="150" t="s">
        <v>18</v>
      </c>
      <c r="D2469" s="150">
        <v>0</v>
      </c>
      <c r="E2469" s="151" t="s">
        <v>13</v>
      </c>
      <c r="F2469" s="152" t="str">
        <f t="shared" si="116"/>
        <v/>
      </c>
      <c r="G2469" s="153">
        <f>IF($K2469="Padrão",BDI!$B$17,IF($K2469="Diferenciado",BDI!$E$17,0))</f>
        <v>0.2039</v>
      </c>
      <c r="H2469" s="151" t="str">
        <f t="shared" si="114"/>
        <v/>
      </c>
      <c r="I2469" s="152" t="str">
        <f t="shared" si="115"/>
        <v/>
      </c>
      <c r="J2469" s="154"/>
      <c r="K2469" s="155" t="s">
        <v>2966</v>
      </c>
    </row>
    <row r="2470" spans="1:11" hidden="1" x14ac:dyDescent="0.25">
      <c r="A2470" s="148" t="s">
        <v>6931</v>
      </c>
      <c r="B2470" s="149" t="s">
        <v>6932</v>
      </c>
      <c r="C2470" s="150" t="s">
        <v>18</v>
      </c>
      <c r="D2470" s="150">
        <v>0</v>
      </c>
      <c r="E2470" s="151" t="s">
        <v>13</v>
      </c>
      <c r="F2470" s="152" t="str">
        <f t="shared" si="116"/>
        <v/>
      </c>
      <c r="G2470" s="153">
        <f>IF($K2470="Padrão",BDI!$B$17,IF($K2470="Diferenciado",BDI!$E$17,0))</f>
        <v>0.2039</v>
      </c>
      <c r="H2470" s="151" t="str">
        <f t="shared" si="114"/>
        <v/>
      </c>
      <c r="I2470" s="152" t="str">
        <f t="shared" si="115"/>
        <v/>
      </c>
      <c r="J2470" s="154"/>
      <c r="K2470" s="155" t="s">
        <v>2966</v>
      </c>
    </row>
    <row r="2471" spans="1:11" hidden="1" x14ac:dyDescent="0.25">
      <c r="A2471" s="148" t="s">
        <v>6933</v>
      </c>
      <c r="B2471" s="149" t="s">
        <v>6934</v>
      </c>
      <c r="C2471" s="150" t="s">
        <v>18</v>
      </c>
      <c r="D2471" s="150">
        <v>0</v>
      </c>
      <c r="E2471" s="151" t="s">
        <v>13</v>
      </c>
      <c r="F2471" s="152" t="str">
        <f t="shared" si="116"/>
        <v/>
      </c>
      <c r="G2471" s="153">
        <f>IF($K2471="Padrão",BDI!$B$17,IF($K2471="Diferenciado",BDI!$E$17,0))</f>
        <v>0.2039</v>
      </c>
      <c r="H2471" s="151" t="str">
        <f t="shared" si="114"/>
        <v/>
      </c>
      <c r="I2471" s="152" t="str">
        <f t="shared" si="115"/>
        <v/>
      </c>
      <c r="J2471" s="154"/>
      <c r="K2471" s="155" t="s">
        <v>2966</v>
      </c>
    </row>
    <row r="2472" spans="1:11" hidden="1" x14ac:dyDescent="0.25">
      <c r="A2472" s="148" t="s">
        <v>6935</v>
      </c>
      <c r="B2472" s="149" t="s">
        <v>6936</v>
      </c>
      <c r="C2472" s="150" t="s">
        <v>18</v>
      </c>
      <c r="D2472" s="150">
        <v>0</v>
      </c>
      <c r="E2472" s="151" t="s">
        <v>13</v>
      </c>
      <c r="F2472" s="152" t="str">
        <f t="shared" si="116"/>
        <v/>
      </c>
      <c r="G2472" s="153">
        <f>IF($K2472="Padrão",BDI!$B$17,IF($K2472="Diferenciado",BDI!$E$17,0))</f>
        <v>0.2039</v>
      </c>
      <c r="H2472" s="151" t="str">
        <f t="shared" si="114"/>
        <v/>
      </c>
      <c r="I2472" s="152" t="str">
        <f t="shared" si="115"/>
        <v/>
      </c>
      <c r="J2472" s="154"/>
      <c r="K2472" s="155" t="s">
        <v>2966</v>
      </c>
    </row>
    <row r="2473" spans="1:11" hidden="1" x14ac:dyDescent="0.25">
      <c r="A2473" s="148" t="s">
        <v>6937</v>
      </c>
      <c r="B2473" s="149" t="s">
        <v>6938</v>
      </c>
      <c r="C2473" s="150" t="s">
        <v>18</v>
      </c>
      <c r="D2473" s="150">
        <v>0</v>
      </c>
      <c r="E2473" s="151" t="s">
        <v>13</v>
      </c>
      <c r="F2473" s="152" t="str">
        <f t="shared" si="116"/>
        <v/>
      </c>
      <c r="G2473" s="153">
        <f>IF($K2473="Padrão",BDI!$B$17,IF($K2473="Diferenciado",BDI!$E$17,0))</f>
        <v>0.2039</v>
      </c>
      <c r="H2473" s="151" t="str">
        <f t="shared" si="114"/>
        <v/>
      </c>
      <c r="I2473" s="152" t="str">
        <f t="shared" si="115"/>
        <v/>
      </c>
      <c r="J2473" s="154"/>
      <c r="K2473" s="155" t="s">
        <v>2966</v>
      </c>
    </row>
    <row r="2474" spans="1:11" hidden="1" x14ac:dyDescent="0.25">
      <c r="A2474" s="148" t="s">
        <v>6939</v>
      </c>
      <c r="B2474" s="149" t="s">
        <v>6940</v>
      </c>
      <c r="C2474" s="150" t="s">
        <v>18</v>
      </c>
      <c r="D2474" s="150">
        <v>0</v>
      </c>
      <c r="E2474" s="151" t="s">
        <v>13</v>
      </c>
      <c r="F2474" s="152" t="str">
        <f t="shared" si="116"/>
        <v/>
      </c>
      <c r="G2474" s="153">
        <f>IF($K2474="Padrão",BDI!$B$17,IF($K2474="Diferenciado",BDI!$E$17,0))</f>
        <v>0.2039</v>
      </c>
      <c r="H2474" s="151" t="str">
        <f t="shared" si="114"/>
        <v/>
      </c>
      <c r="I2474" s="152" t="str">
        <f t="shared" si="115"/>
        <v/>
      </c>
      <c r="J2474" s="154"/>
      <c r="K2474" s="155" t="s">
        <v>2966</v>
      </c>
    </row>
    <row r="2475" spans="1:11" hidden="1" x14ac:dyDescent="0.25">
      <c r="A2475" s="148" t="s">
        <v>6941</v>
      </c>
      <c r="B2475" s="149" t="s">
        <v>6942</v>
      </c>
      <c r="C2475" s="150" t="s">
        <v>18</v>
      </c>
      <c r="D2475" s="150">
        <v>0</v>
      </c>
      <c r="E2475" s="151" t="s">
        <v>13</v>
      </c>
      <c r="F2475" s="152" t="str">
        <f t="shared" si="116"/>
        <v/>
      </c>
      <c r="G2475" s="153">
        <f>IF($K2475="Padrão",BDI!$B$17,IF($K2475="Diferenciado",BDI!$E$17,0))</f>
        <v>0.2039</v>
      </c>
      <c r="H2475" s="151" t="str">
        <f t="shared" si="114"/>
        <v/>
      </c>
      <c r="I2475" s="152" t="str">
        <f t="shared" si="115"/>
        <v/>
      </c>
      <c r="J2475" s="154"/>
      <c r="K2475" s="155" t="s">
        <v>2966</v>
      </c>
    </row>
    <row r="2476" spans="1:11" hidden="1" x14ac:dyDescent="0.25">
      <c r="A2476" s="148" t="s">
        <v>6943</v>
      </c>
      <c r="B2476" s="149" t="s">
        <v>6944</v>
      </c>
      <c r="C2476" s="150" t="s">
        <v>18</v>
      </c>
      <c r="D2476" s="150">
        <v>0</v>
      </c>
      <c r="E2476" s="151" t="s">
        <v>13</v>
      </c>
      <c r="F2476" s="152" t="str">
        <f t="shared" si="116"/>
        <v/>
      </c>
      <c r="G2476" s="153">
        <f>IF($K2476="Padrão",BDI!$B$17,IF($K2476="Diferenciado",BDI!$E$17,0))</f>
        <v>0.2039</v>
      </c>
      <c r="H2476" s="151" t="str">
        <f t="shared" si="114"/>
        <v/>
      </c>
      <c r="I2476" s="152" t="str">
        <f t="shared" si="115"/>
        <v/>
      </c>
      <c r="J2476" s="154"/>
      <c r="K2476" s="155" t="s">
        <v>2966</v>
      </c>
    </row>
    <row r="2477" spans="1:11" hidden="1" x14ac:dyDescent="0.25">
      <c r="A2477" s="148" t="s">
        <v>6945</v>
      </c>
      <c r="B2477" s="149" t="s">
        <v>6946</v>
      </c>
      <c r="C2477" s="150" t="s">
        <v>18</v>
      </c>
      <c r="D2477" s="150">
        <v>0</v>
      </c>
      <c r="E2477" s="151" t="s">
        <v>13</v>
      </c>
      <c r="F2477" s="152" t="str">
        <f t="shared" si="116"/>
        <v/>
      </c>
      <c r="G2477" s="153">
        <f>IF($K2477="Padrão",BDI!$B$17,IF($K2477="Diferenciado",BDI!$E$17,0))</f>
        <v>0.2039</v>
      </c>
      <c r="H2477" s="151" t="str">
        <f t="shared" si="114"/>
        <v/>
      </c>
      <c r="I2477" s="152" t="str">
        <f t="shared" si="115"/>
        <v/>
      </c>
      <c r="J2477" s="154"/>
      <c r="K2477" s="155" t="s">
        <v>2966</v>
      </c>
    </row>
    <row r="2478" spans="1:11" hidden="1" x14ac:dyDescent="0.25">
      <c r="A2478" s="148" t="s">
        <v>6947</v>
      </c>
      <c r="B2478" s="149" t="s">
        <v>6948</v>
      </c>
      <c r="C2478" s="150" t="s">
        <v>18</v>
      </c>
      <c r="D2478" s="150">
        <v>0</v>
      </c>
      <c r="E2478" s="151" t="s">
        <v>13</v>
      </c>
      <c r="F2478" s="152" t="str">
        <f t="shared" si="116"/>
        <v/>
      </c>
      <c r="G2478" s="153">
        <f>IF($K2478="Padrão",BDI!$B$17,IF($K2478="Diferenciado",BDI!$E$17,0))</f>
        <v>0.2039</v>
      </c>
      <c r="H2478" s="151" t="str">
        <f t="shared" si="114"/>
        <v/>
      </c>
      <c r="I2478" s="152" t="str">
        <f t="shared" si="115"/>
        <v/>
      </c>
      <c r="J2478" s="154"/>
      <c r="K2478" s="155" t="s">
        <v>2966</v>
      </c>
    </row>
    <row r="2479" spans="1:11" hidden="1" x14ac:dyDescent="0.25">
      <c r="A2479" s="148" t="s">
        <v>6949</v>
      </c>
      <c r="B2479" s="149" t="s">
        <v>6950</v>
      </c>
      <c r="C2479" s="150" t="s">
        <v>18</v>
      </c>
      <c r="D2479" s="150">
        <v>0</v>
      </c>
      <c r="E2479" s="151" t="s">
        <v>13</v>
      </c>
      <c r="F2479" s="152" t="str">
        <f t="shared" si="116"/>
        <v/>
      </c>
      <c r="G2479" s="153">
        <f>IF($K2479="Padrão",BDI!$B$17,IF($K2479="Diferenciado",BDI!$E$17,0))</f>
        <v>0.2039</v>
      </c>
      <c r="H2479" s="151" t="str">
        <f t="shared" si="114"/>
        <v/>
      </c>
      <c r="I2479" s="152" t="str">
        <f t="shared" si="115"/>
        <v/>
      </c>
      <c r="J2479" s="154"/>
      <c r="K2479" s="155" t="s">
        <v>2966</v>
      </c>
    </row>
    <row r="2480" spans="1:11" hidden="1" x14ac:dyDescent="0.25">
      <c r="A2480" s="148" t="s">
        <v>6951</v>
      </c>
      <c r="B2480" s="149" t="s">
        <v>6952</v>
      </c>
      <c r="C2480" s="150" t="s">
        <v>18</v>
      </c>
      <c r="D2480" s="150">
        <v>0</v>
      </c>
      <c r="E2480" s="151" t="s">
        <v>13</v>
      </c>
      <c r="F2480" s="152" t="str">
        <f t="shared" si="116"/>
        <v/>
      </c>
      <c r="G2480" s="153">
        <f>IF($K2480="Padrão",BDI!$B$17,IF($K2480="Diferenciado",BDI!$E$17,0))</f>
        <v>0.2039</v>
      </c>
      <c r="H2480" s="151" t="str">
        <f t="shared" si="114"/>
        <v/>
      </c>
      <c r="I2480" s="152" t="str">
        <f t="shared" si="115"/>
        <v/>
      </c>
      <c r="J2480" s="154"/>
      <c r="K2480" s="155" t="s">
        <v>2966</v>
      </c>
    </row>
    <row r="2481" spans="1:11" hidden="1" x14ac:dyDescent="0.25">
      <c r="A2481" s="148" t="s">
        <v>6953</v>
      </c>
      <c r="B2481" s="149" t="s">
        <v>6954</v>
      </c>
      <c r="C2481" s="150" t="s">
        <v>18</v>
      </c>
      <c r="D2481" s="150">
        <v>0</v>
      </c>
      <c r="E2481" s="151" t="s">
        <v>13</v>
      </c>
      <c r="F2481" s="152" t="str">
        <f t="shared" si="116"/>
        <v/>
      </c>
      <c r="G2481" s="153">
        <f>IF($K2481="Padrão",BDI!$B$17,IF($K2481="Diferenciado",BDI!$E$17,0))</f>
        <v>0.2039</v>
      </c>
      <c r="H2481" s="151" t="str">
        <f t="shared" si="114"/>
        <v/>
      </c>
      <c r="I2481" s="152" t="str">
        <f t="shared" si="115"/>
        <v/>
      </c>
      <c r="J2481" s="154"/>
      <c r="K2481" s="155" t="s">
        <v>2966</v>
      </c>
    </row>
    <row r="2482" spans="1:11" hidden="1" x14ac:dyDescent="0.25">
      <c r="A2482" s="148" t="s">
        <v>6955</v>
      </c>
      <c r="B2482" s="149" t="s">
        <v>6956</v>
      </c>
      <c r="C2482" s="150" t="s">
        <v>18</v>
      </c>
      <c r="D2482" s="150">
        <v>0</v>
      </c>
      <c r="E2482" s="151" t="s">
        <v>13</v>
      </c>
      <c r="F2482" s="152" t="str">
        <f t="shared" si="116"/>
        <v/>
      </c>
      <c r="G2482" s="153">
        <f>IF($K2482="Padrão",BDI!$B$17,IF($K2482="Diferenciado",BDI!$E$17,0))</f>
        <v>0.2039</v>
      </c>
      <c r="H2482" s="151" t="str">
        <f t="shared" si="114"/>
        <v/>
      </c>
      <c r="I2482" s="152" t="str">
        <f t="shared" si="115"/>
        <v/>
      </c>
      <c r="J2482" s="154"/>
      <c r="K2482" s="155" t="s">
        <v>2966</v>
      </c>
    </row>
    <row r="2483" spans="1:11" hidden="1" x14ac:dyDescent="0.25">
      <c r="A2483" s="148" t="s">
        <v>6957</v>
      </c>
      <c r="B2483" s="149" t="s">
        <v>6958</v>
      </c>
      <c r="C2483" s="150" t="s">
        <v>18</v>
      </c>
      <c r="D2483" s="150">
        <v>0</v>
      </c>
      <c r="E2483" s="151" t="s">
        <v>13</v>
      </c>
      <c r="F2483" s="152" t="str">
        <f t="shared" si="116"/>
        <v/>
      </c>
      <c r="G2483" s="153">
        <f>IF($K2483="Padrão",BDI!$B$17,IF($K2483="Diferenciado",BDI!$E$17,0))</f>
        <v>0.2039</v>
      </c>
      <c r="H2483" s="151" t="str">
        <f t="shared" si="114"/>
        <v/>
      </c>
      <c r="I2483" s="152" t="str">
        <f t="shared" si="115"/>
        <v/>
      </c>
      <c r="J2483" s="154"/>
      <c r="K2483" s="155" t="s">
        <v>2966</v>
      </c>
    </row>
    <row r="2484" spans="1:11" hidden="1" x14ac:dyDescent="0.25">
      <c r="A2484" s="148" t="s">
        <v>6959</v>
      </c>
      <c r="B2484" s="149" t="s">
        <v>6960</v>
      </c>
      <c r="C2484" s="150" t="s">
        <v>18</v>
      </c>
      <c r="D2484" s="150">
        <v>0</v>
      </c>
      <c r="E2484" s="151" t="s">
        <v>13</v>
      </c>
      <c r="F2484" s="152" t="str">
        <f t="shared" si="116"/>
        <v/>
      </c>
      <c r="G2484" s="153">
        <f>IF($K2484="Padrão",BDI!$B$17,IF($K2484="Diferenciado",BDI!$E$17,0))</f>
        <v>0.2039</v>
      </c>
      <c r="H2484" s="151" t="str">
        <f t="shared" si="114"/>
        <v/>
      </c>
      <c r="I2484" s="152" t="str">
        <f t="shared" si="115"/>
        <v/>
      </c>
      <c r="J2484" s="154"/>
      <c r="K2484" s="155" t="s">
        <v>2966</v>
      </c>
    </row>
    <row r="2485" spans="1:11" hidden="1" x14ac:dyDescent="0.25">
      <c r="A2485" s="148" t="s">
        <v>6961</v>
      </c>
      <c r="B2485" s="149" t="s">
        <v>6962</v>
      </c>
      <c r="C2485" s="150" t="s">
        <v>18</v>
      </c>
      <c r="D2485" s="150">
        <v>0</v>
      </c>
      <c r="E2485" s="151" t="s">
        <v>13</v>
      </c>
      <c r="F2485" s="152" t="str">
        <f t="shared" si="116"/>
        <v/>
      </c>
      <c r="G2485" s="153">
        <f>IF($K2485="Padrão",BDI!$B$17,IF($K2485="Diferenciado",BDI!$E$17,0))</f>
        <v>0.2039</v>
      </c>
      <c r="H2485" s="151" t="str">
        <f t="shared" si="114"/>
        <v/>
      </c>
      <c r="I2485" s="152" t="str">
        <f t="shared" si="115"/>
        <v/>
      </c>
      <c r="J2485" s="154"/>
      <c r="K2485" s="155" t="s">
        <v>2966</v>
      </c>
    </row>
    <row r="2486" spans="1:11" hidden="1" x14ac:dyDescent="0.25">
      <c r="A2486" s="148" t="s">
        <v>6963</v>
      </c>
      <c r="B2486" s="149" t="s">
        <v>6964</v>
      </c>
      <c r="C2486" s="150" t="s">
        <v>18</v>
      </c>
      <c r="D2486" s="150">
        <v>0</v>
      </c>
      <c r="E2486" s="151" t="s">
        <v>13</v>
      </c>
      <c r="F2486" s="152" t="str">
        <f t="shared" si="116"/>
        <v/>
      </c>
      <c r="G2486" s="153">
        <f>IF($K2486="Padrão",BDI!$B$17,IF($K2486="Diferenciado",BDI!$E$17,0))</f>
        <v>0.2039</v>
      </c>
      <c r="H2486" s="151" t="str">
        <f t="shared" si="114"/>
        <v/>
      </c>
      <c r="I2486" s="152" t="str">
        <f t="shared" si="115"/>
        <v/>
      </c>
      <c r="J2486" s="154"/>
      <c r="K2486" s="155" t="s">
        <v>2966</v>
      </c>
    </row>
    <row r="2487" spans="1:11" hidden="1" x14ac:dyDescent="0.25">
      <c r="A2487" s="148" t="s">
        <v>6965</v>
      </c>
      <c r="B2487" s="149" t="s">
        <v>6966</v>
      </c>
      <c r="C2487" s="150" t="s">
        <v>18</v>
      </c>
      <c r="D2487" s="150">
        <v>0</v>
      </c>
      <c r="E2487" s="151" t="s">
        <v>13</v>
      </c>
      <c r="F2487" s="152" t="str">
        <f t="shared" si="116"/>
        <v/>
      </c>
      <c r="G2487" s="153">
        <f>IF($K2487="Padrão",BDI!$B$17,IF($K2487="Diferenciado",BDI!$E$17,0))</f>
        <v>0.2039</v>
      </c>
      <c r="H2487" s="151" t="str">
        <f t="shared" si="114"/>
        <v/>
      </c>
      <c r="I2487" s="152" t="str">
        <f t="shared" si="115"/>
        <v/>
      </c>
      <c r="J2487" s="154"/>
      <c r="K2487" s="155" t="s">
        <v>2966</v>
      </c>
    </row>
    <row r="2488" spans="1:11" hidden="1" x14ac:dyDescent="0.25">
      <c r="A2488" s="148" t="s">
        <v>6967</v>
      </c>
      <c r="B2488" s="149" t="s">
        <v>6968</v>
      </c>
      <c r="C2488" s="150" t="s">
        <v>18</v>
      </c>
      <c r="D2488" s="150">
        <v>0</v>
      </c>
      <c r="E2488" s="151" t="s">
        <v>13</v>
      </c>
      <c r="F2488" s="152" t="str">
        <f t="shared" si="116"/>
        <v/>
      </c>
      <c r="G2488" s="153">
        <f>IF($K2488="Padrão",BDI!$B$17,IF($K2488="Diferenciado",BDI!$E$17,0))</f>
        <v>0.2039</v>
      </c>
      <c r="H2488" s="151" t="str">
        <f t="shared" si="114"/>
        <v/>
      </c>
      <c r="I2488" s="152" t="str">
        <f t="shared" si="115"/>
        <v/>
      </c>
      <c r="J2488" s="154"/>
      <c r="K2488" s="155" t="s">
        <v>2966</v>
      </c>
    </row>
    <row r="2489" spans="1:11" hidden="1" x14ac:dyDescent="0.25">
      <c r="A2489" s="148" t="s">
        <v>6969</v>
      </c>
      <c r="B2489" s="149" t="s">
        <v>6970</v>
      </c>
      <c r="C2489" s="150" t="s">
        <v>18</v>
      </c>
      <c r="D2489" s="150">
        <v>0</v>
      </c>
      <c r="E2489" s="151" t="s">
        <v>13</v>
      </c>
      <c r="F2489" s="152" t="str">
        <f t="shared" si="116"/>
        <v/>
      </c>
      <c r="G2489" s="153">
        <f>IF($K2489="Padrão",BDI!$B$17,IF($K2489="Diferenciado",BDI!$E$17,0))</f>
        <v>0.2039</v>
      </c>
      <c r="H2489" s="151" t="str">
        <f t="shared" si="114"/>
        <v/>
      </c>
      <c r="I2489" s="152" t="str">
        <f t="shared" si="115"/>
        <v/>
      </c>
      <c r="J2489" s="154"/>
      <c r="K2489" s="155" t="s">
        <v>2966</v>
      </c>
    </row>
    <row r="2490" spans="1:11" hidden="1" x14ac:dyDescent="0.25">
      <c r="A2490" s="148" t="s">
        <v>6971</v>
      </c>
      <c r="B2490" s="149" t="s">
        <v>6972</v>
      </c>
      <c r="C2490" s="150" t="s">
        <v>18</v>
      </c>
      <c r="D2490" s="150">
        <v>0</v>
      </c>
      <c r="E2490" s="151" t="s">
        <v>13</v>
      </c>
      <c r="F2490" s="152" t="str">
        <f t="shared" si="116"/>
        <v/>
      </c>
      <c r="G2490" s="153">
        <f>IF($K2490="Padrão",BDI!$B$17,IF($K2490="Diferenciado",BDI!$E$17,0))</f>
        <v>0.2039</v>
      </c>
      <c r="H2490" s="151" t="str">
        <f t="shared" si="114"/>
        <v/>
      </c>
      <c r="I2490" s="152" t="str">
        <f t="shared" si="115"/>
        <v/>
      </c>
      <c r="J2490" s="154"/>
      <c r="K2490" s="155" t="s">
        <v>2966</v>
      </c>
    </row>
    <row r="2491" spans="1:11" hidden="1" x14ac:dyDescent="0.25">
      <c r="A2491" s="148" t="s">
        <v>6973</v>
      </c>
      <c r="B2491" s="149" t="s">
        <v>6974</v>
      </c>
      <c r="C2491" s="150" t="s">
        <v>18</v>
      </c>
      <c r="D2491" s="150">
        <v>0</v>
      </c>
      <c r="E2491" s="151" t="s">
        <v>13</v>
      </c>
      <c r="F2491" s="152" t="str">
        <f t="shared" si="116"/>
        <v/>
      </c>
      <c r="G2491" s="153">
        <f>IF($K2491="Padrão",BDI!$B$17,IF($K2491="Diferenciado",BDI!$E$17,0))</f>
        <v>0.2039</v>
      </c>
      <c r="H2491" s="151" t="str">
        <f t="shared" si="114"/>
        <v/>
      </c>
      <c r="I2491" s="152" t="str">
        <f t="shared" si="115"/>
        <v/>
      </c>
      <c r="J2491" s="154"/>
      <c r="K2491" s="155" t="s">
        <v>2966</v>
      </c>
    </row>
    <row r="2492" spans="1:11" hidden="1" x14ac:dyDescent="0.25">
      <c r="A2492" s="148" t="s">
        <v>6975</v>
      </c>
      <c r="B2492" s="149" t="s">
        <v>6976</v>
      </c>
      <c r="C2492" s="150" t="s">
        <v>18</v>
      </c>
      <c r="D2492" s="150">
        <v>0</v>
      </c>
      <c r="E2492" s="151" t="s">
        <v>13</v>
      </c>
      <c r="F2492" s="152" t="str">
        <f t="shared" si="116"/>
        <v/>
      </c>
      <c r="G2492" s="153">
        <f>IF($K2492="Padrão",BDI!$B$17,IF($K2492="Diferenciado",BDI!$E$17,0))</f>
        <v>0.2039</v>
      </c>
      <c r="H2492" s="151" t="str">
        <f t="shared" si="114"/>
        <v/>
      </c>
      <c r="I2492" s="152" t="str">
        <f t="shared" si="115"/>
        <v/>
      </c>
      <c r="J2492" s="154"/>
      <c r="K2492" s="155" t="s">
        <v>2966</v>
      </c>
    </row>
    <row r="2493" spans="1:11" hidden="1" x14ac:dyDescent="0.25">
      <c r="A2493" s="148" t="s">
        <v>6977</v>
      </c>
      <c r="B2493" s="149" t="s">
        <v>6978</v>
      </c>
      <c r="C2493" s="150" t="s">
        <v>18</v>
      </c>
      <c r="D2493" s="150">
        <v>0</v>
      </c>
      <c r="E2493" s="151" t="s">
        <v>13</v>
      </c>
      <c r="F2493" s="152" t="str">
        <f t="shared" si="116"/>
        <v/>
      </c>
      <c r="G2493" s="153">
        <f>IF($K2493="Padrão",BDI!$B$17,IF($K2493="Diferenciado",BDI!$E$17,0))</f>
        <v>0.2039</v>
      </c>
      <c r="H2493" s="151" t="str">
        <f t="shared" si="114"/>
        <v/>
      </c>
      <c r="I2493" s="152" t="str">
        <f t="shared" si="115"/>
        <v/>
      </c>
      <c r="J2493" s="154"/>
      <c r="K2493" s="155" t="s">
        <v>2966</v>
      </c>
    </row>
    <row r="2494" spans="1:11" hidden="1" x14ac:dyDescent="0.25">
      <c r="A2494" s="148" t="s">
        <v>6979</v>
      </c>
      <c r="B2494" s="149" t="s">
        <v>6980</v>
      </c>
      <c r="C2494" s="150" t="s">
        <v>18</v>
      </c>
      <c r="D2494" s="150">
        <v>0</v>
      </c>
      <c r="E2494" s="151" t="s">
        <v>13</v>
      </c>
      <c r="F2494" s="152" t="str">
        <f t="shared" si="116"/>
        <v/>
      </c>
      <c r="G2494" s="153">
        <f>IF($K2494="Padrão",BDI!$B$17,IF($K2494="Diferenciado",BDI!$E$17,0))</f>
        <v>0.2039</v>
      </c>
      <c r="H2494" s="151" t="str">
        <f t="shared" si="114"/>
        <v/>
      </c>
      <c r="I2494" s="152" t="str">
        <f t="shared" si="115"/>
        <v/>
      </c>
      <c r="J2494" s="154"/>
      <c r="K2494" s="155" t="s">
        <v>2966</v>
      </c>
    </row>
    <row r="2495" spans="1:11" hidden="1" x14ac:dyDescent="0.25">
      <c r="A2495" s="148" t="s">
        <v>6981</v>
      </c>
      <c r="B2495" s="149" t="s">
        <v>6982</v>
      </c>
      <c r="C2495" s="150" t="s">
        <v>18</v>
      </c>
      <c r="D2495" s="150">
        <v>0</v>
      </c>
      <c r="E2495" s="151" t="s">
        <v>13</v>
      </c>
      <c r="F2495" s="152" t="str">
        <f t="shared" si="116"/>
        <v/>
      </c>
      <c r="G2495" s="153">
        <f>IF($K2495="Padrão",BDI!$B$17,IF($K2495="Diferenciado",BDI!$E$17,0))</f>
        <v>0.2039</v>
      </c>
      <c r="H2495" s="151" t="str">
        <f t="shared" si="114"/>
        <v/>
      </c>
      <c r="I2495" s="152" t="str">
        <f t="shared" si="115"/>
        <v/>
      </c>
      <c r="J2495" s="154"/>
      <c r="K2495" s="155" t="s">
        <v>2966</v>
      </c>
    </row>
    <row r="2496" spans="1:11" hidden="1" x14ac:dyDescent="0.25">
      <c r="A2496" s="148" t="s">
        <v>6983</v>
      </c>
      <c r="B2496" s="149" t="s">
        <v>6984</v>
      </c>
      <c r="C2496" s="150" t="s">
        <v>18</v>
      </c>
      <c r="D2496" s="150">
        <v>0</v>
      </c>
      <c r="E2496" s="151" t="s">
        <v>13</v>
      </c>
      <c r="F2496" s="152" t="str">
        <f t="shared" si="116"/>
        <v/>
      </c>
      <c r="G2496" s="153">
        <f>IF($K2496="Padrão",BDI!$B$17,IF($K2496="Diferenciado",BDI!$E$17,0))</f>
        <v>0.2039</v>
      </c>
      <c r="H2496" s="151" t="str">
        <f t="shared" si="114"/>
        <v/>
      </c>
      <c r="I2496" s="152" t="str">
        <f t="shared" si="115"/>
        <v/>
      </c>
      <c r="J2496" s="154"/>
      <c r="K2496" s="155" t="s">
        <v>2966</v>
      </c>
    </row>
    <row r="2497" spans="1:11" hidden="1" x14ac:dyDescent="0.25">
      <c r="A2497" s="148" t="s">
        <v>6985</v>
      </c>
      <c r="B2497" s="149" t="s">
        <v>6986</v>
      </c>
      <c r="C2497" s="150" t="s">
        <v>18</v>
      </c>
      <c r="D2497" s="150">
        <v>0</v>
      </c>
      <c r="E2497" s="151" t="s">
        <v>13</v>
      </c>
      <c r="F2497" s="152" t="str">
        <f t="shared" si="116"/>
        <v/>
      </c>
      <c r="G2497" s="153">
        <f>IF($K2497="Padrão",BDI!$B$17,IF($K2497="Diferenciado",BDI!$E$17,0))</f>
        <v>0.2039</v>
      </c>
      <c r="H2497" s="151" t="str">
        <f t="shared" si="114"/>
        <v/>
      </c>
      <c r="I2497" s="152" t="str">
        <f t="shared" si="115"/>
        <v/>
      </c>
      <c r="J2497" s="154"/>
      <c r="K2497" s="155" t="s">
        <v>2966</v>
      </c>
    </row>
    <row r="2498" spans="1:11" hidden="1" x14ac:dyDescent="0.25">
      <c r="A2498" s="148" t="s">
        <v>6987</v>
      </c>
      <c r="B2498" s="149" t="s">
        <v>6988</v>
      </c>
      <c r="C2498" s="150" t="s">
        <v>18</v>
      </c>
      <c r="D2498" s="150">
        <v>0</v>
      </c>
      <c r="E2498" s="151" t="s">
        <v>13</v>
      </c>
      <c r="F2498" s="152" t="str">
        <f t="shared" si="116"/>
        <v/>
      </c>
      <c r="G2498" s="153">
        <f>IF($K2498="Padrão",BDI!$B$17,IF($K2498="Diferenciado",BDI!$E$17,0))</f>
        <v>0.2039</v>
      </c>
      <c r="H2498" s="151" t="str">
        <f t="shared" si="114"/>
        <v/>
      </c>
      <c r="I2498" s="152" t="str">
        <f t="shared" si="115"/>
        <v/>
      </c>
      <c r="J2498" s="154"/>
      <c r="K2498" s="155" t="s">
        <v>2966</v>
      </c>
    </row>
    <row r="2499" spans="1:11" hidden="1" x14ac:dyDescent="0.25">
      <c r="A2499" s="148" t="s">
        <v>6989</v>
      </c>
      <c r="B2499" s="149" t="s">
        <v>6990</v>
      </c>
      <c r="C2499" s="150" t="s">
        <v>18</v>
      </c>
      <c r="D2499" s="150">
        <v>0</v>
      </c>
      <c r="E2499" s="151" t="s">
        <v>13</v>
      </c>
      <c r="F2499" s="152" t="str">
        <f t="shared" si="116"/>
        <v/>
      </c>
      <c r="G2499" s="153">
        <f>IF($K2499="Padrão",BDI!$B$17,IF($K2499="Diferenciado",BDI!$E$17,0))</f>
        <v>0.2039</v>
      </c>
      <c r="H2499" s="151" t="str">
        <f t="shared" si="114"/>
        <v/>
      </c>
      <c r="I2499" s="152" t="str">
        <f t="shared" si="115"/>
        <v/>
      </c>
      <c r="J2499" s="154"/>
      <c r="K2499" s="155" t="s">
        <v>2966</v>
      </c>
    </row>
    <row r="2500" spans="1:11" hidden="1" x14ac:dyDescent="0.25">
      <c r="A2500" s="148" t="s">
        <v>6991</v>
      </c>
      <c r="B2500" s="149" t="s">
        <v>6992</v>
      </c>
      <c r="C2500" s="150" t="s">
        <v>18</v>
      </c>
      <c r="D2500" s="150">
        <v>0</v>
      </c>
      <c r="E2500" s="151" t="s">
        <v>13</v>
      </c>
      <c r="F2500" s="152" t="str">
        <f t="shared" si="116"/>
        <v/>
      </c>
      <c r="G2500" s="153">
        <f>IF($K2500="Padrão",BDI!$B$17,IF($K2500="Diferenciado",BDI!$E$17,0))</f>
        <v>0.2039</v>
      </c>
      <c r="H2500" s="151" t="str">
        <f t="shared" si="114"/>
        <v/>
      </c>
      <c r="I2500" s="152" t="str">
        <f t="shared" si="115"/>
        <v/>
      </c>
      <c r="J2500" s="154"/>
      <c r="K2500" s="155" t="s">
        <v>2966</v>
      </c>
    </row>
    <row r="2501" spans="1:11" hidden="1" x14ac:dyDescent="0.25">
      <c r="A2501" s="148" t="s">
        <v>6993</v>
      </c>
      <c r="B2501" s="149" t="s">
        <v>6994</v>
      </c>
      <c r="C2501" s="150" t="s">
        <v>18</v>
      </c>
      <c r="D2501" s="150">
        <v>0</v>
      </c>
      <c r="E2501" s="151" t="s">
        <v>13</v>
      </c>
      <c r="F2501" s="152" t="str">
        <f t="shared" si="116"/>
        <v/>
      </c>
      <c r="G2501" s="153">
        <f>IF($K2501="Padrão",BDI!$B$17,IF($K2501="Diferenciado",BDI!$E$17,0))</f>
        <v>0.2039</v>
      </c>
      <c r="H2501" s="151" t="str">
        <f t="shared" si="114"/>
        <v/>
      </c>
      <c r="I2501" s="152" t="str">
        <f t="shared" si="115"/>
        <v/>
      </c>
      <c r="J2501" s="154"/>
      <c r="K2501" s="155" t="s">
        <v>2966</v>
      </c>
    </row>
    <row r="2502" spans="1:11" hidden="1" x14ac:dyDescent="0.25">
      <c r="A2502" s="148" t="s">
        <v>6995</v>
      </c>
      <c r="B2502" s="149" t="s">
        <v>6996</v>
      </c>
      <c r="C2502" s="150" t="s">
        <v>18</v>
      </c>
      <c r="D2502" s="150">
        <v>0</v>
      </c>
      <c r="E2502" s="151" t="s">
        <v>13</v>
      </c>
      <c r="F2502" s="152" t="str">
        <f t="shared" si="116"/>
        <v/>
      </c>
      <c r="G2502" s="153">
        <f>IF($K2502="Padrão",BDI!$B$17,IF($K2502="Diferenciado",BDI!$E$17,0))</f>
        <v>0.2039</v>
      </c>
      <c r="H2502" s="151" t="str">
        <f t="shared" ref="H2502:H2565" si="117">IF(ISNUMBER(E2502),ROUND(E2502*(1+G2502),2),"")</f>
        <v/>
      </c>
      <c r="I2502" s="152" t="str">
        <f t="shared" ref="I2502:I2565" si="118">IF(ISNUMBER(E2502),ROUND(H2502*D2502,2),"")</f>
        <v/>
      </c>
      <c r="J2502" s="154"/>
      <c r="K2502" s="155" t="s">
        <v>2966</v>
      </c>
    </row>
    <row r="2503" spans="1:11" hidden="1" x14ac:dyDescent="0.25">
      <c r="A2503" s="148" t="s">
        <v>6997</v>
      </c>
      <c r="B2503" s="149" t="s">
        <v>6998</v>
      </c>
      <c r="C2503" s="150" t="s">
        <v>18</v>
      </c>
      <c r="D2503" s="150">
        <v>0</v>
      </c>
      <c r="E2503" s="151" t="s">
        <v>13</v>
      </c>
      <c r="F2503" s="152" t="str">
        <f t="shared" ref="F2503:F2566" si="119">IF(ISNUMBER(E2503),D2503*E2503,"")</f>
        <v/>
      </c>
      <c r="G2503" s="153">
        <f>IF($K2503="Padrão",BDI!$B$17,IF($K2503="Diferenciado",BDI!$E$17,0))</f>
        <v>0.2039</v>
      </c>
      <c r="H2503" s="151" t="str">
        <f t="shared" si="117"/>
        <v/>
      </c>
      <c r="I2503" s="152" t="str">
        <f t="shared" si="118"/>
        <v/>
      </c>
      <c r="J2503" s="154"/>
      <c r="K2503" s="155" t="s">
        <v>2966</v>
      </c>
    </row>
    <row r="2504" spans="1:11" hidden="1" x14ac:dyDescent="0.25">
      <c r="A2504" s="148" t="s">
        <v>1509</v>
      </c>
      <c r="B2504" s="149" t="s">
        <v>6999</v>
      </c>
      <c r="C2504" s="150" t="s">
        <v>18</v>
      </c>
      <c r="D2504" s="150">
        <v>0</v>
      </c>
      <c r="E2504" s="151">
        <f ca="1">OFFSET(INDEX(Composições!A:H,MATCH(Orçamentária!A2504,Composições!A:A,0),8),2,0)</f>
        <v>245.59399999999997</v>
      </c>
      <c r="F2504" s="152">
        <f t="shared" ca="1" si="119"/>
        <v>0</v>
      </c>
      <c r="G2504" s="153">
        <f>IF($K2504="Padrão",BDI!$B$17,IF($K2504="Diferenciado",BDI!$E$17,0))</f>
        <v>0.2039</v>
      </c>
      <c r="H2504" s="151">
        <f t="shared" ca="1" si="117"/>
        <v>295.67</v>
      </c>
      <c r="I2504" s="152">
        <f t="shared" ca="1" si="118"/>
        <v>0</v>
      </c>
      <c r="J2504" s="154"/>
      <c r="K2504" s="155" t="s">
        <v>2966</v>
      </c>
    </row>
    <row r="2505" spans="1:11" hidden="1" x14ac:dyDescent="0.25">
      <c r="A2505" s="148" t="s">
        <v>7000</v>
      </c>
      <c r="B2505" s="149" t="s">
        <v>7001</v>
      </c>
      <c r="C2505" s="150" t="s">
        <v>18</v>
      </c>
      <c r="D2505" s="150">
        <v>0</v>
      </c>
      <c r="E2505" s="151" t="s">
        <v>13</v>
      </c>
      <c r="F2505" s="152" t="str">
        <f t="shared" si="119"/>
        <v/>
      </c>
      <c r="G2505" s="153">
        <f>IF($K2505="Padrão",BDI!$B$17,IF($K2505="Diferenciado",BDI!$E$17,0))</f>
        <v>0.2039</v>
      </c>
      <c r="H2505" s="151" t="str">
        <f t="shared" si="117"/>
        <v/>
      </c>
      <c r="I2505" s="152" t="str">
        <f t="shared" si="118"/>
        <v/>
      </c>
      <c r="J2505" s="154"/>
      <c r="K2505" s="155" t="s">
        <v>2966</v>
      </c>
    </row>
    <row r="2506" spans="1:11" hidden="1" x14ac:dyDescent="0.25">
      <c r="A2506" s="148" t="s">
        <v>7002</v>
      </c>
      <c r="B2506" s="149" t="s">
        <v>7003</v>
      </c>
      <c r="C2506" s="150" t="s">
        <v>18</v>
      </c>
      <c r="D2506" s="150">
        <v>0</v>
      </c>
      <c r="E2506" s="151" t="s">
        <v>13</v>
      </c>
      <c r="F2506" s="152" t="str">
        <f t="shared" si="119"/>
        <v/>
      </c>
      <c r="G2506" s="153">
        <f>IF($K2506="Padrão",BDI!$B$17,IF($K2506="Diferenciado",BDI!$E$17,0))</f>
        <v>0.2039</v>
      </c>
      <c r="H2506" s="151" t="str">
        <f t="shared" si="117"/>
        <v/>
      </c>
      <c r="I2506" s="152" t="str">
        <f t="shared" si="118"/>
        <v/>
      </c>
      <c r="J2506" s="154"/>
      <c r="K2506" s="155" t="s">
        <v>2966</v>
      </c>
    </row>
    <row r="2507" spans="1:11" hidden="1" x14ac:dyDescent="0.25">
      <c r="A2507" s="148" t="s">
        <v>7004</v>
      </c>
      <c r="B2507" s="149" t="s">
        <v>7005</v>
      </c>
      <c r="C2507" s="150" t="s">
        <v>18</v>
      </c>
      <c r="D2507" s="150">
        <v>0</v>
      </c>
      <c r="E2507" s="151" t="s">
        <v>13</v>
      </c>
      <c r="F2507" s="152" t="str">
        <f t="shared" si="119"/>
        <v/>
      </c>
      <c r="G2507" s="153">
        <f>IF($K2507="Padrão",BDI!$B$17,IF($K2507="Diferenciado",BDI!$E$17,0))</f>
        <v>0.2039</v>
      </c>
      <c r="H2507" s="151" t="str">
        <f t="shared" si="117"/>
        <v/>
      </c>
      <c r="I2507" s="152" t="str">
        <f t="shared" si="118"/>
        <v/>
      </c>
      <c r="J2507" s="154"/>
      <c r="K2507" s="155" t="s">
        <v>2966</v>
      </c>
    </row>
    <row r="2508" spans="1:11" hidden="1" x14ac:dyDescent="0.25">
      <c r="A2508" s="148" t="s">
        <v>7006</v>
      </c>
      <c r="B2508" s="149" t="s">
        <v>7007</v>
      </c>
      <c r="C2508" s="150" t="s">
        <v>18</v>
      </c>
      <c r="D2508" s="150">
        <v>0</v>
      </c>
      <c r="E2508" s="151" t="s">
        <v>13</v>
      </c>
      <c r="F2508" s="152" t="str">
        <f t="shared" si="119"/>
        <v/>
      </c>
      <c r="G2508" s="153">
        <f>IF($K2508="Padrão",BDI!$B$17,IF($K2508="Diferenciado",BDI!$E$17,0))</f>
        <v>0.2039</v>
      </c>
      <c r="H2508" s="151" t="str">
        <f t="shared" si="117"/>
        <v/>
      </c>
      <c r="I2508" s="152" t="str">
        <f t="shared" si="118"/>
        <v/>
      </c>
      <c r="J2508" s="154"/>
      <c r="K2508" s="155" t="s">
        <v>2966</v>
      </c>
    </row>
    <row r="2509" spans="1:11" hidden="1" x14ac:dyDescent="0.25">
      <c r="A2509" s="148" t="s">
        <v>7008</v>
      </c>
      <c r="B2509" s="149" t="s">
        <v>7009</v>
      </c>
      <c r="C2509" s="150" t="s">
        <v>18</v>
      </c>
      <c r="D2509" s="150">
        <v>0</v>
      </c>
      <c r="E2509" s="151" t="s">
        <v>13</v>
      </c>
      <c r="F2509" s="152" t="str">
        <f t="shared" si="119"/>
        <v/>
      </c>
      <c r="G2509" s="153">
        <f>IF($K2509="Padrão",BDI!$B$17,IF($K2509="Diferenciado",BDI!$E$17,0))</f>
        <v>0.2039</v>
      </c>
      <c r="H2509" s="151" t="str">
        <f t="shared" si="117"/>
        <v/>
      </c>
      <c r="I2509" s="152" t="str">
        <f t="shared" si="118"/>
        <v/>
      </c>
      <c r="J2509" s="154"/>
      <c r="K2509" s="155" t="s">
        <v>2966</v>
      </c>
    </row>
    <row r="2510" spans="1:11" hidden="1" x14ac:dyDescent="0.25">
      <c r="A2510" s="148" t="s">
        <v>7010</v>
      </c>
      <c r="B2510" s="149" t="s">
        <v>7011</v>
      </c>
      <c r="C2510" s="150" t="s">
        <v>18</v>
      </c>
      <c r="D2510" s="150">
        <v>0</v>
      </c>
      <c r="E2510" s="151" t="s">
        <v>13</v>
      </c>
      <c r="F2510" s="152" t="str">
        <f t="shared" si="119"/>
        <v/>
      </c>
      <c r="G2510" s="153">
        <f>IF($K2510="Padrão",BDI!$B$17,IF($K2510="Diferenciado",BDI!$E$17,0))</f>
        <v>0.2039</v>
      </c>
      <c r="H2510" s="151" t="str">
        <f t="shared" si="117"/>
        <v/>
      </c>
      <c r="I2510" s="152" t="str">
        <f t="shared" si="118"/>
        <v/>
      </c>
      <c r="J2510" s="154"/>
      <c r="K2510" s="155" t="s">
        <v>2966</v>
      </c>
    </row>
    <row r="2511" spans="1:11" hidden="1" x14ac:dyDescent="0.25">
      <c r="A2511" s="148" t="s">
        <v>7012</v>
      </c>
      <c r="B2511" s="149" t="s">
        <v>7013</v>
      </c>
      <c r="C2511" s="150" t="s">
        <v>18</v>
      </c>
      <c r="D2511" s="150">
        <v>0</v>
      </c>
      <c r="E2511" s="151" t="s">
        <v>13</v>
      </c>
      <c r="F2511" s="152" t="str">
        <f t="shared" si="119"/>
        <v/>
      </c>
      <c r="G2511" s="153">
        <f>IF($K2511="Padrão",BDI!$B$17,IF($K2511="Diferenciado",BDI!$E$17,0))</f>
        <v>0.2039</v>
      </c>
      <c r="H2511" s="151" t="str">
        <f t="shared" si="117"/>
        <v/>
      </c>
      <c r="I2511" s="152" t="str">
        <f t="shared" si="118"/>
        <v/>
      </c>
      <c r="J2511" s="154"/>
      <c r="K2511" s="155" t="s">
        <v>2966</v>
      </c>
    </row>
    <row r="2512" spans="1:11" hidden="1" x14ac:dyDescent="0.25">
      <c r="A2512" s="148" t="s">
        <v>7014</v>
      </c>
      <c r="B2512" s="149" t="s">
        <v>7015</v>
      </c>
      <c r="C2512" s="150" t="s">
        <v>18</v>
      </c>
      <c r="D2512" s="150">
        <v>0</v>
      </c>
      <c r="E2512" s="151" t="s">
        <v>13</v>
      </c>
      <c r="F2512" s="152" t="str">
        <f t="shared" si="119"/>
        <v/>
      </c>
      <c r="G2512" s="153">
        <f>IF($K2512="Padrão",BDI!$B$17,IF($K2512="Diferenciado",BDI!$E$17,0))</f>
        <v>0.2039</v>
      </c>
      <c r="H2512" s="151" t="str">
        <f t="shared" si="117"/>
        <v/>
      </c>
      <c r="I2512" s="152" t="str">
        <f t="shared" si="118"/>
        <v/>
      </c>
      <c r="J2512" s="154"/>
      <c r="K2512" s="155" t="s">
        <v>2966</v>
      </c>
    </row>
    <row r="2513" spans="1:11" hidden="1" x14ac:dyDescent="0.25">
      <c r="A2513" s="148" t="s">
        <v>7016</v>
      </c>
      <c r="B2513" s="149" t="s">
        <v>7017</v>
      </c>
      <c r="C2513" s="150" t="s">
        <v>18</v>
      </c>
      <c r="D2513" s="150">
        <v>0</v>
      </c>
      <c r="E2513" s="151" t="s">
        <v>13</v>
      </c>
      <c r="F2513" s="152" t="str">
        <f t="shared" si="119"/>
        <v/>
      </c>
      <c r="G2513" s="153">
        <f>IF($K2513="Padrão",BDI!$B$17,IF($K2513="Diferenciado",BDI!$E$17,0))</f>
        <v>0.2039</v>
      </c>
      <c r="H2513" s="151" t="str">
        <f t="shared" si="117"/>
        <v/>
      </c>
      <c r="I2513" s="152" t="str">
        <f t="shared" si="118"/>
        <v/>
      </c>
      <c r="J2513" s="154"/>
      <c r="K2513" s="155" t="s">
        <v>2966</v>
      </c>
    </row>
    <row r="2514" spans="1:11" hidden="1" x14ac:dyDescent="0.25">
      <c r="A2514" s="148" t="s">
        <v>7018</v>
      </c>
      <c r="B2514" s="149" t="s">
        <v>7019</v>
      </c>
      <c r="C2514" s="150" t="s">
        <v>18</v>
      </c>
      <c r="D2514" s="150">
        <v>0</v>
      </c>
      <c r="E2514" s="151" t="s">
        <v>13</v>
      </c>
      <c r="F2514" s="152" t="str">
        <f t="shared" si="119"/>
        <v/>
      </c>
      <c r="G2514" s="153">
        <f>IF($K2514="Padrão",BDI!$B$17,IF($K2514="Diferenciado",BDI!$E$17,0))</f>
        <v>0.2039</v>
      </c>
      <c r="H2514" s="151" t="str">
        <f t="shared" si="117"/>
        <v/>
      </c>
      <c r="I2514" s="152" t="str">
        <f t="shared" si="118"/>
        <v/>
      </c>
      <c r="J2514" s="154"/>
      <c r="K2514" s="155" t="s">
        <v>2966</v>
      </c>
    </row>
    <row r="2515" spans="1:11" hidden="1" x14ac:dyDescent="0.25">
      <c r="A2515" s="148" t="s">
        <v>7020</v>
      </c>
      <c r="B2515" s="149" t="s">
        <v>7021</v>
      </c>
      <c r="C2515" s="150" t="s">
        <v>18</v>
      </c>
      <c r="D2515" s="150">
        <v>0</v>
      </c>
      <c r="E2515" s="151" t="s">
        <v>13</v>
      </c>
      <c r="F2515" s="152" t="str">
        <f t="shared" si="119"/>
        <v/>
      </c>
      <c r="G2515" s="153">
        <f>IF($K2515="Padrão",BDI!$B$17,IF($K2515="Diferenciado",BDI!$E$17,0))</f>
        <v>0.2039</v>
      </c>
      <c r="H2515" s="151" t="str">
        <f t="shared" si="117"/>
        <v/>
      </c>
      <c r="I2515" s="152" t="str">
        <f t="shared" si="118"/>
        <v/>
      </c>
      <c r="J2515" s="154"/>
      <c r="K2515" s="155" t="s">
        <v>2966</v>
      </c>
    </row>
    <row r="2516" spans="1:11" hidden="1" x14ac:dyDescent="0.25">
      <c r="A2516" s="148" t="s">
        <v>7022</v>
      </c>
      <c r="B2516" s="149" t="s">
        <v>7023</v>
      </c>
      <c r="C2516" s="150" t="s">
        <v>18</v>
      </c>
      <c r="D2516" s="150">
        <v>0</v>
      </c>
      <c r="E2516" s="151" t="s">
        <v>13</v>
      </c>
      <c r="F2516" s="152" t="str">
        <f t="shared" si="119"/>
        <v/>
      </c>
      <c r="G2516" s="153">
        <f>IF($K2516="Padrão",BDI!$B$17,IF($K2516="Diferenciado",BDI!$E$17,0))</f>
        <v>0.2039</v>
      </c>
      <c r="H2516" s="151" t="str">
        <f t="shared" si="117"/>
        <v/>
      </c>
      <c r="I2516" s="152" t="str">
        <f t="shared" si="118"/>
        <v/>
      </c>
      <c r="J2516" s="154"/>
      <c r="K2516" s="155" t="s">
        <v>2966</v>
      </c>
    </row>
    <row r="2517" spans="1:11" hidden="1" x14ac:dyDescent="0.25">
      <c r="A2517" s="148" t="s">
        <v>7024</v>
      </c>
      <c r="B2517" s="149" t="s">
        <v>7025</v>
      </c>
      <c r="C2517" s="150" t="s">
        <v>18</v>
      </c>
      <c r="D2517" s="150">
        <v>0</v>
      </c>
      <c r="E2517" s="151" t="s">
        <v>13</v>
      </c>
      <c r="F2517" s="152" t="str">
        <f t="shared" si="119"/>
        <v/>
      </c>
      <c r="G2517" s="153">
        <f>IF($K2517="Padrão",BDI!$B$17,IF($K2517="Diferenciado",BDI!$E$17,0))</f>
        <v>0.2039</v>
      </c>
      <c r="H2517" s="151" t="str">
        <f t="shared" si="117"/>
        <v/>
      </c>
      <c r="I2517" s="152" t="str">
        <f t="shared" si="118"/>
        <v/>
      </c>
      <c r="J2517" s="154"/>
      <c r="K2517" s="155" t="s">
        <v>2966</v>
      </c>
    </row>
    <row r="2518" spans="1:11" hidden="1" x14ac:dyDescent="0.25">
      <c r="A2518" s="148" t="s">
        <v>7026</v>
      </c>
      <c r="B2518" s="149" t="s">
        <v>7027</v>
      </c>
      <c r="C2518" s="150" t="s">
        <v>18</v>
      </c>
      <c r="D2518" s="150">
        <v>0</v>
      </c>
      <c r="E2518" s="151" t="s">
        <v>13</v>
      </c>
      <c r="F2518" s="152" t="str">
        <f t="shared" si="119"/>
        <v/>
      </c>
      <c r="G2518" s="153">
        <f>IF($K2518="Padrão",BDI!$B$17,IF($K2518="Diferenciado",BDI!$E$17,0))</f>
        <v>0.2039</v>
      </c>
      <c r="H2518" s="151" t="str">
        <f t="shared" si="117"/>
        <v/>
      </c>
      <c r="I2518" s="152" t="str">
        <f t="shared" si="118"/>
        <v/>
      </c>
      <c r="J2518" s="154"/>
      <c r="K2518" s="155" t="s">
        <v>2966</v>
      </c>
    </row>
    <row r="2519" spans="1:11" hidden="1" x14ac:dyDescent="0.25">
      <c r="A2519" s="148" t="s">
        <v>7028</v>
      </c>
      <c r="B2519" s="149" t="s">
        <v>7029</v>
      </c>
      <c r="C2519" s="150" t="s">
        <v>18</v>
      </c>
      <c r="D2519" s="150">
        <v>0</v>
      </c>
      <c r="E2519" s="151" t="s">
        <v>13</v>
      </c>
      <c r="F2519" s="152" t="str">
        <f t="shared" si="119"/>
        <v/>
      </c>
      <c r="G2519" s="153">
        <f>IF($K2519="Padrão",BDI!$B$17,IF($K2519="Diferenciado",BDI!$E$17,0))</f>
        <v>0.2039</v>
      </c>
      <c r="H2519" s="151" t="str">
        <f t="shared" si="117"/>
        <v/>
      </c>
      <c r="I2519" s="152" t="str">
        <f t="shared" si="118"/>
        <v/>
      </c>
      <c r="J2519" s="154"/>
      <c r="K2519" s="155" t="s">
        <v>2966</v>
      </c>
    </row>
    <row r="2520" spans="1:11" hidden="1" x14ac:dyDescent="0.25">
      <c r="A2520" s="148" t="s">
        <v>7030</v>
      </c>
      <c r="B2520" s="149" t="s">
        <v>7031</v>
      </c>
      <c r="C2520" s="150" t="s">
        <v>18</v>
      </c>
      <c r="D2520" s="150">
        <v>0</v>
      </c>
      <c r="E2520" s="151" t="s">
        <v>13</v>
      </c>
      <c r="F2520" s="152" t="str">
        <f t="shared" si="119"/>
        <v/>
      </c>
      <c r="G2520" s="153">
        <f>IF($K2520="Padrão",BDI!$B$17,IF($K2520="Diferenciado",BDI!$E$17,0))</f>
        <v>0.2039</v>
      </c>
      <c r="H2520" s="151" t="str">
        <f t="shared" si="117"/>
        <v/>
      </c>
      <c r="I2520" s="152" t="str">
        <f t="shared" si="118"/>
        <v/>
      </c>
      <c r="J2520" s="154"/>
      <c r="K2520" s="155" t="s">
        <v>2966</v>
      </c>
    </row>
    <row r="2521" spans="1:11" hidden="1" x14ac:dyDescent="0.25">
      <c r="A2521" s="148" t="s">
        <v>7032</v>
      </c>
      <c r="B2521" s="149" t="s">
        <v>7033</v>
      </c>
      <c r="C2521" s="150" t="s">
        <v>18</v>
      </c>
      <c r="D2521" s="150">
        <v>0</v>
      </c>
      <c r="E2521" s="151" t="s">
        <v>13</v>
      </c>
      <c r="F2521" s="152" t="str">
        <f t="shared" si="119"/>
        <v/>
      </c>
      <c r="G2521" s="153">
        <f>IF($K2521="Padrão",BDI!$B$17,IF($K2521="Diferenciado",BDI!$E$17,0))</f>
        <v>0.2039</v>
      </c>
      <c r="H2521" s="151" t="str">
        <f t="shared" si="117"/>
        <v/>
      </c>
      <c r="I2521" s="152" t="str">
        <f t="shared" si="118"/>
        <v/>
      </c>
      <c r="J2521" s="154"/>
      <c r="K2521" s="155" t="s">
        <v>2966</v>
      </c>
    </row>
    <row r="2522" spans="1:11" hidden="1" x14ac:dyDescent="0.25">
      <c r="A2522" s="148" t="s">
        <v>7034</v>
      </c>
      <c r="B2522" s="149" t="s">
        <v>7035</v>
      </c>
      <c r="C2522" s="150" t="s">
        <v>461</v>
      </c>
      <c r="D2522" s="150">
        <v>0</v>
      </c>
      <c r="E2522" s="151" t="s">
        <v>13</v>
      </c>
      <c r="F2522" s="152" t="str">
        <f t="shared" si="119"/>
        <v/>
      </c>
      <c r="G2522" s="153">
        <f>IF($K2522="Padrão",BDI!$B$17,IF($K2522="Diferenciado",BDI!$E$17,0))</f>
        <v>0.2039</v>
      </c>
      <c r="H2522" s="151" t="str">
        <f t="shared" si="117"/>
        <v/>
      </c>
      <c r="I2522" s="152" t="str">
        <f t="shared" si="118"/>
        <v/>
      </c>
      <c r="J2522" s="154"/>
      <c r="K2522" s="155" t="s">
        <v>2966</v>
      </c>
    </row>
    <row r="2523" spans="1:11" hidden="1" x14ac:dyDescent="0.25">
      <c r="A2523" s="148" t="s">
        <v>7036</v>
      </c>
      <c r="B2523" s="149" t="s">
        <v>7037</v>
      </c>
      <c r="C2523" s="150" t="s">
        <v>18</v>
      </c>
      <c r="D2523" s="150">
        <v>0</v>
      </c>
      <c r="E2523" s="151" t="s">
        <v>13</v>
      </c>
      <c r="F2523" s="152" t="str">
        <f t="shared" si="119"/>
        <v/>
      </c>
      <c r="G2523" s="153">
        <f>IF($K2523="Padrão",BDI!$B$17,IF($K2523="Diferenciado",BDI!$E$17,0))</f>
        <v>0.2039</v>
      </c>
      <c r="H2523" s="151" t="str">
        <f t="shared" si="117"/>
        <v/>
      </c>
      <c r="I2523" s="152" t="str">
        <f t="shared" si="118"/>
        <v/>
      </c>
      <c r="J2523" s="154"/>
      <c r="K2523" s="155" t="s">
        <v>2966</v>
      </c>
    </row>
    <row r="2524" spans="1:11" hidden="1" x14ac:dyDescent="0.25">
      <c r="A2524" s="148" t="s">
        <v>7038</v>
      </c>
      <c r="B2524" s="149" t="s">
        <v>7039</v>
      </c>
      <c r="C2524" s="150" t="s">
        <v>18</v>
      </c>
      <c r="D2524" s="150">
        <v>0</v>
      </c>
      <c r="E2524" s="151" t="s">
        <v>13</v>
      </c>
      <c r="F2524" s="152" t="str">
        <f t="shared" si="119"/>
        <v/>
      </c>
      <c r="G2524" s="153">
        <f>IF($K2524="Padrão",BDI!$B$17,IF($K2524="Diferenciado",BDI!$E$17,0))</f>
        <v>0.2039</v>
      </c>
      <c r="H2524" s="151" t="str">
        <f t="shared" si="117"/>
        <v/>
      </c>
      <c r="I2524" s="152" t="str">
        <f t="shared" si="118"/>
        <v/>
      </c>
      <c r="J2524" s="154"/>
      <c r="K2524" s="155" t="s">
        <v>2966</v>
      </c>
    </row>
    <row r="2525" spans="1:11" hidden="1" x14ac:dyDescent="0.25">
      <c r="A2525" s="148" t="s">
        <v>7040</v>
      </c>
      <c r="B2525" s="149" t="s">
        <v>7041</v>
      </c>
      <c r="C2525" s="150" t="s">
        <v>18</v>
      </c>
      <c r="D2525" s="150">
        <v>0</v>
      </c>
      <c r="E2525" s="151" t="s">
        <v>13</v>
      </c>
      <c r="F2525" s="152" t="str">
        <f t="shared" si="119"/>
        <v/>
      </c>
      <c r="G2525" s="153">
        <f>IF($K2525="Padrão",BDI!$B$17,IF($K2525="Diferenciado",BDI!$E$17,0))</f>
        <v>0.2039</v>
      </c>
      <c r="H2525" s="151" t="str">
        <f t="shared" si="117"/>
        <v/>
      </c>
      <c r="I2525" s="152" t="str">
        <f t="shared" si="118"/>
        <v/>
      </c>
      <c r="J2525" s="154"/>
      <c r="K2525" s="155" t="s">
        <v>2966</v>
      </c>
    </row>
    <row r="2526" spans="1:11" hidden="1" x14ac:dyDescent="0.25">
      <c r="A2526" s="148" t="s">
        <v>7042</v>
      </c>
      <c r="B2526" s="149" t="s">
        <v>7043</v>
      </c>
      <c r="C2526" s="150" t="s">
        <v>18</v>
      </c>
      <c r="D2526" s="150">
        <v>0</v>
      </c>
      <c r="E2526" s="151" t="s">
        <v>13</v>
      </c>
      <c r="F2526" s="152" t="str">
        <f t="shared" si="119"/>
        <v/>
      </c>
      <c r="G2526" s="153">
        <f>IF($K2526="Padrão",BDI!$B$17,IF($K2526="Diferenciado",BDI!$E$17,0))</f>
        <v>0.2039</v>
      </c>
      <c r="H2526" s="151" t="str">
        <f t="shared" si="117"/>
        <v/>
      </c>
      <c r="I2526" s="152" t="str">
        <f t="shared" si="118"/>
        <v/>
      </c>
      <c r="J2526" s="154"/>
      <c r="K2526" s="155" t="s">
        <v>2966</v>
      </c>
    </row>
    <row r="2527" spans="1:11" hidden="1" x14ac:dyDescent="0.25">
      <c r="A2527" s="148" t="s">
        <v>7044</v>
      </c>
      <c r="B2527" s="149" t="s">
        <v>7045</v>
      </c>
      <c r="C2527" s="150" t="s">
        <v>18</v>
      </c>
      <c r="D2527" s="150">
        <v>0</v>
      </c>
      <c r="E2527" s="151" t="s">
        <v>13</v>
      </c>
      <c r="F2527" s="152" t="str">
        <f t="shared" si="119"/>
        <v/>
      </c>
      <c r="G2527" s="153">
        <f>IF($K2527="Padrão",BDI!$B$17,IF($K2527="Diferenciado",BDI!$E$17,0))</f>
        <v>0.2039</v>
      </c>
      <c r="H2527" s="151" t="str">
        <f t="shared" si="117"/>
        <v/>
      </c>
      <c r="I2527" s="152" t="str">
        <f t="shared" si="118"/>
        <v/>
      </c>
      <c r="J2527" s="154"/>
      <c r="K2527" s="155" t="s">
        <v>2966</v>
      </c>
    </row>
    <row r="2528" spans="1:11" hidden="1" x14ac:dyDescent="0.25">
      <c r="A2528" s="148" t="s">
        <v>7046</v>
      </c>
      <c r="B2528" s="149" t="s">
        <v>7047</v>
      </c>
      <c r="C2528" s="150" t="s">
        <v>18</v>
      </c>
      <c r="D2528" s="150">
        <v>0</v>
      </c>
      <c r="E2528" s="151" t="s">
        <v>13</v>
      </c>
      <c r="F2528" s="152" t="str">
        <f t="shared" si="119"/>
        <v/>
      </c>
      <c r="G2528" s="153">
        <f>IF($K2528="Padrão",BDI!$B$17,IF($K2528="Diferenciado",BDI!$E$17,0))</f>
        <v>0.2039</v>
      </c>
      <c r="H2528" s="151" t="str">
        <f t="shared" si="117"/>
        <v/>
      </c>
      <c r="I2528" s="152" t="str">
        <f t="shared" si="118"/>
        <v/>
      </c>
      <c r="J2528" s="154"/>
      <c r="K2528" s="155" t="s">
        <v>2966</v>
      </c>
    </row>
    <row r="2529" spans="1:11" hidden="1" x14ac:dyDescent="0.25">
      <c r="A2529" s="148" t="s">
        <v>7048</v>
      </c>
      <c r="B2529" s="149" t="s">
        <v>7049</v>
      </c>
      <c r="C2529" s="150" t="s">
        <v>18</v>
      </c>
      <c r="D2529" s="150">
        <v>0</v>
      </c>
      <c r="E2529" s="151" t="s">
        <v>13</v>
      </c>
      <c r="F2529" s="152" t="str">
        <f t="shared" si="119"/>
        <v/>
      </c>
      <c r="G2529" s="153">
        <f>IF($K2529="Padrão",BDI!$B$17,IF($K2529="Diferenciado",BDI!$E$17,0))</f>
        <v>0.2039</v>
      </c>
      <c r="H2529" s="151" t="str">
        <f t="shared" si="117"/>
        <v/>
      </c>
      <c r="I2529" s="152" t="str">
        <f t="shared" si="118"/>
        <v/>
      </c>
      <c r="J2529" s="154"/>
      <c r="K2529" s="155" t="s">
        <v>2966</v>
      </c>
    </row>
    <row r="2530" spans="1:11" hidden="1" x14ac:dyDescent="0.25">
      <c r="A2530" s="148" t="s">
        <v>7050</v>
      </c>
      <c r="B2530" s="149" t="s">
        <v>7051</v>
      </c>
      <c r="C2530" s="150" t="s">
        <v>18</v>
      </c>
      <c r="D2530" s="150">
        <v>0</v>
      </c>
      <c r="E2530" s="151" t="s">
        <v>13</v>
      </c>
      <c r="F2530" s="152" t="str">
        <f t="shared" si="119"/>
        <v/>
      </c>
      <c r="G2530" s="153">
        <f>IF($K2530="Padrão",BDI!$B$17,IF($K2530="Diferenciado",BDI!$E$17,0))</f>
        <v>0.2039</v>
      </c>
      <c r="H2530" s="151" t="str">
        <f t="shared" si="117"/>
        <v/>
      </c>
      <c r="I2530" s="152" t="str">
        <f t="shared" si="118"/>
        <v/>
      </c>
      <c r="J2530" s="154"/>
      <c r="K2530" s="155" t="s">
        <v>2966</v>
      </c>
    </row>
    <row r="2531" spans="1:11" hidden="1" x14ac:dyDescent="0.25">
      <c r="A2531" s="148" t="s">
        <v>7052</v>
      </c>
      <c r="B2531" s="149" t="s">
        <v>7053</v>
      </c>
      <c r="C2531" s="150" t="s">
        <v>18</v>
      </c>
      <c r="D2531" s="150">
        <v>0</v>
      </c>
      <c r="E2531" s="151" t="s">
        <v>13</v>
      </c>
      <c r="F2531" s="152" t="str">
        <f t="shared" si="119"/>
        <v/>
      </c>
      <c r="G2531" s="153">
        <f>IF($K2531="Padrão",BDI!$B$17,IF($K2531="Diferenciado",BDI!$E$17,0))</f>
        <v>0.2039</v>
      </c>
      <c r="H2531" s="151" t="str">
        <f t="shared" si="117"/>
        <v/>
      </c>
      <c r="I2531" s="152" t="str">
        <f t="shared" si="118"/>
        <v/>
      </c>
      <c r="J2531" s="154"/>
      <c r="K2531" s="155" t="s">
        <v>2966</v>
      </c>
    </row>
    <row r="2532" spans="1:11" hidden="1" x14ac:dyDescent="0.25">
      <c r="A2532" s="148" t="s">
        <v>7054</v>
      </c>
      <c r="B2532" s="149" t="s">
        <v>7055</v>
      </c>
      <c r="C2532" s="150" t="s">
        <v>18</v>
      </c>
      <c r="D2532" s="150">
        <v>0</v>
      </c>
      <c r="E2532" s="151" t="s">
        <v>13</v>
      </c>
      <c r="F2532" s="152" t="str">
        <f t="shared" si="119"/>
        <v/>
      </c>
      <c r="G2532" s="153">
        <f>IF($K2532="Padrão",BDI!$B$17,IF($K2532="Diferenciado",BDI!$E$17,0))</f>
        <v>0.2039</v>
      </c>
      <c r="H2532" s="151" t="str">
        <f t="shared" si="117"/>
        <v/>
      </c>
      <c r="I2532" s="152" t="str">
        <f t="shared" si="118"/>
        <v/>
      </c>
      <c r="J2532" s="154"/>
      <c r="K2532" s="155" t="s">
        <v>2966</v>
      </c>
    </row>
    <row r="2533" spans="1:11" hidden="1" x14ac:dyDescent="0.25">
      <c r="A2533" s="148" t="s">
        <v>7056</v>
      </c>
      <c r="B2533" s="149" t="s">
        <v>7057</v>
      </c>
      <c r="C2533" s="150" t="s">
        <v>461</v>
      </c>
      <c r="D2533" s="150">
        <v>0</v>
      </c>
      <c r="E2533" s="151" t="s">
        <v>13</v>
      </c>
      <c r="F2533" s="152" t="str">
        <f t="shared" si="119"/>
        <v/>
      </c>
      <c r="G2533" s="153">
        <f>IF($K2533="Padrão",BDI!$B$17,IF($K2533="Diferenciado",BDI!$E$17,0))</f>
        <v>0.2039</v>
      </c>
      <c r="H2533" s="151" t="str">
        <f t="shared" si="117"/>
        <v/>
      </c>
      <c r="I2533" s="152" t="str">
        <f t="shared" si="118"/>
        <v/>
      </c>
      <c r="J2533" s="154"/>
      <c r="K2533" s="155" t="s">
        <v>2966</v>
      </c>
    </row>
    <row r="2534" spans="1:11" hidden="1" x14ac:dyDescent="0.25">
      <c r="A2534" s="148" t="s">
        <v>7058</v>
      </c>
      <c r="B2534" s="149" t="s">
        <v>7059</v>
      </c>
      <c r="C2534" s="150" t="s">
        <v>18</v>
      </c>
      <c r="D2534" s="150">
        <v>0</v>
      </c>
      <c r="E2534" s="151" t="s">
        <v>13</v>
      </c>
      <c r="F2534" s="152" t="str">
        <f t="shared" si="119"/>
        <v/>
      </c>
      <c r="G2534" s="153">
        <f>IF($K2534="Padrão",BDI!$B$17,IF($K2534="Diferenciado",BDI!$E$17,0))</f>
        <v>0.2039</v>
      </c>
      <c r="H2534" s="151" t="str">
        <f t="shared" si="117"/>
        <v/>
      </c>
      <c r="I2534" s="152" t="str">
        <f t="shared" si="118"/>
        <v/>
      </c>
      <c r="J2534" s="154"/>
      <c r="K2534" s="155" t="s">
        <v>2966</v>
      </c>
    </row>
    <row r="2535" spans="1:11" hidden="1" x14ac:dyDescent="0.25">
      <c r="A2535" s="148" t="s">
        <v>7060</v>
      </c>
      <c r="B2535" s="149" t="s">
        <v>7061</v>
      </c>
      <c r="C2535" s="150" t="s">
        <v>18</v>
      </c>
      <c r="D2535" s="150">
        <v>0</v>
      </c>
      <c r="E2535" s="151" t="s">
        <v>13</v>
      </c>
      <c r="F2535" s="152" t="str">
        <f t="shared" si="119"/>
        <v/>
      </c>
      <c r="G2535" s="153">
        <f>IF($K2535="Padrão",BDI!$B$17,IF($K2535="Diferenciado",BDI!$E$17,0))</f>
        <v>0.2039</v>
      </c>
      <c r="H2535" s="151" t="str">
        <f t="shared" si="117"/>
        <v/>
      </c>
      <c r="I2535" s="152" t="str">
        <f t="shared" si="118"/>
        <v/>
      </c>
      <c r="J2535" s="154"/>
      <c r="K2535" s="155" t="s">
        <v>2966</v>
      </c>
    </row>
    <row r="2536" spans="1:11" hidden="1" x14ac:dyDescent="0.25">
      <c r="A2536" s="148" t="s">
        <v>7062</v>
      </c>
      <c r="B2536" s="149" t="s">
        <v>7063</v>
      </c>
      <c r="C2536" s="150" t="s">
        <v>18</v>
      </c>
      <c r="D2536" s="150">
        <v>0</v>
      </c>
      <c r="E2536" s="151" t="s">
        <v>13</v>
      </c>
      <c r="F2536" s="152" t="str">
        <f t="shared" si="119"/>
        <v/>
      </c>
      <c r="G2536" s="153">
        <f>IF($K2536="Padrão",BDI!$B$17,IF($K2536="Diferenciado",BDI!$E$17,0))</f>
        <v>0.2039</v>
      </c>
      <c r="H2536" s="151" t="str">
        <f t="shared" si="117"/>
        <v/>
      </c>
      <c r="I2536" s="152" t="str">
        <f t="shared" si="118"/>
        <v/>
      </c>
      <c r="J2536" s="154"/>
      <c r="K2536" s="155" t="s">
        <v>2966</v>
      </c>
    </row>
    <row r="2537" spans="1:11" hidden="1" x14ac:dyDescent="0.25">
      <c r="A2537" s="148" t="s">
        <v>7064</v>
      </c>
      <c r="B2537" s="149" t="s">
        <v>7065</v>
      </c>
      <c r="C2537" s="150" t="s">
        <v>18</v>
      </c>
      <c r="D2537" s="150">
        <v>0</v>
      </c>
      <c r="E2537" s="151" t="s">
        <v>13</v>
      </c>
      <c r="F2537" s="152" t="str">
        <f t="shared" si="119"/>
        <v/>
      </c>
      <c r="G2537" s="153">
        <f>IF($K2537="Padrão",BDI!$B$17,IF($K2537="Diferenciado",BDI!$E$17,0))</f>
        <v>0.2039</v>
      </c>
      <c r="H2537" s="151" t="str">
        <f t="shared" si="117"/>
        <v/>
      </c>
      <c r="I2537" s="152" t="str">
        <f t="shared" si="118"/>
        <v/>
      </c>
      <c r="J2537" s="154"/>
      <c r="K2537" s="155" t="s">
        <v>2966</v>
      </c>
    </row>
    <row r="2538" spans="1:11" hidden="1" x14ac:dyDescent="0.25">
      <c r="A2538" s="148" t="s">
        <v>7066</v>
      </c>
      <c r="B2538" s="149" t="s">
        <v>7067</v>
      </c>
      <c r="C2538" s="150" t="s">
        <v>18</v>
      </c>
      <c r="D2538" s="150">
        <v>0</v>
      </c>
      <c r="E2538" s="151" t="s">
        <v>13</v>
      </c>
      <c r="F2538" s="152" t="str">
        <f t="shared" si="119"/>
        <v/>
      </c>
      <c r="G2538" s="153">
        <f>IF($K2538="Padrão",BDI!$B$17,IF($K2538="Diferenciado",BDI!$E$17,0))</f>
        <v>0.2039</v>
      </c>
      <c r="H2538" s="151" t="str">
        <f t="shared" si="117"/>
        <v/>
      </c>
      <c r="I2538" s="152" t="str">
        <f t="shared" si="118"/>
        <v/>
      </c>
      <c r="J2538" s="154"/>
      <c r="K2538" s="155" t="s">
        <v>2966</v>
      </c>
    </row>
    <row r="2539" spans="1:11" hidden="1" x14ac:dyDescent="0.25">
      <c r="A2539" s="148" t="s">
        <v>7068</v>
      </c>
      <c r="B2539" s="149" t="s">
        <v>7069</v>
      </c>
      <c r="C2539" s="150" t="s">
        <v>18</v>
      </c>
      <c r="D2539" s="150">
        <v>0</v>
      </c>
      <c r="E2539" s="151" t="s">
        <v>13</v>
      </c>
      <c r="F2539" s="152" t="str">
        <f t="shared" si="119"/>
        <v/>
      </c>
      <c r="G2539" s="153">
        <f>IF($K2539="Padrão",BDI!$B$17,IF($K2539="Diferenciado",BDI!$E$17,0))</f>
        <v>0.2039</v>
      </c>
      <c r="H2539" s="151" t="str">
        <f t="shared" si="117"/>
        <v/>
      </c>
      <c r="I2539" s="152" t="str">
        <f t="shared" si="118"/>
        <v/>
      </c>
      <c r="J2539" s="154"/>
      <c r="K2539" s="155" t="s">
        <v>2966</v>
      </c>
    </row>
    <row r="2540" spans="1:11" hidden="1" x14ac:dyDescent="0.25">
      <c r="A2540" s="148" t="s">
        <v>7070</v>
      </c>
      <c r="B2540" s="149" t="s">
        <v>7071</v>
      </c>
      <c r="C2540" s="150" t="s">
        <v>18</v>
      </c>
      <c r="D2540" s="150">
        <v>0</v>
      </c>
      <c r="E2540" s="151" t="s">
        <v>13</v>
      </c>
      <c r="F2540" s="152" t="str">
        <f t="shared" si="119"/>
        <v/>
      </c>
      <c r="G2540" s="153">
        <f>IF($K2540="Padrão",BDI!$B$17,IF($K2540="Diferenciado",BDI!$E$17,0))</f>
        <v>0.2039</v>
      </c>
      <c r="H2540" s="151" t="str">
        <f t="shared" si="117"/>
        <v/>
      </c>
      <c r="I2540" s="152" t="str">
        <f t="shared" si="118"/>
        <v/>
      </c>
      <c r="J2540" s="154"/>
      <c r="K2540" s="155" t="s">
        <v>2966</v>
      </c>
    </row>
    <row r="2541" spans="1:11" hidden="1" x14ac:dyDescent="0.25">
      <c r="A2541" s="148" t="s">
        <v>7072</v>
      </c>
      <c r="B2541" s="149" t="s">
        <v>7073</v>
      </c>
      <c r="C2541" s="150" t="s">
        <v>18</v>
      </c>
      <c r="D2541" s="150">
        <v>0</v>
      </c>
      <c r="E2541" s="151" t="s">
        <v>13</v>
      </c>
      <c r="F2541" s="152" t="str">
        <f t="shared" si="119"/>
        <v/>
      </c>
      <c r="G2541" s="153">
        <f>IF($K2541="Padrão",BDI!$B$17,IF($K2541="Diferenciado",BDI!$E$17,0))</f>
        <v>0.2039</v>
      </c>
      <c r="H2541" s="151" t="str">
        <f t="shared" si="117"/>
        <v/>
      </c>
      <c r="I2541" s="152" t="str">
        <f t="shared" si="118"/>
        <v/>
      </c>
      <c r="J2541" s="154"/>
      <c r="K2541" s="155" t="s">
        <v>2966</v>
      </c>
    </row>
    <row r="2542" spans="1:11" hidden="1" x14ac:dyDescent="0.25">
      <c r="A2542" s="148" t="s">
        <v>7074</v>
      </c>
      <c r="B2542" s="149" t="s">
        <v>7075</v>
      </c>
      <c r="C2542" s="150" t="s">
        <v>18</v>
      </c>
      <c r="D2542" s="150">
        <v>0</v>
      </c>
      <c r="E2542" s="151" t="s">
        <v>13</v>
      </c>
      <c r="F2542" s="152" t="str">
        <f t="shared" si="119"/>
        <v/>
      </c>
      <c r="G2542" s="153">
        <f>IF($K2542="Padrão",BDI!$B$17,IF($K2542="Diferenciado",BDI!$E$17,0))</f>
        <v>0.2039</v>
      </c>
      <c r="H2542" s="151" t="str">
        <f t="shared" si="117"/>
        <v/>
      </c>
      <c r="I2542" s="152" t="str">
        <f t="shared" si="118"/>
        <v/>
      </c>
      <c r="J2542" s="154"/>
      <c r="K2542" s="155" t="s">
        <v>2966</v>
      </c>
    </row>
    <row r="2543" spans="1:11" hidden="1" x14ac:dyDescent="0.25">
      <c r="A2543" s="148" t="s">
        <v>7076</v>
      </c>
      <c r="B2543" s="149" t="s">
        <v>7077</v>
      </c>
      <c r="C2543" s="150" t="s">
        <v>18</v>
      </c>
      <c r="D2543" s="150">
        <v>0</v>
      </c>
      <c r="E2543" s="151" t="s">
        <v>13</v>
      </c>
      <c r="F2543" s="152" t="str">
        <f t="shared" si="119"/>
        <v/>
      </c>
      <c r="G2543" s="153">
        <f>IF($K2543="Padrão",BDI!$B$17,IF($K2543="Diferenciado",BDI!$E$17,0))</f>
        <v>0.2039</v>
      </c>
      <c r="H2543" s="151" t="str">
        <f t="shared" si="117"/>
        <v/>
      </c>
      <c r="I2543" s="152" t="str">
        <f t="shared" si="118"/>
        <v/>
      </c>
      <c r="J2543" s="154"/>
      <c r="K2543" s="155" t="s">
        <v>2966</v>
      </c>
    </row>
    <row r="2544" spans="1:11" hidden="1" x14ac:dyDescent="0.25">
      <c r="A2544" s="148" t="s">
        <v>7078</v>
      </c>
      <c r="B2544" s="149" t="s">
        <v>7079</v>
      </c>
      <c r="C2544" s="150" t="s">
        <v>18</v>
      </c>
      <c r="D2544" s="150">
        <v>0</v>
      </c>
      <c r="E2544" s="151" t="s">
        <v>13</v>
      </c>
      <c r="F2544" s="152" t="str">
        <f t="shared" si="119"/>
        <v/>
      </c>
      <c r="G2544" s="153">
        <f>IF($K2544="Padrão",BDI!$B$17,IF($K2544="Diferenciado",BDI!$E$17,0))</f>
        <v>0.2039</v>
      </c>
      <c r="H2544" s="151" t="str">
        <f t="shared" si="117"/>
        <v/>
      </c>
      <c r="I2544" s="152" t="str">
        <f t="shared" si="118"/>
        <v/>
      </c>
      <c r="J2544" s="154"/>
      <c r="K2544" s="155" t="s">
        <v>2966</v>
      </c>
    </row>
    <row r="2545" spans="1:11" hidden="1" x14ac:dyDescent="0.25">
      <c r="A2545" s="148" t="s">
        <v>7080</v>
      </c>
      <c r="B2545" s="149" t="s">
        <v>7081</v>
      </c>
      <c r="C2545" s="150" t="s">
        <v>18</v>
      </c>
      <c r="D2545" s="150">
        <v>0</v>
      </c>
      <c r="E2545" s="151" t="s">
        <v>13</v>
      </c>
      <c r="F2545" s="152" t="str">
        <f t="shared" si="119"/>
        <v/>
      </c>
      <c r="G2545" s="153">
        <f>IF($K2545="Padrão",BDI!$B$17,IF($K2545="Diferenciado",BDI!$E$17,0))</f>
        <v>0.2039</v>
      </c>
      <c r="H2545" s="151" t="str">
        <f t="shared" si="117"/>
        <v/>
      </c>
      <c r="I2545" s="152" t="str">
        <f t="shared" si="118"/>
        <v/>
      </c>
      <c r="J2545" s="154"/>
      <c r="K2545" s="155" t="s">
        <v>2966</v>
      </c>
    </row>
    <row r="2546" spans="1:11" hidden="1" x14ac:dyDescent="0.25">
      <c r="A2546" s="148" t="s">
        <v>7082</v>
      </c>
      <c r="B2546" s="149" t="s">
        <v>7083</v>
      </c>
      <c r="C2546" s="150" t="s">
        <v>18</v>
      </c>
      <c r="D2546" s="150">
        <v>0</v>
      </c>
      <c r="E2546" s="151" t="s">
        <v>13</v>
      </c>
      <c r="F2546" s="152" t="str">
        <f t="shared" si="119"/>
        <v/>
      </c>
      <c r="G2546" s="153">
        <f>IF($K2546="Padrão",BDI!$B$17,IF($K2546="Diferenciado",BDI!$E$17,0))</f>
        <v>0.2039</v>
      </c>
      <c r="H2546" s="151" t="str">
        <f t="shared" si="117"/>
        <v/>
      </c>
      <c r="I2546" s="152" t="str">
        <f t="shared" si="118"/>
        <v/>
      </c>
      <c r="J2546" s="154"/>
      <c r="K2546" s="155" t="s">
        <v>2966</v>
      </c>
    </row>
    <row r="2547" spans="1:11" hidden="1" x14ac:dyDescent="0.25">
      <c r="A2547" s="148" t="s">
        <v>7084</v>
      </c>
      <c r="B2547" s="149" t="s">
        <v>7085</v>
      </c>
      <c r="C2547" s="150" t="s">
        <v>18</v>
      </c>
      <c r="D2547" s="150">
        <v>0</v>
      </c>
      <c r="E2547" s="151" t="s">
        <v>13</v>
      </c>
      <c r="F2547" s="152" t="str">
        <f t="shared" si="119"/>
        <v/>
      </c>
      <c r="G2547" s="153">
        <f>IF($K2547="Padrão",BDI!$B$17,IF($K2547="Diferenciado",BDI!$E$17,0))</f>
        <v>0.2039</v>
      </c>
      <c r="H2547" s="151" t="str">
        <f t="shared" si="117"/>
        <v/>
      </c>
      <c r="I2547" s="152" t="str">
        <f t="shared" si="118"/>
        <v/>
      </c>
      <c r="J2547" s="154"/>
      <c r="K2547" s="155" t="s">
        <v>2966</v>
      </c>
    </row>
    <row r="2548" spans="1:11" hidden="1" x14ac:dyDescent="0.25">
      <c r="A2548" s="148" t="s">
        <v>7086</v>
      </c>
      <c r="B2548" s="149" t="s">
        <v>7087</v>
      </c>
      <c r="C2548" s="150" t="s">
        <v>18</v>
      </c>
      <c r="D2548" s="150">
        <v>0</v>
      </c>
      <c r="E2548" s="151" t="s">
        <v>13</v>
      </c>
      <c r="F2548" s="152" t="str">
        <f t="shared" si="119"/>
        <v/>
      </c>
      <c r="G2548" s="153">
        <f>IF($K2548="Padrão",BDI!$B$17,IF($K2548="Diferenciado",BDI!$E$17,0))</f>
        <v>0.2039</v>
      </c>
      <c r="H2548" s="151" t="str">
        <f t="shared" si="117"/>
        <v/>
      </c>
      <c r="I2548" s="152" t="str">
        <f t="shared" si="118"/>
        <v/>
      </c>
      <c r="J2548" s="154"/>
      <c r="K2548" s="155" t="s">
        <v>2966</v>
      </c>
    </row>
    <row r="2549" spans="1:11" hidden="1" x14ac:dyDescent="0.25">
      <c r="A2549" s="148" t="s">
        <v>7088</v>
      </c>
      <c r="B2549" s="149" t="s">
        <v>7089</v>
      </c>
      <c r="C2549" s="150" t="s">
        <v>18</v>
      </c>
      <c r="D2549" s="150">
        <v>0</v>
      </c>
      <c r="E2549" s="151" t="s">
        <v>13</v>
      </c>
      <c r="F2549" s="152" t="str">
        <f t="shared" si="119"/>
        <v/>
      </c>
      <c r="G2549" s="153">
        <f>IF($K2549="Padrão",BDI!$B$17,IF($K2549="Diferenciado",BDI!$E$17,0))</f>
        <v>0.2039</v>
      </c>
      <c r="H2549" s="151" t="str">
        <f t="shared" si="117"/>
        <v/>
      </c>
      <c r="I2549" s="152" t="str">
        <f t="shared" si="118"/>
        <v/>
      </c>
      <c r="J2549" s="154"/>
      <c r="K2549" s="155" t="s">
        <v>2966</v>
      </c>
    </row>
    <row r="2550" spans="1:11" hidden="1" x14ac:dyDescent="0.25">
      <c r="A2550" s="148" t="s">
        <v>7090</v>
      </c>
      <c r="B2550" s="149" t="s">
        <v>7091</v>
      </c>
      <c r="C2550" s="150" t="s">
        <v>18</v>
      </c>
      <c r="D2550" s="150">
        <v>0</v>
      </c>
      <c r="E2550" s="151" t="s">
        <v>13</v>
      </c>
      <c r="F2550" s="152" t="str">
        <f t="shared" si="119"/>
        <v/>
      </c>
      <c r="G2550" s="153">
        <f>IF($K2550="Padrão",BDI!$B$17,IF($K2550="Diferenciado",BDI!$E$17,0))</f>
        <v>0.2039</v>
      </c>
      <c r="H2550" s="151" t="str">
        <f t="shared" si="117"/>
        <v/>
      </c>
      <c r="I2550" s="152" t="str">
        <f t="shared" si="118"/>
        <v/>
      </c>
      <c r="J2550" s="154"/>
      <c r="K2550" s="155" t="s">
        <v>2966</v>
      </c>
    </row>
    <row r="2551" spans="1:11" hidden="1" x14ac:dyDescent="0.25">
      <c r="A2551" s="148" t="s">
        <v>7092</v>
      </c>
      <c r="B2551" s="149" t="s">
        <v>7093</v>
      </c>
      <c r="C2551" s="150" t="s">
        <v>18</v>
      </c>
      <c r="D2551" s="150">
        <v>0</v>
      </c>
      <c r="E2551" s="151" t="s">
        <v>13</v>
      </c>
      <c r="F2551" s="152" t="str">
        <f t="shared" si="119"/>
        <v/>
      </c>
      <c r="G2551" s="153">
        <f>IF($K2551="Padrão",BDI!$B$17,IF($K2551="Diferenciado",BDI!$E$17,0))</f>
        <v>0.2039</v>
      </c>
      <c r="H2551" s="151" t="str">
        <f t="shared" si="117"/>
        <v/>
      </c>
      <c r="I2551" s="152" t="str">
        <f t="shared" si="118"/>
        <v/>
      </c>
      <c r="J2551" s="154"/>
      <c r="K2551" s="155" t="s">
        <v>2966</v>
      </c>
    </row>
    <row r="2552" spans="1:11" hidden="1" x14ac:dyDescent="0.25">
      <c r="A2552" s="148" t="s">
        <v>7094</v>
      </c>
      <c r="B2552" s="149" t="s">
        <v>7095</v>
      </c>
      <c r="C2552" s="150" t="s">
        <v>18</v>
      </c>
      <c r="D2552" s="150">
        <v>0</v>
      </c>
      <c r="E2552" s="151" t="s">
        <v>13</v>
      </c>
      <c r="F2552" s="152" t="str">
        <f t="shared" si="119"/>
        <v/>
      </c>
      <c r="G2552" s="153">
        <f>IF($K2552="Padrão",BDI!$B$17,IF($K2552="Diferenciado",BDI!$E$17,0))</f>
        <v>0.2039</v>
      </c>
      <c r="H2552" s="151" t="str">
        <f t="shared" si="117"/>
        <v/>
      </c>
      <c r="I2552" s="152" t="str">
        <f t="shared" si="118"/>
        <v/>
      </c>
      <c r="J2552" s="154"/>
      <c r="K2552" s="155" t="s">
        <v>2966</v>
      </c>
    </row>
    <row r="2553" spans="1:11" hidden="1" x14ac:dyDescent="0.25">
      <c r="A2553" s="148" t="s">
        <v>7096</v>
      </c>
      <c r="B2553" s="149" t="s">
        <v>7097</v>
      </c>
      <c r="C2553" s="150" t="s">
        <v>18</v>
      </c>
      <c r="D2553" s="150">
        <v>0</v>
      </c>
      <c r="E2553" s="151" t="s">
        <v>13</v>
      </c>
      <c r="F2553" s="152" t="str">
        <f t="shared" si="119"/>
        <v/>
      </c>
      <c r="G2553" s="153">
        <f>IF($K2553="Padrão",BDI!$B$17,IF($K2553="Diferenciado",BDI!$E$17,0))</f>
        <v>0.2039</v>
      </c>
      <c r="H2553" s="151" t="str">
        <f t="shared" si="117"/>
        <v/>
      </c>
      <c r="I2553" s="152" t="str">
        <f t="shared" si="118"/>
        <v/>
      </c>
      <c r="J2553" s="154"/>
      <c r="K2553" s="155" t="s">
        <v>2966</v>
      </c>
    </row>
    <row r="2554" spans="1:11" hidden="1" x14ac:dyDescent="0.25">
      <c r="A2554" s="148" t="s">
        <v>7098</v>
      </c>
      <c r="B2554" s="149" t="s">
        <v>7099</v>
      </c>
      <c r="C2554" s="150" t="s">
        <v>18</v>
      </c>
      <c r="D2554" s="150">
        <v>0</v>
      </c>
      <c r="E2554" s="151" t="s">
        <v>13</v>
      </c>
      <c r="F2554" s="152" t="str">
        <f t="shared" si="119"/>
        <v/>
      </c>
      <c r="G2554" s="153">
        <f>IF($K2554="Padrão",BDI!$B$17,IF($K2554="Diferenciado",BDI!$E$17,0))</f>
        <v>0.2039</v>
      </c>
      <c r="H2554" s="151" t="str">
        <f t="shared" si="117"/>
        <v/>
      </c>
      <c r="I2554" s="152" t="str">
        <f t="shared" si="118"/>
        <v/>
      </c>
      <c r="J2554" s="154"/>
      <c r="K2554" s="155" t="s">
        <v>2966</v>
      </c>
    </row>
    <row r="2555" spans="1:11" hidden="1" x14ac:dyDescent="0.25">
      <c r="A2555" s="148" t="s">
        <v>7100</v>
      </c>
      <c r="B2555" s="149" t="s">
        <v>7101</v>
      </c>
      <c r="C2555" s="150" t="s">
        <v>18</v>
      </c>
      <c r="D2555" s="150">
        <v>0</v>
      </c>
      <c r="E2555" s="151" t="s">
        <v>13</v>
      </c>
      <c r="F2555" s="152" t="str">
        <f t="shared" si="119"/>
        <v/>
      </c>
      <c r="G2555" s="153">
        <f>IF($K2555="Padrão",BDI!$B$17,IF($K2555="Diferenciado",BDI!$E$17,0))</f>
        <v>0.2039</v>
      </c>
      <c r="H2555" s="151" t="str">
        <f t="shared" si="117"/>
        <v/>
      </c>
      <c r="I2555" s="152" t="str">
        <f t="shared" si="118"/>
        <v/>
      </c>
      <c r="J2555" s="154"/>
      <c r="K2555" s="155" t="s">
        <v>2966</v>
      </c>
    </row>
    <row r="2556" spans="1:11" hidden="1" x14ac:dyDescent="0.25">
      <c r="A2556" s="148" t="s">
        <v>7102</v>
      </c>
      <c r="B2556" s="149" t="s">
        <v>7103</v>
      </c>
      <c r="C2556" s="150" t="s">
        <v>18</v>
      </c>
      <c r="D2556" s="150">
        <v>0</v>
      </c>
      <c r="E2556" s="151" t="s">
        <v>13</v>
      </c>
      <c r="F2556" s="152" t="str">
        <f t="shared" si="119"/>
        <v/>
      </c>
      <c r="G2556" s="153">
        <f>IF($K2556="Padrão",BDI!$B$17,IF($K2556="Diferenciado",BDI!$E$17,0))</f>
        <v>0.2039</v>
      </c>
      <c r="H2556" s="151" t="str">
        <f t="shared" si="117"/>
        <v/>
      </c>
      <c r="I2556" s="152" t="str">
        <f t="shared" si="118"/>
        <v/>
      </c>
      <c r="J2556" s="154"/>
      <c r="K2556" s="155" t="s">
        <v>2966</v>
      </c>
    </row>
    <row r="2557" spans="1:11" hidden="1" x14ac:dyDescent="0.25">
      <c r="A2557" s="148" t="s">
        <v>7104</v>
      </c>
      <c r="B2557" s="149" t="s">
        <v>7105</v>
      </c>
      <c r="C2557" s="150" t="s">
        <v>18</v>
      </c>
      <c r="D2557" s="150">
        <v>0</v>
      </c>
      <c r="E2557" s="151" t="s">
        <v>13</v>
      </c>
      <c r="F2557" s="152" t="str">
        <f t="shared" si="119"/>
        <v/>
      </c>
      <c r="G2557" s="153">
        <f>IF($K2557="Padrão",BDI!$B$17,IF($K2557="Diferenciado",BDI!$E$17,0))</f>
        <v>0.2039</v>
      </c>
      <c r="H2557" s="151" t="str">
        <f t="shared" si="117"/>
        <v/>
      </c>
      <c r="I2557" s="152" t="str">
        <f t="shared" si="118"/>
        <v/>
      </c>
      <c r="J2557" s="154"/>
      <c r="K2557" s="155" t="s">
        <v>2966</v>
      </c>
    </row>
    <row r="2558" spans="1:11" hidden="1" x14ac:dyDescent="0.25">
      <c r="A2558" s="148" t="s">
        <v>7106</v>
      </c>
      <c r="B2558" s="149" t="s">
        <v>7107</v>
      </c>
      <c r="C2558" s="150" t="s">
        <v>18</v>
      </c>
      <c r="D2558" s="150">
        <v>0</v>
      </c>
      <c r="E2558" s="151" t="s">
        <v>13</v>
      </c>
      <c r="F2558" s="152" t="str">
        <f t="shared" si="119"/>
        <v/>
      </c>
      <c r="G2558" s="153">
        <f>IF($K2558="Padrão",BDI!$B$17,IF($K2558="Diferenciado",BDI!$E$17,0))</f>
        <v>0.2039</v>
      </c>
      <c r="H2558" s="151" t="str">
        <f t="shared" si="117"/>
        <v/>
      </c>
      <c r="I2558" s="152" t="str">
        <f t="shared" si="118"/>
        <v/>
      </c>
      <c r="J2558" s="154"/>
      <c r="K2558" s="155" t="s">
        <v>2966</v>
      </c>
    </row>
    <row r="2559" spans="1:11" hidden="1" x14ac:dyDescent="0.25">
      <c r="A2559" s="148" t="s">
        <v>7108</v>
      </c>
      <c r="B2559" s="149" t="s">
        <v>7109</v>
      </c>
      <c r="C2559" s="150" t="s">
        <v>18</v>
      </c>
      <c r="D2559" s="150">
        <v>0</v>
      </c>
      <c r="E2559" s="151" t="s">
        <v>13</v>
      </c>
      <c r="F2559" s="152" t="str">
        <f t="shared" si="119"/>
        <v/>
      </c>
      <c r="G2559" s="153">
        <f>IF($K2559="Padrão",BDI!$B$17,IF($K2559="Diferenciado",BDI!$E$17,0))</f>
        <v>0.2039</v>
      </c>
      <c r="H2559" s="151" t="str">
        <f t="shared" si="117"/>
        <v/>
      </c>
      <c r="I2559" s="152" t="str">
        <f t="shared" si="118"/>
        <v/>
      </c>
      <c r="J2559" s="154"/>
      <c r="K2559" s="155" t="s">
        <v>2966</v>
      </c>
    </row>
    <row r="2560" spans="1:11" hidden="1" x14ac:dyDescent="0.25">
      <c r="A2560" s="148" t="s">
        <v>7110</v>
      </c>
      <c r="B2560" s="149" t="s">
        <v>7111</v>
      </c>
      <c r="C2560" s="150" t="s">
        <v>18</v>
      </c>
      <c r="D2560" s="150">
        <v>0</v>
      </c>
      <c r="E2560" s="151" t="s">
        <v>13</v>
      </c>
      <c r="F2560" s="152" t="str">
        <f t="shared" si="119"/>
        <v/>
      </c>
      <c r="G2560" s="153">
        <f>IF($K2560="Padrão",BDI!$B$17,IF($K2560="Diferenciado",BDI!$E$17,0))</f>
        <v>0.2039</v>
      </c>
      <c r="H2560" s="151" t="str">
        <f t="shared" si="117"/>
        <v/>
      </c>
      <c r="I2560" s="152" t="str">
        <f t="shared" si="118"/>
        <v/>
      </c>
      <c r="J2560" s="154"/>
      <c r="K2560" s="155" t="s">
        <v>2966</v>
      </c>
    </row>
    <row r="2561" spans="1:11" hidden="1" x14ac:dyDescent="0.25">
      <c r="A2561" s="148" t="s">
        <v>7112</v>
      </c>
      <c r="B2561" s="149" t="s">
        <v>7113</v>
      </c>
      <c r="C2561" s="150" t="s">
        <v>18</v>
      </c>
      <c r="D2561" s="150">
        <v>0</v>
      </c>
      <c r="E2561" s="151" t="s">
        <v>13</v>
      </c>
      <c r="F2561" s="152" t="str">
        <f t="shared" si="119"/>
        <v/>
      </c>
      <c r="G2561" s="153">
        <f>IF($K2561="Padrão",BDI!$B$17,IF($K2561="Diferenciado",BDI!$E$17,0))</f>
        <v>0.2039</v>
      </c>
      <c r="H2561" s="151" t="str">
        <f t="shared" si="117"/>
        <v/>
      </c>
      <c r="I2561" s="152" t="str">
        <f t="shared" si="118"/>
        <v/>
      </c>
      <c r="J2561" s="154"/>
      <c r="K2561" s="155" t="s">
        <v>2966</v>
      </c>
    </row>
    <row r="2562" spans="1:11" hidden="1" x14ac:dyDescent="0.25">
      <c r="A2562" s="148" t="s">
        <v>7114</v>
      </c>
      <c r="B2562" s="149" t="s">
        <v>7115</v>
      </c>
      <c r="C2562" s="150" t="s">
        <v>18</v>
      </c>
      <c r="D2562" s="150">
        <v>0</v>
      </c>
      <c r="E2562" s="151" t="s">
        <v>13</v>
      </c>
      <c r="F2562" s="152" t="str">
        <f t="shared" si="119"/>
        <v/>
      </c>
      <c r="G2562" s="153">
        <f>IF($K2562="Padrão",BDI!$B$17,IF($K2562="Diferenciado",BDI!$E$17,0))</f>
        <v>0.2039</v>
      </c>
      <c r="H2562" s="151" t="str">
        <f t="shared" si="117"/>
        <v/>
      </c>
      <c r="I2562" s="152" t="str">
        <f t="shared" si="118"/>
        <v/>
      </c>
      <c r="J2562" s="154"/>
      <c r="K2562" s="155" t="s">
        <v>2966</v>
      </c>
    </row>
    <row r="2563" spans="1:11" hidden="1" x14ac:dyDescent="0.25">
      <c r="A2563" s="148" t="s">
        <v>7116</v>
      </c>
      <c r="B2563" s="149" t="s">
        <v>7117</v>
      </c>
      <c r="C2563" s="150" t="s">
        <v>18</v>
      </c>
      <c r="D2563" s="150">
        <v>0</v>
      </c>
      <c r="E2563" s="151" t="s">
        <v>13</v>
      </c>
      <c r="F2563" s="152" t="str">
        <f t="shared" si="119"/>
        <v/>
      </c>
      <c r="G2563" s="153">
        <f>IF($K2563="Padrão",BDI!$B$17,IF($K2563="Diferenciado",BDI!$E$17,0))</f>
        <v>0.2039</v>
      </c>
      <c r="H2563" s="151" t="str">
        <f t="shared" si="117"/>
        <v/>
      </c>
      <c r="I2563" s="152" t="str">
        <f t="shared" si="118"/>
        <v/>
      </c>
      <c r="J2563" s="154"/>
      <c r="K2563" s="155" t="s">
        <v>2966</v>
      </c>
    </row>
    <row r="2564" spans="1:11" hidden="1" x14ac:dyDescent="0.25">
      <c r="A2564" s="148" t="s">
        <v>7118</v>
      </c>
      <c r="B2564" s="149" t="s">
        <v>7119</v>
      </c>
      <c r="C2564" s="150" t="s">
        <v>18</v>
      </c>
      <c r="D2564" s="150">
        <v>0</v>
      </c>
      <c r="E2564" s="151" t="s">
        <v>13</v>
      </c>
      <c r="F2564" s="152" t="str">
        <f t="shared" si="119"/>
        <v/>
      </c>
      <c r="G2564" s="153">
        <f>IF($K2564="Padrão",BDI!$B$17,IF($K2564="Diferenciado",BDI!$E$17,0))</f>
        <v>0.2039</v>
      </c>
      <c r="H2564" s="151" t="str">
        <f t="shared" si="117"/>
        <v/>
      </c>
      <c r="I2564" s="152" t="str">
        <f t="shared" si="118"/>
        <v/>
      </c>
      <c r="J2564" s="154"/>
      <c r="K2564" s="155" t="s">
        <v>2966</v>
      </c>
    </row>
    <row r="2565" spans="1:11" hidden="1" x14ac:dyDescent="0.25">
      <c r="A2565" s="148" t="s">
        <v>7120</v>
      </c>
      <c r="B2565" s="149" t="s">
        <v>7121</v>
      </c>
      <c r="C2565" s="150" t="s">
        <v>18</v>
      </c>
      <c r="D2565" s="150">
        <v>0</v>
      </c>
      <c r="E2565" s="151" t="s">
        <v>13</v>
      </c>
      <c r="F2565" s="152" t="str">
        <f t="shared" si="119"/>
        <v/>
      </c>
      <c r="G2565" s="153">
        <f>IF($K2565="Padrão",BDI!$B$17,IF($K2565="Diferenciado",BDI!$E$17,0))</f>
        <v>0.2039</v>
      </c>
      <c r="H2565" s="151" t="str">
        <f t="shared" si="117"/>
        <v/>
      </c>
      <c r="I2565" s="152" t="str">
        <f t="shared" si="118"/>
        <v/>
      </c>
      <c r="J2565" s="154"/>
      <c r="K2565" s="155" t="s">
        <v>2966</v>
      </c>
    </row>
    <row r="2566" spans="1:11" hidden="1" x14ac:dyDescent="0.25">
      <c r="A2566" s="148" t="s">
        <v>7122</v>
      </c>
      <c r="B2566" s="149" t="s">
        <v>7123</v>
      </c>
      <c r="C2566" s="150" t="s">
        <v>18</v>
      </c>
      <c r="D2566" s="150">
        <v>0</v>
      </c>
      <c r="E2566" s="151" t="s">
        <v>13</v>
      </c>
      <c r="F2566" s="152" t="str">
        <f t="shared" si="119"/>
        <v/>
      </c>
      <c r="G2566" s="153">
        <f>IF($K2566="Padrão",BDI!$B$17,IF($K2566="Diferenciado",BDI!$E$17,0))</f>
        <v>0.2039</v>
      </c>
      <c r="H2566" s="151" t="str">
        <f t="shared" ref="H2566:H2629" si="120">IF(ISNUMBER(E2566),ROUND(E2566*(1+G2566),2),"")</f>
        <v/>
      </c>
      <c r="I2566" s="152" t="str">
        <f t="shared" ref="I2566:I2629" si="121">IF(ISNUMBER(E2566),ROUND(H2566*D2566,2),"")</f>
        <v/>
      </c>
      <c r="J2566" s="154"/>
      <c r="K2566" s="155" t="s">
        <v>2966</v>
      </c>
    </row>
    <row r="2567" spans="1:11" hidden="1" x14ac:dyDescent="0.25">
      <c r="A2567" s="148" t="s">
        <v>7124</v>
      </c>
      <c r="B2567" s="149" t="s">
        <v>7125</v>
      </c>
      <c r="C2567" s="150" t="s">
        <v>18</v>
      </c>
      <c r="D2567" s="150">
        <v>0</v>
      </c>
      <c r="E2567" s="151" t="s">
        <v>13</v>
      </c>
      <c r="F2567" s="152" t="str">
        <f t="shared" ref="F2567:F2630" si="122">IF(ISNUMBER(E2567),D2567*E2567,"")</f>
        <v/>
      </c>
      <c r="G2567" s="153">
        <f>IF($K2567="Padrão",BDI!$B$17,IF($K2567="Diferenciado",BDI!$E$17,0))</f>
        <v>0.2039</v>
      </c>
      <c r="H2567" s="151" t="str">
        <f t="shared" si="120"/>
        <v/>
      </c>
      <c r="I2567" s="152" t="str">
        <f t="shared" si="121"/>
        <v/>
      </c>
      <c r="J2567" s="154"/>
      <c r="K2567" s="155" t="s">
        <v>2966</v>
      </c>
    </row>
    <row r="2568" spans="1:11" hidden="1" x14ac:dyDescent="0.25">
      <c r="A2568" s="148" t="s">
        <v>7126</v>
      </c>
      <c r="B2568" s="149" t="s">
        <v>7127</v>
      </c>
      <c r="C2568" s="150" t="s">
        <v>18</v>
      </c>
      <c r="D2568" s="150">
        <v>0</v>
      </c>
      <c r="E2568" s="151" t="s">
        <v>13</v>
      </c>
      <c r="F2568" s="152" t="str">
        <f t="shared" si="122"/>
        <v/>
      </c>
      <c r="G2568" s="153">
        <f>IF($K2568="Padrão",BDI!$B$17,IF($K2568="Diferenciado",BDI!$E$17,0))</f>
        <v>0.2039</v>
      </c>
      <c r="H2568" s="151" t="str">
        <f t="shared" si="120"/>
        <v/>
      </c>
      <c r="I2568" s="152" t="str">
        <f t="shared" si="121"/>
        <v/>
      </c>
      <c r="J2568" s="154"/>
      <c r="K2568" s="155" t="s">
        <v>2966</v>
      </c>
    </row>
    <row r="2569" spans="1:11" hidden="1" x14ac:dyDescent="0.25">
      <c r="A2569" s="148" t="s">
        <v>7128</v>
      </c>
      <c r="B2569" s="149" t="s">
        <v>7129</v>
      </c>
      <c r="C2569" s="150" t="s">
        <v>18</v>
      </c>
      <c r="D2569" s="150">
        <v>0</v>
      </c>
      <c r="E2569" s="151" t="s">
        <v>13</v>
      </c>
      <c r="F2569" s="152" t="str">
        <f t="shared" si="122"/>
        <v/>
      </c>
      <c r="G2569" s="153">
        <f>IF($K2569="Padrão",BDI!$B$17,IF($K2569="Diferenciado",BDI!$E$17,0))</f>
        <v>0.2039</v>
      </c>
      <c r="H2569" s="151" t="str">
        <f t="shared" si="120"/>
        <v/>
      </c>
      <c r="I2569" s="152" t="str">
        <f t="shared" si="121"/>
        <v/>
      </c>
      <c r="J2569" s="154"/>
      <c r="K2569" s="155" t="s">
        <v>2966</v>
      </c>
    </row>
    <row r="2570" spans="1:11" hidden="1" x14ac:dyDescent="0.25">
      <c r="A2570" s="148" t="s">
        <v>7130</v>
      </c>
      <c r="B2570" s="149" t="s">
        <v>7131</v>
      </c>
      <c r="C2570" s="150" t="s">
        <v>18</v>
      </c>
      <c r="D2570" s="150">
        <v>0</v>
      </c>
      <c r="E2570" s="151" t="s">
        <v>13</v>
      </c>
      <c r="F2570" s="152" t="str">
        <f t="shared" si="122"/>
        <v/>
      </c>
      <c r="G2570" s="153">
        <f>IF($K2570="Padrão",BDI!$B$17,IF($K2570="Diferenciado",BDI!$E$17,0))</f>
        <v>0.2039</v>
      </c>
      <c r="H2570" s="151" t="str">
        <f t="shared" si="120"/>
        <v/>
      </c>
      <c r="I2570" s="152" t="str">
        <f t="shared" si="121"/>
        <v/>
      </c>
      <c r="J2570" s="154"/>
      <c r="K2570" s="155" t="s">
        <v>2966</v>
      </c>
    </row>
    <row r="2571" spans="1:11" hidden="1" x14ac:dyDescent="0.25">
      <c r="A2571" s="148" t="s">
        <v>7132</v>
      </c>
      <c r="B2571" s="149" t="s">
        <v>7133</v>
      </c>
      <c r="C2571" s="150" t="s">
        <v>18</v>
      </c>
      <c r="D2571" s="150">
        <v>0</v>
      </c>
      <c r="E2571" s="151" t="s">
        <v>13</v>
      </c>
      <c r="F2571" s="152" t="str">
        <f t="shared" si="122"/>
        <v/>
      </c>
      <c r="G2571" s="153">
        <f>IF($K2571="Padrão",BDI!$B$17,IF($K2571="Diferenciado",BDI!$E$17,0))</f>
        <v>0.2039</v>
      </c>
      <c r="H2571" s="151" t="str">
        <f t="shared" si="120"/>
        <v/>
      </c>
      <c r="I2571" s="152" t="str">
        <f t="shared" si="121"/>
        <v/>
      </c>
      <c r="J2571" s="154"/>
      <c r="K2571" s="155" t="s">
        <v>2966</v>
      </c>
    </row>
    <row r="2572" spans="1:11" hidden="1" x14ac:dyDescent="0.25">
      <c r="A2572" s="148" t="s">
        <v>7134</v>
      </c>
      <c r="B2572" s="149" t="s">
        <v>7135</v>
      </c>
      <c r="C2572" s="150" t="s">
        <v>18</v>
      </c>
      <c r="D2572" s="150">
        <v>0</v>
      </c>
      <c r="E2572" s="151" t="s">
        <v>13</v>
      </c>
      <c r="F2572" s="152" t="str">
        <f t="shared" si="122"/>
        <v/>
      </c>
      <c r="G2572" s="153">
        <f>IF($K2572="Padrão",BDI!$B$17,IF($K2572="Diferenciado",BDI!$E$17,0))</f>
        <v>0.2039</v>
      </c>
      <c r="H2572" s="151" t="str">
        <f t="shared" si="120"/>
        <v/>
      </c>
      <c r="I2572" s="152" t="str">
        <f t="shared" si="121"/>
        <v/>
      </c>
      <c r="J2572" s="154"/>
      <c r="K2572" s="155" t="s">
        <v>2966</v>
      </c>
    </row>
    <row r="2573" spans="1:11" hidden="1" x14ac:dyDescent="0.25">
      <c r="A2573" s="148" t="s">
        <v>7136</v>
      </c>
      <c r="B2573" s="149" t="s">
        <v>7137</v>
      </c>
      <c r="C2573" s="150" t="s">
        <v>18</v>
      </c>
      <c r="D2573" s="150">
        <v>0</v>
      </c>
      <c r="E2573" s="151" t="s">
        <v>13</v>
      </c>
      <c r="F2573" s="152" t="str">
        <f t="shared" si="122"/>
        <v/>
      </c>
      <c r="G2573" s="153">
        <f>IF($K2573="Padrão",BDI!$B$17,IF($K2573="Diferenciado",BDI!$E$17,0))</f>
        <v>0.2039</v>
      </c>
      <c r="H2573" s="151" t="str">
        <f t="shared" si="120"/>
        <v/>
      </c>
      <c r="I2573" s="152" t="str">
        <f t="shared" si="121"/>
        <v/>
      </c>
      <c r="J2573" s="154"/>
      <c r="K2573" s="155" t="s">
        <v>2966</v>
      </c>
    </row>
    <row r="2574" spans="1:11" hidden="1" x14ac:dyDescent="0.25">
      <c r="A2574" s="148" t="s">
        <v>7138</v>
      </c>
      <c r="B2574" s="149" t="s">
        <v>7139</v>
      </c>
      <c r="C2574" s="150" t="s">
        <v>18</v>
      </c>
      <c r="D2574" s="150">
        <v>0</v>
      </c>
      <c r="E2574" s="151" t="s">
        <v>13</v>
      </c>
      <c r="F2574" s="152" t="str">
        <f t="shared" si="122"/>
        <v/>
      </c>
      <c r="G2574" s="153">
        <f>IF($K2574="Padrão",BDI!$B$17,IF($K2574="Diferenciado",BDI!$E$17,0))</f>
        <v>0.2039</v>
      </c>
      <c r="H2574" s="151" t="str">
        <f t="shared" si="120"/>
        <v/>
      </c>
      <c r="I2574" s="152" t="str">
        <f t="shared" si="121"/>
        <v/>
      </c>
      <c r="J2574" s="154"/>
      <c r="K2574" s="155" t="s">
        <v>2966</v>
      </c>
    </row>
    <row r="2575" spans="1:11" hidden="1" x14ac:dyDescent="0.25">
      <c r="A2575" s="148" t="s">
        <v>7140</v>
      </c>
      <c r="B2575" s="149" t="s">
        <v>7141</v>
      </c>
      <c r="C2575" s="150" t="s">
        <v>18</v>
      </c>
      <c r="D2575" s="150">
        <v>0</v>
      </c>
      <c r="E2575" s="151" t="s">
        <v>13</v>
      </c>
      <c r="F2575" s="152" t="str">
        <f t="shared" si="122"/>
        <v/>
      </c>
      <c r="G2575" s="153">
        <f>IF($K2575="Padrão",BDI!$B$17,IF($K2575="Diferenciado",BDI!$E$17,0))</f>
        <v>0.2039</v>
      </c>
      <c r="H2575" s="151" t="str">
        <f t="shared" si="120"/>
        <v/>
      </c>
      <c r="I2575" s="152" t="str">
        <f t="shared" si="121"/>
        <v/>
      </c>
      <c r="J2575" s="154"/>
      <c r="K2575" s="155" t="s">
        <v>2966</v>
      </c>
    </row>
    <row r="2576" spans="1:11" hidden="1" x14ac:dyDescent="0.25">
      <c r="A2576" s="148" t="s">
        <v>7142</v>
      </c>
      <c r="B2576" s="149" t="s">
        <v>7143</v>
      </c>
      <c r="C2576" s="150" t="s">
        <v>18</v>
      </c>
      <c r="D2576" s="150">
        <v>0</v>
      </c>
      <c r="E2576" s="151" t="s">
        <v>13</v>
      </c>
      <c r="F2576" s="152" t="str">
        <f t="shared" si="122"/>
        <v/>
      </c>
      <c r="G2576" s="153">
        <f>IF($K2576="Padrão",BDI!$B$17,IF($K2576="Diferenciado",BDI!$E$17,0))</f>
        <v>0.2039</v>
      </c>
      <c r="H2576" s="151" t="str">
        <f t="shared" si="120"/>
        <v/>
      </c>
      <c r="I2576" s="152" t="str">
        <f t="shared" si="121"/>
        <v/>
      </c>
      <c r="J2576" s="154"/>
      <c r="K2576" s="155" t="s">
        <v>2966</v>
      </c>
    </row>
    <row r="2577" spans="1:11" hidden="1" x14ac:dyDescent="0.25">
      <c r="A2577" s="148" t="s">
        <v>7144</v>
      </c>
      <c r="B2577" s="149" t="s">
        <v>7145</v>
      </c>
      <c r="C2577" s="150" t="s">
        <v>3474</v>
      </c>
      <c r="D2577" s="150">
        <v>0</v>
      </c>
      <c r="E2577" s="151" t="s">
        <v>13</v>
      </c>
      <c r="F2577" s="152" t="str">
        <f t="shared" si="122"/>
        <v/>
      </c>
      <c r="G2577" s="153">
        <f>IF($K2577="Padrão",BDI!$B$17,IF($K2577="Diferenciado",BDI!$E$17,0))</f>
        <v>0.2039</v>
      </c>
      <c r="H2577" s="151" t="str">
        <f t="shared" si="120"/>
        <v/>
      </c>
      <c r="I2577" s="152" t="str">
        <f t="shared" si="121"/>
        <v/>
      </c>
      <c r="J2577" s="154"/>
      <c r="K2577" s="155" t="s">
        <v>2966</v>
      </c>
    </row>
    <row r="2578" spans="1:11" hidden="1" x14ac:dyDescent="0.25">
      <c r="A2578" s="148" t="s">
        <v>7146</v>
      </c>
      <c r="B2578" s="149" t="s">
        <v>7147</v>
      </c>
      <c r="C2578" s="150" t="s">
        <v>3474</v>
      </c>
      <c r="D2578" s="150">
        <v>0</v>
      </c>
      <c r="E2578" s="151" t="s">
        <v>13</v>
      </c>
      <c r="F2578" s="152" t="str">
        <f t="shared" si="122"/>
        <v/>
      </c>
      <c r="G2578" s="153">
        <f>IF($K2578="Padrão",BDI!$B$17,IF($K2578="Diferenciado",BDI!$E$17,0))</f>
        <v>0.2039</v>
      </c>
      <c r="H2578" s="151" t="str">
        <f t="shared" si="120"/>
        <v/>
      </c>
      <c r="I2578" s="152" t="str">
        <f t="shared" si="121"/>
        <v/>
      </c>
      <c r="J2578" s="154"/>
      <c r="K2578" s="155" t="s">
        <v>2966</v>
      </c>
    </row>
    <row r="2579" spans="1:11" hidden="1" x14ac:dyDescent="0.25">
      <c r="A2579" s="148" t="s">
        <v>7148</v>
      </c>
      <c r="B2579" s="149" t="s">
        <v>7149</v>
      </c>
      <c r="C2579" s="150" t="s">
        <v>3474</v>
      </c>
      <c r="D2579" s="150">
        <v>0</v>
      </c>
      <c r="E2579" s="151" t="s">
        <v>13</v>
      </c>
      <c r="F2579" s="152" t="str">
        <f t="shared" si="122"/>
        <v/>
      </c>
      <c r="G2579" s="153">
        <f>IF($K2579="Padrão",BDI!$B$17,IF($K2579="Diferenciado",BDI!$E$17,0))</f>
        <v>0.2039</v>
      </c>
      <c r="H2579" s="151" t="str">
        <f t="shared" si="120"/>
        <v/>
      </c>
      <c r="I2579" s="152" t="str">
        <f t="shared" si="121"/>
        <v/>
      </c>
      <c r="J2579" s="154"/>
      <c r="K2579" s="155" t="s">
        <v>2966</v>
      </c>
    </row>
    <row r="2580" spans="1:11" hidden="1" x14ac:dyDescent="0.25">
      <c r="A2580" s="148" t="s">
        <v>7150</v>
      </c>
      <c r="B2580" s="149" t="s">
        <v>7151</v>
      </c>
      <c r="C2580" s="150" t="s">
        <v>18</v>
      </c>
      <c r="D2580" s="150">
        <v>0</v>
      </c>
      <c r="E2580" s="151" t="s">
        <v>13</v>
      </c>
      <c r="F2580" s="152" t="str">
        <f t="shared" si="122"/>
        <v/>
      </c>
      <c r="G2580" s="153">
        <f>IF($K2580="Padrão",BDI!$B$17,IF($K2580="Diferenciado",BDI!$E$17,0))</f>
        <v>0.2039</v>
      </c>
      <c r="H2580" s="151" t="str">
        <f t="shared" si="120"/>
        <v/>
      </c>
      <c r="I2580" s="152" t="str">
        <f t="shared" si="121"/>
        <v/>
      </c>
      <c r="J2580" s="154"/>
      <c r="K2580" s="155" t="s">
        <v>2966</v>
      </c>
    </row>
    <row r="2581" spans="1:11" hidden="1" x14ac:dyDescent="0.25">
      <c r="A2581" s="148" t="s">
        <v>7152</v>
      </c>
      <c r="B2581" s="149" t="s">
        <v>7153</v>
      </c>
      <c r="C2581" s="150" t="s">
        <v>18</v>
      </c>
      <c r="D2581" s="150">
        <v>0</v>
      </c>
      <c r="E2581" s="151" t="s">
        <v>13</v>
      </c>
      <c r="F2581" s="152" t="str">
        <f t="shared" si="122"/>
        <v/>
      </c>
      <c r="G2581" s="153">
        <f>IF($K2581="Padrão",BDI!$B$17,IF($K2581="Diferenciado",BDI!$E$17,0))</f>
        <v>0.2039</v>
      </c>
      <c r="H2581" s="151" t="str">
        <f t="shared" si="120"/>
        <v/>
      </c>
      <c r="I2581" s="152" t="str">
        <f t="shared" si="121"/>
        <v/>
      </c>
      <c r="J2581" s="154"/>
      <c r="K2581" s="155" t="s">
        <v>2966</v>
      </c>
    </row>
    <row r="2582" spans="1:11" hidden="1" x14ac:dyDescent="0.25">
      <c r="A2582" s="148" t="s">
        <v>7154</v>
      </c>
      <c r="B2582" s="149" t="s">
        <v>7155</v>
      </c>
      <c r="C2582" s="150" t="s">
        <v>18</v>
      </c>
      <c r="D2582" s="150">
        <v>0</v>
      </c>
      <c r="E2582" s="151" t="s">
        <v>13</v>
      </c>
      <c r="F2582" s="152" t="str">
        <f t="shared" si="122"/>
        <v/>
      </c>
      <c r="G2582" s="153">
        <f>IF($K2582="Padrão",BDI!$B$17,IF($K2582="Diferenciado",BDI!$E$17,0))</f>
        <v>0.2039</v>
      </c>
      <c r="H2582" s="151" t="str">
        <f t="shared" si="120"/>
        <v/>
      </c>
      <c r="I2582" s="152" t="str">
        <f t="shared" si="121"/>
        <v/>
      </c>
      <c r="J2582" s="154"/>
      <c r="K2582" s="155" t="s">
        <v>2966</v>
      </c>
    </row>
    <row r="2583" spans="1:11" hidden="1" x14ac:dyDescent="0.25">
      <c r="A2583" s="148" t="s">
        <v>7156</v>
      </c>
      <c r="B2583" s="149" t="s">
        <v>7157</v>
      </c>
      <c r="C2583" s="150" t="s">
        <v>18</v>
      </c>
      <c r="D2583" s="150">
        <v>0</v>
      </c>
      <c r="E2583" s="151" t="s">
        <v>13</v>
      </c>
      <c r="F2583" s="152" t="str">
        <f t="shared" si="122"/>
        <v/>
      </c>
      <c r="G2583" s="153">
        <f>IF($K2583="Padrão",BDI!$B$17,IF($K2583="Diferenciado",BDI!$E$17,0))</f>
        <v>0.2039</v>
      </c>
      <c r="H2583" s="151" t="str">
        <f t="shared" si="120"/>
        <v/>
      </c>
      <c r="I2583" s="152" t="str">
        <f t="shared" si="121"/>
        <v/>
      </c>
      <c r="J2583" s="154"/>
      <c r="K2583" s="155" t="s">
        <v>2966</v>
      </c>
    </row>
    <row r="2584" spans="1:11" hidden="1" x14ac:dyDescent="0.25">
      <c r="A2584" s="148" t="s">
        <v>7158</v>
      </c>
      <c r="B2584" s="149" t="s">
        <v>7159</v>
      </c>
      <c r="C2584" s="150" t="s">
        <v>18</v>
      </c>
      <c r="D2584" s="150">
        <v>0</v>
      </c>
      <c r="E2584" s="151" t="s">
        <v>13</v>
      </c>
      <c r="F2584" s="152" t="str">
        <f t="shared" si="122"/>
        <v/>
      </c>
      <c r="G2584" s="153">
        <f>IF($K2584="Padrão",BDI!$B$17,IF($K2584="Diferenciado",BDI!$E$17,0))</f>
        <v>0.2039</v>
      </c>
      <c r="H2584" s="151" t="str">
        <f t="shared" si="120"/>
        <v/>
      </c>
      <c r="I2584" s="152" t="str">
        <f t="shared" si="121"/>
        <v/>
      </c>
      <c r="J2584" s="154"/>
      <c r="K2584" s="155" t="s">
        <v>2966</v>
      </c>
    </row>
    <row r="2585" spans="1:11" hidden="1" x14ac:dyDescent="0.25">
      <c r="A2585" s="148" t="s">
        <v>7160</v>
      </c>
      <c r="B2585" s="149" t="s">
        <v>7161</v>
      </c>
      <c r="C2585" s="150" t="s">
        <v>18</v>
      </c>
      <c r="D2585" s="150">
        <v>0</v>
      </c>
      <c r="E2585" s="151" t="s">
        <v>13</v>
      </c>
      <c r="F2585" s="152" t="str">
        <f t="shared" si="122"/>
        <v/>
      </c>
      <c r="G2585" s="153">
        <f>IF($K2585="Padrão",BDI!$B$17,IF($K2585="Diferenciado",BDI!$E$17,0))</f>
        <v>0.2039</v>
      </c>
      <c r="H2585" s="151" t="str">
        <f t="shared" si="120"/>
        <v/>
      </c>
      <c r="I2585" s="152" t="str">
        <f t="shared" si="121"/>
        <v/>
      </c>
      <c r="J2585" s="154"/>
      <c r="K2585" s="155" t="s">
        <v>2966</v>
      </c>
    </row>
    <row r="2586" spans="1:11" hidden="1" x14ac:dyDescent="0.25">
      <c r="A2586" s="148" t="s">
        <v>7162</v>
      </c>
      <c r="B2586" s="149" t="s">
        <v>7163</v>
      </c>
      <c r="C2586" s="150" t="s">
        <v>18</v>
      </c>
      <c r="D2586" s="150">
        <v>0</v>
      </c>
      <c r="E2586" s="151" t="s">
        <v>13</v>
      </c>
      <c r="F2586" s="152" t="str">
        <f t="shared" si="122"/>
        <v/>
      </c>
      <c r="G2586" s="153">
        <f>IF($K2586="Padrão",BDI!$B$17,IF($K2586="Diferenciado",BDI!$E$17,0))</f>
        <v>0.2039</v>
      </c>
      <c r="H2586" s="151" t="str">
        <f t="shared" si="120"/>
        <v/>
      </c>
      <c r="I2586" s="152" t="str">
        <f t="shared" si="121"/>
        <v/>
      </c>
      <c r="J2586" s="154"/>
      <c r="K2586" s="155" t="s">
        <v>2966</v>
      </c>
    </row>
    <row r="2587" spans="1:11" hidden="1" x14ac:dyDescent="0.25">
      <c r="A2587" s="148" t="s">
        <v>7164</v>
      </c>
      <c r="B2587" s="149" t="s">
        <v>7165</v>
      </c>
      <c r="C2587" s="150" t="s">
        <v>7166</v>
      </c>
      <c r="D2587" s="150">
        <v>0</v>
      </c>
      <c r="E2587" s="151" t="s">
        <v>13</v>
      </c>
      <c r="F2587" s="152" t="str">
        <f t="shared" si="122"/>
        <v/>
      </c>
      <c r="G2587" s="153">
        <f>IF($K2587="Padrão",BDI!$B$17,IF($K2587="Diferenciado",BDI!$E$17,0))</f>
        <v>0.2039</v>
      </c>
      <c r="H2587" s="151" t="str">
        <f t="shared" si="120"/>
        <v/>
      </c>
      <c r="I2587" s="152" t="str">
        <f t="shared" si="121"/>
        <v/>
      </c>
      <c r="J2587" s="154"/>
      <c r="K2587" s="155" t="s">
        <v>2966</v>
      </c>
    </row>
    <row r="2588" spans="1:11" hidden="1" x14ac:dyDescent="0.25">
      <c r="A2588" s="148" t="s">
        <v>7167</v>
      </c>
      <c r="B2588" s="149" t="s">
        <v>7168</v>
      </c>
      <c r="C2588" s="150" t="s">
        <v>3474</v>
      </c>
      <c r="D2588" s="150">
        <v>0</v>
      </c>
      <c r="E2588" s="151" t="s">
        <v>13</v>
      </c>
      <c r="F2588" s="152" t="str">
        <f t="shared" si="122"/>
        <v/>
      </c>
      <c r="G2588" s="153">
        <f>IF($K2588="Padrão",BDI!$B$17,IF($K2588="Diferenciado",BDI!$E$17,0))</f>
        <v>0.2039</v>
      </c>
      <c r="H2588" s="151" t="str">
        <f t="shared" si="120"/>
        <v/>
      </c>
      <c r="I2588" s="152" t="str">
        <f t="shared" si="121"/>
        <v/>
      </c>
      <c r="J2588" s="154"/>
      <c r="K2588" s="155" t="s">
        <v>2966</v>
      </c>
    </row>
    <row r="2589" spans="1:11" hidden="1" x14ac:dyDescent="0.25">
      <c r="A2589" s="148" t="s">
        <v>7169</v>
      </c>
      <c r="B2589" s="149" t="s">
        <v>7170</v>
      </c>
      <c r="C2589" s="150" t="s">
        <v>3474</v>
      </c>
      <c r="D2589" s="150">
        <v>0</v>
      </c>
      <c r="E2589" s="151" t="s">
        <v>13</v>
      </c>
      <c r="F2589" s="152" t="str">
        <f t="shared" si="122"/>
        <v/>
      </c>
      <c r="G2589" s="153">
        <f>IF($K2589="Padrão",BDI!$B$17,IF($K2589="Diferenciado",BDI!$E$17,0))</f>
        <v>0.2039</v>
      </c>
      <c r="H2589" s="151" t="str">
        <f t="shared" si="120"/>
        <v/>
      </c>
      <c r="I2589" s="152" t="str">
        <f t="shared" si="121"/>
        <v/>
      </c>
      <c r="J2589" s="154"/>
      <c r="K2589" s="155" t="s">
        <v>2966</v>
      </c>
    </row>
    <row r="2590" spans="1:11" hidden="1" x14ac:dyDescent="0.25">
      <c r="A2590" s="148" t="s">
        <v>7171</v>
      </c>
      <c r="B2590" s="149" t="s">
        <v>7172</v>
      </c>
      <c r="C2590" s="150" t="s">
        <v>18</v>
      </c>
      <c r="D2590" s="150">
        <v>0</v>
      </c>
      <c r="E2590" s="151" t="s">
        <v>13</v>
      </c>
      <c r="F2590" s="152" t="str">
        <f t="shared" si="122"/>
        <v/>
      </c>
      <c r="G2590" s="153">
        <f>IF($K2590="Padrão",BDI!$B$17,IF($K2590="Diferenciado",BDI!$E$17,0))</f>
        <v>0.2039</v>
      </c>
      <c r="H2590" s="151" t="str">
        <f t="shared" si="120"/>
        <v/>
      </c>
      <c r="I2590" s="152" t="str">
        <f t="shared" si="121"/>
        <v/>
      </c>
      <c r="J2590" s="154"/>
      <c r="K2590" s="155" t="s">
        <v>2966</v>
      </c>
    </row>
    <row r="2591" spans="1:11" hidden="1" x14ac:dyDescent="0.25">
      <c r="A2591" s="148" t="s">
        <v>7173</v>
      </c>
      <c r="B2591" s="149" t="s">
        <v>7174</v>
      </c>
      <c r="C2591" s="150" t="s">
        <v>3474</v>
      </c>
      <c r="D2591" s="150">
        <v>0</v>
      </c>
      <c r="E2591" s="151" t="s">
        <v>13</v>
      </c>
      <c r="F2591" s="152" t="str">
        <f t="shared" si="122"/>
        <v/>
      </c>
      <c r="G2591" s="153">
        <f>IF($K2591="Padrão",BDI!$B$17,IF($K2591="Diferenciado",BDI!$E$17,0))</f>
        <v>0.2039</v>
      </c>
      <c r="H2591" s="151" t="str">
        <f t="shared" si="120"/>
        <v/>
      </c>
      <c r="I2591" s="152" t="str">
        <f t="shared" si="121"/>
        <v/>
      </c>
      <c r="J2591" s="154"/>
      <c r="K2591" s="155" t="s">
        <v>2966</v>
      </c>
    </row>
    <row r="2592" spans="1:11" hidden="1" x14ac:dyDescent="0.25">
      <c r="A2592" s="148" t="s">
        <v>7175</v>
      </c>
      <c r="B2592" s="149" t="s">
        <v>7176</v>
      </c>
      <c r="C2592" s="150" t="s">
        <v>3474</v>
      </c>
      <c r="D2592" s="150">
        <v>0</v>
      </c>
      <c r="E2592" s="151" t="s">
        <v>13</v>
      </c>
      <c r="F2592" s="152" t="str">
        <f t="shared" si="122"/>
        <v/>
      </c>
      <c r="G2592" s="153">
        <f>IF($K2592="Padrão",BDI!$B$17,IF($K2592="Diferenciado",BDI!$E$17,0))</f>
        <v>0.2039</v>
      </c>
      <c r="H2592" s="151" t="str">
        <f t="shared" si="120"/>
        <v/>
      </c>
      <c r="I2592" s="152" t="str">
        <f t="shared" si="121"/>
        <v/>
      </c>
      <c r="J2592" s="154"/>
      <c r="K2592" s="155" t="s">
        <v>2966</v>
      </c>
    </row>
    <row r="2593" spans="1:11" hidden="1" x14ac:dyDescent="0.25">
      <c r="A2593" s="148" t="s">
        <v>1510</v>
      </c>
      <c r="B2593" s="149" t="s">
        <v>7177</v>
      </c>
      <c r="C2593" s="150" t="s">
        <v>70</v>
      </c>
      <c r="D2593" s="150">
        <v>0</v>
      </c>
      <c r="E2593" s="151">
        <f ca="1">OFFSET(INDEX(Composições!A:H,MATCH(Orçamentária!A2593,Composições!A:A,0),8),2,0)</f>
        <v>101.9635</v>
      </c>
      <c r="F2593" s="152">
        <f t="shared" ca="1" si="122"/>
        <v>0</v>
      </c>
      <c r="G2593" s="153">
        <f>IF($K2593="Padrão",BDI!$B$17,IF($K2593="Diferenciado",BDI!$E$17,0))</f>
        <v>0.2039</v>
      </c>
      <c r="H2593" s="151">
        <f t="shared" ca="1" si="120"/>
        <v>122.75</v>
      </c>
      <c r="I2593" s="152">
        <f t="shared" ca="1" si="121"/>
        <v>0</v>
      </c>
      <c r="J2593" s="154"/>
      <c r="K2593" s="155" t="s">
        <v>2966</v>
      </c>
    </row>
    <row r="2594" spans="1:11" hidden="1" x14ac:dyDescent="0.25">
      <c r="A2594" s="148" t="s">
        <v>7178</v>
      </c>
      <c r="B2594" s="149" t="s">
        <v>7179</v>
      </c>
      <c r="C2594" s="150" t="s">
        <v>70</v>
      </c>
      <c r="D2594" s="150">
        <v>0</v>
      </c>
      <c r="E2594" s="151" t="s">
        <v>13</v>
      </c>
      <c r="F2594" s="152" t="str">
        <f t="shared" si="122"/>
        <v/>
      </c>
      <c r="G2594" s="153">
        <f>IF($K2594="Padrão",BDI!$B$17,IF($K2594="Diferenciado",BDI!$E$17,0))</f>
        <v>0.2039</v>
      </c>
      <c r="H2594" s="151" t="str">
        <f t="shared" si="120"/>
        <v/>
      </c>
      <c r="I2594" s="152" t="str">
        <f t="shared" si="121"/>
        <v/>
      </c>
      <c r="J2594" s="154"/>
      <c r="K2594" s="155" t="s">
        <v>2966</v>
      </c>
    </row>
    <row r="2595" spans="1:11" hidden="1" x14ac:dyDescent="0.25">
      <c r="A2595" s="148" t="s">
        <v>1511</v>
      </c>
      <c r="B2595" s="149" t="s">
        <v>7180</v>
      </c>
      <c r="C2595" s="150" t="s">
        <v>68</v>
      </c>
      <c r="D2595" s="150">
        <v>0</v>
      </c>
      <c r="E2595" s="151">
        <f ca="1">OFFSET(INDEX(Composições!A:H,MATCH(Orçamentária!A2595,Composições!A:A,0),8),2,0)</f>
        <v>19.036005000000003</v>
      </c>
      <c r="F2595" s="152">
        <f t="shared" ca="1" si="122"/>
        <v>0</v>
      </c>
      <c r="G2595" s="153">
        <f>IF($K2595="Padrão",BDI!$B$17,IF($K2595="Diferenciado",BDI!$E$17,0))</f>
        <v>0.2039</v>
      </c>
      <c r="H2595" s="151">
        <f t="shared" ca="1" si="120"/>
        <v>22.92</v>
      </c>
      <c r="I2595" s="152">
        <f t="shared" ca="1" si="121"/>
        <v>0</v>
      </c>
      <c r="J2595" s="154"/>
      <c r="K2595" s="155" t="s">
        <v>2966</v>
      </c>
    </row>
    <row r="2596" spans="1:11" hidden="1" x14ac:dyDescent="0.25">
      <c r="A2596" s="148" t="s">
        <v>1513</v>
      </c>
      <c r="B2596" s="149" t="s">
        <v>7181</v>
      </c>
      <c r="C2596" s="150" t="s">
        <v>68</v>
      </c>
      <c r="D2596" s="150">
        <v>0</v>
      </c>
      <c r="E2596" s="151">
        <f ca="1">OFFSET(INDEX(Composições!A:H,MATCH(Orçamentária!A2596,Composições!A:A,0),8),2,0)</f>
        <v>17.393550000000001</v>
      </c>
      <c r="F2596" s="152">
        <f t="shared" ca="1" si="122"/>
        <v>0</v>
      </c>
      <c r="G2596" s="153">
        <f>IF($K2596="Padrão",BDI!$B$17,IF($K2596="Diferenciado",BDI!$E$17,0))</f>
        <v>0.2039</v>
      </c>
      <c r="H2596" s="151">
        <f t="shared" ca="1" si="120"/>
        <v>20.94</v>
      </c>
      <c r="I2596" s="152">
        <f t="shared" ca="1" si="121"/>
        <v>0</v>
      </c>
      <c r="J2596" s="154"/>
      <c r="K2596" s="155" t="s">
        <v>2966</v>
      </c>
    </row>
    <row r="2597" spans="1:11" hidden="1" x14ac:dyDescent="0.25">
      <c r="A2597" s="148" t="s">
        <v>1515</v>
      </c>
      <c r="B2597" s="149" t="s">
        <v>7182</v>
      </c>
      <c r="C2597" s="150" t="s">
        <v>106</v>
      </c>
      <c r="D2597" s="150">
        <v>0</v>
      </c>
      <c r="E2597" s="151">
        <f ca="1">OFFSET(INDEX(Composições!A:H,MATCH(Orçamentária!A2597,Composições!A:A,0),8),2,0)</f>
        <v>16.098604999999999</v>
      </c>
      <c r="F2597" s="152">
        <f t="shared" ca="1" si="122"/>
        <v>0</v>
      </c>
      <c r="G2597" s="153">
        <f>IF($K2597="Padrão",BDI!$B$17,IF($K2597="Diferenciado",BDI!$E$17,0))</f>
        <v>0.2039</v>
      </c>
      <c r="H2597" s="151">
        <f t="shared" ca="1" si="120"/>
        <v>19.38</v>
      </c>
      <c r="I2597" s="152">
        <f t="shared" ca="1" si="121"/>
        <v>0</v>
      </c>
      <c r="J2597" s="154"/>
      <c r="K2597" s="155" t="s">
        <v>2966</v>
      </c>
    </row>
    <row r="2598" spans="1:11" hidden="1" x14ac:dyDescent="0.25">
      <c r="A2598" s="148" t="s">
        <v>1516</v>
      </c>
      <c r="B2598" s="149" t="s">
        <v>7183</v>
      </c>
      <c r="C2598" s="150" t="s">
        <v>68</v>
      </c>
      <c r="D2598" s="150">
        <v>0</v>
      </c>
      <c r="E2598" s="151">
        <f ca="1">OFFSET(INDEX(Composições!A:H,MATCH(Orçamentária!A2598,Composições!A:A,0),8),2,0)</f>
        <v>39.220749999999995</v>
      </c>
      <c r="F2598" s="152">
        <f t="shared" ca="1" si="122"/>
        <v>0</v>
      </c>
      <c r="G2598" s="153">
        <f>IF($K2598="Padrão",BDI!$B$17,IF($K2598="Diferenciado",BDI!$E$17,0))</f>
        <v>0.2039</v>
      </c>
      <c r="H2598" s="151">
        <f t="shared" ca="1" si="120"/>
        <v>47.22</v>
      </c>
      <c r="I2598" s="152">
        <f t="shared" ca="1" si="121"/>
        <v>0</v>
      </c>
      <c r="J2598" s="154"/>
      <c r="K2598" s="155" t="s">
        <v>2966</v>
      </c>
    </row>
    <row r="2599" spans="1:11" hidden="1" x14ac:dyDescent="0.25">
      <c r="A2599" s="148" t="s">
        <v>1517</v>
      </c>
      <c r="B2599" s="149" t="s">
        <v>7184</v>
      </c>
      <c r="C2599" s="150" t="s">
        <v>68</v>
      </c>
      <c r="D2599" s="150">
        <v>0</v>
      </c>
      <c r="E2599" s="151">
        <f ca="1">OFFSET(INDEX(Composições!A:H,MATCH(Orçamentária!A2599,Composições!A:A,0),8),2,0)</f>
        <v>70.27624999999999</v>
      </c>
      <c r="F2599" s="152">
        <f t="shared" ca="1" si="122"/>
        <v>0</v>
      </c>
      <c r="G2599" s="153">
        <f>IF($K2599="Padrão",BDI!$B$17,IF($K2599="Diferenciado",BDI!$E$17,0))</f>
        <v>0.2039</v>
      </c>
      <c r="H2599" s="151">
        <f t="shared" ca="1" si="120"/>
        <v>84.61</v>
      </c>
      <c r="I2599" s="152">
        <f t="shared" ca="1" si="121"/>
        <v>0</v>
      </c>
      <c r="J2599" s="154"/>
      <c r="K2599" s="155" t="s">
        <v>2966</v>
      </c>
    </row>
    <row r="2600" spans="1:11" hidden="1" x14ac:dyDescent="0.25">
      <c r="A2600" s="148" t="s">
        <v>1518</v>
      </c>
      <c r="B2600" s="149" t="s">
        <v>7185</v>
      </c>
      <c r="C2600" s="150" t="s">
        <v>1788</v>
      </c>
      <c r="D2600" s="150">
        <v>0</v>
      </c>
      <c r="E2600" s="151">
        <f ca="1">OFFSET(INDEX(Composições!A:H,MATCH(Orçamentária!A2600,Composições!A:A,0),8),2,0)</f>
        <v>347.38955899999996</v>
      </c>
      <c r="F2600" s="152">
        <f t="shared" ca="1" si="122"/>
        <v>0</v>
      </c>
      <c r="G2600" s="153">
        <f>IF($K2600="Padrão",BDI!$B$17,IF($K2600="Diferenciado",BDI!$E$17,0))</f>
        <v>0.2039</v>
      </c>
      <c r="H2600" s="151">
        <f t="shared" ca="1" si="120"/>
        <v>418.22</v>
      </c>
      <c r="I2600" s="152">
        <f t="shared" ca="1" si="121"/>
        <v>0</v>
      </c>
      <c r="J2600" s="154"/>
      <c r="K2600" s="155" t="s">
        <v>2966</v>
      </c>
    </row>
    <row r="2601" spans="1:11" hidden="1" x14ac:dyDescent="0.25">
      <c r="A2601" s="148" t="s">
        <v>1521</v>
      </c>
      <c r="B2601" s="149" t="s">
        <v>7186</v>
      </c>
      <c r="C2601" s="150" t="s">
        <v>72</v>
      </c>
      <c r="D2601" s="150">
        <v>0</v>
      </c>
      <c r="E2601" s="151">
        <f ca="1">OFFSET(INDEX(Composições!A:H,MATCH(Orçamentária!A2601,Composições!A:A,0),8),2,0)</f>
        <v>10.327669450000002</v>
      </c>
      <c r="F2601" s="152">
        <f t="shared" ca="1" si="122"/>
        <v>0</v>
      </c>
      <c r="G2601" s="153">
        <f>IF($K2601="Padrão",BDI!$B$17,IF($K2601="Diferenciado",BDI!$E$17,0))</f>
        <v>0.2039</v>
      </c>
      <c r="H2601" s="151">
        <f t="shared" ca="1" si="120"/>
        <v>12.43</v>
      </c>
      <c r="I2601" s="152">
        <f t="shared" ca="1" si="121"/>
        <v>0</v>
      </c>
      <c r="J2601" s="154"/>
      <c r="K2601" s="155" t="s">
        <v>2966</v>
      </c>
    </row>
    <row r="2602" spans="1:11" ht="25.5" hidden="1" x14ac:dyDescent="0.25">
      <c r="A2602" s="148" t="s">
        <v>1522</v>
      </c>
      <c r="B2602" s="149" t="s">
        <v>7187</v>
      </c>
      <c r="C2602" s="150" t="s">
        <v>1788</v>
      </c>
      <c r="D2602" s="150">
        <v>0</v>
      </c>
      <c r="E2602" s="151">
        <f ca="1">OFFSET(INDEX(Composições!A:H,MATCH(Orçamentária!A2602,Composições!A:A,0),8),2,0)</f>
        <v>1067.9671266592093</v>
      </c>
      <c r="F2602" s="152">
        <f t="shared" ca="1" si="122"/>
        <v>0</v>
      </c>
      <c r="G2602" s="153">
        <f>IF($K2602="Padrão",BDI!$B$17,IF($K2602="Diferenciado",BDI!$E$17,0))</f>
        <v>0.2039</v>
      </c>
      <c r="H2602" s="151">
        <f t="shared" ca="1" si="120"/>
        <v>1285.73</v>
      </c>
      <c r="I2602" s="152">
        <f t="shared" ca="1" si="121"/>
        <v>0</v>
      </c>
      <c r="J2602" s="154"/>
      <c r="K2602" s="155" t="s">
        <v>2966</v>
      </c>
    </row>
    <row r="2603" spans="1:11" hidden="1" x14ac:dyDescent="0.25">
      <c r="A2603" s="148" t="s">
        <v>1523</v>
      </c>
      <c r="B2603" s="149" t="s">
        <v>7188</v>
      </c>
      <c r="C2603" s="150" t="s">
        <v>18</v>
      </c>
      <c r="D2603" s="150">
        <v>0</v>
      </c>
      <c r="E2603" s="151">
        <f ca="1">OFFSET(INDEX(Composições!A:H,MATCH(Orçamentária!A2603,Composições!A:A,0),8),2,0)</f>
        <v>9.9463840999999995</v>
      </c>
      <c r="F2603" s="152">
        <f t="shared" ca="1" si="122"/>
        <v>0</v>
      </c>
      <c r="G2603" s="153">
        <f>IF($K2603="Padrão",BDI!$B$17,IF($K2603="Diferenciado",BDI!$E$17,0))</f>
        <v>0.2039</v>
      </c>
      <c r="H2603" s="151">
        <f t="shared" ca="1" si="120"/>
        <v>11.97</v>
      </c>
      <c r="I2603" s="152">
        <f t="shared" ca="1" si="121"/>
        <v>0</v>
      </c>
      <c r="J2603" s="154"/>
      <c r="K2603" s="155" t="s">
        <v>2966</v>
      </c>
    </row>
    <row r="2604" spans="1:11" hidden="1" x14ac:dyDescent="0.25">
      <c r="A2604" s="148" t="s">
        <v>1524</v>
      </c>
      <c r="B2604" s="149" t="s">
        <v>7189</v>
      </c>
      <c r="C2604" s="150" t="s">
        <v>72</v>
      </c>
      <c r="D2604" s="150">
        <v>0</v>
      </c>
      <c r="E2604" s="151">
        <f ca="1">OFFSET(INDEX(Composições!A:H,MATCH(Orçamentária!A2604,Composições!A:A,0),8),2,0)</f>
        <v>76.784699999999987</v>
      </c>
      <c r="F2604" s="152">
        <f t="shared" ca="1" si="122"/>
        <v>0</v>
      </c>
      <c r="G2604" s="153">
        <f>IF($K2604="Padrão",BDI!$B$17,IF($K2604="Diferenciado",BDI!$E$17,0))</f>
        <v>0.2039</v>
      </c>
      <c r="H2604" s="151">
        <f t="shared" ca="1" si="120"/>
        <v>92.44</v>
      </c>
      <c r="I2604" s="152">
        <f t="shared" ca="1" si="121"/>
        <v>0</v>
      </c>
      <c r="J2604" s="154"/>
      <c r="K2604" s="155" t="s">
        <v>2966</v>
      </c>
    </row>
    <row r="2605" spans="1:11" hidden="1" x14ac:dyDescent="0.25">
      <c r="A2605" s="148" t="s">
        <v>1525</v>
      </c>
      <c r="B2605" s="149" t="s">
        <v>7190</v>
      </c>
      <c r="C2605" s="150" t="s">
        <v>106</v>
      </c>
      <c r="D2605" s="150">
        <v>0</v>
      </c>
      <c r="E2605" s="151">
        <f ca="1">OFFSET(INDEX(Composições!A:H,MATCH(Orçamentária!A2605,Composições!A:A,0),8),2,0)</f>
        <v>137.31512150640327</v>
      </c>
      <c r="F2605" s="152">
        <f t="shared" ca="1" si="122"/>
        <v>0</v>
      </c>
      <c r="G2605" s="153">
        <f>IF($K2605="Padrão",BDI!$B$17,IF($K2605="Diferenciado",BDI!$E$17,0))</f>
        <v>0.2039</v>
      </c>
      <c r="H2605" s="151">
        <f t="shared" ca="1" si="120"/>
        <v>165.31</v>
      </c>
      <c r="I2605" s="152">
        <f t="shared" ca="1" si="121"/>
        <v>0</v>
      </c>
      <c r="J2605" s="154"/>
      <c r="K2605" s="155" t="s">
        <v>2966</v>
      </c>
    </row>
    <row r="2606" spans="1:11" hidden="1" x14ac:dyDescent="0.25">
      <c r="A2606" s="148" t="s">
        <v>1526</v>
      </c>
      <c r="B2606" s="149" t="s">
        <v>7191</v>
      </c>
      <c r="C2606" s="150" t="s">
        <v>18</v>
      </c>
      <c r="D2606" s="150">
        <v>0</v>
      </c>
      <c r="E2606" s="151">
        <f ca="1">OFFSET(INDEX(Composições!A:H,MATCH(Orçamentária!A2606,Composições!A:A,0),8),2,0)</f>
        <v>18.557163200000002</v>
      </c>
      <c r="F2606" s="152">
        <f t="shared" ca="1" si="122"/>
        <v>0</v>
      </c>
      <c r="G2606" s="153">
        <f>IF($K2606="Padrão",BDI!$B$17,IF($K2606="Diferenciado",BDI!$E$17,0))</f>
        <v>0.2039</v>
      </c>
      <c r="H2606" s="151">
        <f t="shared" ca="1" si="120"/>
        <v>22.34</v>
      </c>
      <c r="I2606" s="152">
        <f t="shared" ca="1" si="121"/>
        <v>0</v>
      </c>
      <c r="J2606" s="154"/>
      <c r="K2606" s="155" t="s">
        <v>2966</v>
      </c>
    </row>
    <row r="2607" spans="1:11" hidden="1" x14ac:dyDescent="0.25">
      <c r="A2607" s="148" t="s">
        <v>1527</v>
      </c>
      <c r="B2607" s="149" t="s">
        <v>7192</v>
      </c>
      <c r="C2607" s="150" t="s">
        <v>18</v>
      </c>
      <c r="D2607" s="150">
        <v>0</v>
      </c>
      <c r="E2607" s="151">
        <f ca="1">OFFSET(INDEX(Composições!A:H,MATCH(Orçamentária!A2607,Composições!A:A,0),8),2,0)</f>
        <v>225.53</v>
      </c>
      <c r="F2607" s="152">
        <f t="shared" ca="1" si="122"/>
        <v>0</v>
      </c>
      <c r="G2607" s="153">
        <f>IF($K2607="Padrão",BDI!$B$17,IF($K2607="Diferenciado",BDI!$E$17,0))</f>
        <v>0.2039</v>
      </c>
      <c r="H2607" s="151">
        <f t="shared" ca="1" si="120"/>
        <v>271.52</v>
      </c>
      <c r="I2607" s="152">
        <f t="shared" ca="1" si="121"/>
        <v>0</v>
      </c>
      <c r="J2607" s="154"/>
      <c r="K2607" s="155" t="s">
        <v>2966</v>
      </c>
    </row>
    <row r="2608" spans="1:11" hidden="1" x14ac:dyDescent="0.25">
      <c r="A2608" s="148" t="s">
        <v>1529</v>
      </c>
      <c r="B2608" s="149" t="s">
        <v>7193</v>
      </c>
      <c r="C2608" s="150" t="s">
        <v>1788</v>
      </c>
      <c r="D2608" s="150">
        <v>0</v>
      </c>
      <c r="E2608" s="151">
        <f ca="1">OFFSET(INDEX(Composições!A:H,MATCH(Orçamentária!A2608,Composições!A:A,0),8),2,0)</f>
        <v>634.07938100000001</v>
      </c>
      <c r="F2608" s="152">
        <f t="shared" ca="1" si="122"/>
        <v>0</v>
      </c>
      <c r="G2608" s="153">
        <f>IF($K2608="Padrão",BDI!$B$17,IF($K2608="Diferenciado",BDI!$E$17,0))</f>
        <v>0.2039</v>
      </c>
      <c r="H2608" s="151">
        <f t="shared" ca="1" si="120"/>
        <v>763.37</v>
      </c>
      <c r="I2608" s="152">
        <f t="shared" ca="1" si="121"/>
        <v>0</v>
      </c>
      <c r="J2608" s="154"/>
      <c r="K2608" s="155" t="s">
        <v>2966</v>
      </c>
    </row>
    <row r="2609" spans="1:11" hidden="1" x14ac:dyDescent="0.25">
      <c r="A2609" s="148" t="s">
        <v>1530</v>
      </c>
      <c r="B2609" s="149" t="s">
        <v>7194</v>
      </c>
      <c r="C2609" s="150" t="s">
        <v>106</v>
      </c>
      <c r="D2609" s="150">
        <v>0</v>
      </c>
      <c r="E2609" s="151">
        <f ca="1">OFFSET(INDEX(Composições!A:H,MATCH(Orçamentária!A2609,Composições!A:A,0),8),2,0)</f>
        <v>115.79527870642998</v>
      </c>
      <c r="F2609" s="152">
        <f t="shared" ca="1" si="122"/>
        <v>0</v>
      </c>
      <c r="G2609" s="153">
        <f>IF($K2609="Padrão",BDI!$B$17,IF($K2609="Diferenciado",BDI!$E$17,0))</f>
        <v>0.2039</v>
      </c>
      <c r="H2609" s="151">
        <f t="shared" ca="1" si="120"/>
        <v>139.41</v>
      </c>
      <c r="I2609" s="152">
        <f t="shared" ca="1" si="121"/>
        <v>0</v>
      </c>
      <c r="J2609" s="154"/>
      <c r="K2609" s="155" t="s">
        <v>2966</v>
      </c>
    </row>
    <row r="2610" spans="1:11" hidden="1" x14ac:dyDescent="0.25">
      <c r="A2610" s="148" t="s">
        <v>7195</v>
      </c>
      <c r="B2610" s="149" t="s">
        <v>7196</v>
      </c>
      <c r="C2610" s="150" t="s">
        <v>18</v>
      </c>
      <c r="D2610" s="150">
        <v>0</v>
      </c>
      <c r="E2610" s="151" t="s">
        <v>13</v>
      </c>
      <c r="F2610" s="152" t="str">
        <f t="shared" si="122"/>
        <v/>
      </c>
      <c r="G2610" s="153">
        <f>IF($K2610="Padrão",BDI!$B$17,IF($K2610="Diferenciado",BDI!$E$17,0))</f>
        <v>0.2039</v>
      </c>
      <c r="H2610" s="151" t="str">
        <f t="shared" si="120"/>
        <v/>
      </c>
      <c r="I2610" s="152" t="str">
        <f t="shared" si="121"/>
        <v/>
      </c>
      <c r="J2610" s="154"/>
      <c r="K2610" s="155" t="s">
        <v>2966</v>
      </c>
    </row>
    <row r="2611" spans="1:11" hidden="1" x14ac:dyDescent="0.25">
      <c r="A2611" s="148" t="s">
        <v>1531</v>
      </c>
      <c r="B2611" s="149" t="s">
        <v>7197</v>
      </c>
      <c r="C2611" s="150" t="s">
        <v>72</v>
      </c>
      <c r="D2611" s="150">
        <v>0</v>
      </c>
      <c r="E2611" s="151">
        <f ca="1">OFFSET(INDEX(Composições!A:H,MATCH(Orçamentária!A2611,Composições!A:A,0),8),2,0)</f>
        <v>13.9349515</v>
      </c>
      <c r="F2611" s="152">
        <f t="shared" ca="1" si="122"/>
        <v>0</v>
      </c>
      <c r="G2611" s="153">
        <f>IF($K2611="Padrão",BDI!$B$17,IF($K2611="Diferenciado",BDI!$E$17,0))</f>
        <v>0.2039</v>
      </c>
      <c r="H2611" s="151">
        <f t="shared" ca="1" si="120"/>
        <v>16.78</v>
      </c>
      <c r="I2611" s="152">
        <f t="shared" ca="1" si="121"/>
        <v>0</v>
      </c>
      <c r="J2611" s="154"/>
      <c r="K2611" s="155" t="s">
        <v>2966</v>
      </c>
    </row>
    <row r="2612" spans="1:11" hidden="1" x14ac:dyDescent="0.25">
      <c r="A2612" s="148" t="s">
        <v>1532</v>
      </c>
      <c r="B2612" s="149" t="s">
        <v>7198</v>
      </c>
      <c r="C2612" s="150" t="s">
        <v>68</v>
      </c>
      <c r="D2612" s="150">
        <v>0</v>
      </c>
      <c r="E2612" s="151">
        <f ca="1">OFFSET(INDEX(Composições!A:H,MATCH(Orçamentária!A2612,Composições!A:A,0),8),2,0)</f>
        <v>87.286479749999998</v>
      </c>
      <c r="F2612" s="152">
        <f t="shared" ca="1" si="122"/>
        <v>0</v>
      </c>
      <c r="G2612" s="153">
        <f>IF($K2612="Padrão",BDI!$B$17,IF($K2612="Diferenciado",BDI!$E$17,0))</f>
        <v>0.2039</v>
      </c>
      <c r="H2612" s="151">
        <f t="shared" ca="1" si="120"/>
        <v>105.08</v>
      </c>
      <c r="I2612" s="152">
        <f t="shared" ca="1" si="121"/>
        <v>0</v>
      </c>
      <c r="J2612" s="154"/>
      <c r="K2612" s="155" t="s">
        <v>2966</v>
      </c>
    </row>
    <row r="2613" spans="1:11" hidden="1" x14ac:dyDescent="0.25">
      <c r="A2613" s="148" t="s">
        <v>1533</v>
      </c>
      <c r="B2613" s="149" t="s">
        <v>7199</v>
      </c>
      <c r="C2613" s="150" t="s">
        <v>106</v>
      </c>
      <c r="D2613" s="150">
        <v>0</v>
      </c>
      <c r="E2613" s="151">
        <f ca="1">OFFSET(INDEX(Composições!A:H,MATCH(Orçamentária!A2613,Composições!A:A,0),8),2,0)</f>
        <v>70.655480499999996</v>
      </c>
      <c r="F2613" s="152">
        <f t="shared" ca="1" si="122"/>
        <v>0</v>
      </c>
      <c r="G2613" s="153">
        <f>IF($K2613="Padrão",BDI!$B$17,IF($K2613="Diferenciado",BDI!$E$17,0))</f>
        <v>0.2039</v>
      </c>
      <c r="H2613" s="151">
        <f t="shared" ca="1" si="120"/>
        <v>85.06</v>
      </c>
      <c r="I2613" s="152">
        <f t="shared" ca="1" si="121"/>
        <v>0</v>
      </c>
      <c r="J2613" s="154"/>
      <c r="K2613" s="155" t="s">
        <v>2966</v>
      </c>
    </row>
    <row r="2614" spans="1:11" hidden="1" x14ac:dyDescent="0.25">
      <c r="A2614" s="148" t="s">
        <v>1534</v>
      </c>
      <c r="B2614" s="149" t="s">
        <v>7200</v>
      </c>
      <c r="C2614" s="150" t="s">
        <v>68</v>
      </c>
      <c r="D2614" s="150">
        <v>0</v>
      </c>
      <c r="E2614" s="151">
        <f ca="1">OFFSET(INDEX(Composições!A:H,MATCH(Orçamentária!A2614,Composições!A:A,0),8),2,0)</f>
        <v>98.950260505421255</v>
      </c>
      <c r="F2614" s="152">
        <f t="shared" ca="1" si="122"/>
        <v>0</v>
      </c>
      <c r="G2614" s="153">
        <f>IF($K2614="Padrão",BDI!$B$17,IF($K2614="Diferenciado",BDI!$E$17,0))</f>
        <v>0.2039</v>
      </c>
      <c r="H2614" s="151">
        <f t="shared" ca="1" si="120"/>
        <v>119.13</v>
      </c>
      <c r="I2614" s="152">
        <f t="shared" ca="1" si="121"/>
        <v>0</v>
      </c>
      <c r="J2614" s="154"/>
      <c r="K2614" s="155" t="s">
        <v>2966</v>
      </c>
    </row>
    <row r="2615" spans="1:11" hidden="1" x14ac:dyDescent="0.25">
      <c r="A2615" s="148" t="s">
        <v>1535</v>
      </c>
      <c r="B2615" s="149" t="s">
        <v>7201</v>
      </c>
      <c r="C2615" s="150" t="s">
        <v>18</v>
      </c>
      <c r="D2615" s="150">
        <v>0</v>
      </c>
      <c r="E2615" s="151">
        <f ca="1">OFFSET(INDEX(Composições!A:H,MATCH(Orçamentária!A2615,Composições!A:A,0),8),2,0)</f>
        <v>1690.1783672612639</v>
      </c>
      <c r="F2615" s="152">
        <f t="shared" ca="1" si="122"/>
        <v>0</v>
      </c>
      <c r="G2615" s="153">
        <f>IF($K2615="Padrão",BDI!$B$17,IF($K2615="Diferenciado",BDI!$E$17,0))</f>
        <v>0.2039</v>
      </c>
      <c r="H2615" s="151">
        <f t="shared" ca="1" si="120"/>
        <v>2034.81</v>
      </c>
      <c r="I2615" s="152">
        <f t="shared" ca="1" si="121"/>
        <v>0</v>
      </c>
      <c r="J2615" s="154"/>
      <c r="K2615" s="155" t="s">
        <v>2966</v>
      </c>
    </row>
    <row r="2616" spans="1:11" hidden="1" x14ac:dyDescent="0.25">
      <c r="A2616" s="148" t="s">
        <v>1536</v>
      </c>
      <c r="B2616" s="149" t="s">
        <v>7202</v>
      </c>
      <c r="C2616" s="150" t="s">
        <v>106</v>
      </c>
      <c r="D2616" s="150">
        <v>0</v>
      </c>
      <c r="E2616" s="151">
        <f ca="1">OFFSET(INDEX(Composições!A:H,MATCH(Orçamentária!A2616,Composições!A:A,0),8),2,0)</f>
        <v>435.39801488056816</v>
      </c>
      <c r="F2616" s="152">
        <f t="shared" ca="1" si="122"/>
        <v>0</v>
      </c>
      <c r="G2616" s="153">
        <f>IF($K2616="Padrão",BDI!$B$17,IF($K2616="Diferenciado",BDI!$E$17,0))</f>
        <v>0.2039</v>
      </c>
      <c r="H2616" s="151">
        <f t="shared" ca="1" si="120"/>
        <v>524.17999999999995</v>
      </c>
      <c r="I2616" s="152">
        <f t="shared" ca="1" si="121"/>
        <v>0</v>
      </c>
      <c r="J2616" s="154"/>
      <c r="K2616" s="155" t="s">
        <v>2966</v>
      </c>
    </row>
    <row r="2617" spans="1:11" hidden="1" x14ac:dyDescent="0.25">
      <c r="A2617" s="148" t="s">
        <v>1538</v>
      </c>
      <c r="B2617" s="149" t="s">
        <v>7203</v>
      </c>
      <c r="C2617" s="150" t="s">
        <v>18</v>
      </c>
      <c r="D2617" s="150">
        <v>0</v>
      </c>
      <c r="E2617" s="151">
        <f ca="1">OFFSET(INDEX(Composições!A:H,MATCH(Orçamentária!A2617,Composições!A:A,0),8),2,0)</f>
        <v>216.38989705</v>
      </c>
      <c r="F2617" s="152">
        <f t="shared" ca="1" si="122"/>
        <v>0</v>
      </c>
      <c r="G2617" s="153">
        <f>IF($K2617="Padrão",BDI!$B$17,IF($K2617="Diferenciado",BDI!$E$17,0))</f>
        <v>0.2039</v>
      </c>
      <c r="H2617" s="151">
        <f t="shared" ca="1" si="120"/>
        <v>260.51</v>
      </c>
      <c r="I2617" s="152">
        <f t="shared" ca="1" si="121"/>
        <v>0</v>
      </c>
      <c r="J2617" s="154"/>
      <c r="K2617" s="155" t="s">
        <v>2966</v>
      </c>
    </row>
    <row r="2618" spans="1:11" hidden="1" x14ac:dyDescent="0.25">
      <c r="A2618" s="148" t="s">
        <v>1539</v>
      </c>
      <c r="B2618" s="149" t="s">
        <v>7204</v>
      </c>
      <c r="C2618" s="150" t="s">
        <v>68</v>
      </c>
      <c r="D2618" s="150">
        <v>0</v>
      </c>
      <c r="E2618" s="151">
        <f ca="1">OFFSET(INDEX(Composições!A:H,MATCH(Orçamentária!A2618,Composições!A:A,0),8),2,0)</f>
        <v>3.9697973000000006</v>
      </c>
      <c r="F2618" s="152">
        <f t="shared" ca="1" si="122"/>
        <v>0</v>
      </c>
      <c r="G2618" s="153">
        <f>IF($K2618="Padrão",BDI!$B$17,IF($K2618="Diferenciado",BDI!$E$17,0))</f>
        <v>0.2039</v>
      </c>
      <c r="H2618" s="151">
        <f t="shared" ca="1" si="120"/>
        <v>4.78</v>
      </c>
      <c r="I2618" s="152">
        <f t="shared" ca="1" si="121"/>
        <v>0</v>
      </c>
      <c r="J2618" s="154"/>
      <c r="K2618" s="155" t="s">
        <v>2966</v>
      </c>
    </row>
    <row r="2619" spans="1:11" hidden="1" x14ac:dyDescent="0.25">
      <c r="A2619" s="148" t="s">
        <v>1540</v>
      </c>
      <c r="B2619" s="149" t="s">
        <v>7205</v>
      </c>
      <c r="C2619" s="150" t="s">
        <v>106</v>
      </c>
      <c r="D2619" s="150">
        <v>0</v>
      </c>
      <c r="E2619" s="151">
        <f ca="1">OFFSET(INDEX(Composições!A:H,MATCH(Orçamentária!A2619,Composições!A:A,0),8),2,0)</f>
        <v>66.122183984269512</v>
      </c>
      <c r="F2619" s="152">
        <f t="shared" ca="1" si="122"/>
        <v>0</v>
      </c>
      <c r="G2619" s="153">
        <f>IF($K2619="Padrão",BDI!$B$17,IF($K2619="Diferenciado",BDI!$E$17,0))</f>
        <v>0.2039</v>
      </c>
      <c r="H2619" s="151">
        <f t="shared" ca="1" si="120"/>
        <v>79.599999999999994</v>
      </c>
      <c r="I2619" s="152">
        <f t="shared" ca="1" si="121"/>
        <v>0</v>
      </c>
      <c r="J2619" s="154"/>
      <c r="K2619" s="155" t="s">
        <v>2966</v>
      </c>
    </row>
    <row r="2620" spans="1:11" ht="25.5" hidden="1" x14ac:dyDescent="0.25">
      <c r="A2620" s="148" t="s">
        <v>1541</v>
      </c>
      <c r="B2620" s="149" t="s">
        <v>7206</v>
      </c>
      <c r="C2620" s="150" t="s">
        <v>18</v>
      </c>
      <c r="D2620" s="150">
        <v>0</v>
      </c>
      <c r="E2620" s="151">
        <f ca="1">OFFSET(INDEX(Composições!A:H,MATCH(Orçamentária!A2620,Composições!A:A,0),8),2,0)</f>
        <v>436.15633919999993</v>
      </c>
      <c r="F2620" s="152">
        <f t="shared" ca="1" si="122"/>
        <v>0</v>
      </c>
      <c r="G2620" s="153">
        <f>IF($K2620="Padrão",BDI!$B$17,IF($K2620="Diferenciado",BDI!$E$17,0))</f>
        <v>0.2039</v>
      </c>
      <c r="H2620" s="151">
        <f t="shared" ca="1" si="120"/>
        <v>525.09</v>
      </c>
      <c r="I2620" s="152">
        <f t="shared" ca="1" si="121"/>
        <v>0</v>
      </c>
      <c r="J2620" s="154"/>
      <c r="K2620" s="155" t="s">
        <v>2966</v>
      </c>
    </row>
    <row r="2621" spans="1:11" ht="25.5" hidden="1" x14ac:dyDescent="0.25">
      <c r="A2621" s="148" t="s">
        <v>7207</v>
      </c>
      <c r="B2621" s="149" t="s">
        <v>7208</v>
      </c>
      <c r="C2621" s="150" t="s">
        <v>18</v>
      </c>
      <c r="D2621" s="150">
        <v>0</v>
      </c>
      <c r="E2621" s="151" t="s">
        <v>13</v>
      </c>
      <c r="F2621" s="152" t="str">
        <f t="shared" si="122"/>
        <v/>
      </c>
      <c r="G2621" s="153">
        <f>IF($K2621="Padrão",BDI!$B$17,IF($K2621="Diferenciado",BDI!$E$17,0))</f>
        <v>0.2039</v>
      </c>
      <c r="H2621" s="151" t="str">
        <f t="shared" si="120"/>
        <v/>
      </c>
      <c r="I2621" s="152" t="str">
        <f t="shared" si="121"/>
        <v/>
      </c>
      <c r="J2621" s="154"/>
      <c r="K2621" s="155" t="s">
        <v>2966</v>
      </c>
    </row>
    <row r="2622" spans="1:11" hidden="1" x14ac:dyDescent="0.25">
      <c r="A2622" s="148" t="s">
        <v>1543</v>
      </c>
      <c r="B2622" s="149" t="s">
        <v>7209</v>
      </c>
      <c r="C2622" s="150" t="s">
        <v>18</v>
      </c>
      <c r="D2622" s="150">
        <v>0</v>
      </c>
      <c r="E2622" s="151">
        <f ca="1">OFFSET(INDEX(Composições!A:H,MATCH(Orçamentária!A2622,Composições!A:A,0),8),2,0)</f>
        <v>166.02190008612502</v>
      </c>
      <c r="F2622" s="152">
        <f t="shared" ca="1" si="122"/>
        <v>0</v>
      </c>
      <c r="G2622" s="153">
        <f>IF($K2622="Padrão",BDI!$B$17,IF($K2622="Diferenciado",BDI!$E$17,0))</f>
        <v>0.2039</v>
      </c>
      <c r="H2622" s="151">
        <f t="shared" ca="1" si="120"/>
        <v>199.87</v>
      </c>
      <c r="I2622" s="152">
        <f t="shared" ca="1" si="121"/>
        <v>0</v>
      </c>
      <c r="J2622" s="154"/>
      <c r="K2622" s="155" t="s">
        <v>2966</v>
      </c>
    </row>
    <row r="2623" spans="1:11" hidden="1" x14ac:dyDescent="0.25">
      <c r="A2623" s="148" t="s">
        <v>1545</v>
      </c>
      <c r="B2623" s="149" t="s">
        <v>7210</v>
      </c>
      <c r="C2623" s="150" t="s">
        <v>18</v>
      </c>
      <c r="D2623" s="150">
        <v>0</v>
      </c>
      <c r="E2623" s="151">
        <f ca="1">OFFSET(INDEX(Composições!A:H,MATCH(Orçamentária!A2623,Composições!A:A,0),8),2,0)</f>
        <v>14.095625</v>
      </c>
      <c r="F2623" s="152">
        <f t="shared" ca="1" si="122"/>
        <v>0</v>
      </c>
      <c r="G2623" s="153">
        <f>IF($K2623="Padrão",BDI!$B$17,IF($K2623="Diferenciado",BDI!$E$17,0))</f>
        <v>0.2039</v>
      </c>
      <c r="H2623" s="151">
        <f t="shared" ca="1" si="120"/>
        <v>16.97</v>
      </c>
      <c r="I2623" s="152">
        <f t="shared" ca="1" si="121"/>
        <v>0</v>
      </c>
      <c r="J2623" s="154"/>
      <c r="K2623" s="155" t="s">
        <v>2966</v>
      </c>
    </row>
    <row r="2624" spans="1:11" hidden="1" x14ac:dyDescent="0.25">
      <c r="A2624" s="148" t="s">
        <v>7211</v>
      </c>
      <c r="B2624" s="149" t="s">
        <v>7212</v>
      </c>
      <c r="C2624" s="150" t="s">
        <v>18</v>
      </c>
      <c r="D2624" s="150">
        <v>0</v>
      </c>
      <c r="E2624" s="151" t="s">
        <v>13</v>
      </c>
      <c r="F2624" s="152" t="str">
        <f t="shared" si="122"/>
        <v/>
      </c>
      <c r="G2624" s="153">
        <f>IF($K2624="Padrão",BDI!$B$17,IF($K2624="Diferenciado",BDI!$E$17,0))</f>
        <v>0.2039</v>
      </c>
      <c r="H2624" s="151" t="str">
        <f t="shared" si="120"/>
        <v/>
      </c>
      <c r="I2624" s="152" t="str">
        <f t="shared" si="121"/>
        <v/>
      </c>
      <c r="J2624" s="154"/>
      <c r="K2624" s="155" t="s">
        <v>2966</v>
      </c>
    </row>
    <row r="2625" spans="1:11" hidden="1" x14ac:dyDescent="0.25">
      <c r="A2625" s="148" t="s">
        <v>7213</v>
      </c>
      <c r="B2625" s="149" t="s">
        <v>7214</v>
      </c>
      <c r="C2625" s="150" t="s">
        <v>18</v>
      </c>
      <c r="D2625" s="150">
        <v>0</v>
      </c>
      <c r="E2625" s="151" t="s">
        <v>13</v>
      </c>
      <c r="F2625" s="152" t="str">
        <f t="shared" si="122"/>
        <v/>
      </c>
      <c r="G2625" s="153">
        <f>IF($K2625="Padrão",BDI!$B$17,IF($K2625="Diferenciado",BDI!$E$17,0))</f>
        <v>0.2039</v>
      </c>
      <c r="H2625" s="151" t="str">
        <f t="shared" si="120"/>
        <v/>
      </c>
      <c r="I2625" s="152" t="str">
        <f t="shared" si="121"/>
        <v/>
      </c>
      <c r="J2625" s="154"/>
      <c r="K2625" s="155" t="s">
        <v>2966</v>
      </c>
    </row>
    <row r="2626" spans="1:11" hidden="1" x14ac:dyDescent="0.25">
      <c r="A2626" s="148" t="s">
        <v>7215</v>
      </c>
      <c r="B2626" s="149" t="s">
        <v>7216</v>
      </c>
      <c r="C2626" s="150" t="s">
        <v>18</v>
      </c>
      <c r="D2626" s="150">
        <v>0</v>
      </c>
      <c r="E2626" s="151" t="s">
        <v>13</v>
      </c>
      <c r="F2626" s="152" t="str">
        <f t="shared" si="122"/>
        <v/>
      </c>
      <c r="G2626" s="153">
        <f>IF($K2626="Padrão",BDI!$B$17,IF($K2626="Diferenciado",BDI!$E$17,0))</f>
        <v>0.2039</v>
      </c>
      <c r="H2626" s="151" t="str">
        <f t="shared" si="120"/>
        <v/>
      </c>
      <c r="I2626" s="152" t="str">
        <f t="shared" si="121"/>
        <v/>
      </c>
      <c r="J2626" s="154"/>
      <c r="K2626" s="155" t="s">
        <v>2966</v>
      </c>
    </row>
    <row r="2627" spans="1:11" hidden="1" x14ac:dyDescent="0.25">
      <c r="A2627" s="148" t="s">
        <v>7217</v>
      </c>
      <c r="B2627" s="149" t="s">
        <v>7218</v>
      </c>
      <c r="C2627" s="150" t="s">
        <v>18</v>
      </c>
      <c r="D2627" s="150">
        <v>0</v>
      </c>
      <c r="E2627" s="151" t="s">
        <v>13</v>
      </c>
      <c r="F2627" s="152" t="str">
        <f t="shared" si="122"/>
        <v/>
      </c>
      <c r="G2627" s="153">
        <f>IF($K2627="Padrão",BDI!$B$17,IF($K2627="Diferenciado",BDI!$E$17,0))</f>
        <v>0.2039</v>
      </c>
      <c r="H2627" s="151" t="str">
        <f t="shared" si="120"/>
        <v/>
      </c>
      <c r="I2627" s="152" t="str">
        <f t="shared" si="121"/>
        <v/>
      </c>
      <c r="J2627" s="154"/>
      <c r="K2627" s="155" t="s">
        <v>2966</v>
      </c>
    </row>
    <row r="2628" spans="1:11" hidden="1" x14ac:dyDescent="0.25">
      <c r="A2628" s="148" t="s">
        <v>7219</v>
      </c>
      <c r="B2628" s="149" t="s">
        <v>7220</v>
      </c>
      <c r="C2628" s="150" t="s">
        <v>18</v>
      </c>
      <c r="D2628" s="150">
        <v>0</v>
      </c>
      <c r="E2628" s="151" t="s">
        <v>13</v>
      </c>
      <c r="F2628" s="152" t="str">
        <f t="shared" si="122"/>
        <v/>
      </c>
      <c r="G2628" s="153">
        <f>IF($K2628="Padrão",BDI!$B$17,IF($K2628="Diferenciado",BDI!$E$17,0))</f>
        <v>0.2039</v>
      </c>
      <c r="H2628" s="151" t="str">
        <f t="shared" si="120"/>
        <v/>
      </c>
      <c r="I2628" s="152" t="str">
        <f t="shared" si="121"/>
        <v/>
      </c>
      <c r="J2628" s="154"/>
      <c r="K2628" s="155" t="s">
        <v>2966</v>
      </c>
    </row>
    <row r="2629" spans="1:11" hidden="1" x14ac:dyDescent="0.25">
      <c r="A2629" s="148" t="s">
        <v>7221</v>
      </c>
      <c r="B2629" s="149" t="s">
        <v>7222</v>
      </c>
      <c r="C2629" s="150" t="s">
        <v>18</v>
      </c>
      <c r="D2629" s="150">
        <v>0</v>
      </c>
      <c r="E2629" s="151" t="s">
        <v>13</v>
      </c>
      <c r="F2629" s="152" t="str">
        <f t="shared" si="122"/>
        <v/>
      </c>
      <c r="G2629" s="153">
        <f>IF($K2629="Padrão",BDI!$B$17,IF($K2629="Diferenciado",BDI!$E$17,0))</f>
        <v>0.2039</v>
      </c>
      <c r="H2629" s="151" t="str">
        <f t="shared" si="120"/>
        <v/>
      </c>
      <c r="I2629" s="152" t="str">
        <f t="shared" si="121"/>
        <v/>
      </c>
      <c r="J2629" s="154"/>
      <c r="K2629" s="155" t="s">
        <v>2966</v>
      </c>
    </row>
    <row r="2630" spans="1:11" hidden="1" x14ac:dyDescent="0.25">
      <c r="A2630" s="148" t="s">
        <v>7223</v>
      </c>
      <c r="B2630" s="149" t="s">
        <v>7224</v>
      </c>
      <c r="C2630" s="150" t="s">
        <v>18</v>
      </c>
      <c r="D2630" s="150">
        <v>0</v>
      </c>
      <c r="E2630" s="151" t="s">
        <v>13</v>
      </c>
      <c r="F2630" s="152" t="str">
        <f t="shared" si="122"/>
        <v/>
      </c>
      <c r="G2630" s="153">
        <f>IF($K2630="Padrão",BDI!$B$17,IF($K2630="Diferenciado",BDI!$E$17,0))</f>
        <v>0.2039</v>
      </c>
      <c r="H2630" s="151" t="str">
        <f t="shared" ref="H2630:H2693" si="123">IF(ISNUMBER(E2630),ROUND(E2630*(1+G2630),2),"")</f>
        <v/>
      </c>
      <c r="I2630" s="152" t="str">
        <f t="shared" ref="I2630:I2693" si="124">IF(ISNUMBER(E2630),ROUND(H2630*D2630,2),"")</f>
        <v/>
      </c>
      <c r="J2630" s="154"/>
      <c r="K2630" s="155" t="s">
        <v>2966</v>
      </c>
    </row>
    <row r="2631" spans="1:11" hidden="1" x14ac:dyDescent="0.25">
      <c r="A2631" s="148" t="s">
        <v>7225</v>
      </c>
      <c r="B2631" s="149" t="s">
        <v>7226</v>
      </c>
      <c r="C2631" s="150" t="s">
        <v>18</v>
      </c>
      <c r="D2631" s="150">
        <v>0</v>
      </c>
      <c r="E2631" s="151" t="s">
        <v>13</v>
      </c>
      <c r="F2631" s="152" t="str">
        <f t="shared" ref="F2631:F2694" si="125">IF(ISNUMBER(E2631),D2631*E2631,"")</f>
        <v/>
      </c>
      <c r="G2631" s="153">
        <f>IF($K2631="Padrão",BDI!$B$17,IF($K2631="Diferenciado",BDI!$E$17,0))</f>
        <v>0.2039</v>
      </c>
      <c r="H2631" s="151" t="str">
        <f t="shared" si="123"/>
        <v/>
      </c>
      <c r="I2631" s="152" t="str">
        <f t="shared" si="124"/>
        <v/>
      </c>
      <c r="J2631" s="154"/>
      <c r="K2631" s="155" t="s">
        <v>2966</v>
      </c>
    </row>
    <row r="2632" spans="1:11" hidden="1" x14ac:dyDescent="0.25">
      <c r="A2632" s="148" t="s">
        <v>7227</v>
      </c>
      <c r="B2632" s="149" t="s">
        <v>7228</v>
      </c>
      <c r="C2632" s="150" t="s">
        <v>18</v>
      </c>
      <c r="D2632" s="150">
        <v>0</v>
      </c>
      <c r="E2632" s="151" t="s">
        <v>13</v>
      </c>
      <c r="F2632" s="152" t="str">
        <f t="shared" si="125"/>
        <v/>
      </c>
      <c r="G2632" s="153">
        <f>IF($K2632="Padrão",BDI!$B$17,IF($K2632="Diferenciado",BDI!$E$17,0))</f>
        <v>0.2039</v>
      </c>
      <c r="H2632" s="151" t="str">
        <f t="shared" si="123"/>
        <v/>
      </c>
      <c r="I2632" s="152" t="str">
        <f t="shared" si="124"/>
        <v/>
      </c>
      <c r="J2632" s="154"/>
      <c r="K2632" s="155" t="s">
        <v>2966</v>
      </c>
    </row>
    <row r="2633" spans="1:11" ht="25.5" hidden="1" x14ac:dyDescent="0.25">
      <c r="A2633" s="148" t="s">
        <v>7229</v>
      </c>
      <c r="B2633" s="149" t="s">
        <v>7230</v>
      </c>
      <c r="C2633" s="150" t="s">
        <v>18</v>
      </c>
      <c r="D2633" s="150">
        <v>0</v>
      </c>
      <c r="E2633" s="151" t="s">
        <v>13</v>
      </c>
      <c r="F2633" s="152" t="str">
        <f t="shared" si="125"/>
        <v/>
      </c>
      <c r="G2633" s="153">
        <f>IF($K2633="Padrão",BDI!$B$17,IF($K2633="Diferenciado",BDI!$E$17,0))</f>
        <v>0.2039</v>
      </c>
      <c r="H2633" s="151" t="str">
        <f t="shared" si="123"/>
        <v/>
      </c>
      <c r="I2633" s="152" t="str">
        <f t="shared" si="124"/>
        <v/>
      </c>
      <c r="J2633" s="154"/>
      <c r="K2633" s="155" t="s">
        <v>2966</v>
      </c>
    </row>
    <row r="2634" spans="1:11" ht="25.5" hidden="1" x14ac:dyDescent="0.25">
      <c r="A2634" s="148" t="s">
        <v>7231</v>
      </c>
      <c r="B2634" s="149" t="s">
        <v>7232</v>
      </c>
      <c r="C2634" s="150" t="s">
        <v>18</v>
      </c>
      <c r="D2634" s="150">
        <v>0</v>
      </c>
      <c r="E2634" s="151" t="s">
        <v>13</v>
      </c>
      <c r="F2634" s="152" t="str">
        <f t="shared" si="125"/>
        <v/>
      </c>
      <c r="G2634" s="153">
        <f>IF($K2634="Padrão",BDI!$B$17,IF($K2634="Diferenciado",BDI!$E$17,0))</f>
        <v>0.2039</v>
      </c>
      <c r="H2634" s="151" t="str">
        <f t="shared" si="123"/>
        <v/>
      </c>
      <c r="I2634" s="152" t="str">
        <f t="shared" si="124"/>
        <v/>
      </c>
      <c r="J2634" s="154"/>
      <c r="K2634" s="155" t="s">
        <v>2966</v>
      </c>
    </row>
    <row r="2635" spans="1:11" ht="25.5" hidden="1" x14ac:dyDescent="0.25">
      <c r="A2635" s="148" t="s">
        <v>7233</v>
      </c>
      <c r="B2635" s="149" t="s">
        <v>7234</v>
      </c>
      <c r="C2635" s="150" t="s">
        <v>18</v>
      </c>
      <c r="D2635" s="150">
        <v>0</v>
      </c>
      <c r="E2635" s="151" t="s">
        <v>13</v>
      </c>
      <c r="F2635" s="152" t="str">
        <f t="shared" si="125"/>
        <v/>
      </c>
      <c r="G2635" s="153">
        <f>IF($K2635="Padrão",BDI!$B$17,IF($K2635="Diferenciado",BDI!$E$17,0))</f>
        <v>0.2039</v>
      </c>
      <c r="H2635" s="151" t="str">
        <f t="shared" si="123"/>
        <v/>
      </c>
      <c r="I2635" s="152" t="str">
        <f t="shared" si="124"/>
        <v/>
      </c>
      <c r="J2635" s="154"/>
      <c r="K2635" s="155" t="s">
        <v>2966</v>
      </c>
    </row>
    <row r="2636" spans="1:11" hidden="1" x14ac:dyDescent="0.25">
      <c r="A2636" s="148" t="s">
        <v>7235</v>
      </c>
      <c r="B2636" s="149" t="s">
        <v>7236</v>
      </c>
      <c r="C2636" s="150" t="s">
        <v>18</v>
      </c>
      <c r="D2636" s="150">
        <v>0</v>
      </c>
      <c r="E2636" s="151" t="s">
        <v>13</v>
      </c>
      <c r="F2636" s="152" t="str">
        <f t="shared" si="125"/>
        <v/>
      </c>
      <c r="G2636" s="153">
        <f>IF($K2636="Padrão",BDI!$B$17,IF($K2636="Diferenciado",BDI!$E$17,0))</f>
        <v>0.2039</v>
      </c>
      <c r="H2636" s="151" t="str">
        <f t="shared" si="123"/>
        <v/>
      </c>
      <c r="I2636" s="152" t="str">
        <f t="shared" si="124"/>
        <v/>
      </c>
      <c r="J2636" s="154"/>
      <c r="K2636" s="155" t="s">
        <v>2966</v>
      </c>
    </row>
    <row r="2637" spans="1:11" hidden="1" x14ac:dyDescent="0.25">
      <c r="A2637" s="148" t="s">
        <v>7237</v>
      </c>
      <c r="B2637" s="149" t="s">
        <v>7238</v>
      </c>
      <c r="C2637" s="150" t="s">
        <v>18</v>
      </c>
      <c r="D2637" s="150">
        <v>0</v>
      </c>
      <c r="E2637" s="151" t="s">
        <v>13</v>
      </c>
      <c r="F2637" s="152" t="str">
        <f t="shared" si="125"/>
        <v/>
      </c>
      <c r="G2637" s="153">
        <f>IF($K2637="Padrão",BDI!$B$17,IF($K2637="Diferenciado",BDI!$E$17,0))</f>
        <v>0.2039</v>
      </c>
      <c r="H2637" s="151" t="str">
        <f t="shared" si="123"/>
        <v/>
      </c>
      <c r="I2637" s="152" t="str">
        <f t="shared" si="124"/>
        <v/>
      </c>
      <c r="J2637" s="154"/>
      <c r="K2637" s="155" t="s">
        <v>2966</v>
      </c>
    </row>
    <row r="2638" spans="1:11" hidden="1" x14ac:dyDescent="0.25">
      <c r="A2638" s="148" t="s">
        <v>7239</v>
      </c>
      <c r="B2638" s="149" t="s">
        <v>7240</v>
      </c>
      <c r="C2638" s="150" t="s">
        <v>72</v>
      </c>
      <c r="D2638" s="150">
        <v>0</v>
      </c>
      <c r="E2638" s="151" t="s">
        <v>13</v>
      </c>
      <c r="F2638" s="152" t="str">
        <f t="shared" si="125"/>
        <v/>
      </c>
      <c r="G2638" s="153">
        <f>IF($K2638="Padrão",BDI!$B$17,IF($K2638="Diferenciado",BDI!$E$17,0))</f>
        <v>0.2039</v>
      </c>
      <c r="H2638" s="151" t="str">
        <f t="shared" si="123"/>
        <v/>
      </c>
      <c r="I2638" s="152" t="str">
        <f t="shared" si="124"/>
        <v/>
      </c>
      <c r="J2638" s="154"/>
      <c r="K2638" s="155" t="s">
        <v>2966</v>
      </c>
    </row>
    <row r="2639" spans="1:11" ht="25.5" hidden="1" x14ac:dyDescent="0.25">
      <c r="A2639" s="148" t="s">
        <v>7241</v>
      </c>
      <c r="B2639" s="149" t="s">
        <v>7242</v>
      </c>
      <c r="C2639" s="150" t="s">
        <v>18</v>
      </c>
      <c r="D2639" s="150">
        <v>0</v>
      </c>
      <c r="E2639" s="151" t="s">
        <v>13</v>
      </c>
      <c r="F2639" s="152" t="str">
        <f t="shared" si="125"/>
        <v/>
      </c>
      <c r="G2639" s="153">
        <f>IF($K2639="Padrão",BDI!$B$17,IF($K2639="Diferenciado",BDI!$E$17,0))</f>
        <v>0.2039</v>
      </c>
      <c r="H2639" s="151" t="str">
        <f t="shared" si="123"/>
        <v/>
      </c>
      <c r="I2639" s="152" t="str">
        <f t="shared" si="124"/>
        <v/>
      </c>
      <c r="J2639" s="154"/>
      <c r="K2639" s="155" t="s">
        <v>2966</v>
      </c>
    </row>
    <row r="2640" spans="1:11" ht="25.5" hidden="1" x14ac:dyDescent="0.25">
      <c r="A2640" s="148" t="s">
        <v>7243</v>
      </c>
      <c r="B2640" s="149" t="s">
        <v>7244</v>
      </c>
      <c r="C2640" s="150" t="s">
        <v>18</v>
      </c>
      <c r="D2640" s="150">
        <v>0</v>
      </c>
      <c r="E2640" s="151" t="s">
        <v>13</v>
      </c>
      <c r="F2640" s="152" t="str">
        <f t="shared" si="125"/>
        <v/>
      </c>
      <c r="G2640" s="153">
        <f>IF($K2640="Padrão",BDI!$B$17,IF($K2640="Diferenciado",BDI!$E$17,0))</f>
        <v>0.2039</v>
      </c>
      <c r="H2640" s="151" t="str">
        <f t="shared" si="123"/>
        <v/>
      </c>
      <c r="I2640" s="152" t="str">
        <f t="shared" si="124"/>
        <v/>
      </c>
      <c r="J2640" s="154"/>
      <c r="K2640" s="155" t="s">
        <v>2966</v>
      </c>
    </row>
    <row r="2641" spans="1:11" hidden="1" x14ac:dyDescent="0.25">
      <c r="A2641" s="148" t="s">
        <v>7245</v>
      </c>
      <c r="B2641" s="149" t="s">
        <v>7246</v>
      </c>
      <c r="C2641" s="150" t="s">
        <v>18</v>
      </c>
      <c r="D2641" s="150">
        <v>0</v>
      </c>
      <c r="E2641" s="151" t="s">
        <v>13</v>
      </c>
      <c r="F2641" s="152" t="str">
        <f t="shared" si="125"/>
        <v/>
      </c>
      <c r="G2641" s="153">
        <f>IF($K2641="Padrão",BDI!$B$17,IF($K2641="Diferenciado",BDI!$E$17,0))</f>
        <v>0.2039</v>
      </c>
      <c r="H2641" s="151" t="str">
        <f t="shared" si="123"/>
        <v/>
      </c>
      <c r="I2641" s="152" t="str">
        <f t="shared" si="124"/>
        <v/>
      </c>
      <c r="J2641" s="154"/>
      <c r="K2641" s="155" t="s">
        <v>2966</v>
      </c>
    </row>
    <row r="2642" spans="1:11" hidden="1" x14ac:dyDescent="0.25">
      <c r="A2642" s="148" t="s">
        <v>7247</v>
      </c>
      <c r="B2642" s="149" t="s">
        <v>7248</v>
      </c>
      <c r="C2642" s="150" t="s">
        <v>18</v>
      </c>
      <c r="D2642" s="150">
        <v>0</v>
      </c>
      <c r="E2642" s="151" t="s">
        <v>13</v>
      </c>
      <c r="F2642" s="152" t="str">
        <f t="shared" si="125"/>
        <v/>
      </c>
      <c r="G2642" s="153">
        <f>IF($K2642="Padrão",BDI!$B$17,IF($K2642="Diferenciado",BDI!$E$17,0))</f>
        <v>0.2039</v>
      </c>
      <c r="H2642" s="151" t="str">
        <f t="shared" si="123"/>
        <v/>
      </c>
      <c r="I2642" s="152" t="str">
        <f t="shared" si="124"/>
        <v/>
      </c>
      <c r="J2642" s="154"/>
      <c r="K2642" s="155" t="s">
        <v>2966</v>
      </c>
    </row>
    <row r="2643" spans="1:11" hidden="1" x14ac:dyDescent="0.25">
      <c r="A2643" s="148" t="s">
        <v>7249</v>
      </c>
      <c r="B2643" s="149" t="s">
        <v>7250</v>
      </c>
      <c r="C2643" s="150" t="s">
        <v>18</v>
      </c>
      <c r="D2643" s="150">
        <v>0</v>
      </c>
      <c r="E2643" s="151" t="s">
        <v>13</v>
      </c>
      <c r="F2643" s="152" t="str">
        <f t="shared" si="125"/>
        <v/>
      </c>
      <c r="G2643" s="153">
        <f>IF($K2643="Padrão",BDI!$B$17,IF($K2643="Diferenciado",BDI!$E$17,0))</f>
        <v>0.2039</v>
      </c>
      <c r="H2643" s="151" t="str">
        <f t="shared" si="123"/>
        <v/>
      </c>
      <c r="I2643" s="152" t="str">
        <f t="shared" si="124"/>
        <v/>
      </c>
      <c r="J2643" s="154"/>
      <c r="K2643" s="155" t="s">
        <v>2966</v>
      </c>
    </row>
    <row r="2644" spans="1:11" hidden="1" x14ac:dyDescent="0.25">
      <c r="A2644" s="148" t="s">
        <v>7251</v>
      </c>
      <c r="B2644" s="149" t="s">
        <v>7252</v>
      </c>
      <c r="C2644" s="150" t="s">
        <v>18</v>
      </c>
      <c r="D2644" s="150">
        <v>0</v>
      </c>
      <c r="E2644" s="151" t="s">
        <v>13</v>
      </c>
      <c r="F2644" s="152" t="str">
        <f t="shared" si="125"/>
        <v/>
      </c>
      <c r="G2644" s="153">
        <f>IF($K2644="Padrão",BDI!$B$17,IF($K2644="Diferenciado",BDI!$E$17,0))</f>
        <v>0.2039</v>
      </c>
      <c r="H2644" s="151" t="str">
        <f t="shared" si="123"/>
        <v/>
      </c>
      <c r="I2644" s="152" t="str">
        <f t="shared" si="124"/>
        <v/>
      </c>
      <c r="J2644" s="154"/>
      <c r="K2644" s="155" t="s">
        <v>2966</v>
      </c>
    </row>
    <row r="2645" spans="1:11" hidden="1" x14ac:dyDescent="0.25">
      <c r="A2645" s="148" t="s">
        <v>7253</v>
      </c>
      <c r="B2645" s="149" t="s">
        <v>7254</v>
      </c>
      <c r="C2645" s="150" t="s">
        <v>18</v>
      </c>
      <c r="D2645" s="150">
        <v>0</v>
      </c>
      <c r="E2645" s="151" t="s">
        <v>13</v>
      </c>
      <c r="F2645" s="152" t="str">
        <f t="shared" si="125"/>
        <v/>
      </c>
      <c r="G2645" s="153">
        <f>IF($K2645="Padrão",BDI!$B$17,IF($K2645="Diferenciado",BDI!$E$17,0))</f>
        <v>0.2039</v>
      </c>
      <c r="H2645" s="151" t="str">
        <f t="shared" si="123"/>
        <v/>
      </c>
      <c r="I2645" s="152" t="str">
        <f t="shared" si="124"/>
        <v/>
      </c>
      <c r="J2645" s="154"/>
      <c r="K2645" s="155" t="s">
        <v>2966</v>
      </c>
    </row>
    <row r="2646" spans="1:11" hidden="1" x14ac:dyDescent="0.25">
      <c r="A2646" s="148" t="s">
        <v>7255</v>
      </c>
      <c r="B2646" s="149" t="s">
        <v>7256</v>
      </c>
      <c r="C2646" s="150" t="s">
        <v>18</v>
      </c>
      <c r="D2646" s="150">
        <v>0</v>
      </c>
      <c r="E2646" s="151" t="s">
        <v>13</v>
      </c>
      <c r="F2646" s="152" t="str">
        <f t="shared" si="125"/>
        <v/>
      </c>
      <c r="G2646" s="153">
        <f>IF($K2646="Padrão",BDI!$B$17,IF($K2646="Diferenciado",BDI!$E$17,0))</f>
        <v>0.2039</v>
      </c>
      <c r="H2646" s="151" t="str">
        <f t="shared" si="123"/>
        <v/>
      </c>
      <c r="I2646" s="152" t="str">
        <f t="shared" si="124"/>
        <v/>
      </c>
      <c r="J2646" s="154"/>
      <c r="K2646" s="155" t="s">
        <v>2966</v>
      </c>
    </row>
    <row r="2647" spans="1:11" hidden="1" x14ac:dyDescent="0.25">
      <c r="A2647" s="148" t="s">
        <v>7257</v>
      </c>
      <c r="B2647" s="149" t="s">
        <v>7258</v>
      </c>
      <c r="C2647" s="150" t="s">
        <v>18</v>
      </c>
      <c r="D2647" s="150">
        <v>0</v>
      </c>
      <c r="E2647" s="151" t="s">
        <v>13</v>
      </c>
      <c r="F2647" s="152" t="str">
        <f t="shared" si="125"/>
        <v/>
      </c>
      <c r="G2647" s="153">
        <f>IF($K2647="Padrão",BDI!$B$17,IF($K2647="Diferenciado",BDI!$E$17,0))</f>
        <v>0.2039</v>
      </c>
      <c r="H2647" s="151" t="str">
        <f t="shared" si="123"/>
        <v/>
      </c>
      <c r="I2647" s="152" t="str">
        <f t="shared" si="124"/>
        <v/>
      </c>
      <c r="J2647" s="154"/>
      <c r="K2647" s="155" t="s">
        <v>2966</v>
      </c>
    </row>
    <row r="2648" spans="1:11" hidden="1" x14ac:dyDescent="0.25">
      <c r="A2648" s="148" t="s">
        <v>7259</v>
      </c>
      <c r="B2648" s="149" t="s">
        <v>7260</v>
      </c>
      <c r="C2648" s="150" t="s">
        <v>18</v>
      </c>
      <c r="D2648" s="150">
        <v>0</v>
      </c>
      <c r="E2648" s="151" t="s">
        <v>13</v>
      </c>
      <c r="F2648" s="152" t="str">
        <f t="shared" si="125"/>
        <v/>
      </c>
      <c r="G2648" s="153">
        <f>IF($K2648="Padrão",BDI!$B$17,IF($K2648="Diferenciado",BDI!$E$17,0))</f>
        <v>0.2039</v>
      </c>
      <c r="H2648" s="151" t="str">
        <f t="shared" si="123"/>
        <v/>
      </c>
      <c r="I2648" s="152" t="str">
        <f t="shared" si="124"/>
        <v/>
      </c>
      <c r="J2648" s="154"/>
      <c r="K2648" s="155" t="s">
        <v>2966</v>
      </c>
    </row>
    <row r="2649" spans="1:11" hidden="1" x14ac:dyDescent="0.25">
      <c r="A2649" s="148" t="s">
        <v>7261</v>
      </c>
      <c r="B2649" s="149" t="s">
        <v>7262</v>
      </c>
      <c r="C2649" s="150" t="s">
        <v>18</v>
      </c>
      <c r="D2649" s="150">
        <v>0</v>
      </c>
      <c r="E2649" s="151" t="s">
        <v>13</v>
      </c>
      <c r="F2649" s="152" t="str">
        <f t="shared" si="125"/>
        <v/>
      </c>
      <c r="G2649" s="153">
        <f>IF($K2649="Padrão",BDI!$B$17,IF($K2649="Diferenciado",BDI!$E$17,0))</f>
        <v>0.2039</v>
      </c>
      <c r="H2649" s="151" t="str">
        <f t="shared" si="123"/>
        <v/>
      </c>
      <c r="I2649" s="152" t="str">
        <f t="shared" si="124"/>
        <v/>
      </c>
      <c r="J2649" s="154"/>
      <c r="K2649" s="155" t="s">
        <v>2966</v>
      </c>
    </row>
    <row r="2650" spans="1:11" hidden="1" x14ac:dyDescent="0.25">
      <c r="A2650" s="148" t="s">
        <v>7263</v>
      </c>
      <c r="B2650" s="149" t="s">
        <v>7264</v>
      </c>
      <c r="C2650" s="150" t="s">
        <v>106</v>
      </c>
      <c r="D2650" s="150">
        <v>0</v>
      </c>
      <c r="E2650" s="151" t="s">
        <v>13</v>
      </c>
      <c r="F2650" s="152" t="str">
        <f t="shared" si="125"/>
        <v/>
      </c>
      <c r="G2650" s="153">
        <f>IF($K2650="Padrão",BDI!$B$17,IF($K2650="Diferenciado",BDI!$E$17,0))</f>
        <v>0.2039</v>
      </c>
      <c r="H2650" s="151" t="str">
        <f t="shared" si="123"/>
        <v/>
      </c>
      <c r="I2650" s="152" t="str">
        <f t="shared" si="124"/>
        <v/>
      </c>
      <c r="J2650" s="154"/>
      <c r="K2650" s="155" t="s">
        <v>2966</v>
      </c>
    </row>
    <row r="2651" spans="1:11" hidden="1" x14ac:dyDescent="0.25">
      <c r="A2651" s="148" t="s">
        <v>7265</v>
      </c>
      <c r="B2651" s="149" t="s">
        <v>7266</v>
      </c>
      <c r="C2651" s="150" t="s">
        <v>18</v>
      </c>
      <c r="D2651" s="150">
        <v>0</v>
      </c>
      <c r="E2651" s="151" t="s">
        <v>13</v>
      </c>
      <c r="F2651" s="152" t="str">
        <f t="shared" si="125"/>
        <v/>
      </c>
      <c r="G2651" s="153">
        <f>IF($K2651="Padrão",BDI!$B$17,IF($K2651="Diferenciado",BDI!$E$17,0))</f>
        <v>0.2039</v>
      </c>
      <c r="H2651" s="151" t="str">
        <f t="shared" si="123"/>
        <v/>
      </c>
      <c r="I2651" s="152" t="str">
        <f t="shared" si="124"/>
        <v/>
      </c>
      <c r="J2651" s="154"/>
      <c r="K2651" s="155" t="s">
        <v>2966</v>
      </c>
    </row>
    <row r="2652" spans="1:11" hidden="1" x14ac:dyDescent="0.25">
      <c r="A2652" s="148" t="s">
        <v>7267</v>
      </c>
      <c r="B2652" s="149" t="s">
        <v>7268</v>
      </c>
      <c r="C2652" s="150" t="s">
        <v>18</v>
      </c>
      <c r="D2652" s="150">
        <v>0</v>
      </c>
      <c r="E2652" s="151" t="s">
        <v>13</v>
      </c>
      <c r="F2652" s="152" t="str">
        <f t="shared" si="125"/>
        <v/>
      </c>
      <c r="G2652" s="153">
        <f>IF($K2652="Padrão",BDI!$B$17,IF($K2652="Diferenciado",BDI!$E$17,0))</f>
        <v>0.2039</v>
      </c>
      <c r="H2652" s="151" t="str">
        <f t="shared" si="123"/>
        <v/>
      </c>
      <c r="I2652" s="152" t="str">
        <f t="shared" si="124"/>
        <v/>
      </c>
      <c r="J2652" s="154"/>
      <c r="K2652" s="155" t="s">
        <v>2966</v>
      </c>
    </row>
    <row r="2653" spans="1:11" hidden="1" x14ac:dyDescent="0.25">
      <c r="A2653" s="148" t="s">
        <v>7269</v>
      </c>
      <c r="B2653" s="149" t="s">
        <v>7270</v>
      </c>
      <c r="C2653" s="150" t="s">
        <v>18</v>
      </c>
      <c r="D2653" s="150">
        <v>0</v>
      </c>
      <c r="E2653" s="151" t="s">
        <v>13</v>
      </c>
      <c r="F2653" s="152" t="str">
        <f t="shared" si="125"/>
        <v/>
      </c>
      <c r="G2653" s="153">
        <f>IF($K2653="Padrão",BDI!$B$17,IF($K2653="Diferenciado",BDI!$E$17,0))</f>
        <v>0.2039</v>
      </c>
      <c r="H2653" s="151" t="str">
        <f t="shared" si="123"/>
        <v/>
      </c>
      <c r="I2653" s="152" t="str">
        <f t="shared" si="124"/>
        <v/>
      </c>
      <c r="J2653" s="154"/>
      <c r="K2653" s="155" t="s">
        <v>2966</v>
      </c>
    </row>
    <row r="2654" spans="1:11" hidden="1" x14ac:dyDescent="0.25">
      <c r="A2654" s="148" t="s">
        <v>7271</v>
      </c>
      <c r="B2654" s="149" t="s">
        <v>7272</v>
      </c>
      <c r="C2654" s="150" t="s">
        <v>18</v>
      </c>
      <c r="D2654" s="150">
        <v>0</v>
      </c>
      <c r="E2654" s="151" t="s">
        <v>13</v>
      </c>
      <c r="F2654" s="152" t="str">
        <f t="shared" si="125"/>
        <v/>
      </c>
      <c r="G2654" s="153">
        <f>IF($K2654="Padrão",BDI!$B$17,IF($K2654="Diferenciado",BDI!$E$17,0))</f>
        <v>0.2039</v>
      </c>
      <c r="H2654" s="151" t="str">
        <f t="shared" si="123"/>
        <v/>
      </c>
      <c r="I2654" s="152" t="str">
        <f t="shared" si="124"/>
        <v/>
      </c>
      <c r="J2654" s="154"/>
      <c r="K2654" s="155" t="s">
        <v>2966</v>
      </c>
    </row>
    <row r="2655" spans="1:11" hidden="1" x14ac:dyDescent="0.25">
      <c r="A2655" s="148" t="s">
        <v>7273</v>
      </c>
      <c r="B2655" s="149" t="s">
        <v>7274</v>
      </c>
      <c r="C2655" s="150" t="s">
        <v>18</v>
      </c>
      <c r="D2655" s="150">
        <v>0</v>
      </c>
      <c r="E2655" s="151" t="s">
        <v>13</v>
      </c>
      <c r="F2655" s="152" t="str">
        <f t="shared" si="125"/>
        <v/>
      </c>
      <c r="G2655" s="153">
        <f>IF($K2655="Padrão",BDI!$B$17,IF($K2655="Diferenciado",BDI!$E$17,0))</f>
        <v>0.2039</v>
      </c>
      <c r="H2655" s="151" t="str">
        <f t="shared" si="123"/>
        <v/>
      </c>
      <c r="I2655" s="152" t="str">
        <f t="shared" si="124"/>
        <v/>
      </c>
      <c r="J2655" s="154"/>
      <c r="K2655" s="155" t="s">
        <v>2966</v>
      </c>
    </row>
    <row r="2656" spans="1:11" hidden="1" x14ac:dyDescent="0.25">
      <c r="A2656" s="148" t="s">
        <v>7275</v>
      </c>
      <c r="B2656" s="149" t="s">
        <v>7276</v>
      </c>
      <c r="C2656" s="150" t="s">
        <v>18</v>
      </c>
      <c r="D2656" s="150">
        <v>0</v>
      </c>
      <c r="E2656" s="151" t="s">
        <v>13</v>
      </c>
      <c r="F2656" s="152" t="str">
        <f t="shared" si="125"/>
        <v/>
      </c>
      <c r="G2656" s="153">
        <f>IF($K2656="Padrão",BDI!$B$17,IF($K2656="Diferenciado",BDI!$E$17,0))</f>
        <v>0.2039</v>
      </c>
      <c r="H2656" s="151" t="str">
        <f t="shared" si="123"/>
        <v/>
      </c>
      <c r="I2656" s="152" t="str">
        <f t="shared" si="124"/>
        <v/>
      </c>
      <c r="J2656" s="154"/>
      <c r="K2656" s="155" t="s">
        <v>2966</v>
      </c>
    </row>
    <row r="2657" spans="1:11" hidden="1" x14ac:dyDescent="0.25">
      <c r="A2657" s="148" t="s">
        <v>7277</v>
      </c>
      <c r="B2657" s="149" t="s">
        <v>7278</v>
      </c>
      <c r="C2657" s="150" t="s">
        <v>18</v>
      </c>
      <c r="D2657" s="150">
        <v>0</v>
      </c>
      <c r="E2657" s="151" t="s">
        <v>13</v>
      </c>
      <c r="F2657" s="152" t="str">
        <f t="shared" si="125"/>
        <v/>
      </c>
      <c r="G2657" s="153">
        <f>IF($K2657="Padrão",BDI!$B$17,IF($K2657="Diferenciado",BDI!$E$17,0))</f>
        <v>0.2039</v>
      </c>
      <c r="H2657" s="151" t="str">
        <f t="shared" si="123"/>
        <v/>
      </c>
      <c r="I2657" s="152" t="str">
        <f t="shared" si="124"/>
        <v/>
      </c>
      <c r="J2657" s="154"/>
      <c r="K2657" s="155" t="s">
        <v>2966</v>
      </c>
    </row>
    <row r="2658" spans="1:11" hidden="1" x14ac:dyDescent="0.25">
      <c r="A2658" s="148" t="s">
        <v>7279</v>
      </c>
      <c r="B2658" s="149" t="s">
        <v>7280</v>
      </c>
      <c r="C2658" s="150" t="s">
        <v>18</v>
      </c>
      <c r="D2658" s="150">
        <v>0</v>
      </c>
      <c r="E2658" s="151" t="s">
        <v>13</v>
      </c>
      <c r="F2658" s="152" t="str">
        <f t="shared" si="125"/>
        <v/>
      </c>
      <c r="G2658" s="153">
        <f>IF($K2658="Padrão",BDI!$B$17,IF($K2658="Diferenciado",BDI!$E$17,0))</f>
        <v>0.2039</v>
      </c>
      <c r="H2658" s="151" t="str">
        <f t="shared" si="123"/>
        <v/>
      </c>
      <c r="I2658" s="152" t="str">
        <f t="shared" si="124"/>
        <v/>
      </c>
      <c r="J2658" s="154"/>
      <c r="K2658" s="155" t="s">
        <v>2966</v>
      </c>
    </row>
    <row r="2659" spans="1:11" hidden="1" x14ac:dyDescent="0.25">
      <c r="A2659" s="148" t="s">
        <v>7281</v>
      </c>
      <c r="B2659" s="149" t="s">
        <v>7282</v>
      </c>
      <c r="C2659" s="150" t="s">
        <v>18</v>
      </c>
      <c r="D2659" s="150">
        <v>0</v>
      </c>
      <c r="E2659" s="151" t="s">
        <v>13</v>
      </c>
      <c r="F2659" s="152" t="str">
        <f t="shared" si="125"/>
        <v/>
      </c>
      <c r="G2659" s="153">
        <f>IF($K2659="Padrão",BDI!$B$17,IF($K2659="Diferenciado",BDI!$E$17,0))</f>
        <v>0.2039</v>
      </c>
      <c r="H2659" s="151" t="str">
        <f t="shared" si="123"/>
        <v/>
      </c>
      <c r="I2659" s="152" t="str">
        <f t="shared" si="124"/>
        <v/>
      </c>
      <c r="J2659" s="154"/>
      <c r="K2659" s="155" t="s">
        <v>2966</v>
      </c>
    </row>
    <row r="2660" spans="1:11" hidden="1" x14ac:dyDescent="0.25">
      <c r="A2660" s="148" t="s">
        <v>7283</v>
      </c>
      <c r="B2660" s="149" t="s">
        <v>7284</v>
      </c>
      <c r="C2660" s="150" t="s">
        <v>18</v>
      </c>
      <c r="D2660" s="150">
        <v>0</v>
      </c>
      <c r="E2660" s="151" t="s">
        <v>13</v>
      </c>
      <c r="F2660" s="152" t="str">
        <f t="shared" si="125"/>
        <v/>
      </c>
      <c r="G2660" s="153">
        <f>IF($K2660="Padrão",BDI!$B$17,IF($K2660="Diferenciado",BDI!$E$17,0))</f>
        <v>0.2039</v>
      </c>
      <c r="H2660" s="151" t="str">
        <f t="shared" si="123"/>
        <v/>
      </c>
      <c r="I2660" s="152" t="str">
        <f t="shared" si="124"/>
        <v/>
      </c>
      <c r="J2660" s="154"/>
      <c r="K2660" s="155" t="s">
        <v>2966</v>
      </c>
    </row>
    <row r="2661" spans="1:11" hidden="1" x14ac:dyDescent="0.25">
      <c r="A2661" s="148" t="s">
        <v>7285</v>
      </c>
      <c r="B2661" s="149" t="s">
        <v>7286</v>
      </c>
      <c r="C2661" s="150" t="s">
        <v>18</v>
      </c>
      <c r="D2661" s="150">
        <v>0</v>
      </c>
      <c r="E2661" s="151" t="s">
        <v>13</v>
      </c>
      <c r="F2661" s="152" t="str">
        <f t="shared" si="125"/>
        <v/>
      </c>
      <c r="G2661" s="153">
        <f>IF($K2661="Padrão",BDI!$B$17,IF($K2661="Diferenciado",BDI!$E$17,0))</f>
        <v>0.2039</v>
      </c>
      <c r="H2661" s="151" t="str">
        <f t="shared" si="123"/>
        <v/>
      </c>
      <c r="I2661" s="152" t="str">
        <f t="shared" si="124"/>
        <v/>
      </c>
      <c r="J2661" s="154"/>
      <c r="K2661" s="155" t="s">
        <v>2966</v>
      </c>
    </row>
    <row r="2662" spans="1:11" hidden="1" x14ac:dyDescent="0.25">
      <c r="A2662" s="148" t="s">
        <v>7287</v>
      </c>
      <c r="B2662" s="149" t="s">
        <v>7288</v>
      </c>
      <c r="C2662" s="150" t="s">
        <v>18</v>
      </c>
      <c r="D2662" s="150">
        <v>0</v>
      </c>
      <c r="E2662" s="151" t="s">
        <v>13</v>
      </c>
      <c r="F2662" s="152" t="str">
        <f t="shared" si="125"/>
        <v/>
      </c>
      <c r="G2662" s="153">
        <f>IF($K2662="Padrão",BDI!$B$17,IF($K2662="Diferenciado",BDI!$E$17,0))</f>
        <v>0.2039</v>
      </c>
      <c r="H2662" s="151" t="str">
        <f t="shared" si="123"/>
        <v/>
      </c>
      <c r="I2662" s="152" t="str">
        <f t="shared" si="124"/>
        <v/>
      </c>
      <c r="J2662" s="154"/>
      <c r="K2662" s="155" t="s">
        <v>2966</v>
      </c>
    </row>
    <row r="2663" spans="1:11" hidden="1" x14ac:dyDescent="0.25">
      <c r="A2663" s="148" t="s">
        <v>7289</v>
      </c>
      <c r="B2663" s="149" t="s">
        <v>7290</v>
      </c>
      <c r="C2663" s="150" t="s">
        <v>18</v>
      </c>
      <c r="D2663" s="150">
        <v>0</v>
      </c>
      <c r="E2663" s="151" t="s">
        <v>13</v>
      </c>
      <c r="F2663" s="152" t="str">
        <f t="shared" si="125"/>
        <v/>
      </c>
      <c r="G2663" s="153">
        <f>IF($K2663="Padrão",BDI!$B$17,IF($K2663="Diferenciado",BDI!$E$17,0))</f>
        <v>0.2039</v>
      </c>
      <c r="H2663" s="151" t="str">
        <f t="shared" si="123"/>
        <v/>
      </c>
      <c r="I2663" s="152" t="str">
        <f t="shared" si="124"/>
        <v/>
      </c>
      <c r="J2663" s="154"/>
      <c r="K2663" s="155" t="s">
        <v>2966</v>
      </c>
    </row>
    <row r="2664" spans="1:11" hidden="1" x14ac:dyDescent="0.25">
      <c r="A2664" s="148" t="s">
        <v>7291</v>
      </c>
      <c r="B2664" s="149" t="s">
        <v>7292</v>
      </c>
      <c r="C2664" s="150" t="s">
        <v>18</v>
      </c>
      <c r="D2664" s="150">
        <v>0</v>
      </c>
      <c r="E2664" s="151" t="s">
        <v>13</v>
      </c>
      <c r="F2664" s="152" t="str">
        <f t="shared" si="125"/>
        <v/>
      </c>
      <c r="G2664" s="153">
        <f>IF($K2664="Padrão",BDI!$B$17,IF($K2664="Diferenciado",BDI!$E$17,0))</f>
        <v>0.2039</v>
      </c>
      <c r="H2664" s="151" t="str">
        <f t="shared" si="123"/>
        <v/>
      </c>
      <c r="I2664" s="152" t="str">
        <f t="shared" si="124"/>
        <v/>
      </c>
      <c r="J2664" s="154"/>
      <c r="K2664" s="155" t="s">
        <v>2966</v>
      </c>
    </row>
    <row r="2665" spans="1:11" hidden="1" x14ac:dyDescent="0.25">
      <c r="A2665" s="148" t="s">
        <v>7293</v>
      </c>
      <c r="B2665" s="149" t="s">
        <v>7294</v>
      </c>
      <c r="C2665" s="150" t="s">
        <v>18</v>
      </c>
      <c r="D2665" s="150">
        <v>0</v>
      </c>
      <c r="E2665" s="151" t="s">
        <v>13</v>
      </c>
      <c r="F2665" s="152" t="str">
        <f t="shared" si="125"/>
        <v/>
      </c>
      <c r="G2665" s="153">
        <f>IF($K2665="Padrão",BDI!$B$17,IF($K2665="Diferenciado",BDI!$E$17,0))</f>
        <v>0.2039</v>
      </c>
      <c r="H2665" s="151" t="str">
        <f t="shared" si="123"/>
        <v/>
      </c>
      <c r="I2665" s="152" t="str">
        <f t="shared" si="124"/>
        <v/>
      </c>
      <c r="J2665" s="154"/>
      <c r="K2665" s="155" t="s">
        <v>2966</v>
      </c>
    </row>
    <row r="2666" spans="1:11" hidden="1" x14ac:dyDescent="0.25">
      <c r="A2666" s="148" t="s">
        <v>7295</v>
      </c>
      <c r="B2666" s="149" t="s">
        <v>7296</v>
      </c>
      <c r="C2666" s="150" t="s">
        <v>18</v>
      </c>
      <c r="D2666" s="150">
        <v>0</v>
      </c>
      <c r="E2666" s="151" t="s">
        <v>13</v>
      </c>
      <c r="F2666" s="152" t="str">
        <f t="shared" si="125"/>
        <v/>
      </c>
      <c r="G2666" s="153">
        <f>IF($K2666="Padrão",BDI!$B$17,IF($K2666="Diferenciado",BDI!$E$17,0))</f>
        <v>0.2039</v>
      </c>
      <c r="H2666" s="151" t="str">
        <f t="shared" si="123"/>
        <v/>
      </c>
      <c r="I2666" s="152" t="str">
        <f t="shared" si="124"/>
        <v/>
      </c>
      <c r="J2666" s="154"/>
      <c r="K2666" s="155" t="s">
        <v>2966</v>
      </c>
    </row>
    <row r="2667" spans="1:11" hidden="1" x14ac:dyDescent="0.25">
      <c r="A2667" s="148" t="s">
        <v>7297</v>
      </c>
      <c r="B2667" s="149" t="s">
        <v>7298</v>
      </c>
      <c r="C2667" s="150" t="s">
        <v>18</v>
      </c>
      <c r="D2667" s="150">
        <v>0</v>
      </c>
      <c r="E2667" s="151" t="s">
        <v>13</v>
      </c>
      <c r="F2667" s="152" t="str">
        <f t="shared" si="125"/>
        <v/>
      </c>
      <c r="G2667" s="153">
        <f>IF($K2667="Padrão",BDI!$B$17,IF($K2667="Diferenciado",BDI!$E$17,0))</f>
        <v>0.2039</v>
      </c>
      <c r="H2667" s="151" t="str">
        <f t="shared" si="123"/>
        <v/>
      </c>
      <c r="I2667" s="152" t="str">
        <f t="shared" si="124"/>
        <v/>
      </c>
      <c r="J2667" s="154"/>
      <c r="K2667" s="155" t="s">
        <v>2966</v>
      </c>
    </row>
    <row r="2668" spans="1:11" hidden="1" x14ac:dyDescent="0.25">
      <c r="A2668" s="148" t="s">
        <v>7299</v>
      </c>
      <c r="B2668" s="149" t="s">
        <v>7300</v>
      </c>
      <c r="C2668" s="150" t="s">
        <v>18</v>
      </c>
      <c r="D2668" s="150">
        <v>0</v>
      </c>
      <c r="E2668" s="151" t="s">
        <v>13</v>
      </c>
      <c r="F2668" s="152" t="str">
        <f t="shared" si="125"/>
        <v/>
      </c>
      <c r="G2668" s="153">
        <f>IF($K2668="Padrão",BDI!$B$17,IF($K2668="Diferenciado",BDI!$E$17,0))</f>
        <v>0.2039</v>
      </c>
      <c r="H2668" s="151" t="str">
        <f t="shared" si="123"/>
        <v/>
      </c>
      <c r="I2668" s="152" t="str">
        <f t="shared" si="124"/>
        <v/>
      </c>
      <c r="J2668" s="154"/>
      <c r="K2668" s="155" t="s">
        <v>2966</v>
      </c>
    </row>
    <row r="2669" spans="1:11" hidden="1" x14ac:dyDescent="0.25">
      <c r="A2669" s="148" t="s">
        <v>7301</v>
      </c>
      <c r="B2669" s="149" t="s">
        <v>7302</v>
      </c>
      <c r="C2669" s="150" t="s">
        <v>18</v>
      </c>
      <c r="D2669" s="150">
        <v>0</v>
      </c>
      <c r="E2669" s="151" t="s">
        <v>13</v>
      </c>
      <c r="F2669" s="152" t="str">
        <f t="shared" si="125"/>
        <v/>
      </c>
      <c r="G2669" s="153">
        <f>IF($K2669="Padrão",BDI!$B$17,IF($K2669="Diferenciado",BDI!$E$17,0))</f>
        <v>0.2039</v>
      </c>
      <c r="H2669" s="151" t="str">
        <f t="shared" si="123"/>
        <v/>
      </c>
      <c r="I2669" s="152" t="str">
        <f t="shared" si="124"/>
        <v/>
      </c>
      <c r="J2669" s="154"/>
      <c r="K2669" s="155" t="s">
        <v>2966</v>
      </c>
    </row>
    <row r="2670" spans="1:11" hidden="1" x14ac:dyDescent="0.25">
      <c r="A2670" s="148" t="s">
        <v>7303</v>
      </c>
      <c r="B2670" s="149" t="s">
        <v>7304</v>
      </c>
      <c r="C2670" s="150" t="s">
        <v>18</v>
      </c>
      <c r="D2670" s="150">
        <v>0</v>
      </c>
      <c r="E2670" s="151" t="s">
        <v>13</v>
      </c>
      <c r="F2670" s="152" t="str">
        <f t="shared" si="125"/>
        <v/>
      </c>
      <c r="G2670" s="153">
        <f>IF($K2670="Padrão",BDI!$B$17,IF($K2670="Diferenciado",BDI!$E$17,0))</f>
        <v>0.2039</v>
      </c>
      <c r="H2670" s="151" t="str">
        <f t="shared" si="123"/>
        <v/>
      </c>
      <c r="I2670" s="152" t="str">
        <f t="shared" si="124"/>
        <v/>
      </c>
      <c r="J2670" s="154"/>
      <c r="K2670" s="155" t="s">
        <v>2966</v>
      </c>
    </row>
    <row r="2671" spans="1:11" hidden="1" x14ac:dyDescent="0.25">
      <c r="A2671" s="148" t="s">
        <v>7305</v>
      </c>
      <c r="B2671" s="149" t="s">
        <v>7306</v>
      </c>
      <c r="C2671" s="150" t="s">
        <v>18</v>
      </c>
      <c r="D2671" s="150">
        <v>0</v>
      </c>
      <c r="E2671" s="151" t="s">
        <v>13</v>
      </c>
      <c r="F2671" s="152" t="str">
        <f t="shared" si="125"/>
        <v/>
      </c>
      <c r="G2671" s="153">
        <f>IF($K2671="Padrão",BDI!$B$17,IF($K2671="Diferenciado",BDI!$E$17,0))</f>
        <v>0.2039</v>
      </c>
      <c r="H2671" s="151" t="str">
        <f t="shared" si="123"/>
        <v/>
      </c>
      <c r="I2671" s="152" t="str">
        <f t="shared" si="124"/>
        <v/>
      </c>
      <c r="J2671" s="154"/>
      <c r="K2671" s="155" t="s">
        <v>2966</v>
      </c>
    </row>
    <row r="2672" spans="1:11" hidden="1" x14ac:dyDescent="0.25">
      <c r="A2672" s="148" t="s">
        <v>7307</v>
      </c>
      <c r="B2672" s="149" t="s">
        <v>7308</v>
      </c>
      <c r="C2672" s="150" t="s">
        <v>18</v>
      </c>
      <c r="D2672" s="150">
        <v>0</v>
      </c>
      <c r="E2672" s="151" t="s">
        <v>13</v>
      </c>
      <c r="F2672" s="152" t="str">
        <f t="shared" si="125"/>
        <v/>
      </c>
      <c r="G2672" s="153">
        <f>IF($K2672="Padrão",BDI!$B$17,IF($K2672="Diferenciado",BDI!$E$17,0))</f>
        <v>0.2039</v>
      </c>
      <c r="H2672" s="151" t="str">
        <f t="shared" si="123"/>
        <v/>
      </c>
      <c r="I2672" s="152" t="str">
        <f t="shared" si="124"/>
        <v/>
      </c>
      <c r="J2672" s="154"/>
      <c r="K2672" s="155" t="s">
        <v>2966</v>
      </c>
    </row>
    <row r="2673" spans="1:11" hidden="1" x14ac:dyDescent="0.25">
      <c r="A2673" s="148" t="s">
        <v>7309</v>
      </c>
      <c r="B2673" s="149" t="s">
        <v>7310</v>
      </c>
      <c r="C2673" s="150" t="s">
        <v>18</v>
      </c>
      <c r="D2673" s="150">
        <v>0</v>
      </c>
      <c r="E2673" s="151" t="s">
        <v>13</v>
      </c>
      <c r="F2673" s="152" t="str">
        <f t="shared" si="125"/>
        <v/>
      </c>
      <c r="G2673" s="153">
        <f>IF($K2673="Padrão",BDI!$B$17,IF($K2673="Diferenciado",BDI!$E$17,0))</f>
        <v>0.2039</v>
      </c>
      <c r="H2673" s="151" t="str">
        <f t="shared" si="123"/>
        <v/>
      </c>
      <c r="I2673" s="152" t="str">
        <f t="shared" si="124"/>
        <v/>
      </c>
      <c r="J2673" s="154"/>
      <c r="K2673" s="155" t="s">
        <v>2966</v>
      </c>
    </row>
    <row r="2674" spans="1:11" hidden="1" x14ac:dyDescent="0.25">
      <c r="A2674" s="148" t="s">
        <v>7311</v>
      </c>
      <c r="B2674" s="149" t="s">
        <v>7312</v>
      </c>
      <c r="C2674" s="150" t="s">
        <v>18</v>
      </c>
      <c r="D2674" s="150">
        <v>0</v>
      </c>
      <c r="E2674" s="151" t="s">
        <v>13</v>
      </c>
      <c r="F2674" s="152" t="str">
        <f t="shared" si="125"/>
        <v/>
      </c>
      <c r="G2674" s="153">
        <f>IF($K2674="Padrão",BDI!$B$17,IF($K2674="Diferenciado",BDI!$E$17,0))</f>
        <v>0.2039</v>
      </c>
      <c r="H2674" s="151" t="str">
        <f t="shared" si="123"/>
        <v/>
      </c>
      <c r="I2674" s="152" t="str">
        <f t="shared" si="124"/>
        <v/>
      </c>
      <c r="J2674" s="154"/>
      <c r="K2674" s="155" t="s">
        <v>2966</v>
      </c>
    </row>
    <row r="2675" spans="1:11" hidden="1" x14ac:dyDescent="0.25">
      <c r="A2675" s="148" t="s">
        <v>7313</v>
      </c>
      <c r="B2675" s="149" t="s">
        <v>7314</v>
      </c>
      <c r="C2675" s="150" t="s">
        <v>18</v>
      </c>
      <c r="D2675" s="150">
        <v>0</v>
      </c>
      <c r="E2675" s="151" t="s">
        <v>13</v>
      </c>
      <c r="F2675" s="152" t="str">
        <f t="shared" si="125"/>
        <v/>
      </c>
      <c r="G2675" s="153">
        <f>IF($K2675="Padrão",BDI!$B$17,IF($K2675="Diferenciado",BDI!$E$17,0))</f>
        <v>0.2039</v>
      </c>
      <c r="H2675" s="151" t="str">
        <f t="shared" si="123"/>
        <v/>
      </c>
      <c r="I2675" s="152" t="str">
        <f t="shared" si="124"/>
        <v/>
      </c>
      <c r="J2675" s="154"/>
      <c r="K2675" s="155" t="s">
        <v>2966</v>
      </c>
    </row>
    <row r="2676" spans="1:11" hidden="1" x14ac:dyDescent="0.25">
      <c r="A2676" s="148" t="s">
        <v>7315</v>
      </c>
      <c r="B2676" s="149" t="s">
        <v>7316</v>
      </c>
      <c r="C2676" s="150" t="s">
        <v>18</v>
      </c>
      <c r="D2676" s="150">
        <v>0</v>
      </c>
      <c r="E2676" s="151" t="s">
        <v>13</v>
      </c>
      <c r="F2676" s="152" t="str">
        <f t="shared" si="125"/>
        <v/>
      </c>
      <c r="G2676" s="153">
        <f>IF($K2676="Padrão",BDI!$B$17,IF($K2676="Diferenciado",BDI!$E$17,0))</f>
        <v>0.2039</v>
      </c>
      <c r="H2676" s="151" t="str">
        <f t="shared" si="123"/>
        <v/>
      </c>
      <c r="I2676" s="152" t="str">
        <f t="shared" si="124"/>
        <v/>
      </c>
      <c r="J2676" s="154"/>
      <c r="K2676" s="155" t="s">
        <v>2966</v>
      </c>
    </row>
    <row r="2677" spans="1:11" hidden="1" x14ac:dyDescent="0.25">
      <c r="A2677" s="148" t="s">
        <v>7317</v>
      </c>
      <c r="B2677" s="149" t="s">
        <v>7318</v>
      </c>
      <c r="C2677" s="150" t="s">
        <v>18</v>
      </c>
      <c r="D2677" s="150">
        <v>0</v>
      </c>
      <c r="E2677" s="151" t="s">
        <v>13</v>
      </c>
      <c r="F2677" s="152" t="str">
        <f t="shared" si="125"/>
        <v/>
      </c>
      <c r="G2677" s="153">
        <f>IF($K2677="Padrão",BDI!$B$17,IF($K2677="Diferenciado",BDI!$E$17,0))</f>
        <v>0.2039</v>
      </c>
      <c r="H2677" s="151" t="str">
        <f t="shared" si="123"/>
        <v/>
      </c>
      <c r="I2677" s="152" t="str">
        <f t="shared" si="124"/>
        <v/>
      </c>
      <c r="J2677" s="154"/>
      <c r="K2677" s="155" t="s">
        <v>2966</v>
      </c>
    </row>
    <row r="2678" spans="1:11" hidden="1" x14ac:dyDescent="0.25">
      <c r="A2678" s="148" t="s">
        <v>7319</v>
      </c>
      <c r="B2678" s="149" t="s">
        <v>7320</v>
      </c>
      <c r="C2678" s="150" t="s">
        <v>18</v>
      </c>
      <c r="D2678" s="150">
        <v>0</v>
      </c>
      <c r="E2678" s="151" t="s">
        <v>13</v>
      </c>
      <c r="F2678" s="152" t="str">
        <f t="shared" si="125"/>
        <v/>
      </c>
      <c r="G2678" s="153">
        <f>IF($K2678="Padrão",BDI!$B$17,IF($K2678="Diferenciado",BDI!$E$17,0))</f>
        <v>0.2039</v>
      </c>
      <c r="H2678" s="151" t="str">
        <f t="shared" si="123"/>
        <v/>
      </c>
      <c r="I2678" s="152" t="str">
        <f t="shared" si="124"/>
        <v/>
      </c>
      <c r="J2678" s="154"/>
      <c r="K2678" s="155" t="s">
        <v>2966</v>
      </c>
    </row>
    <row r="2679" spans="1:11" hidden="1" x14ac:dyDescent="0.25">
      <c r="A2679" s="148" t="s">
        <v>7321</v>
      </c>
      <c r="B2679" s="149" t="s">
        <v>7322</v>
      </c>
      <c r="C2679" s="150" t="s">
        <v>18</v>
      </c>
      <c r="D2679" s="150">
        <v>0</v>
      </c>
      <c r="E2679" s="151" t="s">
        <v>13</v>
      </c>
      <c r="F2679" s="152" t="str">
        <f t="shared" si="125"/>
        <v/>
      </c>
      <c r="G2679" s="153">
        <f>IF($K2679="Padrão",BDI!$B$17,IF($K2679="Diferenciado",BDI!$E$17,0))</f>
        <v>0.2039</v>
      </c>
      <c r="H2679" s="151" t="str">
        <f t="shared" si="123"/>
        <v/>
      </c>
      <c r="I2679" s="152" t="str">
        <f t="shared" si="124"/>
        <v/>
      </c>
      <c r="J2679" s="154"/>
      <c r="K2679" s="155" t="s">
        <v>2966</v>
      </c>
    </row>
    <row r="2680" spans="1:11" hidden="1" x14ac:dyDescent="0.25">
      <c r="A2680" s="148" t="s">
        <v>7323</v>
      </c>
      <c r="B2680" s="149" t="s">
        <v>7324</v>
      </c>
      <c r="C2680" s="150" t="s">
        <v>18</v>
      </c>
      <c r="D2680" s="150">
        <v>0</v>
      </c>
      <c r="E2680" s="151" t="s">
        <v>13</v>
      </c>
      <c r="F2680" s="152" t="str">
        <f t="shared" si="125"/>
        <v/>
      </c>
      <c r="G2680" s="153">
        <f>IF($K2680="Padrão",BDI!$B$17,IF($K2680="Diferenciado",BDI!$E$17,0))</f>
        <v>0.2039</v>
      </c>
      <c r="H2680" s="151" t="str">
        <f t="shared" si="123"/>
        <v/>
      </c>
      <c r="I2680" s="152" t="str">
        <f t="shared" si="124"/>
        <v/>
      </c>
      <c r="J2680" s="154"/>
      <c r="K2680" s="155" t="s">
        <v>2966</v>
      </c>
    </row>
    <row r="2681" spans="1:11" hidden="1" x14ac:dyDescent="0.25">
      <c r="A2681" s="148" t="s">
        <v>7325</v>
      </c>
      <c r="B2681" s="149" t="s">
        <v>7326</v>
      </c>
      <c r="C2681" s="150" t="s">
        <v>18</v>
      </c>
      <c r="D2681" s="150">
        <v>0</v>
      </c>
      <c r="E2681" s="151" t="s">
        <v>13</v>
      </c>
      <c r="F2681" s="152" t="str">
        <f t="shared" si="125"/>
        <v/>
      </c>
      <c r="G2681" s="153">
        <f>IF($K2681="Padrão",BDI!$B$17,IF($K2681="Diferenciado",BDI!$E$17,0))</f>
        <v>0.2039</v>
      </c>
      <c r="H2681" s="151" t="str">
        <f t="shared" si="123"/>
        <v/>
      </c>
      <c r="I2681" s="152" t="str">
        <f t="shared" si="124"/>
        <v/>
      </c>
      <c r="J2681" s="154"/>
      <c r="K2681" s="155" t="s">
        <v>2966</v>
      </c>
    </row>
    <row r="2682" spans="1:11" hidden="1" x14ac:dyDescent="0.25">
      <c r="A2682" s="148" t="s">
        <v>7327</v>
      </c>
      <c r="B2682" s="149" t="s">
        <v>7328</v>
      </c>
      <c r="C2682" s="150" t="s">
        <v>18</v>
      </c>
      <c r="D2682" s="150">
        <v>0</v>
      </c>
      <c r="E2682" s="151" t="s">
        <v>13</v>
      </c>
      <c r="F2682" s="152" t="str">
        <f t="shared" si="125"/>
        <v/>
      </c>
      <c r="G2682" s="153">
        <f>IF($K2682="Padrão",BDI!$B$17,IF($K2682="Diferenciado",BDI!$E$17,0))</f>
        <v>0.2039</v>
      </c>
      <c r="H2682" s="151" t="str">
        <f t="shared" si="123"/>
        <v/>
      </c>
      <c r="I2682" s="152" t="str">
        <f t="shared" si="124"/>
        <v/>
      </c>
      <c r="J2682" s="154"/>
      <c r="K2682" s="155" t="s">
        <v>2966</v>
      </c>
    </row>
    <row r="2683" spans="1:11" hidden="1" x14ac:dyDescent="0.25">
      <c r="A2683" s="148" t="s">
        <v>1547</v>
      </c>
      <c r="B2683" s="149" t="s">
        <v>7329</v>
      </c>
      <c r="C2683" s="150" t="s">
        <v>106</v>
      </c>
      <c r="D2683" s="150">
        <v>0</v>
      </c>
      <c r="E2683" s="151">
        <f ca="1">OFFSET(INDEX(Composições!A:H,MATCH(Orçamentária!A2683,Composições!A:A,0),8),2,0)</f>
        <v>194.50649599999997</v>
      </c>
      <c r="F2683" s="152">
        <f t="shared" ca="1" si="125"/>
        <v>0</v>
      </c>
      <c r="G2683" s="153">
        <f>IF($K2683="Padrão",BDI!$B$17,IF($K2683="Diferenciado",BDI!$E$17,0))</f>
        <v>0.2039</v>
      </c>
      <c r="H2683" s="151">
        <f t="shared" ca="1" si="123"/>
        <v>234.17</v>
      </c>
      <c r="I2683" s="152">
        <f t="shared" ca="1" si="124"/>
        <v>0</v>
      </c>
      <c r="J2683" s="154"/>
      <c r="K2683" s="155" t="s">
        <v>2966</v>
      </c>
    </row>
    <row r="2684" spans="1:11" hidden="1" x14ac:dyDescent="0.25">
      <c r="A2684" s="148" t="s">
        <v>1548</v>
      </c>
      <c r="B2684" s="149" t="s">
        <v>7330</v>
      </c>
      <c r="C2684" s="150" t="s">
        <v>461</v>
      </c>
      <c r="D2684" s="150">
        <v>0</v>
      </c>
      <c r="E2684" s="151">
        <f ca="1">OFFSET(INDEX(Composições!A:H,MATCH(Orçamentária!A2684,Composições!A:A,0),8),2,0)</f>
        <v>91.085999999999999</v>
      </c>
      <c r="F2684" s="152">
        <f t="shared" ca="1" si="125"/>
        <v>0</v>
      </c>
      <c r="G2684" s="153">
        <f>IF($K2684="Padrão",BDI!$B$17,IF($K2684="Diferenciado",BDI!$E$17,0))</f>
        <v>0.2039</v>
      </c>
      <c r="H2684" s="151">
        <f t="shared" ca="1" si="123"/>
        <v>109.66</v>
      </c>
      <c r="I2684" s="152">
        <f t="shared" ca="1" si="124"/>
        <v>0</v>
      </c>
      <c r="J2684" s="154"/>
      <c r="K2684" s="155" t="s">
        <v>2966</v>
      </c>
    </row>
    <row r="2685" spans="1:11" hidden="1" x14ac:dyDescent="0.25">
      <c r="A2685" s="148" t="s">
        <v>1549</v>
      </c>
      <c r="B2685" s="149" t="s">
        <v>7331</v>
      </c>
      <c r="C2685" s="150" t="s">
        <v>461</v>
      </c>
      <c r="D2685" s="150">
        <v>0</v>
      </c>
      <c r="E2685" s="151">
        <f ca="1">OFFSET(INDEX(Composições!A:H,MATCH(Orçamentária!A2685,Composições!A:A,0),8),2,0)</f>
        <v>282.66679999999997</v>
      </c>
      <c r="F2685" s="152">
        <f t="shared" ca="1" si="125"/>
        <v>0</v>
      </c>
      <c r="G2685" s="153">
        <f>IF($K2685="Padrão",BDI!$B$17,IF($K2685="Diferenciado",BDI!$E$17,0))</f>
        <v>0.2039</v>
      </c>
      <c r="H2685" s="151">
        <f t="shared" ca="1" si="123"/>
        <v>340.3</v>
      </c>
      <c r="I2685" s="152">
        <f t="shared" ca="1" si="124"/>
        <v>0</v>
      </c>
      <c r="J2685" s="154"/>
      <c r="K2685" s="155" t="s">
        <v>2966</v>
      </c>
    </row>
    <row r="2686" spans="1:11" hidden="1" x14ac:dyDescent="0.25">
      <c r="A2686" s="148" t="s">
        <v>1550</v>
      </c>
      <c r="B2686" s="149" t="s">
        <v>7332</v>
      </c>
      <c r="C2686" s="150" t="s">
        <v>18</v>
      </c>
      <c r="D2686" s="150">
        <v>0</v>
      </c>
      <c r="E2686" s="151">
        <f ca="1">OFFSET(INDEX(Composições!A:H,MATCH(Orçamentária!A2686,Composições!A:A,0),8),2,0)</f>
        <v>21.323700000000002</v>
      </c>
      <c r="F2686" s="152">
        <f t="shared" ca="1" si="125"/>
        <v>0</v>
      </c>
      <c r="G2686" s="153">
        <f>IF($K2686="Padrão",BDI!$B$17,IF($K2686="Diferenciado",BDI!$E$17,0))</f>
        <v>0.2039</v>
      </c>
      <c r="H2686" s="151">
        <f t="shared" ca="1" si="123"/>
        <v>25.67</v>
      </c>
      <c r="I2686" s="152">
        <f t="shared" ca="1" si="124"/>
        <v>0</v>
      </c>
      <c r="J2686" s="154"/>
      <c r="K2686" s="155" t="s">
        <v>2966</v>
      </c>
    </row>
    <row r="2687" spans="1:11" hidden="1" x14ac:dyDescent="0.25">
      <c r="A2687" s="148" t="s">
        <v>1551</v>
      </c>
      <c r="B2687" s="149" t="s">
        <v>7333</v>
      </c>
      <c r="C2687" s="150" t="s">
        <v>18</v>
      </c>
      <c r="D2687" s="150">
        <v>0</v>
      </c>
      <c r="E2687" s="151">
        <f ca="1">OFFSET(INDEX(Composições!A:H,MATCH(Orçamentária!A2687,Composições!A:A,0),8),2,0)</f>
        <v>31.985550000000003</v>
      </c>
      <c r="F2687" s="152">
        <f t="shared" ca="1" si="125"/>
        <v>0</v>
      </c>
      <c r="G2687" s="153">
        <f>IF($K2687="Padrão",BDI!$B$17,IF($K2687="Diferenciado",BDI!$E$17,0))</f>
        <v>0.2039</v>
      </c>
      <c r="H2687" s="151">
        <f t="shared" ca="1" si="123"/>
        <v>38.51</v>
      </c>
      <c r="I2687" s="152">
        <f t="shared" ca="1" si="124"/>
        <v>0</v>
      </c>
      <c r="J2687" s="154"/>
      <c r="K2687" s="155" t="s">
        <v>2966</v>
      </c>
    </row>
    <row r="2688" spans="1:11" hidden="1" x14ac:dyDescent="0.25">
      <c r="A2688" s="148" t="s">
        <v>7334</v>
      </c>
      <c r="B2688" s="149" t="s">
        <v>7335</v>
      </c>
      <c r="C2688" s="150" t="s">
        <v>106</v>
      </c>
      <c r="D2688" s="150">
        <v>0</v>
      </c>
      <c r="E2688" s="151" t="s">
        <v>13</v>
      </c>
      <c r="F2688" s="152" t="str">
        <f t="shared" si="125"/>
        <v/>
      </c>
      <c r="G2688" s="153">
        <f>IF($K2688="Padrão",BDI!$B$17,IF($K2688="Diferenciado",BDI!$E$17,0))</f>
        <v>0.2039</v>
      </c>
      <c r="H2688" s="151" t="str">
        <f t="shared" si="123"/>
        <v/>
      </c>
      <c r="I2688" s="152" t="str">
        <f t="shared" si="124"/>
        <v/>
      </c>
      <c r="J2688" s="154"/>
      <c r="K2688" s="155" t="s">
        <v>2966</v>
      </c>
    </row>
    <row r="2689" spans="1:11" hidden="1" x14ac:dyDescent="0.25">
      <c r="A2689" s="148" t="s">
        <v>7336</v>
      </c>
      <c r="B2689" s="149" t="s">
        <v>7337</v>
      </c>
      <c r="C2689" s="150" t="s">
        <v>106</v>
      </c>
      <c r="D2689" s="150">
        <v>0</v>
      </c>
      <c r="E2689" s="151" t="s">
        <v>13</v>
      </c>
      <c r="F2689" s="152" t="str">
        <f t="shared" si="125"/>
        <v/>
      </c>
      <c r="G2689" s="153">
        <f>IF($K2689="Padrão",BDI!$B$17,IF($K2689="Diferenciado",BDI!$E$17,0))</f>
        <v>0.2039</v>
      </c>
      <c r="H2689" s="151" t="str">
        <f t="shared" si="123"/>
        <v/>
      </c>
      <c r="I2689" s="152" t="str">
        <f t="shared" si="124"/>
        <v/>
      </c>
      <c r="J2689" s="154"/>
      <c r="K2689" s="155" t="s">
        <v>2966</v>
      </c>
    </row>
    <row r="2690" spans="1:11" ht="25.5" hidden="1" x14ac:dyDescent="0.25">
      <c r="A2690" s="148" t="s">
        <v>7338</v>
      </c>
      <c r="B2690" s="149" t="s">
        <v>7339</v>
      </c>
      <c r="C2690" s="150" t="s">
        <v>18</v>
      </c>
      <c r="D2690" s="150">
        <v>0</v>
      </c>
      <c r="E2690" s="151" t="s">
        <v>13</v>
      </c>
      <c r="F2690" s="152" t="str">
        <f t="shared" si="125"/>
        <v/>
      </c>
      <c r="G2690" s="153">
        <f>IF($K2690="Padrão",BDI!$B$17,IF($K2690="Diferenciado",BDI!$E$17,0))</f>
        <v>0.2039</v>
      </c>
      <c r="H2690" s="151" t="str">
        <f t="shared" si="123"/>
        <v/>
      </c>
      <c r="I2690" s="152" t="str">
        <f t="shared" si="124"/>
        <v/>
      </c>
      <c r="J2690" s="154"/>
      <c r="K2690" s="155" t="s">
        <v>2966</v>
      </c>
    </row>
    <row r="2691" spans="1:11" hidden="1" x14ac:dyDescent="0.25">
      <c r="A2691" s="148" t="s">
        <v>7340</v>
      </c>
      <c r="B2691" s="149" t="s">
        <v>7341</v>
      </c>
      <c r="C2691" s="150" t="s">
        <v>18</v>
      </c>
      <c r="D2691" s="150">
        <v>0</v>
      </c>
      <c r="E2691" s="151" t="s">
        <v>13</v>
      </c>
      <c r="F2691" s="152" t="str">
        <f t="shared" si="125"/>
        <v/>
      </c>
      <c r="G2691" s="153">
        <f>IF($K2691="Padrão",BDI!$B$17,IF($K2691="Diferenciado",BDI!$E$17,0))</f>
        <v>0.2039</v>
      </c>
      <c r="H2691" s="151" t="str">
        <f t="shared" si="123"/>
        <v/>
      </c>
      <c r="I2691" s="152" t="str">
        <f t="shared" si="124"/>
        <v/>
      </c>
      <c r="J2691" s="154"/>
      <c r="K2691" s="155" t="s">
        <v>2966</v>
      </c>
    </row>
    <row r="2692" spans="1:11" hidden="1" x14ac:dyDescent="0.25">
      <c r="A2692" s="148" t="s">
        <v>7342</v>
      </c>
      <c r="B2692" s="149" t="s">
        <v>7343</v>
      </c>
      <c r="C2692" s="150" t="s">
        <v>18</v>
      </c>
      <c r="D2692" s="150">
        <v>0</v>
      </c>
      <c r="E2692" s="151" t="s">
        <v>13</v>
      </c>
      <c r="F2692" s="152" t="str">
        <f t="shared" si="125"/>
        <v/>
      </c>
      <c r="G2692" s="153">
        <f>IF($K2692="Padrão",BDI!$B$17,IF($K2692="Diferenciado",BDI!$E$17,0))</f>
        <v>0.2039</v>
      </c>
      <c r="H2692" s="151" t="str">
        <f t="shared" si="123"/>
        <v/>
      </c>
      <c r="I2692" s="152" t="str">
        <f t="shared" si="124"/>
        <v/>
      </c>
      <c r="J2692" s="154"/>
      <c r="K2692" s="155" t="s">
        <v>2966</v>
      </c>
    </row>
    <row r="2693" spans="1:11" hidden="1" x14ac:dyDescent="0.25">
      <c r="A2693" s="148" t="s">
        <v>7344</v>
      </c>
      <c r="B2693" s="149" t="s">
        <v>7345</v>
      </c>
      <c r="C2693" s="150" t="s">
        <v>18</v>
      </c>
      <c r="D2693" s="150">
        <v>0</v>
      </c>
      <c r="E2693" s="151" t="s">
        <v>13</v>
      </c>
      <c r="F2693" s="152" t="str">
        <f t="shared" si="125"/>
        <v/>
      </c>
      <c r="G2693" s="153">
        <f>IF($K2693="Padrão",BDI!$B$17,IF($K2693="Diferenciado",BDI!$E$17,0))</f>
        <v>0.2039</v>
      </c>
      <c r="H2693" s="151" t="str">
        <f t="shared" si="123"/>
        <v/>
      </c>
      <c r="I2693" s="152" t="str">
        <f t="shared" si="124"/>
        <v/>
      </c>
      <c r="J2693" s="154"/>
      <c r="K2693" s="155" t="s">
        <v>2966</v>
      </c>
    </row>
    <row r="2694" spans="1:11" hidden="1" x14ac:dyDescent="0.25">
      <c r="A2694" s="148" t="s">
        <v>1552</v>
      </c>
      <c r="B2694" s="149" t="s">
        <v>7346</v>
      </c>
      <c r="C2694" s="150" t="s">
        <v>68</v>
      </c>
      <c r="D2694" s="150">
        <v>0</v>
      </c>
      <c r="E2694" s="151">
        <f ca="1">OFFSET(INDEX(Composições!A:H,MATCH(Orçamentária!A2694,Composições!A:A,0),8),2,0)</f>
        <v>24.118695000000002</v>
      </c>
      <c r="F2694" s="152">
        <f t="shared" ca="1" si="125"/>
        <v>0</v>
      </c>
      <c r="G2694" s="153">
        <f>IF($K2694="Padrão",BDI!$B$17,IF($K2694="Diferenciado",BDI!$E$17,0))</f>
        <v>0.2039</v>
      </c>
      <c r="H2694" s="151">
        <f t="shared" ref="H2694:H2757" ca="1" si="126">IF(ISNUMBER(E2694),ROUND(E2694*(1+G2694),2),"")</f>
        <v>29.04</v>
      </c>
      <c r="I2694" s="152">
        <f t="shared" ref="I2694:I2757" ca="1" si="127">IF(ISNUMBER(E2694),ROUND(H2694*D2694,2),"")</f>
        <v>0</v>
      </c>
      <c r="J2694" s="154"/>
      <c r="K2694" s="155" t="s">
        <v>2966</v>
      </c>
    </row>
    <row r="2695" spans="1:11" hidden="1" x14ac:dyDescent="0.25">
      <c r="A2695" s="148" t="s">
        <v>1553</v>
      </c>
      <c r="B2695" s="149" t="s">
        <v>7347</v>
      </c>
      <c r="C2695" s="150" t="s">
        <v>68</v>
      </c>
      <c r="D2695" s="150">
        <v>0</v>
      </c>
      <c r="E2695" s="151">
        <f ca="1">OFFSET(INDEX(Composições!A:H,MATCH(Orçamentária!A2695,Composições!A:A,0),8),2,0)</f>
        <v>3.9697973000000006</v>
      </c>
      <c r="F2695" s="152">
        <f t="shared" ref="F2695:F2758" ca="1" si="128">IF(ISNUMBER(E2695),D2695*E2695,"")</f>
        <v>0</v>
      </c>
      <c r="G2695" s="153">
        <f>IF($K2695="Padrão",BDI!$B$17,IF($K2695="Diferenciado",BDI!$E$17,0))</f>
        <v>0.2039</v>
      </c>
      <c r="H2695" s="151">
        <f t="shared" ca="1" si="126"/>
        <v>4.78</v>
      </c>
      <c r="I2695" s="152">
        <f t="shared" ca="1" si="127"/>
        <v>0</v>
      </c>
      <c r="J2695" s="154"/>
      <c r="K2695" s="155" t="s">
        <v>2966</v>
      </c>
    </row>
    <row r="2696" spans="1:11" hidden="1" x14ac:dyDescent="0.25">
      <c r="A2696" s="148" t="s">
        <v>1554</v>
      </c>
      <c r="B2696" s="149" t="s">
        <v>7348</v>
      </c>
      <c r="C2696" s="150" t="s">
        <v>68</v>
      </c>
      <c r="D2696" s="150">
        <v>0</v>
      </c>
      <c r="E2696" s="151">
        <f ca="1">OFFSET(INDEX(Composições!A:H,MATCH(Orçamentária!A2696,Composições!A:A,0),8),2,0)</f>
        <v>12.22175</v>
      </c>
      <c r="F2696" s="152">
        <f t="shared" ca="1" si="128"/>
        <v>0</v>
      </c>
      <c r="G2696" s="153">
        <f>IF($K2696="Padrão",BDI!$B$17,IF($K2696="Diferenciado",BDI!$E$17,0))</f>
        <v>0.2039</v>
      </c>
      <c r="H2696" s="151">
        <f t="shared" ca="1" si="126"/>
        <v>14.71</v>
      </c>
      <c r="I2696" s="152">
        <f t="shared" ca="1" si="127"/>
        <v>0</v>
      </c>
      <c r="J2696" s="154"/>
      <c r="K2696" s="155" t="s">
        <v>2966</v>
      </c>
    </row>
    <row r="2697" spans="1:11" hidden="1" x14ac:dyDescent="0.25">
      <c r="A2697" s="148" t="s">
        <v>1555</v>
      </c>
      <c r="B2697" s="149" t="s">
        <v>7349</v>
      </c>
      <c r="C2697" s="150" t="s">
        <v>18</v>
      </c>
      <c r="D2697" s="150">
        <v>0</v>
      </c>
      <c r="E2697" s="151">
        <f ca="1">OFFSET(INDEX(Composições!A:H,MATCH(Orçamentária!A2697,Composições!A:A,0),8),2,0)</f>
        <v>59.419060999999999</v>
      </c>
      <c r="F2697" s="152">
        <f t="shared" ca="1" si="128"/>
        <v>0</v>
      </c>
      <c r="G2697" s="153">
        <f>IF($K2697="Padrão",BDI!$B$17,IF($K2697="Diferenciado",BDI!$E$17,0))</f>
        <v>0.2039</v>
      </c>
      <c r="H2697" s="151">
        <f t="shared" ca="1" si="126"/>
        <v>71.53</v>
      </c>
      <c r="I2697" s="152">
        <f t="shared" ca="1" si="127"/>
        <v>0</v>
      </c>
      <c r="J2697" s="154"/>
      <c r="K2697" s="155" t="s">
        <v>2966</v>
      </c>
    </row>
    <row r="2698" spans="1:11" ht="25.5" hidden="1" x14ac:dyDescent="0.25">
      <c r="A2698" s="148" t="s">
        <v>7350</v>
      </c>
      <c r="B2698" s="149" t="s">
        <v>7351</v>
      </c>
      <c r="C2698" s="150" t="s">
        <v>18</v>
      </c>
      <c r="D2698" s="150">
        <v>0</v>
      </c>
      <c r="E2698" s="151" t="s">
        <v>13</v>
      </c>
      <c r="F2698" s="152" t="str">
        <f t="shared" si="128"/>
        <v/>
      </c>
      <c r="G2698" s="153">
        <f>IF($K2698="Padrão",BDI!$B$17,IF($K2698="Diferenciado",BDI!$E$17,0))</f>
        <v>0.2039</v>
      </c>
      <c r="H2698" s="151" t="str">
        <f t="shared" si="126"/>
        <v/>
      </c>
      <c r="I2698" s="152" t="str">
        <f t="shared" si="127"/>
        <v/>
      </c>
      <c r="J2698" s="154"/>
      <c r="K2698" s="155" t="s">
        <v>2966</v>
      </c>
    </row>
    <row r="2699" spans="1:11" hidden="1" x14ac:dyDescent="0.25">
      <c r="A2699" s="148" t="s">
        <v>7352</v>
      </c>
      <c r="B2699" s="149" t="s">
        <v>7353</v>
      </c>
      <c r="C2699" s="150" t="s">
        <v>18</v>
      </c>
      <c r="D2699" s="150">
        <v>0</v>
      </c>
      <c r="E2699" s="151" t="s">
        <v>13</v>
      </c>
      <c r="F2699" s="152" t="str">
        <f t="shared" si="128"/>
        <v/>
      </c>
      <c r="G2699" s="153">
        <f>IF($K2699="Padrão",BDI!$B$17,IF($K2699="Diferenciado",BDI!$E$17,0))</f>
        <v>0.2039</v>
      </c>
      <c r="H2699" s="151" t="str">
        <f t="shared" si="126"/>
        <v/>
      </c>
      <c r="I2699" s="152" t="str">
        <f t="shared" si="127"/>
        <v/>
      </c>
      <c r="J2699" s="154"/>
      <c r="K2699" s="155" t="s">
        <v>2966</v>
      </c>
    </row>
    <row r="2700" spans="1:11" hidden="1" x14ac:dyDescent="0.25">
      <c r="A2700" s="148" t="s">
        <v>7354</v>
      </c>
      <c r="B2700" s="149" t="s">
        <v>7355</v>
      </c>
      <c r="C2700" s="150" t="s">
        <v>18</v>
      </c>
      <c r="D2700" s="150">
        <v>0</v>
      </c>
      <c r="E2700" s="151" t="s">
        <v>13</v>
      </c>
      <c r="F2700" s="152" t="str">
        <f t="shared" si="128"/>
        <v/>
      </c>
      <c r="G2700" s="153">
        <f>IF($K2700="Padrão",BDI!$B$17,IF($K2700="Diferenciado",BDI!$E$17,0))</f>
        <v>0.2039</v>
      </c>
      <c r="H2700" s="151" t="str">
        <f t="shared" si="126"/>
        <v/>
      </c>
      <c r="I2700" s="152" t="str">
        <f t="shared" si="127"/>
        <v/>
      </c>
      <c r="J2700" s="154"/>
      <c r="K2700" s="155" t="s">
        <v>2966</v>
      </c>
    </row>
    <row r="2701" spans="1:11" ht="25.5" hidden="1" x14ac:dyDescent="0.25">
      <c r="A2701" s="148" t="s">
        <v>7356</v>
      </c>
      <c r="B2701" s="149" t="s">
        <v>7357</v>
      </c>
      <c r="C2701" s="150" t="s">
        <v>18</v>
      </c>
      <c r="D2701" s="150">
        <v>0</v>
      </c>
      <c r="E2701" s="151" t="s">
        <v>13</v>
      </c>
      <c r="F2701" s="152" t="str">
        <f t="shared" si="128"/>
        <v/>
      </c>
      <c r="G2701" s="153">
        <f>IF($K2701="Padrão",BDI!$B$17,IF($K2701="Diferenciado",BDI!$E$17,0))</f>
        <v>0.2039</v>
      </c>
      <c r="H2701" s="151" t="str">
        <f t="shared" si="126"/>
        <v/>
      </c>
      <c r="I2701" s="152" t="str">
        <f t="shared" si="127"/>
        <v/>
      </c>
      <c r="J2701" s="154"/>
      <c r="K2701" s="155" t="s">
        <v>2966</v>
      </c>
    </row>
    <row r="2702" spans="1:11" ht="25.5" hidden="1" x14ac:dyDescent="0.25">
      <c r="A2702" s="148" t="s">
        <v>7358</v>
      </c>
      <c r="B2702" s="149" t="s">
        <v>7359</v>
      </c>
      <c r="C2702" s="150" t="s">
        <v>18</v>
      </c>
      <c r="D2702" s="150">
        <v>0</v>
      </c>
      <c r="E2702" s="151" t="s">
        <v>13</v>
      </c>
      <c r="F2702" s="152" t="str">
        <f t="shared" si="128"/>
        <v/>
      </c>
      <c r="G2702" s="153">
        <f>IF($K2702="Padrão",BDI!$B$17,IF($K2702="Diferenciado",BDI!$E$17,0))</f>
        <v>0.2039</v>
      </c>
      <c r="H2702" s="151" t="str">
        <f t="shared" si="126"/>
        <v/>
      </c>
      <c r="I2702" s="152" t="str">
        <f t="shared" si="127"/>
        <v/>
      </c>
      <c r="J2702" s="154"/>
      <c r="K2702" s="155" t="s">
        <v>2966</v>
      </c>
    </row>
    <row r="2703" spans="1:11" hidden="1" x14ac:dyDescent="0.25">
      <c r="A2703" s="148" t="s">
        <v>7360</v>
      </c>
      <c r="B2703" s="149" t="s">
        <v>7361</v>
      </c>
      <c r="C2703" s="150" t="s">
        <v>68</v>
      </c>
      <c r="D2703" s="150">
        <v>0</v>
      </c>
      <c r="E2703" s="151" t="s">
        <v>13</v>
      </c>
      <c r="F2703" s="152" t="str">
        <f t="shared" si="128"/>
        <v/>
      </c>
      <c r="G2703" s="153">
        <f>IF($K2703="Padrão",BDI!$B$17,IF($K2703="Diferenciado",BDI!$E$17,0))</f>
        <v>0.2039</v>
      </c>
      <c r="H2703" s="151" t="str">
        <f t="shared" si="126"/>
        <v/>
      </c>
      <c r="I2703" s="152" t="str">
        <f t="shared" si="127"/>
        <v/>
      </c>
      <c r="J2703" s="154"/>
      <c r="K2703" s="155" t="s">
        <v>2966</v>
      </c>
    </row>
    <row r="2704" spans="1:11" hidden="1" x14ac:dyDescent="0.25">
      <c r="A2704" s="148" t="s">
        <v>7362</v>
      </c>
      <c r="B2704" s="149" t="s">
        <v>7363</v>
      </c>
      <c r="C2704" s="150" t="s">
        <v>68</v>
      </c>
      <c r="D2704" s="150">
        <v>0</v>
      </c>
      <c r="E2704" s="151" t="s">
        <v>13</v>
      </c>
      <c r="F2704" s="152" t="str">
        <f t="shared" si="128"/>
        <v/>
      </c>
      <c r="G2704" s="153">
        <f>IF($K2704="Padrão",BDI!$B$17,IF($K2704="Diferenciado",BDI!$E$17,0))</f>
        <v>0.2039</v>
      </c>
      <c r="H2704" s="151" t="str">
        <f t="shared" si="126"/>
        <v/>
      </c>
      <c r="I2704" s="152" t="str">
        <f t="shared" si="127"/>
        <v/>
      </c>
      <c r="J2704" s="154"/>
      <c r="K2704" s="155" t="s">
        <v>2966</v>
      </c>
    </row>
    <row r="2705" spans="1:11" hidden="1" x14ac:dyDescent="0.25">
      <c r="A2705" s="148" t="s">
        <v>7364</v>
      </c>
      <c r="B2705" s="149" t="s">
        <v>7365</v>
      </c>
      <c r="C2705" s="150" t="s">
        <v>68</v>
      </c>
      <c r="D2705" s="150">
        <v>0</v>
      </c>
      <c r="E2705" s="151" t="s">
        <v>13</v>
      </c>
      <c r="F2705" s="152" t="str">
        <f t="shared" si="128"/>
        <v/>
      </c>
      <c r="G2705" s="153">
        <f>IF($K2705="Padrão",BDI!$B$17,IF($K2705="Diferenciado",BDI!$E$17,0))</f>
        <v>0.2039</v>
      </c>
      <c r="H2705" s="151" t="str">
        <f t="shared" si="126"/>
        <v/>
      </c>
      <c r="I2705" s="152" t="str">
        <f t="shared" si="127"/>
        <v/>
      </c>
      <c r="J2705" s="154"/>
      <c r="K2705" s="155" t="s">
        <v>2966</v>
      </c>
    </row>
    <row r="2706" spans="1:11" hidden="1" x14ac:dyDescent="0.25">
      <c r="A2706" s="148" t="s">
        <v>1556</v>
      </c>
      <c r="B2706" s="149" t="s">
        <v>7366</v>
      </c>
      <c r="C2706" s="150" t="s">
        <v>68</v>
      </c>
      <c r="D2706" s="150">
        <v>0</v>
      </c>
      <c r="E2706" s="151">
        <f ca="1">OFFSET(INDEX(Composições!A:H,MATCH(Orçamentária!A2706,Composições!A:A,0),8),2,0)</f>
        <v>18.84343715</v>
      </c>
      <c r="F2706" s="152">
        <f t="shared" ca="1" si="128"/>
        <v>0</v>
      </c>
      <c r="G2706" s="153">
        <f>IF($K2706="Padrão",BDI!$B$17,IF($K2706="Diferenciado",BDI!$E$17,0))</f>
        <v>0.2039</v>
      </c>
      <c r="H2706" s="151">
        <f t="shared" ca="1" si="126"/>
        <v>22.69</v>
      </c>
      <c r="I2706" s="152">
        <f t="shared" ca="1" si="127"/>
        <v>0</v>
      </c>
      <c r="J2706" s="154"/>
      <c r="K2706" s="155" t="s">
        <v>2966</v>
      </c>
    </row>
    <row r="2707" spans="1:11" hidden="1" x14ac:dyDescent="0.25">
      <c r="A2707" s="148" t="s">
        <v>1557</v>
      </c>
      <c r="B2707" s="149" t="s">
        <v>7367</v>
      </c>
      <c r="C2707" s="150" t="s">
        <v>68</v>
      </c>
      <c r="D2707" s="150">
        <v>0</v>
      </c>
      <c r="E2707" s="151">
        <f ca="1">OFFSET(INDEX(Composições!A:H,MATCH(Orçamentária!A2707,Composições!A:A,0),8),2,0)</f>
        <v>23.351278350000001</v>
      </c>
      <c r="F2707" s="152">
        <f t="shared" ca="1" si="128"/>
        <v>0</v>
      </c>
      <c r="G2707" s="153">
        <f>IF($K2707="Padrão",BDI!$B$17,IF($K2707="Diferenciado",BDI!$E$17,0))</f>
        <v>0.2039</v>
      </c>
      <c r="H2707" s="151">
        <f t="shared" ca="1" si="126"/>
        <v>28.11</v>
      </c>
      <c r="I2707" s="152">
        <f t="shared" ca="1" si="127"/>
        <v>0</v>
      </c>
      <c r="J2707" s="154"/>
      <c r="K2707" s="155" t="s">
        <v>2966</v>
      </c>
    </row>
    <row r="2708" spans="1:11" hidden="1" x14ac:dyDescent="0.25">
      <c r="A2708" s="148" t="s">
        <v>1558</v>
      </c>
      <c r="B2708" s="149" t="s">
        <v>7368</v>
      </c>
      <c r="C2708" s="150" t="s">
        <v>18</v>
      </c>
      <c r="D2708" s="150">
        <v>0</v>
      </c>
      <c r="E2708" s="151">
        <f ca="1">OFFSET(INDEX(Composições!A:H,MATCH(Orçamentária!A2708,Composições!A:A,0),8),2,0)</f>
        <v>124.61938024999999</v>
      </c>
      <c r="F2708" s="152">
        <f t="shared" ca="1" si="128"/>
        <v>0</v>
      </c>
      <c r="G2708" s="153">
        <f>IF($K2708="Padrão",BDI!$B$17,IF($K2708="Diferenciado",BDI!$E$17,0))</f>
        <v>0.2039</v>
      </c>
      <c r="H2708" s="151">
        <f t="shared" ca="1" si="126"/>
        <v>150.03</v>
      </c>
      <c r="I2708" s="152">
        <f t="shared" ca="1" si="127"/>
        <v>0</v>
      </c>
      <c r="J2708" s="154"/>
      <c r="K2708" s="155" t="s">
        <v>2966</v>
      </c>
    </row>
    <row r="2709" spans="1:11" hidden="1" x14ac:dyDescent="0.25">
      <c r="A2709" s="148" t="s">
        <v>1559</v>
      </c>
      <c r="B2709" s="149" t="s">
        <v>7369</v>
      </c>
      <c r="C2709" s="150" t="s">
        <v>18</v>
      </c>
      <c r="D2709" s="150">
        <v>0</v>
      </c>
      <c r="E2709" s="151">
        <f ca="1">OFFSET(INDEX(Composições!A:H,MATCH(Orçamentária!A2709,Composições!A:A,0),8),2,0)</f>
        <v>228.56548677325</v>
      </c>
      <c r="F2709" s="152">
        <f t="shared" ca="1" si="128"/>
        <v>0</v>
      </c>
      <c r="G2709" s="153">
        <f>IF($K2709="Padrão",BDI!$B$17,IF($K2709="Diferenciado",BDI!$E$17,0))</f>
        <v>0.2039</v>
      </c>
      <c r="H2709" s="151">
        <f t="shared" ca="1" si="126"/>
        <v>275.17</v>
      </c>
      <c r="I2709" s="152">
        <f t="shared" ca="1" si="127"/>
        <v>0</v>
      </c>
      <c r="J2709" s="154"/>
      <c r="K2709" s="155" t="s">
        <v>2966</v>
      </c>
    </row>
    <row r="2710" spans="1:11" hidden="1" x14ac:dyDescent="0.25">
      <c r="A2710" s="148" t="s">
        <v>1561</v>
      </c>
      <c r="B2710" s="149" t="s">
        <v>1562</v>
      </c>
      <c r="C2710" s="150" t="s">
        <v>18</v>
      </c>
      <c r="D2710" s="150">
        <v>0</v>
      </c>
      <c r="E2710" s="151">
        <f ca="1">OFFSET(INDEX(Composições!A:H,MATCH(Orçamentária!A2710,Composições!A:A,0),8),2,0)</f>
        <v>53.316323938640004</v>
      </c>
      <c r="F2710" s="152">
        <f t="shared" ca="1" si="128"/>
        <v>0</v>
      </c>
      <c r="G2710" s="153">
        <f>IF($K2710="Padrão",BDI!$B$17,IF($K2710="Diferenciado",BDI!$E$17,0))</f>
        <v>0.2039</v>
      </c>
      <c r="H2710" s="151">
        <f t="shared" ca="1" si="126"/>
        <v>64.19</v>
      </c>
      <c r="I2710" s="152">
        <f t="shared" ca="1" si="127"/>
        <v>0</v>
      </c>
      <c r="J2710" s="154"/>
      <c r="K2710" s="155" t="s">
        <v>2966</v>
      </c>
    </row>
    <row r="2711" spans="1:11" hidden="1" x14ac:dyDescent="0.25">
      <c r="A2711" s="148" t="s">
        <v>7370</v>
      </c>
      <c r="B2711" s="149" t="s">
        <v>7371</v>
      </c>
      <c r="C2711" s="150" t="s">
        <v>18</v>
      </c>
      <c r="D2711" s="150">
        <v>0</v>
      </c>
      <c r="E2711" s="151" t="s">
        <v>13</v>
      </c>
      <c r="F2711" s="152" t="str">
        <f t="shared" si="128"/>
        <v/>
      </c>
      <c r="G2711" s="153">
        <f>IF($K2711="Padrão",BDI!$B$17,IF($K2711="Diferenciado",BDI!$E$17,0))</f>
        <v>0.2039</v>
      </c>
      <c r="H2711" s="151" t="str">
        <f t="shared" si="126"/>
        <v/>
      </c>
      <c r="I2711" s="152" t="str">
        <f t="shared" si="127"/>
        <v/>
      </c>
      <c r="J2711" s="154"/>
      <c r="K2711" s="155" t="s">
        <v>2966</v>
      </c>
    </row>
    <row r="2712" spans="1:11" hidden="1" x14ac:dyDescent="0.25">
      <c r="A2712" s="148" t="s">
        <v>7372</v>
      </c>
      <c r="B2712" s="149" t="s">
        <v>7373</v>
      </c>
      <c r="C2712" s="150" t="s">
        <v>18</v>
      </c>
      <c r="D2712" s="150">
        <v>0</v>
      </c>
      <c r="E2712" s="151" t="s">
        <v>13</v>
      </c>
      <c r="F2712" s="152" t="str">
        <f t="shared" si="128"/>
        <v/>
      </c>
      <c r="G2712" s="153">
        <f>IF($K2712="Padrão",BDI!$B$17,IF($K2712="Diferenciado",BDI!$E$17,0))</f>
        <v>0.2039</v>
      </c>
      <c r="H2712" s="151" t="str">
        <f t="shared" si="126"/>
        <v/>
      </c>
      <c r="I2712" s="152" t="str">
        <f t="shared" si="127"/>
        <v/>
      </c>
      <c r="J2712" s="154"/>
      <c r="K2712" s="155" t="s">
        <v>2966</v>
      </c>
    </row>
    <row r="2713" spans="1:11" hidden="1" x14ac:dyDescent="0.25">
      <c r="A2713" s="148" t="s">
        <v>7374</v>
      </c>
      <c r="B2713" s="149" t="s">
        <v>7375</v>
      </c>
      <c r="C2713" s="150" t="s">
        <v>18</v>
      </c>
      <c r="D2713" s="150">
        <v>0</v>
      </c>
      <c r="E2713" s="151" t="s">
        <v>13</v>
      </c>
      <c r="F2713" s="152" t="str">
        <f t="shared" si="128"/>
        <v/>
      </c>
      <c r="G2713" s="153">
        <f>IF($K2713="Padrão",BDI!$B$17,IF($K2713="Diferenciado",BDI!$E$17,0))</f>
        <v>0.2039</v>
      </c>
      <c r="H2713" s="151" t="str">
        <f t="shared" si="126"/>
        <v/>
      </c>
      <c r="I2713" s="152" t="str">
        <f t="shared" si="127"/>
        <v/>
      </c>
      <c r="J2713" s="154"/>
      <c r="K2713" s="155" t="s">
        <v>2966</v>
      </c>
    </row>
    <row r="2714" spans="1:11" hidden="1" x14ac:dyDescent="0.25">
      <c r="A2714" s="148" t="s">
        <v>1563</v>
      </c>
      <c r="B2714" s="149" t="s">
        <v>7376</v>
      </c>
      <c r="C2714" s="150" t="s">
        <v>18</v>
      </c>
      <c r="D2714" s="150">
        <v>0</v>
      </c>
      <c r="E2714" s="151">
        <f ca="1">OFFSET(INDEX(Composições!A:H,MATCH(Orçamentária!A2714,Composições!A:A,0),8),2,0)</f>
        <v>243.11673368864001</v>
      </c>
      <c r="F2714" s="152">
        <f t="shared" ca="1" si="128"/>
        <v>0</v>
      </c>
      <c r="G2714" s="153">
        <f>IF($K2714="Padrão",BDI!$B$17,IF($K2714="Diferenciado",BDI!$E$17,0))</f>
        <v>0.2039</v>
      </c>
      <c r="H2714" s="151">
        <f t="shared" ca="1" si="126"/>
        <v>292.69</v>
      </c>
      <c r="I2714" s="152">
        <f t="shared" ca="1" si="127"/>
        <v>0</v>
      </c>
      <c r="J2714" s="154"/>
      <c r="K2714" s="155" t="s">
        <v>2966</v>
      </c>
    </row>
    <row r="2715" spans="1:11" hidden="1" x14ac:dyDescent="0.25">
      <c r="A2715" s="148" t="s">
        <v>1565</v>
      </c>
      <c r="B2715" s="149" t="s">
        <v>7377</v>
      </c>
      <c r="C2715" s="150" t="s">
        <v>18</v>
      </c>
      <c r="D2715" s="150">
        <v>0</v>
      </c>
      <c r="E2715" s="151">
        <f ca="1">OFFSET(INDEX(Composições!A:H,MATCH(Orçamentária!A2715,Composições!A:A,0),8),2,0)</f>
        <v>243.11673368864001</v>
      </c>
      <c r="F2715" s="152">
        <f t="shared" ca="1" si="128"/>
        <v>0</v>
      </c>
      <c r="G2715" s="153">
        <f>IF($K2715="Padrão",BDI!$B$17,IF($K2715="Diferenciado",BDI!$E$17,0))</f>
        <v>0.2039</v>
      </c>
      <c r="H2715" s="151">
        <f t="shared" ca="1" si="126"/>
        <v>292.69</v>
      </c>
      <c r="I2715" s="152">
        <f t="shared" ca="1" si="127"/>
        <v>0</v>
      </c>
      <c r="J2715" s="154"/>
      <c r="K2715" s="155" t="s">
        <v>2966</v>
      </c>
    </row>
    <row r="2716" spans="1:11" hidden="1" x14ac:dyDescent="0.25">
      <c r="A2716" s="148" t="s">
        <v>7378</v>
      </c>
      <c r="B2716" s="149" t="s">
        <v>7379</v>
      </c>
      <c r="C2716" s="150" t="s">
        <v>18</v>
      </c>
      <c r="D2716" s="150">
        <v>0</v>
      </c>
      <c r="E2716" s="151" t="s">
        <v>13</v>
      </c>
      <c r="F2716" s="152" t="str">
        <f t="shared" si="128"/>
        <v/>
      </c>
      <c r="G2716" s="153">
        <f>IF($K2716="Padrão",BDI!$B$17,IF($K2716="Diferenciado",BDI!$E$17,0))</f>
        <v>0.2039</v>
      </c>
      <c r="H2716" s="151" t="str">
        <f t="shared" si="126"/>
        <v/>
      </c>
      <c r="I2716" s="152" t="str">
        <f t="shared" si="127"/>
        <v/>
      </c>
      <c r="J2716" s="154"/>
      <c r="K2716" s="155" t="s">
        <v>2966</v>
      </c>
    </row>
    <row r="2717" spans="1:11" hidden="1" x14ac:dyDescent="0.25">
      <c r="A2717" s="148" t="s">
        <v>7380</v>
      </c>
      <c r="B2717" s="149" t="s">
        <v>7381</v>
      </c>
      <c r="C2717" s="150" t="s">
        <v>18</v>
      </c>
      <c r="D2717" s="150">
        <v>0</v>
      </c>
      <c r="E2717" s="151" t="s">
        <v>13</v>
      </c>
      <c r="F2717" s="152" t="str">
        <f t="shared" si="128"/>
        <v/>
      </c>
      <c r="G2717" s="153">
        <f>IF($K2717="Padrão",BDI!$B$17,IF($K2717="Diferenciado",BDI!$E$17,0))</f>
        <v>0.2039</v>
      </c>
      <c r="H2717" s="151" t="str">
        <f t="shared" si="126"/>
        <v/>
      </c>
      <c r="I2717" s="152" t="str">
        <f t="shared" si="127"/>
        <v/>
      </c>
      <c r="J2717" s="154"/>
      <c r="K2717" s="155" t="s">
        <v>2966</v>
      </c>
    </row>
    <row r="2718" spans="1:11" hidden="1" x14ac:dyDescent="0.25">
      <c r="A2718" s="148" t="s">
        <v>7382</v>
      </c>
      <c r="B2718" s="149" t="s">
        <v>7383</v>
      </c>
      <c r="C2718" s="150" t="s">
        <v>18</v>
      </c>
      <c r="D2718" s="150">
        <v>0</v>
      </c>
      <c r="E2718" s="151" t="s">
        <v>13</v>
      </c>
      <c r="F2718" s="152" t="str">
        <f t="shared" si="128"/>
        <v/>
      </c>
      <c r="G2718" s="153">
        <f>IF($K2718="Padrão",BDI!$B$17,IF($K2718="Diferenciado",BDI!$E$17,0))</f>
        <v>0.2039</v>
      </c>
      <c r="H2718" s="151" t="str">
        <f t="shared" si="126"/>
        <v/>
      </c>
      <c r="I2718" s="152" t="str">
        <f t="shared" si="127"/>
        <v/>
      </c>
      <c r="J2718" s="154"/>
      <c r="K2718" s="155" t="s">
        <v>2966</v>
      </c>
    </row>
    <row r="2719" spans="1:11" hidden="1" x14ac:dyDescent="0.25">
      <c r="A2719" s="148" t="s">
        <v>7384</v>
      </c>
      <c r="B2719" s="149" t="s">
        <v>7385</v>
      </c>
      <c r="C2719" s="150" t="s">
        <v>18</v>
      </c>
      <c r="D2719" s="150">
        <v>0</v>
      </c>
      <c r="E2719" s="151" t="s">
        <v>13</v>
      </c>
      <c r="F2719" s="152" t="str">
        <f t="shared" si="128"/>
        <v/>
      </c>
      <c r="G2719" s="153">
        <f>IF($K2719="Padrão",BDI!$B$17,IF($K2719="Diferenciado",BDI!$E$17,0))</f>
        <v>0.2039</v>
      </c>
      <c r="H2719" s="151" t="str">
        <f t="shared" si="126"/>
        <v/>
      </c>
      <c r="I2719" s="152" t="str">
        <f t="shared" si="127"/>
        <v/>
      </c>
      <c r="J2719" s="154"/>
      <c r="K2719" s="155" t="s">
        <v>2966</v>
      </c>
    </row>
    <row r="2720" spans="1:11" hidden="1" x14ac:dyDescent="0.25">
      <c r="A2720" s="148" t="s">
        <v>7386</v>
      </c>
      <c r="B2720" s="149" t="s">
        <v>7387</v>
      </c>
      <c r="C2720" s="150" t="s">
        <v>18</v>
      </c>
      <c r="D2720" s="150">
        <v>0</v>
      </c>
      <c r="E2720" s="151" t="s">
        <v>13</v>
      </c>
      <c r="F2720" s="152" t="str">
        <f t="shared" si="128"/>
        <v/>
      </c>
      <c r="G2720" s="153">
        <f>IF($K2720="Padrão",BDI!$B$17,IF($K2720="Diferenciado",BDI!$E$17,0))</f>
        <v>0.2039</v>
      </c>
      <c r="H2720" s="151" t="str">
        <f t="shared" si="126"/>
        <v/>
      </c>
      <c r="I2720" s="152" t="str">
        <f t="shared" si="127"/>
        <v/>
      </c>
      <c r="J2720" s="154"/>
      <c r="K2720" s="155" t="s">
        <v>2966</v>
      </c>
    </row>
    <row r="2721" spans="1:11" hidden="1" x14ac:dyDescent="0.25">
      <c r="A2721" s="148" t="s">
        <v>7388</v>
      </c>
      <c r="B2721" s="149" t="s">
        <v>7389</v>
      </c>
      <c r="C2721" s="150" t="s">
        <v>18</v>
      </c>
      <c r="D2721" s="150">
        <v>0</v>
      </c>
      <c r="E2721" s="151" t="s">
        <v>13</v>
      </c>
      <c r="F2721" s="152" t="str">
        <f t="shared" si="128"/>
        <v/>
      </c>
      <c r="G2721" s="153">
        <f>IF($K2721="Padrão",BDI!$B$17,IF($K2721="Diferenciado",BDI!$E$17,0))</f>
        <v>0.2039</v>
      </c>
      <c r="H2721" s="151" t="str">
        <f t="shared" si="126"/>
        <v/>
      </c>
      <c r="I2721" s="152" t="str">
        <f t="shared" si="127"/>
        <v/>
      </c>
      <c r="J2721" s="154"/>
      <c r="K2721" s="155" t="s">
        <v>2966</v>
      </c>
    </row>
    <row r="2722" spans="1:11" hidden="1" x14ac:dyDescent="0.25">
      <c r="A2722" s="148" t="s">
        <v>1567</v>
      </c>
      <c r="B2722" s="149" t="s">
        <v>7390</v>
      </c>
      <c r="C2722" s="150" t="s">
        <v>18</v>
      </c>
      <c r="D2722" s="150">
        <v>0</v>
      </c>
      <c r="E2722" s="151">
        <f ca="1">OFFSET(INDEX(Composições!A:H,MATCH(Orçamentária!A2722,Composições!A:A,0),8),2,0)</f>
        <v>15.266499999999999</v>
      </c>
      <c r="F2722" s="152">
        <f t="shared" ca="1" si="128"/>
        <v>0</v>
      </c>
      <c r="G2722" s="153">
        <f>IF($K2722="Padrão",BDI!$B$17,IF($K2722="Diferenciado",BDI!$E$17,0))</f>
        <v>0.2039</v>
      </c>
      <c r="H2722" s="151">
        <f t="shared" ca="1" si="126"/>
        <v>18.38</v>
      </c>
      <c r="I2722" s="152">
        <f t="shared" ca="1" si="127"/>
        <v>0</v>
      </c>
      <c r="J2722" s="154"/>
      <c r="K2722" s="155" t="s">
        <v>2966</v>
      </c>
    </row>
    <row r="2723" spans="1:11" hidden="1" x14ac:dyDescent="0.25">
      <c r="A2723" s="148" t="s">
        <v>7391</v>
      </c>
      <c r="B2723" s="149" t="s">
        <v>7392</v>
      </c>
      <c r="C2723" s="150" t="s">
        <v>18</v>
      </c>
      <c r="D2723" s="150">
        <v>0</v>
      </c>
      <c r="E2723" s="151" t="s">
        <v>13</v>
      </c>
      <c r="F2723" s="152" t="str">
        <f t="shared" si="128"/>
        <v/>
      </c>
      <c r="G2723" s="153">
        <f>IF($K2723="Padrão",BDI!$B$17,IF($K2723="Diferenciado",BDI!$E$17,0))</f>
        <v>0.2039</v>
      </c>
      <c r="H2723" s="151" t="str">
        <f t="shared" si="126"/>
        <v/>
      </c>
      <c r="I2723" s="152" t="str">
        <f t="shared" si="127"/>
        <v/>
      </c>
      <c r="J2723" s="154"/>
      <c r="K2723" s="155" t="s">
        <v>2966</v>
      </c>
    </row>
    <row r="2724" spans="1:11" hidden="1" x14ac:dyDescent="0.25">
      <c r="A2724" s="148" t="s">
        <v>1568</v>
      </c>
      <c r="B2724" s="149" t="s">
        <v>7393</v>
      </c>
      <c r="C2724" s="150" t="s">
        <v>18</v>
      </c>
      <c r="D2724" s="150">
        <v>0</v>
      </c>
      <c r="E2724" s="151">
        <f ca="1">OFFSET(INDEX(Composições!A:H,MATCH(Orçamentária!A2724,Composições!A:A,0),8),2,0)</f>
        <v>2.6505000000000001</v>
      </c>
      <c r="F2724" s="152">
        <f t="shared" ca="1" si="128"/>
        <v>0</v>
      </c>
      <c r="G2724" s="153">
        <f>IF($K2724="Padrão",BDI!$B$17,IF($K2724="Diferenciado",BDI!$E$17,0))</f>
        <v>0.2039</v>
      </c>
      <c r="H2724" s="151">
        <f t="shared" ca="1" si="126"/>
        <v>3.19</v>
      </c>
      <c r="I2724" s="152">
        <f t="shared" ca="1" si="127"/>
        <v>0</v>
      </c>
      <c r="J2724" s="154"/>
      <c r="K2724" s="155" t="s">
        <v>2966</v>
      </c>
    </row>
    <row r="2725" spans="1:11" hidden="1" x14ac:dyDescent="0.25">
      <c r="A2725" s="148" t="s">
        <v>1569</v>
      </c>
      <c r="B2725" s="149" t="s">
        <v>7394</v>
      </c>
      <c r="C2725" s="150" t="s">
        <v>72</v>
      </c>
      <c r="D2725" s="150">
        <v>0</v>
      </c>
      <c r="E2725" s="151">
        <f ca="1">OFFSET(INDEX(Composições!A:H,MATCH(Orçamentária!A2725,Composições!A:A,0),8),2,0)</f>
        <v>3.4009999999999998</v>
      </c>
      <c r="F2725" s="152">
        <f t="shared" ca="1" si="128"/>
        <v>0</v>
      </c>
      <c r="G2725" s="153">
        <f>IF($K2725="Padrão",BDI!$B$17,IF($K2725="Diferenciado",BDI!$E$17,0))</f>
        <v>0.2039</v>
      </c>
      <c r="H2725" s="151">
        <f t="shared" ca="1" si="126"/>
        <v>4.09</v>
      </c>
      <c r="I2725" s="152">
        <f t="shared" ca="1" si="127"/>
        <v>0</v>
      </c>
      <c r="J2725" s="154"/>
      <c r="K2725" s="155" t="s">
        <v>2966</v>
      </c>
    </row>
    <row r="2726" spans="1:11" hidden="1" x14ac:dyDescent="0.25">
      <c r="A2726" s="148" t="s">
        <v>7395</v>
      </c>
      <c r="B2726" s="149" t="s">
        <v>7396</v>
      </c>
      <c r="C2726" s="150" t="s">
        <v>72</v>
      </c>
      <c r="D2726" s="150">
        <v>0</v>
      </c>
      <c r="E2726" s="151" t="s">
        <v>13</v>
      </c>
      <c r="F2726" s="152" t="str">
        <f t="shared" si="128"/>
        <v/>
      </c>
      <c r="G2726" s="153">
        <f>IF($K2726="Padrão",BDI!$B$17,IF($K2726="Diferenciado",BDI!$E$17,0))</f>
        <v>0.2039</v>
      </c>
      <c r="H2726" s="151" t="str">
        <f t="shared" si="126"/>
        <v/>
      </c>
      <c r="I2726" s="152" t="str">
        <f t="shared" si="127"/>
        <v/>
      </c>
      <c r="J2726" s="154"/>
      <c r="K2726" s="155" t="s">
        <v>2966</v>
      </c>
    </row>
    <row r="2727" spans="1:11" hidden="1" x14ac:dyDescent="0.25">
      <c r="A2727" s="148" t="s">
        <v>7397</v>
      </c>
      <c r="B2727" s="149" t="s">
        <v>7398</v>
      </c>
      <c r="C2727" s="150" t="s">
        <v>18</v>
      </c>
      <c r="D2727" s="150">
        <v>0</v>
      </c>
      <c r="E2727" s="151" t="s">
        <v>13</v>
      </c>
      <c r="F2727" s="152" t="str">
        <f t="shared" si="128"/>
        <v/>
      </c>
      <c r="G2727" s="153">
        <f>IF($K2727="Padrão",BDI!$B$17,IF($K2727="Diferenciado",BDI!$E$17,0))</f>
        <v>0.2039</v>
      </c>
      <c r="H2727" s="151" t="str">
        <f t="shared" si="126"/>
        <v/>
      </c>
      <c r="I2727" s="152" t="str">
        <f t="shared" si="127"/>
        <v/>
      </c>
      <c r="J2727" s="154"/>
      <c r="K2727" s="155" t="s">
        <v>2966</v>
      </c>
    </row>
    <row r="2728" spans="1:11" hidden="1" x14ac:dyDescent="0.25">
      <c r="A2728" s="148" t="s">
        <v>7399</v>
      </c>
      <c r="B2728" s="149" t="s">
        <v>7400</v>
      </c>
      <c r="C2728" s="150" t="s">
        <v>18</v>
      </c>
      <c r="D2728" s="150">
        <v>0</v>
      </c>
      <c r="E2728" s="151" t="s">
        <v>13</v>
      </c>
      <c r="F2728" s="152" t="str">
        <f t="shared" si="128"/>
        <v/>
      </c>
      <c r="G2728" s="153">
        <f>IF($K2728="Padrão",BDI!$B$17,IF($K2728="Diferenciado",BDI!$E$17,0))</f>
        <v>0.2039</v>
      </c>
      <c r="H2728" s="151" t="str">
        <f t="shared" si="126"/>
        <v/>
      </c>
      <c r="I2728" s="152" t="str">
        <f t="shared" si="127"/>
        <v/>
      </c>
      <c r="J2728" s="154"/>
      <c r="K2728" s="155" t="s">
        <v>2966</v>
      </c>
    </row>
    <row r="2729" spans="1:11" hidden="1" x14ac:dyDescent="0.25">
      <c r="A2729" s="148" t="s">
        <v>1570</v>
      </c>
      <c r="B2729" s="149" t="s">
        <v>7401</v>
      </c>
      <c r="C2729" s="150" t="s">
        <v>18</v>
      </c>
      <c r="D2729" s="150">
        <v>0</v>
      </c>
      <c r="E2729" s="151">
        <f ca="1">OFFSET(INDEX(Composições!A:H,MATCH(Orçamentária!A2729,Composições!A:A,0),8),2,0)</f>
        <v>42.654999999999994</v>
      </c>
      <c r="F2729" s="152">
        <f t="shared" ca="1" si="128"/>
        <v>0</v>
      </c>
      <c r="G2729" s="153">
        <f>IF($K2729="Padrão",BDI!$B$17,IF($K2729="Diferenciado",BDI!$E$17,0))</f>
        <v>0.2039</v>
      </c>
      <c r="H2729" s="151">
        <f t="shared" ca="1" si="126"/>
        <v>51.35</v>
      </c>
      <c r="I2729" s="152">
        <f t="shared" ca="1" si="127"/>
        <v>0</v>
      </c>
      <c r="J2729" s="154"/>
      <c r="K2729" s="155" t="s">
        <v>2966</v>
      </c>
    </row>
    <row r="2730" spans="1:11" hidden="1" x14ac:dyDescent="0.25">
      <c r="A2730" s="148" t="s">
        <v>7402</v>
      </c>
      <c r="B2730" s="149" t="s">
        <v>7403</v>
      </c>
      <c r="C2730" s="150" t="s">
        <v>18</v>
      </c>
      <c r="D2730" s="150">
        <v>0</v>
      </c>
      <c r="E2730" s="151" t="s">
        <v>13</v>
      </c>
      <c r="F2730" s="152" t="str">
        <f t="shared" si="128"/>
        <v/>
      </c>
      <c r="G2730" s="153">
        <f>IF($K2730="Padrão",BDI!$B$17,IF($K2730="Diferenciado",BDI!$E$17,0))</f>
        <v>0.2039</v>
      </c>
      <c r="H2730" s="151" t="str">
        <f t="shared" si="126"/>
        <v/>
      </c>
      <c r="I2730" s="152" t="str">
        <f t="shared" si="127"/>
        <v/>
      </c>
      <c r="J2730" s="154"/>
      <c r="K2730" s="155" t="s">
        <v>2966</v>
      </c>
    </row>
    <row r="2731" spans="1:11" hidden="1" x14ac:dyDescent="0.25">
      <c r="A2731" s="148" t="s">
        <v>7404</v>
      </c>
      <c r="B2731" s="149" t="s">
        <v>7405</v>
      </c>
      <c r="C2731" s="150" t="s">
        <v>18</v>
      </c>
      <c r="D2731" s="150">
        <v>0</v>
      </c>
      <c r="E2731" s="151" t="s">
        <v>13</v>
      </c>
      <c r="F2731" s="152" t="str">
        <f t="shared" si="128"/>
        <v/>
      </c>
      <c r="G2731" s="153">
        <f>IF($K2731="Padrão",BDI!$B$17,IF($K2731="Diferenciado",BDI!$E$17,0))</f>
        <v>0.2039</v>
      </c>
      <c r="H2731" s="151" t="str">
        <f t="shared" si="126"/>
        <v/>
      </c>
      <c r="I2731" s="152" t="str">
        <f t="shared" si="127"/>
        <v/>
      </c>
      <c r="J2731" s="154"/>
      <c r="K2731" s="155" t="s">
        <v>2966</v>
      </c>
    </row>
    <row r="2732" spans="1:11" hidden="1" x14ac:dyDescent="0.25">
      <c r="A2732" s="148" t="s">
        <v>7406</v>
      </c>
      <c r="B2732" s="149" t="s">
        <v>7407</v>
      </c>
      <c r="C2732" s="150" t="s">
        <v>18</v>
      </c>
      <c r="D2732" s="150">
        <v>0</v>
      </c>
      <c r="E2732" s="151" t="s">
        <v>13</v>
      </c>
      <c r="F2732" s="152" t="str">
        <f t="shared" si="128"/>
        <v/>
      </c>
      <c r="G2732" s="153">
        <f>IF($K2732="Padrão",BDI!$B$17,IF($K2732="Diferenciado",BDI!$E$17,0))</f>
        <v>0.2039</v>
      </c>
      <c r="H2732" s="151" t="str">
        <f t="shared" si="126"/>
        <v/>
      </c>
      <c r="I2732" s="152" t="str">
        <f t="shared" si="127"/>
        <v/>
      </c>
      <c r="J2732" s="154"/>
      <c r="K2732" s="155" t="s">
        <v>2966</v>
      </c>
    </row>
    <row r="2733" spans="1:11" hidden="1" x14ac:dyDescent="0.25">
      <c r="A2733" s="148" t="s">
        <v>7408</v>
      </c>
      <c r="B2733" s="149" t="s">
        <v>7409</v>
      </c>
      <c r="C2733" s="150" t="s">
        <v>18</v>
      </c>
      <c r="D2733" s="150">
        <v>0</v>
      </c>
      <c r="E2733" s="151" t="s">
        <v>13</v>
      </c>
      <c r="F2733" s="152" t="str">
        <f t="shared" si="128"/>
        <v/>
      </c>
      <c r="G2733" s="153">
        <f>IF($K2733="Padrão",BDI!$B$17,IF($K2733="Diferenciado",BDI!$E$17,0))</f>
        <v>0.2039</v>
      </c>
      <c r="H2733" s="151" t="str">
        <f t="shared" si="126"/>
        <v/>
      </c>
      <c r="I2733" s="152" t="str">
        <f t="shared" si="127"/>
        <v/>
      </c>
      <c r="J2733" s="154"/>
      <c r="K2733" s="155" t="s">
        <v>2966</v>
      </c>
    </row>
    <row r="2734" spans="1:11" hidden="1" x14ac:dyDescent="0.25">
      <c r="A2734" s="148" t="s">
        <v>7410</v>
      </c>
      <c r="B2734" s="149" t="s">
        <v>7411</v>
      </c>
      <c r="C2734" s="150" t="s">
        <v>18</v>
      </c>
      <c r="D2734" s="150">
        <v>0</v>
      </c>
      <c r="E2734" s="151" t="s">
        <v>13</v>
      </c>
      <c r="F2734" s="152" t="str">
        <f t="shared" si="128"/>
        <v/>
      </c>
      <c r="G2734" s="153">
        <f>IF($K2734="Padrão",BDI!$B$17,IF($K2734="Diferenciado",BDI!$E$17,0))</f>
        <v>0.2039</v>
      </c>
      <c r="H2734" s="151" t="str">
        <f t="shared" si="126"/>
        <v/>
      </c>
      <c r="I2734" s="152" t="str">
        <f t="shared" si="127"/>
        <v/>
      </c>
      <c r="J2734" s="154"/>
      <c r="K2734" s="155" t="s">
        <v>2966</v>
      </c>
    </row>
    <row r="2735" spans="1:11" hidden="1" x14ac:dyDescent="0.25">
      <c r="A2735" s="148" t="s">
        <v>1571</v>
      </c>
      <c r="B2735" s="149" t="s">
        <v>7412</v>
      </c>
      <c r="C2735" s="150" t="s">
        <v>18</v>
      </c>
      <c r="D2735" s="150">
        <v>0</v>
      </c>
      <c r="E2735" s="151">
        <f ca="1">OFFSET(INDEX(Composições!A:H,MATCH(Orçamentária!A2735,Composições!A:A,0),8),2,0)</f>
        <v>182.56149999999997</v>
      </c>
      <c r="F2735" s="152">
        <f t="shared" ca="1" si="128"/>
        <v>0</v>
      </c>
      <c r="G2735" s="153">
        <f>IF($K2735="Padrão",BDI!$B$17,IF($K2735="Diferenciado",BDI!$E$17,0))</f>
        <v>0.2039</v>
      </c>
      <c r="H2735" s="151">
        <f t="shared" ca="1" si="126"/>
        <v>219.79</v>
      </c>
      <c r="I2735" s="152">
        <f t="shared" ca="1" si="127"/>
        <v>0</v>
      </c>
      <c r="J2735" s="154"/>
      <c r="K2735" s="155" t="s">
        <v>2966</v>
      </c>
    </row>
    <row r="2736" spans="1:11" hidden="1" x14ac:dyDescent="0.25">
      <c r="A2736" s="148" t="s">
        <v>1572</v>
      </c>
      <c r="B2736" s="149" t="s">
        <v>7413</v>
      </c>
      <c r="C2736" s="150" t="s">
        <v>18</v>
      </c>
      <c r="D2736" s="150">
        <v>0</v>
      </c>
      <c r="E2736" s="151">
        <f ca="1">OFFSET(INDEX(Composições!A:H,MATCH(Orçamentária!A2736,Composições!A:A,0),8),2,0)</f>
        <v>194.655</v>
      </c>
      <c r="F2736" s="152">
        <f t="shared" ca="1" si="128"/>
        <v>0</v>
      </c>
      <c r="G2736" s="153">
        <f>IF($K2736="Padrão",BDI!$B$17,IF($K2736="Diferenciado",BDI!$E$17,0))</f>
        <v>0.2039</v>
      </c>
      <c r="H2736" s="151">
        <f t="shared" ca="1" si="126"/>
        <v>234.35</v>
      </c>
      <c r="I2736" s="152">
        <f t="shared" ca="1" si="127"/>
        <v>0</v>
      </c>
      <c r="J2736" s="154"/>
      <c r="K2736" s="155" t="s">
        <v>2966</v>
      </c>
    </row>
    <row r="2737" spans="1:11" hidden="1" x14ac:dyDescent="0.25">
      <c r="A2737" s="148" t="s">
        <v>7414</v>
      </c>
      <c r="B2737" s="149" t="s">
        <v>7415</v>
      </c>
      <c r="C2737" s="150" t="s">
        <v>18</v>
      </c>
      <c r="D2737" s="150">
        <v>0</v>
      </c>
      <c r="E2737" s="151" t="s">
        <v>13</v>
      </c>
      <c r="F2737" s="152" t="str">
        <f t="shared" si="128"/>
        <v/>
      </c>
      <c r="G2737" s="153">
        <f>IF($K2737="Padrão",BDI!$B$17,IF($K2737="Diferenciado",BDI!$E$17,0))</f>
        <v>0.2039</v>
      </c>
      <c r="H2737" s="151" t="str">
        <f t="shared" si="126"/>
        <v/>
      </c>
      <c r="I2737" s="152" t="str">
        <f t="shared" si="127"/>
        <v/>
      </c>
      <c r="J2737" s="154"/>
      <c r="K2737" s="155" t="s">
        <v>2966</v>
      </c>
    </row>
    <row r="2738" spans="1:11" hidden="1" x14ac:dyDescent="0.25">
      <c r="A2738" s="148" t="s">
        <v>7416</v>
      </c>
      <c r="B2738" s="149" t="s">
        <v>7417</v>
      </c>
      <c r="C2738" s="150" t="s">
        <v>18</v>
      </c>
      <c r="D2738" s="150">
        <v>0</v>
      </c>
      <c r="E2738" s="151" t="s">
        <v>13</v>
      </c>
      <c r="F2738" s="152" t="str">
        <f t="shared" si="128"/>
        <v/>
      </c>
      <c r="G2738" s="153">
        <f>IF($K2738="Padrão",BDI!$B$17,IF($K2738="Diferenciado",BDI!$E$17,0))</f>
        <v>0.2039</v>
      </c>
      <c r="H2738" s="151" t="str">
        <f t="shared" si="126"/>
        <v/>
      </c>
      <c r="I2738" s="152" t="str">
        <f t="shared" si="127"/>
        <v/>
      </c>
      <c r="J2738" s="154"/>
      <c r="K2738" s="155" t="s">
        <v>2966</v>
      </c>
    </row>
    <row r="2739" spans="1:11" hidden="1" x14ac:dyDescent="0.25">
      <c r="A2739" s="148" t="s">
        <v>7418</v>
      </c>
      <c r="B2739" s="149" t="s">
        <v>7419</v>
      </c>
      <c r="C2739" s="150" t="s">
        <v>18</v>
      </c>
      <c r="D2739" s="150">
        <v>0</v>
      </c>
      <c r="E2739" s="151" t="s">
        <v>13</v>
      </c>
      <c r="F2739" s="152" t="str">
        <f t="shared" si="128"/>
        <v/>
      </c>
      <c r="G2739" s="153">
        <f>IF($K2739="Padrão",BDI!$B$17,IF($K2739="Diferenciado",BDI!$E$17,0))</f>
        <v>0.2039</v>
      </c>
      <c r="H2739" s="151" t="str">
        <f t="shared" si="126"/>
        <v/>
      </c>
      <c r="I2739" s="152" t="str">
        <f t="shared" si="127"/>
        <v/>
      </c>
      <c r="J2739" s="154"/>
      <c r="K2739" s="155" t="s">
        <v>2966</v>
      </c>
    </row>
    <row r="2740" spans="1:11" hidden="1" x14ac:dyDescent="0.25">
      <c r="A2740" s="148" t="s">
        <v>1573</v>
      </c>
      <c r="B2740" s="149" t="s">
        <v>7420</v>
      </c>
      <c r="C2740" s="150" t="s">
        <v>18</v>
      </c>
      <c r="D2740" s="150">
        <v>0</v>
      </c>
      <c r="E2740" s="151">
        <f ca="1">OFFSET(INDEX(Composições!A:H,MATCH(Orçamentária!A2740,Composições!A:A,0),8),2,0)</f>
        <v>3.5529999999999999</v>
      </c>
      <c r="F2740" s="152">
        <f t="shared" ca="1" si="128"/>
        <v>0</v>
      </c>
      <c r="G2740" s="153">
        <f>IF($K2740="Padrão",BDI!$B$17,IF($K2740="Diferenciado",BDI!$E$17,0))</f>
        <v>0.2039</v>
      </c>
      <c r="H2740" s="151">
        <f t="shared" ca="1" si="126"/>
        <v>4.28</v>
      </c>
      <c r="I2740" s="152">
        <f t="shared" ca="1" si="127"/>
        <v>0</v>
      </c>
      <c r="J2740" s="154"/>
      <c r="K2740" s="155" t="s">
        <v>2966</v>
      </c>
    </row>
    <row r="2741" spans="1:11" hidden="1" x14ac:dyDescent="0.25">
      <c r="A2741" s="148" t="s">
        <v>7421</v>
      </c>
      <c r="B2741" s="149" t="s">
        <v>7422</v>
      </c>
      <c r="C2741" s="150" t="s">
        <v>18</v>
      </c>
      <c r="D2741" s="150">
        <v>0</v>
      </c>
      <c r="E2741" s="151" t="s">
        <v>13</v>
      </c>
      <c r="F2741" s="152" t="str">
        <f t="shared" si="128"/>
        <v/>
      </c>
      <c r="G2741" s="153">
        <f>IF($K2741="Padrão",BDI!$B$17,IF($K2741="Diferenciado",BDI!$E$17,0))</f>
        <v>0.2039</v>
      </c>
      <c r="H2741" s="151" t="str">
        <f t="shared" si="126"/>
        <v/>
      </c>
      <c r="I2741" s="152" t="str">
        <f t="shared" si="127"/>
        <v/>
      </c>
      <c r="J2741" s="154"/>
      <c r="K2741" s="155" t="s">
        <v>2966</v>
      </c>
    </row>
    <row r="2742" spans="1:11" hidden="1" x14ac:dyDescent="0.25">
      <c r="A2742" s="148" t="s">
        <v>1574</v>
      </c>
      <c r="B2742" s="149" t="s">
        <v>7423</v>
      </c>
      <c r="C2742" s="150" t="s">
        <v>18</v>
      </c>
      <c r="D2742" s="150">
        <v>0</v>
      </c>
      <c r="E2742" s="151">
        <f ca="1">OFFSET(INDEX(Composições!A:H,MATCH(Orçamentária!A2742,Composições!A:A,0),8),2,0)</f>
        <v>301.76749999999998</v>
      </c>
      <c r="F2742" s="152">
        <f t="shared" ca="1" si="128"/>
        <v>0</v>
      </c>
      <c r="G2742" s="153">
        <f>IF($K2742="Padrão",BDI!$B$17,IF($K2742="Diferenciado",BDI!$E$17,0))</f>
        <v>0.2039</v>
      </c>
      <c r="H2742" s="151">
        <f t="shared" ca="1" si="126"/>
        <v>363.3</v>
      </c>
      <c r="I2742" s="152">
        <f t="shared" ca="1" si="127"/>
        <v>0</v>
      </c>
      <c r="J2742" s="154"/>
      <c r="K2742" s="155" t="s">
        <v>2966</v>
      </c>
    </row>
    <row r="2743" spans="1:11" hidden="1" x14ac:dyDescent="0.25">
      <c r="A2743" s="148" t="s">
        <v>7424</v>
      </c>
      <c r="B2743" s="149" t="s">
        <v>7425</v>
      </c>
      <c r="C2743" s="150" t="s">
        <v>18</v>
      </c>
      <c r="D2743" s="150">
        <v>0</v>
      </c>
      <c r="E2743" s="151" t="s">
        <v>13</v>
      </c>
      <c r="F2743" s="152" t="str">
        <f t="shared" si="128"/>
        <v/>
      </c>
      <c r="G2743" s="153">
        <f>IF($K2743="Padrão",BDI!$B$17,IF($K2743="Diferenciado",BDI!$E$17,0))</f>
        <v>0.2039</v>
      </c>
      <c r="H2743" s="151" t="str">
        <f t="shared" si="126"/>
        <v/>
      </c>
      <c r="I2743" s="152" t="str">
        <f t="shared" si="127"/>
        <v/>
      </c>
      <c r="J2743" s="154"/>
      <c r="K2743" s="155" t="s">
        <v>2966</v>
      </c>
    </row>
    <row r="2744" spans="1:11" hidden="1" x14ac:dyDescent="0.25">
      <c r="A2744" s="148" t="s">
        <v>1575</v>
      </c>
      <c r="B2744" s="149" t="s">
        <v>7426</v>
      </c>
      <c r="C2744" s="150" t="s">
        <v>18</v>
      </c>
      <c r="D2744" s="150">
        <v>0</v>
      </c>
      <c r="E2744" s="151">
        <f ca="1">OFFSET(INDEX(Composições!A:H,MATCH(Orçamentária!A2744,Composições!A:A,0),8),2,0)</f>
        <v>21.945</v>
      </c>
      <c r="F2744" s="152">
        <f t="shared" ca="1" si="128"/>
        <v>0</v>
      </c>
      <c r="G2744" s="153">
        <f>IF($K2744="Padrão",BDI!$B$17,IF($K2744="Diferenciado",BDI!$E$17,0))</f>
        <v>0.2039</v>
      </c>
      <c r="H2744" s="151">
        <f t="shared" ca="1" si="126"/>
        <v>26.42</v>
      </c>
      <c r="I2744" s="152">
        <f t="shared" ca="1" si="127"/>
        <v>0</v>
      </c>
      <c r="J2744" s="154"/>
      <c r="K2744" s="155" t="s">
        <v>2966</v>
      </c>
    </row>
    <row r="2745" spans="1:11" hidden="1" x14ac:dyDescent="0.25">
      <c r="A2745" s="148" t="s">
        <v>7427</v>
      </c>
      <c r="B2745" s="149" t="s">
        <v>7428</v>
      </c>
      <c r="C2745" s="150" t="s">
        <v>18</v>
      </c>
      <c r="D2745" s="150">
        <v>0</v>
      </c>
      <c r="E2745" s="151" t="s">
        <v>13</v>
      </c>
      <c r="F2745" s="152" t="str">
        <f t="shared" si="128"/>
        <v/>
      </c>
      <c r="G2745" s="153">
        <f>IF($K2745="Padrão",BDI!$B$17,IF($K2745="Diferenciado",BDI!$E$17,0))</f>
        <v>0.2039</v>
      </c>
      <c r="H2745" s="151" t="str">
        <f t="shared" si="126"/>
        <v/>
      </c>
      <c r="I2745" s="152" t="str">
        <f t="shared" si="127"/>
        <v/>
      </c>
      <c r="J2745" s="154"/>
      <c r="K2745" s="155" t="s">
        <v>2966</v>
      </c>
    </row>
    <row r="2746" spans="1:11" hidden="1" x14ac:dyDescent="0.25">
      <c r="A2746" s="148" t="s">
        <v>7429</v>
      </c>
      <c r="B2746" s="149" t="s">
        <v>7430</v>
      </c>
      <c r="C2746" s="150" t="s">
        <v>18</v>
      </c>
      <c r="D2746" s="150">
        <v>0</v>
      </c>
      <c r="E2746" s="151" t="s">
        <v>13</v>
      </c>
      <c r="F2746" s="152" t="str">
        <f t="shared" si="128"/>
        <v/>
      </c>
      <c r="G2746" s="153">
        <f>IF($K2746="Padrão",BDI!$B$17,IF($K2746="Diferenciado",BDI!$E$17,0))</f>
        <v>0.2039</v>
      </c>
      <c r="H2746" s="151" t="str">
        <f t="shared" si="126"/>
        <v/>
      </c>
      <c r="I2746" s="152" t="str">
        <f t="shared" si="127"/>
        <v/>
      </c>
      <c r="J2746" s="154"/>
      <c r="K2746" s="155" t="s">
        <v>2966</v>
      </c>
    </row>
    <row r="2747" spans="1:11" hidden="1" x14ac:dyDescent="0.25">
      <c r="A2747" s="148" t="s">
        <v>1576</v>
      </c>
      <c r="B2747" s="149" t="s">
        <v>7431</v>
      </c>
      <c r="C2747" s="150" t="s">
        <v>18</v>
      </c>
      <c r="D2747" s="150">
        <v>0</v>
      </c>
      <c r="E2747" s="151">
        <f ca="1">OFFSET(INDEX(Composições!A:H,MATCH(Orçamentária!A2747,Composições!A:A,0),8),2,0)</f>
        <v>40.85</v>
      </c>
      <c r="F2747" s="152">
        <f t="shared" ca="1" si="128"/>
        <v>0</v>
      </c>
      <c r="G2747" s="153">
        <f>IF($K2747="Padrão",BDI!$B$17,IF($K2747="Diferenciado",BDI!$E$17,0))</f>
        <v>0.2039</v>
      </c>
      <c r="H2747" s="151">
        <f t="shared" ca="1" si="126"/>
        <v>49.18</v>
      </c>
      <c r="I2747" s="152">
        <f t="shared" ca="1" si="127"/>
        <v>0</v>
      </c>
      <c r="J2747" s="154"/>
      <c r="K2747" s="155" t="s">
        <v>2966</v>
      </c>
    </row>
    <row r="2748" spans="1:11" hidden="1" x14ac:dyDescent="0.25">
      <c r="A2748" s="148" t="s">
        <v>1577</v>
      </c>
      <c r="B2748" s="149" t="s">
        <v>7432</v>
      </c>
      <c r="C2748" s="150" t="s">
        <v>18</v>
      </c>
      <c r="D2748" s="150">
        <v>0</v>
      </c>
      <c r="E2748" s="151">
        <f ca="1">OFFSET(INDEX(Composições!A:H,MATCH(Orçamentária!A2748,Composições!A:A,0),8),2,0)</f>
        <v>500.85899999999998</v>
      </c>
      <c r="F2748" s="152">
        <f t="shared" ca="1" si="128"/>
        <v>0</v>
      </c>
      <c r="G2748" s="153">
        <f>IF($K2748="Padrão",BDI!$B$17,IF($K2748="Diferenciado",BDI!$E$17,0))</f>
        <v>0.2039</v>
      </c>
      <c r="H2748" s="151">
        <f t="shared" ca="1" si="126"/>
        <v>602.98</v>
      </c>
      <c r="I2748" s="152">
        <f t="shared" ca="1" si="127"/>
        <v>0</v>
      </c>
      <c r="J2748" s="154"/>
      <c r="K2748" s="155" t="s">
        <v>2966</v>
      </c>
    </row>
    <row r="2749" spans="1:11" hidden="1" x14ac:dyDescent="0.25">
      <c r="A2749" s="148" t="s">
        <v>7433</v>
      </c>
      <c r="B2749" s="149" t="s">
        <v>7434</v>
      </c>
      <c r="C2749" s="150" t="s">
        <v>18</v>
      </c>
      <c r="D2749" s="150">
        <v>0</v>
      </c>
      <c r="E2749" s="151" t="s">
        <v>13</v>
      </c>
      <c r="F2749" s="152" t="str">
        <f t="shared" si="128"/>
        <v/>
      </c>
      <c r="G2749" s="153">
        <f>IF($K2749="Padrão",BDI!$B$17,IF($K2749="Diferenciado",BDI!$E$17,0))</f>
        <v>0.2039</v>
      </c>
      <c r="H2749" s="151" t="str">
        <f t="shared" si="126"/>
        <v/>
      </c>
      <c r="I2749" s="152" t="str">
        <f t="shared" si="127"/>
        <v/>
      </c>
      <c r="J2749" s="154"/>
      <c r="K2749" s="155" t="s">
        <v>2966</v>
      </c>
    </row>
    <row r="2750" spans="1:11" hidden="1" x14ac:dyDescent="0.25">
      <c r="A2750" s="148" t="s">
        <v>1578</v>
      </c>
      <c r="B2750" s="149" t="s">
        <v>7435</v>
      </c>
      <c r="C2750" s="150" t="s">
        <v>18</v>
      </c>
      <c r="D2750" s="150">
        <v>0</v>
      </c>
      <c r="E2750" s="151">
        <f ca="1">OFFSET(INDEX(Composições!A:H,MATCH(Orçamentária!A2750,Composições!A:A,0),8),2,0)</f>
        <v>344.09949999999998</v>
      </c>
      <c r="F2750" s="152">
        <f t="shared" ca="1" si="128"/>
        <v>0</v>
      </c>
      <c r="G2750" s="153">
        <f>IF($K2750="Padrão",BDI!$B$17,IF($K2750="Diferenciado",BDI!$E$17,0))</f>
        <v>0.2039</v>
      </c>
      <c r="H2750" s="151">
        <f t="shared" ca="1" si="126"/>
        <v>414.26</v>
      </c>
      <c r="I2750" s="152">
        <f t="shared" ca="1" si="127"/>
        <v>0</v>
      </c>
      <c r="J2750" s="154"/>
      <c r="K2750" s="155" t="s">
        <v>2966</v>
      </c>
    </row>
    <row r="2751" spans="1:11" hidden="1" x14ac:dyDescent="0.25">
      <c r="A2751" s="148" t="s">
        <v>7436</v>
      </c>
      <c r="B2751" s="149" t="s">
        <v>7437</v>
      </c>
      <c r="C2751" s="150" t="s">
        <v>18</v>
      </c>
      <c r="D2751" s="150">
        <v>0</v>
      </c>
      <c r="E2751" s="151" t="s">
        <v>13</v>
      </c>
      <c r="F2751" s="152" t="str">
        <f t="shared" si="128"/>
        <v/>
      </c>
      <c r="G2751" s="153">
        <f>IF($K2751="Padrão",BDI!$B$17,IF($K2751="Diferenciado",BDI!$E$17,0))</f>
        <v>0.2039</v>
      </c>
      <c r="H2751" s="151" t="str">
        <f t="shared" si="126"/>
        <v/>
      </c>
      <c r="I2751" s="152" t="str">
        <f t="shared" si="127"/>
        <v/>
      </c>
      <c r="J2751" s="154"/>
      <c r="K2751" s="155" t="s">
        <v>2966</v>
      </c>
    </row>
    <row r="2752" spans="1:11" hidden="1" x14ac:dyDescent="0.25">
      <c r="A2752" s="148" t="s">
        <v>1579</v>
      </c>
      <c r="B2752" s="149" t="s">
        <v>7438</v>
      </c>
      <c r="C2752" s="150" t="s">
        <v>18</v>
      </c>
      <c r="D2752" s="150">
        <v>0</v>
      </c>
      <c r="E2752" s="151">
        <f ca="1">OFFSET(INDEX(Composições!A:H,MATCH(Orçamentária!A2752,Composições!A:A,0),8),2,0)</f>
        <v>71.515999999999991</v>
      </c>
      <c r="F2752" s="152">
        <f t="shared" ca="1" si="128"/>
        <v>0</v>
      </c>
      <c r="G2752" s="153">
        <f>IF($K2752="Padrão",BDI!$B$17,IF($K2752="Diferenciado",BDI!$E$17,0))</f>
        <v>0.2039</v>
      </c>
      <c r="H2752" s="151">
        <f t="shared" ca="1" si="126"/>
        <v>86.1</v>
      </c>
      <c r="I2752" s="152">
        <f t="shared" ca="1" si="127"/>
        <v>0</v>
      </c>
      <c r="J2752" s="154"/>
      <c r="K2752" s="155" t="s">
        <v>2966</v>
      </c>
    </row>
    <row r="2753" spans="1:11" hidden="1" x14ac:dyDescent="0.25">
      <c r="A2753" s="148" t="s">
        <v>1580</v>
      </c>
      <c r="B2753" s="149" t="s">
        <v>7439</v>
      </c>
      <c r="C2753" s="150" t="s">
        <v>18</v>
      </c>
      <c r="D2753" s="150">
        <v>0</v>
      </c>
      <c r="E2753" s="151">
        <f ca="1">OFFSET(INDEX(Composições!A:H,MATCH(Orçamentária!A2753,Composições!A:A,0),8),2,0)</f>
        <v>133.36099999999999</v>
      </c>
      <c r="F2753" s="152">
        <f t="shared" ca="1" si="128"/>
        <v>0</v>
      </c>
      <c r="G2753" s="153">
        <f>IF($K2753="Padrão",BDI!$B$17,IF($K2753="Diferenciado",BDI!$E$17,0))</f>
        <v>0.2039</v>
      </c>
      <c r="H2753" s="151">
        <f t="shared" ca="1" si="126"/>
        <v>160.55000000000001</v>
      </c>
      <c r="I2753" s="152">
        <f t="shared" ca="1" si="127"/>
        <v>0</v>
      </c>
      <c r="J2753" s="154"/>
      <c r="K2753" s="155" t="s">
        <v>2966</v>
      </c>
    </row>
    <row r="2754" spans="1:11" hidden="1" x14ac:dyDescent="0.25">
      <c r="A2754" s="148" t="s">
        <v>7440</v>
      </c>
      <c r="B2754" s="149" t="s">
        <v>7441</v>
      </c>
      <c r="C2754" s="150" t="s">
        <v>18</v>
      </c>
      <c r="D2754" s="150">
        <v>0</v>
      </c>
      <c r="E2754" s="151" t="s">
        <v>13</v>
      </c>
      <c r="F2754" s="152" t="str">
        <f t="shared" si="128"/>
        <v/>
      </c>
      <c r="G2754" s="153">
        <f>IF($K2754="Padrão",BDI!$B$17,IF($K2754="Diferenciado",BDI!$E$17,0))</f>
        <v>0.2039</v>
      </c>
      <c r="H2754" s="151" t="str">
        <f t="shared" si="126"/>
        <v/>
      </c>
      <c r="I2754" s="152" t="str">
        <f t="shared" si="127"/>
        <v/>
      </c>
      <c r="J2754" s="154"/>
      <c r="K2754" s="155" t="s">
        <v>2966</v>
      </c>
    </row>
    <row r="2755" spans="1:11" hidden="1" x14ac:dyDescent="0.25">
      <c r="A2755" s="148" t="s">
        <v>7442</v>
      </c>
      <c r="B2755" s="149" t="s">
        <v>7443</v>
      </c>
      <c r="C2755" s="150" t="s">
        <v>18</v>
      </c>
      <c r="D2755" s="150">
        <v>0</v>
      </c>
      <c r="E2755" s="151" t="s">
        <v>13</v>
      </c>
      <c r="F2755" s="152" t="str">
        <f t="shared" si="128"/>
        <v/>
      </c>
      <c r="G2755" s="153">
        <f>IF($K2755="Padrão",BDI!$B$17,IF($K2755="Diferenciado",BDI!$E$17,0))</f>
        <v>0.2039</v>
      </c>
      <c r="H2755" s="151" t="str">
        <f t="shared" si="126"/>
        <v/>
      </c>
      <c r="I2755" s="152" t="str">
        <f t="shared" si="127"/>
        <v/>
      </c>
      <c r="J2755" s="154"/>
      <c r="K2755" s="155" t="s">
        <v>2966</v>
      </c>
    </row>
    <row r="2756" spans="1:11" hidden="1" x14ac:dyDescent="0.25">
      <c r="A2756" s="148" t="s">
        <v>7444</v>
      </c>
      <c r="B2756" s="149" t="s">
        <v>7445</v>
      </c>
      <c r="C2756" s="150" t="s">
        <v>18</v>
      </c>
      <c r="D2756" s="150">
        <v>0</v>
      </c>
      <c r="E2756" s="151" t="s">
        <v>13</v>
      </c>
      <c r="F2756" s="152" t="str">
        <f t="shared" si="128"/>
        <v/>
      </c>
      <c r="G2756" s="153">
        <f>IF($K2756="Padrão",BDI!$B$17,IF($K2756="Diferenciado",BDI!$E$17,0))</f>
        <v>0.2039</v>
      </c>
      <c r="H2756" s="151" t="str">
        <f t="shared" si="126"/>
        <v/>
      </c>
      <c r="I2756" s="152" t="str">
        <f t="shared" si="127"/>
        <v/>
      </c>
      <c r="J2756" s="154"/>
      <c r="K2756" s="155" t="s">
        <v>2966</v>
      </c>
    </row>
    <row r="2757" spans="1:11" hidden="1" x14ac:dyDescent="0.25">
      <c r="A2757" s="148" t="s">
        <v>1581</v>
      </c>
      <c r="B2757" s="149" t="s">
        <v>7446</v>
      </c>
      <c r="C2757" s="150" t="s">
        <v>18</v>
      </c>
      <c r="D2757" s="150">
        <v>0</v>
      </c>
      <c r="E2757" s="151">
        <f ca="1">OFFSET(INDEX(Composições!A:H,MATCH(Orçamentária!A2757,Composições!A:A,0),8),2,0)</f>
        <v>91.105000000000004</v>
      </c>
      <c r="F2757" s="152">
        <f t="shared" ca="1" si="128"/>
        <v>0</v>
      </c>
      <c r="G2757" s="153">
        <f>IF($K2757="Padrão",BDI!$B$17,IF($K2757="Diferenciado",BDI!$E$17,0))</f>
        <v>0.2039</v>
      </c>
      <c r="H2757" s="151">
        <f t="shared" ca="1" si="126"/>
        <v>109.68</v>
      </c>
      <c r="I2757" s="152">
        <f t="shared" ca="1" si="127"/>
        <v>0</v>
      </c>
      <c r="J2757" s="154"/>
      <c r="K2757" s="155" t="s">
        <v>2966</v>
      </c>
    </row>
    <row r="2758" spans="1:11" hidden="1" x14ac:dyDescent="0.25">
      <c r="A2758" s="148" t="s">
        <v>7447</v>
      </c>
      <c r="B2758" s="149" t="s">
        <v>7448</v>
      </c>
      <c r="C2758" s="150" t="s">
        <v>18</v>
      </c>
      <c r="D2758" s="150">
        <v>0</v>
      </c>
      <c r="E2758" s="151" t="s">
        <v>13</v>
      </c>
      <c r="F2758" s="152" t="str">
        <f t="shared" si="128"/>
        <v/>
      </c>
      <c r="G2758" s="153">
        <f>IF($K2758="Padrão",BDI!$B$17,IF($K2758="Diferenciado",BDI!$E$17,0))</f>
        <v>0.2039</v>
      </c>
      <c r="H2758" s="151" t="str">
        <f t="shared" ref="H2758:H2821" si="129">IF(ISNUMBER(E2758),ROUND(E2758*(1+G2758),2),"")</f>
        <v/>
      </c>
      <c r="I2758" s="152" t="str">
        <f t="shared" ref="I2758:I2821" si="130">IF(ISNUMBER(E2758),ROUND(H2758*D2758,2),"")</f>
        <v/>
      </c>
      <c r="J2758" s="154"/>
      <c r="K2758" s="155" t="s">
        <v>2966</v>
      </c>
    </row>
    <row r="2759" spans="1:11" hidden="1" x14ac:dyDescent="0.25">
      <c r="A2759" s="148" t="s">
        <v>7449</v>
      </c>
      <c r="B2759" s="149" t="s">
        <v>7450</v>
      </c>
      <c r="C2759" s="150" t="s">
        <v>18</v>
      </c>
      <c r="D2759" s="150">
        <v>0</v>
      </c>
      <c r="E2759" s="151" t="s">
        <v>13</v>
      </c>
      <c r="F2759" s="152" t="str">
        <f t="shared" ref="F2759:F2822" si="131">IF(ISNUMBER(E2759),D2759*E2759,"")</f>
        <v/>
      </c>
      <c r="G2759" s="153">
        <f>IF($K2759="Padrão",BDI!$B$17,IF($K2759="Diferenciado",BDI!$E$17,0))</f>
        <v>0.2039</v>
      </c>
      <c r="H2759" s="151" t="str">
        <f t="shared" si="129"/>
        <v/>
      </c>
      <c r="I2759" s="152" t="str">
        <f t="shared" si="130"/>
        <v/>
      </c>
      <c r="J2759" s="154"/>
      <c r="K2759" s="155" t="s">
        <v>2966</v>
      </c>
    </row>
    <row r="2760" spans="1:11" hidden="1" x14ac:dyDescent="0.25">
      <c r="A2760" s="148" t="s">
        <v>7451</v>
      </c>
      <c r="B2760" s="149" t="s">
        <v>7452</v>
      </c>
      <c r="C2760" s="150" t="s">
        <v>18</v>
      </c>
      <c r="D2760" s="150">
        <v>0</v>
      </c>
      <c r="E2760" s="151" t="s">
        <v>13</v>
      </c>
      <c r="F2760" s="152" t="str">
        <f t="shared" si="131"/>
        <v/>
      </c>
      <c r="G2760" s="153">
        <f>IF($K2760="Padrão",BDI!$B$17,IF($K2760="Diferenciado",BDI!$E$17,0))</f>
        <v>0.2039</v>
      </c>
      <c r="H2760" s="151" t="str">
        <f t="shared" si="129"/>
        <v/>
      </c>
      <c r="I2760" s="152" t="str">
        <f t="shared" si="130"/>
        <v/>
      </c>
      <c r="J2760" s="154"/>
      <c r="K2760" s="155" t="s">
        <v>2966</v>
      </c>
    </row>
    <row r="2761" spans="1:11" hidden="1" x14ac:dyDescent="0.25">
      <c r="A2761" s="148" t="s">
        <v>7453</v>
      </c>
      <c r="B2761" s="149" t="s">
        <v>7454</v>
      </c>
      <c r="C2761" s="150" t="s">
        <v>18</v>
      </c>
      <c r="D2761" s="150">
        <v>0</v>
      </c>
      <c r="E2761" s="151" t="s">
        <v>13</v>
      </c>
      <c r="F2761" s="152" t="str">
        <f t="shared" si="131"/>
        <v/>
      </c>
      <c r="G2761" s="153">
        <f>IF($K2761="Padrão",BDI!$B$17,IF($K2761="Diferenciado",BDI!$E$17,0))</f>
        <v>0.2039</v>
      </c>
      <c r="H2761" s="151" t="str">
        <f t="shared" si="129"/>
        <v/>
      </c>
      <c r="I2761" s="152" t="str">
        <f t="shared" si="130"/>
        <v/>
      </c>
      <c r="J2761" s="154"/>
      <c r="K2761" s="155" t="s">
        <v>2966</v>
      </c>
    </row>
    <row r="2762" spans="1:11" hidden="1" x14ac:dyDescent="0.25">
      <c r="A2762" s="148" t="s">
        <v>7455</v>
      </c>
      <c r="B2762" s="149" t="s">
        <v>7456</v>
      </c>
      <c r="C2762" s="150" t="s">
        <v>18</v>
      </c>
      <c r="D2762" s="150">
        <v>0</v>
      </c>
      <c r="E2762" s="151" t="s">
        <v>13</v>
      </c>
      <c r="F2762" s="152" t="str">
        <f t="shared" si="131"/>
        <v/>
      </c>
      <c r="G2762" s="153">
        <f>IF($K2762="Padrão",BDI!$B$17,IF($K2762="Diferenciado",BDI!$E$17,0))</f>
        <v>0.2039</v>
      </c>
      <c r="H2762" s="151" t="str">
        <f t="shared" si="129"/>
        <v/>
      </c>
      <c r="I2762" s="152" t="str">
        <f t="shared" si="130"/>
        <v/>
      </c>
      <c r="J2762" s="154"/>
      <c r="K2762" s="155" t="s">
        <v>2966</v>
      </c>
    </row>
    <row r="2763" spans="1:11" hidden="1" x14ac:dyDescent="0.25">
      <c r="A2763" s="148" t="s">
        <v>7457</v>
      </c>
      <c r="B2763" s="149" t="s">
        <v>7458</v>
      </c>
      <c r="C2763" s="150" t="s">
        <v>18</v>
      </c>
      <c r="D2763" s="150">
        <v>0</v>
      </c>
      <c r="E2763" s="151" t="s">
        <v>13</v>
      </c>
      <c r="F2763" s="152" t="str">
        <f t="shared" si="131"/>
        <v/>
      </c>
      <c r="G2763" s="153">
        <f>IF($K2763="Padrão",BDI!$B$17,IF($K2763="Diferenciado",BDI!$E$17,0))</f>
        <v>0.2039</v>
      </c>
      <c r="H2763" s="151" t="str">
        <f t="shared" si="129"/>
        <v/>
      </c>
      <c r="I2763" s="152" t="str">
        <f t="shared" si="130"/>
        <v/>
      </c>
      <c r="J2763" s="154"/>
      <c r="K2763" s="155" t="s">
        <v>2966</v>
      </c>
    </row>
    <row r="2764" spans="1:11" hidden="1" x14ac:dyDescent="0.25">
      <c r="A2764" s="148" t="s">
        <v>7459</v>
      </c>
      <c r="B2764" s="149" t="s">
        <v>7460</v>
      </c>
      <c r="C2764" s="150" t="s">
        <v>18</v>
      </c>
      <c r="D2764" s="150">
        <v>0</v>
      </c>
      <c r="E2764" s="151" t="s">
        <v>13</v>
      </c>
      <c r="F2764" s="152" t="str">
        <f t="shared" si="131"/>
        <v/>
      </c>
      <c r="G2764" s="153">
        <f>IF($K2764="Padrão",BDI!$B$17,IF($K2764="Diferenciado",BDI!$E$17,0))</f>
        <v>0.2039</v>
      </c>
      <c r="H2764" s="151" t="str">
        <f t="shared" si="129"/>
        <v/>
      </c>
      <c r="I2764" s="152" t="str">
        <f t="shared" si="130"/>
        <v/>
      </c>
      <c r="J2764" s="154"/>
      <c r="K2764" s="155" t="s">
        <v>2966</v>
      </c>
    </row>
    <row r="2765" spans="1:11" hidden="1" x14ac:dyDescent="0.25">
      <c r="A2765" s="148" t="s">
        <v>1582</v>
      </c>
      <c r="B2765" s="149" t="s">
        <v>7461</v>
      </c>
      <c r="C2765" s="150" t="s">
        <v>18</v>
      </c>
      <c r="D2765" s="150">
        <v>0</v>
      </c>
      <c r="E2765" s="151">
        <f ca="1">OFFSET(INDEX(Composições!A:H,MATCH(Orçamentária!A2765,Composições!A:A,0),8),2,0)</f>
        <v>128.81049999999999</v>
      </c>
      <c r="F2765" s="152">
        <f t="shared" ca="1" si="131"/>
        <v>0</v>
      </c>
      <c r="G2765" s="153">
        <f>IF($K2765="Padrão",BDI!$B$17,IF($K2765="Diferenciado",BDI!$E$17,0))</f>
        <v>0.2039</v>
      </c>
      <c r="H2765" s="151">
        <f t="shared" ca="1" si="129"/>
        <v>155.07</v>
      </c>
      <c r="I2765" s="152">
        <f t="shared" ca="1" si="130"/>
        <v>0</v>
      </c>
      <c r="J2765" s="154"/>
      <c r="K2765" s="155" t="s">
        <v>2966</v>
      </c>
    </row>
    <row r="2766" spans="1:11" hidden="1" x14ac:dyDescent="0.25">
      <c r="A2766" s="148" t="s">
        <v>7462</v>
      </c>
      <c r="B2766" s="149" t="s">
        <v>7463</v>
      </c>
      <c r="C2766" s="150" t="s">
        <v>18</v>
      </c>
      <c r="D2766" s="150">
        <v>0</v>
      </c>
      <c r="E2766" s="151" t="s">
        <v>13</v>
      </c>
      <c r="F2766" s="152" t="str">
        <f t="shared" si="131"/>
        <v/>
      </c>
      <c r="G2766" s="153">
        <f>IF($K2766="Padrão",BDI!$B$17,IF($K2766="Diferenciado",BDI!$E$17,0))</f>
        <v>0.2039</v>
      </c>
      <c r="H2766" s="151" t="str">
        <f t="shared" si="129"/>
        <v/>
      </c>
      <c r="I2766" s="152" t="str">
        <f t="shared" si="130"/>
        <v/>
      </c>
      <c r="J2766" s="154"/>
      <c r="K2766" s="155" t="s">
        <v>2966</v>
      </c>
    </row>
    <row r="2767" spans="1:11" hidden="1" x14ac:dyDescent="0.25">
      <c r="A2767" s="148" t="s">
        <v>7464</v>
      </c>
      <c r="B2767" s="149" t="s">
        <v>7465</v>
      </c>
      <c r="C2767" s="150" t="s">
        <v>18</v>
      </c>
      <c r="D2767" s="150">
        <v>0</v>
      </c>
      <c r="E2767" s="151" t="s">
        <v>13</v>
      </c>
      <c r="F2767" s="152" t="str">
        <f t="shared" si="131"/>
        <v/>
      </c>
      <c r="G2767" s="153">
        <f>IF($K2767="Padrão",BDI!$B$17,IF($K2767="Diferenciado",BDI!$E$17,0))</f>
        <v>0.2039</v>
      </c>
      <c r="H2767" s="151" t="str">
        <f t="shared" si="129"/>
        <v/>
      </c>
      <c r="I2767" s="152" t="str">
        <f t="shared" si="130"/>
        <v/>
      </c>
      <c r="J2767" s="154"/>
      <c r="K2767" s="155" t="s">
        <v>2966</v>
      </c>
    </row>
    <row r="2768" spans="1:11" hidden="1" x14ac:dyDescent="0.25">
      <c r="A2768" s="148" t="s">
        <v>7466</v>
      </c>
      <c r="B2768" s="149" t="s">
        <v>7467</v>
      </c>
      <c r="C2768" s="150" t="s">
        <v>18</v>
      </c>
      <c r="D2768" s="150">
        <v>0</v>
      </c>
      <c r="E2768" s="151" t="s">
        <v>13</v>
      </c>
      <c r="F2768" s="152" t="str">
        <f t="shared" si="131"/>
        <v/>
      </c>
      <c r="G2768" s="153">
        <f>IF($K2768="Padrão",BDI!$B$17,IF($K2768="Diferenciado",BDI!$E$17,0))</f>
        <v>0.2039</v>
      </c>
      <c r="H2768" s="151" t="str">
        <f t="shared" si="129"/>
        <v/>
      </c>
      <c r="I2768" s="152" t="str">
        <f t="shared" si="130"/>
        <v/>
      </c>
      <c r="J2768" s="154"/>
      <c r="K2768" s="155" t="s">
        <v>2966</v>
      </c>
    </row>
    <row r="2769" spans="1:11" hidden="1" x14ac:dyDescent="0.25">
      <c r="A2769" s="148" t="s">
        <v>7468</v>
      </c>
      <c r="B2769" s="149" t="s">
        <v>7469</v>
      </c>
      <c r="C2769" s="150" t="s">
        <v>18</v>
      </c>
      <c r="D2769" s="150">
        <v>0</v>
      </c>
      <c r="E2769" s="151" t="s">
        <v>13</v>
      </c>
      <c r="F2769" s="152" t="str">
        <f t="shared" si="131"/>
        <v/>
      </c>
      <c r="G2769" s="153">
        <f>IF($K2769="Padrão",BDI!$B$17,IF($K2769="Diferenciado",BDI!$E$17,0))</f>
        <v>0.2039</v>
      </c>
      <c r="H2769" s="151" t="str">
        <f t="shared" si="129"/>
        <v/>
      </c>
      <c r="I2769" s="152" t="str">
        <f t="shared" si="130"/>
        <v/>
      </c>
      <c r="J2769" s="154"/>
      <c r="K2769" s="155" t="s">
        <v>2966</v>
      </c>
    </row>
    <row r="2770" spans="1:11" hidden="1" x14ac:dyDescent="0.25">
      <c r="A2770" s="148" t="s">
        <v>7470</v>
      </c>
      <c r="B2770" s="149" t="s">
        <v>7471</v>
      </c>
      <c r="C2770" s="150" t="s">
        <v>18</v>
      </c>
      <c r="D2770" s="150">
        <v>0</v>
      </c>
      <c r="E2770" s="151" t="s">
        <v>13</v>
      </c>
      <c r="F2770" s="152" t="str">
        <f t="shared" si="131"/>
        <v/>
      </c>
      <c r="G2770" s="153">
        <f>IF($K2770="Padrão",BDI!$B$17,IF($K2770="Diferenciado",BDI!$E$17,0))</f>
        <v>0.2039</v>
      </c>
      <c r="H2770" s="151" t="str">
        <f t="shared" si="129"/>
        <v/>
      </c>
      <c r="I2770" s="152" t="str">
        <f t="shared" si="130"/>
        <v/>
      </c>
      <c r="J2770" s="154"/>
      <c r="K2770" s="155" t="s">
        <v>2966</v>
      </c>
    </row>
    <row r="2771" spans="1:11" hidden="1" x14ac:dyDescent="0.25">
      <c r="A2771" s="148" t="s">
        <v>7472</v>
      </c>
      <c r="B2771" s="149" t="s">
        <v>7473</v>
      </c>
      <c r="C2771" s="150" t="s">
        <v>18</v>
      </c>
      <c r="D2771" s="150">
        <v>0</v>
      </c>
      <c r="E2771" s="151" t="s">
        <v>13</v>
      </c>
      <c r="F2771" s="152" t="str">
        <f t="shared" si="131"/>
        <v/>
      </c>
      <c r="G2771" s="153">
        <f>IF($K2771="Padrão",BDI!$B$17,IF($K2771="Diferenciado",BDI!$E$17,0))</f>
        <v>0.2039</v>
      </c>
      <c r="H2771" s="151" t="str">
        <f t="shared" si="129"/>
        <v/>
      </c>
      <c r="I2771" s="152" t="str">
        <f t="shared" si="130"/>
        <v/>
      </c>
      <c r="J2771" s="154"/>
      <c r="K2771" s="155" t="s">
        <v>2966</v>
      </c>
    </row>
    <row r="2772" spans="1:11" hidden="1" x14ac:dyDescent="0.25">
      <c r="A2772" s="148" t="s">
        <v>7474</v>
      </c>
      <c r="B2772" s="149" t="s">
        <v>7475</v>
      </c>
      <c r="C2772" s="150" t="s">
        <v>18</v>
      </c>
      <c r="D2772" s="150">
        <v>0</v>
      </c>
      <c r="E2772" s="151" t="s">
        <v>13</v>
      </c>
      <c r="F2772" s="152" t="str">
        <f t="shared" si="131"/>
        <v/>
      </c>
      <c r="G2772" s="153">
        <f>IF($K2772="Padrão",BDI!$B$17,IF($K2772="Diferenciado",BDI!$E$17,0))</f>
        <v>0.2039</v>
      </c>
      <c r="H2772" s="151" t="str">
        <f t="shared" si="129"/>
        <v/>
      </c>
      <c r="I2772" s="152" t="str">
        <f t="shared" si="130"/>
        <v/>
      </c>
      <c r="J2772" s="154"/>
      <c r="K2772" s="155" t="s">
        <v>2966</v>
      </c>
    </row>
    <row r="2773" spans="1:11" hidden="1" x14ac:dyDescent="0.25">
      <c r="A2773" s="148" t="s">
        <v>7476</v>
      </c>
      <c r="B2773" s="149" t="s">
        <v>7477</v>
      </c>
      <c r="C2773" s="150" t="s">
        <v>18</v>
      </c>
      <c r="D2773" s="150">
        <v>0</v>
      </c>
      <c r="E2773" s="151" t="s">
        <v>13</v>
      </c>
      <c r="F2773" s="152" t="str">
        <f t="shared" si="131"/>
        <v/>
      </c>
      <c r="G2773" s="153">
        <f>IF($K2773="Padrão",BDI!$B$17,IF($K2773="Diferenciado",BDI!$E$17,0))</f>
        <v>0.2039</v>
      </c>
      <c r="H2773" s="151" t="str">
        <f t="shared" si="129"/>
        <v/>
      </c>
      <c r="I2773" s="152" t="str">
        <f t="shared" si="130"/>
        <v/>
      </c>
      <c r="J2773" s="154"/>
      <c r="K2773" s="155" t="s">
        <v>2966</v>
      </c>
    </row>
    <row r="2774" spans="1:11" hidden="1" x14ac:dyDescent="0.25">
      <c r="A2774" s="148" t="s">
        <v>7478</v>
      </c>
      <c r="B2774" s="149" t="s">
        <v>7479</v>
      </c>
      <c r="C2774" s="150" t="s">
        <v>18</v>
      </c>
      <c r="D2774" s="150">
        <v>0</v>
      </c>
      <c r="E2774" s="151" t="s">
        <v>13</v>
      </c>
      <c r="F2774" s="152" t="str">
        <f t="shared" si="131"/>
        <v/>
      </c>
      <c r="G2774" s="153">
        <f>IF($K2774="Padrão",BDI!$B$17,IF($K2774="Diferenciado",BDI!$E$17,0))</f>
        <v>0.2039</v>
      </c>
      <c r="H2774" s="151" t="str">
        <f t="shared" si="129"/>
        <v/>
      </c>
      <c r="I2774" s="152" t="str">
        <f t="shared" si="130"/>
        <v/>
      </c>
      <c r="J2774" s="154"/>
      <c r="K2774" s="155" t="s">
        <v>2966</v>
      </c>
    </row>
    <row r="2775" spans="1:11" hidden="1" x14ac:dyDescent="0.25">
      <c r="A2775" s="148" t="s">
        <v>7480</v>
      </c>
      <c r="B2775" s="149" t="s">
        <v>7481</v>
      </c>
      <c r="C2775" s="150" t="s">
        <v>18</v>
      </c>
      <c r="D2775" s="150">
        <v>0</v>
      </c>
      <c r="E2775" s="151" t="s">
        <v>13</v>
      </c>
      <c r="F2775" s="152" t="str">
        <f t="shared" si="131"/>
        <v/>
      </c>
      <c r="G2775" s="153">
        <f>IF($K2775="Padrão",BDI!$B$17,IF($K2775="Diferenciado",BDI!$E$17,0))</f>
        <v>0.2039</v>
      </c>
      <c r="H2775" s="151" t="str">
        <f t="shared" si="129"/>
        <v/>
      </c>
      <c r="I2775" s="152" t="str">
        <f t="shared" si="130"/>
        <v/>
      </c>
      <c r="J2775" s="154"/>
      <c r="K2775" s="155" t="s">
        <v>2966</v>
      </c>
    </row>
    <row r="2776" spans="1:11" hidden="1" x14ac:dyDescent="0.25">
      <c r="A2776" s="148" t="s">
        <v>7482</v>
      </c>
      <c r="B2776" s="149" t="s">
        <v>7483</v>
      </c>
      <c r="C2776" s="150" t="s">
        <v>18</v>
      </c>
      <c r="D2776" s="150">
        <v>0</v>
      </c>
      <c r="E2776" s="151" t="s">
        <v>13</v>
      </c>
      <c r="F2776" s="152" t="str">
        <f t="shared" si="131"/>
        <v/>
      </c>
      <c r="G2776" s="153">
        <f>IF($K2776="Padrão",BDI!$B$17,IF($K2776="Diferenciado",BDI!$E$17,0))</f>
        <v>0.2039</v>
      </c>
      <c r="H2776" s="151" t="str">
        <f t="shared" si="129"/>
        <v/>
      </c>
      <c r="I2776" s="152" t="str">
        <f t="shared" si="130"/>
        <v/>
      </c>
      <c r="J2776" s="154"/>
      <c r="K2776" s="155" t="s">
        <v>2966</v>
      </c>
    </row>
    <row r="2777" spans="1:11" hidden="1" x14ac:dyDescent="0.25">
      <c r="A2777" s="148" t="s">
        <v>7484</v>
      </c>
      <c r="B2777" s="149" t="s">
        <v>7485</v>
      </c>
      <c r="C2777" s="150" t="s">
        <v>18</v>
      </c>
      <c r="D2777" s="150">
        <v>0</v>
      </c>
      <c r="E2777" s="151" t="s">
        <v>13</v>
      </c>
      <c r="F2777" s="152" t="str">
        <f t="shared" si="131"/>
        <v/>
      </c>
      <c r="G2777" s="153">
        <f>IF($K2777="Padrão",BDI!$B$17,IF($K2777="Diferenciado",BDI!$E$17,0))</f>
        <v>0.2039</v>
      </c>
      <c r="H2777" s="151" t="str">
        <f t="shared" si="129"/>
        <v/>
      </c>
      <c r="I2777" s="152" t="str">
        <f t="shared" si="130"/>
        <v/>
      </c>
      <c r="J2777" s="154"/>
      <c r="K2777" s="155" t="s">
        <v>2966</v>
      </c>
    </row>
    <row r="2778" spans="1:11" hidden="1" x14ac:dyDescent="0.25">
      <c r="A2778" s="148" t="s">
        <v>7486</v>
      </c>
      <c r="B2778" s="149" t="s">
        <v>7487</v>
      </c>
      <c r="C2778" s="150" t="s">
        <v>18</v>
      </c>
      <c r="D2778" s="150">
        <v>0</v>
      </c>
      <c r="E2778" s="151" t="s">
        <v>13</v>
      </c>
      <c r="F2778" s="152" t="str">
        <f t="shared" si="131"/>
        <v/>
      </c>
      <c r="G2778" s="153">
        <f>IF($K2778="Padrão",BDI!$B$17,IF($K2778="Diferenciado",BDI!$E$17,0))</f>
        <v>0.2039</v>
      </c>
      <c r="H2778" s="151" t="str">
        <f t="shared" si="129"/>
        <v/>
      </c>
      <c r="I2778" s="152" t="str">
        <f t="shared" si="130"/>
        <v/>
      </c>
      <c r="J2778" s="154"/>
      <c r="K2778" s="155" t="s">
        <v>2966</v>
      </c>
    </row>
    <row r="2779" spans="1:11" hidden="1" x14ac:dyDescent="0.25">
      <c r="A2779" s="148" t="s">
        <v>7488</v>
      </c>
      <c r="B2779" s="149" t="s">
        <v>7489</v>
      </c>
      <c r="C2779" s="150" t="s">
        <v>18</v>
      </c>
      <c r="D2779" s="150">
        <v>0</v>
      </c>
      <c r="E2779" s="151" t="s">
        <v>13</v>
      </c>
      <c r="F2779" s="152" t="str">
        <f t="shared" si="131"/>
        <v/>
      </c>
      <c r="G2779" s="153">
        <f>IF($K2779="Padrão",BDI!$B$17,IF($K2779="Diferenciado",BDI!$E$17,0))</f>
        <v>0.2039</v>
      </c>
      <c r="H2779" s="151" t="str">
        <f t="shared" si="129"/>
        <v/>
      </c>
      <c r="I2779" s="152" t="str">
        <f t="shared" si="130"/>
        <v/>
      </c>
      <c r="J2779" s="154"/>
      <c r="K2779" s="155" t="s">
        <v>2966</v>
      </c>
    </row>
    <row r="2780" spans="1:11" hidden="1" x14ac:dyDescent="0.25">
      <c r="A2780" s="148" t="s">
        <v>7490</v>
      </c>
      <c r="B2780" s="149" t="s">
        <v>7491</v>
      </c>
      <c r="C2780" s="150" t="s">
        <v>18</v>
      </c>
      <c r="D2780" s="150">
        <v>0</v>
      </c>
      <c r="E2780" s="151" t="s">
        <v>13</v>
      </c>
      <c r="F2780" s="152" t="str">
        <f t="shared" si="131"/>
        <v/>
      </c>
      <c r="G2780" s="153">
        <f>IF($K2780="Padrão",BDI!$B$17,IF($K2780="Diferenciado",BDI!$E$17,0))</f>
        <v>0.2039</v>
      </c>
      <c r="H2780" s="151" t="str">
        <f t="shared" si="129"/>
        <v/>
      </c>
      <c r="I2780" s="152" t="str">
        <f t="shared" si="130"/>
        <v/>
      </c>
      <c r="J2780" s="154"/>
      <c r="K2780" s="155" t="s">
        <v>2966</v>
      </c>
    </row>
    <row r="2781" spans="1:11" hidden="1" x14ac:dyDescent="0.25">
      <c r="A2781" s="148" t="s">
        <v>7492</v>
      </c>
      <c r="B2781" s="149" t="s">
        <v>7493</v>
      </c>
      <c r="C2781" s="150" t="s">
        <v>18</v>
      </c>
      <c r="D2781" s="150">
        <v>0</v>
      </c>
      <c r="E2781" s="151" t="s">
        <v>13</v>
      </c>
      <c r="F2781" s="152" t="str">
        <f t="shared" si="131"/>
        <v/>
      </c>
      <c r="G2781" s="153">
        <f>IF($K2781="Padrão",BDI!$B$17,IF($K2781="Diferenciado",BDI!$E$17,0))</f>
        <v>0.2039</v>
      </c>
      <c r="H2781" s="151" t="str">
        <f t="shared" si="129"/>
        <v/>
      </c>
      <c r="I2781" s="152" t="str">
        <f t="shared" si="130"/>
        <v/>
      </c>
      <c r="J2781" s="154"/>
      <c r="K2781" s="155" t="s">
        <v>2966</v>
      </c>
    </row>
    <row r="2782" spans="1:11" hidden="1" x14ac:dyDescent="0.25">
      <c r="A2782" s="148" t="s">
        <v>7494</v>
      </c>
      <c r="B2782" s="149" t="s">
        <v>7495</v>
      </c>
      <c r="C2782" s="150" t="s">
        <v>18</v>
      </c>
      <c r="D2782" s="150">
        <v>0</v>
      </c>
      <c r="E2782" s="151" t="s">
        <v>13</v>
      </c>
      <c r="F2782" s="152" t="str">
        <f t="shared" si="131"/>
        <v/>
      </c>
      <c r="G2782" s="153">
        <f>IF($K2782="Padrão",BDI!$B$17,IF($K2782="Diferenciado",BDI!$E$17,0))</f>
        <v>0.2039</v>
      </c>
      <c r="H2782" s="151" t="str">
        <f t="shared" si="129"/>
        <v/>
      </c>
      <c r="I2782" s="152" t="str">
        <f t="shared" si="130"/>
        <v/>
      </c>
      <c r="J2782" s="154"/>
      <c r="K2782" s="155" t="s">
        <v>2966</v>
      </c>
    </row>
    <row r="2783" spans="1:11" hidden="1" x14ac:dyDescent="0.25">
      <c r="A2783" s="148" t="s">
        <v>1583</v>
      </c>
      <c r="B2783" s="149" t="s">
        <v>7496</v>
      </c>
      <c r="C2783" s="150" t="s">
        <v>18</v>
      </c>
      <c r="D2783" s="150">
        <v>0</v>
      </c>
      <c r="E2783" s="151">
        <f ca="1">OFFSET(INDEX(Composições!A:H,MATCH(Orçamentária!A2783,Composições!A:A,0),8),2,0)</f>
        <v>139.6215</v>
      </c>
      <c r="F2783" s="152">
        <f t="shared" ca="1" si="131"/>
        <v>0</v>
      </c>
      <c r="G2783" s="153">
        <f>IF($K2783="Padrão",BDI!$B$17,IF($K2783="Diferenciado",BDI!$E$17,0))</f>
        <v>0.2039</v>
      </c>
      <c r="H2783" s="151">
        <f t="shared" ca="1" si="129"/>
        <v>168.09</v>
      </c>
      <c r="I2783" s="152">
        <f t="shared" ca="1" si="130"/>
        <v>0</v>
      </c>
      <c r="J2783" s="154"/>
      <c r="K2783" s="155" t="s">
        <v>2966</v>
      </c>
    </row>
    <row r="2784" spans="1:11" hidden="1" x14ac:dyDescent="0.25">
      <c r="A2784" s="148" t="s">
        <v>7497</v>
      </c>
      <c r="B2784" s="149" t="s">
        <v>7498</v>
      </c>
      <c r="C2784" s="150" t="s">
        <v>18</v>
      </c>
      <c r="D2784" s="150">
        <v>0</v>
      </c>
      <c r="E2784" s="151" t="s">
        <v>13</v>
      </c>
      <c r="F2784" s="152" t="str">
        <f t="shared" si="131"/>
        <v/>
      </c>
      <c r="G2784" s="153">
        <f>IF($K2784="Padrão",BDI!$B$17,IF($K2784="Diferenciado",BDI!$E$17,0))</f>
        <v>0.2039</v>
      </c>
      <c r="H2784" s="151" t="str">
        <f t="shared" si="129"/>
        <v/>
      </c>
      <c r="I2784" s="152" t="str">
        <f t="shared" si="130"/>
        <v/>
      </c>
      <c r="J2784" s="154"/>
      <c r="K2784" s="155" t="s">
        <v>2966</v>
      </c>
    </row>
    <row r="2785" spans="1:11" hidden="1" x14ac:dyDescent="0.25">
      <c r="A2785" s="148" t="s">
        <v>7499</v>
      </c>
      <c r="B2785" s="149" t="s">
        <v>7500</v>
      </c>
      <c r="C2785" s="150" t="s">
        <v>18</v>
      </c>
      <c r="D2785" s="150">
        <v>0</v>
      </c>
      <c r="E2785" s="151" t="s">
        <v>13</v>
      </c>
      <c r="F2785" s="152" t="str">
        <f t="shared" si="131"/>
        <v/>
      </c>
      <c r="G2785" s="153">
        <f>IF($K2785="Padrão",BDI!$B$17,IF($K2785="Diferenciado",BDI!$E$17,0))</f>
        <v>0.2039</v>
      </c>
      <c r="H2785" s="151" t="str">
        <f t="shared" si="129"/>
        <v/>
      </c>
      <c r="I2785" s="152" t="str">
        <f t="shared" si="130"/>
        <v/>
      </c>
      <c r="J2785" s="154"/>
      <c r="K2785" s="155" t="s">
        <v>2966</v>
      </c>
    </row>
    <row r="2786" spans="1:11" hidden="1" x14ac:dyDescent="0.25">
      <c r="A2786" s="148" t="s">
        <v>7501</v>
      </c>
      <c r="B2786" s="149" t="s">
        <v>7502</v>
      </c>
      <c r="C2786" s="150" t="s">
        <v>18</v>
      </c>
      <c r="D2786" s="150">
        <v>0</v>
      </c>
      <c r="E2786" s="151" t="s">
        <v>13</v>
      </c>
      <c r="F2786" s="152" t="str">
        <f t="shared" si="131"/>
        <v/>
      </c>
      <c r="G2786" s="153">
        <f>IF($K2786="Padrão",BDI!$B$17,IF($K2786="Diferenciado",BDI!$E$17,0))</f>
        <v>0.2039</v>
      </c>
      <c r="H2786" s="151" t="str">
        <f t="shared" si="129"/>
        <v/>
      </c>
      <c r="I2786" s="152" t="str">
        <f t="shared" si="130"/>
        <v/>
      </c>
      <c r="J2786" s="154"/>
      <c r="K2786" s="155" t="s">
        <v>2966</v>
      </c>
    </row>
    <row r="2787" spans="1:11" hidden="1" x14ac:dyDescent="0.25">
      <c r="A2787" s="148" t="s">
        <v>7503</v>
      </c>
      <c r="B2787" s="149" t="s">
        <v>7504</v>
      </c>
      <c r="C2787" s="150" t="s">
        <v>18</v>
      </c>
      <c r="D2787" s="150">
        <v>0</v>
      </c>
      <c r="E2787" s="151" t="s">
        <v>13</v>
      </c>
      <c r="F2787" s="152" t="str">
        <f t="shared" si="131"/>
        <v/>
      </c>
      <c r="G2787" s="153">
        <f>IF($K2787="Padrão",BDI!$B$17,IF($K2787="Diferenciado",BDI!$E$17,0))</f>
        <v>0.2039</v>
      </c>
      <c r="H2787" s="151" t="str">
        <f t="shared" si="129"/>
        <v/>
      </c>
      <c r="I2787" s="152" t="str">
        <f t="shared" si="130"/>
        <v/>
      </c>
      <c r="J2787" s="154"/>
      <c r="K2787" s="155" t="s">
        <v>2966</v>
      </c>
    </row>
    <row r="2788" spans="1:11" hidden="1" x14ac:dyDescent="0.25">
      <c r="A2788" s="148" t="s">
        <v>7505</v>
      </c>
      <c r="B2788" s="149" t="s">
        <v>7506</v>
      </c>
      <c r="C2788" s="150" t="s">
        <v>18</v>
      </c>
      <c r="D2788" s="150">
        <v>0</v>
      </c>
      <c r="E2788" s="151" t="s">
        <v>13</v>
      </c>
      <c r="F2788" s="152" t="str">
        <f t="shared" si="131"/>
        <v/>
      </c>
      <c r="G2788" s="153">
        <f>IF($K2788="Padrão",BDI!$B$17,IF($K2788="Diferenciado",BDI!$E$17,0))</f>
        <v>0.2039</v>
      </c>
      <c r="H2788" s="151" t="str">
        <f t="shared" si="129"/>
        <v/>
      </c>
      <c r="I2788" s="152" t="str">
        <f t="shared" si="130"/>
        <v/>
      </c>
      <c r="J2788" s="154"/>
      <c r="K2788" s="155" t="s">
        <v>2966</v>
      </c>
    </row>
    <row r="2789" spans="1:11" hidden="1" x14ac:dyDescent="0.25">
      <c r="A2789" s="148" t="s">
        <v>1584</v>
      </c>
      <c r="B2789" s="149" t="s">
        <v>7507</v>
      </c>
      <c r="C2789" s="150" t="s">
        <v>18</v>
      </c>
      <c r="D2789" s="150">
        <v>0</v>
      </c>
      <c r="E2789" s="151">
        <f ca="1">OFFSET(INDEX(Composições!A:H,MATCH(Orçamentária!A2789,Composições!A:A,0),8),2,0)</f>
        <v>245.0335</v>
      </c>
      <c r="F2789" s="152">
        <f t="shared" ca="1" si="131"/>
        <v>0</v>
      </c>
      <c r="G2789" s="153">
        <f>IF($K2789="Padrão",BDI!$B$17,IF($K2789="Diferenciado",BDI!$E$17,0))</f>
        <v>0.2039</v>
      </c>
      <c r="H2789" s="151">
        <f t="shared" ca="1" si="129"/>
        <v>295</v>
      </c>
      <c r="I2789" s="152">
        <f t="shared" ca="1" si="130"/>
        <v>0</v>
      </c>
      <c r="J2789" s="154"/>
      <c r="K2789" s="155" t="s">
        <v>2966</v>
      </c>
    </row>
    <row r="2790" spans="1:11" hidden="1" x14ac:dyDescent="0.25">
      <c r="A2790" s="148" t="s">
        <v>7508</v>
      </c>
      <c r="B2790" s="149" t="s">
        <v>7509</v>
      </c>
      <c r="C2790" s="150" t="s">
        <v>18</v>
      </c>
      <c r="D2790" s="150">
        <v>0</v>
      </c>
      <c r="E2790" s="151" t="s">
        <v>13</v>
      </c>
      <c r="F2790" s="152" t="str">
        <f t="shared" si="131"/>
        <v/>
      </c>
      <c r="G2790" s="153">
        <f>IF($K2790="Padrão",BDI!$B$17,IF($K2790="Diferenciado",BDI!$E$17,0))</f>
        <v>0.2039</v>
      </c>
      <c r="H2790" s="151" t="str">
        <f t="shared" si="129"/>
        <v/>
      </c>
      <c r="I2790" s="152" t="str">
        <f t="shared" si="130"/>
        <v/>
      </c>
      <c r="J2790" s="154"/>
      <c r="K2790" s="155" t="s">
        <v>2966</v>
      </c>
    </row>
    <row r="2791" spans="1:11" hidden="1" x14ac:dyDescent="0.25">
      <c r="A2791" s="148" t="s">
        <v>7510</v>
      </c>
      <c r="B2791" s="149" t="s">
        <v>7511</v>
      </c>
      <c r="C2791" s="150" t="s">
        <v>18</v>
      </c>
      <c r="D2791" s="150">
        <v>0</v>
      </c>
      <c r="E2791" s="151" t="s">
        <v>13</v>
      </c>
      <c r="F2791" s="152" t="str">
        <f t="shared" si="131"/>
        <v/>
      </c>
      <c r="G2791" s="153">
        <f>IF($K2791="Padrão",BDI!$B$17,IF($K2791="Diferenciado",BDI!$E$17,0))</f>
        <v>0.2039</v>
      </c>
      <c r="H2791" s="151" t="str">
        <f t="shared" si="129"/>
        <v/>
      </c>
      <c r="I2791" s="152" t="str">
        <f t="shared" si="130"/>
        <v/>
      </c>
      <c r="J2791" s="154"/>
      <c r="K2791" s="155" t="s">
        <v>2966</v>
      </c>
    </row>
    <row r="2792" spans="1:11" hidden="1" x14ac:dyDescent="0.25">
      <c r="A2792" s="148" t="s">
        <v>7512</v>
      </c>
      <c r="B2792" s="149" t="s">
        <v>7513</v>
      </c>
      <c r="C2792" s="150" t="s">
        <v>18</v>
      </c>
      <c r="D2792" s="150">
        <v>0</v>
      </c>
      <c r="E2792" s="151" t="s">
        <v>13</v>
      </c>
      <c r="F2792" s="152" t="str">
        <f t="shared" si="131"/>
        <v/>
      </c>
      <c r="G2792" s="153">
        <f>IF($K2792="Padrão",BDI!$B$17,IF($K2792="Diferenciado",BDI!$E$17,0))</f>
        <v>0.2039</v>
      </c>
      <c r="H2792" s="151" t="str">
        <f t="shared" si="129"/>
        <v/>
      </c>
      <c r="I2792" s="152" t="str">
        <f t="shared" si="130"/>
        <v/>
      </c>
      <c r="J2792" s="154"/>
      <c r="K2792" s="155" t="s">
        <v>2966</v>
      </c>
    </row>
    <row r="2793" spans="1:11" hidden="1" x14ac:dyDescent="0.25">
      <c r="A2793" s="148" t="s">
        <v>7514</v>
      </c>
      <c r="B2793" s="149" t="s">
        <v>7515</v>
      </c>
      <c r="C2793" s="150" t="s">
        <v>18</v>
      </c>
      <c r="D2793" s="150">
        <v>0</v>
      </c>
      <c r="E2793" s="151" t="s">
        <v>13</v>
      </c>
      <c r="F2793" s="152" t="str">
        <f t="shared" si="131"/>
        <v/>
      </c>
      <c r="G2793" s="153">
        <f>IF($K2793="Padrão",BDI!$B$17,IF($K2793="Diferenciado",BDI!$E$17,0))</f>
        <v>0.2039</v>
      </c>
      <c r="H2793" s="151" t="str">
        <f t="shared" si="129"/>
        <v/>
      </c>
      <c r="I2793" s="152" t="str">
        <f t="shared" si="130"/>
        <v/>
      </c>
      <c r="J2793" s="154"/>
      <c r="K2793" s="155" t="s">
        <v>2966</v>
      </c>
    </row>
    <row r="2794" spans="1:11" hidden="1" x14ac:dyDescent="0.25">
      <c r="A2794" s="148" t="s">
        <v>7516</v>
      </c>
      <c r="B2794" s="149" t="s">
        <v>7517</v>
      </c>
      <c r="C2794" s="150" t="s">
        <v>18</v>
      </c>
      <c r="D2794" s="150">
        <v>0</v>
      </c>
      <c r="E2794" s="151" t="s">
        <v>13</v>
      </c>
      <c r="F2794" s="152" t="str">
        <f t="shared" si="131"/>
        <v/>
      </c>
      <c r="G2794" s="153">
        <f>IF($K2794="Padrão",BDI!$B$17,IF($K2794="Diferenciado",BDI!$E$17,0))</f>
        <v>0.2039</v>
      </c>
      <c r="H2794" s="151" t="str">
        <f t="shared" si="129"/>
        <v/>
      </c>
      <c r="I2794" s="152" t="str">
        <f t="shared" si="130"/>
        <v/>
      </c>
      <c r="J2794" s="154"/>
      <c r="K2794" s="155" t="s">
        <v>2966</v>
      </c>
    </row>
    <row r="2795" spans="1:11" hidden="1" x14ac:dyDescent="0.25">
      <c r="A2795" s="148" t="s">
        <v>7518</v>
      </c>
      <c r="B2795" s="149" t="s">
        <v>7519</v>
      </c>
      <c r="C2795" s="150" t="s">
        <v>18</v>
      </c>
      <c r="D2795" s="150">
        <v>0</v>
      </c>
      <c r="E2795" s="151" t="s">
        <v>13</v>
      </c>
      <c r="F2795" s="152" t="str">
        <f t="shared" si="131"/>
        <v/>
      </c>
      <c r="G2795" s="153">
        <f>IF($K2795="Padrão",BDI!$B$17,IF($K2795="Diferenciado",BDI!$E$17,0))</f>
        <v>0.2039</v>
      </c>
      <c r="H2795" s="151" t="str">
        <f t="shared" si="129"/>
        <v/>
      </c>
      <c r="I2795" s="152" t="str">
        <f t="shared" si="130"/>
        <v/>
      </c>
      <c r="J2795" s="154"/>
      <c r="K2795" s="155" t="s">
        <v>2966</v>
      </c>
    </row>
    <row r="2796" spans="1:11" hidden="1" x14ac:dyDescent="0.25">
      <c r="A2796" s="148" t="s">
        <v>7520</v>
      </c>
      <c r="B2796" s="149" t="s">
        <v>7521</v>
      </c>
      <c r="C2796" s="150" t="s">
        <v>18</v>
      </c>
      <c r="D2796" s="150">
        <v>0</v>
      </c>
      <c r="E2796" s="151" t="s">
        <v>13</v>
      </c>
      <c r="F2796" s="152" t="str">
        <f t="shared" si="131"/>
        <v/>
      </c>
      <c r="G2796" s="153">
        <f>IF($K2796="Padrão",BDI!$B$17,IF($K2796="Diferenciado",BDI!$E$17,0))</f>
        <v>0.2039</v>
      </c>
      <c r="H2796" s="151" t="str">
        <f t="shared" si="129"/>
        <v/>
      </c>
      <c r="I2796" s="152" t="str">
        <f t="shared" si="130"/>
        <v/>
      </c>
      <c r="J2796" s="154"/>
      <c r="K2796" s="155" t="s">
        <v>2966</v>
      </c>
    </row>
    <row r="2797" spans="1:11" hidden="1" x14ac:dyDescent="0.25">
      <c r="A2797" s="148" t="s">
        <v>7522</v>
      </c>
      <c r="B2797" s="149" t="s">
        <v>7523</v>
      </c>
      <c r="C2797" s="150" t="s">
        <v>18</v>
      </c>
      <c r="D2797" s="150">
        <v>0</v>
      </c>
      <c r="E2797" s="151" t="s">
        <v>13</v>
      </c>
      <c r="F2797" s="152" t="str">
        <f t="shared" si="131"/>
        <v/>
      </c>
      <c r="G2797" s="153">
        <f>IF($K2797="Padrão",BDI!$B$17,IF($K2797="Diferenciado",BDI!$E$17,0))</f>
        <v>0.2039</v>
      </c>
      <c r="H2797" s="151" t="str">
        <f t="shared" si="129"/>
        <v/>
      </c>
      <c r="I2797" s="152" t="str">
        <f t="shared" si="130"/>
        <v/>
      </c>
      <c r="J2797" s="154"/>
      <c r="K2797" s="155" t="s">
        <v>2966</v>
      </c>
    </row>
    <row r="2798" spans="1:11" hidden="1" x14ac:dyDescent="0.25">
      <c r="A2798" s="148" t="s">
        <v>7524</v>
      </c>
      <c r="B2798" s="149" t="s">
        <v>7525</v>
      </c>
      <c r="C2798" s="150" t="s">
        <v>18</v>
      </c>
      <c r="D2798" s="150">
        <v>0</v>
      </c>
      <c r="E2798" s="151" t="s">
        <v>13</v>
      </c>
      <c r="F2798" s="152" t="str">
        <f t="shared" si="131"/>
        <v/>
      </c>
      <c r="G2798" s="153">
        <f>IF($K2798="Padrão",BDI!$B$17,IF($K2798="Diferenciado",BDI!$E$17,0))</f>
        <v>0.2039</v>
      </c>
      <c r="H2798" s="151" t="str">
        <f t="shared" si="129"/>
        <v/>
      </c>
      <c r="I2798" s="152" t="str">
        <f t="shared" si="130"/>
        <v/>
      </c>
      <c r="J2798" s="154"/>
      <c r="K2798" s="155" t="s">
        <v>2966</v>
      </c>
    </row>
    <row r="2799" spans="1:11" hidden="1" x14ac:dyDescent="0.25">
      <c r="A2799" s="148" t="s">
        <v>7526</v>
      </c>
      <c r="B2799" s="149" t="s">
        <v>7527</v>
      </c>
      <c r="C2799" s="150" t="s">
        <v>18</v>
      </c>
      <c r="D2799" s="150">
        <v>0</v>
      </c>
      <c r="E2799" s="151" t="s">
        <v>13</v>
      </c>
      <c r="F2799" s="152" t="str">
        <f t="shared" si="131"/>
        <v/>
      </c>
      <c r="G2799" s="153">
        <f>IF($K2799="Padrão",BDI!$B$17,IF($K2799="Diferenciado",BDI!$E$17,0))</f>
        <v>0.2039</v>
      </c>
      <c r="H2799" s="151" t="str">
        <f t="shared" si="129"/>
        <v/>
      </c>
      <c r="I2799" s="152" t="str">
        <f t="shared" si="130"/>
        <v/>
      </c>
      <c r="J2799" s="154"/>
      <c r="K2799" s="155" t="s">
        <v>2966</v>
      </c>
    </row>
    <row r="2800" spans="1:11" hidden="1" x14ac:dyDescent="0.25">
      <c r="A2800" s="148" t="s">
        <v>7528</v>
      </c>
      <c r="B2800" s="149" t="s">
        <v>7529</v>
      </c>
      <c r="C2800" s="150" t="s">
        <v>18</v>
      </c>
      <c r="D2800" s="150">
        <v>0</v>
      </c>
      <c r="E2800" s="151" t="s">
        <v>13</v>
      </c>
      <c r="F2800" s="152" t="str">
        <f t="shared" si="131"/>
        <v/>
      </c>
      <c r="G2800" s="153">
        <f>IF($K2800="Padrão",BDI!$B$17,IF($K2800="Diferenciado",BDI!$E$17,0))</f>
        <v>0.2039</v>
      </c>
      <c r="H2800" s="151" t="str">
        <f t="shared" si="129"/>
        <v/>
      </c>
      <c r="I2800" s="152" t="str">
        <f t="shared" si="130"/>
        <v/>
      </c>
      <c r="J2800" s="154"/>
      <c r="K2800" s="155" t="s">
        <v>2966</v>
      </c>
    </row>
    <row r="2801" spans="1:11" hidden="1" x14ac:dyDescent="0.25">
      <c r="A2801" s="148" t="s">
        <v>7530</v>
      </c>
      <c r="B2801" s="149" t="s">
        <v>7531</v>
      </c>
      <c r="C2801" s="150" t="s">
        <v>18</v>
      </c>
      <c r="D2801" s="150">
        <v>0</v>
      </c>
      <c r="E2801" s="151" t="s">
        <v>13</v>
      </c>
      <c r="F2801" s="152" t="str">
        <f t="shared" si="131"/>
        <v/>
      </c>
      <c r="G2801" s="153">
        <f>IF($K2801="Padrão",BDI!$B$17,IF($K2801="Diferenciado",BDI!$E$17,0))</f>
        <v>0.2039</v>
      </c>
      <c r="H2801" s="151" t="str">
        <f t="shared" si="129"/>
        <v/>
      </c>
      <c r="I2801" s="152" t="str">
        <f t="shared" si="130"/>
        <v/>
      </c>
      <c r="J2801" s="154"/>
      <c r="K2801" s="155" t="s">
        <v>2966</v>
      </c>
    </row>
    <row r="2802" spans="1:11" hidden="1" x14ac:dyDescent="0.25">
      <c r="A2802" s="148" t="s">
        <v>7532</v>
      </c>
      <c r="B2802" s="149" t="s">
        <v>7533</v>
      </c>
      <c r="C2802" s="150" t="s">
        <v>18</v>
      </c>
      <c r="D2802" s="150">
        <v>0</v>
      </c>
      <c r="E2802" s="151" t="s">
        <v>13</v>
      </c>
      <c r="F2802" s="152" t="str">
        <f t="shared" si="131"/>
        <v/>
      </c>
      <c r="G2802" s="153">
        <f>IF($K2802="Padrão",BDI!$B$17,IF($K2802="Diferenciado",BDI!$E$17,0))</f>
        <v>0.2039</v>
      </c>
      <c r="H2802" s="151" t="str">
        <f t="shared" si="129"/>
        <v/>
      </c>
      <c r="I2802" s="152" t="str">
        <f t="shared" si="130"/>
        <v/>
      </c>
      <c r="J2802" s="154"/>
      <c r="K2802" s="155" t="s">
        <v>2966</v>
      </c>
    </row>
    <row r="2803" spans="1:11" hidden="1" x14ac:dyDescent="0.25">
      <c r="A2803" s="148" t="s">
        <v>7534</v>
      </c>
      <c r="B2803" s="149" t="s">
        <v>7535</v>
      </c>
      <c r="C2803" s="150" t="s">
        <v>18</v>
      </c>
      <c r="D2803" s="150">
        <v>0</v>
      </c>
      <c r="E2803" s="151" t="s">
        <v>13</v>
      </c>
      <c r="F2803" s="152" t="str">
        <f t="shared" si="131"/>
        <v/>
      </c>
      <c r="G2803" s="153">
        <f>IF($K2803="Padrão",BDI!$B$17,IF($K2803="Diferenciado",BDI!$E$17,0))</f>
        <v>0.2039</v>
      </c>
      <c r="H2803" s="151" t="str">
        <f t="shared" si="129"/>
        <v/>
      </c>
      <c r="I2803" s="152" t="str">
        <f t="shared" si="130"/>
        <v/>
      </c>
      <c r="J2803" s="154"/>
      <c r="K2803" s="155" t="s">
        <v>2966</v>
      </c>
    </row>
    <row r="2804" spans="1:11" hidden="1" x14ac:dyDescent="0.25">
      <c r="A2804" s="148" t="s">
        <v>7536</v>
      </c>
      <c r="B2804" s="149" t="s">
        <v>7537</v>
      </c>
      <c r="C2804" s="150" t="s">
        <v>18</v>
      </c>
      <c r="D2804" s="150">
        <v>0</v>
      </c>
      <c r="E2804" s="151" t="s">
        <v>13</v>
      </c>
      <c r="F2804" s="152" t="str">
        <f t="shared" si="131"/>
        <v/>
      </c>
      <c r="G2804" s="153">
        <f>IF($K2804="Padrão",BDI!$B$17,IF($K2804="Diferenciado",BDI!$E$17,0))</f>
        <v>0.2039</v>
      </c>
      <c r="H2804" s="151" t="str">
        <f t="shared" si="129"/>
        <v/>
      </c>
      <c r="I2804" s="152" t="str">
        <f t="shared" si="130"/>
        <v/>
      </c>
      <c r="J2804" s="154"/>
      <c r="K2804" s="155" t="s">
        <v>2966</v>
      </c>
    </row>
    <row r="2805" spans="1:11" hidden="1" x14ac:dyDescent="0.25">
      <c r="A2805" s="148" t="s">
        <v>7538</v>
      </c>
      <c r="B2805" s="149" t="s">
        <v>7539</v>
      </c>
      <c r="C2805" s="150" t="s">
        <v>18</v>
      </c>
      <c r="D2805" s="150">
        <v>0</v>
      </c>
      <c r="E2805" s="151" t="s">
        <v>13</v>
      </c>
      <c r="F2805" s="152" t="str">
        <f t="shared" si="131"/>
        <v/>
      </c>
      <c r="G2805" s="153">
        <f>IF($K2805="Padrão",BDI!$B$17,IF($K2805="Diferenciado",BDI!$E$17,0))</f>
        <v>0.2039</v>
      </c>
      <c r="H2805" s="151" t="str">
        <f t="shared" si="129"/>
        <v/>
      </c>
      <c r="I2805" s="152" t="str">
        <f t="shared" si="130"/>
        <v/>
      </c>
      <c r="J2805" s="154"/>
      <c r="K2805" s="155" t="s">
        <v>2966</v>
      </c>
    </row>
    <row r="2806" spans="1:11" hidden="1" x14ac:dyDescent="0.25">
      <c r="A2806" s="148" t="s">
        <v>1585</v>
      </c>
      <c r="B2806" s="149" t="s">
        <v>7540</v>
      </c>
      <c r="C2806" s="150" t="s">
        <v>18</v>
      </c>
      <c r="D2806" s="150">
        <v>0</v>
      </c>
      <c r="E2806" s="151">
        <f ca="1">OFFSET(INDEX(Composições!A:H,MATCH(Orçamentária!A2806,Composições!A:A,0),8),2,0)</f>
        <v>20.529499999999999</v>
      </c>
      <c r="F2806" s="152">
        <f t="shared" ca="1" si="131"/>
        <v>0</v>
      </c>
      <c r="G2806" s="153">
        <f>IF($K2806="Padrão",BDI!$B$17,IF($K2806="Diferenciado",BDI!$E$17,0))</f>
        <v>0.2039</v>
      </c>
      <c r="H2806" s="151">
        <f t="shared" ca="1" si="129"/>
        <v>24.72</v>
      </c>
      <c r="I2806" s="152">
        <f t="shared" ca="1" si="130"/>
        <v>0</v>
      </c>
      <c r="J2806" s="154"/>
      <c r="K2806" s="155" t="s">
        <v>2966</v>
      </c>
    </row>
    <row r="2807" spans="1:11" hidden="1" x14ac:dyDescent="0.25">
      <c r="A2807" s="148" t="s">
        <v>7541</v>
      </c>
      <c r="B2807" s="149" t="s">
        <v>7542</v>
      </c>
      <c r="C2807" s="150" t="s">
        <v>18</v>
      </c>
      <c r="D2807" s="150">
        <v>0</v>
      </c>
      <c r="E2807" s="151" t="s">
        <v>13</v>
      </c>
      <c r="F2807" s="152" t="str">
        <f t="shared" si="131"/>
        <v/>
      </c>
      <c r="G2807" s="153">
        <f>IF($K2807="Padrão",BDI!$B$17,IF($K2807="Diferenciado",BDI!$E$17,0))</f>
        <v>0.2039</v>
      </c>
      <c r="H2807" s="151" t="str">
        <f t="shared" si="129"/>
        <v/>
      </c>
      <c r="I2807" s="152" t="str">
        <f t="shared" si="130"/>
        <v/>
      </c>
      <c r="J2807" s="154"/>
      <c r="K2807" s="155" t="s">
        <v>2966</v>
      </c>
    </row>
    <row r="2808" spans="1:11" hidden="1" x14ac:dyDescent="0.25">
      <c r="A2808" s="148" t="s">
        <v>7543</v>
      </c>
      <c r="B2808" s="149" t="s">
        <v>7544</v>
      </c>
      <c r="C2808" s="150" t="s">
        <v>18</v>
      </c>
      <c r="D2808" s="150">
        <v>0</v>
      </c>
      <c r="E2808" s="151" t="s">
        <v>13</v>
      </c>
      <c r="F2808" s="152" t="str">
        <f t="shared" si="131"/>
        <v/>
      </c>
      <c r="G2808" s="153">
        <f>IF($K2808="Padrão",BDI!$B$17,IF($K2808="Diferenciado",BDI!$E$17,0))</f>
        <v>0.2039</v>
      </c>
      <c r="H2808" s="151" t="str">
        <f t="shared" si="129"/>
        <v/>
      </c>
      <c r="I2808" s="152" t="str">
        <f t="shared" si="130"/>
        <v/>
      </c>
      <c r="J2808" s="154"/>
      <c r="K2808" s="155" t="s">
        <v>2966</v>
      </c>
    </row>
    <row r="2809" spans="1:11" hidden="1" x14ac:dyDescent="0.25">
      <c r="A2809" s="148" t="s">
        <v>7545</v>
      </c>
      <c r="B2809" s="149" t="s">
        <v>7546</v>
      </c>
      <c r="C2809" s="150" t="s">
        <v>18</v>
      </c>
      <c r="D2809" s="150">
        <v>0</v>
      </c>
      <c r="E2809" s="151" t="s">
        <v>13</v>
      </c>
      <c r="F2809" s="152" t="str">
        <f t="shared" si="131"/>
        <v/>
      </c>
      <c r="G2809" s="153">
        <f>IF($K2809="Padrão",BDI!$B$17,IF($K2809="Diferenciado",BDI!$E$17,0))</f>
        <v>0.2039</v>
      </c>
      <c r="H2809" s="151" t="str">
        <f t="shared" si="129"/>
        <v/>
      </c>
      <c r="I2809" s="152" t="str">
        <f t="shared" si="130"/>
        <v/>
      </c>
      <c r="J2809" s="154"/>
      <c r="K2809" s="155" t="s">
        <v>2966</v>
      </c>
    </row>
    <row r="2810" spans="1:11" hidden="1" x14ac:dyDescent="0.25">
      <c r="A2810" s="148" t="s">
        <v>7547</v>
      </c>
      <c r="B2810" s="149" t="s">
        <v>7548</v>
      </c>
      <c r="C2810" s="150" t="s">
        <v>18</v>
      </c>
      <c r="D2810" s="150">
        <v>0</v>
      </c>
      <c r="E2810" s="151" t="s">
        <v>13</v>
      </c>
      <c r="F2810" s="152" t="str">
        <f t="shared" si="131"/>
        <v/>
      </c>
      <c r="G2810" s="153">
        <f>IF($K2810="Padrão",BDI!$B$17,IF($K2810="Diferenciado",BDI!$E$17,0))</f>
        <v>0.2039</v>
      </c>
      <c r="H2810" s="151" t="str">
        <f t="shared" si="129"/>
        <v/>
      </c>
      <c r="I2810" s="152" t="str">
        <f t="shared" si="130"/>
        <v/>
      </c>
      <c r="J2810" s="154"/>
      <c r="K2810" s="155" t="s">
        <v>2966</v>
      </c>
    </row>
    <row r="2811" spans="1:11" hidden="1" x14ac:dyDescent="0.25">
      <c r="A2811" s="148" t="s">
        <v>7549</v>
      </c>
      <c r="B2811" s="149" t="s">
        <v>7550</v>
      </c>
      <c r="C2811" s="150" t="s">
        <v>18</v>
      </c>
      <c r="D2811" s="150">
        <v>0</v>
      </c>
      <c r="E2811" s="151" t="s">
        <v>13</v>
      </c>
      <c r="F2811" s="152" t="str">
        <f t="shared" si="131"/>
        <v/>
      </c>
      <c r="G2811" s="153">
        <f>IF($K2811="Padrão",BDI!$B$17,IF($K2811="Diferenciado",BDI!$E$17,0))</f>
        <v>0.2039</v>
      </c>
      <c r="H2811" s="151" t="str">
        <f t="shared" si="129"/>
        <v/>
      </c>
      <c r="I2811" s="152" t="str">
        <f t="shared" si="130"/>
        <v/>
      </c>
      <c r="J2811" s="154"/>
      <c r="K2811" s="155" t="s">
        <v>2966</v>
      </c>
    </row>
    <row r="2812" spans="1:11" hidden="1" x14ac:dyDescent="0.25">
      <c r="A2812" s="148" t="s">
        <v>1586</v>
      </c>
      <c r="B2812" s="149" t="s">
        <v>7551</v>
      </c>
      <c r="C2812" s="150" t="s">
        <v>18</v>
      </c>
      <c r="D2812" s="150">
        <v>0</v>
      </c>
      <c r="E2812" s="151">
        <f ca="1">OFFSET(INDEX(Composições!A:H,MATCH(Orçamentária!A2812,Composições!A:A,0),8),2,0)</f>
        <v>46.987000000000002</v>
      </c>
      <c r="F2812" s="152">
        <f t="shared" ca="1" si="131"/>
        <v>0</v>
      </c>
      <c r="G2812" s="153">
        <f>IF($K2812="Padrão",BDI!$B$17,IF($K2812="Diferenciado",BDI!$E$17,0))</f>
        <v>0.2039</v>
      </c>
      <c r="H2812" s="151">
        <f t="shared" ca="1" si="129"/>
        <v>56.57</v>
      </c>
      <c r="I2812" s="152">
        <f t="shared" ca="1" si="130"/>
        <v>0</v>
      </c>
      <c r="J2812" s="154"/>
      <c r="K2812" s="155" t="s">
        <v>2966</v>
      </c>
    </row>
    <row r="2813" spans="1:11" hidden="1" x14ac:dyDescent="0.25">
      <c r="A2813" s="148" t="s">
        <v>1587</v>
      </c>
      <c r="B2813" s="149" t="s">
        <v>7552</v>
      </c>
      <c r="C2813" s="150" t="s">
        <v>18</v>
      </c>
      <c r="D2813" s="150">
        <v>0</v>
      </c>
      <c r="E2813" s="151">
        <f ca="1">OFFSET(INDEX(Composições!A:H,MATCH(Orçamentária!A2813,Composições!A:A,0),8),2,0)</f>
        <v>54.225999999999999</v>
      </c>
      <c r="F2813" s="152">
        <f t="shared" ca="1" si="131"/>
        <v>0</v>
      </c>
      <c r="G2813" s="153">
        <f>IF($K2813="Padrão",BDI!$B$17,IF($K2813="Diferenciado",BDI!$E$17,0))</f>
        <v>0.2039</v>
      </c>
      <c r="H2813" s="151">
        <f t="shared" ca="1" si="129"/>
        <v>65.28</v>
      </c>
      <c r="I2813" s="152">
        <f t="shared" ca="1" si="130"/>
        <v>0</v>
      </c>
      <c r="J2813" s="154"/>
      <c r="K2813" s="155" t="s">
        <v>2966</v>
      </c>
    </row>
    <row r="2814" spans="1:11" hidden="1" x14ac:dyDescent="0.25">
      <c r="A2814" s="148" t="s">
        <v>1588</v>
      </c>
      <c r="B2814" s="149" t="s">
        <v>7553</v>
      </c>
      <c r="C2814" s="150" t="s">
        <v>18</v>
      </c>
      <c r="D2814" s="150">
        <v>0</v>
      </c>
      <c r="E2814" s="151">
        <f ca="1">OFFSET(INDEX(Composições!A:H,MATCH(Orçamentária!A2814,Composições!A:A,0),8),2,0)</f>
        <v>131.499</v>
      </c>
      <c r="F2814" s="152">
        <f t="shared" ca="1" si="131"/>
        <v>0</v>
      </c>
      <c r="G2814" s="153">
        <f>IF($K2814="Padrão",BDI!$B$17,IF($K2814="Diferenciado",BDI!$E$17,0))</f>
        <v>0.2039</v>
      </c>
      <c r="H2814" s="151">
        <f t="shared" ca="1" si="129"/>
        <v>158.31</v>
      </c>
      <c r="I2814" s="152">
        <f t="shared" ca="1" si="130"/>
        <v>0</v>
      </c>
      <c r="J2814" s="154"/>
      <c r="K2814" s="155" t="s">
        <v>2966</v>
      </c>
    </row>
    <row r="2815" spans="1:11" hidden="1" x14ac:dyDescent="0.25">
      <c r="A2815" s="148" t="s">
        <v>1589</v>
      </c>
      <c r="B2815" s="149" t="s">
        <v>7554</v>
      </c>
      <c r="C2815" s="150" t="s">
        <v>18</v>
      </c>
      <c r="D2815" s="150">
        <v>0</v>
      </c>
      <c r="E2815" s="151">
        <f ca="1">OFFSET(INDEX(Composições!A:H,MATCH(Orçamentária!A2815,Composições!A:A,0),8),2,0)</f>
        <v>202.768</v>
      </c>
      <c r="F2815" s="152">
        <f t="shared" ca="1" si="131"/>
        <v>0</v>
      </c>
      <c r="G2815" s="153">
        <f>IF($K2815="Padrão",BDI!$B$17,IF($K2815="Diferenciado",BDI!$E$17,0))</f>
        <v>0.2039</v>
      </c>
      <c r="H2815" s="151">
        <f t="shared" ca="1" si="129"/>
        <v>244.11</v>
      </c>
      <c r="I2815" s="152">
        <f t="shared" ca="1" si="130"/>
        <v>0</v>
      </c>
      <c r="J2815" s="154"/>
      <c r="K2815" s="155" t="s">
        <v>2966</v>
      </c>
    </row>
    <row r="2816" spans="1:11" ht="25.5" hidden="1" x14ac:dyDescent="0.25">
      <c r="A2816" s="148" t="s">
        <v>1590</v>
      </c>
      <c r="B2816" s="149" t="s">
        <v>7555</v>
      </c>
      <c r="C2816" s="150" t="s">
        <v>18</v>
      </c>
      <c r="D2816" s="150">
        <v>0</v>
      </c>
      <c r="E2816" s="151">
        <f ca="1">OFFSET(INDEX(Composições!A:H,MATCH(Orçamentária!A2816,Composições!A:A,0),8),2,0)</f>
        <v>46.987000000000002</v>
      </c>
      <c r="F2816" s="152">
        <f t="shared" ca="1" si="131"/>
        <v>0</v>
      </c>
      <c r="G2816" s="153">
        <f>IF($K2816="Padrão",BDI!$B$17,IF($K2816="Diferenciado",BDI!$E$17,0))</f>
        <v>0.2039</v>
      </c>
      <c r="H2816" s="151">
        <f t="shared" ca="1" si="129"/>
        <v>56.57</v>
      </c>
      <c r="I2816" s="152">
        <f t="shared" ca="1" si="130"/>
        <v>0</v>
      </c>
      <c r="J2816" s="154"/>
      <c r="K2816" s="155" t="s">
        <v>2966</v>
      </c>
    </row>
    <row r="2817" spans="1:11" hidden="1" x14ac:dyDescent="0.25">
      <c r="A2817" s="148" t="s">
        <v>1591</v>
      </c>
      <c r="B2817" s="149" t="s">
        <v>7556</v>
      </c>
      <c r="C2817" s="150" t="s">
        <v>18</v>
      </c>
      <c r="D2817" s="150">
        <v>0</v>
      </c>
      <c r="E2817" s="151">
        <f ca="1">OFFSET(INDEX(Composições!A:H,MATCH(Orçamentária!A2817,Composições!A:A,0),8),2,0)</f>
        <v>89.784499999999994</v>
      </c>
      <c r="F2817" s="152">
        <f t="shared" ca="1" si="131"/>
        <v>0</v>
      </c>
      <c r="G2817" s="153">
        <f>IF($K2817="Padrão",BDI!$B$17,IF($K2817="Diferenciado",BDI!$E$17,0))</f>
        <v>0.2039</v>
      </c>
      <c r="H2817" s="151">
        <f t="shared" ca="1" si="129"/>
        <v>108.09</v>
      </c>
      <c r="I2817" s="152">
        <f t="shared" ca="1" si="130"/>
        <v>0</v>
      </c>
      <c r="J2817" s="154"/>
      <c r="K2817" s="155" t="s">
        <v>2966</v>
      </c>
    </row>
    <row r="2818" spans="1:11" hidden="1" x14ac:dyDescent="0.25">
      <c r="A2818" s="148" t="s">
        <v>1592</v>
      </c>
      <c r="B2818" s="149" t="s">
        <v>7557</v>
      </c>
      <c r="C2818" s="150" t="s">
        <v>18</v>
      </c>
      <c r="D2818" s="150">
        <v>0</v>
      </c>
      <c r="E2818" s="151">
        <f ca="1">OFFSET(INDEX(Composições!A:H,MATCH(Orçamentária!A2818,Composições!A:A,0),8),2,0)</f>
        <v>71.11699999999999</v>
      </c>
      <c r="F2818" s="152">
        <f t="shared" ca="1" si="131"/>
        <v>0</v>
      </c>
      <c r="G2818" s="153">
        <f>IF($K2818="Padrão",BDI!$B$17,IF($K2818="Diferenciado",BDI!$E$17,0))</f>
        <v>0.2039</v>
      </c>
      <c r="H2818" s="151">
        <f t="shared" ca="1" si="129"/>
        <v>85.62</v>
      </c>
      <c r="I2818" s="152">
        <f t="shared" ca="1" si="130"/>
        <v>0</v>
      </c>
      <c r="J2818" s="154"/>
      <c r="K2818" s="155" t="s">
        <v>2966</v>
      </c>
    </row>
    <row r="2819" spans="1:11" hidden="1" x14ac:dyDescent="0.25">
      <c r="A2819" s="148" t="s">
        <v>1593</v>
      </c>
      <c r="B2819" s="149" t="s">
        <v>7558</v>
      </c>
      <c r="C2819" s="150" t="s">
        <v>18</v>
      </c>
      <c r="D2819" s="150">
        <v>0</v>
      </c>
      <c r="E2819" s="151">
        <f ca="1">OFFSET(INDEX(Composições!A:H,MATCH(Orçamentária!A2819,Composições!A:A,0),8),2,0)</f>
        <v>52.183499999999995</v>
      </c>
      <c r="F2819" s="152">
        <f t="shared" ca="1" si="131"/>
        <v>0</v>
      </c>
      <c r="G2819" s="153">
        <f>IF($K2819="Padrão",BDI!$B$17,IF($K2819="Diferenciado",BDI!$E$17,0))</f>
        <v>0.2039</v>
      </c>
      <c r="H2819" s="151">
        <f t="shared" ca="1" si="129"/>
        <v>62.82</v>
      </c>
      <c r="I2819" s="152">
        <f t="shared" ca="1" si="130"/>
        <v>0</v>
      </c>
      <c r="J2819" s="154"/>
      <c r="K2819" s="155" t="s">
        <v>2966</v>
      </c>
    </row>
    <row r="2820" spans="1:11" hidden="1" x14ac:dyDescent="0.25">
      <c r="A2820" s="148" t="s">
        <v>1594</v>
      </c>
      <c r="B2820" s="149" t="s">
        <v>7559</v>
      </c>
      <c r="C2820" s="150" t="s">
        <v>18</v>
      </c>
      <c r="D2820" s="150">
        <v>0</v>
      </c>
      <c r="E2820" s="151">
        <f ca="1">OFFSET(INDEX(Composições!A:H,MATCH(Orçamentária!A2820,Composições!A:A,0),8),2,0)</f>
        <v>31.340499999999999</v>
      </c>
      <c r="F2820" s="152">
        <f t="shared" ca="1" si="131"/>
        <v>0</v>
      </c>
      <c r="G2820" s="153">
        <f>IF($K2820="Padrão",BDI!$B$17,IF($K2820="Diferenciado",BDI!$E$17,0))</f>
        <v>0.2039</v>
      </c>
      <c r="H2820" s="151">
        <f t="shared" ca="1" si="129"/>
        <v>37.729999999999997</v>
      </c>
      <c r="I2820" s="152">
        <f t="shared" ca="1" si="130"/>
        <v>0</v>
      </c>
      <c r="J2820" s="154"/>
      <c r="K2820" s="155" t="s">
        <v>2966</v>
      </c>
    </row>
    <row r="2821" spans="1:11" hidden="1" x14ac:dyDescent="0.25">
      <c r="A2821" s="148" t="s">
        <v>1595</v>
      </c>
      <c r="B2821" s="149" t="s">
        <v>7560</v>
      </c>
      <c r="C2821" s="150" t="s">
        <v>18</v>
      </c>
      <c r="D2821" s="150">
        <v>0</v>
      </c>
      <c r="E2821" s="151">
        <f ca="1">OFFSET(INDEX(Composições!A:H,MATCH(Orçamentária!A2821,Composições!A:A,0),8),2,0)</f>
        <v>259.37849999999997</v>
      </c>
      <c r="F2821" s="152">
        <f t="shared" ca="1" si="131"/>
        <v>0</v>
      </c>
      <c r="G2821" s="153">
        <f>IF($K2821="Padrão",BDI!$B$17,IF($K2821="Diferenciado",BDI!$E$17,0))</f>
        <v>0.2039</v>
      </c>
      <c r="H2821" s="151">
        <f t="shared" ca="1" si="129"/>
        <v>312.27</v>
      </c>
      <c r="I2821" s="152">
        <f t="shared" ca="1" si="130"/>
        <v>0</v>
      </c>
      <c r="J2821" s="154"/>
      <c r="K2821" s="155" t="s">
        <v>2966</v>
      </c>
    </row>
    <row r="2822" spans="1:11" hidden="1" x14ac:dyDescent="0.25">
      <c r="A2822" s="148" t="s">
        <v>1596</v>
      </c>
      <c r="B2822" s="149" t="s">
        <v>7561</v>
      </c>
      <c r="C2822" s="150" t="s">
        <v>18</v>
      </c>
      <c r="D2822" s="150">
        <v>0</v>
      </c>
      <c r="E2822" s="151">
        <f ca="1">OFFSET(INDEX(Composições!A:H,MATCH(Orçamentária!A2822,Composições!A:A,0),8),2,0)</f>
        <v>125.0675</v>
      </c>
      <c r="F2822" s="152">
        <f t="shared" ca="1" si="131"/>
        <v>0</v>
      </c>
      <c r="G2822" s="153">
        <f>IF($K2822="Padrão",BDI!$B$17,IF($K2822="Diferenciado",BDI!$E$17,0))</f>
        <v>0.2039</v>
      </c>
      <c r="H2822" s="151">
        <f t="shared" ref="H2822:H2885" ca="1" si="132">IF(ISNUMBER(E2822),ROUND(E2822*(1+G2822),2),"")</f>
        <v>150.57</v>
      </c>
      <c r="I2822" s="152">
        <f t="shared" ref="I2822:I2885" ca="1" si="133">IF(ISNUMBER(E2822),ROUND(H2822*D2822,2),"")</f>
        <v>0</v>
      </c>
      <c r="J2822" s="154"/>
      <c r="K2822" s="155" t="s">
        <v>2966</v>
      </c>
    </row>
    <row r="2823" spans="1:11" hidden="1" x14ac:dyDescent="0.25">
      <c r="A2823" s="148" t="s">
        <v>1597</v>
      </c>
      <c r="B2823" s="149" t="s">
        <v>7562</v>
      </c>
      <c r="C2823" s="150" t="s">
        <v>18</v>
      </c>
      <c r="D2823" s="150">
        <v>0</v>
      </c>
      <c r="E2823" s="151">
        <f ca="1">OFFSET(INDEX(Composições!A:H,MATCH(Orçamentária!A2823,Composições!A:A,0),8),2,0)</f>
        <v>314.02249999999998</v>
      </c>
      <c r="F2823" s="152">
        <f t="shared" ref="F2823:F2886" ca="1" si="134">IF(ISNUMBER(E2823),D2823*E2823,"")</f>
        <v>0</v>
      </c>
      <c r="G2823" s="153">
        <f>IF($K2823="Padrão",BDI!$B$17,IF($K2823="Diferenciado",BDI!$E$17,0))</f>
        <v>0.2039</v>
      </c>
      <c r="H2823" s="151">
        <f t="shared" ca="1" si="132"/>
        <v>378.05</v>
      </c>
      <c r="I2823" s="152">
        <f t="shared" ca="1" si="133"/>
        <v>0</v>
      </c>
      <c r="J2823" s="154"/>
      <c r="K2823" s="155" t="s">
        <v>2966</v>
      </c>
    </row>
    <row r="2824" spans="1:11" hidden="1" x14ac:dyDescent="0.25">
      <c r="A2824" s="148" t="s">
        <v>1598</v>
      </c>
      <c r="B2824" s="149" t="s">
        <v>7563</v>
      </c>
      <c r="C2824" s="150" t="s">
        <v>18</v>
      </c>
      <c r="D2824" s="150">
        <v>0</v>
      </c>
      <c r="E2824" s="151">
        <f ca="1">OFFSET(INDEX(Composições!A:H,MATCH(Orçamentária!A2824,Composições!A:A,0),8),2,0)</f>
        <v>33.059999999999995</v>
      </c>
      <c r="F2824" s="152">
        <f t="shared" ca="1" si="134"/>
        <v>0</v>
      </c>
      <c r="G2824" s="153">
        <f>IF($K2824="Padrão",BDI!$B$17,IF($K2824="Diferenciado",BDI!$E$17,0))</f>
        <v>0.2039</v>
      </c>
      <c r="H2824" s="151">
        <f t="shared" ca="1" si="132"/>
        <v>39.799999999999997</v>
      </c>
      <c r="I2824" s="152">
        <f t="shared" ca="1" si="133"/>
        <v>0</v>
      </c>
      <c r="J2824" s="154"/>
      <c r="K2824" s="155" t="s">
        <v>2966</v>
      </c>
    </row>
    <row r="2825" spans="1:11" hidden="1" x14ac:dyDescent="0.25">
      <c r="A2825" s="148" t="s">
        <v>1599</v>
      </c>
      <c r="B2825" s="149" t="s">
        <v>7564</v>
      </c>
      <c r="C2825" s="150" t="s">
        <v>18</v>
      </c>
      <c r="D2825" s="150">
        <v>0</v>
      </c>
      <c r="E2825" s="151">
        <f ca="1">OFFSET(INDEX(Composições!A:H,MATCH(Orçamentária!A2825,Composições!A:A,0),8),2,0)</f>
        <v>654.303</v>
      </c>
      <c r="F2825" s="152">
        <f t="shared" ca="1" si="134"/>
        <v>0</v>
      </c>
      <c r="G2825" s="153">
        <f>IF($K2825="Padrão",BDI!$B$17,IF($K2825="Diferenciado",BDI!$E$17,0))</f>
        <v>0.2039</v>
      </c>
      <c r="H2825" s="151">
        <f t="shared" ca="1" si="132"/>
        <v>787.72</v>
      </c>
      <c r="I2825" s="152">
        <f t="shared" ca="1" si="133"/>
        <v>0</v>
      </c>
      <c r="J2825" s="154"/>
      <c r="K2825" s="155" t="s">
        <v>2966</v>
      </c>
    </row>
    <row r="2826" spans="1:11" hidden="1" x14ac:dyDescent="0.25">
      <c r="A2826" s="148" t="s">
        <v>7565</v>
      </c>
      <c r="B2826" s="149" t="s">
        <v>7566</v>
      </c>
      <c r="C2826" s="150" t="s">
        <v>18</v>
      </c>
      <c r="D2826" s="150">
        <v>0</v>
      </c>
      <c r="E2826" s="151" t="s">
        <v>13</v>
      </c>
      <c r="F2826" s="152" t="str">
        <f t="shared" si="134"/>
        <v/>
      </c>
      <c r="G2826" s="153">
        <f>IF($K2826="Padrão",BDI!$B$17,IF($K2826="Diferenciado",BDI!$E$17,0))</f>
        <v>0.2039</v>
      </c>
      <c r="H2826" s="151" t="str">
        <f t="shared" si="132"/>
        <v/>
      </c>
      <c r="I2826" s="152" t="str">
        <f t="shared" si="133"/>
        <v/>
      </c>
      <c r="J2826" s="154"/>
      <c r="K2826" s="155" t="s">
        <v>2966</v>
      </c>
    </row>
    <row r="2827" spans="1:11" hidden="1" x14ac:dyDescent="0.25">
      <c r="A2827" s="148" t="s">
        <v>7567</v>
      </c>
      <c r="B2827" s="149" t="s">
        <v>7568</v>
      </c>
      <c r="C2827" s="150" t="s">
        <v>18</v>
      </c>
      <c r="D2827" s="150">
        <v>0</v>
      </c>
      <c r="E2827" s="151" t="s">
        <v>13</v>
      </c>
      <c r="F2827" s="152" t="str">
        <f t="shared" si="134"/>
        <v/>
      </c>
      <c r="G2827" s="153">
        <f>IF($K2827="Padrão",BDI!$B$17,IF($K2827="Diferenciado",BDI!$E$17,0))</f>
        <v>0.2039</v>
      </c>
      <c r="H2827" s="151" t="str">
        <f t="shared" si="132"/>
        <v/>
      </c>
      <c r="I2827" s="152" t="str">
        <f t="shared" si="133"/>
        <v/>
      </c>
      <c r="J2827" s="154"/>
      <c r="K2827" s="155" t="s">
        <v>2966</v>
      </c>
    </row>
    <row r="2828" spans="1:11" hidden="1" x14ac:dyDescent="0.25">
      <c r="A2828" s="148" t="s">
        <v>1600</v>
      </c>
      <c r="B2828" s="149" t="s">
        <v>7569</v>
      </c>
      <c r="C2828" s="150" t="s">
        <v>18</v>
      </c>
      <c r="D2828" s="150">
        <v>0</v>
      </c>
      <c r="E2828" s="151">
        <f ca="1">OFFSET(INDEX(Composições!A:H,MATCH(Orçamentária!A2828,Composições!A:A,0),8),2,0)</f>
        <v>22.210999999999999</v>
      </c>
      <c r="F2828" s="152">
        <f t="shared" ca="1" si="134"/>
        <v>0</v>
      </c>
      <c r="G2828" s="153">
        <f>IF($K2828="Padrão",BDI!$B$17,IF($K2828="Diferenciado",BDI!$E$17,0))</f>
        <v>0.2039</v>
      </c>
      <c r="H2828" s="151">
        <f t="shared" ca="1" si="132"/>
        <v>26.74</v>
      </c>
      <c r="I2828" s="152">
        <f t="shared" ca="1" si="133"/>
        <v>0</v>
      </c>
      <c r="J2828" s="154"/>
      <c r="K2828" s="155" t="s">
        <v>2966</v>
      </c>
    </row>
    <row r="2829" spans="1:11" hidden="1" x14ac:dyDescent="0.25">
      <c r="A2829" s="148" t="s">
        <v>1601</v>
      </c>
      <c r="B2829" s="149" t="s">
        <v>7570</v>
      </c>
      <c r="C2829" s="150" t="s">
        <v>18</v>
      </c>
      <c r="D2829" s="150">
        <v>0</v>
      </c>
      <c r="E2829" s="151">
        <f ca="1">OFFSET(INDEX(Composições!A:H,MATCH(Orçamentária!A2829,Composições!A:A,0),8),2,0)</f>
        <v>26.514499999999998</v>
      </c>
      <c r="F2829" s="152">
        <f t="shared" ca="1" si="134"/>
        <v>0</v>
      </c>
      <c r="G2829" s="153">
        <f>IF($K2829="Padrão",BDI!$B$17,IF($K2829="Diferenciado",BDI!$E$17,0))</f>
        <v>0.2039</v>
      </c>
      <c r="H2829" s="151">
        <f t="shared" ca="1" si="132"/>
        <v>31.92</v>
      </c>
      <c r="I2829" s="152">
        <f t="shared" ca="1" si="133"/>
        <v>0</v>
      </c>
      <c r="J2829" s="154"/>
      <c r="K2829" s="155" t="s">
        <v>2966</v>
      </c>
    </row>
    <row r="2830" spans="1:11" hidden="1" x14ac:dyDescent="0.25">
      <c r="A2830" s="148" t="s">
        <v>1602</v>
      </c>
      <c r="B2830" s="149" t="s">
        <v>7571</v>
      </c>
      <c r="C2830" s="150" t="s">
        <v>18</v>
      </c>
      <c r="D2830" s="150">
        <v>0</v>
      </c>
      <c r="E2830" s="151">
        <f ca="1">OFFSET(INDEX(Composições!A:H,MATCH(Orçamentária!A2830,Composições!A:A,0),8),2,0)</f>
        <v>20.833499999999997</v>
      </c>
      <c r="F2830" s="152">
        <f t="shared" ca="1" si="134"/>
        <v>0</v>
      </c>
      <c r="G2830" s="153">
        <f>IF($K2830="Padrão",BDI!$B$17,IF($K2830="Diferenciado",BDI!$E$17,0))</f>
        <v>0.2039</v>
      </c>
      <c r="H2830" s="151">
        <f t="shared" ca="1" si="132"/>
        <v>25.08</v>
      </c>
      <c r="I2830" s="152">
        <f t="shared" ca="1" si="133"/>
        <v>0</v>
      </c>
      <c r="J2830" s="154"/>
      <c r="K2830" s="155" t="s">
        <v>2966</v>
      </c>
    </row>
    <row r="2831" spans="1:11" hidden="1" x14ac:dyDescent="0.25">
      <c r="A2831" s="148" t="s">
        <v>1603</v>
      </c>
      <c r="B2831" s="149" t="s">
        <v>7572</v>
      </c>
      <c r="C2831" s="150" t="s">
        <v>18</v>
      </c>
      <c r="D2831" s="150">
        <v>0</v>
      </c>
      <c r="E2831" s="151">
        <f ca="1">OFFSET(INDEX(Composições!A:H,MATCH(Orçamentária!A2831,Composições!A:A,0),8),2,0)</f>
        <v>57.113999999999997</v>
      </c>
      <c r="F2831" s="152">
        <f t="shared" ca="1" si="134"/>
        <v>0</v>
      </c>
      <c r="G2831" s="153">
        <f>IF($K2831="Padrão",BDI!$B$17,IF($K2831="Diferenciado",BDI!$E$17,0))</f>
        <v>0.2039</v>
      </c>
      <c r="H2831" s="151">
        <f t="shared" ca="1" si="132"/>
        <v>68.760000000000005</v>
      </c>
      <c r="I2831" s="152">
        <f t="shared" ca="1" si="133"/>
        <v>0</v>
      </c>
      <c r="J2831" s="154"/>
      <c r="K2831" s="155" t="s">
        <v>2966</v>
      </c>
    </row>
    <row r="2832" spans="1:11" hidden="1" x14ac:dyDescent="0.25">
      <c r="A2832" s="148" t="s">
        <v>1604</v>
      </c>
      <c r="B2832" s="149" t="s">
        <v>7573</v>
      </c>
      <c r="C2832" s="150" t="s">
        <v>18</v>
      </c>
      <c r="D2832" s="150">
        <v>0</v>
      </c>
      <c r="E2832" s="151">
        <f ca="1">OFFSET(INDEX(Composições!A:H,MATCH(Orçamentária!A2832,Composições!A:A,0),8),2,0)</f>
        <v>101.6785</v>
      </c>
      <c r="F2832" s="152">
        <f t="shared" ca="1" si="134"/>
        <v>0</v>
      </c>
      <c r="G2832" s="153">
        <f>IF($K2832="Padrão",BDI!$B$17,IF($K2832="Diferenciado",BDI!$E$17,0))</f>
        <v>0.2039</v>
      </c>
      <c r="H2832" s="151">
        <f t="shared" ca="1" si="132"/>
        <v>122.41</v>
      </c>
      <c r="I2832" s="152">
        <f t="shared" ca="1" si="133"/>
        <v>0</v>
      </c>
      <c r="J2832" s="154"/>
      <c r="K2832" s="155" t="s">
        <v>2966</v>
      </c>
    </row>
    <row r="2833" spans="1:11" hidden="1" x14ac:dyDescent="0.25">
      <c r="A2833" s="148" t="s">
        <v>1605</v>
      </c>
      <c r="B2833" s="149" t="s">
        <v>7574</v>
      </c>
      <c r="C2833" s="150" t="s">
        <v>18</v>
      </c>
      <c r="D2833" s="150">
        <v>0</v>
      </c>
      <c r="E2833" s="151">
        <f ca="1">OFFSET(INDEX(Composições!A:H,MATCH(Orçamentária!A2833,Composições!A:A,0),8),2,0)</f>
        <v>180.5</v>
      </c>
      <c r="F2833" s="152">
        <f t="shared" ca="1" si="134"/>
        <v>0</v>
      </c>
      <c r="G2833" s="153">
        <f>IF($K2833="Padrão",BDI!$B$17,IF($K2833="Diferenciado",BDI!$E$17,0))</f>
        <v>0.2039</v>
      </c>
      <c r="H2833" s="151">
        <f t="shared" ca="1" si="132"/>
        <v>217.3</v>
      </c>
      <c r="I2833" s="152">
        <f t="shared" ca="1" si="133"/>
        <v>0</v>
      </c>
      <c r="J2833" s="154"/>
      <c r="K2833" s="155" t="s">
        <v>2966</v>
      </c>
    </row>
    <row r="2834" spans="1:11" hidden="1" x14ac:dyDescent="0.25">
      <c r="A2834" s="148" t="s">
        <v>7575</v>
      </c>
      <c r="B2834" s="149" t="s">
        <v>7576</v>
      </c>
      <c r="C2834" s="150" t="s">
        <v>18</v>
      </c>
      <c r="D2834" s="150">
        <v>0</v>
      </c>
      <c r="E2834" s="151" t="s">
        <v>13</v>
      </c>
      <c r="F2834" s="152" t="str">
        <f t="shared" si="134"/>
        <v/>
      </c>
      <c r="G2834" s="153">
        <f>IF($K2834="Padrão",BDI!$B$17,IF($K2834="Diferenciado",BDI!$E$17,0))</f>
        <v>0.2039</v>
      </c>
      <c r="H2834" s="151" t="str">
        <f t="shared" si="132"/>
        <v/>
      </c>
      <c r="I2834" s="152" t="str">
        <f t="shared" si="133"/>
        <v/>
      </c>
      <c r="J2834" s="154"/>
      <c r="K2834" s="155" t="s">
        <v>2966</v>
      </c>
    </row>
    <row r="2835" spans="1:11" hidden="1" x14ac:dyDescent="0.25">
      <c r="A2835" s="148" t="s">
        <v>7577</v>
      </c>
      <c r="B2835" s="149" t="s">
        <v>7578</v>
      </c>
      <c r="C2835" s="150" t="s">
        <v>18</v>
      </c>
      <c r="D2835" s="150">
        <v>0</v>
      </c>
      <c r="E2835" s="151" t="s">
        <v>13</v>
      </c>
      <c r="F2835" s="152" t="str">
        <f t="shared" si="134"/>
        <v/>
      </c>
      <c r="G2835" s="153">
        <f>IF($K2835="Padrão",BDI!$B$17,IF($K2835="Diferenciado",BDI!$E$17,0))</f>
        <v>0.2039</v>
      </c>
      <c r="H2835" s="151" t="str">
        <f t="shared" si="132"/>
        <v/>
      </c>
      <c r="I2835" s="152" t="str">
        <f t="shared" si="133"/>
        <v/>
      </c>
      <c r="J2835" s="154"/>
      <c r="K2835" s="155" t="s">
        <v>2966</v>
      </c>
    </row>
    <row r="2836" spans="1:11" hidden="1" x14ac:dyDescent="0.25">
      <c r="A2836" s="148" t="s">
        <v>7579</v>
      </c>
      <c r="B2836" s="149" t="s">
        <v>7580</v>
      </c>
      <c r="C2836" s="150" t="s">
        <v>18</v>
      </c>
      <c r="D2836" s="150">
        <v>0</v>
      </c>
      <c r="E2836" s="151" t="s">
        <v>13</v>
      </c>
      <c r="F2836" s="152" t="str">
        <f t="shared" si="134"/>
        <v/>
      </c>
      <c r="G2836" s="153">
        <f>IF($K2836="Padrão",BDI!$B$17,IF($K2836="Diferenciado",BDI!$E$17,0))</f>
        <v>0.2039</v>
      </c>
      <c r="H2836" s="151" t="str">
        <f t="shared" si="132"/>
        <v/>
      </c>
      <c r="I2836" s="152" t="str">
        <f t="shared" si="133"/>
        <v/>
      </c>
      <c r="J2836" s="154"/>
      <c r="K2836" s="155" t="s">
        <v>2966</v>
      </c>
    </row>
    <row r="2837" spans="1:11" hidden="1" x14ac:dyDescent="0.25">
      <c r="A2837" s="148" t="s">
        <v>7581</v>
      </c>
      <c r="B2837" s="149" t="s">
        <v>7582</v>
      </c>
      <c r="C2837" s="150" t="s">
        <v>18</v>
      </c>
      <c r="D2837" s="150">
        <v>0</v>
      </c>
      <c r="E2837" s="151" t="s">
        <v>13</v>
      </c>
      <c r="F2837" s="152" t="str">
        <f t="shared" si="134"/>
        <v/>
      </c>
      <c r="G2837" s="153">
        <f>IF($K2837="Padrão",BDI!$B$17,IF($K2837="Diferenciado",BDI!$E$17,0))</f>
        <v>0.2039</v>
      </c>
      <c r="H2837" s="151" t="str">
        <f t="shared" si="132"/>
        <v/>
      </c>
      <c r="I2837" s="152" t="str">
        <f t="shared" si="133"/>
        <v/>
      </c>
      <c r="J2837" s="154"/>
      <c r="K2837" s="155" t="s">
        <v>2966</v>
      </c>
    </row>
    <row r="2838" spans="1:11" hidden="1" x14ac:dyDescent="0.25">
      <c r="A2838" s="148" t="s">
        <v>7583</v>
      </c>
      <c r="B2838" s="149" t="s">
        <v>7584</v>
      </c>
      <c r="C2838" s="150" t="s">
        <v>18</v>
      </c>
      <c r="D2838" s="150">
        <v>0</v>
      </c>
      <c r="E2838" s="151" t="s">
        <v>13</v>
      </c>
      <c r="F2838" s="152" t="str">
        <f t="shared" si="134"/>
        <v/>
      </c>
      <c r="G2838" s="153">
        <f>IF($K2838="Padrão",BDI!$B$17,IF($K2838="Diferenciado",BDI!$E$17,0))</f>
        <v>0.2039</v>
      </c>
      <c r="H2838" s="151" t="str">
        <f t="shared" si="132"/>
        <v/>
      </c>
      <c r="I2838" s="152" t="str">
        <f t="shared" si="133"/>
        <v/>
      </c>
      <c r="J2838" s="154"/>
      <c r="K2838" s="155" t="s">
        <v>2966</v>
      </c>
    </row>
    <row r="2839" spans="1:11" hidden="1" x14ac:dyDescent="0.25">
      <c r="A2839" s="148" t="s">
        <v>7585</v>
      </c>
      <c r="B2839" s="149" t="s">
        <v>7586</v>
      </c>
      <c r="C2839" s="150" t="s">
        <v>18</v>
      </c>
      <c r="D2839" s="150">
        <v>0</v>
      </c>
      <c r="E2839" s="151" t="s">
        <v>13</v>
      </c>
      <c r="F2839" s="152" t="str">
        <f t="shared" si="134"/>
        <v/>
      </c>
      <c r="G2839" s="153">
        <f>IF($K2839="Padrão",BDI!$B$17,IF($K2839="Diferenciado",BDI!$E$17,0))</f>
        <v>0.2039</v>
      </c>
      <c r="H2839" s="151" t="str">
        <f t="shared" si="132"/>
        <v/>
      </c>
      <c r="I2839" s="152" t="str">
        <f t="shared" si="133"/>
        <v/>
      </c>
      <c r="J2839" s="154"/>
      <c r="K2839" s="155" t="s">
        <v>2966</v>
      </c>
    </row>
    <row r="2840" spans="1:11" ht="25.5" hidden="1" x14ac:dyDescent="0.25">
      <c r="A2840" s="148" t="s">
        <v>7587</v>
      </c>
      <c r="B2840" s="149" t="s">
        <v>7588</v>
      </c>
      <c r="C2840" s="150" t="s">
        <v>18</v>
      </c>
      <c r="D2840" s="150">
        <v>0</v>
      </c>
      <c r="E2840" s="151" t="s">
        <v>13</v>
      </c>
      <c r="F2840" s="152" t="str">
        <f t="shared" si="134"/>
        <v/>
      </c>
      <c r="G2840" s="153">
        <f>IF($K2840="Padrão",BDI!$B$17,IF($K2840="Diferenciado",BDI!$E$17,0))</f>
        <v>0.2039</v>
      </c>
      <c r="H2840" s="151" t="str">
        <f t="shared" si="132"/>
        <v/>
      </c>
      <c r="I2840" s="152" t="str">
        <f t="shared" si="133"/>
        <v/>
      </c>
      <c r="J2840" s="154"/>
      <c r="K2840" s="155" t="s">
        <v>2966</v>
      </c>
    </row>
    <row r="2841" spans="1:11" ht="25.5" hidden="1" x14ac:dyDescent="0.25">
      <c r="A2841" s="148" t="s">
        <v>7589</v>
      </c>
      <c r="B2841" s="149" t="s">
        <v>7590</v>
      </c>
      <c r="C2841" s="150" t="s">
        <v>18</v>
      </c>
      <c r="D2841" s="150">
        <v>0</v>
      </c>
      <c r="E2841" s="151" t="s">
        <v>13</v>
      </c>
      <c r="F2841" s="152" t="str">
        <f t="shared" si="134"/>
        <v/>
      </c>
      <c r="G2841" s="153">
        <f>IF($K2841="Padrão",BDI!$B$17,IF($K2841="Diferenciado",BDI!$E$17,0))</f>
        <v>0.2039</v>
      </c>
      <c r="H2841" s="151" t="str">
        <f t="shared" si="132"/>
        <v/>
      </c>
      <c r="I2841" s="152" t="str">
        <f t="shared" si="133"/>
        <v/>
      </c>
      <c r="J2841" s="154"/>
      <c r="K2841" s="155" t="s">
        <v>2966</v>
      </c>
    </row>
    <row r="2842" spans="1:11" hidden="1" x14ac:dyDescent="0.25">
      <c r="A2842" s="148" t="s">
        <v>7591</v>
      </c>
      <c r="B2842" s="149" t="s">
        <v>7592</v>
      </c>
      <c r="C2842" s="150" t="s">
        <v>18</v>
      </c>
      <c r="D2842" s="150">
        <v>0</v>
      </c>
      <c r="E2842" s="151" t="s">
        <v>13</v>
      </c>
      <c r="F2842" s="152" t="str">
        <f t="shared" si="134"/>
        <v/>
      </c>
      <c r="G2842" s="153">
        <f>IF($K2842="Padrão",BDI!$B$17,IF($K2842="Diferenciado",BDI!$E$17,0))</f>
        <v>0.2039</v>
      </c>
      <c r="H2842" s="151" t="str">
        <f t="shared" si="132"/>
        <v/>
      </c>
      <c r="I2842" s="152" t="str">
        <f t="shared" si="133"/>
        <v/>
      </c>
      <c r="J2842" s="154"/>
      <c r="K2842" s="155" t="s">
        <v>2966</v>
      </c>
    </row>
    <row r="2843" spans="1:11" hidden="1" x14ac:dyDescent="0.25">
      <c r="A2843" s="148" t="s">
        <v>7593</v>
      </c>
      <c r="B2843" s="149" t="s">
        <v>7594</v>
      </c>
      <c r="C2843" s="150" t="s">
        <v>18</v>
      </c>
      <c r="D2843" s="150">
        <v>0</v>
      </c>
      <c r="E2843" s="151" t="s">
        <v>13</v>
      </c>
      <c r="F2843" s="152" t="str">
        <f t="shared" si="134"/>
        <v/>
      </c>
      <c r="G2843" s="153">
        <f>IF($K2843="Padrão",BDI!$B$17,IF($K2843="Diferenciado",BDI!$E$17,0))</f>
        <v>0.2039</v>
      </c>
      <c r="H2843" s="151" t="str">
        <f t="shared" si="132"/>
        <v/>
      </c>
      <c r="I2843" s="152" t="str">
        <f t="shared" si="133"/>
        <v/>
      </c>
      <c r="J2843" s="154"/>
      <c r="K2843" s="155" t="s">
        <v>2966</v>
      </c>
    </row>
    <row r="2844" spans="1:11" hidden="1" x14ac:dyDescent="0.25">
      <c r="A2844" s="148" t="s">
        <v>7595</v>
      </c>
      <c r="B2844" s="149" t="s">
        <v>7596</v>
      </c>
      <c r="C2844" s="150" t="s">
        <v>18</v>
      </c>
      <c r="D2844" s="150">
        <v>0</v>
      </c>
      <c r="E2844" s="151" t="s">
        <v>13</v>
      </c>
      <c r="F2844" s="152" t="str">
        <f t="shared" si="134"/>
        <v/>
      </c>
      <c r="G2844" s="153">
        <f>IF($K2844="Padrão",BDI!$B$17,IF($K2844="Diferenciado",BDI!$E$17,0))</f>
        <v>0.2039</v>
      </c>
      <c r="H2844" s="151" t="str">
        <f t="shared" si="132"/>
        <v/>
      </c>
      <c r="I2844" s="152" t="str">
        <f t="shared" si="133"/>
        <v/>
      </c>
      <c r="J2844" s="154"/>
      <c r="K2844" s="155" t="s">
        <v>2966</v>
      </c>
    </row>
    <row r="2845" spans="1:11" hidden="1" x14ac:dyDescent="0.25">
      <c r="A2845" s="148" t="s">
        <v>7597</v>
      </c>
      <c r="B2845" s="149" t="s">
        <v>7598</v>
      </c>
      <c r="C2845" s="150" t="s">
        <v>18</v>
      </c>
      <c r="D2845" s="150">
        <v>0</v>
      </c>
      <c r="E2845" s="151" t="s">
        <v>13</v>
      </c>
      <c r="F2845" s="152" t="str">
        <f t="shared" si="134"/>
        <v/>
      </c>
      <c r="G2845" s="153">
        <f>IF($K2845="Padrão",BDI!$B$17,IF($K2845="Diferenciado",BDI!$E$17,0))</f>
        <v>0.2039</v>
      </c>
      <c r="H2845" s="151" t="str">
        <f t="shared" si="132"/>
        <v/>
      </c>
      <c r="I2845" s="152" t="str">
        <f t="shared" si="133"/>
        <v/>
      </c>
      <c r="J2845" s="154"/>
      <c r="K2845" s="155" t="s">
        <v>2966</v>
      </c>
    </row>
    <row r="2846" spans="1:11" hidden="1" x14ac:dyDescent="0.25">
      <c r="A2846" s="148" t="s">
        <v>7599</v>
      </c>
      <c r="B2846" s="149" t="s">
        <v>7600</v>
      </c>
      <c r="C2846" s="150" t="s">
        <v>18</v>
      </c>
      <c r="D2846" s="150">
        <v>0</v>
      </c>
      <c r="E2846" s="151" t="s">
        <v>13</v>
      </c>
      <c r="F2846" s="152" t="str">
        <f t="shared" si="134"/>
        <v/>
      </c>
      <c r="G2846" s="153">
        <f>IF($K2846="Padrão",BDI!$B$17,IF($K2846="Diferenciado",BDI!$E$17,0))</f>
        <v>0.2039</v>
      </c>
      <c r="H2846" s="151" t="str">
        <f t="shared" si="132"/>
        <v/>
      </c>
      <c r="I2846" s="152" t="str">
        <f t="shared" si="133"/>
        <v/>
      </c>
      <c r="J2846" s="154"/>
      <c r="K2846" s="155" t="s">
        <v>2966</v>
      </c>
    </row>
    <row r="2847" spans="1:11" hidden="1" x14ac:dyDescent="0.25">
      <c r="A2847" s="148" t="s">
        <v>7601</v>
      </c>
      <c r="B2847" s="149" t="s">
        <v>7602</v>
      </c>
      <c r="C2847" s="150" t="s">
        <v>18</v>
      </c>
      <c r="D2847" s="150">
        <v>0</v>
      </c>
      <c r="E2847" s="151" t="s">
        <v>13</v>
      </c>
      <c r="F2847" s="152" t="str">
        <f t="shared" si="134"/>
        <v/>
      </c>
      <c r="G2847" s="153">
        <f>IF($K2847="Padrão",BDI!$B$17,IF($K2847="Diferenciado",BDI!$E$17,0))</f>
        <v>0.2039</v>
      </c>
      <c r="H2847" s="151" t="str">
        <f t="shared" si="132"/>
        <v/>
      </c>
      <c r="I2847" s="152" t="str">
        <f t="shared" si="133"/>
        <v/>
      </c>
      <c r="J2847" s="154"/>
      <c r="K2847" s="155" t="s">
        <v>2966</v>
      </c>
    </row>
    <row r="2848" spans="1:11" hidden="1" x14ac:dyDescent="0.25">
      <c r="A2848" s="148" t="s">
        <v>7603</v>
      </c>
      <c r="B2848" s="149" t="s">
        <v>7604</v>
      </c>
      <c r="C2848" s="150" t="s">
        <v>18</v>
      </c>
      <c r="D2848" s="150">
        <v>0</v>
      </c>
      <c r="E2848" s="151" t="s">
        <v>13</v>
      </c>
      <c r="F2848" s="152" t="str">
        <f t="shared" si="134"/>
        <v/>
      </c>
      <c r="G2848" s="153">
        <f>IF($K2848="Padrão",BDI!$B$17,IF($K2848="Diferenciado",BDI!$E$17,0))</f>
        <v>0.2039</v>
      </c>
      <c r="H2848" s="151" t="str">
        <f t="shared" si="132"/>
        <v/>
      </c>
      <c r="I2848" s="152" t="str">
        <f t="shared" si="133"/>
        <v/>
      </c>
      <c r="J2848" s="154"/>
      <c r="K2848" s="155" t="s">
        <v>2966</v>
      </c>
    </row>
    <row r="2849" spans="1:11" hidden="1" x14ac:dyDescent="0.25">
      <c r="A2849" s="148" t="s">
        <v>7605</v>
      </c>
      <c r="B2849" s="149" t="s">
        <v>7606</v>
      </c>
      <c r="C2849" s="150" t="s">
        <v>18</v>
      </c>
      <c r="D2849" s="150">
        <v>0</v>
      </c>
      <c r="E2849" s="151" t="s">
        <v>13</v>
      </c>
      <c r="F2849" s="152" t="str">
        <f t="shared" si="134"/>
        <v/>
      </c>
      <c r="G2849" s="153">
        <f>IF($K2849="Padrão",BDI!$B$17,IF($K2849="Diferenciado",BDI!$E$17,0))</f>
        <v>0.2039</v>
      </c>
      <c r="H2849" s="151" t="str">
        <f t="shared" si="132"/>
        <v/>
      </c>
      <c r="I2849" s="152" t="str">
        <f t="shared" si="133"/>
        <v/>
      </c>
      <c r="J2849" s="154"/>
      <c r="K2849" s="155" t="s">
        <v>2966</v>
      </c>
    </row>
    <row r="2850" spans="1:11" hidden="1" x14ac:dyDescent="0.25">
      <c r="A2850" s="148" t="s">
        <v>7607</v>
      </c>
      <c r="B2850" s="149" t="s">
        <v>7608</v>
      </c>
      <c r="C2850" s="150" t="s">
        <v>18</v>
      </c>
      <c r="D2850" s="150">
        <v>0</v>
      </c>
      <c r="E2850" s="151" t="s">
        <v>13</v>
      </c>
      <c r="F2850" s="152" t="str">
        <f t="shared" si="134"/>
        <v/>
      </c>
      <c r="G2850" s="153">
        <f>IF($K2850="Padrão",BDI!$B$17,IF($K2850="Diferenciado",BDI!$E$17,0))</f>
        <v>0.2039</v>
      </c>
      <c r="H2850" s="151" t="str">
        <f t="shared" si="132"/>
        <v/>
      </c>
      <c r="I2850" s="152" t="str">
        <f t="shared" si="133"/>
        <v/>
      </c>
      <c r="J2850" s="154"/>
      <c r="K2850" s="155" t="s">
        <v>2966</v>
      </c>
    </row>
    <row r="2851" spans="1:11" hidden="1" x14ac:dyDescent="0.25">
      <c r="A2851" s="148" t="s">
        <v>7609</v>
      </c>
      <c r="B2851" s="149" t="s">
        <v>7610</v>
      </c>
      <c r="C2851" s="150" t="s">
        <v>18</v>
      </c>
      <c r="D2851" s="150">
        <v>0</v>
      </c>
      <c r="E2851" s="151" t="s">
        <v>13</v>
      </c>
      <c r="F2851" s="152" t="str">
        <f t="shared" si="134"/>
        <v/>
      </c>
      <c r="G2851" s="153">
        <f>IF($K2851="Padrão",BDI!$B$17,IF($K2851="Diferenciado",BDI!$E$17,0))</f>
        <v>0.2039</v>
      </c>
      <c r="H2851" s="151" t="str">
        <f t="shared" si="132"/>
        <v/>
      </c>
      <c r="I2851" s="152" t="str">
        <f t="shared" si="133"/>
        <v/>
      </c>
      <c r="J2851" s="154"/>
      <c r="K2851" s="155" t="s">
        <v>2966</v>
      </c>
    </row>
    <row r="2852" spans="1:11" hidden="1" x14ac:dyDescent="0.25">
      <c r="A2852" s="148" t="s">
        <v>7611</v>
      </c>
      <c r="B2852" s="149" t="s">
        <v>7612</v>
      </c>
      <c r="C2852" s="150" t="s">
        <v>18</v>
      </c>
      <c r="D2852" s="150">
        <v>0</v>
      </c>
      <c r="E2852" s="151" t="s">
        <v>13</v>
      </c>
      <c r="F2852" s="152" t="str">
        <f t="shared" si="134"/>
        <v/>
      </c>
      <c r="G2852" s="153">
        <f>IF($K2852="Padrão",BDI!$B$17,IF($K2852="Diferenciado",BDI!$E$17,0))</f>
        <v>0.2039</v>
      </c>
      <c r="H2852" s="151" t="str">
        <f t="shared" si="132"/>
        <v/>
      </c>
      <c r="I2852" s="152" t="str">
        <f t="shared" si="133"/>
        <v/>
      </c>
      <c r="J2852" s="154"/>
      <c r="K2852" s="155" t="s">
        <v>2966</v>
      </c>
    </row>
    <row r="2853" spans="1:11" hidden="1" x14ac:dyDescent="0.25">
      <c r="A2853" s="148" t="s">
        <v>1606</v>
      </c>
      <c r="B2853" s="149" t="s">
        <v>7613</v>
      </c>
      <c r="C2853" s="150" t="s">
        <v>18</v>
      </c>
      <c r="D2853" s="150">
        <v>0</v>
      </c>
      <c r="E2853" s="151">
        <f ca="1">OFFSET(INDEX(Composições!A:H,MATCH(Orçamentária!A2853,Composições!A:A,0),8),2,0)</f>
        <v>22.648</v>
      </c>
      <c r="F2853" s="152">
        <f t="shared" ca="1" si="134"/>
        <v>0</v>
      </c>
      <c r="G2853" s="153">
        <f>IF($K2853="Padrão",BDI!$B$17,IF($K2853="Diferenciado",BDI!$E$17,0))</f>
        <v>0.2039</v>
      </c>
      <c r="H2853" s="151">
        <f t="shared" ca="1" si="132"/>
        <v>27.27</v>
      </c>
      <c r="I2853" s="152">
        <f t="shared" ca="1" si="133"/>
        <v>0</v>
      </c>
      <c r="J2853" s="154"/>
      <c r="K2853" s="155" t="s">
        <v>2966</v>
      </c>
    </row>
    <row r="2854" spans="1:11" hidden="1" x14ac:dyDescent="0.25">
      <c r="A2854" s="148" t="s">
        <v>1607</v>
      </c>
      <c r="B2854" s="149" t="s">
        <v>7614</v>
      </c>
      <c r="C2854" s="150" t="s">
        <v>18</v>
      </c>
      <c r="D2854" s="150">
        <v>0</v>
      </c>
      <c r="E2854" s="151">
        <f ca="1">OFFSET(INDEX(Composições!A:H,MATCH(Orçamentária!A2854,Composições!A:A,0),8),2,0)</f>
        <v>9.4239999999999995</v>
      </c>
      <c r="F2854" s="152">
        <f t="shared" ca="1" si="134"/>
        <v>0</v>
      </c>
      <c r="G2854" s="153">
        <f>IF($K2854="Padrão",BDI!$B$17,IF($K2854="Diferenciado",BDI!$E$17,0))</f>
        <v>0.2039</v>
      </c>
      <c r="H2854" s="151">
        <f t="shared" ca="1" si="132"/>
        <v>11.35</v>
      </c>
      <c r="I2854" s="152">
        <f t="shared" ca="1" si="133"/>
        <v>0</v>
      </c>
      <c r="J2854" s="154"/>
      <c r="K2854" s="155" t="s">
        <v>2966</v>
      </c>
    </row>
    <row r="2855" spans="1:11" hidden="1" x14ac:dyDescent="0.25">
      <c r="A2855" s="148" t="s">
        <v>1608</v>
      </c>
      <c r="B2855" s="149" t="s">
        <v>7615</v>
      </c>
      <c r="C2855" s="150" t="s">
        <v>18</v>
      </c>
      <c r="D2855" s="150">
        <v>0</v>
      </c>
      <c r="E2855" s="151">
        <f ca="1">OFFSET(INDEX(Composições!A:H,MATCH(Orçamentária!A2855,Composições!A:A,0),8),2,0)</f>
        <v>18.116499999999998</v>
      </c>
      <c r="F2855" s="152">
        <f t="shared" ca="1" si="134"/>
        <v>0</v>
      </c>
      <c r="G2855" s="153">
        <f>IF($K2855="Padrão",BDI!$B$17,IF($K2855="Diferenciado",BDI!$E$17,0))</f>
        <v>0.2039</v>
      </c>
      <c r="H2855" s="151">
        <f t="shared" ca="1" si="132"/>
        <v>21.81</v>
      </c>
      <c r="I2855" s="152">
        <f t="shared" ca="1" si="133"/>
        <v>0</v>
      </c>
      <c r="J2855" s="154"/>
      <c r="K2855" s="155" t="s">
        <v>2966</v>
      </c>
    </row>
    <row r="2856" spans="1:11" hidden="1" x14ac:dyDescent="0.25">
      <c r="A2856" s="148" t="s">
        <v>7616</v>
      </c>
      <c r="B2856" s="149" t="s">
        <v>7617</v>
      </c>
      <c r="C2856" s="150" t="s">
        <v>18</v>
      </c>
      <c r="D2856" s="150">
        <v>0</v>
      </c>
      <c r="E2856" s="151" t="s">
        <v>13</v>
      </c>
      <c r="F2856" s="152" t="str">
        <f t="shared" si="134"/>
        <v/>
      </c>
      <c r="G2856" s="153">
        <f>IF($K2856="Padrão",BDI!$B$17,IF($K2856="Diferenciado",BDI!$E$17,0))</f>
        <v>0.2039</v>
      </c>
      <c r="H2856" s="151" t="str">
        <f t="shared" si="132"/>
        <v/>
      </c>
      <c r="I2856" s="152" t="str">
        <f t="shared" si="133"/>
        <v/>
      </c>
      <c r="J2856" s="154"/>
      <c r="K2856" s="155" t="s">
        <v>2966</v>
      </c>
    </row>
    <row r="2857" spans="1:11" hidden="1" x14ac:dyDescent="0.25">
      <c r="A2857" s="148" t="s">
        <v>1609</v>
      </c>
      <c r="B2857" s="149" t="s">
        <v>7618</v>
      </c>
      <c r="C2857" s="150" t="s">
        <v>18</v>
      </c>
      <c r="D2857" s="150">
        <v>0</v>
      </c>
      <c r="E2857" s="151">
        <f ca="1">OFFSET(INDEX(Composições!A:H,MATCH(Orçamentária!A2857,Composições!A:A,0),8),2,0)</f>
        <v>276.678</v>
      </c>
      <c r="F2857" s="152">
        <f t="shared" ca="1" si="134"/>
        <v>0</v>
      </c>
      <c r="G2857" s="153">
        <f>IF($K2857="Padrão",BDI!$B$17,IF($K2857="Diferenciado",BDI!$E$17,0))</f>
        <v>0.2039</v>
      </c>
      <c r="H2857" s="151">
        <f t="shared" ca="1" si="132"/>
        <v>333.09</v>
      </c>
      <c r="I2857" s="152">
        <f t="shared" ca="1" si="133"/>
        <v>0</v>
      </c>
      <c r="J2857" s="154"/>
      <c r="K2857" s="155" t="s">
        <v>2966</v>
      </c>
    </row>
    <row r="2858" spans="1:11" hidden="1" x14ac:dyDescent="0.25">
      <c r="A2858" s="148" t="s">
        <v>1610</v>
      </c>
      <c r="B2858" s="149" t="s">
        <v>7619</v>
      </c>
      <c r="C2858" s="150" t="s">
        <v>18</v>
      </c>
      <c r="D2858" s="150">
        <v>0</v>
      </c>
      <c r="E2858" s="151">
        <f ca="1">OFFSET(INDEX(Composições!A:H,MATCH(Orçamentária!A2858,Composições!A:A,0),8),2,0)</f>
        <v>227.00249999999997</v>
      </c>
      <c r="F2858" s="152">
        <f t="shared" ca="1" si="134"/>
        <v>0</v>
      </c>
      <c r="G2858" s="153">
        <f>IF($K2858="Padrão",BDI!$B$17,IF($K2858="Diferenciado",BDI!$E$17,0))</f>
        <v>0.2039</v>
      </c>
      <c r="H2858" s="151">
        <f t="shared" ca="1" si="132"/>
        <v>273.29000000000002</v>
      </c>
      <c r="I2858" s="152">
        <f t="shared" ca="1" si="133"/>
        <v>0</v>
      </c>
      <c r="J2858" s="154"/>
      <c r="K2858" s="155" t="s">
        <v>2966</v>
      </c>
    </row>
    <row r="2859" spans="1:11" hidden="1" x14ac:dyDescent="0.25">
      <c r="A2859" s="148" t="s">
        <v>1611</v>
      </c>
      <c r="B2859" s="149" t="s">
        <v>7620</v>
      </c>
      <c r="C2859" s="150" t="s">
        <v>18</v>
      </c>
      <c r="D2859" s="150">
        <v>0</v>
      </c>
      <c r="E2859" s="151">
        <f ca="1">OFFSET(INDEX(Composições!A:H,MATCH(Orçamentária!A2859,Composições!A:A,0),8),2,0)</f>
        <v>133.285</v>
      </c>
      <c r="F2859" s="152">
        <f t="shared" ca="1" si="134"/>
        <v>0</v>
      </c>
      <c r="G2859" s="153">
        <f>IF($K2859="Padrão",BDI!$B$17,IF($K2859="Diferenciado",BDI!$E$17,0))</f>
        <v>0.2039</v>
      </c>
      <c r="H2859" s="151">
        <f t="shared" ca="1" si="132"/>
        <v>160.46</v>
      </c>
      <c r="I2859" s="152">
        <f t="shared" ca="1" si="133"/>
        <v>0</v>
      </c>
      <c r="J2859" s="154"/>
      <c r="K2859" s="155" t="s">
        <v>2966</v>
      </c>
    </row>
    <row r="2860" spans="1:11" hidden="1" x14ac:dyDescent="0.25">
      <c r="A2860" s="148" t="s">
        <v>1612</v>
      </c>
      <c r="B2860" s="149" t="s">
        <v>7621</v>
      </c>
      <c r="C2860" s="150" t="s">
        <v>18</v>
      </c>
      <c r="D2860" s="150">
        <v>0</v>
      </c>
      <c r="E2860" s="151">
        <f ca="1">OFFSET(INDEX(Composições!A:H,MATCH(Orçamentária!A2860,Composições!A:A,0),8),2,0)</f>
        <v>354.99599999999998</v>
      </c>
      <c r="F2860" s="152">
        <f t="shared" ca="1" si="134"/>
        <v>0</v>
      </c>
      <c r="G2860" s="153">
        <f>IF($K2860="Padrão",BDI!$B$17,IF($K2860="Diferenciado",BDI!$E$17,0))</f>
        <v>0.2039</v>
      </c>
      <c r="H2860" s="151">
        <f t="shared" ca="1" si="132"/>
        <v>427.38</v>
      </c>
      <c r="I2860" s="152">
        <f t="shared" ca="1" si="133"/>
        <v>0</v>
      </c>
      <c r="J2860" s="154"/>
      <c r="K2860" s="155" t="s">
        <v>2966</v>
      </c>
    </row>
    <row r="2861" spans="1:11" hidden="1" x14ac:dyDescent="0.25">
      <c r="A2861" s="148" t="s">
        <v>1613</v>
      </c>
      <c r="B2861" s="149" t="s">
        <v>7622</v>
      </c>
      <c r="C2861" s="150" t="s">
        <v>18</v>
      </c>
      <c r="D2861" s="150">
        <v>0</v>
      </c>
      <c r="E2861" s="151">
        <f ca="1">OFFSET(INDEX(Composições!A:H,MATCH(Orçamentária!A2861,Composições!A:A,0),8),2,0)</f>
        <v>59.241999999999997</v>
      </c>
      <c r="F2861" s="152">
        <f t="shared" ca="1" si="134"/>
        <v>0</v>
      </c>
      <c r="G2861" s="153">
        <f>IF($K2861="Padrão",BDI!$B$17,IF($K2861="Diferenciado",BDI!$E$17,0))</f>
        <v>0.2039</v>
      </c>
      <c r="H2861" s="151">
        <f t="shared" ca="1" si="132"/>
        <v>71.319999999999993</v>
      </c>
      <c r="I2861" s="152">
        <f t="shared" ca="1" si="133"/>
        <v>0</v>
      </c>
      <c r="J2861" s="154"/>
      <c r="K2861" s="155" t="s">
        <v>2966</v>
      </c>
    </row>
    <row r="2862" spans="1:11" hidden="1" x14ac:dyDescent="0.25">
      <c r="A2862" s="148" t="s">
        <v>7623</v>
      </c>
      <c r="B2862" s="149" t="s">
        <v>7624</v>
      </c>
      <c r="C2862" s="150" t="s">
        <v>18</v>
      </c>
      <c r="D2862" s="150">
        <v>0</v>
      </c>
      <c r="E2862" s="151" t="s">
        <v>13</v>
      </c>
      <c r="F2862" s="152" t="str">
        <f t="shared" si="134"/>
        <v/>
      </c>
      <c r="G2862" s="153">
        <f>IF($K2862="Padrão",BDI!$B$17,IF($K2862="Diferenciado",BDI!$E$17,0))</f>
        <v>0.2039</v>
      </c>
      <c r="H2862" s="151" t="str">
        <f t="shared" si="132"/>
        <v/>
      </c>
      <c r="I2862" s="152" t="str">
        <f t="shared" si="133"/>
        <v/>
      </c>
      <c r="J2862" s="154"/>
      <c r="K2862" s="155" t="s">
        <v>2966</v>
      </c>
    </row>
    <row r="2863" spans="1:11" hidden="1" x14ac:dyDescent="0.25">
      <c r="A2863" s="148" t="s">
        <v>7625</v>
      </c>
      <c r="B2863" s="149" t="s">
        <v>7626</v>
      </c>
      <c r="C2863" s="150" t="s">
        <v>18</v>
      </c>
      <c r="D2863" s="150">
        <v>0</v>
      </c>
      <c r="E2863" s="151" t="s">
        <v>13</v>
      </c>
      <c r="F2863" s="152" t="str">
        <f t="shared" si="134"/>
        <v/>
      </c>
      <c r="G2863" s="153">
        <f>IF($K2863="Padrão",BDI!$B$17,IF($K2863="Diferenciado",BDI!$E$17,0))</f>
        <v>0.2039</v>
      </c>
      <c r="H2863" s="151" t="str">
        <f t="shared" si="132"/>
        <v/>
      </c>
      <c r="I2863" s="152" t="str">
        <f t="shared" si="133"/>
        <v/>
      </c>
      <c r="J2863" s="154"/>
      <c r="K2863" s="155" t="s">
        <v>2966</v>
      </c>
    </row>
    <row r="2864" spans="1:11" hidden="1" x14ac:dyDescent="0.25">
      <c r="A2864" s="148" t="s">
        <v>7627</v>
      </c>
      <c r="B2864" s="149" t="s">
        <v>7628</v>
      </c>
      <c r="C2864" s="150" t="s">
        <v>18</v>
      </c>
      <c r="D2864" s="150">
        <v>0</v>
      </c>
      <c r="E2864" s="151" t="s">
        <v>13</v>
      </c>
      <c r="F2864" s="152" t="str">
        <f t="shared" si="134"/>
        <v/>
      </c>
      <c r="G2864" s="153">
        <f>IF($K2864="Padrão",BDI!$B$17,IF($K2864="Diferenciado",BDI!$E$17,0))</f>
        <v>0.2039</v>
      </c>
      <c r="H2864" s="151" t="str">
        <f t="shared" si="132"/>
        <v/>
      </c>
      <c r="I2864" s="152" t="str">
        <f t="shared" si="133"/>
        <v/>
      </c>
      <c r="J2864" s="154"/>
      <c r="K2864" s="155" t="s">
        <v>2966</v>
      </c>
    </row>
    <row r="2865" spans="1:11" hidden="1" x14ac:dyDescent="0.25">
      <c r="A2865" s="148" t="s">
        <v>7629</v>
      </c>
      <c r="B2865" s="149" t="s">
        <v>7630</v>
      </c>
      <c r="C2865" s="150" t="s">
        <v>18</v>
      </c>
      <c r="D2865" s="150">
        <v>0</v>
      </c>
      <c r="E2865" s="151" t="s">
        <v>13</v>
      </c>
      <c r="F2865" s="152" t="str">
        <f t="shared" si="134"/>
        <v/>
      </c>
      <c r="G2865" s="153">
        <f>IF($K2865="Padrão",BDI!$B$17,IF($K2865="Diferenciado",BDI!$E$17,0))</f>
        <v>0.2039</v>
      </c>
      <c r="H2865" s="151" t="str">
        <f t="shared" si="132"/>
        <v/>
      </c>
      <c r="I2865" s="152" t="str">
        <f t="shared" si="133"/>
        <v/>
      </c>
      <c r="J2865" s="154"/>
      <c r="K2865" s="155" t="s">
        <v>2966</v>
      </c>
    </row>
    <row r="2866" spans="1:11" hidden="1" x14ac:dyDescent="0.25">
      <c r="A2866" s="148" t="s">
        <v>7631</v>
      </c>
      <c r="B2866" s="149" t="s">
        <v>7632</v>
      </c>
      <c r="C2866" s="150" t="s">
        <v>18</v>
      </c>
      <c r="D2866" s="150">
        <v>0</v>
      </c>
      <c r="E2866" s="151" t="s">
        <v>13</v>
      </c>
      <c r="F2866" s="152" t="str">
        <f t="shared" si="134"/>
        <v/>
      </c>
      <c r="G2866" s="153">
        <f>IF($K2866="Padrão",BDI!$B$17,IF($K2866="Diferenciado",BDI!$E$17,0))</f>
        <v>0.2039</v>
      </c>
      <c r="H2866" s="151" t="str">
        <f t="shared" si="132"/>
        <v/>
      </c>
      <c r="I2866" s="152" t="str">
        <f t="shared" si="133"/>
        <v/>
      </c>
      <c r="J2866" s="154"/>
      <c r="K2866" s="155" t="s">
        <v>2966</v>
      </c>
    </row>
    <row r="2867" spans="1:11" hidden="1" x14ac:dyDescent="0.25">
      <c r="A2867" s="148" t="s">
        <v>7633</v>
      </c>
      <c r="B2867" s="149" t="s">
        <v>7634</v>
      </c>
      <c r="C2867" s="150" t="s">
        <v>18</v>
      </c>
      <c r="D2867" s="150">
        <v>0</v>
      </c>
      <c r="E2867" s="151" t="s">
        <v>13</v>
      </c>
      <c r="F2867" s="152" t="str">
        <f t="shared" si="134"/>
        <v/>
      </c>
      <c r="G2867" s="153">
        <f>IF($K2867="Padrão",BDI!$B$17,IF($K2867="Diferenciado",BDI!$E$17,0))</f>
        <v>0.2039</v>
      </c>
      <c r="H2867" s="151" t="str">
        <f t="shared" si="132"/>
        <v/>
      </c>
      <c r="I2867" s="152" t="str">
        <f t="shared" si="133"/>
        <v/>
      </c>
      <c r="J2867" s="154"/>
      <c r="K2867" s="155" t="s">
        <v>2966</v>
      </c>
    </row>
    <row r="2868" spans="1:11" hidden="1" x14ac:dyDescent="0.25">
      <c r="A2868" s="148" t="s">
        <v>1614</v>
      </c>
      <c r="B2868" s="149" t="s">
        <v>7635</v>
      </c>
      <c r="C2868" s="150" t="s">
        <v>106</v>
      </c>
      <c r="D2868" s="150">
        <v>0</v>
      </c>
      <c r="E2868" s="151">
        <f ca="1">OFFSET(INDEX(Composições!A:H,MATCH(Orçamentária!A2868,Composições!A:A,0),8),2,0)</f>
        <v>85.176999999999992</v>
      </c>
      <c r="F2868" s="152">
        <f t="shared" ca="1" si="134"/>
        <v>0</v>
      </c>
      <c r="G2868" s="153">
        <f>IF($K2868="Padrão",BDI!$B$17,IF($K2868="Diferenciado",BDI!$E$17,0))</f>
        <v>0.2039</v>
      </c>
      <c r="H2868" s="151">
        <f t="shared" ca="1" si="132"/>
        <v>102.54</v>
      </c>
      <c r="I2868" s="152">
        <f t="shared" ca="1" si="133"/>
        <v>0</v>
      </c>
      <c r="J2868" s="154"/>
      <c r="K2868" s="155" t="s">
        <v>2966</v>
      </c>
    </row>
    <row r="2869" spans="1:11" hidden="1" x14ac:dyDescent="0.25">
      <c r="A2869" s="148" t="s">
        <v>1615</v>
      </c>
      <c r="B2869" s="149" t="s">
        <v>7636</v>
      </c>
      <c r="C2869" s="150" t="s">
        <v>106</v>
      </c>
      <c r="D2869" s="150">
        <v>0</v>
      </c>
      <c r="E2869" s="151">
        <f ca="1">OFFSET(INDEX(Composições!A:H,MATCH(Orçamentária!A2869,Composições!A:A,0),8),2,0)</f>
        <v>108.1005</v>
      </c>
      <c r="F2869" s="152">
        <f t="shared" ca="1" si="134"/>
        <v>0</v>
      </c>
      <c r="G2869" s="153">
        <f>IF($K2869="Padrão",BDI!$B$17,IF($K2869="Diferenciado",BDI!$E$17,0))</f>
        <v>0.2039</v>
      </c>
      <c r="H2869" s="151">
        <f t="shared" ca="1" si="132"/>
        <v>130.13999999999999</v>
      </c>
      <c r="I2869" s="152">
        <f t="shared" ca="1" si="133"/>
        <v>0</v>
      </c>
      <c r="J2869" s="154"/>
      <c r="K2869" s="155" t="s">
        <v>2966</v>
      </c>
    </row>
    <row r="2870" spans="1:11" hidden="1" x14ac:dyDescent="0.25">
      <c r="A2870" s="148" t="s">
        <v>1616</v>
      </c>
      <c r="B2870" s="149" t="s">
        <v>7637</v>
      </c>
      <c r="C2870" s="150" t="s">
        <v>106</v>
      </c>
      <c r="D2870" s="150">
        <v>0</v>
      </c>
      <c r="E2870" s="151">
        <f ca="1">OFFSET(INDEX(Composições!A:H,MATCH(Orçamentária!A2870,Composições!A:A,0),8),2,0)</f>
        <v>211.98299999999998</v>
      </c>
      <c r="F2870" s="152">
        <f t="shared" ca="1" si="134"/>
        <v>0</v>
      </c>
      <c r="G2870" s="153">
        <f>IF($K2870="Padrão",BDI!$B$17,IF($K2870="Diferenciado",BDI!$E$17,0))</f>
        <v>0.2039</v>
      </c>
      <c r="H2870" s="151">
        <f t="shared" ca="1" si="132"/>
        <v>255.21</v>
      </c>
      <c r="I2870" s="152">
        <f t="shared" ca="1" si="133"/>
        <v>0</v>
      </c>
      <c r="J2870" s="154"/>
      <c r="K2870" s="155" t="s">
        <v>2966</v>
      </c>
    </row>
    <row r="2871" spans="1:11" hidden="1" x14ac:dyDescent="0.25">
      <c r="A2871" s="148" t="s">
        <v>1617</v>
      </c>
      <c r="B2871" s="149" t="s">
        <v>7638</v>
      </c>
      <c r="C2871" s="150" t="s">
        <v>106</v>
      </c>
      <c r="D2871" s="150">
        <v>0</v>
      </c>
      <c r="E2871" s="151">
        <f ca="1">OFFSET(INDEX(Composições!A:H,MATCH(Orçamentária!A2871,Composições!A:A,0),8),2,0)</f>
        <v>156.98749999999998</v>
      </c>
      <c r="F2871" s="152">
        <f t="shared" ca="1" si="134"/>
        <v>0</v>
      </c>
      <c r="G2871" s="153">
        <f>IF($K2871="Padrão",BDI!$B$17,IF($K2871="Diferenciado",BDI!$E$17,0))</f>
        <v>0.2039</v>
      </c>
      <c r="H2871" s="151">
        <f t="shared" ca="1" si="132"/>
        <v>189</v>
      </c>
      <c r="I2871" s="152">
        <f t="shared" ca="1" si="133"/>
        <v>0</v>
      </c>
      <c r="J2871" s="154"/>
      <c r="K2871" s="155" t="s">
        <v>2966</v>
      </c>
    </row>
    <row r="2872" spans="1:11" hidden="1" x14ac:dyDescent="0.25">
      <c r="A2872" s="148" t="s">
        <v>1618</v>
      </c>
      <c r="B2872" s="149" t="s">
        <v>7639</v>
      </c>
      <c r="C2872" s="150" t="s">
        <v>106</v>
      </c>
      <c r="D2872" s="150">
        <v>0</v>
      </c>
      <c r="E2872" s="151">
        <f ca="1">OFFSET(INDEX(Composições!A:H,MATCH(Orçamentária!A2872,Composições!A:A,0),8),2,0)</f>
        <v>307.42950000000002</v>
      </c>
      <c r="F2872" s="152">
        <f t="shared" ca="1" si="134"/>
        <v>0</v>
      </c>
      <c r="G2872" s="153">
        <f>IF($K2872="Padrão",BDI!$B$17,IF($K2872="Diferenciado",BDI!$E$17,0))</f>
        <v>0.2039</v>
      </c>
      <c r="H2872" s="151">
        <f t="shared" ca="1" si="132"/>
        <v>370.11</v>
      </c>
      <c r="I2872" s="152">
        <f t="shared" ca="1" si="133"/>
        <v>0</v>
      </c>
      <c r="J2872" s="154"/>
      <c r="K2872" s="155" t="s">
        <v>2966</v>
      </c>
    </row>
    <row r="2873" spans="1:11" hidden="1" x14ac:dyDescent="0.25">
      <c r="A2873" s="148" t="s">
        <v>1619</v>
      </c>
      <c r="B2873" s="149" t="s">
        <v>7640</v>
      </c>
      <c r="C2873" s="150" t="s">
        <v>106</v>
      </c>
      <c r="D2873" s="150">
        <v>0</v>
      </c>
      <c r="E2873" s="151">
        <f ca="1">OFFSET(INDEX(Composições!A:H,MATCH(Orçamentária!A2873,Composições!A:A,0),8),2,0)</f>
        <v>433.10499999999996</v>
      </c>
      <c r="F2873" s="152">
        <f t="shared" ca="1" si="134"/>
        <v>0</v>
      </c>
      <c r="G2873" s="153">
        <f>IF($K2873="Padrão",BDI!$B$17,IF($K2873="Diferenciado",BDI!$E$17,0))</f>
        <v>0.2039</v>
      </c>
      <c r="H2873" s="151">
        <f t="shared" ca="1" si="132"/>
        <v>521.41999999999996</v>
      </c>
      <c r="I2873" s="152">
        <f t="shared" ca="1" si="133"/>
        <v>0</v>
      </c>
      <c r="J2873" s="154"/>
      <c r="K2873" s="155" t="s">
        <v>2966</v>
      </c>
    </row>
    <row r="2874" spans="1:11" hidden="1" x14ac:dyDescent="0.25">
      <c r="A2874" s="148" t="s">
        <v>1620</v>
      </c>
      <c r="B2874" s="149" t="s">
        <v>7641</v>
      </c>
      <c r="C2874" s="150" t="s">
        <v>106</v>
      </c>
      <c r="D2874" s="150">
        <v>0</v>
      </c>
      <c r="E2874" s="151">
        <f ca="1">OFFSET(INDEX(Composições!A:H,MATCH(Orçamentária!A2874,Composições!A:A,0),8),2,0)</f>
        <v>633.13700000000006</v>
      </c>
      <c r="F2874" s="152">
        <f t="shared" ca="1" si="134"/>
        <v>0</v>
      </c>
      <c r="G2874" s="153">
        <f>IF($K2874="Padrão",BDI!$B$17,IF($K2874="Diferenciado",BDI!$E$17,0))</f>
        <v>0.2039</v>
      </c>
      <c r="H2874" s="151">
        <f t="shared" ca="1" si="132"/>
        <v>762.23</v>
      </c>
      <c r="I2874" s="152">
        <f t="shared" ca="1" si="133"/>
        <v>0</v>
      </c>
      <c r="J2874" s="154"/>
      <c r="K2874" s="155" t="s">
        <v>2966</v>
      </c>
    </row>
    <row r="2875" spans="1:11" hidden="1" x14ac:dyDescent="0.25">
      <c r="A2875" s="148" t="s">
        <v>1621</v>
      </c>
      <c r="B2875" s="149" t="s">
        <v>7642</v>
      </c>
      <c r="C2875" s="150" t="s">
        <v>106</v>
      </c>
      <c r="D2875" s="150">
        <v>0</v>
      </c>
      <c r="E2875" s="151">
        <f ca="1">OFFSET(INDEX(Composições!A:H,MATCH(Orçamentária!A2875,Composições!A:A,0),8),2,0)</f>
        <v>933.58399999999995</v>
      </c>
      <c r="F2875" s="152">
        <f t="shared" ca="1" si="134"/>
        <v>0</v>
      </c>
      <c r="G2875" s="153">
        <f>IF($K2875="Padrão",BDI!$B$17,IF($K2875="Diferenciado",BDI!$E$17,0))</f>
        <v>0.2039</v>
      </c>
      <c r="H2875" s="151">
        <f t="shared" ca="1" si="132"/>
        <v>1123.94</v>
      </c>
      <c r="I2875" s="152">
        <f t="shared" ca="1" si="133"/>
        <v>0</v>
      </c>
      <c r="J2875" s="154"/>
      <c r="K2875" s="155" t="s">
        <v>2966</v>
      </c>
    </row>
    <row r="2876" spans="1:11" hidden="1" x14ac:dyDescent="0.25">
      <c r="A2876" s="148" t="s">
        <v>1622</v>
      </c>
      <c r="B2876" s="149" t="s">
        <v>7643</v>
      </c>
      <c r="C2876" s="150" t="s">
        <v>106</v>
      </c>
      <c r="D2876" s="150">
        <v>0</v>
      </c>
      <c r="E2876" s="151">
        <f ca="1">OFFSET(INDEX(Composições!A:H,MATCH(Orçamentária!A2876,Composições!A:A,0),8),2,0)</f>
        <v>18.040499999999998</v>
      </c>
      <c r="F2876" s="152">
        <f t="shared" ca="1" si="134"/>
        <v>0</v>
      </c>
      <c r="G2876" s="153">
        <f>IF($K2876="Padrão",BDI!$B$17,IF($K2876="Diferenciado",BDI!$E$17,0))</f>
        <v>0.2039</v>
      </c>
      <c r="H2876" s="151">
        <f t="shared" ca="1" si="132"/>
        <v>21.72</v>
      </c>
      <c r="I2876" s="152">
        <f t="shared" ca="1" si="133"/>
        <v>0</v>
      </c>
      <c r="J2876" s="154"/>
      <c r="K2876" s="155" t="s">
        <v>2966</v>
      </c>
    </row>
    <row r="2877" spans="1:11" hidden="1" x14ac:dyDescent="0.25">
      <c r="A2877" s="148" t="s">
        <v>1623</v>
      </c>
      <c r="B2877" s="149" t="s">
        <v>7644</v>
      </c>
      <c r="C2877" s="150" t="s">
        <v>106</v>
      </c>
      <c r="D2877" s="150">
        <v>0</v>
      </c>
      <c r="E2877" s="151">
        <f ca="1">OFFSET(INDEX(Composições!A:H,MATCH(Orçamentária!A2877,Composições!A:A,0),8),2,0)</f>
        <v>31.0745</v>
      </c>
      <c r="F2877" s="152">
        <f t="shared" ca="1" si="134"/>
        <v>0</v>
      </c>
      <c r="G2877" s="153">
        <f>IF($K2877="Padrão",BDI!$B$17,IF($K2877="Diferenciado",BDI!$E$17,0))</f>
        <v>0.2039</v>
      </c>
      <c r="H2877" s="151">
        <f t="shared" ca="1" si="132"/>
        <v>37.409999999999997</v>
      </c>
      <c r="I2877" s="152">
        <f t="shared" ca="1" si="133"/>
        <v>0</v>
      </c>
      <c r="J2877" s="154"/>
      <c r="K2877" s="155" t="s">
        <v>2966</v>
      </c>
    </row>
    <row r="2878" spans="1:11" hidden="1" x14ac:dyDescent="0.25">
      <c r="A2878" s="148" t="s">
        <v>1624</v>
      </c>
      <c r="B2878" s="149" t="s">
        <v>7645</v>
      </c>
      <c r="C2878" s="150" t="s">
        <v>106</v>
      </c>
      <c r="D2878" s="150">
        <v>0</v>
      </c>
      <c r="E2878" s="151">
        <f ca="1">OFFSET(INDEX(Composições!A:H,MATCH(Orçamentária!A2878,Composições!A:A,0),8),2,0)</f>
        <v>44.2605</v>
      </c>
      <c r="F2878" s="152">
        <f t="shared" ca="1" si="134"/>
        <v>0</v>
      </c>
      <c r="G2878" s="153">
        <f>IF($K2878="Padrão",BDI!$B$17,IF($K2878="Diferenciado",BDI!$E$17,0))</f>
        <v>0.2039</v>
      </c>
      <c r="H2878" s="151">
        <f t="shared" ca="1" si="132"/>
        <v>53.29</v>
      </c>
      <c r="I2878" s="152">
        <f t="shared" ca="1" si="133"/>
        <v>0</v>
      </c>
      <c r="J2878" s="154"/>
      <c r="K2878" s="155" t="s">
        <v>2966</v>
      </c>
    </row>
    <row r="2879" spans="1:11" hidden="1" x14ac:dyDescent="0.25">
      <c r="A2879" s="148" t="s">
        <v>1625</v>
      </c>
      <c r="B2879" s="149" t="s">
        <v>7646</v>
      </c>
      <c r="C2879" s="150" t="s">
        <v>106</v>
      </c>
      <c r="D2879" s="150">
        <v>0</v>
      </c>
      <c r="E2879" s="151">
        <f ca="1">OFFSET(INDEX(Composições!A:H,MATCH(Orçamentária!A2879,Composições!A:A,0),8),2,0)</f>
        <v>17.375499999999999</v>
      </c>
      <c r="F2879" s="152">
        <f t="shared" ca="1" si="134"/>
        <v>0</v>
      </c>
      <c r="G2879" s="153">
        <f>IF($K2879="Padrão",BDI!$B$17,IF($K2879="Diferenciado",BDI!$E$17,0))</f>
        <v>0.2039</v>
      </c>
      <c r="H2879" s="151">
        <f t="shared" ca="1" si="132"/>
        <v>20.92</v>
      </c>
      <c r="I2879" s="152">
        <f t="shared" ca="1" si="133"/>
        <v>0</v>
      </c>
      <c r="J2879" s="154"/>
      <c r="K2879" s="155" t="s">
        <v>2966</v>
      </c>
    </row>
    <row r="2880" spans="1:11" hidden="1" x14ac:dyDescent="0.25">
      <c r="A2880" s="148" t="s">
        <v>1626</v>
      </c>
      <c r="B2880" s="149" t="s">
        <v>7647</v>
      </c>
      <c r="C2880" s="150" t="s">
        <v>106</v>
      </c>
      <c r="D2880" s="150">
        <v>0</v>
      </c>
      <c r="E2880" s="151">
        <f ca="1">OFFSET(INDEX(Composições!A:H,MATCH(Orçamentária!A2880,Composições!A:A,0),8),2,0)</f>
        <v>22.619499999999999</v>
      </c>
      <c r="F2880" s="152">
        <f t="shared" ca="1" si="134"/>
        <v>0</v>
      </c>
      <c r="G2880" s="153">
        <f>IF($K2880="Padrão",BDI!$B$17,IF($K2880="Diferenciado",BDI!$E$17,0))</f>
        <v>0.2039</v>
      </c>
      <c r="H2880" s="151">
        <f t="shared" ca="1" si="132"/>
        <v>27.23</v>
      </c>
      <c r="I2880" s="152">
        <f t="shared" ca="1" si="133"/>
        <v>0</v>
      </c>
      <c r="J2880" s="154"/>
      <c r="K2880" s="155" t="s">
        <v>2966</v>
      </c>
    </row>
    <row r="2881" spans="1:11" hidden="1" x14ac:dyDescent="0.25">
      <c r="A2881" s="148" t="s">
        <v>1627</v>
      </c>
      <c r="B2881" s="149" t="s">
        <v>7648</v>
      </c>
      <c r="C2881" s="150" t="s">
        <v>106</v>
      </c>
      <c r="D2881" s="150">
        <v>0</v>
      </c>
      <c r="E2881" s="151">
        <f ca="1">OFFSET(INDEX(Composições!A:H,MATCH(Orçamentária!A2881,Composições!A:A,0),8),2,0)</f>
        <v>30.371499999999997</v>
      </c>
      <c r="F2881" s="152">
        <f t="shared" ca="1" si="134"/>
        <v>0</v>
      </c>
      <c r="G2881" s="153">
        <f>IF($K2881="Padrão",BDI!$B$17,IF($K2881="Diferenciado",BDI!$E$17,0))</f>
        <v>0.2039</v>
      </c>
      <c r="H2881" s="151">
        <f t="shared" ca="1" si="132"/>
        <v>36.56</v>
      </c>
      <c r="I2881" s="152">
        <f t="shared" ca="1" si="133"/>
        <v>0</v>
      </c>
      <c r="J2881" s="154"/>
      <c r="K2881" s="155" t="s">
        <v>2966</v>
      </c>
    </row>
    <row r="2882" spans="1:11" hidden="1" x14ac:dyDescent="0.25">
      <c r="A2882" s="148" t="s">
        <v>1628</v>
      </c>
      <c r="B2882" s="149" t="s">
        <v>7649</v>
      </c>
      <c r="C2882" s="150" t="s">
        <v>106</v>
      </c>
      <c r="D2882" s="150">
        <v>0</v>
      </c>
      <c r="E2882" s="151">
        <f ca="1">OFFSET(INDEX(Composições!A:H,MATCH(Orçamentária!A2882,Composições!A:A,0),8),2,0)</f>
        <v>63.830499999999994</v>
      </c>
      <c r="F2882" s="152">
        <f t="shared" ca="1" si="134"/>
        <v>0</v>
      </c>
      <c r="G2882" s="153">
        <f>IF($K2882="Padrão",BDI!$B$17,IF($K2882="Diferenciado",BDI!$E$17,0))</f>
        <v>0.2039</v>
      </c>
      <c r="H2882" s="151">
        <f t="shared" ca="1" si="132"/>
        <v>76.849999999999994</v>
      </c>
      <c r="I2882" s="152">
        <f t="shared" ca="1" si="133"/>
        <v>0</v>
      </c>
      <c r="J2882" s="154"/>
      <c r="K2882" s="155" t="s">
        <v>2966</v>
      </c>
    </row>
    <row r="2883" spans="1:11" hidden="1" x14ac:dyDescent="0.25">
      <c r="A2883" s="148" t="s">
        <v>1629</v>
      </c>
      <c r="B2883" s="149" t="s">
        <v>7650</v>
      </c>
      <c r="C2883" s="150" t="s">
        <v>106</v>
      </c>
      <c r="D2883" s="150">
        <v>0</v>
      </c>
      <c r="E2883" s="151">
        <f ca="1">OFFSET(INDEX(Composições!A:H,MATCH(Orçamentária!A2883,Composições!A:A,0),8),2,0)</f>
        <v>89.318999999999988</v>
      </c>
      <c r="F2883" s="152">
        <f t="shared" ca="1" si="134"/>
        <v>0</v>
      </c>
      <c r="G2883" s="153">
        <f>IF($K2883="Padrão",BDI!$B$17,IF($K2883="Diferenciado",BDI!$E$17,0))</f>
        <v>0.2039</v>
      </c>
      <c r="H2883" s="151">
        <f t="shared" ca="1" si="132"/>
        <v>107.53</v>
      </c>
      <c r="I2883" s="152">
        <f t="shared" ca="1" si="133"/>
        <v>0</v>
      </c>
      <c r="J2883" s="154"/>
      <c r="K2883" s="155" t="s">
        <v>2966</v>
      </c>
    </row>
    <row r="2884" spans="1:11" hidden="1" x14ac:dyDescent="0.25">
      <c r="A2884" s="148" t="s">
        <v>1630</v>
      </c>
      <c r="B2884" s="149" t="s">
        <v>7651</v>
      </c>
      <c r="C2884" s="150" t="s">
        <v>106</v>
      </c>
      <c r="D2884" s="150">
        <v>0</v>
      </c>
      <c r="E2884" s="151">
        <f ca="1">OFFSET(INDEX(Composições!A:H,MATCH(Orçamentária!A2884,Composições!A:A,0),8),2,0)</f>
        <v>102.6095</v>
      </c>
      <c r="F2884" s="152">
        <f t="shared" ca="1" si="134"/>
        <v>0</v>
      </c>
      <c r="G2884" s="153">
        <f>IF($K2884="Padrão",BDI!$B$17,IF($K2884="Diferenciado",BDI!$E$17,0))</f>
        <v>0.2039</v>
      </c>
      <c r="H2884" s="151">
        <f t="shared" ca="1" si="132"/>
        <v>123.53</v>
      </c>
      <c r="I2884" s="152">
        <f t="shared" ca="1" si="133"/>
        <v>0</v>
      </c>
      <c r="J2884" s="154"/>
      <c r="K2884" s="155" t="s">
        <v>2966</v>
      </c>
    </row>
    <row r="2885" spans="1:11" hidden="1" x14ac:dyDescent="0.25">
      <c r="A2885" s="148" t="s">
        <v>1631</v>
      </c>
      <c r="B2885" s="149" t="s">
        <v>7652</v>
      </c>
      <c r="C2885" s="150" t="s">
        <v>18</v>
      </c>
      <c r="D2885" s="150">
        <v>0</v>
      </c>
      <c r="E2885" s="151">
        <f ca="1">OFFSET(INDEX(Composições!A:H,MATCH(Orçamentária!A2885,Composições!A:A,0),8),2,0)</f>
        <v>34.808</v>
      </c>
      <c r="F2885" s="152">
        <f t="shared" ca="1" si="134"/>
        <v>0</v>
      </c>
      <c r="G2885" s="153">
        <f>IF($K2885="Padrão",BDI!$B$17,IF($K2885="Diferenciado",BDI!$E$17,0))</f>
        <v>0.2039</v>
      </c>
      <c r="H2885" s="151">
        <f t="shared" ca="1" si="132"/>
        <v>41.91</v>
      </c>
      <c r="I2885" s="152">
        <f t="shared" ca="1" si="133"/>
        <v>0</v>
      </c>
      <c r="J2885" s="154"/>
      <c r="K2885" s="155" t="s">
        <v>2966</v>
      </c>
    </row>
    <row r="2886" spans="1:11" hidden="1" x14ac:dyDescent="0.25">
      <c r="A2886" s="148" t="s">
        <v>1632</v>
      </c>
      <c r="B2886" s="149" t="s">
        <v>7653</v>
      </c>
      <c r="C2886" s="150" t="s">
        <v>18</v>
      </c>
      <c r="D2886" s="150">
        <v>0</v>
      </c>
      <c r="E2886" s="151">
        <f ca="1">OFFSET(INDEX(Composições!A:H,MATCH(Orçamentária!A2886,Composições!A:A,0),8),2,0)</f>
        <v>53.275999999999996</v>
      </c>
      <c r="F2886" s="152">
        <f t="shared" ca="1" si="134"/>
        <v>0</v>
      </c>
      <c r="G2886" s="153">
        <f>IF($K2886="Padrão",BDI!$B$17,IF($K2886="Diferenciado",BDI!$E$17,0))</f>
        <v>0.2039</v>
      </c>
      <c r="H2886" s="151">
        <f t="shared" ref="H2886:H2949" ca="1" si="135">IF(ISNUMBER(E2886),ROUND(E2886*(1+G2886),2),"")</f>
        <v>64.14</v>
      </c>
      <c r="I2886" s="152">
        <f t="shared" ref="I2886:I2949" ca="1" si="136">IF(ISNUMBER(E2886),ROUND(H2886*D2886,2),"")</f>
        <v>0</v>
      </c>
      <c r="J2886" s="154"/>
      <c r="K2886" s="155" t="s">
        <v>2966</v>
      </c>
    </row>
    <row r="2887" spans="1:11" hidden="1" x14ac:dyDescent="0.25">
      <c r="A2887" s="148" t="s">
        <v>1633</v>
      </c>
      <c r="B2887" s="149" t="s">
        <v>7654</v>
      </c>
      <c r="C2887" s="150" t="s">
        <v>18</v>
      </c>
      <c r="D2887" s="150">
        <v>0</v>
      </c>
      <c r="E2887" s="151">
        <f ca="1">OFFSET(INDEX(Composições!A:H,MATCH(Orçamentária!A2887,Composições!A:A,0),8),2,0)</f>
        <v>86.668499999999995</v>
      </c>
      <c r="F2887" s="152">
        <f t="shared" ref="F2887:F2950" ca="1" si="137">IF(ISNUMBER(E2887),D2887*E2887,"")</f>
        <v>0</v>
      </c>
      <c r="G2887" s="153">
        <f>IF($K2887="Padrão",BDI!$B$17,IF($K2887="Diferenciado",BDI!$E$17,0))</f>
        <v>0.2039</v>
      </c>
      <c r="H2887" s="151">
        <f t="shared" ca="1" si="135"/>
        <v>104.34</v>
      </c>
      <c r="I2887" s="152">
        <f t="shared" ca="1" si="136"/>
        <v>0</v>
      </c>
      <c r="J2887" s="154"/>
      <c r="K2887" s="155" t="s">
        <v>2966</v>
      </c>
    </row>
    <row r="2888" spans="1:11" hidden="1" x14ac:dyDescent="0.25">
      <c r="A2888" s="148" t="s">
        <v>7655</v>
      </c>
      <c r="B2888" s="149" t="s">
        <v>7656</v>
      </c>
      <c r="C2888" s="150" t="s">
        <v>18</v>
      </c>
      <c r="D2888" s="150">
        <v>0</v>
      </c>
      <c r="E2888" s="151" t="s">
        <v>13</v>
      </c>
      <c r="F2888" s="152" t="str">
        <f t="shared" si="137"/>
        <v/>
      </c>
      <c r="G2888" s="153">
        <f>IF($K2888="Padrão",BDI!$B$17,IF($K2888="Diferenciado",BDI!$E$17,0))</f>
        <v>0.2039</v>
      </c>
      <c r="H2888" s="151" t="str">
        <f t="shared" si="135"/>
        <v/>
      </c>
      <c r="I2888" s="152" t="str">
        <f t="shared" si="136"/>
        <v/>
      </c>
      <c r="J2888" s="154"/>
      <c r="K2888" s="155" t="s">
        <v>2966</v>
      </c>
    </row>
    <row r="2889" spans="1:11" hidden="1" x14ac:dyDescent="0.25">
      <c r="A2889" s="148" t="s">
        <v>7657</v>
      </c>
      <c r="B2889" s="149" t="s">
        <v>7658</v>
      </c>
      <c r="C2889" s="150" t="s">
        <v>18</v>
      </c>
      <c r="D2889" s="150">
        <v>0</v>
      </c>
      <c r="E2889" s="151" t="s">
        <v>13</v>
      </c>
      <c r="F2889" s="152" t="str">
        <f t="shared" si="137"/>
        <v/>
      </c>
      <c r="G2889" s="153">
        <f>IF($K2889="Padrão",BDI!$B$17,IF($K2889="Diferenciado",BDI!$E$17,0))</f>
        <v>0.2039</v>
      </c>
      <c r="H2889" s="151" t="str">
        <f t="shared" si="135"/>
        <v/>
      </c>
      <c r="I2889" s="152" t="str">
        <f t="shared" si="136"/>
        <v/>
      </c>
      <c r="J2889" s="154"/>
      <c r="K2889" s="155" t="s">
        <v>2966</v>
      </c>
    </row>
    <row r="2890" spans="1:11" hidden="1" x14ac:dyDescent="0.25">
      <c r="A2890" s="148" t="s">
        <v>1634</v>
      </c>
      <c r="B2890" s="149" t="s">
        <v>7659</v>
      </c>
      <c r="C2890" s="150" t="s">
        <v>106</v>
      </c>
      <c r="D2890" s="150">
        <v>0</v>
      </c>
      <c r="E2890" s="151">
        <f ca="1">OFFSET(INDEX(Composições!A:H,MATCH(Orçamentária!A2890,Composições!A:A,0),8),2,0)</f>
        <v>332.80399999999997</v>
      </c>
      <c r="F2890" s="152">
        <f t="shared" ca="1" si="137"/>
        <v>0</v>
      </c>
      <c r="G2890" s="153">
        <f>IF($K2890="Padrão",BDI!$B$17,IF($K2890="Diferenciado",BDI!$E$17,0))</f>
        <v>0.2039</v>
      </c>
      <c r="H2890" s="151">
        <f t="shared" ca="1" si="135"/>
        <v>400.66</v>
      </c>
      <c r="I2890" s="152">
        <f t="shared" ca="1" si="136"/>
        <v>0</v>
      </c>
      <c r="J2890" s="154"/>
      <c r="K2890" s="155" t="s">
        <v>2966</v>
      </c>
    </row>
    <row r="2891" spans="1:11" hidden="1" x14ac:dyDescent="0.25">
      <c r="A2891" s="148" t="s">
        <v>1635</v>
      </c>
      <c r="B2891" s="149" t="s">
        <v>7660</v>
      </c>
      <c r="C2891" s="150" t="s">
        <v>106</v>
      </c>
      <c r="D2891" s="150">
        <v>0</v>
      </c>
      <c r="E2891" s="151">
        <f ca="1">OFFSET(INDEX(Composições!A:H,MATCH(Orçamentária!A2891,Composições!A:A,0),8),2,0)</f>
        <v>15.389999999999999</v>
      </c>
      <c r="F2891" s="152">
        <f t="shared" ca="1" si="137"/>
        <v>0</v>
      </c>
      <c r="G2891" s="153">
        <f>IF($K2891="Padrão",BDI!$B$17,IF($K2891="Diferenciado",BDI!$E$17,0))</f>
        <v>0.2039</v>
      </c>
      <c r="H2891" s="151">
        <f t="shared" ca="1" si="135"/>
        <v>18.53</v>
      </c>
      <c r="I2891" s="152">
        <f t="shared" ca="1" si="136"/>
        <v>0</v>
      </c>
      <c r="J2891" s="154"/>
      <c r="K2891" s="155" t="s">
        <v>2966</v>
      </c>
    </row>
    <row r="2892" spans="1:11" hidden="1" x14ac:dyDescent="0.25">
      <c r="A2892" s="148" t="s">
        <v>1636</v>
      </c>
      <c r="B2892" s="149" t="s">
        <v>7661</v>
      </c>
      <c r="C2892" s="150" t="s">
        <v>106</v>
      </c>
      <c r="D2892" s="150">
        <v>0</v>
      </c>
      <c r="E2892" s="151">
        <f ca="1">OFFSET(INDEX(Composições!A:H,MATCH(Orçamentária!A2892,Composições!A:A,0),8),2,0)</f>
        <v>40.222999999999999</v>
      </c>
      <c r="F2892" s="152">
        <f t="shared" ca="1" si="137"/>
        <v>0</v>
      </c>
      <c r="G2892" s="153">
        <f>IF($K2892="Padrão",BDI!$B$17,IF($K2892="Diferenciado",BDI!$E$17,0))</f>
        <v>0.2039</v>
      </c>
      <c r="H2892" s="151">
        <f t="shared" ca="1" si="135"/>
        <v>48.42</v>
      </c>
      <c r="I2892" s="152">
        <f t="shared" ca="1" si="136"/>
        <v>0</v>
      </c>
      <c r="J2892" s="154"/>
      <c r="K2892" s="155" t="s">
        <v>2966</v>
      </c>
    </row>
    <row r="2893" spans="1:11" hidden="1" x14ac:dyDescent="0.25">
      <c r="A2893" s="148" t="s">
        <v>1637</v>
      </c>
      <c r="B2893" s="149" t="s">
        <v>7662</v>
      </c>
      <c r="C2893" s="150" t="s">
        <v>106</v>
      </c>
      <c r="D2893" s="150">
        <v>0</v>
      </c>
      <c r="E2893" s="151">
        <f ca="1">OFFSET(INDEX(Composições!A:H,MATCH(Orçamentária!A2893,Composições!A:A,0),8),2,0)</f>
        <v>6.726</v>
      </c>
      <c r="F2893" s="152">
        <f t="shared" ca="1" si="137"/>
        <v>0</v>
      </c>
      <c r="G2893" s="153">
        <f>IF($K2893="Padrão",BDI!$B$17,IF($K2893="Diferenciado",BDI!$E$17,0))</f>
        <v>0.2039</v>
      </c>
      <c r="H2893" s="151">
        <f t="shared" ca="1" si="135"/>
        <v>8.1</v>
      </c>
      <c r="I2893" s="152">
        <f t="shared" ca="1" si="136"/>
        <v>0</v>
      </c>
      <c r="J2893" s="154"/>
      <c r="K2893" s="155" t="s">
        <v>2966</v>
      </c>
    </row>
    <row r="2894" spans="1:11" hidden="1" x14ac:dyDescent="0.25">
      <c r="A2894" s="148" t="s">
        <v>1638</v>
      </c>
      <c r="B2894" s="149" t="s">
        <v>7663</v>
      </c>
      <c r="C2894" s="150" t="s">
        <v>106</v>
      </c>
      <c r="D2894" s="150">
        <v>0</v>
      </c>
      <c r="E2894" s="151">
        <f ca="1">OFFSET(INDEX(Composições!A:H,MATCH(Orçamentária!A2894,Composições!A:A,0),8),2,0)</f>
        <v>11.105499999999999</v>
      </c>
      <c r="F2894" s="152">
        <f t="shared" ca="1" si="137"/>
        <v>0</v>
      </c>
      <c r="G2894" s="153">
        <f>IF($K2894="Padrão",BDI!$B$17,IF($K2894="Diferenciado",BDI!$E$17,0))</f>
        <v>0.2039</v>
      </c>
      <c r="H2894" s="151">
        <f t="shared" ca="1" si="135"/>
        <v>13.37</v>
      </c>
      <c r="I2894" s="152">
        <f t="shared" ca="1" si="136"/>
        <v>0</v>
      </c>
      <c r="J2894" s="154"/>
      <c r="K2894" s="155" t="s">
        <v>2966</v>
      </c>
    </row>
    <row r="2895" spans="1:11" hidden="1" x14ac:dyDescent="0.25">
      <c r="A2895" s="148" t="s">
        <v>1639</v>
      </c>
      <c r="B2895" s="149" t="s">
        <v>7664</v>
      </c>
      <c r="C2895" s="150" t="s">
        <v>106</v>
      </c>
      <c r="D2895" s="150">
        <v>0</v>
      </c>
      <c r="E2895" s="151">
        <f ca="1">OFFSET(INDEX(Composições!A:H,MATCH(Orçamentária!A2895,Composições!A:A,0),8),2,0)</f>
        <v>14.572999999999999</v>
      </c>
      <c r="F2895" s="152">
        <f t="shared" ca="1" si="137"/>
        <v>0</v>
      </c>
      <c r="G2895" s="153">
        <f>IF($K2895="Padrão",BDI!$B$17,IF($K2895="Diferenciado",BDI!$E$17,0))</f>
        <v>0.2039</v>
      </c>
      <c r="H2895" s="151">
        <f t="shared" ca="1" si="135"/>
        <v>17.54</v>
      </c>
      <c r="I2895" s="152">
        <f t="shared" ca="1" si="136"/>
        <v>0</v>
      </c>
      <c r="J2895" s="154"/>
      <c r="K2895" s="155" t="s">
        <v>2966</v>
      </c>
    </row>
    <row r="2896" spans="1:11" hidden="1" x14ac:dyDescent="0.25">
      <c r="A2896" s="148" t="s">
        <v>1640</v>
      </c>
      <c r="B2896" s="149" t="s">
        <v>7665</v>
      </c>
      <c r="C2896" s="150" t="s">
        <v>106</v>
      </c>
      <c r="D2896" s="150">
        <v>0</v>
      </c>
      <c r="E2896" s="151">
        <f ca="1">OFFSET(INDEX(Composições!A:H,MATCH(Orçamentária!A2896,Composições!A:A,0),8),2,0)</f>
        <v>34.978999999999999</v>
      </c>
      <c r="F2896" s="152">
        <f t="shared" ca="1" si="137"/>
        <v>0</v>
      </c>
      <c r="G2896" s="153">
        <f>IF($K2896="Padrão",BDI!$B$17,IF($K2896="Diferenciado",BDI!$E$17,0))</f>
        <v>0.2039</v>
      </c>
      <c r="H2896" s="151">
        <f t="shared" ca="1" si="135"/>
        <v>42.11</v>
      </c>
      <c r="I2896" s="152">
        <f t="shared" ca="1" si="136"/>
        <v>0</v>
      </c>
      <c r="J2896" s="154"/>
      <c r="K2896" s="155" t="s">
        <v>2966</v>
      </c>
    </row>
    <row r="2897" spans="1:11" hidden="1" x14ac:dyDescent="0.25">
      <c r="A2897" s="148" t="s">
        <v>1641</v>
      </c>
      <c r="B2897" s="149" t="s">
        <v>7666</v>
      </c>
      <c r="C2897" s="150" t="s">
        <v>106</v>
      </c>
      <c r="D2897" s="150">
        <v>0</v>
      </c>
      <c r="E2897" s="151">
        <f ca="1">OFFSET(INDEX(Composições!A:H,MATCH(Orçamentária!A2897,Composições!A:A,0),8),2,0)</f>
        <v>23.702499999999997</v>
      </c>
      <c r="F2897" s="152">
        <f t="shared" ca="1" si="137"/>
        <v>0</v>
      </c>
      <c r="G2897" s="153">
        <f>IF($K2897="Padrão",BDI!$B$17,IF($K2897="Diferenciado",BDI!$E$17,0))</f>
        <v>0.2039</v>
      </c>
      <c r="H2897" s="151">
        <f t="shared" ca="1" si="135"/>
        <v>28.54</v>
      </c>
      <c r="I2897" s="152">
        <f t="shared" ca="1" si="136"/>
        <v>0</v>
      </c>
      <c r="J2897" s="154"/>
      <c r="K2897" s="155" t="s">
        <v>2966</v>
      </c>
    </row>
    <row r="2898" spans="1:11" hidden="1" x14ac:dyDescent="0.25">
      <c r="A2898" s="148" t="s">
        <v>1642</v>
      </c>
      <c r="B2898" s="149" t="s">
        <v>7667</v>
      </c>
      <c r="C2898" s="150" t="s">
        <v>106</v>
      </c>
      <c r="D2898" s="150">
        <v>0</v>
      </c>
      <c r="E2898" s="151">
        <f ca="1">OFFSET(INDEX(Composições!A:H,MATCH(Orçamentária!A2898,Composições!A:A,0),8),2,0)</f>
        <v>68.580500000000001</v>
      </c>
      <c r="F2898" s="152">
        <f t="shared" ca="1" si="137"/>
        <v>0</v>
      </c>
      <c r="G2898" s="153">
        <f>IF($K2898="Padrão",BDI!$B$17,IF($K2898="Diferenciado",BDI!$E$17,0))</f>
        <v>0.2039</v>
      </c>
      <c r="H2898" s="151">
        <f t="shared" ca="1" si="135"/>
        <v>82.56</v>
      </c>
      <c r="I2898" s="152">
        <f t="shared" ca="1" si="136"/>
        <v>0</v>
      </c>
      <c r="J2898" s="154"/>
      <c r="K2898" s="155" t="s">
        <v>2966</v>
      </c>
    </row>
    <row r="2899" spans="1:11" hidden="1" x14ac:dyDescent="0.25">
      <c r="A2899" s="148" t="s">
        <v>1643</v>
      </c>
      <c r="B2899" s="149" t="s">
        <v>7668</v>
      </c>
      <c r="C2899" s="150" t="s">
        <v>106</v>
      </c>
      <c r="D2899" s="150">
        <v>0</v>
      </c>
      <c r="E2899" s="151">
        <f ca="1">OFFSET(INDEX(Composições!A:H,MATCH(Orçamentária!A2899,Composições!A:A,0),8),2,0)</f>
        <v>50.055499999999995</v>
      </c>
      <c r="F2899" s="152">
        <f t="shared" ca="1" si="137"/>
        <v>0</v>
      </c>
      <c r="G2899" s="153">
        <f>IF($K2899="Padrão",BDI!$B$17,IF($K2899="Diferenciado",BDI!$E$17,0))</f>
        <v>0.2039</v>
      </c>
      <c r="H2899" s="151">
        <f t="shared" ca="1" si="135"/>
        <v>60.26</v>
      </c>
      <c r="I2899" s="152">
        <f t="shared" ca="1" si="136"/>
        <v>0</v>
      </c>
      <c r="J2899" s="154"/>
      <c r="K2899" s="155" t="s">
        <v>2966</v>
      </c>
    </row>
    <row r="2900" spans="1:11" ht="25.5" hidden="1" x14ac:dyDescent="0.25">
      <c r="A2900" s="148" t="s">
        <v>1644</v>
      </c>
      <c r="B2900" s="149" t="s">
        <v>7669</v>
      </c>
      <c r="C2900" s="150" t="s">
        <v>106</v>
      </c>
      <c r="D2900" s="150">
        <v>0</v>
      </c>
      <c r="E2900" s="151">
        <f ca="1">OFFSET(INDEX(Composições!A:H,MATCH(Orçamentária!A2900,Composições!A:A,0),8),2,0)</f>
        <v>0</v>
      </c>
      <c r="F2900" s="152">
        <f t="shared" ca="1" si="137"/>
        <v>0</v>
      </c>
      <c r="G2900" s="153">
        <f>IF($K2900="Padrão",BDI!$B$17,IF($K2900="Diferenciado",BDI!$E$17,0))</f>
        <v>0.2039</v>
      </c>
      <c r="H2900" s="151">
        <f t="shared" ca="1" si="135"/>
        <v>0</v>
      </c>
      <c r="I2900" s="152">
        <f t="shared" ca="1" si="136"/>
        <v>0</v>
      </c>
      <c r="J2900" s="154"/>
      <c r="K2900" s="155" t="s">
        <v>2966</v>
      </c>
    </row>
    <row r="2901" spans="1:11" hidden="1" x14ac:dyDescent="0.25">
      <c r="A2901" s="148" t="s">
        <v>1646</v>
      </c>
      <c r="B2901" s="149" t="s">
        <v>7670</v>
      </c>
      <c r="C2901" s="150" t="s">
        <v>106</v>
      </c>
      <c r="D2901" s="150">
        <v>0</v>
      </c>
      <c r="E2901" s="151">
        <f ca="1">OFFSET(INDEX(Composições!A:H,MATCH(Orçamentária!A2901,Composições!A:A,0),8),2,0)</f>
        <v>11.342999999999998</v>
      </c>
      <c r="F2901" s="152">
        <f t="shared" ca="1" si="137"/>
        <v>0</v>
      </c>
      <c r="G2901" s="153">
        <f>IF($K2901="Padrão",BDI!$B$17,IF($K2901="Diferenciado",BDI!$E$17,0))</f>
        <v>0.2039</v>
      </c>
      <c r="H2901" s="151">
        <f t="shared" ca="1" si="135"/>
        <v>13.66</v>
      </c>
      <c r="I2901" s="152">
        <f t="shared" ca="1" si="136"/>
        <v>0</v>
      </c>
      <c r="J2901" s="154"/>
      <c r="K2901" s="155" t="s">
        <v>2966</v>
      </c>
    </row>
    <row r="2902" spans="1:11" ht="25.5" hidden="1" x14ac:dyDescent="0.25">
      <c r="A2902" s="148" t="s">
        <v>1647</v>
      </c>
      <c r="B2902" s="149" t="s">
        <v>7671</v>
      </c>
      <c r="C2902" s="150" t="s">
        <v>106</v>
      </c>
      <c r="D2902" s="150">
        <v>0</v>
      </c>
      <c r="E2902" s="151">
        <f ca="1">OFFSET(INDEX(Composições!A:H,MATCH(Orçamentária!A2902,Composições!A:A,0),8),2,0)</f>
        <v>0</v>
      </c>
      <c r="F2902" s="152">
        <f t="shared" ca="1" si="137"/>
        <v>0</v>
      </c>
      <c r="G2902" s="153">
        <f>IF($K2902="Padrão",BDI!$B$17,IF($K2902="Diferenciado",BDI!$E$17,0))</f>
        <v>0.2039</v>
      </c>
      <c r="H2902" s="151">
        <f t="shared" ca="1" si="135"/>
        <v>0</v>
      </c>
      <c r="I2902" s="152">
        <f t="shared" ca="1" si="136"/>
        <v>0</v>
      </c>
      <c r="J2902" s="154"/>
      <c r="K2902" s="155" t="s">
        <v>2966</v>
      </c>
    </row>
    <row r="2903" spans="1:11" hidden="1" x14ac:dyDescent="0.25">
      <c r="A2903" s="148" t="s">
        <v>7672</v>
      </c>
      <c r="B2903" s="149" t="s">
        <v>7673</v>
      </c>
      <c r="C2903" s="150" t="s">
        <v>106</v>
      </c>
      <c r="D2903" s="150">
        <v>0</v>
      </c>
      <c r="E2903" s="151" t="s">
        <v>13</v>
      </c>
      <c r="F2903" s="152" t="str">
        <f t="shared" si="137"/>
        <v/>
      </c>
      <c r="G2903" s="153">
        <f>IF($K2903="Padrão",BDI!$B$17,IF($K2903="Diferenciado",BDI!$E$17,0))</f>
        <v>0.2039</v>
      </c>
      <c r="H2903" s="151" t="str">
        <f t="shared" si="135"/>
        <v/>
      </c>
      <c r="I2903" s="152" t="str">
        <f t="shared" si="136"/>
        <v/>
      </c>
      <c r="J2903" s="154"/>
      <c r="K2903" s="155" t="s">
        <v>2966</v>
      </c>
    </row>
    <row r="2904" spans="1:11" hidden="1" x14ac:dyDescent="0.25">
      <c r="A2904" s="148" t="s">
        <v>1649</v>
      </c>
      <c r="B2904" s="149" t="s">
        <v>7674</v>
      </c>
      <c r="C2904" s="150" t="s">
        <v>106</v>
      </c>
      <c r="D2904" s="150">
        <v>0</v>
      </c>
      <c r="E2904" s="151">
        <f ca="1">OFFSET(INDEX(Composições!A:H,MATCH(Orçamentária!A2904,Composições!A:A,0),8),2,0)</f>
        <v>4.1040000000000001</v>
      </c>
      <c r="F2904" s="152">
        <f t="shared" ca="1" si="137"/>
        <v>0</v>
      </c>
      <c r="G2904" s="153">
        <f>IF($K2904="Padrão",BDI!$B$17,IF($K2904="Diferenciado",BDI!$E$17,0))</f>
        <v>0.2039</v>
      </c>
      <c r="H2904" s="151">
        <f t="shared" ca="1" si="135"/>
        <v>4.9400000000000004</v>
      </c>
      <c r="I2904" s="152">
        <f t="shared" ca="1" si="136"/>
        <v>0</v>
      </c>
      <c r="J2904" s="154"/>
      <c r="K2904" s="155" t="s">
        <v>2966</v>
      </c>
    </row>
    <row r="2905" spans="1:11" hidden="1" x14ac:dyDescent="0.25">
      <c r="A2905" s="148" t="s">
        <v>1650</v>
      </c>
      <c r="B2905" s="149" t="s">
        <v>7675</v>
      </c>
      <c r="C2905" s="150" t="s">
        <v>106</v>
      </c>
      <c r="D2905" s="150">
        <v>0</v>
      </c>
      <c r="E2905" s="151">
        <f ca="1">OFFSET(INDEX(Composições!A:H,MATCH(Orçamentária!A2905,Composições!A:A,0),8),2,0)</f>
        <v>4.6360000000000001</v>
      </c>
      <c r="F2905" s="152">
        <f t="shared" ca="1" si="137"/>
        <v>0</v>
      </c>
      <c r="G2905" s="153">
        <f>IF($K2905="Padrão",BDI!$B$17,IF($K2905="Diferenciado",BDI!$E$17,0))</f>
        <v>0.2039</v>
      </c>
      <c r="H2905" s="151">
        <f t="shared" ca="1" si="135"/>
        <v>5.58</v>
      </c>
      <c r="I2905" s="152">
        <f t="shared" ca="1" si="136"/>
        <v>0</v>
      </c>
      <c r="J2905" s="154"/>
      <c r="K2905" s="155" t="s">
        <v>2966</v>
      </c>
    </row>
    <row r="2906" spans="1:11" hidden="1" x14ac:dyDescent="0.25">
      <c r="A2906" s="148" t="s">
        <v>1651</v>
      </c>
      <c r="B2906" s="149" t="s">
        <v>7676</v>
      </c>
      <c r="C2906" s="150" t="s">
        <v>106</v>
      </c>
      <c r="D2906" s="150">
        <v>0</v>
      </c>
      <c r="E2906" s="151">
        <f ca="1">OFFSET(INDEX(Composições!A:H,MATCH(Orçamentária!A2906,Composições!A:A,0),8),2,0)</f>
        <v>10.003499999999999</v>
      </c>
      <c r="F2906" s="152">
        <f t="shared" ca="1" si="137"/>
        <v>0</v>
      </c>
      <c r="G2906" s="153">
        <f>IF($K2906="Padrão",BDI!$B$17,IF($K2906="Diferenciado",BDI!$E$17,0))</f>
        <v>0.2039</v>
      </c>
      <c r="H2906" s="151">
        <f t="shared" ca="1" si="135"/>
        <v>12.04</v>
      </c>
      <c r="I2906" s="152">
        <f t="shared" ca="1" si="136"/>
        <v>0</v>
      </c>
      <c r="J2906" s="154"/>
      <c r="K2906" s="155" t="s">
        <v>2966</v>
      </c>
    </row>
    <row r="2907" spans="1:11" hidden="1" x14ac:dyDescent="0.25">
      <c r="A2907" s="148" t="s">
        <v>1652</v>
      </c>
      <c r="B2907" s="149" t="s">
        <v>7677</v>
      </c>
      <c r="C2907" s="150" t="s">
        <v>106</v>
      </c>
      <c r="D2907" s="150">
        <v>0</v>
      </c>
      <c r="E2907" s="151">
        <f ca="1">OFFSET(INDEX(Composições!A:H,MATCH(Orçamentária!A2907,Composições!A:A,0),8),2,0)</f>
        <v>15.712999999999999</v>
      </c>
      <c r="F2907" s="152">
        <f t="shared" ca="1" si="137"/>
        <v>0</v>
      </c>
      <c r="G2907" s="153">
        <f>IF($K2907="Padrão",BDI!$B$17,IF($K2907="Diferenciado",BDI!$E$17,0))</f>
        <v>0.2039</v>
      </c>
      <c r="H2907" s="151">
        <f t="shared" ca="1" si="135"/>
        <v>18.920000000000002</v>
      </c>
      <c r="I2907" s="152">
        <f t="shared" ca="1" si="136"/>
        <v>0</v>
      </c>
      <c r="J2907" s="154"/>
      <c r="K2907" s="155" t="s">
        <v>2966</v>
      </c>
    </row>
    <row r="2908" spans="1:11" hidden="1" x14ac:dyDescent="0.25">
      <c r="A2908" s="148" t="s">
        <v>1653</v>
      </c>
      <c r="B2908" s="149" t="s">
        <v>7678</v>
      </c>
      <c r="C2908" s="150" t="s">
        <v>106</v>
      </c>
      <c r="D2908" s="150">
        <v>0</v>
      </c>
      <c r="E2908" s="151">
        <f ca="1">OFFSET(INDEX(Composições!A:H,MATCH(Orçamentária!A2908,Composições!A:A,0),8),2,0)</f>
        <v>17.233000000000001</v>
      </c>
      <c r="F2908" s="152">
        <f t="shared" ca="1" si="137"/>
        <v>0</v>
      </c>
      <c r="G2908" s="153">
        <f>IF($K2908="Padrão",BDI!$B$17,IF($K2908="Diferenciado",BDI!$E$17,0))</f>
        <v>0.2039</v>
      </c>
      <c r="H2908" s="151">
        <f t="shared" ca="1" si="135"/>
        <v>20.75</v>
      </c>
      <c r="I2908" s="152">
        <f t="shared" ca="1" si="136"/>
        <v>0</v>
      </c>
      <c r="J2908" s="154"/>
      <c r="K2908" s="155" t="s">
        <v>2966</v>
      </c>
    </row>
    <row r="2909" spans="1:11" hidden="1" x14ac:dyDescent="0.25">
      <c r="A2909" s="148" t="s">
        <v>1654</v>
      </c>
      <c r="B2909" s="149" t="s">
        <v>7679</v>
      </c>
      <c r="C2909" s="150" t="s">
        <v>106</v>
      </c>
      <c r="D2909" s="150">
        <v>0</v>
      </c>
      <c r="E2909" s="151">
        <f ca="1">OFFSET(INDEX(Composições!A:H,MATCH(Orçamentária!A2909,Composições!A:A,0),8),2,0)</f>
        <v>28.347999999999999</v>
      </c>
      <c r="F2909" s="152">
        <f t="shared" ca="1" si="137"/>
        <v>0</v>
      </c>
      <c r="G2909" s="153">
        <f>IF($K2909="Padrão",BDI!$B$17,IF($K2909="Diferenciado",BDI!$E$17,0))</f>
        <v>0.2039</v>
      </c>
      <c r="H2909" s="151">
        <f t="shared" ca="1" si="135"/>
        <v>34.130000000000003</v>
      </c>
      <c r="I2909" s="152">
        <f t="shared" ca="1" si="136"/>
        <v>0</v>
      </c>
      <c r="J2909" s="154"/>
      <c r="K2909" s="155" t="s">
        <v>2966</v>
      </c>
    </row>
    <row r="2910" spans="1:11" hidden="1" x14ac:dyDescent="0.25">
      <c r="A2910" s="148" t="s">
        <v>1655</v>
      </c>
      <c r="B2910" s="149" t="s">
        <v>7680</v>
      </c>
      <c r="C2910" s="150" t="s">
        <v>106</v>
      </c>
      <c r="D2910" s="150">
        <v>0</v>
      </c>
      <c r="E2910" s="151">
        <f ca="1">OFFSET(INDEX(Composições!A:H,MATCH(Orçamentária!A2910,Composições!A:A,0),8),2,0)</f>
        <v>46.977499999999999</v>
      </c>
      <c r="F2910" s="152">
        <f t="shared" ca="1" si="137"/>
        <v>0</v>
      </c>
      <c r="G2910" s="153">
        <f>IF($K2910="Padrão",BDI!$B$17,IF($K2910="Diferenciado",BDI!$E$17,0))</f>
        <v>0.2039</v>
      </c>
      <c r="H2910" s="151">
        <f t="shared" ca="1" si="135"/>
        <v>56.56</v>
      </c>
      <c r="I2910" s="152">
        <f t="shared" ca="1" si="136"/>
        <v>0</v>
      </c>
      <c r="J2910" s="154"/>
      <c r="K2910" s="155" t="s">
        <v>2966</v>
      </c>
    </row>
    <row r="2911" spans="1:11" hidden="1" x14ac:dyDescent="0.25">
      <c r="A2911" s="148" t="s">
        <v>1656</v>
      </c>
      <c r="B2911" s="149" t="s">
        <v>7681</v>
      </c>
      <c r="C2911" s="150" t="s">
        <v>106</v>
      </c>
      <c r="D2911" s="150">
        <v>0</v>
      </c>
      <c r="E2911" s="151">
        <f ca="1">OFFSET(INDEX(Composições!A:H,MATCH(Orçamentária!A2911,Composições!A:A,0),8),2,0)</f>
        <v>65.350499999999997</v>
      </c>
      <c r="F2911" s="152">
        <f t="shared" ca="1" si="137"/>
        <v>0</v>
      </c>
      <c r="G2911" s="153">
        <f>IF($K2911="Padrão",BDI!$B$17,IF($K2911="Diferenciado",BDI!$E$17,0))</f>
        <v>0.2039</v>
      </c>
      <c r="H2911" s="151">
        <f t="shared" ca="1" si="135"/>
        <v>78.680000000000007</v>
      </c>
      <c r="I2911" s="152">
        <f t="shared" ca="1" si="136"/>
        <v>0</v>
      </c>
      <c r="J2911" s="154"/>
      <c r="K2911" s="155" t="s">
        <v>2966</v>
      </c>
    </row>
    <row r="2912" spans="1:11" hidden="1" x14ac:dyDescent="0.25">
      <c r="A2912" s="148" t="s">
        <v>1657</v>
      </c>
      <c r="B2912" s="149" t="s">
        <v>7682</v>
      </c>
      <c r="C2912" s="150" t="s">
        <v>106</v>
      </c>
      <c r="D2912" s="150">
        <v>0</v>
      </c>
      <c r="E2912" s="151">
        <f ca="1">OFFSET(INDEX(Composições!A:H,MATCH(Orçamentária!A2912,Composições!A:A,0),8),2,0)</f>
        <v>102.27699999999999</v>
      </c>
      <c r="F2912" s="152">
        <f t="shared" ca="1" si="137"/>
        <v>0</v>
      </c>
      <c r="G2912" s="153">
        <f>IF($K2912="Padrão",BDI!$B$17,IF($K2912="Diferenciado",BDI!$E$17,0))</f>
        <v>0.2039</v>
      </c>
      <c r="H2912" s="151">
        <f t="shared" ca="1" si="135"/>
        <v>123.13</v>
      </c>
      <c r="I2912" s="152">
        <f t="shared" ca="1" si="136"/>
        <v>0</v>
      </c>
      <c r="J2912" s="154"/>
      <c r="K2912" s="155" t="s">
        <v>2966</v>
      </c>
    </row>
    <row r="2913" spans="1:11" hidden="1" x14ac:dyDescent="0.25">
      <c r="A2913" s="148" t="s">
        <v>7683</v>
      </c>
      <c r="B2913" s="149" t="s">
        <v>7684</v>
      </c>
      <c r="C2913" s="150" t="s">
        <v>18</v>
      </c>
      <c r="D2913" s="150">
        <v>0</v>
      </c>
      <c r="E2913" s="151" t="s">
        <v>13</v>
      </c>
      <c r="F2913" s="152" t="str">
        <f t="shared" si="137"/>
        <v/>
      </c>
      <c r="G2913" s="153">
        <f>IF($K2913="Padrão",BDI!$B$17,IF($K2913="Diferenciado",BDI!$E$17,0))</f>
        <v>0.2039</v>
      </c>
      <c r="H2913" s="151" t="str">
        <f t="shared" si="135"/>
        <v/>
      </c>
      <c r="I2913" s="152" t="str">
        <f t="shared" si="136"/>
        <v/>
      </c>
      <c r="J2913" s="154"/>
      <c r="K2913" s="155" t="s">
        <v>2966</v>
      </c>
    </row>
    <row r="2914" spans="1:11" hidden="1" x14ac:dyDescent="0.25">
      <c r="A2914" s="148" t="s">
        <v>7685</v>
      </c>
      <c r="B2914" s="149" t="s">
        <v>7686</v>
      </c>
      <c r="C2914" s="150" t="s">
        <v>18</v>
      </c>
      <c r="D2914" s="150">
        <v>0</v>
      </c>
      <c r="E2914" s="151" t="s">
        <v>13</v>
      </c>
      <c r="F2914" s="152" t="str">
        <f t="shared" si="137"/>
        <v/>
      </c>
      <c r="G2914" s="153">
        <f>IF($K2914="Padrão",BDI!$B$17,IF($K2914="Diferenciado",BDI!$E$17,0))</f>
        <v>0.2039</v>
      </c>
      <c r="H2914" s="151" t="str">
        <f t="shared" si="135"/>
        <v/>
      </c>
      <c r="I2914" s="152" t="str">
        <f t="shared" si="136"/>
        <v/>
      </c>
      <c r="J2914" s="154"/>
      <c r="K2914" s="155" t="s">
        <v>2966</v>
      </c>
    </row>
    <row r="2915" spans="1:11" hidden="1" x14ac:dyDescent="0.25">
      <c r="A2915" s="148" t="s">
        <v>7687</v>
      </c>
      <c r="B2915" s="149" t="s">
        <v>7688</v>
      </c>
      <c r="C2915" s="150" t="s">
        <v>18</v>
      </c>
      <c r="D2915" s="150">
        <v>0</v>
      </c>
      <c r="E2915" s="151" t="s">
        <v>13</v>
      </c>
      <c r="F2915" s="152" t="str">
        <f t="shared" si="137"/>
        <v/>
      </c>
      <c r="G2915" s="153">
        <f>IF($K2915="Padrão",BDI!$B$17,IF($K2915="Diferenciado",BDI!$E$17,0))</f>
        <v>0.2039</v>
      </c>
      <c r="H2915" s="151" t="str">
        <f t="shared" si="135"/>
        <v/>
      </c>
      <c r="I2915" s="152" t="str">
        <f t="shared" si="136"/>
        <v/>
      </c>
      <c r="J2915" s="154"/>
      <c r="K2915" s="155" t="s">
        <v>2966</v>
      </c>
    </row>
    <row r="2916" spans="1:11" hidden="1" x14ac:dyDescent="0.25">
      <c r="A2916" s="148" t="s">
        <v>7689</v>
      </c>
      <c r="B2916" s="149" t="s">
        <v>7690</v>
      </c>
      <c r="C2916" s="150" t="s">
        <v>18</v>
      </c>
      <c r="D2916" s="150">
        <v>0</v>
      </c>
      <c r="E2916" s="151" t="s">
        <v>13</v>
      </c>
      <c r="F2916" s="152" t="str">
        <f t="shared" si="137"/>
        <v/>
      </c>
      <c r="G2916" s="153">
        <f>IF($K2916="Padrão",BDI!$B$17,IF($K2916="Diferenciado",BDI!$E$17,0))</f>
        <v>0.2039</v>
      </c>
      <c r="H2916" s="151" t="str">
        <f t="shared" si="135"/>
        <v/>
      </c>
      <c r="I2916" s="152" t="str">
        <f t="shared" si="136"/>
        <v/>
      </c>
      <c r="J2916" s="154"/>
      <c r="K2916" s="155" t="s">
        <v>2966</v>
      </c>
    </row>
    <row r="2917" spans="1:11" hidden="1" x14ac:dyDescent="0.25">
      <c r="A2917" s="148" t="s">
        <v>7691</v>
      </c>
      <c r="B2917" s="149" t="s">
        <v>7692</v>
      </c>
      <c r="C2917" s="150" t="s">
        <v>18</v>
      </c>
      <c r="D2917" s="150">
        <v>0</v>
      </c>
      <c r="E2917" s="151" t="s">
        <v>13</v>
      </c>
      <c r="F2917" s="152" t="str">
        <f t="shared" si="137"/>
        <v/>
      </c>
      <c r="G2917" s="153">
        <f>IF($K2917="Padrão",BDI!$B$17,IF($K2917="Diferenciado",BDI!$E$17,0))</f>
        <v>0.2039</v>
      </c>
      <c r="H2917" s="151" t="str">
        <f t="shared" si="135"/>
        <v/>
      </c>
      <c r="I2917" s="152" t="str">
        <f t="shared" si="136"/>
        <v/>
      </c>
      <c r="J2917" s="154"/>
      <c r="K2917" s="155" t="s">
        <v>2966</v>
      </c>
    </row>
    <row r="2918" spans="1:11" hidden="1" x14ac:dyDescent="0.25">
      <c r="A2918" s="148" t="s">
        <v>7693</v>
      </c>
      <c r="B2918" s="149" t="s">
        <v>7694</v>
      </c>
      <c r="C2918" s="150" t="s">
        <v>3474</v>
      </c>
      <c r="D2918" s="150">
        <v>0</v>
      </c>
      <c r="E2918" s="151" t="s">
        <v>13</v>
      </c>
      <c r="F2918" s="152" t="str">
        <f t="shared" si="137"/>
        <v/>
      </c>
      <c r="G2918" s="153">
        <f>IF($K2918="Padrão",BDI!$B$17,IF($K2918="Diferenciado",BDI!$E$17,0))</f>
        <v>0.2039</v>
      </c>
      <c r="H2918" s="151" t="str">
        <f t="shared" si="135"/>
        <v/>
      </c>
      <c r="I2918" s="152" t="str">
        <f t="shared" si="136"/>
        <v/>
      </c>
      <c r="J2918" s="154"/>
      <c r="K2918" s="155" t="s">
        <v>2966</v>
      </c>
    </row>
    <row r="2919" spans="1:11" hidden="1" x14ac:dyDescent="0.25">
      <c r="A2919" s="148" t="s">
        <v>7695</v>
      </c>
      <c r="B2919" s="149" t="s">
        <v>7696</v>
      </c>
      <c r="C2919" s="150" t="s">
        <v>18</v>
      </c>
      <c r="D2919" s="150">
        <v>0</v>
      </c>
      <c r="E2919" s="151" t="s">
        <v>13</v>
      </c>
      <c r="F2919" s="152" t="str">
        <f t="shared" si="137"/>
        <v/>
      </c>
      <c r="G2919" s="153">
        <f>IF($K2919="Padrão",BDI!$B$17,IF($K2919="Diferenciado",BDI!$E$17,0))</f>
        <v>0.2039</v>
      </c>
      <c r="H2919" s="151" t="str">
        <f t="shared" si="135"/>
        <v/>
      </c>
      <c r="I2919" s="152" t="str">
        <f t="shared" si="136"/>
        <v/>
      </c>
      <c r="J2919" s="154"/>
      <c r="K2919" s="155" t="s">
        <v>2966</v>
      </c>
    </row>
    <row r="2920" spans="1:11" hidden="1" x14ac:dyDescent="0.25">
      <c r="A2920" s="148" t="s">
        <v>7697</v>
      </c>
      <c r="B2920" s="149" t="s">
        <v>7698</v>
      </c>
      <c r="C2920" s="150" t="s">
        <v>18</v>
      </c>
      <c r="D2920" s="150">
        <v>0</v>
      </c>
      <c r="E2920" s="151" t="s">
        <v>13</v>
      </c>
      <c r="F2920" s="152" t="str">
        <f t="shared" si="137"/>
        <v/>
      </c>
      <c r="G2920" s="153">
        <f>IF($K2920="Padrão",BDI!$B$17,IF($K2920="Diferenciado",BDI!$E$17,0))</f>
        <v>0.2039</v>
      </c>
      <c r="H2920" s="151" t="str">
        <f t="shared" si="135"/>
        <v/>
      </c>
      <c r="I2920" s="152" t="str">
        <f t="shared" si="136"/>
        <v/>
      </c>
      <c r="J2920" s="154"/>
      <c r="K2920" s="155" t="s">
        <v>2966</v>
      </c>
    </row>
    <row r="2921" spans="1:11" hidden="1" x14ac:dyDescent="0.25">
      <c r="A2921" s="148" t="s">
        <v>7699</v>
      </c>
      <c r="B2921" s="149" t="s">
        <v>7700</v>
      </c>
      <c r="C2921" s="150" t="s">
        <v>18</v>
      </c>
      <c r="D2921" s="150">
        <v>0</v>
      </c>
      <c r="E2921" s="151" t="s">
        <v>13</v>
      </c>
      <c r="F2921" s="152" t="str">
        <f t="shared" si="137"/>
        <v/>
      </c>
      <c r="G2921" s="153">
        <f>IF($K2921="Padrão",BDI!$B$17,IF($K2921="Diferenciado",BDI!$E$17,0))</f>
        <v>0.2039</v>
      </c>
      <c r="H2921" s="151" t="str">
        <f t="shared" si="135"/>
        <v/>
      </c>
      <c r="I2921" s="152" t="str">
        <f t="shared" si="136"/>
        <v/>
      </c>
      <c r="J2921" s="154"/>
      <c r="K2921" s="155" t="s">
        <v>2966</v>
      </c>
    </row>
    <row r="2922" spans="1:11" hidden="1" x14ac:dyDescent="0.25">
      <c r="A2922" s="148" t="s">
        <v>7701</v>
      </c>
      <c r="B2922" s="149" t="s">
        <v>7702</v>
      </c>
      <c r="C2922" s="150" t="s">
        <v>18</v>
      </c>
      <c r="D2922" s="150">
        <v>0</v>
      </c>
      <c r="E2922" s="151" t="s">
        <v>13</v>
      </c>
      <c r="F2922" s="152" t="str">
        <f t="shared" si="137"/>
        <v/>
      </c>
      <c r="G2922" s="153">
        <f>IF($K2922="Padrão",BDI!$B$17,IF($K2922="Diferenciado",BDI!$E$17,0))</f>
        <v>0.2039</v>
      </c>
      <c r="H2922" s="151" t="str">
        <f t="shared" si="135"/>
        <v/>
      </c>
      <c r="I2922" s="152" t="str">
        <f t="shared" si="136"/>
        <v/>
      </c>
      <c r="J2922" s="154"/>
      <c r="K2922" s="155" t="s">
        <v>2966</v>
      </c>
    </row>
    <row r="2923" spans="1:11" hidden="1" x14ac:dyDescent="0.25">
      <c r="A2923" s="148" t="s">
        <v>1658</v>
      </c>
      <c r="B2923" s="149" t="s">
        <v>7703</v>
      </c>
      <c r="C2923" s="150" t="s">
        <v>18</v>
      </c>
      <c r="D2923" s="150">
        <v>0</v>
      </c>
      <c r="E2923" s="151">
        <f ca="1">OFFSET(INDEX(Composições!A:H,MATCH(Orçamentária!A2923,Composições!A:A,0),8),2,0)</f>
        <v>33.933999999999997</v>
      </c>
      <c r="F2923" s="152">
        <f t="shared" ca="1" si="137"/>
        <v>0</v>
      </c>
      <c r="G2923" s="153">
        <f>IF($K2923="Padrão",BDI!$B$17,IF($K2923="Diferenciado",BDI!$E$17,0))</f>
        <v>0.2039</v>
      </c>
      <c r="H2923" s="151">
        <f t="shared" ca="1" si="135"/>
        <v>40.85</v>
      </c>
      <c r="I2923" s="152">
        <f t="shared" ca="1" si="136"/>
        <v>0</v>
      </c>
      <c r="J2923" s="154"/>
      <c r="K2923" s="155" t="s">
        <v>2966</v>
      </c>
    </row>
    <row r="2924" spans="1:11" hidden="1" x14ac:dyDescent="0.25">
      <c r="A2924" s="148" t="s">
        <v>1659</v>
      </c>
      <c r="B2924" s="149" t="s">
        <v>7704</v>
      </c>
      <c r="C2924" s="150" t="s">
        <v>18</v>
      </c>
      <c r="D2924" s="150">
        <v>0</v>
      </c>
      <c r="E2924" s="151">
        <f ca="1">OFFSET(INDEX(Composições!A:H,MATCH(Orçamentária!A2924,Composições!A:A,0),8),2,0)</f>
        <v>46.359999999999992</v>
      </c>
      <c r="F2924" s="152">
        <f t="shared" ca="1" si="137"/>
        <v>0</v>
      </c>
      <c r="G2924" s="153">
        <f>IF($K2924="Padrão",BDI!$B$17,IF($K2924="Diferenciado",BDI!$E$17,0))</f>
        <v>0.2039</v>
      </c>
      <c r="H2924" s="151">
        <f t="shared" ca="1" si="135"/>
        <v>55.81</v>
      </c>
      <c r="I2924" s="152">
        <f t="shared" ca="1" si="136"/>
        <v>0</v>
      </c>
      <c r="J2924" s="154"/>
      <c r="K2924" s="155" t="s">
        <v>2966</v>
      </c>
    </row>
    <row r="2925" spans="1:11" hidden="1" x14ac:dyDescent="0.25">
      <c r="A2925" s="148" t="s">
        <v>7705</v>
      </c>
      <c r="B2925" s="149" t="s">
        <v>7706</v>
      </c>
      <c r="C2925" s="150" t="s">
        <v>18</v>
      </c>
      <c r="D2925" s="150">
        <v>0</v>
      </c>
      <c r="E2925" s="151" t="s">
        <v>13</v>
      </c>
      <c r="F2925" s="152" t="str">
        <f t="shared" si="137"/>
        <v/>
      </c>
      <c r="G2925" s="153">
        <f>IF($K2925="Padrão",BDI!$B$17,IF($K2925="Diferenciado",BDI!$E$17,0))</f>
        <v>0.2039</v>
      </c>
      <c r="H2925" s="151" t="str">
        <f t="shared" si="135"/>
        <v/>
      </c>
      <c r="I2925" s="152" t="str">
        <f t="shared" si="136"/>
        <v/>
      </c>
      <c r="J2925" s="154"/>
      <c r="K2925" s="155" t="s">
        <v>2966</v>
      </c>
    </row>
    <row r="2926" spans="1:11" hidden="1" x14ac:dyDescent="0.25">
      <c r="A2926" s="148" t="s">
        <v>1660</v>
      </c>
      <c r="B2926" s="149" t="s">
        <v>7707</v>
      </c>
      <c r="C2926" s="150" t="s">
        <v>18</v>
      </c>
      <c r="D2926" s="150">
        <v>0</v>
      </c>
      <c r="E2926" s="151">
        <f ca="1">OFFSET(INDEX(Composições!A:H,MATCH(Orçamentária!A2926,Composições!A:A,0),8),2,0)</f>
        <v>92.283000000000001</v>
      </c>
      <c r="F2926" s="152">
        <f t="shared" ca="1" si="137"/>
        <v>0</v>
      </c>
      <c r="G2926" s="153">
        <f>IF($K2926="Padrão",BDI!$B$17,IF($K2926="Diferenciado",BDI!$E$17,0))</f>
        <v>0.2039</v>
      </c>
      <c r="H2926" s="151">
        <f t="shared" ca="1" si="135"/>
        <v>111.1</v>
      </c>
      <c r="I2926" s="152">
        <f t="shared" ca="1" si="136"/>
        <v>0</v>
      </c>
      <c r="J2926" s="154"/>
      <c r="K2926" s="155" t="s">
        <v>2966</v>
      </c>
    </row>
    <row r="2927" spans="1:11" hidden="1" x14ac:dyDescent="0.25">
      <c r="A2927" s="148" t="s">
        <v>1661</v>
      </c>
      <c r="B2927" s="149" t="s">
        <v>7708</v>
      </c>
      <c r="C2927" s="150" t="s">
        <v>18</v>
      </c>
      <c r="D2927" s="150">
        <v>0</v>
      </c>
      <c r="E2927" s="151">
        <f ca="1">OFFSET(INDEX(Composições!A:H,MATCH(Orçamentária!A2927,Composições!A:A,0),8),2,0)</f>
        <v>236.79699999999997</v>
      </c>
      <c r="F2927" s="152">
        <f t="shared" ca="1" si="137"/>
        <v>0</v>
      </c>
      <c r="G2927" s="153">
        <f>IF($K2927="Padrão",BDI!$B$17,IF($K2927="Diferenciado",BDI!$E$17,0))</f>
        <v>0.2039</v>
      </c>
      <c r="H2927" s="151">
        <f t="shared" ca="1" si="135"/>
        <v>285.08</v>
      </c>
      <c r="I2927" s="152">
        <f t="shared" ca="1" si="136"/>
        <v>0</v>
      </c>
      <c r="J2927" s="154"/>
      <c r="K2927" s="155" t="s">
        <v>2966</v>
      </c>
    </row>
    <row r="2928" spans="1:11" hidden="1" x14ac:dyDescent="0.25">
      <c r="A2928" s="148" t="s">
        <v>7709</v>
      </c>
      <c r="B2928" s="149" t="s">
        <v>7710</v>
      </c>
      <c r="C2928" s="150" t="s">
        <v>18</v>
      </c>
      <c r="D2928" s="150">
        <v>0</v>
      </c>
      <c r="E2928" s="151" t="s">
        <v>13</v>
      </c>
      <c r="F2928" s="152" t="str">
        <f t="shared" si="137"/>
        <v/>
      </c>
      <c r="G2928" s="153">
        <f>IF($K2928="Padrão",BDI!$B$17,IF($K2928="Diferenciado",BDI!$E$17,0))</f>
        <v>0.2039</v>
      </c>
      <c r="H2928" s="151" t="str">
        <f t="shared" si="135"/>
        <v/>
      </c>
      <c r="I2928" s="152" t="str">
        <f t="shared" si="136"/>
        <v/>
      </c>
      <c r="J2928" s="154"/>
      <c r="K2928" s="155" t="s">
        <v>2966</v>
      </c>
    </row>
    <row r="2929" spans="1:11" hidden="1" x14ac:dyDescent="0.25">
      <c r="A2929" s="148" t="s">
        <v>1662</v>
      </c>
      <c r="B2929" s="149" t="s">
        <v>7711</v>
      </c>
      <c r="C2929" s="150" t="s">
        <v>18</v>
      </c>
      <c r="D2929" s="150">
        <v>0</v>
      </c>
      <c r="E2929" s="151">
        <f ca="1">OFFSET(INDEX(Composições!A:H,MATCH(Orçamentária!A2929,Composições!A:A,0),8),2,0)</f>
        <v>133.3895</v>
      </c>
      <c r="F2929" s="152">
        <f t="shared" ca="1" si="137"/>
        <v>0</v>
      </c>
      <c r="G2929" s="153">
        <f>IF($K2929="Padrão",BDI!$B$17,IF($K2929="Diferenciado",BDI!$E$17,0))</f>
        <v>0.2039</v>
      </c>
      <c r="H2929" s="151">
        <f t="shared" ca="1" si="135"/>
        <v>160.59</v>
      </c>
      <c r="I2929" s="152">
        <f t="shared" ca="1" si="136"/>
        <v>0</v>
      </c>
      <c r="J2929" s="154"/>
      <c r="K2929" s="155" t="s">
        <v>2966</v>
      </c>
    </row>
    <row r="2930" spans="1:11" hidden="1" x14ac:dyDescent="0.25">
      <c r="A2930" s="148" t="s">
        <v>1663</v>
      </c>
      <c r="B2930" s="149" t="s">
        <v>7712</v>
      </c>
      <c r="C2930" s="150" t="s">
        <v>18</v>
      </c>
      <c r="D2930" s="150">
        <v>0</v>
      </c>
      <c r="E2930" s="151">
        <f ca="1">OFFSET(INDEX(Composições!A:H,MATCH(Orçamentária!A2930,Composições!A:A,0),8),2,0)</f>
        <v>424.95399999999995</v>
      </c>
      <c r="F2930" s="152">
        <f t="shared" ca="1" si="137"/>
        <v>0</v>
      </c>
      <c r="G2930" s="153">
        <f>IF($K2930="Padrão",BDI!$B$17,IF($K2930="Diferenciado",BDI!$E$17,0))</f>
        <v>0.2039</v>
      </c>
      <c r="H2930" s="151">
        <f t="shared" ca="1" si="135"/>
        <v>511.6</v>
      </c>
      <c r="I2930" s="152">
        <f t="shared" ca="1" si="136"/>
        <v>0</v>
      </c>
      <c r="J2930" s="154"/>
      <c r="K2930" s="155" t="s">
        <v>2966</v>
      </c>
    </row>
    <row r="2931" spans="1:11" hidden="1" x14ac:dyDescent="0.25">
      <c r="A2931" s="148" t="s">
        <v>1664</v>
      </c>
      <c r="B2931" s="149" t="s">
        <v>7713</v>
      </c>
      <c r="C2931" s="150" t="s">
        <v>18</v>
      </c>
      <c r="D2931" s="150">
        <v>0</v>
      </c>
      <c r="E2931" s="151">
        <f ca="1">OFFSET(INDEX(Composições!A:H,MATCH(Orçamentária!A2931,Composições!A:A,0),8),2,0)</f>
        <v>514.84300000000007</v>
      </c>
      <c r="F2931" s="152">
        <f t="shared" ca="1" si="137"/>
        <v>0</v>
      </c>
      <c r="G2931" s="153">
        <f>IF($K2931="Padrão",BDI!$B$17,IF($K2931="Diferenciado",BDI!$E$17,0))</f>
        <v>0.2039</v>
      </c>
      <c r="H2931" s="151">
        <f t="shared" ca="1" si="135"/>
        <v>619.82000000000005</v>
      </c>
      <c r="I2931" s="152">
        <f t="shared" ca="1" si="136"/>
        <v>0</v>
      </c>
      <c r="J2931" s="154"/>
      <c r="K2931" s="155" t="s">
        <v>2966</v>
      </c>
    </row>
    <row r="2932" spans="1:11" hidden="1" x14ac:dyDescent="0.25">
      <c r="A2932" s="148" t="s">
        <v>1665</v>
      </c>
      <c r="B2932" s="149" t="s">
        <v>7714</v>
      </c>
      <c r="C2932" s="150" t="s">
        <v>18</v>
      </c>
      <c r="D2932" s="150">
        <v>0</v>
      </c>
      <c r="E2932" s="151">
        <f ca="1">OFFSET(INDEX(Composições!A:H,MATCH(Orçamentária!A2932,Composições!A:A,0),8),2,0)</f>
        <v>893.55100000000004</v>
      </c>
      <c r="F2932" s="152">
        <f t="shared" ca="1" si="137"/>
        <v>0</v>
      </c>
      <c r="G2932" s="153">
        <f>IF($K2932="Padrão",BDI!$B$17,IF($K2932="Diferenciado",BDI!$E$17,0))</f>
        <v>0.2039</v>
      </c>
      <c r="H2932" s="151">
        <f t="shared" ca="1" si="135"/>
        <v>1075.75</v>
      </c>
      <c r="I2932" s="152">
        <f t="shared" ca="1" si="136"/>
        <v>0</v>
      </c>
      <c r="J2932" s="154"/>
      <c r="K2932" s="155" t="s">
        <v>2966</v>
      </c>
    </row>
    <row r="2933" spans="1:11" hidden="1" x14ac:dyDescent="0.25">
      <c r="A2933" s="148" t="s">
        <v>1666</v>
      </c>
      <c r="B2933" s="149" t="s">
        <v>7715</v>
      </c>
      <c r="C2933" s="150" t="s">
        <v>18</v>
      </c>
      <c r="D2933" s="150">
        <v>0</v>
      </c>
      <c r="E2933" s="151">
        <f ca="1">OFFSET(INDEX(Composições!A:H,MATCH(Orçamentária!A2933,Composições!A:A,0),8),2,0)</f>
        <v>235.28649999999999</v>
      </c>
      <c r="F2933" s="152">
        <f t="shared" ca="1" si="137"/>
        <v>0</v>
      </c>
      <c r="G2933" s="153">
        <f>IF($K2933="Padrão",BDI!$B$17,IF($K2933="Diferenciado",BDI!$E$17,0))</f>
        <v>0.2039</v>
      </c>
      <c r="H2933" s="151">
        <f t="shared" ca="1" si="135"/>
        <v>283.26</v>
      </c>
      <c r="I2933" s="152">
        <f t="shared" ca="1" si="136"/>
        <v>0</v>
      </c>
      <c r="J2933" s="154"/>
      <c r="K2933" s="155" t="s">
        <v>2966</v>
      </c>
    </row>
    <row r="2934" spans="1:11" hidden="1" x14ac:dyDescent="0.25">
      <c r="A2934" s="148" t="s">
        <v>1667</v>
      </c>
      <c r="B2934" s="149" t="s">
        <v>7716</v>
      </c>
      <c r="C2934" s="150" t="s">
        <v>18</v>
      </c>
      <c r="D2934" s="150">
        <v>0</v>
      </c>
      <c r="E2934" s="151">
        <f ca="1">OFFSET(INDEX(Composições!A:H,MATCH(Orçamentária!A2934,Composições!A:A,0),8),2,0)</f>
        <v>377.017</v>
      </c>
      <c r="F2934" s="152">
        <f t="shared" ca="1" si="137"/>
        <v>0</v>
      </c>
      <c r="G2934" s="153">
        <f>IF($K2934="Padrão",BDI!$B$17,IF($K2934="Diferenciado",BDI!$E$17,0))</f>
        <v>0.2039</v>
      </c>
      <c r="H2934" s="151">
        <f t="shared" ca="1" si="135"/>
        <v>453.89</v>
      </c>
      <c r="I2934" s="152">
        <f t="shared" ca="1" si="136"/>
        <v>0</v>
      </c>
      <c r="J2934" s="154"/>
      <c r="K2934" s="155" t="s">
        <v>2966</v>
      </c>
    </row>
    <row r="2935" spans="1:11" hidden="1" x14ac:dyDescent="0.25">
      <c r="A2935" s="148" t="s">
        <v>7717</v>
      </c>
      <c r="B2935" s="149" t="s">
        <v>7718</v>
      </c>
      <c r="C2935" s="150" t="s">
        <v>18</v>
      </c>
      <c r="D2935" s="150">
        <v>0</v>
      </c>
      <c r="E2935" s="151" t="s">
        <v>13</v>
      </c>
      <c r="F2935" s="152" t="str">
        <f t="shared" si="137"/>
        <v/>
      </c>
      <c r="G2935" s="153">
        <f>IF($K2935="Padrão",BDI!$B$17,IF($K2935="Diferenciado",BDI!$E$17,0))</f>
        <v>0.2039</v>
      </c>
      <c r="H2935" s="151" t="str">
        <f t="shared" si="135"/>
        <v/>
      </c>
      <c r="I2935" s="152" t="str">
        <f t="shared" si="136"/>
        <v/>
      </c>
      <c r="J2935" s="154"/>
      <c r="K2935" s="155" t="s">
        <v>2966</v>
      </c>
    </row>
    <row r="2936" spans="1:11" hidden="1" x14ac:dyDescent="0.25">
      <c r="A2936" s="148" t="s">
        <v>1668</v>
      </c>
      <c r="B2936" s="149" t="s">
        <v>7719</v>
      </c>
      <c r="C2936" s="150" t="s">
        <v>18</v>
      </c>
      <c r="D2936" s="150">
        <v>0</v>
      </c>
      <c r="E2936" s="151">
        <f ca="1">OFFSET(INDEX(Composições!A:H,MATCH(Orçamentária!A2936,Composições!A:A,0),8),2,0)</f>
        <v>42.702500000000001</v>
      </c>
      <c r="F2936" s="152">
        <f t="shared" ca="1" si="137"/>
        <v>0</v>
      </c>
      <c r="G2936" s="153">
        <f>IF($K2936="Padrão",BDI!$B$17,IF($K2936="Diferenciado",BDI!$E$17,0))</f>
        <v>0.2039</v>
      </c>
      <c r="H2936" s="151">
        <f t="shared" ca="1" si="135"/>
        <v>51.41</v>
      </c>
      <c r="I2936" s="152">
        <f t="shared" ca="1" si="136"/>
        <v>0</v>
      </c>
      <c r="J2936" s="154"/>
      <c r="K2936" s="155" t="s">
        <v>2966</v>
      </c>
    </row>
    <row r="2937" spans="1:11" hidden="1" x14ac:dyDescent="0.25">
      <c r="A2937" s="148" t="s">
        <v>1669</v>
      </c>
      <c r="B2937" s="149" t="s">
        <v>7720</v>
      </c>
      <c r="C2937" s="150" t="s">
        <v>18</v>
      </c>
      <c r="D2937" s="150">
        <v>0</v>
      </c>
      <c r="E2937" s="151">
        <f ca="1">OFFSET(INDEX(Composições!A:H,MATCH(Orçamentária!A2937,Composições!A:A,0),8),2,0)</f>
        <v>143.773</v>
      </c>
      <c r="F2937" s="152">
        <f t="shared" ca="1" si="137"/>
        <v>0</v>
      </c>
      <c r="G2937" s="153">
        <f>IF($K2937="Padrão",BDI!$B$17,IF($K2937="Diferenciado",BDI!$E$17,0))</f>
        <v>0.2039</v>
      </c>
      <c r="H2937" s="151">
        <f t="shared" ca="1" si="135"/>
        <v>173.09</v>
      </c>
      <c r="I2937" s="152">
        <f t="shared" ca="1" si="136"/>
        <v>0</v>
      </c>
      <c r="J2937" s="154"/>
      <c r="K2937" s="155" t="s">
        <v>2966</v>
      </c>
    </row>
    <row r="2938" spans="1:11" ht="25.5" hidden="1" x14ac:dyDescent="0.25">
      <c r="A2938" s="148" t="s">
        <v>1670</v>
      </c>
      <c r="B2938" s="149" t="s">
        <v>7721</v>
      </c>
      <c r="C2938" s="150" t="s">
        <v>18</v>
      </c>
      <c r="D2938" s="150">
        <v>0</v>
      </c>
      <c r="E2938" s="151">
        <f ca="1">OFFSET(INDEX(Composições!A:H,MATCH(Orçamentária!A2938,Composições!A:A,0),8),2,0)</f>
        <v>83.628500000000003</v>
      </c>
      <c r="F2938" s="152">
        <f t="shared" ca="1" si="137"/>
        <v>0</v>
      </c>
      <c r="G2938" s="153">
        <f>IF($K2938="Padrão",BDI!$B$17,IF($K2938="Diferenciado",BDI!$E$17,0))</f>
        <v>0.2039</v>
      </c>
      <c r="H2938" s="151">
        <f t="shared" ca="1" si="135"/>
        <v>100.68</v>
      </c>
      <c r="I2938" s="152">
        <f t="shared" ca="1" si="136"/>
        <v>0</v>
      </c>
      <c r="J2938" s="154"/>
      <c r="K2938" s="155" t="s">
        <v>2966</v>
      </c>
    </row>
    <row r="2939" spans="1:11" hidden="1" x14ac:dyDescent="0.25">
      <c r="A2939" s="148" t="s">
        <v>7722</v>
      </c>
      <c r="B2939" s="149" t="s">
        <v>7723</v>
      </c>
      <c r="C2939" s="150" t="s">
        <v>18</v>
      </c>
      <c r="D2939" s="150">
        <v>0</v>
      </c>
      <c r="E2939" s="151" t="s">
        <v>13</v>
      </c>
      <c r="F2939" s="152" t="str">
        <f t="shared" si="137"/>
        <v/>
      </c>
      <c r="G2939" s="153">
        <f>IF($K2939="Padrão",BDI!$B$17,IF($K2939="Diferenciado",BDI!$E$17,0))</f>
        <v>0.2039</v>
      </c>
      <c r="H2939" s="151" t="str">
        <f t="shared" si="135"/>
        <v/>
      </c>
      <c r="I2939" s="152" t="str">
        <f t="shared" si="136"/>
        <v/>
      </c>
      <c r="J2939" s="154"/>
      <c r="K2939" s="155" t="s">
        <v>2966</v>
      </c>
    </row>
    <row r="2940" spans="1:11" hidden="1" x14ac:dyDescent="0.25">
      <c r="A2940" s="148" t="s">
        <v>1671</v>
      </c>
      <c r="B2940" s="149" t="s">
        <v>7724</v>
      </c>
      <c r="C2940" s="150" t="s">
        <v>18</v>
      </c>
      <c r="D2940" s="150">
        <v>0</v>
      </c>
      <c r="E2940" s="151">
        <f ca="1">OFFSET(INDEX(Composições!A:H,MATCH(Orçamentária!A2940,Composições!A:A,0),8),2,0)</f>
        <v>340.84099999999995</v>
      </c>
      <c r="F2940" s="152">
        <f t="shared" ca="1" si="137"/>
        <v>0</v>
      </c>
      <c r="G2940" s="153">
        <f>IF($K2940="Padrão",BDI!$B$17,IF($K2940="Diferenciado",BDI!$E$17,0))</f>
        <v>0.2039</v>
      </c>
      <c r="H2940" s="151">
        <f t="shared" ca="1" si="135"/>
        <v>410.34</v>
      </c>
      <c r="I2940" s="152">
        <f t="shared" ca="1" si="136"/>
        <v>0</v>
      </c>
      <c r="J2940" s="154"/>
      <c r="K2940" s="155" t="s">
        <v>2966</v>
      </c>
    </row>
    <row r="2941" spans="1:11" hidden="1" x14ac:dyDescent="0.25">
      <c r="A2941" s="148" t="s">
        <v>7725</v>
      </c>
      <c r="B2941" s="149" t="s">
        <v>7726</v>
      </c>
      <c r="C2941" s="150" t="s">
        <v>18</v>
      </c>
      <c r="D2941" s="150">
        <v>0</v>
      </c>
      <c r="E2941" s="151" t="s">
        <v>13</v>
      </c>
      <c r="F2941" s="152" t="str">
        <f t="shared" si="137"/>
        <v/>
      </c>
      <c r="G2941" s="153">
        <f>IF($K2941="Padrão",BDI!$B$17,IF($K2941="Diferenciado",BDI!$E$17,0))</f>
        <v>0.2039</v>
      </c>
      <c r="H2941" s="151" t="str">
        <f t="shared" si="135"/>
        <v/>
      </c>
      <c r="I2941" s="152" t="str">
        <f t="shared" si="136"/>
        <v/>
      </c>
      <c r="J2941" s="154"/>
      <c r="K2941" s="155" t="s">
        <v>2966</v>
      </c>
    </row>
    <row r="2942" spans="1:11" ht="25.5" hidden="1" x14ac:dyDescent="0.25">
      <c r="A2942" s="148" t="s">
        <v>7727</v>
      </c>
      <c r="B2942" s="149" t="s">
        <v>7728</v>
      </c>
      <c r="C2942" s="150" t="s">
        <v>18</v>
      </c>
      <c r="D2942" s="150">
        <v>0</v>
      </c>
      <c r="E2942" s="151" t="s">
        <v>13</v>
      </c>
      <c r="F2942" s="152" t="str">
        <f t="shared" si="137"/>
        <v/>
      </c>
      <c r="G2942" s="153">
        <f>IF($K2942="Padrão",BDI!$B$17,IF($K2942="Diferenciado",BDI!$E$17,0))</f>
        <v>0.2039</v>
      </c>
      <c r="H2942" s="151" t="str">
        <f t="shared" si="135"/>
        <v/>
      </c>
      <c r="I2942" s="152" t="str">
        <f t="shared" si="136"/>
        <v/>
      </c>
      <c r="J2942" s="154"/>
      <c r="K2942" s="155" t="s">
        <v>2966</v>
      </c>
    </row>
    <row r="2943" spans="1:11" hidden="1" x14ac:dyDescent="0.25">
      <c r="A2943" s="148" t="s">
        <v>7729</v>
      </c>
      <c r="B2943" s="149" t="s">
        <v>7730</v>
      </c>
      <c r="C2943" s="150" t="s">
        <v>18</v>
      </c>
      <c r="D2943" s="150">
        <v>0</v>
      </c>
      <c r="E2943" s="151" t="s">
        <v>13</v>
      </c>
      <c r="F2943" s="152" t="str">
        <f t="shared" si="137"/>
        <v/>
      </c>
      <c r="G2943" s="153">
        <f>IF($K2943="Padrão",BDI!$B$17,IF($K2943="Diferenciado",BDI!$E$17,0))</f>
        <v>0.2039</v>
      </c>
      <c r="H2943" s="151" t="str">
        <f t="shared" si="135"/>
        <v/>
      </c>
      <c r="I2943" s="152" t="str">
        <f t="shared" si="136"/>
        <v/>
      </c>
      <c r="J2943" s="154"/>
      <c r="K2943" s="155" t="s">
        <v>2966</v>
      </c>
    </row>
    <row r="2944" spans="1:11" hidden="1" x14ac:dyDescent="0.25">
      <c r="A2944" s="148" t="s">
        <v>7731</v>
      </c>
      <c r="B2944" s="149" t="s">
        <v>7732</v>
      </c>
      <c r="C2944" s="150" t="s">
        <v>18</v>
      </c>
      <c r="D2944" s="150">
        <v>0</v>
      </c>
      <c r="E2944" s="151" t="s">
        <v>13</v>
      </c>
      <c r="F2944" s="152" t="str">
        <f t="shared" si="137"/>
        <v/>
      </c>
      <c r="G2944" s="153">
        <f>IF($K2944="Padrão",BDI!$B$17,IF($K2944="Diferenciado",BDI!$E$17,0))</f>
        <v>0.2039</v>
      </c>
      <c r="H2944" s="151" t="str">
        <f t="shared" si="135"/>
        <v/>
      </c>
      <c r="I2944" s="152" t="str">
        <f t="shared" si="136"/>
        <v/>
      </c>
      <c r="J2944" s="154"/>
      <c r="K2944" s="155" t="s">
        <v>2966</v>
      </c>
    </row>
    <row r="2945" spans="1:11" hidden="1" x14ac:dyDescent="0.25">
      <c r="A2945" s="148" t="s">
        <v>1672</v>
      </c>
      <c r="B2945" s="149" t="s">
        <v>7733</v>
      </c>
      <c r="C2945" s="150" t="s">
        <v>18</v>
      </c>
      <c r="D2945" s="150">
        <v>0</v>
      </c>
      <c r="E2945" s="151">
        <f ca="1">OFFSET(INDEX(Composições!A:H,MATCH(Orçamentária!A2945,Composições!A:A,0),8),2,0)</f>
        <v>12.4735</v>
      </c>
      <c r="F2945" s="152">
        <f t="shared" ca="1" si="137"/>
        <v>0</v>
      </c>
      <c r="G2945" s="153">
        <f>IF($K2945="Padrão",BDI!$B$17,IF($K2945="Diferenciado",BDI!$E$17,0))</f>
        <v>0.2039</v>
      </c>
      <c r="H2945" s="151">
        <f t="shared" ca="1" si="135"/>
        <v>15.02</v>
      </c>
      <c r="I2945" s="152">
        <f t="shared" ca="1" si="136"/>
        <v>0</v>
      </c>
      <c r="J2945" s="154"/>
      <c r="K2945" s="155" t="s">
        <v>2966</v>
      </c>
    </row>
    <row r="2946" spans="1:11" hidden="1" x14ac:dyDescent="0.25">
      <c r="A2946" s="148" t="s">
        <v>1673</v>
      </c>
      <c r="B2946" s="149" t="s">
        <v>7734</v>
      </c>
      <c r="C2946" s="150" t="s">
        <v>18</v>
      </c>
      <c r="D2946" s="150">
        <v>0</v>
      </c>
      <c r="E2946" s="151">
        <f ca="1">OFFSET(INDEX(Composições!A:H,MATCH(Orçamentária!A2946,Composições!A:A,0),8),2,0)</f>
        <v>290.23449999999997</v>
      </c>
      <c r="F2946" s="152">
        <f t="shared" ca="1" si="137"/>
        <v>0</v>
      </c>
      <c r="G2946" s="153">
        <f>IF($K2946="Padrão",BDI!$B$17,IF($K2946="Diferenciado",BDI!$E$17,0))</f>
        <v>0.2039</v>
      </c>
      <c r="H2946" s="151">
        <f t="shared" ca="1" si="135"/>
        <v>349.41</v>
      </c>
      <c r="I2946" s="152">
        <f t="shared" ca="1" si="136"/>
        <v>0</v>
      </c>
      <c r="J2946" s="154"/>
      <c r="K2946" s="155" t="s">
        <v>2966</v>
      </c>
    </row>
    <row r="2947" spans="1:11" hidden="1" x14ac:dyDescent="0.25">
      <c r="A2947" s="148" t="s">
        <v>7735</v>
      </c>
      <c r="B2947" s="149" t="s">
        <v>7736</v>
      </c>
      <c r="C2947" s="150" t="s">
        <v>18</v>
      </c>
      <c r="D2947" s="150">
        <v>0</v>
      </c>
      <c r="E2947" s="151" t="s">
        <v>13</v>
      </c>
      <c r="F2947" s="152" t="str">
        <f t="shared" si="137"/>
        <v/>
      </c>
      <c r="G2947" s="153">
        <f>IF($K2947="Padrão",BDI!$B$17,IF($K2947="Diferenciado",BDI!$E$17,0))</f>
        <v>0.2039</v>
      </c>
      <c r="H2947" s="151" t="str">
        <f t="shared" si="135"/>
        <v/>
      </c>
      <c r="I2947" s="152" t="str">
        <f t="shared" si="136"/>
        <v/>
      </c>
      <c r="J2947" s="154"/>
      <c r="K2947" s="155" t="s">
        <v>2966</v>
      </c>
    </row>
    <row r="2948" spans="1:11" hidden="1" x14ac:dyDescent="0.25">
      <c r="A2948" s="148" t="s">
        <v>1674</v>
      </c>
      <c r="B2948" s="149" t="s">
        <v>7737</v>
      </c>
      <c r="C2948" s="150" t="s">
        <v>18</v>
      </c>
      <c r="D2948" s="150">
        <v>0</v>
      </c>
      <c r="E2948" s="151">
        <f ca="1">OFFSET(INDEX(Composições!A:H,MATCH(Orçamentária!A2948,Composições!A:A,0),8),2,0)</f>
        <v>5272.9559999999992</v>
      </c>
      <c r="F2948" s="152">
        <f t="shared" ca="1" si="137"/>
        <v>0</v>
      </c>
      <c r="G2948" s="153">
        <f>IF($K2948="Padrão",BDI!$B$17,IF($K2948="Diferenciado",BDI!$E$17,0))</f>
        <v>0.2039</v>
      </c>
      <c r="H2948" s="151">
        <f t="shared" ca="1" si="135"/>
        <v>6348.11</v>
      </c>
      <c r="I2948" s="152">
        <f t="shared" ca="1" si="136"/>
        <v>0</v>
      </c>
      <c r="J2948" s="154"/>
      <c r="K2948" s="155" t="s">
        <v>2966</v>
      </c>
    </row>
    <row r="2949" spans="1:11" hidden="1" x14ac:dyDescent="0.25">
      <c r="A2949" s="148" t="s">
        <v>7738</v>
      </c>
      <c r="B2949" s="149" t="s">
        <v>7739</v>
      </c>
      <c r="C2949" s="150" t="s">
        <v>18</v>
      </c>
      <c r="D2949" s="150">
        <v>0</v>
      </c>
      <c r="E2949" s="151" t="s">
        <v>13</v>
      </c>
      <c r="F2949" s="152" t="str">
        <f t="shared" si="137"/>
        <v/>
      </c>
      <c r="G2949" s="153">
        <f>IF($K2949="Padrão",BDI!$B$17,IF($K2949="Diferenciado",BDI!$E$17,0))</f>
        <v>0.2039</v>
      </c>
      <c r="H2949" s="151" t="str">
        <f t="shared" si="135"/>
        <v/>
      </c>
      <c r="I2949" s="152" t="str">
        <f t="shared" si="136"/>
        <v/>
      </c>
      <c r="J2949" s="154"/>
      <c r="K2949" s="155" t="s">
        <v>2966</v>
      </c>
    </row>
    <row r="2950" spans="1:11" hidden="1" x14ac:dyDescent="0.25">
      <c r="A2950" s="148" t="s">
        <v>7740</v>
      </c>
      <c r="B2950" s="149" t="s">
        <v>7741</v>
      </c>
      <c r="C2950" s="150" t="s">
        <v>18</v>
      </c>
      <c r="D2950" s="150">
        <v>0</v>
      </c>
      <c r="E2950" s="151" t="s">
        <v>13</v>
      </c>
      <c r="F2950" s="152" t="str">
        <f t="shared" si="137"/>
        <v/>
      </c>
      <c r="G2950" s="153">
        <f>IF($K2950="Padrão",BDI!$B$17,IF($K2950="Diferenciado",BDI!$E$17,0))</f>
        <v>0.2039</v>
      </c>
      <c r="H2950" s="151" t="str">
        <f t="shared" ref="H2950:H3013" si="138">IF(ISNUMBER(E2950),ROUND(E2950*(1+G2950),2),"")</f>
        <v/>
      </c>
      <c r="I2950" s="152" t="str">
        <f t="shared" ref="I2950:I3013" si="139">IF(ISNUMBER(E2950),ROUND(H2950*D2950,2),"")</f>
        <v/>
      </c>
      <c r="J2950" s="154"/>
      <c r="K2950" s="155" t="s">
        <v>2966</v>
      </c>
    </row>
    <row r="2951" spans="1:11" hidden="1" x14ac:dyDescent="0.25">
      <c r="A2951" s="148" t="s">
        <v>7742</v>
      </c>
      <c r="B2951" s="149" t="s">
        <v>7743</v>
      </c>
      <c r="C2951" s="150" t="s">
        <v>18</v>
      </c>
      <c r="D2951" s="150">
        <v>0</v>
      </c>
      <c r="E2951" s="151" t="s">
        <v>13</v>
      </c>
      <c r="F2951" s="152" t="str">
        <f t="shared" ref="F2951:F3014" si="140">IF(ISNUMBER(E2951),D2951*E2951,"")</f>
        <v/>
      </c>
      <c r="G2951" s="153">
        <f>IF($K2951="Padrão",BDI!$B$17,IF($K2951="Diferenciado",BDI!$E$17,0))</f>
        <v>0.2039</v>
      </c>
      <c r="H2951" s="151" t="str">
        <f t="shared" si="138"/>
        <v/>
      </c>
      <c r="I2951" s="152" t="str">
        <f t="shared" si="139"/>
        <v/>
      </c>
      <c r="J2951" s="154"/>
      <c r="K2951" s="155" t="s">
        <v>2966</v>
      </c>
    </row>
    <row r="2952" spans="1:11" hidden="1" x14ac:dyDescent="0.25">
      <c r="A2952" s="148" t="s">
        <v>7744</v>
      </c>
      <c r="B2952" s="149" t="s">
        <v>7745</v>
      </c>
      <c r="C2952" s="150" t="s">
        <v>18</v>
      </c>
      <c r="D2952" s="150">
        <v>0</v>
      </c>
      <c r="E2952" s="151" t="s">
        <v>13</v>
      </c>
      <c r="F2952" s="152" t="str">
        <f t="shared" si="140"/>
        <v/>
      </c>
      <c r="G2952" s="153">
        <f>IF($K2952="Padrão",BDI!$B$17,IF($K2952="Diferenciado",BDI!$E$17,0))</f>
        <v>0.2039</v>
      </c>
      <c r="H2952" s="151" t="str">
        <f t="shared" si="138"/>
        <v/>
      </c>
      <c r="I2952" s="152" t="str">
        <f t="shared" si="139"/>
        <v/>
      </c>
      <c r="J2952" s="154"/>
      <c r="K2952" s="155" t="s">
        <v>2966</v>
      </c>
    </row>
    <row r="2953" spans="1:11" hidden="1" x14ac:dyDescent="0.25">
      <c r="A2953" s="148" t="s">
        <v>7746</v>
      </c>
      <c r="B2953" s="149" t="s">
        <v>7747</v>
      </c>
      <c r="C2953" s="150" t="s">
        <v>18</v>
      </c>
      <c r="D2953" s="150">
        <v>0</v>
      </c>
      <c r="E2953" s="151" t="s">
        <v>13</v>
      </c>
      <c r="F2953" s="152" t="str">
        <f t="shared" si="140"/>
        <v/>
      </c>
      <c r="G2953" s="153">
        <f>IF($K2953="Padrão",BDI!$B$17,IF($K2953="Diferenciado",BDI!$E$17,0))</f>
        <v>0.2039</v>
      </c>
      <c r="H2953" s="151" t="str">
        <f t="shared" si="138"/>
        <v/>
      </c>
      <c r="I2953" s="152" t="str">
        <f t="shared" si="139"/>
        <v/>
      </c>
      <c r="J2953" s="154"/>
      <c r="K2953" s="155" t="s">
        <v>2966</v>
      </c>
    </row>
    <row r="2954" spans="1:11" hidden="1" x14ac:dyDescent="0.25">
      <c r="A2954" s="148" t="s">
        <v>7748</v>
      </c>
      <c r="B2954" s="149" t="s">
        <v>7749</v>
      </c>
      <c r="C2954" s="150" t="s">
        <v>18</v>
      </c>
      <c r="D2954" s="150">
        <v>0</v>
      </c>
      <c r="E2954" s="151" t="s">
        <v>13</v>
      </c>
      <c r="F2954" s="152" t="str">
        <f t="shared" si="140"/>
        <v/>
      </c>
      <c r="G2954" s="153">
        <f>IF($K2954="Padrão",BDI!$B$17,IF($K2954="Diferenciado",BDI!$E$17,0))</f>
        <v>0.2039</v>
      </c>
      <c r="H2954" s="151" t="str">
        <f t="shared" si="138"/>
        <v/>
      </c>
      <c r="I2954" s="152" t="str">
        <f t="shared" si="139"/>
        <v/>
      </c>
      <c r="J2954" s="154"/>
      <c r="K2954" s="155" t="s">
        <v>2966</v>
      </c>
    </row>
    <row r="2955" spans="1:11" hidden="1" x14ac:dyDescent="0.25">
      <c r="A2955" s="148" t="s">
        <v>7750</v>
      </c>
      <c r="B2955" s="149" t="s">
        <v>7751</v>
      </c>
      <c r="C2955" s="150" t="s">
        <v>18</v>
      </c>
      <c r="D2955" s="150">
        <v>0</v>
      </c>
      <c r="E2955" s="151" t="s">
        <v>13</v>
      </c>
      <c r="F2955" s="152" t="str">
        <f t="shared" si="140"/>
        <v/>
      </c>
      <c r="G2955" s="153">
        <f>IF($K2955="Padrão",BDI!$B$17,IF($K2955="Diferenciado",BDI!$E$17,0))</f>
        <v>0.2039</v>
      </c>
      <c r="H2955" s="151" t="str">
        <f t="shared" si="138"/>
        <v/>
      </c>
      <c r="I2955" s="152" t="str">
        <f t="shared" si="139"/>
        <v/>
      </c>
      <c r="J2955" s="154"/>
      <c r="K2955" s="155" t="s">
        <v>2966</v>
      </c>
    </row>
    <row r="2956" spans="1:11" hidden="1" x14ac:dyDescent="0.25">
      <c r="A2956" s="148" t="s">
        <v>7752</v>
      </c>
      <c r="B2956" s="149" t="s">
        <v>7753</v>
      </c>
      <c r="C2956" s="150" t="s">
        <v>18</v>
      </c>
      <c r="D2956" s="150">
        <v>0</v>
      </c>
      <c r="E2956" s="151" t="s">
        <v>13</v>
      </c>
      <c r="F2956" s="152" t="str">
        <f t="shared" si="140"/>
        <v/>
      </c>
      <c r="G2956" s="153">
        <f>IF($K2956="Padrão",BDI!$B$17,IF($K2956="Diferenciado",BDI!$E$17,0))</f>
        <v>0.2039</v>
      </c>
      <c r="H2956" s="151" t="str">
        <f t="shared" si="138"/>
        <v/>
      </c>
      <c r="I2956" s="152" t="str">
        <f t="shared" si="139"/>
        <v/>
      </c>
      <c r="J2956" s="154"/>
      <c r="K2956" s="155" t="s">
        <v>2966</v>
      </c>
    </row>
    <row r="2957" spans="1:11" hidden="1" x14ac:dyDescent="0.25">
      <c r="A2957" s="148" t="s">
        <v>7754</v>
      </c>
      <c r="B2957" s="149" t="s">
        <v>7755</v>
      </c>
      <c r="C2957" s="150" t="s">
        <v>18</v>
      </c>
      <c r="D2957" s="150">
        <v>0</v>
      </c>
      <c r="E2957" s="151" t="s">
        <v>13</v>
      </c>
      <c r="F2957" s="152" t="str">
        <f t="shared" si="140"/>
        <v/>
      </c>
      <c r="G2957" s="153">
        <f>IF($K2957="Padrão",BDI!$B$17,IF($K2957="Diferenciado",BDI!$E$17,0))</f>
        <v>0.2039</v>
      </c>
      <c r="H2957" s="151" t="str">
        <f t="shared" si="138"/>
        <v/>
      </c>
      <c r="I2957" s="152" t="str">
        <f t="shared" si="139"/>
        <v/>
      </c>
      <c r="J2957" s="154"/>
      <c r="K2957" s="155" t="s">
        <v>2966</v>
      </c>
    </row>
    <row r="2958" spans="1:11" hidden="1" x14ac:dyDescent="0.25">
      <c r="A2958" s="148" t="s">
        <v>7756</v>
      </c>
      <c r="B2958" s="149" t="s">
        <v>7757</v>
      </c>
      <c r="C2958" s="150" t="s">
        <v>18</v>
      </c>
      <c r="D2958" s="150">
        <v>0</v>
      </c>
      <c r="E2958" s="151" t="s">
        <v>13</v>
      </c>
      <c r="F2958" s="152" t="str">
        <f t="shared" si="140"/>
        <v/>
      </c>
      <c r="G2958" s="153">
        <f>IF($K2958="Padrão",BDI!$B$17,IF($K2958="Diferenciado",BDI!$E$17,0))</f>
        <v>0.2039</v>
      </c>
      <c r="H2958" s="151" t="str">
        <f t="shared" si="138"/>
        <v/>
      </c>
      <c r="I2958" s="152" t="str">
        <f t="shared" si="139"/>
        <v/>
      </c>
      <c r="J2958" s="154"/>
      <c r="K2958" s="155" t="s">
        <v>2966</v>
      </c>
    </row>
    <row r="2959" spans="1:11" hidden="1" x14ac:dyDescent="0.25">
      <c r="A2959" s="148" t="s">
        <v>7758</v>
      </c>
      <c r="B2959" s="149" t="s">
        <v>7759</v>
      </c>
      <c r="C2959" s="150" t="s">
        <v>18</v>
      </c>
      <c r="D2959" s="150">
        <v>0</v>
      </c>
      <c r="E2959" s="151" t="s">
        <v>13</v>
      </c>
      <c r="F2959" s="152" t="str">
        <f t="shared" si="140"/>
        <v/>
      </c>
      <c r="G2959" s="153">
        <f>IF($K2959="Padrão",BDI!$B$17,IF($K2959="Diferenciado",BDI!$E$17,0))</f>
        <v>0.2039</v>
      </c>
      <c r="H2959" s="151" t="str">
        <f t="shared" si="138"/>
        <v/>
      </c>
      <c r="I2959" s="152" t="str">
        <f t="shared" si="139"/>
        <v/>
      </c>
      <c r="J2959" s="154"/>
      <c r="K2959" s="155" t="s">
        <v>2966</v>
      </c>
    </row>
    <row r="2960" spans="1:11" hidden="1" x14ac:dyDescent="0.25">
      <c r="A2960" s="148" t="s">
        <v>7760</v>
      </c>
      <c r="B2960" s="149" t="s">
        <v>7761</v>
      </c>
      <c r="C2960" s="150" t="s">
        <v>18</v>
      </c>
      <c r="D2960" s="150">
        <v>0</v>
      </c>
      <c r="E2960" s="151" t="s">
        <v>13</v>
      </c>
      <c r="F2960" s="152" t="str">
        <f t="shared" si="140"/>
        <v/>
      </c>
      <c r="G2960" s="153">
        <f>IF($K2960="Padrão",BDI!$B$17,IF($K2960="Diferenciado",BDI!$E$17,0))</f>
        <v>0.2039</v>
      </c>
      <c r="H2960" s="151" t="str">
        <f t="shared" si="138"/>
        <v/>
      </c>
      <c r="I2960" s="152" t="str">
        <f t="shared" si="139"/>
        <v/>
      </c>
      <c r="J2960" s="154"/>
      <c r="K2960" s="155" t="s">
        <v>2966</v>
      </c>
    </row>
    <row r="2961" spans="1:11" hidden="1" x14ac:dyDescent="0.25">
      <c r="A2961" s="148" t="s">
        <v>7762</v>
      </c>
      <c r="B2961" s="149" t="s">
        <v>7763</v>
      </c>
      <c r="C2961" s="150" t="s">
        <v>18</v>
      </c>
      <c r="D2961" s="150">
        <v>0</v>
      </c>
      <c r="E2961" s="151" t="s">
        <v>13</v>
      </c>
      <c r="F2961" s="152" t="str">
        <f t="shared" si="140"/>
        <v/>
      </c>
      <c r="G2961" s="153">
        <f>IF($K2961="Padrão",BDI!$B$17,IF($K2961="Diferenciado",BDI!$E$17,0))</f>
        <v>0.2039</v>
      </c>
      <c r="H2961" s="151" t="str">
        <f t="shared" si="138"/>
        <v/>
      </c>
      <c r="I2961" s="152" t="str">
        <f t="shared" si="139"/>
        <v/>
      </c>
      <c r="J2961" s="154"/>
      <c r="K2961" s="155" t="s">
        <v>2966</v>
      </c>
    </row>
    <row r="2962" spans="1:11" hidden="1" x14ac:dyDescent="0.25">
      <c r="A2962" s="148" t="s">
        <v>7764</v>
      </c>
      <c r="B2962" s="149" t="s">
        <v>7765</v>
      </c>
      <c r="C2962" s="150" t="s">
        <v>18</v>
      </c>
      <c r="D2962" s="150">
        <v>0</v>
      </c>
      <c r="E2962" s="151" t="s">
        <v>13</v>
      </c>
      <c r="F2962" s="152" t="str">
        <f t="shared" si="140"/>
        <v/>
      </c>
      <c r="G2962" s="153">
        <f>IF($K2962="Padrão",BDI!$B$17,IF($K2962="Diferenciado",BDI!$E$17,0))</f>
        <v>0.2039</v>
      </c>
      <c r="H2962" s="151" t="str">
        <f t="shared" si="138"/>
        <v/>
      </c>
      <c r="I2962" s="152" t="str">
        <f t="shared" si="139"/>
        <v/>
      </c>
      <c r="J2962" s="154"/>
      <c r="K2962" s="155" t="s">
        <v>2966</v>
      </c>
    </row>
    <row r="2963" spans="1:11" hidden="1" x14ac:dyDescent="0.25">
      <c r="A2963" s="148" t="s">
        <v>7766</v>
      </c>
      <c r="B2963" s="149" t="s">
        <v>7767</v>
      </c>
      <c r="C2963" s="150" t="s">
        <v>18</v>
      </c>
      <c r="D2963" s="150">
        <v>0</v>
      </c>
      <c r="E2963" s="151" t="s">
        <v>13</v>
      </c>
      <c r="F2963" s="152" t="str">
        <f t="shared" si="140"/>
        <v/>
      </c>
      <c r="G2963" s="153">
        <f>IF($K2963="Padrão",BDI!$B$17,IF($K2963="Diferenciado",BDI!$E$17,0))</f>
        <v>0.2039</v>
      </c>
      <c r="H2963" s="151" t="str">
        <f t="shared" si="138"/>
        <v/>
      </c>
      <c r="I2963" s="152" t="str">
        <f t="shared" si="139"/>
        <v/>
      </c>
      <c r="J2963" s="154"/>
      <c r="K2963" s="155" t="s">
        <v>2966</v>
      </c>
    </row>
    <row r="2964" spans="1:11" hidden="1" x14ac:dyDescent="0.25">
      <c r="A2964" s="148" t="s">
        <v>7768</v>
      </c>
      <c r="B2964" s="149" t="s">
        <v>7769</v>
      </c>
      <c r="C2964" s="150" t="s">
        <v>18</v>
      </c>
      <c r="D2964" s="150">
        <v>0</v>
      </c>
      <c r="E2964" s="151" t="s">
        <v>13</v>
      </c>
      <c r="F2964" s="152" t="str">
        <f t="shared" si="140"/>
        <v/>
      </c>
      <c r="G2964" s="153">
        <f>IF($K2964="Padrão",BDI!$B$17,IF($K2964="Diferenciado",BDI!$E$17,0))</f>
        <v>0.2039</v>
      </c>
      <c r="H2964" s="151" t="str">
        <f t="shared" si="138"/>
        <v/>
      </c>
      <c r="I2964" s="152" t="str">
        <f t="shared" si="139"/>
        <v/>
      </c>
      <c r="J2964" s="154"/>
      <c r="K2964" s="155" t="s">
        <v>2966</v>
      </c>
    </row>
    <row r="2965" spans="1:11" hidden="1" x14ac:dyDescent="0.25">
      <c r="A2965" s="148" t="s">
        <v>7770</v>
      </c>
      <c r="B2965" s="149" t="s">
        <v>7771</v>
      </c>
      <c r="C2965" s="150" t="s">
        <v>18</v>
      </c>
      <c r="D2965" s="150">
        <v>0</v>
      </c>
      <c r="E2965" s="151" t="s">
        <v>13</v>
      </c>
      <c r="F2965" s="152" t="str">
        <f t="shared" si="140"/>
        <v/>
      </c>
      <c r="G2965" s="153">
        <f>IF($K2965="Padrão",BDI!$B$17,IF($K2965="Diferenciado",BDI!$E$17,0))</f>
        <v>0.2039</v>
      </c>
      <c r="H2965" s="151" t="str">
        <f t="shared" si="138"/>
        <v/>
      </c>
      <c r="I2965" s="152" t="str">
        <f t="shared" si="139"/>
        <v/>
      </c>
      <c r="J2965" s="154"/>
      <c r="K2965" s="155" t="s">
        <v>2966</v>
      </c>
    </row>
    <row r="2966" spans="1:11" hidden="1" x14ac:dyDescent="0.25">
      <c r="A2966" s="148" t="s">
        <v>7772</v>
      </c>
      <c r="B2966" s="149" t="s">
        <v>7773</v>
      </c>
      <c r="C2966" s="150" t="s">
        <v>18</v>
      </c>
      <c r="D2966" s="150">
        <v>0</v>
      </c>
      <c r="E2966" s="151" t="s">
        <v>13</v>
      </c>
      <c r="F2966" s="152" t="str">
        <f t="shared" si="140"/>
        <v/>
      </c>
      <c r="G2966" s="153">
        <f>IF($K2966="Padrão",BDI!$B$17,IF($K2966="Diferenciado",BDI!$E$17,0))</f>
        <v>0.2039</v>
      </c>
      <c r="H2966" s="151" t="str">
        <f t="shared" si="138"/>
        <v/>
      </c>
      <c r="I2966" s="152" t="str">
        <f t="shared" si="139"/>
        <v/>
      </c>
      <c r="J2966" s="154"/>
      <c r="K2966" s="155" t="s">
        <v>2966</v>
      </c>
    </row>
    <row r="2967" spans="1:11" hidden="1" x14ac:dyDescent="0.25">
      <c r="A2967" s="148" t="s">
        <v>7774</v>
      </c>
      <c r="B2967" s="149" t="s">
        <v>7775</v>
      </c>
      <c r="C2967" s="150" t="s">
        <v>18</v>
      </c>
      <c r="D2967" s="150">
        <v>0</v>
      </c>
      <c r="E2967" s="151" t="s">
        <v>13</v>
      </c>
      <c r="F2967" s="152" t="str">
        <f t="shared" si="140"/>
        <v/>
      </c>
      <c r="G2967" s="153">
        <f>IF($K2967="Padrão",BDI!$B$17,IF($K2967="Diferenciado",BDI!$E$17,0))</f>
        <v>0.2039</v>
      </c>
      <c r="H2967" s="151" t="str">
        <f t="shared" si="138"/>
        <v/>
      </c>
      <c r="I2967" s="152" t="str">
        <f t="shared" si="139"/>
        <v/>
      </c>
      <c r="J2967" s="154"/>
      <c r="K2967" s="155" t="s">
        <v>2966</v>
      </c>
    </row>
    <row r="2968" spans="1:11" hidden="1" x14ac:dyDescent="0.25">
      <c r="A2968" s="148" t="s">
        <v>7776</v>
      </c>
      <c r="B2968" s="149" t="s">
        <v>7777</v>
      </c>
      <c r="C2968" s="150" t="s">
        <v>18</v>
      </c>
      <c r="D2968" s="150">
        <v>0</v>
      </c>
      <c r="E2968" s="151" t="s">
        <v>13</v>
      </c>
      <c r="F2968" s="152" t="str">
        <f t="shared" si="140"/>
        <v/>
      </c>
      <c r="G2968" s="153">
        <f>IF($K2968="Padrão",BDI!$B$17,IF($K2968="Diferenciado",BDI!$E$17,0))</f>
        <v>0.2039</v>
      </c>
      <c r="H2968" s="151" t="str">
        <f t="shared" si="138"/>
        <v/>
      </c>
      <c r="I2968" s="152" t="str">
        <f t="shared" si="139"/>
        <v/>
      </c>
      <c r="J2968" s="154"/>
      <c r="K2968" s="155" t="s">
        <v>2966</v>
      </c>
    </row>
    <row r="2969" spans="1:11" hidden="1" x14ac:dyDescent="0.25">
      <c r="A2969" s="148" t="s">
        <v>7778</v>
      </c>
      <c r="B2969" s="149" t="s">
        <v>7779</v>
      </c>
      <c r="C2969" s="150" t="s">
        <v>18</v>
      </c>
      <c r="D2969" s="150">
        <v>0</v>
      </c>
      <c r="E2969" s="151" t="s">
        <v>13</v>
      </c>
      <c r="F2969" s="152" t="str">
        <f t="shared" si="140"/>
        <v/>
      </c>
      <c r="G2969" s="153">
        <f>IF($K2969="Padrão",BDI!$B$17,IF($K2969="Diferenciado",BDI!$E$17,0))</f>
        <v>0.2039</v>
      </c>
      <c r="H2969" s="151" t="str">
        <f t="shared" si="138"/>
        <v/>
      </c>
      <c r="I2969" s="152" t="str">
        <f t="shared" si="139"/>
        <v/>
      </c>
      <c r="J2969" s="154"/>
      <c r="K2969" s="155" t="s">
        <v>2966</v>
      </c>
    </row>
    <row r="2970" spans="1:11" hidden="1" x14ac:dyDescent="0.25">
      <c r="A2970" s="148" t="s">
        <v>7780</v>
      </c>
      <c r="B2970" s="149" t="s">
        <v>7781</v>
      </c>
      <c r="C2970" s="150" t="s">
        <v>18</v>
      </c>
      <c r="D2970" s="150">
        <v>0</v>
      </c>
      <c r="E2970" s="151" t="s">
        <v>13</v>
      </c>
      <c r="F2970" s="152" t="str">
        <f t="shared" si="140"/>
        <v/>
      </c>
      <c r="G2970" s="153">
        <f>IF($K2970="Padrão",BDI!$B$17,IF($K2970="Diferenciado",BDI!$E$17,0))</f>
        <v>0.2039</v>
      </c>
      <c r="H2970" s="151" t="str">
        <f t="shared" si="138"/>
        <v/>
      </c>
      <c r="I2970" s="152" t="str">
        <f t="shared" si="139"/>
        <v/>
      </c>
      <c r="J2970" s="154"/>
      <c r="K2970" s="155" t="s">
        <v>2966</v>
      </c>
    </row>
    <row r="2971" spans="1:11" hidden="1" x14ac:dyDescent="0.25">
      <c r="A2971" s="148" t="s">
        <v>7782</v>
      </c>
      <c r="B2971" s="149" t="s">
        <v>7783</v>
      </c>
      <c r="C2971" s="150" t="s">
        <v>18</v>
      </c>
      <c r="D2971" s="150">
        <v>0</v>
      </c>
      <c r="E2971" s="151" t="s">
        <v>13</v>
      </c>
      <c r="F2971" s="152" t="str">
        <f t="shared" si="140"/>
        <v/>
      </c>
      <c r="G2971" s="153">
        <f>IF($K2971="Padrão",BDI!$B$17,IF($K2971="Diferenciado",BDI!$E$17,0))</f>
        <v>0.2039</v>
      </c>
      <c r="H2971" s="151" t="str">
        <f t="shared" si="138"/>
        <v/>
      </c>
      <c r="I2971" s="152" t="str">
        <f t="shared" si="139"/>
        <v/>
      </c>
      <c r="J2971" s="154"/>
      <c r="K2971" s="155" t="s">
        <v>2966</v>
      </c>
    </row>
    <row r="2972" spans="1:11" hidden="1" x14ac:dyDescent="0.25">
      <c r="A2972" s="148" t="s">
        <v>7784</v>
      </c>
      <c r="B2972" s="149" t="s">
        <v>7785</v>
      </c>
      <c r="C2972" s="150" t="s">
        <v>18</v>
      </c>
      <c r="D2972" s="150">
        <v>0</v>
      </c>
      <c r="E2972" s="151" t="s">
        <v>13</v>
      </c>
      <c r="F2972" s="152" t="str">
        <f t="shared" si="140"/>
        <v/>
      </c>
      <c r="G2972" s="153">
        <f>IF($K2972="Padrão",BDI!$B$17,IF($K2972="Diferenciado",BDI!$E$17,0))</f>
        <v>0.2039</v>
      </c>
      <c r="H2972" s="151" t="str">
        <f t="shared" si="138"/>
        <v/>
      </c>
      <c r="I2972" s="152" t="str">
        <f t="shared" si="139"/>
        <v/>
      </c>
      <c r="J2972" s="154"/>
      <c r="K2972" s="155" t="s">
        <v>2966</v>
      </c>
    </row>
    <row r="2973" spans="1:11" hidden="1" x14ac:dyDescent="0.25">
      <c r="A2973" s="148" t="s">
        <v>7786</v>
      </c>
      <c r="B2973" s="149" t="s">
        <v>7787</v>
      </c>
      <c r="C2973" s="150" t="s">
        <v>18</v>
      </c>
      <c r="D2973" s="150">
        <v>0</v>
      </c>
      <c r="E2973" s="151" t="s">
        <v>13</v>
      </c>
      <c r="F2973" s="152" t="str">
        <f t="shared" si="140"/>
        <v/>
      </c>
      <c r="G2973" s="153">
        <f>IF($K2973="Padrão",BDI!$B$17,IF($K2973="Diferenciado",BDI!$E$17,0))</f>
        <v>0.2039</v>
      </c>
      <c r="H2973" s="151" t="str">
        <f t="shared" si="138"/>
        <v/>
      </c>
      <c r="I2973" s="152" t="str">
        <f t="shared" si="139"/>
        <v/>
      </c>
      <c r="J2973" s="154"/>
      <c r="K2973" s="155" t="s">
        <v>2966</v>
      </c>
    </row>
    <row r="2974" spans="1:11" hidden="1" x14ac:dyDescent="0.25">
      <c r="A2974" s="148" t="s">
        <v>7788</v>
      </c>
      <c r="B2974" s="149" t="s">
        <v>7789</v>
      </c>
      <c r="C2974" s="150" t="s">
        <v>18</v>
      </c>
      <c r="D2974" s="150">
        <v>0</v>
      </c>
      <c r="E2974" s="151" t="s">
        <v>13</v>
      </c>
      <c r="F2974" s="152" t="str">
        <f t="shared" si="140"/>
        <v/>
      </c>
      <c r="G2974" s="153">
        <f>IF($K2974="Padrão",BDI!$B$17,IF($K2974="Diferenciado",BDI!$E$17,0))</f>
        <v>0.2039</v>
      </c>
      <c r="H2974" s="151" t="str">
        <f t="shared" si="138"/>
        <v/>
      </c>
      <c r="I2974" s="152" t="str">
        <f t="shared" si="139"/>
        <v/>
      </c>
      <c r="J2974" s="154"/>
      <c r="K2974" s="155" t="s">
        <v>2966</v>
      </c>
    </row>
    <row r="2975" spans="1:11" hidden="1" x14ac:dyDescent="0.25">
      <c r="A2975" s="148" t="s">
        <v>1675</v>
      </c>
      <c r="B2975" s="149" t="s">
        <v>7790</v>
      </c>
      <c r="C2975" s="150" t="s">
        <v>18</v>
      </c>
      <c r="D2975" s="150">
        <v>0</v>
      </c>
      <c r="E2975" s="151">
        <f ca="1">OFFSET(INDEX(Composições!A:H,MATCH(Orçamentária!A2975,Composições!A:A,0),8),2,0)</f>
        <v>3.8854999999999995</v>
      </c>
      <c r="F2975" s="152">
        <f t="shared" ca="1" si="140"/>
        <v>0</v>
      </c>
      <c r="G2975" s="153">
        <f>IF($K2975="Padrão",BDI!$B$17,IF($K2975="Diferenciado",BDI!$E$17,0))</f>
        <v>0.2039</v>
      </c>
      <c r="H2975" s="151">
        <f t="shared" ca="1" si="138"/>
        <v>4.68</v>
      </c>
      <c r="I2975" s="152">
        <f t="shared" ca="1" si="139"/>
        <v>0</v>
      </c>
      <c r="J2975" s="154"/>
      <c r="K2975" s="155" t="s">
        <v>2966</v>
      </c>
    </row>
    <row r="2976" spans="1:11" ht="25.5" hidden="1" x14ac:dyDescent="0.25">
      <c r="A2976" s="148" t="s">
        <v>7791</v>
      </c>
      <c r="B2976" s="149" t="s">
        <v>7792</v>
      </c>
      <c r="C2976" s="150" t="s">
        <v>18</v>
      </c>
      <c r="D2976" s="150">
        <v>0</v>
      </c>
      <c r="E2976" s="151" t="s">
        <v>13</v>
      </c>
      <c r="F2976" s="152" t="str">
        <f t="shared" si="140"/>
        <v/>
      </c>
      <c r="G2976" s="153">
        <f>IF($K2976="Padrão",BDI!$B$17,IF($K2976="Diferenciado",BDI!$E$17,0))</f>
        <v>0.2039</v>
      </c>
      <c r="H2976" s="151" t="str">
        <f t="shared" si="138"/>
        <v/>
      </c>
      <c r="I2976" s="152" t="str">
        <f t="shared" si="139"/>
        <v/>
      </c>
      <c r="J2976" s="154"/>
      <c r="K2976" s="155" t="s">
        <v>2966</v>
      </c>
    </row>
    <row r="2977" spans="1:11" hidden="1" x14ac:dyDescent="0.25">
      <c r="A2977" s="148" t="s">
        <v>7793</v>
      </c>
      <c r="B2977" s="149" t="s">
        <v>7794</v>
      </c>
      <c r="C2977" s="150" t="s">
        <v>18</v>
      </c>
      <c r="D2977" s="150">
        <v>0</v>
      </c>
      <c r="E2977" s="151" t="s">
        <v>13</v>
      </c>
      <c r="F2977" s="152" t="str">
        <f t="shared" si="140"/>
        <v/>
      </c>
      <c r="G2977" s="153">
        <f>IF($K2977="Padrão",BDI!$B$17,IF($K2977="Diferenciado",BDI!$E$17,0))</f>
        <v>0.2039</v>
      </c>
      <c r="H2977" s="151" t="str">
        <f t="shared" si="138"/>
        <v/>
      </c>
      <c r="I2977" s="152" t="str">
        <f t="shared" si="139"/>
        <v/>
      </c>
      <c r="J2977" s="154"/>
      <c r="K2977" s="155" t="s">
        <v>2966</v>
      </c>
    </row>
    <row r="2978" spans="1:11" hidden="1" x14ac:dyDescent="0.25">
      <c r="A2978" s="148" t="s">
        <v>1676</v>
      </c>
      <c r="B2978" s="149" t="s">
        <v>7795</v>
      </c>
      <c r="C2978" s="150" t="s">
        <v>18</v>
      </c>
      <c r="D2978" s="150">
        <v>0</v>
      </c>
      <c r="E2978" s="151">
        <f ca="1">OFFSET(INDEX(Composições!A:H,MATCH(Orçamentária!A2978,Composições!A:A,0),8),2,0)</f>
        <v>107.4355</v>
      </c>
      <c r="F2978" s="152">
        <f t="shared" ca="1" si="140"/>
        <v>0</v>
      </c>
      <c r="G2978" s="153">
        <f>IF($K2978="Padrão",BDI!$B$17,IF($K2978="Diferenciado",BDI!$E$17,0))</f>
        <v>0.2039</v>
      </c>
      <c r="H2978" s="151">
        <f t="shared" ca="1" si="138"/>
        <v>129.34</v>
      </c>
      <c r="I2978" s="152">
        <f t="shared" ca="1" si="139"/>
        <v>0</v>
      </c>
      <c r="J2978" s="154"/>
      <c r="K2978" s="155" t="s">
        <v>2966</v>
      </c>
    </row>
    <row r="2979" spans="1:11" hidden="1" x14ac:dyDescent="0.25">
      <c r="A2979" s="148" t="s">
        <v>1677</v>
      </c>
      <c r="B2979" s="149" t="s">
        <v>7796</v>
      </c>
      <c r="C2979" s="150" t="s">
        <v>18</v>
      </c>
      <c r="D2979" s="150">
        <v>0</v>
      </c>
      <c r="E2979" s="151">
        <f ca="1">OFFSET(INDEX(Composições!A:H,MATCH(Orçamentária!A2979,Composições!A:A,0),8),2,0)</f>
        <v>464.54999999999995</v>
      </c>
      <c r="F2979" s="152">
        <f t="shared" ca="1" si="140"/>
        <v>0</v>
      </c>
      <c r="G2979" s="153">
        <f>IF($K2979="Padrão",BDI!$B$17,IF($K2979="Diferenciado",BDI!$E$17,0))</f>
        <v>0.2039</v>
      </c>
      <c r="H2979" s="151">
        <f t="shared" ca="1" si="138"/>
        <v>559.27</v>
      </c>
      <c r="I2979" s="152">
        <f t="shared" ca="1" si="139"/>
        <v>0</v>
      </c>
      <c r="J2979" s="154"/>
      <c r="K2979" s="155" t="s">
        <v>2966</v>
      </c>
    </row>
    <row r="2980" spans="1:11" hidden="1" x14ac:dyDescent="0.25">
      <c r="A2980" s="148" t="s">
        <v>1678</v>
      </c>
      <c r="B2980" s="149" t="s">
        <v>7797</v>
      </c>
      <c r="C2980" s="150" t="s">
        <v>18</v>
      </c>
      <c r="D2980" s="150">
        <v>0</v>
      </c>
      <c r="E2980" s="151">
        <f ca="1">OFFSET(INDEX(Composições!A:H,MATCH(Orçamentária!A2980,Composições!A:A,0),8),2,0)</f>
        <v>5.4339999999999993</v>
      </c>
      <c r="F2980" s="152">
        <f t="shared" ca="1" si="140"/>
        <v>0</v>
      </c>
      <c r="G2980" s="153">
        <f>IF($K2980="Padrão",BDI!$B$17,IF($K2980="Diferenciado",BDI!$E$17,0))</f>
        <v>0.2039</v>
      </c>
      <c r="H2980" s="151">
        <f t="shared" ca="1" si="138"/>
        <v>6.54</v>
      </c>
      <c r="I2980" s="152">
        <f t="shared" ca="1" si="139"/>
        <v>0</v>
      </c>
      <c r="J2980" s="154"/>
      <c r="K2980" s="155" t="s">
        <v>2966</v>
      </c>
    </row>
    <row r="2981" spans="1:11" hidden="1" x14ac:dyDescent="0.25">
      <c r="A2981" s="148" t="s">
        <v>1679</v>
      </c>
      <c r="B2981" s="149" t="s">
        <v>7798</v>
      </c>
      <c r="C2981" s="150" t="s">
        <v>18</v>
      </c>
      <c r="D2981" s="150">
        <v>0</v>
      </c>
      <c r="E2981" s="151">
        <f ca="1">OFFSET(INDEX(Composições!A:H,MATCH(Orçamentária!A2981,Composições!A:A,0),8),2,0)</f>
        <v>33.981500000000004</v>
      </c>
      <c r="F2981" s="152">
        <f t="shared" ca="1" si="140"/>
        <v>0</v>
      </c>
      <c r="G2981" s="153">
        <f>IF($K2981="Padrão",BDI!$B$17,IF($K2981="Diferenciado",BDI!$E$17,0))</f>
        <v>0.2039</v>
      </c>
      <c r="H2981" s="151">
        <f t="shared" ca="1" si="138"/>
        <v>40.909999999999997</v>
      </c>
      <c r="I2981" s="152">
        <f t="shared" ca="1" si="139"/>
        <v>0</v>
      </c>
      <c r="J2981" s="154"/>
      <c r="K2981" s="155" t="s">
        <v>2966</v>
      </c>
    </row>
    <row r="2982" spans="1:11" hidden="1" x14ac:dyDescent="0.25">
      <c r="A2982" s="148" t="s">
        <v>1680</v>
      </c>
      <c r="B2982" s="149" t="s">
        <v>7799</v>
      </c>
      <c r="C2982" s="150" t="s">
        <v>18</v>
      </c>
      <c r="D2982" s="150">
        <v>0</v>
      </c>
      <c r="E2982" s="151">
        <f ca="1">OFFSET(INDEX(Composições!A:H,MATCH(Orçamentária!A2982,Composições!A:A,0),8),2,0)</f>
        <v>13.328499999999998</v>
      </c>
      <c r="F2982" s="152">
        <f t="shared" ca="1" si="140"/>
        <v>0</v>
      </c>
      <c r="G2982" s="153">
        <f>IF($K2982="Padrão",BDI!$B$17,IF($K2982="Diferenciado",BDI!$E$17,0))</f>
        <v>0.2039</v>
      </c>
      <c r="H2982" s="151">
        <f t="shared" ca="1" si="138"/>
        <v>16.05</v>
      </c>
      <c r="I2982" s="152">
        <f t="shared" ca="1" si="139"/>
        <v>0</v>
      </c>
      <c r="J2982" s="154"/>
      <c r="K2982" s="155" t="s">
        <v>2966</v>
      </c>
    </row>
    <row r="2983" spans="1:11" hidden="1" x14ac:dyDescent="0.25">
      <c r="A2983" s="148" t="s">
        <v>7800</v>
      </c>
      <c r="B2983" s="149" t="s">
        <v>7801</v>
      </c>
      <c r="C2983" s="150" t="s">
        <v>18</v>
      </c>
      <c r="D2983" s="150">
        <v>0</v>
      </c>
      <c r="E2983" s="151" t="s">
        <v>13</v>
      </c>
      <c r="F2983" s="152" t="str">
        <f t="shared" si="140"/>
        <v/>
      </c>
      <c r="G2983" s="153">
        <f>IF($K2983="Padrão",BDI!$B$17,IF($K2983="Diferenciado",BDI!$E$17,0))</f>
        <v>0.2039</v>
      </c>
      <c r="H2983" s="151" t="str">
        <f t="shared" si="138"/>
        <v/>
      </c>
      <c r="I2983" s="152" t="str">
        <f t="shared" si="139"/>
        <v/>
      </c>
      <c r="J2983" s="154"/>
      <c r="K2983" s="155" t="s">
        <v>2966</v>
      </c>
    </row>
    <row r="2984" spans="1:11" hidden="1" x14ac:dyDescent="0.25">
      <c r="A2984" s="148" t="s">
        <v>1681</v>
      </c>
      <c r="B2984" s="149" t="s">
        <v>7802</v>
      </c>
      <c r="C2984" s="150" t="s">
        <v>18</v>
      </c>
      <c r="D2984" s="150">
        <v>0</v>
      </c>
      <c r="E2984" s="151">
        <f ca="1">OFFSET(INDEX(Composições!A:H,MATCH(Orçamentária!A2984,Composições!A:A,0),8),2,0)</f>
        <v>24.101500000000001</v>
      </c>
      <c r="F2984" s="152">
        <f t="shared" ca="1" si="140"/>
        <v>0</v>
      </c>
      <c r="G2984" s="153">
        <f>IF($K2984="Padrão",BDI!$B$17,IF($K2984="Diferenciado",BDI!$E$17,0))</f>
        <v>0.2039</v>
      </c>
      <c r="H2984" s="151">
        <f t="shared" ca="1" si="138"/>
        <v>29.02</v>
      </c>
      <c r="I2984" s="152">
        <f t="shared" ca="1" si="139"/>
        <v>0</v>
      </c>
      <c r="J2984" s="154"/>
      <c r="K2984" s="155" t="s">
        <v>2966</v>
      </c>
    </row>
    <row r="2985" spans="1:11" ht="25.5" hidden="1" x14ac:dyDescent="0.25">
      <c r="A2985" s="148" t="s">
        <v>1682</v>
      </c>
      <c r="B2985" s="149" t="s">
        <v>7803</v>
      </c>
      <c r="C2985" s="150" t="s">
        <v>18</v>
      </c>
      <c r="D2985" s="150">
        <v>0</v>
      </c>
      <c r="E2985" s="151">
        <f ca="1">OFFSET(INDEX(Composições!A:H,MATCH(Orçamentária!A2985,Composições!A:A,0),8),2,0)</f>
        <v>28.138999999999999</v>
      </c>
      <c r="F2985" s="152">
        <f t="shared" ca="1" si="140"/>
        <v>0</v>
      </c>
      <c r="G2985" s="153">
        <f>IF($K2985="Padrão",BDI!$B$17,IF($K2985="Diferenciado",BDI!$E$17,0))</f>
        <v>0.2039</v>
      </c>
      <c r="H2985" s="151">
        <f t="shared" ca="1" si="138"/>
        <v>33.880000000000003</v>
      </c>
      <c r="I2985" s="152">
        <f t="shared" ca="1" si="139"/>
        <v>0</v>
      </c>
      <c r="J2985" s="154"/>
      <c r="K2985" s="155" t="s">
        <v>2966</v>
      </c>
    </row>
    <row r="2986" spans="1:11" ht="25.5" hidden="1" x14ac:dyDescent="0.25">
      <c r="A2986" s="148" t="s">
        <v>7804</v>
      </c>
      <c r="B2986" s="149" t="s">
        <v>7805</v>
      </c>
      <c r="C2986" s="150" t="s">
        <v>18</v>
      </c>
      <c r="D2986" s="150">
        <v>0</v>
      </c>
      <c r="E2986" s="151" t="s">
        <v>13</v>
      </c>
      <c r="F2986" s="152" t="str">
        <f t="shared" si="140"/>
        <v/>
      </c>
      <c r="G2986" s="153">
        <f>IF($K2986="Padrão",BDI!$B$17,IF($K2986="Diferenciado",BDI!$E$17,0))</f>
        <v>0.2039</v>
      </c>
      <c r="H2986" s="151" t="str">
        <f t="shared" si="138"/>
        <v/>
      </c>
      <c r="I2986" s="152" t="str">
        <f t="shared" si="139"/>
        <v/>
      </c>
      <c r="J2986" s="154"/>
      <c r="K2986" s="155" t="s">
        <v>2966</v>
      </c>
    </row>
    <row r="2987" spans="1:11" ht="25.5" hidden="1" x14ac:dyDescent="0.25">
      <c r="A2987" s="148" t="s">
        <v>7806</v>
      </c>
      <c r="B2987" s="149" t="s">
        <v>7807</v>
      </c>
      <c r="C2987" s="150" t="s">
        <v>18</v>
      </c>
      <c r="D2987" s="150">
        <v>0</v>
      </c>
      <c r="E2987" s="151" t="s">
        <v>13</v>
      </c>
      <c r="F2987" s="152" t="str">
        <f t="shared" si="140"/>
        <v/>
      </c>
      <c r="G2987" s="153">
        <f>IF($K2987="Padrão",BDI!$B$17,IF($K2987="Diferenciado",BDI!$E$17,0))</f>
        <v>0.2039</v>
      </c>
      <c r="H2987" s="151" t="str">
        <f t="shared" si="138"/>
        <v/>
      </c>
      <c r="I2987" s="152" t="str">
        <f t="shared" si="139"/>
        <v/>
      </c>
      <c r="J2987" s="154"/>
      <c r="K2987" s="155" t="s">
        <v>2966</v>
      </c>
    </row>
    <row r="2988" spans="1:11" hidden="1" x14ac:dyDescent="0.25">
      <c r="A2988" s="148" t="s">
        <v>7808</v>
      </c>
      <c r="B2988" s="149" t="s">
        <v>7809</v>
      </c>
      <c r="C2988" s="150" t="s">
        <v>18</v>
      </c>
      <c r="D2988" s="150">
        <v>0</v>
      </c>
      <c r="E2988" s="151" t="s">
        <v>13</v>
      </c>
      <c r="F2988" s="152" t="str">
        <f t="shared" si="140"/>
        <v/>
      </c>
      <c r="G2988" s="153">
        <f>IF($K2988="Padrão",BDI!$B$17,IF($K2988="Diferenciado",BDI!$E$17,0))</f>
        <v>0.2039</v>
      </c>
      <c r="H2988" s="151" t="str">
        <f t="shared" si="138"/>
        <v/>
      </c>
      <c r="I2988" s="152" t="str">
        <f t="shared" si="139"/>
        <v/>
      </c>
      <c r="J2988" s="154"/>
      <c r="K2988" s="155" t="s">
        <v>2966</v>
      </c>
    </row>
    <row r="2989" spans="1:11" hidden="1" x14ac:dyDescent="0.25">
      <c r="A2989" s="148" t="s">
        <v>7810</v>
      </c>
      <c r="B2989" s="149" t="s">
        <v>7811</v>
      </c>
      <c r="C2989" s="150" t="s">
        <v>18</v>
      </c>
      <c r="D2989" s="150">
        <v>0</v>
      </c>
      <c r="E2989" s="151" t="s">
        <v>13</v>
      </c>
      <c r="F2989" s="152" t="str">
        <f t="shared" si="140"/>
        <v/>
      </c>
      <c r="G2989" s="153">
        <f>IF($K2989="Padrão",BDI!$B$17,IF($K2989="Diferenciado",BDI!$E$17,0))</f>
        <v>0.2039</v>
      </c>
      <c r="H2989" s="151" t="str">
        <f t="shared" si="138"/>
        <v/>
      </c>
      <c r="I2989" s="152" t="str">
        <f t="shared" si="139"/>
        <v/>
      </c>
      <c r="J2989" s="154"/>
      <c r="K2989" s="155" t="s">
        <v>2966</v>
      </c>
    </row>
    <row r="2990" spans="1:11" hidden="1" x14ac:dyDescent="0.25">
      <c r="A2990" s="148" t="s">
        <v>1683</v>
      </c>
      <c r="B2990" s="149" t="s">
        <v>7812</v>
      </c>
      <c r="C2990" s="150" t="s">
        <v>18</v>
      </c>
      <c r="D2990" s="150">
        <v>0</v>
      </c>
      <c r="E2990" s="151">
        <f ca="1">OFFSET(INDEX(Composições!A:H,MATCH(Orçamentária!A2990,Composições!A:A,0),8),2,0)</f>
        <v>130.88150000000002</v>
      </c>
      <c r="F2990" s="152">
        <f t="shared" ca="1" si="140"/>
        <v>0</v>
      </c>
      <c r="G2990" s="153">
        <f>IF($K2990="Padrão",BDI!$B$17,IF($K2990="Diferenciado",BDI!$E$17,0))</f>
        <v>0.2039</v>
      </c>
      <c r="H2990" s="151">
        <f t="shared" ca="1" si="138"/>
        <v>157.57</v>
      </c>
      <c r="I2990" s="152">
        <f t="shared" ca="1" si="139"/>
        <v>0</v>
      </c>
      <c r="J2990" s="154"/>
      <c r="K2990" s="155" t="s">
        <v>2966</v>
      </c>
    </row>
    <row r="2991" spans="1:11" ht="25.5" hidden="1" x14ac:dyDescent="0.25">
      <c r="A2991" s="148" t="s">
        <v>1684</v>
      </c>
      <c r="B2991" s="149" t="s">
        <v>7813</v>
      </c>
      <c r="C2991" s="150" t="s">
        <v>18</v>
      </c>
      <c r="D2991" s="150">
        <v>0</v>
      </c>
      <c r="E2991" s="151">
        <f ca="1">OFFSET(INDEX(Composições!A:H,MATCH(Orçamentária!A2991,Composições!A:A,0),8),2,0)</f>
        <v>0</v>
      </c>
      <c r="F2991" s="152">
        <f t="shared" ca="1" si="140"/>
        <v>0</v>
      </c>
      <c r="G2991" s="153">
        <f>IF($K2991="Padrão",BDI!$B$17,IF($K2991="Diferenciado",BDI!$E$17,0))</f>
        <v>0.2039</v>
      </c>
      <c r="H2991" s="151">
        <f t="shared" ca="1" si="138"/>
        <v>0</v>
      </c>
      <c r="I2991" s="152">
        <f t="shared" ca="1" si="139"/>
        <v>0</v>
      </c>
      <c r="J2991" s="154"/>
      <c r="K2991" s="155" t="s">
        <v>2966</v>
      </c>
    </row>
    <row r="2992" spans="1:11" hidden="1" x14ac:dyDescent="0.25">
      <c r="A2992" s="148" t="s">
        <v>1686</v>
      </c>
      <c r="B2992" s="149" t="s">
        <v>7814</v>
      </c>
      <c r="C2992" s="150" t="s">
        <v>18</v>
      </c>
      <c r="D2992" s="150">
        <v>0</v>
      </c>
      <c r="E2992" s="151">
        <f ca="1">OFFSET(INDEX(Composições!A:H,MATCH(Orçamentária!A2992,Composições!A:A,0),8),2,0)</f>
        <v>306.584</v>
      </c>
      <c r="F2992" s="152">
        <f t="shared" ca="1" si="140"/>
        <v>0</v>
      </c>
      <c r="G2992" s="153">
        <f>IF($K2992="Padrão",BDI!$B$17,IF($K2992="Diferenciado",BDI!$E$17,0))</f>
        <v>0.2039</v>
      </c>
      <c r="H2992" s="151">
        <f t="shared" ca="1" si="138"/>
        <v>369.1</v>
      </c>
      <c r="I2992" s="152">
        <f t="shared" ca="1" si="139"/>
        <v>0</v>
      </c>
      <c r="J2992" s="154"/>
      <c r="K2992" s="155" t="s">
        <v>2966</v>
      </c>
    </row>
    <row r="2993" spans="1:11" hidden="1" x14ac:dyDescent="0.25">
      <c r="A2993" s="148" t="s">
        <v>1687</v>
      </c>
      <c r="B2993" s="149" t="s">
        <v>7815</v>
      </c>
      <c r="C2993" s="150" t="s">
        <v>18</v>
      </c>
      <c r="D2993" s="150">
        <v>0</v>
      </c>
      <c r="E2993" s="151">
        <f ca="1">OFFSET(INDEX(Composições!A:H,MATCH(Orçamentária!A2993,Composições!A:A,0),8),2,0)</f>
        <v>36.622499999999995</v>
      </c>
      <c r="F2993" s="152">
        <f t="shared" ca="1" si="140"/>
        <v>0</v>
      </c>
      <c r="G2993" s="153">
        <f>IF($K2993="Padrão",BDI!$B$17,IF($K2993="Diferenciado",BDI!$E$17,0))</f>
        <v>0.2039</v>
      </c>
      <c r="H2993" s="151">
        <f t="shared" ca="1" si="138"/>
        <v>44.09</v>
      </c>
      <c r="I2993" s="152">
        <f t="shared" ca="1" si="139"/>
        <v>0</v>
      </c>
      <c r="J2993" s="154"/>
      <c r="K2993" s="155" t="s">
        <v>2966</v>
      </c>
    </row>
    <row r="2994" spans="1:11" hidden="1" x14ac:dyDescent="0.25">
      <c r="A2994" s="148" t="s">
        <v>1688</v>
      </c>
      <c r="B2994" s="149" t="s">
        <v>7816</v>
      </c>
      <c r="C2994" s="150" t="s">
        <v>18</v>
      </c>
      <c r="D2994" s="150">
        <v>0</v>
      </c>
      <c r="E2994" s="151">
        <f ca="1">OFFSET(INDEX(Composições!A:H,MATCH(Orçamentária!A2994,Composições!A:A,0),8),2,0)</f>
        <v>42.066000000000003</v>
      </c>
      <c r="F2994" s="152">
        <f t="shared" ca="1" si="140"/>
        <v>0</v>
      </c>
      <c r="G2994" s="153">
        <f>IF($K2994="Padrão",BDI!$B$17,IF($K2994="Diferenciado",BDI!$E$17,0))</f>
        <v>0.2039</v>
      </c>
      <c r="H2994" s="151">
        <f t="shared" ca="1" si="138"/>
        <v>50.64</v>
      </c>
      <c r="I2994" s="152">
        <f t="shared" ca="1" si="139"/>
        <v>0</v>
      </c>
      <c r="J2994" s="154"/>
      <c r="K2994" s="155" t="s">
        <v>2966</v>
      </c>
    </row>
    <row r="2995" spans="1:11" hidden="1" x14ac:dyDescent="0.25">
      <c r="A2995" s="148" t="s">
        <v>1689</v>
      </c>
      <c r="B2995" s="149" t="s">
        <v>7817</v>
      </c>
      <c r="C2995" s="150" t="s">
        <v>18</v>
      </c>
      <c r="D2995" s="150">
        <v>0</v>
      </c>
      <c r="E2995" s="151">
        <f ca="1">OFFSET(INDEX(Composições!A:H,MATCH(Orçamentária!A2995,Composições!A:A,0),8),2,0)</f>
        <v>51.148000000000003</v>
      </c>
      <c r="F2995" s="152">
        <f t="shared" ca="1" si="140"/>
        <v>0</v>
      </c>
      <c r="G2995" s="153">
        <f>IF($K2995="Padrão",BDI!$B$17,IF($K2995="Diferenciado",BDI!$E$17,0))</f>
        <v>0.2039</v>
      </c>
      <c r="H2995" s="151">
        <f t="shared" ca="1" si="138"/>
        <v>61.58</v>
      </c>
      <c r="I2995" s="152">
        <f t="shared" ca="1" si="139"/>
        <v>0</v>
      </c>
      <c r="J2995" s="154"/>
      <c r="K2995" s="155" t="s">
        <v>2966</v>
      </c>
    </row>
    <row r="2996" spans="1:11" hidden="1" x14ac:dyDescent="0.25">
      <c r="A2996" s="148" t="s">
        <v>1690</v>
      </c>
      <c r="B2996" s="149" t="s">
        <v>7818</v>
      </c>
      <c r="C2996" s="150" t="s">
        <v>18</v>
      </c>
      <c r="D2996" s="150">
        <v>0</v>
      </c>
      <c r="E2996" s="151">
        <f ca="1">OFFSET(INDEX(Composições!A:H,MATCH(Orçamentária!A2996,Composições!A:A,0),8),2,0)</f>
        <v>13.756</v>
      </c>
      <c r="F2996" s="152">
        <f t="shared" ca="1" si="140"/>
        <v>0</v>
      </c>
      <c r="G2996" s="153">
        <f>IF($K2996="Padrão",BDI!$B$17,IF($K2996="Diferenciado",BDI!$E$17,0))</f>
        <v>0.2039</v>
      </c>
      <c r="H2996" s="151">
        <f t="shared" ca="1" si="138"/>
        <v>16.559999999999999</v>
      </c>
      <c r="I2996" s="152">
        <f t="shared" ca="1" si="139"/>
        <v>0</v>
      </c>
      <c r="J2996" s="154"/>
      <c r="K2996" s="155" t="s">
        <v>2966</v>
      </c>
    </row>
    <row r="2997" spans="1:11" hidden="1" x14ac:dyDescent="0.25">
      <c r="A2997" s="148" t="s">
        <v>7819</v>
      </c>
      <c r="B2997" s="149" t="s">
        <v>7820</v>
      </c>
      <c r="C2997" s="150" t="s">
        <v>18</v>
      </c>
      <c r="D2997" s="150">
        <v>0</v>
      </c>
      <c r="E2997" s="151" t="s">
        <v>13</v>
      </c>
      <c r="F2997" s="152" t="str">
        <f t="shared" si="140"/>
        <v/>
      </c>
      <c r="G2997" s="153">
        <f>IF($K2997="Padrão",BDI!$B$17,IF($K2997="Diferenciado",BDI!$E$17,0))</f>
        <v>0.2039</v>
      </c>
      <c r="H2997" s="151" t="str">
        <f t="shared" si="138"/>
        <v/>
      </c>
      <c r="I2997" s="152" t="str">
        <f t="shared" si="139"/>
        <v/>
      </c>
      <c r="J2997" s="154"/>
      <c r="K2997" s="155" t="s">
        <v>2966</v>
      </c>
    </row>
    <row r="2998" spans="1:11" hidden="1" x14ac:dyDescent="0.25">
      <c r="A2998" s="148" t="s">
        <v>7821</v>
      </c>
      <c r="B2998" s="149" t="s">
        <v>7822</v>
      </c>
      <c r="C2998" s="150" t="s">
        <v>18</v>
      </c>
      <c r="D2998" s="150">
        <v>0</v>
      </c>
      <c r="E2998" s="151" t="s">
        <v>13</v>
      </c>
      <c r="F2998" s="152" t="str">
        <f t="shared" si="140"/>
        <v/>
      </c>
      <c r="G2998" s="153">
        <f>IF($K2998="Padrão",BDI!$B$17,IF($K2998="Diferenciado",BDI!$E$17,0))</f>
        <v>0.2039</v>
      </c>
      <c r="H2998" s="151" t="str">
        <f t="shared" si="138"/>
        <v/>
      </c>
      <c r="I2998" s="152" t="str">
        <f t="shared" si="139"/>
        <v/>
      </c>
      <c r="J2998" s="154"/>
      <c r="K2998" s="155" t="s">
        <v>2966</v>
      </c>
    </row>
    <row r="2999" spans="1:11" hidden="1" x14ac:dyDescent="0.25">
      <c r="A2999" s="148" t="s">
        <v>7823</v>
      </c>
      <c r="B2999" s="149" t="s">
        <v>7824</v>
      </c>
      <c r="C2999" s="150" t="s">
        <v>18</v>
      </c>
      <c r="D2999" s="150">
        <v>0</v>
      </c>
      <c r="E2999" s="151" t="s">
        <v>13</v>
      </c>
      <c r="F2999" s="152" t="str">
        <f t="shared" si="140"/>
        <v/>
      </c>
      <c r="G2999" s="153">
        <f>IF($K2999="Padrão",BDI!$B$17,IF($K2999="Diferenciado",BDI!$E$17,0))</f>
        <v>0.2039</v>
      </c>
      <c r="H2999" s="151" t="str">
        <f t="shared" si="138"/>
        <v/>
      </c>
      <c r="I2999" s="152" t="str">
        <f t="shared" si="139"/>
        <v/>
      </c>
      <c r="J2999" s="154"/>
      <c r="K2999" s="155" t="s">
        <v>2966</v>
      </c>
    </row>
    <row r="3000" spans="1:11" hidden="1" x14ac:dyDescent="0.25">
      <c r="A3000" s="148" t="s">
        <v>7825</v>
      </c>
      <c r="B3000" s="149" t="s">
        <v>7826</v>
      </c>
      <c r="C3000" s="150" t="s">
        <v>18</v>
      </c>
      <c r="D3000" s="150">
        <v>0</v>
      </c>
      <c r="E3000" s="151" t="s">
        <v>13</v>
      </c>
      <c r="F3000" s="152" t="str">
        <f t="shared" si="140"/>
        <v/>
      </c>
      <c r="G3000" s="153">
        <f>IF($K3000="Padrão",BDI!$B$17,IF($K3000="Diferenciado",BDI!$E$17,0))</f>
        <v>0.2039</v>
      </c>
      <c r="H3000" s="151" t="str">
        <f t="shared" si="138"/>
        <v/>
      </c>
      <c r="I3000" s="152" t="str">
        <f t="shared" si="139"/>
        <v/>
      </c>
      <c r="J3000" s="154"/>
      <c r="K3000" s="155" t="s">
        <v>2966</v>
      </c>
    </row>
    <row r="3001" spans="1:11" hidden="1" x14ac:dyDescent="0.25">
      <c r="A3001" s="148" t="s">
        <v>1691</v>
      </c>
      <c r="B3001" s="149" t="s">
        <v>7827</v>
      </c>
      <c r="C3001" s="150" t="s">
        <v>18</v>
      </c>
      <c r="D3001" s="150">
        <v>0</v>
      </c>
      <c r="E3001" s="151">
        <f ca="1">OFFSET(INDEX(Composições!A:H,MATCH(Orçamentária!A3001,Composições!A:A,0),8),2,0)</f>
        <v>8.160499999999999</v>
      </c>
      <c r="F3001" s="152">
        <f t="shared" ca="1" si="140"/>
        <v>0</v>
      </c>
      <c r="G3001" s="153">
        <f>IF($K3001="Padrão",BDI!$B$17,IF($K3001="Diferenciado",BDI!$E$17,0))</f>
        <v>0.2039</v>
      </c>
      <c r="H3001" s="151">
        <f t="shared" ca="1" si="138"/>
        <v>9.82</v>
      </c>
      <c r="I3001" s="152">
        <f t="shared" ca="1" si="139"/>
        <v>0</v>
      </c>
      <c r="J3001" s="154"/>
      <c r="K3001" s="155" t="s">
        <v>2966</v>
      </c>
    </row>
    <row r="3002" spans="1:11" hidden="1" x14ac:dyDescent="0.25">
      <c r="A3002" s="148" t="s">
        <v>1692</v>
      </c>
      <c r="B3002" s="149" t="s">
        <v>7828</v>
      </c>
      <c r="C3002" s="150" t="s">
        <v>18</v>
      </c>
      <c r="D3002" s="150">
        <v>0</v>
      </c>
      <c r="E3002" s="151">
        <f ca="1">OFFSET(INDEX(Composições!A:H,MATCH(Orçamentária!A3002,Composições!A:A,0),8),2,0)</f>
        <v>30.361999999999998</v>
      </c>
      <c r="F3002" s="152">
        <f t="shared" ca="1" si="140"/>
        <v>0</v>
      </c>
      <c r="G3002" s="153">
        <f>IF($K3002="Padrão",BDI!$B$17,IF($K3002="Diferenciado",BDI!$E$17,0))</f>
        <v>0.2039</v>
      </c>
      <c r="H3002" s="151">
        <f t="shared" ca="1" si="138"/>
        <v>36.549999999999997</v>
      </c>
      <c r="I3002" s="152">
        <f t="shared" ca="1" si="139"/>
        <v>0</v>
      </c>
      <c r="J3002" s="154"/>
      <c r="K3002" s="155" t="s">
        <v>2966</v>
      </c>
    </row>
    <row r="3003" spans="1:11" hidden="1" x14ac:dyDescent="0.25">
      <c r="A3003" s="148" t="s">
        <v>1693</v>
      </c>
      <c r="B3003" s="149" t="s">
        <v>7829</v>
      </c>
      <c r="C3003" s="150" t="s">
        <v>18</v>
      </c>
      <c r="D3003" s="150">
        <v>0</v>
      </c>
      <c r="E3003" s="151">
        <f ca="1">OFFSET(INDEX(Composições!A:H,MATCH(Orçamentária!A3003,Composições!A:A,0),8),2,0)</f>
        <v>5.6524999999999999</v>
      </c>
      <c r="F3003" s="152">
        <f t="shared" ca="1" si="140"/>
        <v>0</v>
      </c>
      <c r="G3003" s="153">
        <f>IF($K3003="Padrão",BDI!$B$17,IF($K3003="Diferenciado",BDI!$E$17,0))</f>
        <v>0.2039</v>
      </c>
      <c r="H3003" s="151">
        <f t="shared" ca="1" si="138"/>
        <v>6.81</v>
      </c>
      <c r="I3003" s="152">
        <f t="shared" ca="1" si="139"/>
        <v>0</v>
      </c>
      <c r="J3003" s="154"/>
      <c r="K3003" s="155" t="s">
        <v>2966</v>
      </c>
    </row>
    <row r="3004" spans="1:11" hidden="1" x14ac:dyDescent="0.25">
      <c r="A3004" s="148" t="s">
        <v>1694</v>
      </c>
      <c r="B3004" s="149" t="s">
        <v>7830</v>
      </c>
      <c r="C3004" s="150" t="s">
        <v>18</v>
      </c>
      <c r="D3004" s="150">
        <v>0</v>
      </c>
      <c r="E3004" s="151">
        <f ca="1">OFFSET(INDEX(Composições!A:H,MATCH(Orçamentária!A3004,Composições!A:A,0),8),2,0)</f>
        <v>3.9139999999999997</v>
      </c>
      <c r="F3004" s="152">
        <f t="shared" ca="1" si="140"/>
        <v>0</v>
      </c>
      <c r="G3004" s="153">
        <f>IF($K3004="Padrão",BDI!$B$17,IF($K3004="Diferenciado",BDI!$E$17,0))</f>
        <v>0.2039</v>
      </c>
      <c r="H3004" s="151">
        <f t="shared" ca="1" si="138"/>
        <v>4.71</v>
      </c>
      <c r="I3004" s="152">
        <f t="shared" ca="1" si="139"/>
        <v>0</v>
      </c>
      <c r="J3004" s="154"/>
      <c r="K3004" s="155" t="s">
        <v>2966</v>
      </c>
    </row>
    <row r="3005" spans="1:11" hidden="1" x14ac:dyDescent="0.25">
      <c r="A3005" s="148" t="s">
        <v>7831</v>
      </c>
      <c r="B3005" s="149" t="s">
        <v>7832</v>
      </c>
      <c r="C3005" s="150" t="s">
        <v>18</v>
      </c>
      <c r="D3005" s="150">
        <v>0</v>
      </c>
      <c r="E3005" s="151" t="s">
        <v>13</v>
      </c>
      <c r="F3005" s="152" t="str">
        <f t="shared" si="140"/>
        <v/>
      </c>
      <c r="G3005" s="153">
        <f>IF($K3005="Padrão",BDI!$B$17,IF($K3005="Diferenciado",BDI!$E$17,0))</f>
        <v>0.2039</v>
      </c>
      <c r="H3005" s="151" t="str">
        <f t="shared" si="138"/>
        <v/>
      </c>
      <c r="I3005" s="152" t="str">
        <f t="shared" si="139"/>
        <v/>
      </c>
      <c r="J3005" s="154"/>
      <c r="K3005" s="155" t="s">
        <v>2966</v>
      </c>
    </row>
    <row r="3006" spans="1:11" hidden="1" x14ac:dyDescent="0.25">
      <c r="A3006" s="148" t="s">
        <v>7833</v>
      </c>
      <c r="B3006" s="149" t="s">
        <v>7834</v>
      </c>
      <c r="C3006" s="150" t="s">
        <v>18</v>
      </c>
      <c r="D3006" s="150">
        <v>0</v>
      </c>
      <c r="E3006" s="151" t="s">
        <v>13</v>
      </c>
      <c r="F3006" s="152" t="str">
        <f t="shared" si="140"/>
        <v/>
      </c>
      <c r="G3006" s="153">
        <f>IF($K3006="Padrão",BDI!$B$17,IF($K3006="Diferenciado",BDI!$E$17,0))</f>
        <v>0.2039</v>
      </c>
      <c r="H3006" s="151" t="str">
        <f t="shared" si="138"/>
        <v/>
      </c>
      <c r="I3006" s="152" t="str">
        <f t="shared" si="139"/>
        <v/>
      </c>
      <c r="J3006" s="154"/>
      <c r="K3006" s="155" t="s">
        <v>2966</v>
      </c>
    </row>
    <row r="3007" spans="1:11" hidden="1" x14ac:dyDescent="0.25">
      <c r="A3007" s="148" t="s">
        <v>7835</v>
      </c>
      <c r="B3007" s="149" t="s">
        <v>7836</v>
      </c>
      <c r="C3007" s="150" t="s">
        <v>18</v>
      </c>
      <c r="D3007" s="150">
        <v>0</v>
      </c>
      <c r="E3007" s="151" t="s">
        <v>13</v>
      </c>
      <c r="F3007" s="152" t="str">
        <f t="shared" si="140"/>
        <v/>
      </c>
      <c r="G3007" s="153">
        <f>IF($K3007="Padrão",BDI!$B$17,IF($K3007="Diferenciado",BDI!$E$17,0))</f>
        <v>0.2039</v>
      </c>
      <c r="H3007" s="151" t="str">
        <f t="shared" si="138"/>
        <v/>
      </c>
      <c r="I3007" s="152" t="str">
        <f t="shared" si="139"/>
        <v/>
      </c>
      <c r="J3007" s="154"/>
      <c r="K3007" s="155" t="s">
        <v>2966</v>
      </c>
    </row>
    <row r="3008" spans="1:11" hidden="1" x14ac:dyDescent="0.25">
      <c r="A3008" s="148" t="s">
        <v>7837</v>
      </c>
      <c r="B3008" s="149" t="s">
        <v>7838</v>
      </c>
      <c r="C3008" s="150" t="s">
        <v>18</v>
      </c>
      <c r="D3008" s="150">
        <v>0</v>
      </c>
      <c r="E3008" s="151" t="s">
        <v>13</v>
      </c>
      <c r="F3008" s="152" t="str">
        <f t="shared" si="140"/>
        <v/>
      </c>
      <c r="G3008" s="153">
        <f>IF($K3008="Padrão",BDI!$B$17,IF($K3008="Diferenciado",BDI!$E$17,0))</f>
        <v>0.2039</v>
      </c>
      <c r="H3008" s="151" t="str">
        <f t="shared" si="138"/>
        <v/>
      </c>
      <c r="I3008" s="152" t="str">
        <f t="shared" si="139"/>
        <v/>
      </c>
      <c r="J3008" s="154"/>
      <c r="K3008" s="155" t="s">
        <v>2966</v>
      </c>
    </row>
    <row r="3009" spans="1:11" hidden="1" x14ac:dyDescent="0.25">
      <c r="A3009" s="148" t="s">
        <v>7839</v>
      </c>
      <c r="B3009" s="149" t="s">
        <v>7840</v>
      </c>
      <c r="C3009" s="150" t="s">
        <v>18</v>
      </c>
      <c r="D3009" s="150">
        <v>0</v>
      </c>
      <c r="E3009" s="151" t="s">
        <v>13</v>
      </c>
      <c r="F3009" s="152" t="str">
        <f t="shared" si="140"/>
        <v/>
      </c>
      <c r="G3009" s="153">
        <f>IF($K3009="Padrão",BDI!$B$17,IF($K3009="Diferenciado",BDI!$E$17,0))</f>
        <v>0.2039</v>
      </c>
      <c r="H3009" s="151" t="str">
        <f t="shared" si="138"/>
        <v/>
      </c>
      <c r="I3009" s="152" t="str">
        <f t="shared" si="139"/>
        <v/>
      </c>
      <c r="J3009" s="154"/>
      <c r="K3009" s="155" t="s">
        <v>2966</v>
      </c>
    </row>
    <row r="3010" spans="1:11" hidden="1" x14ac:dyDescent="0.25">
      <c r="A3010" s="148" t="s">
        <v>7841</v>
      </c>
      <c r="B3010" s="149" t="s">
        <v>7842</v>
      </c>
      <c r="C3010" s="150" t="s">
        <v>18</v>
      </c>
      <c r="D3010" s="150">
        <v>0</v>
      </c>
      <c r="E3010" s="151" t="s">
        <v>13</v>
      </c>
      <c r="F3010" s="152" t="str">
        <f t="shared" si="140"/>
        <v/>
      </c>
      <c r="G3010" s="153">
        <f>IF($K3010="Padrão",BDI!$B$17,IF($K3010="Diferenciado",BDI!$E$17,0))</f>
        <v>0.2039</v>
      </c>
      <c r="H3010" s="151" t="str">
        <f t="shared" si="138"/>
        <v/>
      </c>
      <c r="I3010" s="152" t="str">
        <f t="shared" si="139"/>
        <v/>
      </c>
      <c r="J3010" s="154"/>
      <c r="K3010" s="155" t="s">
        <v>2966</v>
      </c>
    </row>
    <row r="3011" spans="1:11" hidden="1" x14ac:dyDescent="0.25">
      <c r="A3011" s="148" t="s">
        <v>1695</v>
      </c>
      <c r="B3011" s="149" t="s">
        <v>7843</v>
      </c>
      <c r="C3011" s="150" t="s">
        <v>18</v>
      </c>
      <c r="D3011" s="150">
        <v>0</v>
      </c>
      <c r="E3011" s="151">
        <f ca="1">OFFSET(INDEX(Composições!A:H,MATCH(Orçamentária!A3011,Composições!A:A,0),8),2,0)</f>
        <v>4.1324999999999994</v>
      </c>
      <c r="F3011" s="152">
        <f t="shared" ca="1" si="140"/>
        <v>0</v>
      </c>
      <c r="G3011" s="153">
        <f>IF($K3011="Padrão",BDI!$B$17,IF($K3011="Diferenciado",BDI!$E$17,0))</f>
        <v>0.2039</v>
      </c>
      <c r="H3011" s="151">
        <f t="shared" ca="1" si="138"/>
        <v>4.9800000000000004</v>
      </c>
      <c r="I3011" s="152">
        <f t="shared" ca="1" si="139"/>
        <v>0</v>
      </c>
      <c r="J3011" s="154"/>
      <c r="K3011" s="155" t="s">
        <v>2966</v>
      </c>
    </row>
    <row r="3012" spans="1:11" hidden="1" x14ac:dyDescent="0.25">
      <c r="A3012" s="148" t="s">
        <v>1696</v>
      </c>
      <c r="B3012" s="149" t="s">
        <v>7844</v>
      </c>
      <c r="C3012" s="150" t="s">
        <v>18</v>
      </c>
      <c r="D3012" s="150">
        <v>0</v>
      </c>
      <c r="E3012" s="151">
        <f ca="1">OFFSET(INDEX(Composições!A:H,MATCH(Orçamentária!A3012,Composições!A:A,0),8),2,0)</f>
        <v>8.7874999999999996</v>
      </c>
      <c r="F3012" s="152">
        <f t="shared" ca="1" si="140"/>
        <v>0</v>
      </c>
      <c r="G3012" s="153">
        <f>IF($K3012="Padrão",BDI!$B$17,IF($K3012="Diferenciado",BDI!$E$17,0))</f>
        <v>0.2039</v>
      </c>
      <c r="H3012" s="151">
        <f t="shared" ca="1" si="138"/>
        <v>10.58</v>
      </c>
      <c r="I3012" s="152">
        <f t="shared" ca="1" si="139"/>
        <v>0</v>
      </c>
      <c r="J3012" s="154"/>
      <c r="K3012" s="155" t="s">
        <v>2966</v>
      </c>
    </row>
    <row r="3013" spans="1:11" hidden="1" x14ac:dyDescent="0.25">
      <c r="A3013" s="148" t="s">
        <v>1697</v>
      </c>
      <c r="B3013" s="149" t="s">
        <v>7845</v>
      </c>
      <c r="C3013" s="150" t="s">
        <v>18</v>
      </c>
      <c r="D3013" s="150">
        <v>0</v>
      </c>
      <c r="E3013" s="151">
        <f ca="1">OFFSET(INDEX(Composições!A:H,MATCH(Orçamentária!A3013,Composições!A:A,0),8),2,0)</f>
        <v>32.3095</v>
      </c>
      <c r="F3013" s="152">
        <f t="shared" ca="1" si="140"/>
        <v>0</v>
      </c>
      <c r="G3013" s="153">
        <f>IF($K3013="Padrão",BDI!$B$17,IF($K3013="Diferenciado",BDI!$E$17,0))</f>
        <v>0.2039</v>
      </c>
      <c r="H3013" s="151">
        <f t="shared" ca="1" si="138"/>
        <v>38.9</v>
      </c>
      <c r="I3013" s="152">
        <f t="shared" ca="1" si="139"/>
        <v>0</v>
      </c>
      <c r="J3013" s="154"/>
      <c r="K3013" s="155" t="s">
        <v>2966</v>
      </c>
    </row>
    <row r="3014" spans="1:11" hidden="1" x14ac:dyDescent="0.25">
      <c r="A3014" s="148" t="s">
        <v>1698</v>
      </c>
      <c r="B3014" s="149" t="s">
        <v>7846</v>
      </c>
      <c r="C3014" s="150" t="s">
        <v>18</v>
      </c>
      <c r="D3014" s="150">
        <v>0</v>
      </c>
      <c r="E3014" s="151">
        <f ca="1">OFFSET(INDEX(Composições!A:H,MATCH(Orçamentária!A3014,Composições!A:A,0),8),2,0)</f>
        <v>34.551499999999997</v>
      </c>
      <c r="F3014" s="152">
        <f t="shared" ca="1" si="140"/>
        <v>0</v>
      </c>
      <c r="G3014" s="153">
        <f>IF($K3014="Padrão",BDI!$B$17,IF($K3014="Diferenciado",BDI!$E$17,0))</f>
        <v>0.2039</v>
      </c>
      <c r="H3014" s="151">
        <f t="shared" ref="H3014:H3077" ca="1" si="141">IF(ISNUMBER(E3014),ROUND(E3014*(1+G3014),2),"")</f>
        <v>41.6</v>
      </c>
      <c r="I3014" s="152">
        <f t="shared" ref="I3014:I3077" ca="1" si="142">IF(ISNUMBER(E3014),ROUND(H3014*D3014,2),"")</f>
        <v>0</v>
      </c>
      <c r="J3014" s="154"/>
      <c r="K3014" s="155" t="s">
        <v>2966</v>
      </c>
    </row>
    <row r="3015" spans="1:11" hidden="1" x14ac:dyDescent="0.25">
      <c r="A3015" s="148" t="s">
        <v>7847</v>
      </c>
      <c r="B3015" s="149" t="s">
        <v>7848</v>
      </c>
      <c r="C3015" s="150" t="s">
        <v>18</v>
      </c>
      <c r="D3015" s="150">
        <v>0</v>
      </c>
      <c r="E3015" s="151" t="s">
        <v>13</v>
      </c>
      <c r="F3015" s="152" t="str">
        <f t="shared" ref="F3015:F3078" si="143">IF(ISNUMBER(E3015),D3015*E3015,"")</f>
        <v/>
      </c>
      <c r="G3015" s="153">
        <f>IF($K3015="Padrão",BDI!$B$17,IF($K3015="Diferenciado",BDI!$E$17,0))</f>
        <v>0.2039</v>
      </c>
      <c r="H3015" s="151" t="str">
        <f t="shared" si="141"/>
        <v/>
      </c>
      <c r="I3015" s="152" t="str">
        <f t="shared" si="142"/>
        <v/>
      </c>
      <c r="J3015" s="154"/>
      <c r="K3015" s="155" t="s">
        <v>2966</v>
      </c>
    </row>
    <row r="3016" spans="1:11" hidden="1" x14ac:dyDescent="0.25">
      <c r="A3016" s="148" t="s">
        <v>7849</v>
      </c>
      <c r="B3016" s="149" t="s">
        <v>7850</v>
      </c>
      <c r="C3016" s="150" t="s">
        <v>18</v>
      </c>
      <c r="D3016" s="150">
        <v>0</v>
      </c>
      <c r="E3016" s="151" t="s">
        <v>13</v>
      </c>
      <c r="F3016" s="152" t="str">
        <f t="shared" si="143"/>
        <v/>
      </c>
      <c r="G3016" s="153">
        <f>IF($K3016="Padrão",BDI!$B$17,IF($K3016="Diferenciado",BDI!$E$17,0))</f>
        <v>0.2039</v>
      </c>
      <c r="H3016" s="151" t="str">
        <f t="shared" si="141"/>
        <v/>
      </c>
      <c r="I3016" s="152" t="str">
        <f t="shared" si="142"/>
        <v/>
      </c>
      <c r="J3016" s="154"/>
      <c r="K3016" s="155" t="s">
        <v>2966</v>
      </c>
    </row>
    <row r="3017" spans="1:11" hidden="1" x14ac:dyDescent="0.25">
      <c r="A3017" s="148" t="s">
        <v>7851</v>
      </c>
      <c r="B3017" s="149" t="s">
        <v>7852</v>
      </c>
      <c r="C3017" s="150" t="s">
        <v>68</v>
      </c>
      <c r="D3017" s="150">
        <v>0</v>
      </c>
      <c r="E3017" s="151" t="s">
        <v>13</v>
      </c>
      <c r="F3017" s="152" t="str">
        <f t="shared" si="143"/>
        <v/>
      </c>
      <c r="G3017" s="153">
        <f>IF($K3017="Padrão",BDI!$B$17,IF($K3017="Diferenciado",BDI!$E$17,0))</f>
        <v>0.2039</v>
      </c>
      <c r="H3017" s="151" t="str">
        <f t="shared" si="141"/>
        <v/>
      </c>
      <c r="I3017" s="152" t="str">
        <f t="shared" si="142"/>
        <v/>
      </c>
      <c r="J3017" s="154"/>
      <c r="K3017" s="155" t="s">
        <v>2966</v>
      </c>
    </row>
    <row r="3018" spans="1:11" hidden="1" x14ac:dyDescent="0.25">
      <c r="A3018" s="148" t="s">
        <v>1699</v>
      </c>
      <c r="B3018" s="149" t="s">
        <v>7853</v>
      </c>
      <c r="C3018" s="150" t="s">
        <v>106</v>
      </c>
      <c r="D3018" s="150">
        <v>0</v>
      </c>
      <c r="E3018" s="151">
        <f ca="1">OFFSET(INDEX(Composições!A:H,MATCH(Orçamentária!A3018,Composições!A:A,0),8),2,0)</f>
        <v>10.164999999999999</v>
      </c>
      <c r="F3018" s="152">
        <f t="shared" ca="1" si="143"/>
        <v>0</v>
      </c>
      <c r="G3018" s="153">
        <f>IF($K3018="Padrão",BDI!$B$17,IF($K3018="Diferenciado",BDI!$E$17,0))</f>
        <v>0.2039</v>
      </c>
      <c r="H3018" s="151">
        <f t="shared" ca="1" si="141"/>
        <v>12.24</v>
      </c>
      <c r="I3018" s="152">
        <f t="shared" ca="1" si="142"/>
        <v>0</v>
      </c>
      <c r="J3018" s="154"/>
      <c r="K3018" s="155" t="s">
        <v>2966</v>
      </c>
    </row>
    <row r="3019" spans="1:11" hidden="1" x14ac:dyDescent="0.25">
      <c r="A3019" s="148" t="s">
        <v>1700</v>
      </c>
      <c r="B3019" s="149" t="s">
        <v>7854</v>
      </c>
      <c r="C3019" s="150" t="s">
        <v>106</v>
      </c>
      <c r="D3019" s="150">
        <v>0</v>
      </c>
      <c r="E3019" s="151">
        <f ca="1">OFFSET(INDEX(Composições!A:H,MATCH(Orçamentária!A3019,Composições!A:A,0),8),2,0)</f>
        <v>45.457499999999996</v>
      </c>
      <c r="F3019" s="152">
        <f t="shared" ca="1" si="143"/>
        <v>0</v>
      </c>
      <c r="G3019" s="153">
        <f>IF($K3019="Padrão",BDI!$B$17,IF($K3019="Diferenciado",BDI!$E$17,0))</f>
        <v>0.2039</v>
      </c>
      <c r="H3019" s="151">
        <f t="shared" ca="1" si="141"/>
        <v>54.73</v>
      </c>
      <c r="I3019" s="152">
        <f t="shared" ca="1" si="142"/>
        <v>0</v>
      </c>
      <c r="J3019" s="154"/>
      <c r="K3019" s="155" t="s">
        <v>2966</v>
      </c>
    </row>
    <row r="3020" spans="1:11" hidden="1" x14ac:dyDescent="0.25">
      <c r="A3020" s="148" t="s">
        <v>1701</v>
      </c>
      <c r="B3020" s="149" t="s">
        <v>7855</v>
      </c>
      <c r="C3020" s="150" t="s">
        <v>18</v>
      </c>
      <c r="D3020" s="150">
        <v>0</v>
      </c>
      <c r="E3020" s="151">
        <f ca="1">OFFSET(INDEX(Composições!A:H,MATCH(Orçamentária!A3020,Composições!A:A,0),8),2,0)</f>
        <v>25.298499999999997</v>
      </c>
      <c r="F3020" s="152">
        <f t="shared" ca="1" si="143"/>
        <v>0</v>
      </c>
      <c r="G3020" s="153">
        <f>IF($K3020="Padrão",BDI!$B$17,IF($K3020="Diferenciado",BDI!$E$17,0))</f>
        <v>0.2039</v>
      </c>
      <c r="H3020" s="151">
        <f t="shared" ca="1" si="141"/>
        <v>30.46</v>
      </c>
      <c r="I3020" s="152">
        <f t="shared" ca="1" si="142"/>
        <v>0</v>
      </c>
      <c r="J3020" s="154"/>
      <c r="K3020" s="155" t="s">
        <v>2966</v>
      </c>
    </row>
    <row r="3021" spans="1:11" hidden="1" x14ac:dyDescent="0.25">
      <c r="A3021" s="148" t="s">
        <v>7856</v>
      </c>
      <c r="B3021" s="149" t="s">
        <v>7857</v>
      </c>
      <c r="C3021" s="150" t="s">
        <v>18</v>
      </c>
      <c r="D3021" s="150">
        <v>0</v>
      </c>
      <c r="E3021" s="151" t="s">
        <v>13</v>
      </c>
      <c r="F3021" s="152" t="str">
        <f t="shared" si="143"/>
        <v/>
      </c>
      <c r="G3021" s="153">
        <f>IF($K3021="Padrão",BDI!$B$17,IF($K3021="Diferenciado",BDI!$E$17,0))</f>
        <v>0.2039</v>
      </c>
      <c r="H3021" s="151" t="str">
        <f t="shared" si="141"/>
        <v/>
      </c>
      <c r="I3021" s="152" t="str">
        <f t="shared" si="142"/>
        <v/>
      </c>
      <c r="J3021" s="154"/>
      <c r="K3021" s="155" t="s">
        <v>2966</v>
      </c>
    </row>
    <row r="3022" spans="1:11" hidden="1" x14ac:dyDescent="0.25">
      <c r="A3022" s="148" t="s">
        <v>1702</v>
      </c>
      <c r="B3022" s="149" t="s">
        <v>7858</v>
      </c>
      <c r="C3022" s="150" t="s">
        <v>18</v>
      </c>
      <c r="D3022" s="150">
        <v>0</v>
      </c>
      <c r="E3022" s="151">
        <f ca="1">OFFSET(INDEX(Composições!A:H,MATCH(Orçamentária!A3022,Composições!A:A,0),8),2,0)</f>
        <v>10.715999999999999</v>
      </c>
      <c r="F3022" s="152">
        <f t="shared" ca="1" si="143"/>
        <v>0</v>
      </c>
      <c r="G3022" s="153">
        <f>IF($K3022="Padrão",BDI!$B$17,IF($K3022="Diferenciado",BDI!$E$17,0))</f>
        <v>0.2039</v>
      </c>
      <c r="H3022" s="151">
        <f t="shared" ca="1" si="141"/>
        <v>12.9</v>
      </c>
      <c r="I3022" s="152">
        <f t="shared" ca="1" si="142"/>
        <v>0</v>
      </c>
      <c r="J3022" s="154"/>
      <c r="K3022" s="155" t="s">
        <v>2966</v>
      </c>
    </row>
    <row r="3023" spans="1:11" hidden="1" x14ac:dyDescent="0.25">
      <c r="A3023" s="148" t="s">
        <v>7859</v>
      </c>
      <c r="B3023" s="149" t="s">
        <v>7860</v>
      </c>
      <c r="C3023" s="150" t="s">
        <v>18</v>
      </c>
      <c r="D3023" s="150">
        <v>0</v>
      </c>
      <c r="E3023" s="151" t="s">
        <v>13</v>
      </c>
      <c r="F3023" s="152" t="str">
        <f t="shared" si="143"/>
        <v/>
      </c>
      <c r="G3023" s="153">
        <f>IF($K3023="Padrão",BDI!$B$17,IF($K3023="Diferenciado",BDI!$E$17,0))</f>
        <v>0.2039</v>
      </c>
      <c r="H3023" s="151" t="str">
        <f t="shared" si="141"/>
        <v/>
      </c>
      <c r="I3023" s="152" t="str">
        <f t="shared" si="142"/>
        <v/>
      </c>
      <c r="J3023" s="154"/>
      <c r="K3023" s="155" t="s">
        <v>2966</v>
      </c>
    </row>
    <row r="3024" spans="1:11" hidden="1" x14ac:dyDescent="0.25">
      <c r="A3024" s="148" t="s">
        <v>1703</v>
      </c>
      <c r="B3024" s="149" t="s">
        <v>7861</v>
      </c>
      <c r="C3024" s="150" t="s">
        <v>18</v>
      </c>
      <c r="D3024" s="150">
        <v>0</v>
      </c>
      <c r="E3024" s="151">
        <f ca="1">OFFSET(INDEX(Composições!A:H,MATCH(Orçamentária!A3024,Composições!A:A,0),8),2,0)</f>
        <v>8.5879999999999992</v>
      </c>
      <c r="F3024" s="152">
        <f t="shared" ca="1" si="143"/>
        <v>0</v>
      </c>
      <c r="G3024" s="153">
        <f>IF($K3024="Padrão",BDI!$B$17,IF($K3024="Diferenciado",BDI!$E$17,0))</f>
        <v>0.2039</v>
      </c>
      <c r="H3024" s="151">
        <f t="shared" ca="1" si="141"/>
        <v>10.34</v>
      </c>
      <c r="I3024" s="152">
        <f t="shared" ca="1" si="142"/>
        <v>0</v>
      </c>
      <c r="J3024" s="154"/>
      <c r="K3024" s="155" t="s">
        <v>2966</v>
      </c>
    </row>
    <row r="3025" spans="1:11" hidden="1" x14ac:dyDescent="0.25">
      <c r="A3025" s="148" t="s">
        <v>1704</v>
      </c>
      <c r="B3025" s="149" t="s">
        <v>7862</v>
      </c>
      <c r="C3025" s="150" t="s">
        <v>18</v>
      </c>
      <c r="D3025" s="150">
        <v>0</v>
      </c>
      <c r="E3025" s="151">
        <f ca="1">OFFSET(INDEX(Composições!A:H,MATCH(Orçamentária!A3025,Composições!A:A,0),8),2,0)</f>
        <v>5.8805000000000005</v>
      </c>
      <c r="F3025" s="152">
        <f t="shared" ca="1" si="143"/>
        <v>0</v>
      </c>
      <c r="G3025" s="153">
        <f>IF($K3025="Padrão",BDI!$B$17,IF($K3025="Diferenciado",BDI!$E$17,0))</f>
        <v>0.2039</v>
      </c>
      <c r="H3025" s="151">
        <f t="shared" ca="1" si="141"/>
        <v>7.08</v>
      </c>
      <c r="I3025" s="152">
        <f t="shared" ca="1" si="142"/>
        <v>0</v>
      </c>
      <c r="J3025" s="154"/>
      <c r="K3025" s="155" t="s">
        <v>2966</v>
      </c>
    </row>
    <row r="3026" spans="1:11" hidden="1" x14ac:dyDescent="0.25">
      <c r="A3026" s="148" t="s">
        <v>1705</v>
      </c>
      <c r="B3026" s="149" t="s">
        <v>7863</v>
      </c>
      <c r="C3026" s="150" t="s">
        <v>18</v>
      </c>
      <c r="D3026" s="150">
        <v>0</v>
      </c>
      <c r="E3026" s="151">
        <f ca="1">OFFSET(INDEX(Composições!A:H,MATCH(Orçamentária!A3026,Composições!A:A,0),8),2,0)</f>
        <v>13.071999999999999</v>
      </c>
      <c r="F3026" s="152">
        <f t="shared" ca="1" si="143"/>
        <v>0</v>
      </c>
      <c r="G3026" s="153">
        <f>IF($K3026="Padrão",BDI!$B$17,IF($K3026="Diferenciado",BDI!$E$17,0))</f>
        <v>0.2039</v>
      </c>
      <c r="H3026" s="151">
        <f t="shared" ca="1" si="141"/>
        <v>15.74</v>
      </c>
      <c r="I3026" s="152">
        <f t="shared" ca="1" si="142"/>
        <v>0</v>
      </c>
      <c r="J3026" s="154"/>
      <c r="K3026" s="155" t="s">
        <v>2966</v>
      </c>
    </row>
    <row r="3027" spans="1:11" hidden="1" x14ac:dyDescent="0.25">
      <c r="A3027" s="148" t="s">
        <v>1706</v>
      </c>
      <c r="B3027" s="149" t="s">
        <v>7864</v>
      </c>
      <c r="C3027" s="150" t="s">
        <v>18</v>
      </c>
      <c r="D3027" s="150">
        <v>0</v>
      </c>
      <c r="E3027" s="151">
        <f ca="1">OFFSET(INDEX(Composições!A:H,MATCH(Orçamentária!A3027,Composições!A:A,0),8),2,0)</f>
        <v>255.56899999999996</v>
      </c>
      <c r="F3027" s="152">
        <f t="shared" ca="1" si="143"/>
        <v>0</v>
      </c>
      <c r="G3027" s="153">
        <f>IF($K3027="Padrão",BDI!$B$17,IF($K3027="Diferenciado",BDI!$E$17,0))</f>
        <v>0.2039</v>
      </c>
      <c r="H3027" s="151">
        <f t="shared" ca="1" si="141"/>
        <v>307.68</v>
      </c>
      <c r="I3027" s="152">
        <f t="shared" ca="1" si="142"/>
        <v>0</v>
      </c>
      <c r="J3027" s="154"/>
      <c r="K3027" s="155" t="s">
        <v>2966</v>
      </c>
    </row>
    <row r="3028" spans="1:11" hidden="1" x14ac:dyDescent="0.25">
      <c r="A3028" s="148" t="s">
        <v>1707</v>
      </c>
      <c r="B3028" s="149" t="s">
        <v>7865</v>
      </c>
      <c r="C3028" s="150" t="s">
        <v>18</v>
      </c>
      <c r="D3028" s="150">
        <v>0</v>
      </c>
      <c r="E3028" s="151">
        <f ca="1">OFFSET(INDEX(Composições!A:H,MATCH(Orçamentária!A3028,Composições!A:A,0),8),2,0)</f>
        <v>137.17049999999998</v>
      </c>
      <c r="F3028" s="152">
        <f t="shared" ca="1" si="143"/>
        <v>0</v>
      </c>
      <c r="G3028" s="153">
        <f>IF($K3028="Padrão",BDI!$B$17,IF($K3028="Diferenciado",BDI!$E$17,0))</f>
        <v>0.2039</v>
      </c>
      <c r="H3028" s="151">
        <f t="shared" ca="1" si="141"/>
        <v>165.14</v>
      </c>
      <c r="I3028" s="152">
        <f t="shared" ca="1" si="142"/>
        <v>0</v>
      </c>
      <c r="J3028" s="154"/>
      <c r="K3028" s="155" t="s">
        <v>2966</v>
      </c>
    </row>
    <row r="3029" spans="1:11" hidden="1" x14ac:dyDescent="0.25">
      <c r="A3029" s="148" t="s">
        <v>1708</v>
      </c>
      <c r="B3029" s="149" t="s">
        <v>7866</v>
      </c>
      <c r="C3029" s="150" t="s">
        <v>18</v>
      </c>
      <c r="D3029" s="150">
        <v>0</v>
      </c>
      <c r="E3029" s="151">
        <f ca="1">OFFSET(INDEX(Composições!A:H,MATCH(Orçamentária!A3029,Composições!A:A,0),8),2,0)</f>
        <v>403.97800000000001</v>
      </c>
      <c r="F3029" s="152">
        <f t="shared" ca="1" si="143"/>
        <v>0</v>
      </c>
      <c r="G3029" s="153">
        <f>IF($K3029="Padrão",BDI!$B$17,IF($K3029="Diferenciado",BDI!$E$17,0))</f>
        <v>0.2039</v>
      </c>
      <c r="H3029" s="151">
        <f t="shared" ca="1" si="141"/>
        <v>486.35</v>
      </c>
      <c r="I3029" s="152">
        <f t="shared" ca="1" si="142"/>
        <v>0</v>
      </c>
      <c r="J3029" s="154"/>
      <c r="K3029" s="155" t="s">
        <v>2966</v>
      </c>
    </row>
    <row r="3030" spans="1:11" hidden="1" x14ac:dyDescent="0.25">
      <c r="A3030" s="148" t="s">
        <v>1709</v>
      </c>
      <c r="B3030" s="149" t="s">
        <v>7867</v>
      </c>
      <c r="C3030" s="150" t="s">
        <v>18</v>
      </c>
      <c r="D3030" s="150">
        <v>0</v>
      </c>
      <c r="E3030" s="151">
        <f ca="1">OFFSET(INDEX(Composições!A:H,MATCH(Orçamentária!A3030,Composições!A:A,0),8),2,0)</f>
        <v>38.142499999999998</v>
      </c>
      <c r="F3030" s="152">
        <f t="shared" ca="1" si="143"/>
        <v>0</v>
      </c>
      <c r="G3030" s="153">
        <f>IF($K3030="Padrão",BDI!$B$17,IF($K3030="Diferenciado",BDI!$E$17,0))</f>
        <v>0.2039</v>
      </c>
      <c r="H3030" s="151">
        <f t="shared" ca="1" si="141"/>
        <v>45.92</v>
      </c>
      <c r="I3030" s="152">
        <f t="shared" ca="1" si="142"/>
        <v>0</v>
      </c>
      <c r="J3030" s="154"/>
      <c r="K3030" s="155" t="s">
        <v>2966</v>
      </c>
    </row>
    <row r="3031" spans="1:11" hidden="1" x14ac:dyDescent="0.25">
      <c r="A3031" s="148" t="s">
        <v>1710</v>
      </c>
      <c r="B3031" s="149" t="s">
        <v>7868</v>
      </c>
      <c r="C3031" s="150" t="s">
        <v>18</v>
      </c>
      <c r="D3031" s="150">
        <v>0</v>
      </c>
      <c r="E3031" s="151">
        <f ca="1">OFFSET(INDEX(Composições!A:H,MATCH(Orçamentária!A3031,Composições!A:A,0),8),2,0)</f>
        <v>15.599</v>
      </c>
      <c r="F3031" s="152">
        <f t="shared" ca="1" si="143"/>
        <v>0</v>
      </c>
      <c r="G3031" s="153">
        <f>IF($K3031="Padrão",BDI!$B$17,IF($K3031="Diferenciado",BDI!$E$17,0))</f>
        <v>0.2039</v>
      </c>
      <c r="H3031" s="151">
        <f t="shared" ca="1" si="141"/>
        <v>18.78</v>
      </c>
      <c r="I3031" s="152">
        <f t="shared" ca="1" si="142"/>
        <v>0</v>
      </c>
      <c r="J3031" s="154"/>
      <c r="K3031" s="155" t="s">
        <v>2966</v>
      </c>
    </row>
    <row r="3032" spans="1:11" hidden="1" x14ac:dyDescent="0.25">
      <c r="A3032" s="148" t="s">
        <v>1711</v>
      </c>
      <c r="B3032" s="149" t="s">
        <v>7869</v>
      </c>
      <c r="C3032" s="150" t="s">
        <v>18</v>
      </c>
      <c r="D3032" s="150">
        <v>0</v>
      </c>
      <c r="E3032" s="151">
        <f ca="1">OFFSET(INDEX(Composições!A:H,MATCH(Orçamentária!A3032,Composições!A:A,0),8),2,0)</f>
        <v>20.766999999999999</v>
      </c>
      <c r="F3032" s="152">
        <f t="shared" ca="1" si="143"/>
        <v>0</v>
      </c>
      <c r="G3032" s="153">
        <f>IF($K3032="Padrão",BDI!$B$17,IF($K3032="Diferenciado",BDI!$E$17,0))</f>
        <v>0.2039</v>
      </c>
      <c r="H3032" s="151">
        <f t="shared" ca="1" si="141"/>
        <v>25</v>
      </c>
      <c r="I3032" s="152">
        <f t="shared" ca="1" si="142"/>
        <v>0</v>
      </c>
      <c r="J3032" s="154"/>
      <c r="K3032" s="155" t="s">
        <v>2966</v>
      </c>
    </row>
    <row r="3033" spans="1:11" ht="25.5" hidden="1" x14ac:dyDescent="0.25">
      <c r="A3033" s="148" t="s">
        <v>1712</v>
      </c>
      <c r="B3033" s="149" t="s">
        <v>7870</v>
      </c>
      <c r="C3033" s="150" t="s">
        <v>18</v>
      </c>
      <c r="D3033" s="150">
        <v>0</v>
      </c>
      <c r="E3033" s="151">
        <f ca="1">OFFSET(INDEX(Composições!A:H,MATCH(Orçamentária!A3033,Composições!A:A,0),8),2,0)</f>
        <v>68.59</v>
      </c>
      <c r="F3033" s="152">
        <f t="shared" ca="1" si="143"/>
        <v>0</v>
      </c>
      <c r="G3033" s="153">
        <f>IF($K3033="Padrão",BDI!$B$17,IF($K3033="Diferenciado",BDI!$E$17,0))</f>
        <v>0.2039</v>
      </c>
      <c r="H3033" s="151">
        <f t="shared" ca="1" si="141"/>
        <v>82.58</v>
      </c>
      <c r="I3033" s="152">
        <f t="shared" ca="1" si="142"/>
        <v>0</v>
      </c>
      <c r="J3033" s="154"/>
      <c r="K3033" s="155" t="s">
        <v>2966</v>
      </c>
    </row>
    <row r="3034" spans="1:11" ht="25.5" hidden="1" x14ac:dyDescent="0.25">
      <c r="A3034" s="148" t="s">
        <v>1713</v>
      </c>
      <c r="B3034" s="149" t="s">
        <v>7871</v>
      </c>
      <c r="C3034" s="150" t="s">
        <v>18</v>
      </c>
      <c r="D3034" s="150">
        <v>0</v>
      </c>
      <c r="E3034" s="151">
        <f ca="1">OFFSET(INDEX(Composições!A:H,MATCH(Orçamentária!A3034,Composições!A:A,0),8),2,0)</f>
        <v>91.96</v>
      </c>
      <c r="F3034" s="152">
        <f t="shared" ca="1" si="143"/>
        <v>0</v>
      </c>
      <c r="G3034" s="153">
        <f>IF($K3034="Padrão",BDI!$B$17,IF($K3034="Diferenciado",BDI!$E$17,0))</f>
        <v>0.2039</v>
      </c>
      <c r="H3034" s="151">
        <f t="shared" ca="1" si="141"/>
        <v>110.71</v>
      </c>
      <c r="I3034" s="152">
        <f t="shared" ca="1" si="142"/>
        <v>0</v>
      </c>
      <c r="J3034" s="154"/>
      <c r="K3034" s="155" t="s">
        <v>2966</v>
      </c>
    </row>
    <row r="3035" spans="1:11" hidden="1" x14ac:dyDescent="0.25">
      <c r="A3035" s="148" t="s">
        <v>1714</v>
      </c>
      <c r="B3035" s="149" t="s">
        <v>7872</v>
      </c>
      <c r="C3035" s="150" t="s">
        <v>18</v>
      </c>
      <c r="D3035" s="150">
        <v>0</v>
      </c>
      <c r="E3035" s="151">
        <f ca="1">OFFSET(INDEX(Composições!A:H,MATCH(Orçamentária!A3035,Composições!A:A,0),8),2,0)</f>
        <v>100.86149999999999</v>
      </c>
      <c r="F3035" s="152">
        <f t="shared" ca="1" si="143"/>
        <v>0</v>
      </c>
      <c r="G3035" s="153">
        <f>IF($K3035="Padrão",BDI!$B$17,IF($K3035="Diferenciado",BDI!$E$17,0))</f>
        <v>0.2039</v>
      </c>
      <c r="H3035" s="151">
        <f t="shared" ca="1" si="141"/>
        <v>121.43</v>
      </c>
      <c r="I3035" s="152">
        <f t="shared" ca="1" si="142"/>
        <v>0</v>
      </c>
      <c r="J3035" s="154"/>
      <c r="K3035" s="155" t="s">
        <v>2966</v>
      </c>
    </row>
    <row r="3036" spans="1:11" hidden="1" x14ac:dyDescent="0.25">
      <c r="A3036" s="148" t="s">
        <v>1715</v>
      </c>
      <c r="B3036" s="149" t="s">
        <v>7873</v>
      </c>
      <c r="C3036" s="150" t="s">
        <v>18</v>
      </c>
      <c r="D3036" s="150">
        <v>0</v>
      </c>
      <c r="E3036" s="151">
        <f ca="1">OFFSET(INDEX(Composições!A:H,MATCH(Orçamentária!A3036,Composições!A:A,0),8),2,0)</f>
        <v>258.53299999999996</v>
      </c>
      <c r="F3036" s="152">
        <f t="shared" ca="1" si="143"/>
        <v>0</v>
      </c>
      <c r="G3036" s="153">
        <f>IF($K3036="Padrão",BDI!$B$17,IF($K3036="Diferenciado",BDI!$E$17,0))</f>
        <v>0.2039</v>
      </c>
      <c r="H3036" s="151">
        <f t="shared" ca="1" si="141"/>
        <v>311.25</v>
      </c>
      <c r="I3036" s="152">
        <f t="shared" ca="1" si="142"/>
        <v>0</v>
      </c>
      <c r="J3036" s="154"/>
      <c r="K3036" s="155" t="s">
        <v>2966</v>
      </c>
    </row>
    <row r="3037" spans="1:11" hidden="1" x14ac:dyDescent="0.25">
      <c r="A3037" s="148" t="s">
        <v>1716</v>
      </c>
      <c r="B3037" s="149" t="s">
        <v>7874</v>
      </c>
      <c r="C3037" s="150" t="s">
        <v>18</v>
      </c>
      <c r="D3037" s="150">
        <v>0</v>
      </c>
      <c r="E3037" s="151">
        <f ca="1">OFFSET(INDEX(Composições!A:H,MATCH(Orçamentária!A3037,Composições!A:A,0),8),2,0)</f>
        <v>362.93799999999999</v>
      </c>
      <c r="F3037" s="152">
        <f t="shared" ca="1" si="143"/>
        <v>0</v>
      </c>
      <c r="G3037" s="153">
        <f>IF($K3037="Padrão",BDI!$B$17,IF($K3037="Diferenciado",BDI!$E$17,0))</f>
        <v>0.2039</v>
      </c>
      <c r="H3037" s="151">
        <f t="shared" ca="1" si="141"/>
        <v>436.94</v>
      </c>
      <c r="I3037" s="152">
        <f t="shared" ca="1" si="142"/>
        <v>0</v>
      </c>
      <c r="J3037" s="154"/>
      <c r="K3037" s="155" t="s">
        <v>2966</v>
      </c>
    </row>
    <row r="3038" spans="1:11" hidden="1" x14ac:dyDescent="0.25">
      <c r="A3038" s="148" t="s">
        <v>1717</v>
      </c>
      <c r="B3038" s="149" t="s">
        <v>7875</v>
      </c>
      <c r="C3038" s="150" t="s">
        <v>18</v>
      </c>
      <c r="D3038" s="150">
        <v>0</v>
      </c>
      <c r="E3038" s="151">
        <f ca="1">OFFSET(INDEX(Composições!A:H,MATCH(Orçamentária!A3038,Composições!A:A,0),8),2,0)</f>
        <v>32.936500000000002</v>
      </c>
      <c r="F3038" s="152">
        <f t="shared" ca="1" si="143"/>
        <v>0</v>
      </c>
      <c r="G3038" s="153">
        <f>IF($K3038="Padrão",BDI!$B$17,IF($K3038="Diferenciado",BDI!$E$17,0))</f>
        <v>0.2039</v>
      </c>
      <c r="H3038" s="151">
        <f t="shared" ca="1" si="141"/>
        <v>39.65</v>
      </c>
      <c r="I3038" s="152">
        <f t="shared" ca="1" si="142"/>
        <v>0</v>
      </c>
      <c r="J3038" s="154"/>
      <c r="K3038" s="155" t="s">
        <v>2966</v>
      </c>
    </row>
    <row r="3039" spans="1:11" ht="25.5" hidden="1" x14ac:dyDescent="0.25">
      <c r="A3039" s="148" t="s">
        <v>1718</v>
      </c>
      <c r="B3039" s="149" t="s">
        <v>7876</v>
      </c>
      <c r="C3039" s="150" t="s">
        <v>18</v>
      </c>
      <c r="D3039" s="150">
        <v>0</v>
      </c>
      <c r="E3039" s="151">
        <f ca="1">OFFSET(INDEX(Composições!A:H,MATCH(Orçamentária!A3039,Composições!A:A,0),8),2,0)</f>
        <v>166.87699999999998</v>
      </c>
      <c r="F3039" s="152">
        <f t="shared" ca="1" si="143"/>
        <v>0</v>
      </c>
      <c r="G3039" s="153">
        <f>IF($K3039="Padrão",BDI!$B$17,IF($K3039="Diferenciado",BDI!$E$17,0))</f>
        <v>0.2039</v>
      </c>
      <c r="H3039" s="151">
        <f t="shared" ca="1" si="141"/>
        <v>200.9</v>
      </c>
      <c r="I3039" s="152">
        <f t="shared" ca="1" si="142"/>
        <v>0</v>
      </c>
      <c r="J3039" s="154"/>
      <c r="K3039" s="155" t="s">
        <v>2966</v>
      </c>
    </row>
    <row r="3040" spans="1:11" hidden="1" x14ac:dyDescent="0.25">
      <c r="A3040" s="148" t="s">
        <v>1719</v>
      </c>
      <c r="B3040" s="149" t="s">
        <v>7877</v>
      </c>
      <c r="C3040" s="150" t="s">
        <v>18</v>
      </c>
      <c r="D3040" s="150">
        <v>0</v>
      </c>
      <c r="E3040" s="151">
        <f ca="1">OFFSET(INDEX(Composições!A:H,MATCH(Orçamentária!A3040,Composições!A:A,0),8),2,0)</f>
        <v>41.476999999999997</v>
      </c>
      <c r="F3040" s="152">
        <f t="shared" ca="1" si="143"/>
        <v>0</v>
      </c>
      <c r="G3040" s="153">
        <f>IF($K3040="Padrão",BDI!$B$17,IF($K3040="Diferenciado",BDI!$E$17,0))</f>
        <v>0.2039</v>
      </c>
      <c r="H3040" s="151">
        <f t="shared" ca="1" si="141"/>
        <v>49.93</v>
      </c>
      <c r="I3040" s="152">
        <f t="shared" ca="1" si="142"/>
        <v>0</v>
      </c>
      <c r="J3040" s="154"/>
      <c r="K3040" s="155" t="s">
        <v>2966</v>
      </c>
    </row>
    <row r="3041" spans="1:11" hidden="1" x14ac:dyDescent="0.25">
      <c r="A3041" s="148" t="s">
        <v>1720</v>
      </c>
      <c r="B3041" s="149" t="s">
        <v>7878</v>
      </c>
      <c r="C3041" s="150" t="s">
        <v>18</v>
      </c>
      <c r="D3041" s="150">
        <v>0</v>
      </c>
      <c r="E3041" s="151">
        <f ca="1">OFFSET(INDEX(Composições!A:H,MATCH(Orçamentária!A3041,Composições!A:A,0),8),2,0)</f>
        <v>9.3290000000000006</v>
      </c>
      <c r="F3041" s="152">
        <f t="shared" ca="1" si="143"/>
        <v>0</v>
      </c>
      <c r="G3041" s="153">
        <f>IF($K3041="Padrão",BDI!$B$17,IF($K3041="Diferenciado",BDI!$E$17,0))</f>
        <v>0.2039</v>
      </c>
      <c r="H3041" s="151">
        <f t="shared" ca="1" si="141"/>
        <v>11.23</v>
      </c>
      <c r="I3041" s="152">
        <f t="shared" ca="1" si="142"/>
        <v>0</v>
      </c>
      <c r="J3041" s="154"/>
      <c r="K3041" s="155" t="s">
        <v>2966</v>
      </c>
    </row>
    <row r="3042" spans="1:11" hidden="1" x14ac:dyDescent="0.25">
      <c r="A3042" s="148" t="s">
        <v>1721</v>
      </c>
      <c r="B3042" s="149" t="s">
        <v>7879</v>
      </c>
      <c r="C3042" s="150" t="s">
        <v>18</v>
      </c>
      <c r="D3042" s="150">
        <v>0</v>
      </c>
      <c r="E3042" s="151">
        <f ca="1">OFFSET(INDEX(Composições!A:H,MATCH(Orçamentária!A3042,Composições!A:A,0),8),2,0)</f>
        <v>124.735</v>
      </c>
      <c r="F3042" s="152">
        <f t="shared" ca="1" si="143"/>
        <v>0</v>
      </c>
      <c r="G3042" s="153">
        <f>IF($K3042="Padrão",BDI!$B$17,IF($K3042="Diferenciado",BDI!$E$17,0))</f>
        <v>0.2039</v>
      </c>
      <c r="H3042" s="151">
        <f t="shared" ca="1" si="141"/>
        <v>150.16999999999999</v>
      </c>
      <c r="I3042" s="152">
        <f t="shared" ca="1" si="142"/>
        <v>0</v>
      </c>
      <c r="J3042" s="154"/>
      <c r="K3042" s="155" t="s">
        <v>2966</v>
      </c>
    </row>
    <row r="3043" spans="1:11" hidden="1" x14ac:dyDescent="0.25">
      <c r="A3043" s="148" t="s">
        <v>1722</v>
      </c>
      <c r="B3043" s="149" t="s">
        <v>7880</v>
      </c>
      <c r="C3043" s="150" t="s">
        <v>18</v>
      </c>
      <c r="D3043" s="150">
        <v>0</v>
      </c>
      <c r="E3043" s="151">
        <f ca="1">OFFSET(INDEX(Composições!A:H,MATCH(Orçamentária!A3043,Composições!A:A,0),8),2,0)</f>
        <v>65.692499999999995</v>
      </c>
      <c r="F3043" s="152">
        <f t="shared" ca="1" si="143"/>
        <v>0</v>
      </c>
      <c r="G3043" s="153">
        <f>IF($K3043="Padrão",BDI!$B$17,IF($K3043="Diferenciado",BDI!$E$17,0))</f>
        <v>0.2039</v>
      </c>
      <c r="H3043" s="151">
        <f t="shared" ca="1" si="141"/>
        <v>79.09</v>
      </c>
      <c r="I3043" s="152">
        <f t="shared" ca="1" si="142"/>
        <v>0</v>
      </c>
      <c r="J3043" s="154"/>
      <c r="K3043" s="155" t="s">
        <v>2966</v>
      </c>
    </row>
    <row r="3044" spans="1:11" hidden="1" x14ac:dyDescent="0.25">
      <c r="A3044" s="148" t="s">
        <v>1723</v>
      </c>
      <c r="B3044" s="149" t="s">
        <v>7881</v>
      </c>
      <c r="C3044" s="150" t="s">
        <v>18</v>
      </c>
      <c r="D3044" s="150">
        <v>0</v>
      </c>
      <c r="E3044" s="151">
        <f ca="1">OFFSET(INDEX(Composições!A:H,MATCH(Orçamentária!A3044,Composições!A:A,0),8),2,0)</f>
        <v>72.722499999999997</v>
      </c>
      <c r="F3044" s="152">
        <f t="shared" ca="1" si="143"/>
        <v>0</v>
      </c>
      <c r="G3044" s="153">
        <f>IF($K3044="Padrão",BDI!$B$17,IF($K3044="Diferenciado",BDI!$E$17,0))</f>
        <v>0.2039</v>
      </c>
      <c r="H3044" s="151">
        <f t="shared" ca="1" si="141"/>
        <v>87.55</v>
      </c>
      <c r="I3044" s="152">
        <f t="shared" ca="1" si="142"/>
        <v>0</v>
      </c>
      <c r="J3044" s="154"/>
      <c r="K3044" s="155" t="s">
        <v>2966</v>
      </c>
    </row>
    <row r="3045" spans="1:11" hidden="1" x14ac:dyDescent="0.25">
      <c r="A3045" s="148" t="s">
        <v>1724</v>
      </c>
      <c r="B3045" s="149" t="s">
        <v>7882</v>
      </c>
      <c r="C3045" s="150" t="s">
        <v>18</v>
      </c>
      <c r="D3045" s="150">
        <v>0</v>
      </c>
      <c r="E3045" s="151">
        <f ca="1">OFFSET(INDEX(Composições!A:H,MATCH(Orçamentária!A3045,Composições!A:A,0),8),2,0)</f>
        <v>4.6550000000000002</v>
      </c>
      <c r="F3045" s="152">
        <f t="shared" ca="1" si="143"/>
        <v>0</v>
      </c>
      <c r="G3045" s="153">
        <f>IF($K3045="Padrão",BDI!$B$17,IF($K3045="Diferenciado",BDI!$E$17,0))</f>
        <v>0.2039</v>
      </c>
      <c r="H3045" s="151">
        <f t="shared" ca="1" si="141"/>
        <v>5.6</v>
      </c>
      <c r="I3045" s="152">
        <f t="shared" ca="1" si="142"/>
        <v>0</v>
      </c>
      <c r="J3045" s="154"/>
      <c r="K3045" s="155" t="s">
        <v>2966</v>
      </c>
    </row>
    <row r="3046" spans="1:11" hidden="1" x14ac:dyDescent="0.25">
      <c r="A3046" s="148" t="s">
        <v>1725</v>
      </c>
      <c r="B3046" s="149" t="s">
        <v>7883</v>
      </c>
      <c r="C3046" s="150" t="s">
        <v>18</v>
      </c>
      <c r="D3046" s="150">
        <v>0</v>
      </c>
      <c r="E3046" s="151">
        <f ca="1">OFFSET(INDEX(Composições!A:H,MATCH(Orçamentária!A3046,Composições!A:A,0),8),2,0)</f>
        <v>9.3384999999999998</v>
      </c>
      <c r="F3046" s="152">
        <f t="shared" ca="1" si="143"/>
        <v>0</v>
      </c>
      <c r="G3046" s="153">
        <f>IF($K3046="Padrão",BDI!$B$17,IF($K3046="Diferenciado",BDI!$E$17,0))</f>
        <v>0.2039</v>
      </c>
      <c r="H3046" s="151">
        <f t="shared" ca="1" si="141"/>
        <v>11.24</v>
      </c>
      <c r="I3046" s="152">
        <f t="shared" ca="1" si="142"/>
        <v>0</v>
      </c>
      <c r="J3046" s="154"/>
      <c r="K3046" s="155" t="s">
        <v>2966</v>
      </c>
    </row>
    <row r="3047" spans="1:11" hidden="1" x14ac:dyDescent="0.25">
      <c r="A3047" s="148" t="s">
        <v>1726</v>
      </c>
      <c r="B3047" s="149" t="s">
        <v>7884</v>
      </c>
      <c r="C3047" s="150" t="s">
        <v>18</v>
      </c>
      <c r="D3047" s="150">
        <v>0</v>
      </c>
      <c r="E3047" s="151">
        <f ca="1">OFFSET(INDEX(Composições!A:H,MATCH(Orçamentária!A3047,Composições!A:A,0),8),2,0)</f>
        <v>2.2894999999999999</v>
      </c>
      <c r="F3047" s="152">
        <f t="shared" ca="1" si="143"/>
        <v>0</v>
      </c>
      <c r="G3047" s="153">
        <f>IF($K3047="Padrão",BDI!$B$17,IF($K3047="Diferenciado",BDI!$E$17,0))</f>
        <v>0.2039</v>
      </c>
      <c r="H3047" s="151">
        <f t="shared" ca="1" si="141"/>
        <v>2.76</v>
      </c>
      <c r="I3047" s="152">
        <f t="shared" ca="1" si="142"/>
        <v>0</v>
      </c>
      <c r="J3047" s="154"/>
      <c r="K3047" s="155" t="s">
        <v>2966</v>
      </c>
    </row>
    <row r="3048" spans="1:11" hidden="1" x14ac:dyDescent="0.25">
      <c r="A3048" s="148" t="s">
        <v>1727</v>
      </c>
      <c r="B3048" s="149" t="s">
        <v>7885</v>
      </c>
      <c r="C3048" s="150" t="s">
        <v>18</v>
      </c>
      <c r="D3048" s="150">
        <v>0</v>
      </c>
      <c r="E3048" s="151">
        <f ca="1">OFFSET(INDEX(Composições!A:H,MATCH(Orçamentária!A3048,Composições!A:A,0),8),2,0)</f>
        <v>5.1014999999999997</v>
      </c>
      <c r="F3048" s="152">
        <f t="shared" ca="1" si="143"/>
        <v>0</v>
      </c>
      <c r="G3048" s="153">
        <f>IF($K3048="Padrão",BDI!$B$17,IF($K3048="Diferenciado",BDI!$E$17,0))</f>
        <v>0.2039</v>
      </c>
      <c r="H3048" s="151">
        <f t="shared" ca="1" si="141"/>
        <v>6.14</v>
      </c>
      <c r="I3048" s="152">
        <f t="shared" ca="1" si="142"/>
        <v>0</v>
      </c>
      <c r="J3048" s="154"/>
      <c r="K3048" s="155" t="s">
        <v>2966</v>
      </c>
    </row>
    <row r="3049" spans="1:11" hidden="1" x14ac:dyDescent="0.25">
      <c r="A3049" s="148" t="s">
        <v>1728</v>
      </c>
      <c r="B3049" s="149" t="s">
        <v>7886</v>
      </c>
      <c r="C3049" s="150" t="s">
        <v>18</v>
      </c>
      <c r="D3049" s="150">
        <v>0</v>
      </c>
      <c r="E3049" s="151">
        <f ca="1">OFFSET(INDEX(Composições!A:H,MATCH(Orçamentária!A3049,Composições!A:A,0),8),2,0)</f>
        <v>13.3475</v>
      </c>
      <c r="F3049" s="152">
        <f t="shared" ca="1" si="143"/>
        <v>0</v>
      </c>
      <c r="G3049" s="153">
        <f>IF($K3049="Padrão",BDI!$B$17,IF($K3049="Diferenciado",BDI!$E$17,0))</f>
        <v>0.2039</v>
      </c>
      <c r="H3049" s="151">
        <f t="shared" ca="1" si="141"/>
        <v>16.07</v>
      </c>
      <c r="I3049" s="152">
        <f t="shared" ca="1" si="142"/>
        <v>0</v>
      </c>
      <c r="J3049" s="154"/>
      <c r="K3049" s="155" t="s">
        <v>2966</v>
      </c>
    </row>
    <row r="3050" spans="1:11" ht="25.5" hidden="1" x14ac:dyDescent="0.25">
      <c r="A3050" s="148" t="s">
        <v>1729</v>
      </c>
      <c r="B3050" s="149" t="s">
        <v>7887</v>
      </c>
      <c r="C3050" s="150" t="s">
        <v>18</v>
      </c>
      <c r="D3050" s="150">
        <v>0</v>
      </c>
      <c r="E3050" s="151">
        <f ca="1">OFFSET(INDEX(Composições!A:H,MATCH(Orçamentária!A3050,Composições!A:A,0),8),2,0)</f>
        <v>0</v>
      </c>
      <c r="F3050" s="152">
        <f t="shared" ca="1" si="143"/>
        <v>0</v>
      </c>
      <c r="G3050" s="153">
        <f>IF($K3050="Padrão",BDI!$B$17,IF($K3050="Diferenciado",BDI!$E$17,0))</f>
        <v>0.2039</v>
      </c>
      <c r="H3050" s="151">
        <f t="shared" ca="1" si="141"/>
        <v>0</v>
      </c>
      <c r="I3050" s="152">
        <f t="shared" ca="1" si="142"/>
        <v>0</v>
      </c>
      <c r="J3050" s="154"/>
      <c r="K3050" s="155" t="s">
        <v>2966</v>
      </c>
    </row>
    <row r="3051" spans="1:11" hidden="1" x14ac:dyDescent="0.25">
      <c r="A3051" s="148" t="s">
        <v>1731</v>
      </c>
      <c r="B3051" s="149" t="s">
        <v>7888</v>
      </c>
      <c r="C3051" s="150" t="s">
        <v>18</v>
      </c>
      <c r="D3051" s="150">
        <v>0</v>
      </c>
      <c r="E3051" s="151">
        <f ca="1">OFFSET(INDEX(Composições!A:H,MATCH(Orçamentária!A3051,Composições!A:A,0),8),2,0)</f>
        <v>14.905499999999998</v>
      </c>
      <c r="F3051" s="152">
        <f t="shared" ca="1" si="143"/>
        <v>0</v>
      </c>
      <c r="G3051" s="153">
        <f>IF($K3051="Padrão",BDI!$B$17,IF($K3051="Diferenciado",BDI!$E$17,0))</f>
        <v>0.2039</v>
      </c>
      <c r="H3051" s="151">
        <f t="shared" ca="1" si="141"/>
        <v>17.940000000000001</v>
      </c>
      <c r="I3051" s="152">
        <f t="shared" ca="1" si="142"/>
        <v>0</v>
      </c>
      <c r="J3051" s="154"/>
      <c r="K3051" s="155" t="s">
        <v>2966</v>
      </c>
    </row>
    <row r="3052" spans="1:11" hidden="1" x14ac:dyDescent="0.25">
      <c r="A3052" s="148" t="s">
        <v>1732</v>
      </c>
      <c r="B3052" s="149" t="s">
        <v>7889</v>
      </c>
      <c r="C3052" s="150" t="s">
        <v>18</v>
      </c>
      <c r="D3052" s="150">
        <v>0</v>
      </c>
      <c r="E3052" s="151">
        <f ca="1">OFFSET(INDEX(Composições!A:H,MATCH(Orçamentária!A3052,Composições!A:A,0),8),2,0)</f>
        <v>80.256</v>
      </c>
      <c r="F3052" s="152">
        <f t="shared" ca="1" si="143"/>
        <v>0</v>
      </c>
      <c r="G3052" s="153">
        <f>IF($K3052="Padrão",BDI!$B$17,IF($K3052="Diferenciado",BDI!$E$17,0))</f>
        <v>0.2039</v>
      </c>
      <c r="H3052" s="151">
        <f t="shared" ca="1" si="141"/>
        <v>96.62</v>
      </c>
      <c r="I3052" s="152">
        <f t="shared" ca="1" si="142"/>
        <v>0</v>
      </c>
      <c r="J3052" s="154"/>
      <c r="K3052" s="155" t="s">
        <v>2966</v>
      </c>
    </row>
    <row r="3053" spans="1:11" hidden="1" x14ac:dyDescent="0.25">
      <c r="A3053" s="148" t="s">
        <v>1733</v>
      </c>
      <c r="B3053" s="149" t="s">
        <v>7890</v>
      </c>
      <c r="C3053" s="150" t="s">
        <v>18</v>
      </c>
      <c r="D3053" s="150">
        <v>0</v>
      </c>
      <c r="E3053" s="151">
        <f ca="1">OFFSET(INDEX(Composições!A:H,MATCH(Orçamentária!A3053,Composições!A:A,0),8),2,0)</f>
        <v>192.98299999999998</v>
      </c>
      <c r="F3053" s="152">
        <f t="shared" ca="1" si="143"/>
        <v>0</v>
      </c>
      <c r="G3053" s="153">
        <f>IF($K3053="Padrão",BDI!$B$17,IF($K3053="Diferenciado",BDI!$E$17,0))</f>
        <v>0.2039</v>
      </c>
      <c r="H3053" s="151">
        <f t="shared" ca="1" si="141"/>
        <v>232.33</v>
      </c>
      <c r="I3053" s="152">
        <f t="shared" ca="1" si="142"/>
        <v>0</v>
      </c>
      <c r="J3053" s="154"/>
      <c r="K3053" s="155" t="s">
        <v>2966</v>
      </c>
    </row>
    <row r="3054" spans="1:11" hidden="1" x14ac:dyDescent="0.25">
      <c r="A3054" s="148" t="s">
        <v>7891</v>
      </c>
      <c r="B3054" s="149" t="s">
        <v>7892</v>
      </c>
      <c r="C3054" s="150" t="s">
        <v>106</v>
      </c>
      <c r="D3054" s="150">
        <v>0</v>
      </c>
      <c r="E3054" s="151" t="s">
        <v>13</v>
      </c>
      <c r="F3054" s="152" t="str">
        <f t="shared" si="143"/>
        <v/>
      </c>
      <c r="G3054" s="153">
        <f>IF($K3054="Padrão",BDI!$B$17,IF($K3054="Diferenciado",BDI!$E$17,0))</f>
        <v>0.2039</v>
      </c>
      <c r="H3054" s="151" t="str">
        <f t="shared" si="141"/>
        <v/>
      </c>
      <c r="I3054" s="152" t="str">
        <f t="shared" si="142"/>
        <v/>
      </c>
      <c r="J3054" s="154"/>
      <c r="K3054" s="155" t="s">
        <v>2966</v>
      </c>
    </row>
    <row r="3055" spans="1:11" hidden="1" x14ac:dyDescent="0.25">
      <c r="A3055" s="148" t="s">
        <v>7893</v>
      </c>
      <c r="B3055" s="149" t="s">
        <v>7894</v>
      </c>
      <c r="C3055" s="150" t="s">
        <v>106</v>
      </c>
      <c r="D3055" s="150">
        <v>0</v>
      </c>
      <c r="E3055" s="151" t="s">
        <v>13</v>
      </c>
      <c r="F3055" s="152" t="str">
        <f t="shared" si="143"/>
        <v/>
      </c>
      <c r="G3055" s="153">
        <f>IF($K3055="Padrão",BDI!$B$17,IF($K3055="Diferenciado",BDI!$E$17,0))</f>
        <v>0.2039</v>
      </c>
      <c r="H3055" s="151" t="str">
        <f t="shared" si="141"/>
        <v/>
      </c>
      <c r="I3055" s="152" t="str">
        <f t="shared" si="142"/>
        <v/>
      </c>
      <c r="J3055" s="154"/>
      <c r="K3055" s="155" t="s">
        <v>2966</v>
      </c>
    </row>
    <row r="3056" spans="1:11" hidden="1" x14ac:dyDescent="0.25">
      <c r="A3056" s="148" t="s">
        <v>7895</v>
      </c>
      <c r="B3056" s="149" t="s">
        <v>7896</v>
      </c>
      <c r="C3056" s="150" t="s">
        <v>18</v>
      </c>
      <c r="D3056" s="150">
        <v>0</v>
      </c>
      <c r="E3056" s="151" t="s">
        <v>13</v>
      </c>
      <c r="F3056" s="152" t="str">
        <f t="shared" si="143"/>
        <v/>
      </c>
      <c r="G3056" s="153">
        <f>IF($K3056="Padrão",BDI!$B$17,IF($K3056="Diferenciado",BDI!$E$17,0))</f>
        <v>0.2039</v>
      </c>
      <c r="H3056" s="151" t="str">
        <f t="shared" si="141"/>
        <v/>
      </c>
      <c r="I3056" s="152" t="str">
        <f t="shared" si="142"/>
        <v/>
      </c>
      <c r="J3056" s="154"/>
      <c r="K3056" s="155" t="s">
        <v>2966</v>
      </c>
    </row>
    <row r="3057" spans="1:11" hidden="1" x14ac:dyDescent="0.25">
      <c r="A3057" s="148" t="s">
        <v>7897</v>
      </c>
      <c r="B3057" s="149" t="s">
        <v>7898</v>
      </c>
      <c r="C3057" s="150" t="s">
        <v>106</v>
      </c>
      <c r="D3057" s="150">
        <v>0</v>
      </c>
      <c r="E3057" s="151" t="s">
        <v>13</v>
      </c>
      <c r="F3057" s="152" t="str">
        <f t="shared" si="143"/>
        <v/>
      </c>
      <c r="G3057" s="153">
        <f>IF($K3057="Padrão",BDI!$B$17,IF($K3057="Diferenciado",BDI!$E$17,0))</f>
        <v>0.2039</v>
      </c>
      <c r="H3057" s="151" t="str">
        <f t="shared" si="141"/>
        <v/>
      </c>
      <c r="I3057" s="152" t="str">
        <f t="shared" si="142"/>
        <v/>
      </c>
      <c r="J3057" s="154"/>
      <c r="K3057" s="155" t="s">
        <v>2966</v>
      </c>
    </row>
    <row r="3058" spans="1:11" hidden="1" x14ac:dyDescent="0.25">
      <c r="A3058" s="148" t="s">
        <v>7899</v>
      </c>
      <c r="B3058" s="149" t="s">
        <v>7900</v>
      </c>
      <c r="C3058" s="150" t="s">
        <v>18</v>
      </c>
      <c r="D3058" s="150">
        <v>0</v>
      </c>
      <c r="E3058" s="151" t="s">
        <v>13</v>
      </c>
      <c r="F3058" s="152" t="str">
        <f t="shared" si="143"/>
        <v/>
      </c>
      <c r="G3058" s="153">
        <f>IF($K3058="Padrão",BDI!$B$17,IF($K3058="Diferenciado",BDI!$E$17,0))</f>
        <v>0.2039</v>
      </c>
      <c r="H3058" s="151" t="str">
        <f t="shared" si="141"/>
        <v/>
      </c>
      <c r="I3058" s="152" t="str">
        <f t="shared" si="142"/>
        <v/>
      </c>
      <c r="J3058" s="154"/>
      <c r="K3058" s="155" t="s">
        <v>2966</v>
      </c>
    </row>
    <row r="3059" spans="1:11" hidden="1" x14ac:dyDescent="0.25">
      <c r="A3059" s="148" t="s">
        <v>7901</v>
      </c>
      <c r="B3059" s="149" t="s">
        <v>7902</v>
      </c>
      <c r="C3059" s="150" t="s">
        <v>18</v>
      </c>
      <c r="D3059" s="150">
        <v>0</v>
      </c>
      <c r="E3059" s="151" t="s">
        <v>13</v>
      </c>
      <c r="F3059" s="152" t="str">
        <f t="shared" si="143"/>
        <v/>
      </c>
      <c r="G3059" s="153">
        <f>IF($K3059="Padrão",BDI!$B$17,IF($K3059="Diferenciado",BDI!$E$17,0))</f>
        <v>0.2039</v>
      </c>
      <c r="H3059" s="151" t="str">
        <f t="shared" si="141"/>
        <v/>
      </c>
      <c r="I3059" s="152" t="str">
        <f t="shared" si="142"/>
        <v/>
      </c>
      <c r="J3059" s="154"/>
      <c r="K3059" s="155" t="s">
        <v>2966</v>
      </c>
    </row>
    <row r="3060" spans="1:11" ht="25.5" hidden="1" x14ac:dyDescent="0.25">
      <c r="A3060" s="148" t="s">
        <v>7903</v>
      </c>
      <c r="B3060" s="149" t="s">
        <v>7904</v>
      </c>
      <c r="C3060" s="150" t="s">
        <v>18</v>
      </c>
      <c r="D3060" s="150">
        <v>0</v>
      </c>
      <c r="E3060" s="151" t="s">
        <v>13</v>
      </c>
      <c r="F3060" s="152" t="str">
        <f t="shared" si="143"/>
        <v/>
      </c>
      <c r="G3060" s="153">
        <f>IF($K3060="Padrão",BDI!$B$17,IF($K3060="Diferenciado",BDI!$E$17,0))</f>
        <v>0.2039</v>
      </c>
      <c r="H3060" s="151" t="str">
        <f t="shared" si="141"/>
        <v/>
      </c>
      <c r="I3060" s="152" t="str">
        <f t="shared" si="142"/>
        <v/>
      </c>
      <c r="J3060" s="154"/>
      <c r="K3060" s="155" t="s">
        <v>2966</v>
      </c>
    </row>
    <row r="3061" spans="1:11" hidden="1" x14ac:dyDescent="0.25">
      <c r="A3061" s="148" t="s">
        <v>7905</v>
      </c>
      <c r="B3061" s="149" t="s">
        <v>7906</v>
      </c>
      <c r="C3061" s="150" t="s">
        <v>18</v>
      </c>
      <c r="D3061" s="150">
        <v>0</v>
      </c>
      <c r="E3061" s="151" t="s">
        <v>13</v>
      </c>
      <c r="F3061" s="152" t="str">
        <f t="shared" si="143"/>
        <v/>
      </c>
      <c r="G3061" s="153">
        <f>IF($K3061="Padrão",BDI!$B$17,IF($K3061="Diferenciado",BDI!$E$17,0))</f>
        <v>0.2039</v>
      </c>
      <c r="H3061" s="151" t="str">
        <f t="shared" si="141"/>
        <v/>
      </c>
      <c r="I3061" s="152" t="str">
        <f t="shared" si="142"/>
        <v/>
      </c>
      <c r="J3061" s="154"/>
      <c r="K3061" s="155" t="s">
        <v>2966</v>
      </c>
    </row>
    <row r="3062" spans="1:11" hidden="1" x14ac:dyDescent="0.25">
      <c r="A3062" s="148" t="s">
        <v>7907</v>
      </c>
      <c r="B3062" s="149" t="s">
        <v>7908</v>
      </c>
      <c r="C3062" s="150" t="s">
        <v>18</v>
      </c>
      <c r="D3062" s="150">
        <v>0</v>
      </c>
      <c r="E3062" s="151" t="s">
        <v>13</v>
      </c>
      <c r="F3062" s="152" t="str">
        <f t="shared" si="143"/>
        <v/>
      </c>
      <c r="G3062" s="153">
        <f>IF($K3062="Padrão",BDI!$B$17,IF($K3062="Diferenciado",BDI!$E$17,0))</f>
        <v>0.2039</v>
      </c>
      <c r="H3062" s="151" t="str">
        <f t="shared" si="141"/>
        <v/>
      </c>
      <c r="I3062" s="152" t="str">
        <f t="shared" si="142"/>
        <v/>
      </c>
      <c r="J3062" s="154"/>
      <c r="K3062" s="155" t="s">
        <v>2966</v>
      </c>
    </row>
    <row r="3063" spans="1:11" hidden="1" x14ac:dyDescent="0.25">
      <c r="A3063" s="148" t="s">
        <v>7909</v>
      </c>
      <c r="B3063" s="149" t="s">
        <v>7910</v>
      </c>
      <c r="C3063" s="150" t="s">
        <v>18</v>
      </c>
      <c r="D3063" s="150">
        <v>0</v>
      </c>
      <c r="E3063" s="151" t="s">
        <v>13</v>
      </c>
      <c r="F3063" s="152" t="str">
        <f t="shared" si="143"/>
        <v/>
      </c>
      <c r="G3063" s="153">
        <f>IF($K3063="Padrão",BDI!$B$17,IF($K3063="Diferenciado",BDI!$E$17,0))</f>
        <v>0.2039</v>
      </c>
      <c r="H3063" s="151" t="str">
        <f t="shared" si="141"/>
        <v/>
      </c>
      <c r="I3063" s="152" t="str">
        <f t="shared" si="142"/>
        <v/>
      </c>
      <c r="J3063" s="154"/>
      <c r="K3063" s="155" t="s">
        <v>2966</v>
      </c>
    </row>
    <row r="3064" spans="1:11" hidden="1" x14ac:dyDescent="0.25">
      <c r="A3064" s="148" t="s">
        <v>7911</v>
      </c>
      <c r="B3064" s="149" t="s">
        <v>7912</v>
      </c>
      <c r="C3064" s="150" t="s">
        <v>18</v>
      </c>
      <c r="D3064" s="150">
        <v>0</v>
      </c>
      <c r="E3064" s="151" t="s">
        <v>13</v>
      </c>
      <c r="F3064" s="152" t="str">
        <f t="shared" si="143"/>
        <v/>
      </c>
      <c r="G3064" s="153">
        <f>IF($K3064="Padrão",BDI!$B$17,IF($K3064="Diferenciado",BDI!$E$17,0))</f>
        <v>0.2039</v>
      </c>
      <c r="H3064" s="151" t="str">
        <f t="shared" si="141"/>
        <v/>
      </c>
      <c r="I3064" s="152" t="str">
        <f t="shared" si="142"/>
        <v/>
      </c>
      <c r="J3064" s="154"/>
      <c r="K3064" s="155" t="s">
        <v>2966</v>
      </c>
    </row>
    <row r="3065" spans="1:11" hidden="1" x14ac:dyDescent="0.25">
      <c r="A3065" s="148" t="s">
        <v>7913</v>
      </c>
      <c r="B3065" s="149" t="s">
        <v>7914</v>
      </c>
      <c r="C3065" s="150" t="s">
        <v>18</v>
      </c>
      <c r="D3065" s="150">
        <v>0</v>
      </c>
      <c r="E3065" s="151" t="s">
        <v>13</v>
      </c>
      <c r="F3065" s="152" t="str">
        <f t="shared" si="143"/>
        <v/>
      </c>
      <c r="G3065" s="153">
        <f>IF($K3065="Padrão",BDI!$B$17,IF($K3065="Diferenciado",BDI!$E$17,0))</f>
        <v>0.2039</v>
      </c>
      <c r="H3065" s="151" t="str">
        <f t="shared" si="141"/>
        <v/>
      </c>
      <c r="I3065" s="152" t="str">
        <f t="shared" si="142"/>
        <v/>
      </c>
      <c r="J3065" s="154"/>
      <c r="K3065" s="155" t="s">
        <v>2966</v>
      </c>
    </row>
    <row r="3066" spans="1:11" hidden="1" x14ac:dyDescent="0.25">
      <c r="A3066" s="148" t="s">
        <v>7915</v>
      </c>
      <c r="B3066" s="149" t="s">
        <v>7916</v>
      </c>
      <c r="C3066" s="150" t="s">
        <v>18</v>
      </c>
      <c r="D3066" s="150">
        <v>0</v>
      </c>
      <c r="E3066" s="151" t="s">
        <v>13</v>
      </c>
      <c r="F3066" s="152" t="str">
        <f t="shared" si="143"/>
        <v/>
      </c>
      <c r="G3066" s="153">
        <f>IF($K3066="Padrão",BDI!$B$17,IF($K3066="Diferenciado",BDI!$E$17,0))</f>
        <v>0.2039</v>
      </c>
      <c r="H3066" s="151" t="str">
        <f t="shared" si="141"/>
        <v/>
      </c>
      <c r="I3066" s="152" t="str">
        <f t="shared" si="142"/>
        <v/>
      </c>
      <c r="J3066" s="154"/>
      <c r="K3066" s="155" t="s">
        <v>2966</v>
      </c>
    </row>
    <row r="3067" spans="1:11" hidden="1" x14ac:dyDescent="0.25">
      <c r="A3067" s="148" t="s">
        <v>7917</v>
      </c>
      <c r="B3067" s="149" t="s">
        <v>7918</v>
      </c>
      <c r="C3067" s="150" t="s">
        <v>18</v>
      </c>
      <c r="D3067" s="150">
        <v>0</v>
      </c>
      <c r="E3067" s="151" t="s">
        <v>13</v>
      </c>
      <c r="F3067" s="152" t="str">
        <f t="shared" si="143"/>
        <v/>
      </c>
      <c r="G3067" s="153">
        <f>IF($K3067="Padrão",BDI!$B$17,IF($K3067="Diferenciado",BDI!$E$17,0))</f>
        <v>0.2039</v>
      </c>
      <c r="H3067" s="151" t="str">
        <f t="shared" si="141"/>
        <v/>
      </c>
      <c r="I3067" s="152" t="str">
        <f t="shared" si="142"/>
        <v/>
      </c>
      <c r="J3067" s="154"/>
      <c r="K3067" s="155" t="s">
        <v>2966</v>
      </c>
    </row>
    <row r="3068" spans="1:11" hidden="1" x14ac:dyDescent="0.25">
      <c r="A3068" s="148" t="s">
        <v>7919</v>
      </c>
      <c r="B3068" s="149" t="s">
        <v>7920</v>
      </c>
      <c r="C3068" s="150" t="s">
        <v>18</v>
      </c>
      <c r="D3068" s="150">
        <v>0</v>
      </c>
      <c r="E3068" s="151" t="s">
        <v>13</v>
      </c>
      <c r="F3068" s="152" t="str">
        <f t="shared" si="143"/>
        <v/>
      </c>
      <c r="G3068" s="153">
        <f>IF($K3068="Padrão",BDI!$B$17,IF($K3068="Diferenciado",BDI!$E$17,0))</f>
        <v>0.2039</v>
      </c>
      <c r="H3068" s="151" t="str">
        <f t="shared" si="141"/>
        <v/>
      </c>
      <c r="I3068" s="152" t="str">
        <f t="shared" si="142"/>
        <v/>
      </c>
      <c r="J3068" s="154"/>
      <c r="K3068" s="155" t="s">
        <v>2966</v>
      </c>
    </row>
    <row r="3069" spans="1:11" hidden="1" x14ac:dyDescent="0.25">
      <c r="A3069" s="148" t="s">
        <v>7921</v>
      </c>
      <c r="B3069" s="149" t="s">
        <v>7922</v>
      </c>
      <c r="C3069" s="150" t="s">
        <v>18</v>
      </c>
      <c r="D3069" s="150">
        <v>0</v>
      </c>
      <c r="E3069" s="151" t="s">
        <v>13</v>
      </c>
      <c r="F3069" s="152" t="str">
        <f t="shared" si="143"/>
        <v/>
      </c>
      <c r="G3069" s="153">
        <f>IF($K3069="Padrão",BDI!$B$17,IF($K3069="Diferenciado",BDI!$E$17,0))</f>
        <v>0.2039</v>
      </c>
      <c r="H3069" s="151" t="str">
        <f t="shared" si="141"/>
        <v/>
      </c>
      <c r="I3069" s="152" t="str">
        <f t="shared" si="142"/>
        <v/>
      </c>
      <c r="J3069" s="154"/>
      <c r="K3069" s="155" t="s">
        <v>2966</v>
      </c>
    </row>
    <row r="3070" spans="1:11" hidden="1" x14ac:dyDescent="0.25">
      <c r="A3070" s="148" t="s">
        <v>7923</v>
      </c>
      <c r="B3070" s="149" t="s">
        <v>7924</v>
      </c>
      <c r="C3070" s="150" t="s">
        <v>18</v>
      </c>
      <c r="D3070" s="150">
        <v>0</v>
      </c>
      <c r="E3070" s="151" t="s">
        <v>13</v>
      </c>
      <c r="F3070" s="152" t="str">
        <f t="shared" si="143"/>
        <v/>
      </c>
      <c r="G3070" s="153">
        <f>IF($K3070="Padrão",BDI!$B$17,IF($K3070="Diferenciado",BDI!$E$17,0))</f>
        <v>0.2039</v>
      </c>
      <c r="H3070" s="151" t="str">
        <f t="shared" si="141"/>
        <v/>
      </c>
      <c r="I3070" s="152" t="str">
        <f t="shared" si="142"/>
        <v/>
      </c>
      <c r="J3070" s="154"/>
      <c r="K3070" s="155" t="s">
        <v>2966</v>
      </c>
    </row>
    <row r="3071" spans="1:11" hidden="1" x14ac:dyDescent="0.25">
      <c r="A3071" s="148" t="s">
        <v>7925</v>
      </c>
      <c r="B3071" s="149" t="s">
        <v>7926</v>
      </c>
      <c r="C3071" s="150" t="s">
        <v>18</v>
      </c>
      <c r="D3071" s="150">
        <v>0</v>
      </c>
      <c r="E3071" s="151" t="s">
        <v>13</v>
      </c>
      <c r="F3071" s="152" t="str">
        <f t="shared" si="143"/>
        <v/>
      </c>
      <c r="G3071" s="153">
        <f>IF($K3071="Padrão",BDI!$B$17,IF($K3071="Diferenciado",BDI!$E$17,0))</f>
        <v>0.2039</v>
      </c>
      <c r="H3071" s="151" t="str">
        <f t="shared" si="141"/>
        <v/>
      </c>
      <c r="I3071" s="152" t="str">
        <f t="shared" si="142"/>
        <v/>
      </c>
      <c r="J3071" s="154"/>
      <c r="K3071" s="155" t="s">
        <v>2966</v>
      </c>
    </row>
    <row r="3072" spans="1:11" hidden="1" x14ac:dyDescent="0.25">
      <c r="A3072" s="148" t="s">
        <v>7927</v>
      </c>
      <c r="B3072" s="149" t="s">
        <v>7928</v>
      </c>
      <c r="C3072" s="150" t="s">
        <v>461</v>
      </c>
      <c r="D3072" s="150">
        <v>0</v>
      </c>
      <c r="E3072" s="151" t="s">
        <v>13</v>
      </c>
      <c r="F3072" s="152" t="str">
        <f t="shared" si="143"/>
        <v/>
      </c>
      <c r="G3072" s="153">
        <f>IF($K3072="Padrão",BDI!$B$17,IF($K3072="Diferenciado",BDI!$E$17,0))</f>
        <v>0.2039</v>
      </c>
      <c r="H3072" s="151" t="str">
        <f t="shared" si="141"/>
        <v/>
      </c>
      <c r="I3072" s="152" t="str">
        <f t="shared" si="142"/>
        <v/>
      </c>
      <c r="J3072" s="154"/>
      <c r="K3072" s="155" t="s">
        <v>2966</v>
      </c>
    </row>
    <row r="3073" spans="1:11" hidden="1" x14ac:dyDescent="0.25">
      <c r="A3073" s="148" t="s">
        <v>7929</v>
      </c>
      <c r="B3073" s="149" t="s">
        <v>7930</v>
      </c>
      <c r="C3073" s="150" t="s">
        <v>18</v>
      </c>
      <c r="D3073" s="150">
        <v>0</v>
      </c>
      <c r="E3073" s="151" t="s">
        <v>13</v>
      </c>
      <c r="F3073" s="152" t="str">
        <f t="shared" si="143"/>
        <v/>
      </c>
      <c r="G3073" s="153">
        <f>IF($K3073="Padrão",BDI!$B$17,IF($K3073="Diferenciado",BDI!$E$17,0))</f>
        <v>0.2039</v>
      </c>
      <c r="H3073" s="151" t="str">
        <f t="shared" si="141"/>
        <v/>
      </c>
      <c r="I3073" s="152" t="str">
        <f t="shared" si="142"/>
        <v/>
      </c>
      <c r="J3073" s="154"/>
      <c r="K3073" s="155" t="s">
        <v>2966</v>
      </c>
    </row>
    <row r="3074" spans="1:11" hidden="1" x14ac:dyDescent="0.25">
      <c r="A3074" s="148" t="s">
        <v>7931</v>
      </c>
      <c r="B3074" s="149" t="s">
        <v>7932</v>
      </c>
      <c r="C3074" s="150" t="s">
        <v>18</v>
      </c>
      <c r="D3074" s="150">
        <v>0</v>
      </c>
      <c r="E3074" s="151" t="s">
        <v>13</v>
      </c>
      <c r="F3074" s="152" t="str">
        <f t="shared" si="143"/>
        <v/>
      </c>
      <c r="G3074" s="153">
        <f>IF($K3074="Padrão",BDI!$B$17,IF($K3074="Diferenciado",BDI!$E$17,0))</f>
        <v>0.2039</v>
      </c>
      <c r="H3074" s="151" t="str">
        <f t="shared" si="141"/>
        <v/>
      </c>
      <c r="I3074" s="152" t="str">
        <f t="shared" si="142"/>
        <v/>
      </c>
      <c r="J3074" s="154"/>
      <c r="K3074" s="155" t="s">
        <v>2966</v>
      </c>
    </row>
    <row r="3075" spans="1:11" hidden="1" x14ac:dyDescent="0.25">
      <c r="A3075" s="148" t="s">
        <v>7933</v>
      </c>
      <c r="B3075" s="149" t="s">
        <v>7934</v>
      </c>
      <c r="C3075" s="150" t="s">
        <v>18</v>
      </c>
      <c r="D3075" s="150">
        <v>0</v>
      </c>
      <c r="E3075" s="151" t="s">
        <v>13</v>
      </c>
      <c r="F3075" s="152" t="str">
        <f t="shared" si="143"/>
        <v/>
      </c>
      <c r="G3075" s="153">
        <f>IF($K3075="Padrão",BDI!$B$17,IF($K3075="Diferenciado",BDI!$E$17,0))</f>
        <v>0.2039</v>
      </c>
      <c r="H3075" s="151" t="str">
        <f t="shared" si="141"/>
        <v/>
      </c>
      <c r="I3075" s="152" t="str">
        <f t="shared" si="142"/>
        <v/>
      </c>
      <c r="J3075" s="154"/>
      <c r="K3075" s="155" t="s">
        <v>2966</v>
      </c>
    </row>
    <row r="3076" spans="1:11" hidden="1" x14ac:dyDescent="0.25">
      <c r="A3076" s="148" t="s">
        <v>7935</v>
      </c>
      <c r="B3076" s="149" t="s">
        <v>7936</v>
      </c>
      <c r="C3076" s="150" t="s">
        <v>18</v>
      </c>
      <c r="D3076" s="150">
        <v>0</v>
      </c>
      <c r="E3076" s="151" t="s">
        <v>13</v>
      </c>
      <c r="F3076" s="152" t="str">
        <f t="shared" si="143"/>
        <v/>
      </c>
      <c r="G3076" s="153">
        <f>IF($K3076="Padrão",BDI!$B$17,IF($K3076="Diferenciado",BDI!$E$17,0))</f>
        <v>0.2039</v>
      </c>
      <c r="H3076" s="151" t="str">
        <f t="shared" si="141"/>
        <v/>
      </c>
      <c r="I3076" s="152" t="str">
        <f t="shared" si="142"/>
        <v/>
      </c>
      <c r="J3076" s="154"/>
      <c r="K3076" s="155" t="s">
        <v>2966</v>
      </c>
    </row>
    <row r="3077" spans="1:11" hidden="1" x14ac:dyDescent="0.25">
      <c r="A3077" s="148" t="s">
        <v>7937</v>
      </c>
      <c r="B3077" s="149" t="s">
        <v>7938</v>
      </c>
      <c r="C3077" s="150" t="s">
        <v>18</v>
      </c>
      <c r="D3077" s="150">
        <v>0</v>
      </c>
      <c r="E3077" s="151" t="s">
        <v>13</v>
      </c>
      <c r="F3077" s="152" t="str">
        <f t="shared" si="143"/>
        <v/>
      </c>
      <c r="G3077" s="153">
        <f>IF($K3077="Padrão",BDI!$B$17,IF($K3077="Diferenciado",BDI!$E$17,0))</f>
        <v>0.2039</v>
      </c>
      <c r="H3077" s="151" t="str">
        <f t="shared" si="141"/>
        <v/>
      </c>
      <c r="I3077" s="152" t="str">
        <f t="shared" si="142"/>
        <v/>
      </c>
      <c r="J3077" s="154"/>
      <c r="K3077" s="155" t="s">
        <v>2966</v>
      </c>
    </row>
    <row r="3078" spans="1:11" hidden="1" x14ac:dyDescent="0.25">
      <c r="A3078" s="148" t="s">
        <v>7939</v>
      </c>
      <c r="B3078" s="149" t="s">
        <v>7940</v>
      </c>
      <c r="C3078" s="150" t="s">
        <v>18</v>
      </c>
      <c r="D3078" s="150">
        <v>0</v>
      </c>
      <c r="E3078" s="151" t="s">
        <v>13</v>
      </c>
      <c r="F3078" s="152" t="str">
        <f t="shared" si="143"/>
        <v/>
      </c>
      <c r="G3078" s="153">
        <f>IF($K3078="Padrão",BDI!$B$17,IF($K3078="Diferenciado",BDI!$E$17,0))</f>
        <v>0.2039</v>
      </c>
      <c r="H3078" s="151" t="str">
        <f t="shared" ref="H3078:H3141" si="144">IF(ISNUMBER(E3078),ROUND(E3078*(1+G3078),2),"")</f>
        <v/>
      </c>
      <c r="I3078" s="152" t="str">
        <f t="shared" ref="I3078:I3141" si="145">IF(ISNUMBER(E3078),ROUND(H3078*D3078,2),"")</f>
        <v/>
      </c>
      <c r="J3078" s="154"/>
      <c r="K3078" s="155" t="s">
        <v>2966</v>
      </c>
    </row>
    <row r="3079" spans="1:11" hidden="1" x14ac:dyDescent="0.25">
      <c r="A3079" s="148" t="s">
        <v>7941</v>
      </c>
      <c r="B3079" s="149" t="s">
        <v>7942</v>
      </c>
      <c r="C3079" s="150" t="s">
        <v>18</v>
      </c>
      <c r="D3079" s="150">
        <v>0</v>
      </c>
      <c r="E3079" s="151" t="s">
        <v>13</v>
      </c>
      <c r="F3079" s="152" t="str">
        <f t="shared" ref="F3079:F3142" si="146">IF(ISNUMBER(E3079),D3079*E3079,"")</f>
        <v/>
      </c>
      <c r="G3079" s="153">
        <f>IF($K3079="Padrão",BDI!$B$17,IF($K3079="Diferenciado",BDI!$E$17,0))</f>
        <v>0.2039</v>
      </c>
      <c r="H3079" s="151" t="str">
        <f t="shared" si="144"/>
        <v/>
      </c>
      <c r="I3079" s="152" t="str">
        <f t="shared" si="145"/>
        <v/>
      </c>
      <c r="J3079" s="154"/>
      <c r="K3079" s="155" t="s">
        <v>2966</v>
      </c>
    </row>
    <row r="3080" spans="1:11" hidden="1" x14ac:dyDescent="0.25">
      <c r="A3080" s="148" t="s">
        <v>7943</v>
      </c>
      <c r="B3080" s="149" t="s">
        <v>7944</v>
      </c>
      <c r="C3080" s="150" t="s">
        <v>3474</v>
      </c>
      <c r="D3080" s="150">
        <v>0</v>
      </c>
      <c r="E3080" s="151" t="s">
        <v>13</v>
      </c>
      <c r="F3080" s="152" t="str">
        <f t="shared" si="146"/>
        <v/>
      </c>
      <c r="G3080" s="153">
        <f>IF($K3080="Padrão",BDI!$B$17,IF($K3080="Diferenciado",BDI!$E$17,0))</f>
        <v>0.2039</v>
      </c>
      <c r="H3080" s="151" t="str">
        <f t="shared" si="144"/>
        <v/>
      </c>
      <c r="I3080" s="152" t="str">
        <f t="shared" si="145"/>
        <v/>
      </c>
      <c r="J3080" s="154"/>
      <c r="K3080" s="155" t="s">
        <v>2966</v>
      </c>
    </row>
    <row r="3081" spans="1:11" hidden="1" x14ac:dyDescent="0.25">
      <c r="A3081" s="148" t="s">
        <v>7945</v>
      </c>
      <c r="B3081" s="149" t="s">
        <v>7946</v>
      </c>
      <c r="C3081" s="150" t="s">
        <v>18</v>
      </c>
      <c r="D3081" s="150">
        <v>0</v>
      </c>
      <c r="E3081" s="151" t="s">
        <v>13</v>
      </c>
      <c r="F3081" s="152" t="str">
        <f t="shared" si="146"/>
        <v/>
      </c>
      <c r="G3081" s="153">
        <f>IF($K3081="Padrão",BDI!$B$17,IF($K3081="Diferenciado",BDI!$E$17,0))</f>
        <v>0.2039</v>
      </c>
      <c r="H3081" s="151" t="str">
        <f t="shared" si="144"/>
        <v/>
      </c>
      <c r="I3081" s="152" t="str">
        <f t="shared" si="145"/>
        <v/>
      </c>
      <c r="J3081" s="154"/>
      <c r="K3081" s="155" t="s">
        <v>2966</v>
      </c>
    </row>
    <row r="3082" spans="1:11" ht="25.5" hidden="1" x14ac:dyDescent="0.25">
      <c r="A3082" s="148" t="s">
        <v>7947</v>
      </c>
      <c r="B3082" s="149" t="s">
        <v>7948</v>
      </c>
      <c r="C3082" s="150" t="s">
        <v>4190</v>
      </c>
      <c r="D3082" s="150">
        <v>0</v>
      </c>
      <c r="E3082" s="151" t="s">
        <v>13</v>
      </c>
      <c r="F3082" s="152" t="str">
        <f t="shared" si="146"/>
        <v/>
      </c>
      <c r="G3082" s="153">
        <f>IF($K3082="Padrão",BDI!$B$17,IF($K3082="Diferenciado",BDI!$E$17,0))</f>
        <v>0.2039</v>
      </c>
      <c r="H3082" s="151" t="str">
        <f t="shared" si="144"/>
        <v/>
      </c>
      <c r="I3082" s="152" t="str">
        <f t="shared" si="145"/>
        <v/>
      </c>
      <c r="J3082" s="154"/>
      <c r="K3082" s="155" t="s">
        <v>2966</v>
      </c>
    </row>
    <row r="3083" spans="1:11" hidden="1" x14ac:dyDescent="0.25">
      <c r="A3083" s="148" t="s">
        <v>7949</v>
      </c>
      <c r="B3083" s="149" t="s">
        <v>7950</v>
      </c>
      <c r="C3083" s="150" t="s">
        <v>4190</v>
      </c>
      <c r="D3083" s="150">
        <v>0</v>
      </c>
      <c r="E3083" s="151" t="s">
        <v>13</v>
      </c>
      <c r="F3083" s="152" t="str">
        <f t="shared" si="146"/>
        <v/>
      </c>
      <c r="G3083" s="153">
        <f>IF($K3083="Padrão",BDI!$B$17,IF($K3083="Diferenciado",BDI!$E$17,0))</f>
        <v>0.2039</v>
      </c>
      <c r="H3083" s="151" t="str">
        <f t="shared" si="144"/>
        <v/>
      </c>
      <c r="I3083" s="152" t="str">
        <f t="shared" si="145"/>
        <v/>
      </c>
      <c r="J3083" s="154"/>
      <c r="K3083" s="155" t="s">
        <v>2966</v>
      </c>
    </row>
    <row r="3084" spans="1:11" hidden="1" x14ac:dyDescent="0.25">
      <c r="A3084" s="148" t="s">
        <v>7951</v>
      </c>
      <c r="B3084" s="149" t="s">
        <v>7952</v>
      </c>
      <c r="C3084" s="150" t="s">
        <v>4340</v>
      </c>
      <c r="D3084" s="150">
        <v>0</v>
      </c>
      <c r="E3084" s="151" t="s">
        <v>13</v>
      </c>
      <c r="F3084" s="152" t="str">
        <f t="shared" si="146"/>
        <v/>
      </c>
      <c r="G3084" s="153">
        <f>IF($K3084="Padrão",BDI!$B$17,IF($K3084="Diferenciado",BDI!$E$17,0))</f>
        <v>0.2039</v>
      </c>
      <c r="H3084" s="151" t="str">
        <f t="shared" si="144"/>
        <v/>
      </c>
      <c r="I3084" s="152" t="str">
        <f t="shared" si="145"/>
        <v/>
      </c>
      <c r="J3084" s="154"/>
      <c r="K3084" s="155" t="s">
        <v>2966</v>
      </c>
    </row>
    <row r="3085" spans="1:11" hidden="1" x14ac:dyDescent="0.25">
      <c r="A3085" s="148" t="s">
        <v>7953</v>
      </c>
      <c r="B3085" s="149" t="s">
        <v>7954</v>
      </c>
      <c r="C3085" s="150" t="s">
        <v>4190</v>
      </c>
      <c r="D3085" s="150">
        <v>0</v>
      </c>
      <c r="E3085" s="151" t="s">
        <v>13</v>
      </c>
      <c r="F3085" s="152" t="str">
        <f t="shared" si="146"/>
        <v/>
      </c>
      <c r="G3085" s="153">
        <f>IF($K3085="Padrão",BDI!$B$17,IF($K3085="Diferenciado",BDI!$E$17,0))</f>
        <v>0.2039</v>
      </c>
      <c r="H3085" s="151" t="str">
        <f t="shared" si="144"/>
        <v/>
      </c>
      <c r="I3085" s="152" t="str">
        <f t="shared" si="145"/>
        <v/>
      </c>
      <c r="J3085" s="154"/>
      <c r="K3085" s="155" t="s">
        <v>2966</v>
      </c>
    </row>
    <row r="3086" spans="1:11" hidden="1" x14ac:dyDescent="0.25">
      <c r="A3086" s="148" t="s">
        <v>7955</v>
      </c>
      <c r="B3086" s="149" t="s">
        <v>7956</v>
      </c>
      <c r="C3086" s="150" t="s">
        <v>106</v>
      </c>
      <c r="D3086" s="150">
        <v>0</v>
      </c>
      <c r="E3086" s="151" t="s">
        <v>13</v>
      </c>
      <c r="F3086" s="152" t="str">
        <f t="shared" si="146"/>
        <v/>
      </c>
      <c r="G3086" s="153">
        <f>IF($K3086="Padrão",BDI!$B$17,IF($K3086="Diferenciado",BDI!$E$17,0))</f>
        <v>0.2039</v>
      </c>
      <c r="H3086" s="151" t="str">
        <f t="shared" si="144"/>
        <v/>
      </c>
      <c r="I3086" s="152" t="str">
        <f t="shared" si="145"/>
        <v/>
      </c>
      <c r="J3086" s="154"/>
      <c r="K3086" s="155" t="s">
        <v>2966</v>
      </c>
    </row>
    <row r="3087" spans="1:11" hidden="1" x14ac:dyDescent="0.25">
      <c r="A3087" s="148" t="s">
        <v>7957</v>
      </c>
      <c r="B3087" s="149" t="s">
        <v>7958</v>
      </c>
      <c r="C3087" s="150" t="s">
        <v>18</v>
      </c>
      <c r="D3087" s="150">
        <v>0</v>
      </c>
      <c r="E3087" s="151" t="s">
        <v>13</v>
      </c>
      <c r="F3087" s="152" t="str">
        <f t="shared" si="146"/>
        <v/>
      </c>
      <c r="G3087" s="153">
        <f>IF($K3087="Padrão",BDI!$B$17,IF($K3087="Diferenciado",BDI!$E$17,0))</f>
        <v>0.2039</v>
      </c>
      <c r="H3087" s="151" t="str">
        <f t="shared" si="144"/>
        <v/>
      </c>
      <c r="I3087" s="152" t="str">
        <f t="shared" si="145"/>
        <v/>
      </c>
      <c r="J3087" s="154"/>
      <c r="K3087" s="155" t="s">
        <v>2966</v>
      </c>
    </row>
    <row r="3088" spans="1:11" hidden="1" x14ac:dyDescent="0.25">
      <c r="A3088" s="148" t="s">
        <v>7959</v>
      </c>
      <c r="B3088" s="149" t="s">
        <v>7960</v>
      </c>
      <c r="C3088" s="150" t="s">
        <v>18</v>
      </c>
      <c r="D3088" s="150">
        <v>0</v>
      </c>
      <c r="E3088" s="151" t="s">
        <v>13</v>
      </c>
      <c r="F3088" s="152" t="str">
        <f t="shared" si="146"/>
        <v/>
      </c>
      <c r="G3088" s="153">
        <f>IF($K3088="Padrão",BDI!$B$17,IF($K3088="Diferenciado",BDI!$E$17,0))</f>
        <v>0.2039</v>
      </c>
      <c r="H3088" s="151" t="str">
        <f t="shared" si="144"/>
        <v/>
      </c>
      <c r="I3088" s="152" t="str">
        <f t="shared" si="145"/>
        <v/>
      </c>
      <c r="J3088" s="154"/>
      <c r="K3088" s="155" t="s">
        <v>2966</v>
      </c>
    </row>
    <row r="3089" spans="1:11" hidden="1" x14ac:dyDescent="0.25">
      <c r="A3089" s="148" t="s">
        <v>1734</v>
      </c>
      <c r="B3089" s="149" t="s">
        <v>7961</v>
      </c>
      <c r="C3089" s="150" t="s">
        <v>3982</v>
      </c>
      <c r="D3089" s="150">
        <v>0</v>
      </c>
      <c r="E3089" s="151" t="e">
        <f ca="1">OFFSET(INDEX(Composições!A:H,MATCH(Orçamentária!A3089,Composições!A:A,0),8),2,0)</f>
        <v>#REF!</v>
      </c>
      <c r="F3089" s="152" t="str">
        <f t="shared" ca="1" si="146"/>
        <v/>
      </c>
      <c r="G3089" s="153">
        <f>IF($K3089="Padrão",BDI!$B$17,IF($K3089="Diferenciado",BDI!$E$17,0))</f>
        <v>0.2039</v>
      </c>
      <c r="H3089" s="151" t="str">
        <f t="shared" ca="1" si="144"/>
        <v/>
      </c>
      <c r="I3089" s="152" t="str">
        <f t="shared" ca="1" si="145"/>
        <v/>
      </c>
      <c r="J3089" s="154"/>
      <c r="K3089" s="155" t="s">
        <v>2966</v>
      </c>
    </row>
    <row r="3090" spans="1:11" hidden="1" x14ac:dyDescent="0.25">
      <c r="A3090" s="148" t="s">
        <v>1735</v>
      </c>
      <c r="B3090" s="149" t="s">
        <v>7962</v>
      </c>
      <c r="C3090" s="150" t="s">
        <v>3982</v>
      </c>
      <c r="D3090" s="150">
        <v>0</v>
      </c>
      <c r="E3090" s="151" t="e">
        <f ca="1">OFFSET(INDEX(Composições!A:H,MATCH(Orçamentária!A3090,Composições!A:A,0),8),2,0)</f>
        <v>#REF!</v>
      </c>
      <c r="F3090" s="152" t="str">
        <f t="shared" ca="1" si="146"/>
        <v/>
      </c>
      <c r="G3090" s="153">
        <f>IF($K3090="Padrão",BDI!$B$17,IF($K3090="Diferenciado",BDI!$E$17,0))</f>
        <v>0.2039</v>
      </c>
      <c r="H3090" s="151" t="str">
        <f t="shared" ca="1" si="144"/>
        <v/>
      </c>
      <c r="I3090" s="152" t="str">
        <f t="shared" ca="1" si="145"/>
        <v/>
      </c>
      <c r="J3090" s="154"/>
      <c r="K3090" s="155" t="s">
        <v>2966</v>
      </c>
    </row>
    <row r="3091" spans="1:11" hidden="1" x14ac:dyDescent="0.25">
      <c r="A3091" s="148" t="s">
        <v>1736</v>
      </c>
      <c r="B3091" s="149" t="s">
        <v>7963</v>
      </c>
      <c r="C3091" s="150" t="s">
        <v>3982</v>
      </c>
      <c r="D3091" s="150">
        <v>0</v>
      </c>
      <c r="E3091" s="151" t="e">
        <f ca="1">OFFSET(INDEX(Composições!A:H,MATCH(Orçamentária!A3091,Composições!A:A,0),8),2,0)</f>
        <v>#REF!</v>
      </c>
      <c r="F3091" s="152" t="str">
        <f t="shared" ca="1" si="146"/>
        <v/>
      </c>
      <c r="G3091" s="153">
        <f>IF($K3091="Padrão",BDI!$B$17,IF($K3091="Diferenciado",BDI!$E$17,0))</f>
        <v>0.2039</v>
      </c>
      <c r="H3091" s="151" t="str">
        <f t="shared" ca="1" si="144"/>
        <v/>
      </c>
      <c r="I3091" s="152" t="str">
        <f t="shared" ca="1" si="145"/>
        <v/>
      </c>
      <c r="J3091" s="154"/>
      <c r="K3091" s="155" t="s">
        <v>2966</v>
      </c>
    </row>
    <row r="3092" spans="1:11" hidden="1" x14ac:dyDescent="0.25">
      <c r="A3092" s="148" t="s">
        <v>1737</v>
      </c>
      <c r="B3092" s="149" t="s">
        <v>7964</v>
      </c>
      <c r="C3092" s="150" t="s">
        <v>3982</v>
      </c>
      <c r="D3092" s="150">
        <v>0</v>
      </c>
      <c r="E3092" s="151" t="e">
        <f ca="1">OFFSET(INDEX(Composições!A:H,MATCH(Orçamentária!A3092,Composições!A:A,0),8),2,0)</f>
        <v>#REF!</v>
      </c>
      <c r="F3092" s="152" t="str">
        <f t="shared" ca="1" si="146"/>
        <v/>
      </c>
      <c r="G3092" s="153">
        <f>IF($K3092="Padrão",BDI!$B$17,IF($K3092="Diferenciado",BDI!$E$17,0))</f>
        <v>0.2039</v>
      </c>
      <c r="H3092" s="151" t="str">
        <f t="shared" ca="1" si="144"/>
        <v/>
      </c>
      <c r="I3092" s="152" t="str">
        <f t="shared" ca="1" si="145"/>
        <v/>
      </c>
      <c r="J3092" s="154"/>
      <c r="K3092" s="155" t="s">
        <v>2966</v>
      </c>
    </row>
    <row r="3093" spans="1:11" hidden="1" x14ac:dyDescent="0.25">
      <c r="A3093" s="148" t="s">
        <v>1738</v>
      </c>
      <c r="B3093" s="149" t="s">
        <v>7965</v>
      </c>
      <c r="C3093" s="150" t="s">
        <v>3982</v>
      </c>
      <c r="D3093" s="150">
        <v>0</v>
      </c>
      <c r="E3093" s="151" t="e">
        <f ca="1">OFFSET(INDEX(Composições!A:H,MATCH(Orçamentária!A3093,Composições!A:A,0),8),2,0)</f>
        <v>#REF!</v>
      </c>
      <c r="F3093" s="152" t="str">
        <f t="shared" ca="1" si="146"/>
        <v/>
      </c>
      <c r="G3093" s="153">
        <f>IF($K3093="Padrão",BDI!$B$17,IF($K3093="Diferenciado",BDI!$E$17,0))</f>
        <v>0.2039</v>
      </c>
      <c r="H3093" s="151" t="str">
        <f t="shared" ca="1" si="144"/>
        <v/>
      </c>
      <c r="I3093" s="152" t="str">
        <f t="shared" ca="1" si="145"/>
        <v/>
      </c>
      <c r="J3093" s="154"/>
      <c r="K3093" s="155" t="s">
        <v>2966</v>
      </c>
    </row>
    <row r="3094" spans="1:11" hidden="1" x14ac:dyDescent="0.25">
      <c r="A3094" s="148" t="s">
        <v>1739</v>
      </c>
      <c r="B3094" s="149" t="s">
        <v>7966</v>
      </c>
      <c r="C3094" s="150" t="s">
        <v>3982</v>
      </c>
      <c r="D3094" s="150">
        <v>0</v>
      </c>
      <c r="E3094" s="151" t="e">
        <f ca="1">OFFSET(INDEX(Composições!A:H,MATCH(Orçamentária!A3094,Composições!A:A,0),8),2,0)</f>
        <v>#REF!</v>
      </c>
      <c r="F3094" s="152" t="str">
        <f t="shared" ca="1" si="146"/>
        <v/>
      </c>
      <c r="G3094" s="153">
        <f>IF($K3094="Padrão",BDI!$B$17,IF($K3094="Diferenciado",BDI!$E$17,0))</f>
        <v>0.2039</v>
      </c>
      <c r="H3094" s="151" t="str">
        <f t="shared" ca="1" si="144"/>
        <v/>
      </c>
      <c r="I3094" s="152" t="str">
        <f t="shared" ca="1" si="145"/>
        <v/>
      </c>
      <c r="J3094" s="154"/>
      <c r="K3094" s="155" t="s">
        <v>2966</v>
      </c>
    </row>
    <row r="3095" spans="1:11" hidden="1" x14ac:dyDescent="0.25">
      <c r="A3095" s="148" t="s">
        <v>1740</v>
      </c>
      <c r="B3095" s="149" t="s">
        <v>7967</v>
      </c>
      <c r="C3095" s="150" t="s">
        <v>3982</v>
      </c>
      <c r="D3095" s="150">
        <v>0</v>
      </c>
      <c r="E3095" s="151" t="e">
        <f ca="1">OFFSET(INDEX(Composições!A:H,MATCH(Orçamentária!A3095,Composições!A:A,0),8),2,0)</f>
        <v>#REF!</v>
      </c>
      <c r="F3095" s="152" t="str">
        <f t="shared" ca="1" si="146"/>
        <v/>
      </c>
      <c r="G3095" s="153">
        <f>IF($K3095="Padrão",BDI!$B$17,IF($K3095="Diferenciado",BDI!$E$17,0))</f>
        <v>0.2039</v>
      </c>
      <c r="H3095" s="151" t="str">
        <f t="shared" ca="1" si="144"/>
        <v/>
      </c>
      <c r="I3095" s="152" t="str">
        <f t="shared" ca="1" si="145"/>
        <v/>
      </c>
      <c r="J3095" s="154"/>
      <c r="K3095" s="155" t="s">
        <v>2966</v>
      </c>
    </row>
    <row r="3096" spans="1:11" hidden="1" x14ac:dyDescent="0.25">
      <c r="A3096" s="148" t="s">
        <v>1741</v>
      </c>
      <c r="B3096" s="149" t="s">
        <v>7968</v>
      </c>
      <c r="C3096" s="150" t="s">
        <v>3982</v>
      </c>
      <c r="D3096" s="150">
        <v>0</v>
      </c>
      <c r="E3096" s="151" t="e">
        <f ca="1">OFFSET(INDEX(Composições!A:H,MATCH(Orçamentária!A3096,Composições!A:A,0),8),2,0)</f>
        <v>#REF!</v>
      </c>
      <c r="F3096" s="152" t="str">
        <f t="shared" ca="1" si="146"/>
        <v/>
      </c>
      <c r="G3096" s="153">
        <f>IF($K3096="Padrão",BDI!$B$17,IF($K3096="Diferenciado",BDI!$E$17,0))</f>
        <v>0.2039</v>
      </c>
      <c r="H3096" s="151" t="str">
        <f t="shared" ca="1" si="144"/>
        <v/>
      </c>
      <c r="I3096" s="152" t="str">
        <f t="shared" ca="1" si="145"/>
        <v/>
      </c>
      <c r="J3096" s="154"/>
      <c r="K3096" s="155" t="s">
        <v>2966</v>
      </c>
    </row>
    <row r="3097" spans="1:11" hidden="1" x14ac:dyDescent="0.25">
      <c r="A3097" s="148" t="s">
        <v>1742</v>
      </c>
      <c r="B3097" s="149" t="s">
        <v>7969</v>
      </c>
      <c r="C3097" s="150" t="s">
        <v>3982</v>
      </c>
      <c r="D3097" s="150">
        <v>0</v>
      </c>
      <c r="E3097" s="151" t="e">
        <f ca="1">OFFSET(INDEX(Composições!A:H,MATCH(Orçamentária!A3097,Composições!A:A,0),8),2,0)</f>
        <v>#REF!</v>
      </c>
      <c r="F3097" s="152" t="str">
        <f t="shared" ca="1" si="146"/>
        <v/>
      </c>
      <c r="G3097" s="153">
        <f>IF($K3097="Padrão",BDI!$B$17,IF($K3097="Diferenciado",BDI!$E$17,0))</f>
        <v>0.2039</v>
      </c>
      <c r="H3097" s="151" t="str">
        <f t="shared" ca="1" si="144"/>
        <v/>
      </c>
      <c r="I3097" s="152" t="str">
        <f t="shared" ca="1" si="145"/>
        <v/>
      </c>
      <c r="J3097" s="154"/>
      <c r="K3097" s="155" t="s">
        <v>2966</v>
      </c>
    </row>
    <row r="3098" spans="1:11" hidden="1" x14ac:dyDescent="0.25">
      <c r="A3098" s="148" t="s">
        <v>1743</v>
      </c>
      <c r="B3098" s="149" t="s">
        <v>7970</v>
      </c>
      <c r="C3098" s="150" t="s">
        <v>3982</v>
      </c>
      <c r="D3098" s="150">
        <v>0</v>
      </c>
      <c r="E3098" s="151" t="e">
        <f ca="1">OFFSET(INDEX(Composições!A:H,MATCH(Orçamentária!A3098,Composições!A:A,0),8),2,0)</f>
        <v>#REF!</v>
      </c>
      <c r="F3098" s="152" t="str">
        <f t="shared" ca="1" si="146"/>
        <v/>
      </c>
      <c r="G3098" s="153">
        <f>IF($K3098="Padrão",BDI!$B$17,IF($K3098="Diferenciado",BDI!$E$17,0))</f>
        <v>0.2039</v>
      </c>
      <c r="H3098" s="151" t="str">
        <f t="shared" ca="1" si="144"/>
        <v/>
      </c>
      <c r="I3098" s="152" t="str">
        <f t="shared" ca="1" si="145"/>
        <v/>
      </c>
      <c r="J3098" s="154"/>
      <c r="K3098" s="155" t="s">
        <v>2966</v>
      </c>
    </row>
    <row r="3099" spans="1:11" hidden="1" x14ac:dyDescent="0.25">
      <c r="A3099" s="148" t="s">
        <v>7971</v>
      </c>
      <c r="B3099" s="149" t="s">
        <v>7972</v>
      </c>
      <c r="C3099" s="150" t="s">
        <v>18</v>
      </c>
      <c r="D3099" s="150">
        <v>0</v>
      </c>
      <c r="E3099" s="151" t="s">
        <v>13</v>
      </c>
      <c r="F3099" s="152" t="str">
        <f t="shared" si="146"/>
        <v/>
      </c>
      <c r="G3099" s="153">
        <f>IF($K3099="Padrão",BDI!$B$17,IF($K3099="Diferenciado",BDI!$E$17,0))</f>
        <v>0.2039</v>
      </c>
      <c r="H3099" s="151" t="str">
        <f t="shared" si="144"/>
        <v/>
      </c>
      <c r="I3099" s="152" t="str">
        <f t="shared" si="145"/>
        <v/>
      </c>
      <c r="J3099" s="154"/>
      <c r="K3099" s="155" t="s">
        <v>2966</v>
      </c>
    </row>
    <row r="3100" spans="1:11" hidden="1" x14ac:dyDescent="0.25">
      <c r="A3100" s="148" t="s">
        <v>1744</v>
      </c>
      <c r="B3100" s="149" t="s">
        <v>7973</v>
      </c>
      <c r="C3100" s="150" t="s">
        <v>18</v>
      </c>
      <c r="D3100" s="150">
        <v>0</v>
      </c>
      <c r="E3100" s="151">
        <f ca="1">OFFSET(INDEX(Composições!A:H,MATCH(Orçamentária!A3100,Composições!A:A,0),8),2,0)</f>
        <v>565.76299999999992</v>
      </c>
      <c r="F3100" s="152">
        <f t="shared" ca="1" si="146"/>
        <v>0</v>
      </c>
      <c r="G3100" s="153">
        <f>IF($K3100="Padrão",BDI!$B$17,IF($K3100="Diferenciado",BDI!$E$17,0))</f>
        <v>0.2039</v>
      </c>
      <c r="H3100" s="151">
        <f t="shared" ca="1" si="144"/>
        <v>681.12</v>
      </c>
      <c r="I3100" s="152">
        <f t="shared" ca="1" si="145"/>
        <v>0</v>
      </c>
      <c r="J3100" s="154"/>
      <c r="K3100" s="155" t="s">
        <v>2966</v>
      </c>
    </row>
    <row r="3101" spans="1:11" hidden="1" x14ac:dyDescent="0.25">
      <c r="A3101" s="148" t="s">
        <v>1745</v>
      </c>
      <c r="B3101" s="149" t="s">
        <v>7974</v>
      </c>
      <c r="C3101" s="150" t="s">
        <v>18</v>
      </c>
      <c r="D3101" s="150">
        <v>0</v>
      </c>
      <c r="E3101" s="151">
        <f ca="1">OFFSET(INDEX(Composições!A:H,MATCH(Orçamentária!A3101,Composições!A:A,0),8),2,0)</f>
        <v>221.47349999999997</v>
      </c>
      <c r="F3101" s="152">
        <f t="shared" ca="1" si="146"/>
        <v>0</v>
      </c>
      <c r="G3101" s="153">
        <f>IF($K3101="Padrão",BDI!$B$17,IF($K3101="Diferenciado",BDI!$E$17,0))</f>
        <v>0.2039</v>
      </c>
      <c r="H3101" s="151">
        <f t="shared" ca="1" si="144"/>
        <v>266.63</v>
      </c>
      <c r="I3101" s="152">
        <f t="shared" ca="1" si="145"/>
        <v>0</v>
      </c>
      <c r="J3101" s="154"/>
      <c r="K3101" s="155" t="s">
        <v>2966</v>
      </c>
    </row>
    <row r="3102" spans="1:11" hidden="1" x14ac:dyDescent="0.25">
      <c r="A3102" s="148" t="s">
        <v>7975</v>
      </c>
      <c r="B3102" s="149" t="s">
        <v>7976</v>
      </c>
      <c r="C3102" s="150" t="s">
        <v>18</v>
      </c>
      <c r="D3102" s="150">
        <v>0</v>
      </c>
      <c r="E3102" s="151" t="s">
        <v>13</v>
      </c>
      <c r="F3102" s="152" t="str">
        <f t="shared" si="146"/>
        <v/>
      </c>
      <c r="G3102" s="153">
        <f>IF($K3102="Padrão",BDI!$B$17,IF($K3102="Diferenciado",BDI!$E$17,0))</f>
        <v>0.2039</v>
      </c>
      <c r="H3102" s="151" t="str">
        <f t="shared" si="144"/>
        <v/>
      </c>
      <c r="I3102" s="152" t="str">
        <f t="shared" si="145"/>
        <v/>
      </c>
      <c r="J3102" s="154"/>
      <c r="K3102" s="155" t="s">
        <v>2966</v>
      </c>
    </row>
    <row r="3103" spans="1:11" hidden="1" x14ac:dyDescent="0.25">
      <c r="A3103" s="148" t="s">
        <v>7977</v>
      </c>
      <c r="B3103" s="149" t="s">
        <v>7978</v>
      </c>
      <c r="C3103" s="150" t="s">
        <v>461</v>
      </c>
      <c r="D3103" s="150">
        <v>0</v>
      </c>
      <c r="E3103" s="151" t="s">
        <v>13</v>
      </c>
      <c r="F3103" s="152" t="str">
        <f t="shared" si="146"/>
        <v/>
      </c>
      <c r="G3103" s="153">
        <f>IF($K3103="Padrão",BDI!$B$17,IF($K3103="Diferenciado",BDI!$E$17,0))</f>
        <v>0.2039</v>
      </c>
      <c r="H3103" s="151" t="str">
        <f t="shared" si="144"/>
        <v/>
      </c>
      <c r="I3103" s="152" t="str">
        <f t="shared" si="145"/>
        <v/>
      </c>
      <c r="J3103" s="154"/>
      <c r="K3103" s="155" t="s">
        <v>2966</v>
      </c>
    </row>
    <row r="3104" spans="1:11" hidden="1" x14ac:dyDescent="0.25">
      <c r="A3104" s="148" t="s">
        <v>7979</v>
      </c>
      <c r="B3104" s="149" t="s">
        <v>7980</v>
      </c>
      <c r="C3104" s="150" t="s">
        <v>18</v>
      </c>
      <c r="D3104" s="150">
        <v>0</v>
      </c>
      <c r="E3104" s="151" t="s">
        <v>13</v>
      </c>
      <c r="F3104" s="152" t="str">
        <f t="shared" si="146"/>
        <v/>
      </c>
      <c r="G3104" s="153">
        <f>IF($K3104="Padrão",BDI!$B$17,IF($K3104="Diferenciado",BDI!$E$17,0))</f>
        <v>0.2039</v>
      </c>
      <c r="H3104" s="151" t="str">
        <f t="shared" si="144"/>
        <v/>
      </c>
      <c r="I3104" s="152" t="str">
        <f t="shared" si="145"/>
        <v/>
      </c>
      <c r="J3104" s="154"/>
      <c r="K3104" s="155" t="s">
        <v>2966</v>
      </c>
    </row>
    <row r="3105" spans="1:11" hidden="1" x14ac:dyDescent="0.25">
      <c r="A3105" s="148" t="s">
        <v>7981</v>
      </c>
      <c r="B3105" s="149" t="s">
        <v>7982</v>
      </c>
      <c r="C3105" s="150" t="s">
        <v>18</v>
      </c>
      <c r="D3105" s="150">
        <v>0</v>
      </c>
      <c r="E3105" s="151" t="s">
        <v>13</v>
      </c>
      <c r="F3105" s="152" t="str">
        <f t="shared" si="146"/>
        <v/>
      </c>
      <c r="G3105" s="153">
        <f>IF($K3105="Padrão",BDI!$B$17,IF($K3105="Diferenciado",BDI!$E$17,0))</f>
        <v>0.2039</v>
      </c>
      <c r="H3105" s="151" t="str">
        <f t="shared" si="144"/>
        <v/>
      </c>
      <c r="I3105" s="152" t="str">
        <f t="shared" si="145"/>
        <v/>
      </c>
      <c r="J3105" s="154"/>
      <c r="K3105" s="155" t="s">
        <v>2966</v>
      </c>
    </row>
    <row r="3106" spans="1:11" hidden="1" x14ac:dyDescent="0.25">
      <c r="A3106" s="148" t="s">
        <v>7983</v>
      </c>
      <c r="B3106" s="149" t="s">
        <v>7984</v>
      </c>
      <c r="C3106" s="150" t="s">
        <v>18</v>
      </c>
      <c r="D3106" s="150">
        <v>0</v>
      </c>
      <c r="E3106" s="151" t="s">
        <v>13</v>
      </c>
      <c r="F3106" s="152" t="str">
        <f t="shared" si="146"/>
        <v/>
      </c>
      <c r="G3106" s="153">
        <f>IF($K3106="Padrão",BDI!$B$17,IF($K3106="Diferenciado",BDI!$E$17,0))</f>
        <v>0.2039</v>
      </c>
      <c r="H3106" s="151" t="str">
        <f t="shared" si="144"/>
        <v/>
      </c>
      <c r="I3106" s="152" t="str">
        <f t="shared" si="145"/>
        <v/>
      </c>
      <c r="J3106" s="154"/>
      <c r="K3106" s="155" t="s">
        <v>2966</v>
      </c>
    </row>
    <row r="3107" spans="1:11" hidden="1" x14ac:dyDescent="0.25">
      <c r="A3107" s="148" t="s">
        <v>7985</v>
      </c>
      <c r="B3107" s="149" t="s">
        <v>7986</v>
      </c>
      <c r="C3107" s="150" t="s">
        <v>18</v>
      </c>
      <c r="D3107" s="150">
        <v>0</v>
      </c>
      <c r="E3107" s="151" t="s">
        <v>13</v>
      </c>
      <c r="F3107" s="152" t="str">
        <f t="shared" si="146"/>
        <v/>
      </c>
      <c r="G3107" s="153">
        <f>IF($K3107="Padrão",BDI!$B$17,IF($K3107="Diferenciado",BDI!$E$17,0))</f>
        <v>0.2039</v>
      </c>
      <c r="H3107" s="151" t="str">
        <f t="shared" si="144"/>
        <v/>
      </c>
      <c r="I3107" s="152" t="str">
        <f t="shared" si="145"/>
        <v/>
      </c>
      <c r="J3107" s="154"/>
      <c r="K3107" s="155" t="s">
        <v>2966</v>
      </c>
    </row>
    <row r="3108" spans="1:11" hidden="1" x14ac:dyDescent="0.25">
      <c r="A3108" s="148" t="s">
        <v>7987</v>
      </c>
      <c r="B3108" s="149" t="s">
        <v>7988</v>
      </c>
      <c r="C3108" s="150" t="s">
        <v>18</v>
      </c>
      <c r="D3108" s="150">
        <v>0</v>
      </c>
      <c r="E3108" s="151" t="s">
        <v>13</v>
      </c>
      <c r="F3108" s="152" t="str">
        <f t="shared" si="146"/>
        <v/>
      </c>
      <c r="G3108" s="153">
        <f>IF($K3108="Padrão",BDI!$B$17,IF($K3108="Diferenciado",BDI!$E$17,0))</f>
        <v>0.2039</v>
      </c>
      <c r="H3108" s="151" t="str">
        <f t="shared" si="144"/>
        <v/>
      </c>
      <c r="I3108" s="152" t="str">
        <f t="shared" si="145"/>
        <v/>
      </c>
      <c r="J3108" s="154"/>
      <c r="K3108" s="155" t="s">
        <v>2966</v>
      </c>
    </row>
    <row r="3109" spans="1:11" hidden="1" x14ac:dyDescent="0.25">
      <c r="A3109" s="148" t="s">
        <v>7989</v>
      </c>
      <c r="B3109" s="149" t="s">
        <v>7990</v>
      </c>
      <c r="C3109" s="150" t="s">
        <v>18</v>
      </c>
      <c r="D3109" s="150">
        <v>0</v>
      </c>
      <c r="E3109" s="151" t="s">
        <v>13</v>
      </c>
      <c r="F3109" s="152" t="str">
        <f t="shared" si="146"/>
        <v/>
      </c>
      <c r="G3109" s="153">
        <f>IF($K3109="Padrão",BDI!$B$17,IF($K3109="Diferenciado",BDI!$E$17,0))</f>
        <v>0.2039</v>
      </c>
      <c r="H3109" s="151" t="str">
        <f t="shared" si="144"/>
        <v/>
      </c>
      <c r="I3109" s="152" t="str">
        <f t="shared" si="145"/>
        <v/>
      </c>
      <c r="J3109" s="154"/>
      <c r="K3109" s="155" t="s">
        <v>2966</v>
      </c>
    </row>
    <row r="3110" spans="1:11" hidden="1" x14ac:dyDescent="0.25">
      <c r="A3110" s="148" t="s">
        <v>7991</v>
      </c>
      <c r="B3110" s="149" t="s">
        <v>7992</v>
      </c>
      <c r="C3110" s="150" t="s">
        <v>18</v>
      </c>
      <c r="D3110" s="150">
        <v>0</v>
      </c>
      <c r="E3110" s="151" t="s">
        <v>13</v>
      </c>
      <c r="F3110" s="152" t="str">
        <f t="shared" si="146"/>
        <v/>
      </c>
      <c r="G3110" s="153">
        <f>IF($K3110="Padrão",BDI!$B$17,IF($K3110="Diferenciado",BDI!$E$17,0))</f>
        <v>0.2039</v>
      </c>
      <c r="H3110" s="151" t="str">
        <f t="shared" si="144"/>
        <v/>
      </c>
      <c r="I3110" s="152" t="str">
        <f t="shared" si="145"/>
        <v/>
      </c>
      <c r="J3110" s="154"/>
      <c r="K3110" s="155" t="s">
        <v>2966</v>
      </c>
    </row>
    <row r="3111" spans="1:11" hidden="1" x14ac:dyDescent="0.25">
      <c r="A3111" s="148" t="s">
        <v>7993</v>
      </c>
      <c r="B3111" s="149" t="s">
        <v>7994</v>
      </c>
      <c r="C3111" s="150" t="s">
        <v>18</v>
      </c>
      <c r="D3111" s="150">
        <v>0</v>
      </c>
      <c r="E3111" s="151" t="s">
        <v>13</v>
      </c>
      <c r="F3111" s="152" t="str">
        <f t="shared" si="146"/>
        <v/>
      </c>
      <c r="G3111" s="153">
        <f>IF($K3111="Padrão",BDI!$B$17,IF($K3111="Diferenciado",BDI!$E$17,0))</f>
        <v>0.2039</v>
      </c>
      <c r="H3111" s="151" t="str">
        <f t="shared" si="144"/>
        <v/>
      </c>
      <c r="I3111" s="152" t="str">
        <f t="shared" si="145"/>
        <v/>
      </c>
      <c r="J3111" s="154"/>
      <c r="K3111" s="155" t="s">
        <v>2966</v>
      </c>
    </row>
    <row r="3112" spans="1:11" hidden="1" x14ac:dyDescent="0.25">
      <c r="A3112" s="148" t="s">
        <v>7995</v>
      </c>
      <c r="B3112" s="149" t="s">
        <v>7996</v>
      </c>
      <c r="C3112" s="150" t="s">
        <v>18</v>
      </c>
      <c r="D3112" s="150">
        <v>0</v>
      </c>
      <c r="E3112" s="151" t="s">
        <v>13</v>
      </c>
      <c r="F3112" s="152" t="str">
        <f t="shared" si="146"/>
        <v/>
      </c>
      <c r="G3112" s="153">
        <f>IF($K3112="Padrão",BDI!$B$17,IF($K3112="Diferenciado",BDI!$E$17,0))</f>
        <v>0.2039</v>
      </c>
      <c r="H3112" s="151" t="str">
        <f t="shared" si="144"/>
        <v/>
      </c>
      <c r="I3112" s="152" t="str">
        <f t="shared" si="145"/>
        <v/>
      </c>
      <c r="J3112" s="154"/>
      <c r="K3112" s="155" t="s">
        <v>2966</v>
      </c>
    </row>
    <row r="3113" spans="1:11" hidden="1" x14ac:dyDescent="0.25">
      <c r="A3113" s="148" t="s">
        <v>7997</v>
      </c>
      <c r="B3113" s="149" t="s">
        <v>7998</v>
      </c>
      <c r="C3113" s="150" t="s">
        <v>18</v>
      </c>
      <c r="D3113" s="150">
        <v>0</v>
      </c>
      <c r="E3113" s="151" t="s">
        <v>13</v>
      </c>
      <c r="F3113" s="152" t="str">
        <f t="shared" si="146"/>
        <v/>
      </c>
      <c r="G3113" s="153">
        <f>IF($K3113="Padrão",BDI!$B$17,IF($K3113="Diferenciado",BDI!$E$17,0))</f>
        <v>0.2039</v>
      </c>
      <c r="H3113" s="151" t="str">
        <f t="shared" si="144"/>
        <v/>
      </c>
      <c r="I3113" s="152" t="str">
        <f t="shared" si="145"/>
        <v/>
      </c>
      <c r="J3113" s="154"/>
      <c r="K3113" s="155" t="s">
        <v>2966</v>
      </c>
    </row>
    <row r="3114" spans="1:11" hidden="1" x14ac:dyDescent="0.25">
      <c r="A3114" s="148" t="s">
        <v>7999</v>
      </c>
      <c r="B3114" s="149" t="s">
        <v>8000</v>
      </c>
      <c r="C3114" s="150" t="s">
        <v>18</v>
      </c>
      <c r="D3114" s="150">
        <v>0</v>
      </c>
      <c r="E3114" s="151" t="s">
        <v>13</v>
      </c>
      <c r="F3114" s="152" t="str">
        <f t="shared" si="146"/>
        <v/>
      </c>
      <c r="G3114" s="153">
        <f>IF($K3114="Padrão",BDI!$B$17,IF($K3114="Diferenciado",BDI!$E$17,0))</f>
        <v>0.2039</v>
      </c>
      <c r="H3114" s="151" t="str">
        <f t="shared" si="144"/>
        <v/>
      </c>
      <c r="I3114" s="152" t="str">
        <f t="shared" si="145"/>
        <v/>
      </c>
      <c r="J3114" s="154"/>
      <c r="K3114" s="155" t="s">
        <v>2966</v>
      </c>
    </row>
    <row r="3115" spans="1:11" hidden="1" x14ac:dyDescent="0.25">
      <c r="A3115" s="148" t="s">
        <v>8001</v>
      </c>
      <c r="B3115" s="149" t="s">
        <v>8002</v>
      </c>
      <c r="C3115" s="150" t="s">
        <v>18</v>
      </c>
      <c r="D3115" s="150">
        <v>0</v>
      </c>
      <c r="E3115" s="151" t="s">
        <v>13</v>
      </c>
      <c r="F3115" s="152" t="str">
        <f t="shared" si="146"/>
        <v/>
      </c>
      <c r="G3115" s="153">
        <f>IF($K3115="Padrão",BDI!$B$17,IF($K3115="Diferenciado",BDI!$E$17,0))</f>
        <v>0.2039</v>
      </c>
      <c r="H3115" s="151" t="str">
        <f t="shared" si="144"/>
        <v/>
      </c>
      <c r="I3115" s="152" t="str">
        <f t="shared" si="145"/>
        <v/>
      </c>
      <c r="J3115" s="154"/>
      <c r="K3115" s="155" t="s">
        <v>2966</v>
      </c>
    </row>
    <row r="3116" spans="1:11" hidden="1" x14ac:dyDescent="0.25">
      <c r="A3116" s="148" t="s">
        <v>1746</v>
      </c>
      <c r="B3116" s="149" t="s">
        <v>8003</v>
      </c>
      <c r="C3116" s="150" t="s">
        <v>18</v>
      </c>
      <c r="D3116" s="150">
        <v>0</v>
      </c>
      <c r="E3116" s="151">
        <f ca="1">OFFSET(INDEX(Composições!A:H,MATCH(Orçamentária!A3116,Composições!A:A,0),8),2,0)</f>
        <v>63.74499999999999</v>
      </c>
      <c r="F3116" s="152">
        <f t="shared" ca="1" si="146"/>
        <v>0</v>
      </c>
      <c r="G3116" s="153">
        <f>IF($K3116="Padrão",BDI!$B$17,IF($K3116="Diferenciado",BDI!$E$17,0))</f>
        <v>0.2039</v>
      </c>
      <c r="H3116" s="151">
        <f t="shared" ca="1" si="144"/>
        <v>76.739999999999995</v>
      </c>
      <c r="I3116" s="152">
        <f t="shared" ca="1" si="145"/>
        <v>0</v>
      </c>
      <c r="J3116" s="154"/>
      <c r="K3116" s="155" t="s">
        <v>2966</v>
      </c>
    </row>
    <row r="3117" spans="1:11" hidden="1" x14ac:dyDescent="0.25">
      <c r="A3117" s="148" t="s">
        <v>1747</v>
      </c>
      <c r="B3117" s="149" t="s">
        <v>8004</v>
      </c>
      <c r="C3117" s="150" t="s">
        <v>106</v>
      </c>
      <c r="D3117" s="150">
        <v>0</v>
      </c>
      <c r="E3117" s="151">
        <f ca="1">OFFSET(INDEX(Composições!A:H,MATCH(Orçamentária!A3117,Composições!A:A,0),8),2,0)</f>
        <v>48.915500000000002</v>
      </c>
      <c r="F3117" s="152">
        <f t="shared" ca="1" si="146"/>
        <v>0</v>
      </c>
      <c r="G3117" s="153">
        <f>IF($K3117="Padrão",BDI!$B$17,IF($K3117="Diferenciado",BDI!$E$17,0))</f>
        <v>0.2039</v>
      </c>
      <c r="H3117" s="151">
        <f t="shared" ca="1" si="144"/>
        <v>58.89</v>
      </c>
      <c r="I3117" s="152">
        <f t="shared" ca="1" si="145"/>
        <v>0</v>
      </c>
      <c r="J3117" s="154"/>
      <c r="K3117" s="155" t="s">
        <v>2966</v>
      </c>
    </row>
    <row r="3118" spans="1:11" hidden="1" x14ac:dyDescent="0.25">
      <c r="A3118" s="148" t="s">
        <v>8005</v>
      </c>
      <c r="B3118" s="149" t="s">
        <v>8006</v>
      </c>
      <c r="C3118" s="150" t="s">
        <v>18</v>
      </c>
      <c r="D3118" s="150">
        <v>0</v>
      </c>
      <c r="E3118" s="151" t="s">
        <v>13</v>
      </c>
      <c r="F3118" s="152" t="str">
        <f t="shared" si="146"/>
        <v/>
      </c>
      <c r="G3118" s="153">
        <f>IF($K3118="Padrão",BDI!$B$17,IF($K3118="Diferenciado",BDI!$E$17,0))</f>
        <v>0.2039</v>
      </c>
      <c r="H3118" s="151" t="str">
        <f t="shared" si="144"/>
        <v/>
      </c>
      <c r="I3118" s="152" t="str">
        <f t="shared" si="145"/>
        <v/>
      </c>
      <c r="J3118" s="154"/>
      <c r="K3118" s="155" t="s">
        <v>2966</v>
      </c>
    </row>
    <row r="3119" spans="1:11" hidden="1" x14ac:dyDescent="0.25">
      <c r="A3119" s="148" t="s">
        <v>8007</v>
      </c>
      <c r="B3119" s="149" t="s">
        <v>8008</v>
      </c>
      <c r="C3119" s="150" t="s">
        <v>18</v>
      </c>
      <c r="D3119" s="150">
        <v>0</v>
      </c>
      <c r="E3119" s="151" t="s">
        <v>13</v>
      </c>
      <c r="F3119" s="152" t="str">
        <f t="shared" si="146"/>
        <v/>
      </c>
      <c r="G3119" s="153">
        <f>IF($K3119="Padrão",BDI!$B$17,IF($K3119="Diferenciado",BDI!$E$17,0))</f>
        <v>0.2039</v>
      </c>
      <c r="H3119" s="151" t="str">
        <f t="shared" si="144"/>
        <v/>
      </c>
      <c r="I3119" s="152" t="str">
        <f t="shared" si="145"/>
        <v/>
      </c>
      <c r="J3119" s="154"/>
      <c r="K3119" s="155" t="s">
        <v>2966</v>
      </c>
    </row>
    <row r="3120" spans="1:11" hidden="1" x14ac:dyDescent="0.25">
      <c r="A3120" s="148" t="s">
        <v>8009</v>
      </c>
      <c r="B3120" s="149" t="s">
        <v>8010</v>
      </c>
      <c r="C3120" s="150" t="s">
        <v>3474</v>
      </c>
      <c r="D3120" s="150">
        <v>0</v>
      </c>
      <c r="E3120" s="151" t="s">
        <v>13</v>
      </c>
      <c r="F3120" s="152" t="str">
        <f t="shared" si="146"/>
        <v/>
      </c>
      <c r="G3120" s="153">
        <f>IF($K3120="Padrão",BDI!$B$17,IF($K3120="Diferenciado",BDI!$E$17,0))</f>
        <v>0.2039</v>
      </c>
      <c r="H3120" s="151" t="str">
        <f t="shared" si="144"/>
        <v/>
      </c>
      <c r="I3120" s="152" t="str">
        <f t="shared" si="145"/>
        <v/>
      </c>
      <c r="J3120" s="154"/>
      <c r="K3120" s="155" t="s">
        <v>2966</v>
      </c>
    </row>
    <row r="3121" spans="1:11" hidden="1" x14ac:dyDescent="0.25">
      <c r="A3121" s="148" t="s">
        <v>8011</v>
      </c>
      <c r="B3121" s="149" t="s">
        <v>8012</v>
      </c>
      <c r="C3121" s="150" t="s">
        <v>18</v>
      </c>
      <c r="D3121" s="150">
        <v>0</v>
      </c>
      <c r="E3121" s="151" t="s">
        <v>13</v>
      </c>
      <c r="F3121" s="152" t="str">
        <f t="shared" si="146"/>
        <v/>
      </c>
      <c r="G3121" s="153">
        <f>IF($K3121="Padrão",BDI!$B$17,IF($K3121="Diferenciado",BDI!$E$17,0))</f>
        <v>0.2039</v>
      </c>
      <c r="H3121" s="151" t="str">
        <f t="shared" si="144"/>
        <v/>
      </c>
      <c r="I3121" s="152" t="str">
        <f t="shared" si="145"/>
        <v/>
      </c>
      <c r="J3121" s="154"/>
      <c r="K3121" s="155" t="s">
        <v>2966</v>
      </c>
    </row>
    <row r="3122" spans="1:11" hidden="1" x14ac:dyDescent="0.25">
      <c r="A3122" s="148" t="s">
        <v>8013</v>
      </c>
      <c r="B3122" s="149" t="s">
        <v>8014</v>
      </c>
      <c r="C3122" s="150" t="s">
        <v>18</v>
      </c>
      <c r="D3122" s="150">
        <v>0</v>
      </c>
      <c r="E3122" s="151" t="s">
        <v>13</v>
      </c>
      <c r="F3122" s="152" t="str">
        <f t="shared" si="146"/>
        <v/>
      </c>
      <c r="G3122" s="153">
        <f>IF($K3122="Padrão",BDI!$B$17,IF($K3122="Diferenciado",BDI!$E$17,0))</f>
        <v>0.2039</v>
      </c>
      <c r="H3122" s="151" t="str">
        <f t="shared" si="144"/>
        <v/>
      </c>
      <c r="I3122" s="152" t="str">
        <f t="shared" si="145"/>
        <v/>
      </c>
      <c r="J3122" s="154"/>
      <c r="K3122" s="155" t="s">
        <v>2966</v>
      </c>
    </row>
    <row r="3123" spans="1:11" hidden="1" x14ac:dyDescent="0.25">
      <c r="A3123" s="148" t="s">
        <v>8015</v>
      </c>
      <c r="B3123" s="149" t="s">
        <v>8016</v>
      </c>
      <c r="C3123" s="150" t="s">
        <v>18</v>
      </c>
      <c r="D3123" s="150">
        <v>0</v>
      </c>
      <c r="E3123" s="151" t="s">
        <v>13</v>
      </c>
      <c r="F3123" s="152" t="str">
        <f t="shared" si="146"/>
        <v/>
      </c>
      <c r="G3123" s="153">
        <f>IF($K3123="Padrão",BDI!$B$17,IF($K3123="Diferenciado",BDI!$E$17,0))</f>
        <v>0.2039</v>
      </c>
      <c r="H3123" s="151" t="str">
        <f t="shared" si="144"/>
        <v/>
      </c>
      <c r="I3123" s="152" t="str">
        <f t="shared" si="145"/>
        <v/>
      </c>
      <c r="J3123" s="154"/>
      <c r="K3123" s="155" t="s">
        <v>2966</v>
      </c>
    </row>
    <row r="3124" spans="1:11" hidden="1" x14ac:dyDescent="0.25">
      <c r="A3124" s="148" t="s">
        <v>8017</v>
      </c>
      <c r="B3124" s="149" t="s">
        <v>8018</v>
      </c>
      <c r="C3124" s="150" t="s">
        <v>18</v>
      </c>
      <c r="D3124" s="150">
        <v>0</v>
      </c>
      <c r="E3124" s="151" t="s">
        <v>13</v>
      </c>
      <c r="F3124" s="152" t="str">
        <f t="shared" si="146"/>
        <v/>
      </c>
      <c r="G3124" s="153">
        <f>IF($K3124="Padrão",BDI!$B$17,IF($K3124="Diferenciado",BDI!$E$17,0))</f>
        <v>0.2039</v>
      </c>
      <c r="H3124" s="151" t="str">
        <f t="shared" si="144"/>
        <v/>
      </c>
      <c r="I3124" s="152" t="str">
        <f t="shared" si="145"/>
        <v/>
      </c>
      <c r="J3124" s="154"/>
      <c r="K3124" s="155" t="s">
        <v>2966</v>
      </c>
    </row>
    <row r="3125" spans="1:11" hidden="1" x14ac:dyDescent="0.25">
      <c r="A3125" s="148" t="s">
        <v>8019</v>
      </c>
      <c r="B3125" s="149" t="s">
        <v>8020</v>
      </c>
      <c r="C3125" s="150" t="s">
        <v>18</v>
      </c>
      <c r="D3125" s="150">
        <v>0</v>
      </c>
      <c r="E3125" s="151" t="s">
        <v>13</v>
      </c>
      <c r="F3125" s="152" t="str">
        <f t="shared" si="146"/>
        <v/>
      </c>
      <c r="G3125" s="153">
        <f>IF($K3125="Padrão",BDI!$B$17,IF($K3125="Diferenciado",BDI!$E$17,0))</f>
        <v>0.2039</v>
      </c>
      <c r="H3125" s="151" t="str">
        <f t="shared" si="144"/>
        <v/>
      </c>
      <c r="I3125" s="152" t="str">
        <f t="shared" si="145"/>
        <v/>
      </c>
      <c r="J3125" s="154"/>
      <c r="K3125" s="155" t="s">
        <v>2966</v>
      </c>
    </row>
    <row r="3126" spans="1:11" hidden="1" x14ac:dyDescent="0.25">
      <c r="A3126" s="148" t="s">
        <v>8021</v>
      </c>
      <c r="B3126" s="149" t="s">
        <v>8022</v>
      </c>
      <c r="C3126" s="150" t="s">
        <v>18</v>
      </c>
      <c r="D3126" s="150">
        <v>0</v>
      </c>
      <c r="E3126" s="151" t="s">
        <v>13</v>
      </c>
      <c r="F3126" s="152" t="str">
        <f t="shared" si="146"/>
        <v/>
      </c>
      <c r="G3126" s="153">
        <f>IF($K3126="Padrão",BDI!$B$17,IF($K3126="Diferenciado",BDI!$E$17,0))</f>
        <v>0.2039</v>
      </c>
      <c r="H3126" s="151" t="str">
        <f t="shared" si="144"/>
        <v/>
      </c>
      <c r="I3126" s="152" t="str">
        <f t="shared" si="145"/>
        <v/>
      </c>
      <c r="J3126" s="154"/>
      <c r="K3126" s="155" t="s">
        <v>2966</v>
      </c>
    </row>
    <row r="3127" spans="1:11" hidden="1" x14ac:dyDescent="0.25">
      <c r="A3127" s="148" t="s">
        <v>8023</v>
      </c>
      <c r="B3127" s="149" t="s">
        <v>8024</v>
      </c>
      <c r="C3127" s="150" t="s">
        <v>3474</v>
      </c>
      <c r="D3127" s="150">
        <v>0</v>
      </c>
      <c r="E3127" s="151" t="s">
        <v>13</v>
      </c>
      <c r="F3127" s="152" t="str">
        <f t="shared" si="146"/>
        <v/>
      </c>
      <c r="G3127" s="153">
        <f>IF($K3127="Padrão",BDI!$B$17,IF($K3127="Diferenciado",BDI!$E$17,0))</f>
        <v>0.2039</v>
      </c>
      <c r="H3127" s="151" t="str">
        <f t="shared" si="144"/>
        <v/>
      </c>
      <c r="I3127" s="152" t="str">
        <f t="shared" si="145"/>
        <v/>
      </c>
      <c r="J3127" s="154"/>
      <c r="K3127" s="155" t="s">
        <v>2966</v>
      </c>
    </row>
    <row r="3128" spans="1:11" hidden="1" x14ac:dyDescent="0.25">
      <c r="A3128" s="148" t="s">
        <v>8025</v>
      </c>
      <c r="B3128" s="149" t="s">
        <v>8026</v>
      </c>
      <c r="C3128" s="150" t="s">
        <v>18</v>
      </c>
      <c r="D3128" s="150">
        <v>0</v>
      </c>
      <c r="E3128" s="151" t="s">
        <v>13</v>
      </c>
      <c r="F3128" s="152" t="str">
        <f t="shared" si="146"/>
        <v/>
      </c>
      <c r="G3128" s="153">
        <f>IF($K3128="Padrão",BDI!$B$17,IF($K3128="Diferenciado",BDI!$E$17,0))</f>
        <v>0.2039</v>
      </c>
      <c r="H3128" s="151" t="str">
        <f t="shared" si="144"/>
        <v/>
      </c>
      <c r="I3128" s="152" t="str">
        <f t="shared" si="145"/>
        <v/>
      </c>
      <c r="J3128" s="154"/>
      <c r="K3128" s="155" t="s">
        <v>2966</v>
      </c>
    </row>
    <row r="3129" spans="1:11" hidden="1" x14ac:dyDescent="0.25">
      <c r="A3129" s="148" t="s">
        <v>8027</v>
      </c>
      <c r="B3129" s="149" t="s">
        <v>8028</v>
      </c>
      <c r="C3129" s="150" t="s">
        <v>18</v>
      </c>
      <c r="D3129" s="150">
        <v>0</v>
      </c>
      <c r="E3129" s="151" t="s">
        <v>13</v>
      </c>
      <c r="F3129" s="152" t="str">
        <f t="shared" si="146"/>
        <v/>
      </c>
      <c r="G3129" s="153">
        <f>IF($K3129="Padrão",BDI!$B$17,IF($K3129="Diferenciado",BDI!$E$17,0))</f>
        <v>0.2039</v>
      </c>
      <c r="H3129" s="151" t="str">
        <f t="shared" si="144"/>
        <v/>
      </c>
      <c r="I3129" s="152" t="str">
        <f t="shared" si="145"/>
        <v/>
      </c>
      <c r="J3129" s="154"/>
      <c r="K3129" s="155" t="s">
        <v>2966</v>
      </c>
    </row>
    <row r="3130" spans="1:11" hidden="1" x14ac:dyDescent="0.25">
      <c r="A3130" s="148" t="s">
        <v>8029</v>
      </c>
      <c r="B3130" s="149" t="s">
        <v>8030</v>
      </c>
      <c r="C3130" s="150" t="s">
        <v>18</v>
      </c>
      <c r="D3130" s="150">
        <v>0</v>
      </c>
      <c r="E3130" s="151" t="s">
        <v>13</v>
      </c>
      <c r="F3130" s="152" t="str">
        <f t="shared" si="146"/>
        <v/>
      </c>
      <c r="G3130" s="153">
        <f>IF($K3130="Padrão",BDI!$B$17,IF($K3130="Diferenciado",BDI!$E$17,0))</f>
        <v>0.2039</v>
      </c>
      <c r="H3130" s="151" t="str">
        <f t="shared" si="144"/>
        <v/>
      </c>
      <c r="I3130" s="152" t="str">
        <f t="shared" si="145"/>
        <v/>
      </c>
      <c r="J3130" s="154"/>
      <c r="K3130" s="155" t="s">
        <v>2966</v>
      </c>
    </row>
    <row r="3131" spans="1:11" hidden="1" x14ac:dyDescent="0.25">
      <c r="A3131" s="148" t="s">
        <v>1748</v>
      </c>
      <c r="B3131" s="149" t="s">
        <v>1749</v>
      </c>
      <c r="C3131" s="150" t="s">
        <v>18</v>
      </c>
      <c r="D3131" s="150">
        <v>0</v>
      </c>
      <c r="E3131" s="151">
        <f ca="1">OFFSET(INDEX(Composições!A:H,MATCH(Orçamentária!A3131,Composições!A:A,0),8),2,0)</f>
        <v>301.264475</v>
      </c>
      <c r="F3131" s="152">
        <f t="shared" ca="1" si="146"/>
        <v>0</v>
      </c>
      <c r="G3131" s="153">
        <f>IF($K3131="Padrão",BDI!$B$17,IF($K3131="Diferenciado",BDI!$E$17,0))</f>
        <v>0.2039</v>
      </c>
      <c r="H3131" s="151">
        <f t="shared" ca="1" si="144"/>
        <v>362.69</v>
      </c>
      <c r="I3131" s="152">
        <f t="shared" ca="1" si="145"/>
        <v>0</v>
      </c>
      <c r="J3131" s="154"/>
      <c r="K3131" s="155" t="s">
        <v>2966</v>
      </c>
    </row>
    <row r="3132" spans="1:11" hidden="1" x14ac:dyDescent="0.25">
      <c r="A3132" s="148" t="s">
        <v>1750</v>
      </c>
      <c r="B3132" s="149" t="s">
        <v>8031</v>
      </c>
      <c r="C3132" s="150" t="s">
        <v>18</v>
      </c>
      <c r="D3132" s="150">
        <v>0</v>
      </c>
      <c r="E3132" s="151">
        <f ca="1">OFFSET(INDEX(Composições!A:H,MATCH(Orçamentária!A3132,Composições!A:A,0),8),2,0)</f>
        <v>181.14600000000002</v>
      </c>
      <c r="F3132" s="152">
        <f t="shared" ca="1" si="146"/>
        <v>0</v>
      </c>
      <c r="G3132" s="153">
        <f>IF($K3132="Padrão",BDI!$B$17,IF($K3132="Diferenciado",BDI!$E$17,0))</f>
        <v>0.2039</v>
      </c>
      <c r="H3132" s="151">
        <f t="shared" ca="1" si="144"/>
        <v>218.08</v>
      </c>
      <c r="I3132" s="152">
        <f t="shared" ca="1" si="145"/>
        <v>0</v>
      </c>
      <c r="J3132" s="154"/>
      <c r="K3132" s="155" t="s">
        <v>2966</v>
      </c>
    </row>
    <row r="3133" spans="1:11" hidden="1" x14ac:dyDescent="0.25">
      <c r="A3133" s="148" t="s">
        <v>1752</v>
      </c>
      <c r="B3133" s="149" t="s">
        <v>8032</v>
      </c>
      <c r="C3133" s="150" t="s">
        <v>18</v>
      </c>
      <c r="D3133" s="150">
        <v>0</v>
      </c>
      <c r="E3133" s="151">
        <f ca="1">OFFSET(INDEX(Composições!A:H,MATCH(Orçamentária!A3133,Composições!A:A,0),8),2,0)</f>
        <v>301.264475</v>
      </c>
      <c r="F3133" s="152">
        <f t="shared" ca="1" si="146"/>
        <v>0</v>
      </c>
      <c r="G3133" s="153">
        <f>IF($K3133="Padrão",BDI!$B$17,IF($K3133="Diferenciado",BDI!$E$17,0))</f>
        <v>0.2039</v>
      </c>
      <c r="H3133" s="151">
        <f t="shared" ca="1" si="144"/>
        <v>362.69</v>
      </c>
      <c r="I3133" s="152">
        <f t="shared" ca="1" si="145"/>
        <v>0</v>
      </c>
      <c r="J3133" s="154"/>
      <c r="K3133" s="155" t="s">
        <v>2966</v>
      </c>
    </row>
    <row r="3134" spans="1:11" ht="25.5" hidden="1" x14ac:dyDescent="0.25">
      <c r="A3134" s="148" t="s">
        <v>8033</v>
      </c>
      <c r="B3134" s="149" t="s">
        <v>8034</v>
      </c>
      <c r="C3134" s="150" t="s">
        <v>18</v>
      </c>
      <c r="D3134" s="150">
        <v>0</v>
      </c>
      <c r="E3134" s="151" t="s">
        <v>13</v>
      </c>
      <c r="F3134" s="152" t="str">
        <f t="shared" si="146"/>
        <v/>
      </c>
      <c r="G3134" s="153">
        <f>IF($K3134="Padrão",BDI!$B$17,IF($K3134="Diferenciado",BDI!$E$17,0))</f>
        <v>0.2039</v>
      </c>
      <c r="H3134" s="151" t="str">
        <f t="shared" si="144"/>
        <v/>
      </c>
      <c r="I3134" s="152" t="str">
        <f t="shared" si="145"/>
        <v/>
      </c>
      <c r="J3134" s="154"/>
      <c r="K3134" s="155" t="s">
        <v>2966</v>
      </c>
    </row>
    <row r="3135" spans="1:11" hidden="1" x14ac:dyDescent="0.25">
      <c r="A3135" s="148" t="s">
        <v>8035</v>
      </c>
      <c r="B3135" s="149" t="s">
        <v>8036</v>
      </c>
      <c r="C3135" s="150" t="s">
        <v>18</v>
      </c>
      <c r="D3135" s="150">
        <v>0</v>
      </c>
      <c r="E3135" s="151" t="s">
        <v>13</v>
      </c>
      <c r="F3135" s="152" t="str">
        <f t="shared" si="146"/>
        <v/>
      </c>
      <c r="G3135" s="153">
        <f>IF($K3135="Padrão",BDI!$B$17,IF($K3135="Diferenciado",BDI!$E$17,0))</f>
        <v>0.2039</v>
      </c>
      <c r="H3135" s="151" t="str">
        <f t="shared" si="144"/>
        <v/>
      </c>
      <c r="I3135" s="152" t="str">
        <f t="shared" si="145"/>
        <v/>
      </c>
      <c r="J3135" s="154"/>
      <c r="K3135" s="155" t="s">
        <v>2966</v>
      </c>
    </row>
    <row r="3136" spans="1:11" ht="25.5" hidden="1" x14ac:dyDescent="0.25">
      <c r="A3136" s="148" t="s">
        <v>1754</v>
      </c>
      <c r="B3136" s="149" t="s">
        <v>8037</v>
      </c>
      <c r="C3136" s="150" t="s">
        <v>18</v>
      </c>
      <c r="D3136" s="150">
        <v>0</v>
      </c>
      <c r="E3136" s="151">
        <f ca="1">OFFSET(INDEX(Composições!A:H,MATCH(Orçamentária!A3136,Composições!A:A,0),8),2,0)</f>
        <v>243.11673368864001</v>
      </c>
      <c r="F3136" s="152">
        <f t="shared" ca="1" si="146"/>
        <v>0</v>
      </c>
      <c r="G3136" s="153">
        <f>IF($K3136="Padrão",BDI!$B$17,IF($K3136="Diferenciado",BDI!$E$17,0))</f>
        <v>0.2039</v>
      </c>
      <c r="H3136" s="151">
        <f t="shared" ca="1" si="144"/>
        <v>292.69</v>
      </c>
      <c r="I3136" s="152">
        <f t="shared" ca="1" si="145"/>
        <v>0</v>
      </c>
      <c r="J3136" s="154"/>
      <c r="K3136" s="155" t="s">
        <v>2966</v>
      </c>
    </row>
    <row r="3137" spans="1:11" hidden="1" x14ac:dyDescent="0.25">
      <c r="A3137" s="148" t="s">
        <v>1755</v>
      </c>
      <c r="B3137" s="149" t="s">
        <v>8038</v>
      </c>
      <c r="C3137" s="150" t="s">
        <v>18</v>
      </c>
      <c r="D3137" s="150">
        <v>0</v>
      </c>
      <c r="E3137" s="151">
        <f ca="1">OFFSET(INDEX(Composições!A:H,MATCH(Orçamentária!A3137,Composições!A:A,0),8),2,0)</f>
        <v>142.73726725</v>
      </c>
      <c r="F3137" s="152">
        <f t="shared" ca="1" si="146"/>
        <v>0</v>
      </c>
      <c r="G3137" s="153">
        <f>IF($K3137="Padrão",BDI!$B$17,IF($K3137="Diferenciado",BDI!$E$17,0))</f>
        <v>0.2039</v>
      </c>
      <c r="H3137" s="151">
        <f t="shared" ca="1" si="144"/>
        <v>171.84</v>
      </c>
      <c r="I3137" s="152">
        <f t="shared" ca="1" si="145"/>
        <v>0</v>
      </c>
      <c r="J3137" s="154"/>
      <c r="K3137" s="155" t="s">
        <v>2966</v>
      </c>
    </row>
    <row r="3138" spans="1:11" ht="25.5" hidden="1" x14ac:dyDescent="0.25">
      <c r="A3138" s="148" t="s">
        <v>8039</v>
      </c>
      <c r="B3138" s="149" t="s">
        <v>8040</v>
      </c>
      <c r="C3138" s="150" t="s">
        <v>4927</v>
      </c>
      <c r="D3138" s="150">
        <v>0</v>
      </c>
      <c r="E3138" s="151" t="s">
        <v>13</v>
      </c>
      <c r="F3138" s="152" t="str">
        <f t="shared" si="146"/>
        <v/>
      </c>
      <c r="G3138" s="153">
        <f>IF($K3138="Padrão",BDI!$B$17,IF($K3138="Diferenciado",BDI!$E$17,0))</f>
        <v>0.2039</v>
      </c>
      <c r="H3138" s="151" t="str">
        <f t="shared" si="144"/>
        <v/>
      </c>
      <c r="I3138" s="152" t="str">
        <f t="shared" si="145"/>
        <v/>
      </c>
      <c r="J3138" s="154"/>
      <c r="K3138" s="155" t="s">
        <v>2966</v>
      </c>
    </row>
    <row r="3139" spans="1:11" hidden="1" x14ac:dyDescent="0.25">
      <c r="A3139" s="148" t="s">
        <v>8041</v>
      </c>
      <c r="B3139" s="149" t="s">
        <v>8042</v>
      </c>
      <c r="C3139" s="150" t="s">
        <v>68</v>
      </c>
      <c r="D3139" s="150">
        <v>0</v>
      </c>
      <c r="E3139" s="151" t="s">
        <v>13</v>
      </c>
      <c r="F3139" s="152" t="str">
        <f t="shared" si="146"/>
        <v/>
      </c>
      <c r="G3139" s="153">
        <f>IF($K3139="Padrão",BDI!$B$17,IF($K3139="Diferenciado",BDI!$E$17,0))</f>
        <v>0.2039</v>
      </c>
      <c r="H3139" s="151" t="str">
        <f t="shared" si="144"/>
        <v/>
      </c>
      <c r="I3139" s="152" t="str">
        <f t="shared" si="145"/>
        <v/>
      </c>
      <c r="J3139" s="154"/>
      <c r="K3139" s="155" t="s">
        <v>2966</v>
      </c>
    </row>
    <row r="3140" spans="1:11" hidden="1" x14ac:dyDescent="0.25">
      <c r="A3140" s="148" t="s">
        <v>8043</v>
      </c>
      <c r="B3140" s="149" t="s">
        <v>8044</v>
      </c>
      <c r="C3140" s="150" t="s">
        <v>18</v>
      </c>
      <c r="D3140" s="150">
        <v>0</v>
      </c>
      <c r="E3140" s="151" t="s">
        <v>13</v>
      </c>
      <c r="F3140" s="152" t="str">
        <f t="shared" si="146"/>
        <v/>
      </c>
      <c r="G3140" s="153">
        <f>IF($K3140="Padrão",BDI!$B$17,IF($K3140="Diferenciado",BDI!$E$17,0))</f>
        <v>0.2039</v>
      </c>
      <c r="H3140" s="151" t="str">
        <f t="shared" si="144"/>
        <v/>
      </c>
      <c r="I3140" s="152" t="str">
        <f t="shared" si="145"/>
        <v/>
      </c>
      <c r="J3140" s="154"/>
      <c r="K3140" s="155" t="s">
        <v>2966</v>
      </c>
    </row>
    <row r="3141" spans="1:11" hidden="1" x14ac:dyDescent="0.25">
      <c r="A3141" s="148" t="s">
        <v>8045</v>
      </c>
      <c r="B3141" s="149" t="s">
        <v>8046</v>
      </c>
      <c r="C3141" s="150" t="s">
        <v>18</v>
      </c>
      <c r="D3141" s="150">
        <v>0</v>
      </c>
      <c r="E3141" s="151" t="s">
        <v>13</v>
      </c>
      <c r="F3141" s="152" t="str">
        <f t="shared" si="146"/>
        <v/>
      </c>
      <c r="G3141" s="153">
        <f>IF($K3141="Padrão",BDI!$B$17,IF($K3141="Diferenciado",BDI!$E$17,0))</f>
        <v>0.2039</v>
      </c>
      <c r="H3141" s="151" t="str">
        <f t="shared" si="144"/>
        <v/>
      </c>
      <c r="I3141" s="152" t="str">
        <f t="shared" si="145"/>
        <v/>
      </c>
      <c r="J3141" s="154"/>
      <c r="K3141" s="155" t="s">
        <v>2966</v>
      </c>
    </row>
    <row r="3142" spans="1:11" ht="25.5" hidden="1" x14ac:dyDescent="0.25">
      <c r="A3142" s="148" t="s">
        <v>8047</v>
      </c>
      <c r="B3142" s="149" t="s">
        <v>8048</v>
      </c>
      <c r="C3142" s="150" t="s">
        <v>18</v>
      </c>
      <c r="D3142" s="150">
        <v>0</v>
      </c>
      <c r="E3142" s="151" t="s">
        <v>13</v>
      </c>
      <c r="F3142" s="152" t="str">
        <f t="shared" si="146"/>
        <v/>
      </c>
      <c r="G3142" s="153">
        <f>IF($K3142="Padrão",BDI!$B$17,IF($K3142="Diferenciado",BDI!$E$17,0))</f>
        <v>0.2039</v>
      </c>
      <c r="H3142" s="151" t="str">
        <f t="shared" ref="H3142:H3205" si="147">IF(ISNUMBER(E3142),ROUND(E3142*(1+G3142),2),"")</f>
        <v/>
      </c>
      <c r="I3142" s="152" t="str">
        <f t="shared" ref="I3142:I3205" si="148">IF(ISNUMBER(E3142),ROUND(H3142*D3142,2),"")</f>
        <v/>
      </c>
      <c r="J3142" s="154"/>
      <c r="K3142" s="155" t="s">
        <v>2966</v>
      </c>
    </row>
    <row r="3143" spans="1:11" ht="25.5" hidden="1" x14ac:dyDescent="0.25">
      <c r="A3143" s="148" t="s">
        <v>8049</v>
      </c>
      <c r="B3143" s="149" t="s">
        <v>8050</v>
      </c>
      <c r="C3143" s="150" t="s">
        <v>18</v>
      </c>
      <c r="D3143" s="150">
        <v>0</v>
      </c>
      <c r="E3143" s="151" t="s">
        <v>13</v>
      </c>
      <c r="F3143" s="152" t="str">
        <f t="shared" ref="F3143:F3206" si="149">IF(ISNUMBER(E3143),D3143*E3143,"")</f>
        <v/>
      </c>
      <c r="G3143" s="153">
        <f>IF($K3143="Padrão",BDI!$B$17,IF($K3143="Diferenciado",BDI!$E$17,0))</f>
        <v>0.2039</v>
      </c>
      <c r="H3143" s="151" t="str">
        <f t="shared" si="147"/>
        <v/>
      </c>
      <c r="I3143" s="152" t="str">
        <f t="shared" si="148"/>
        <v/>
      </c>
      <c r="J3143" s="154"/>
      <c r="K3143" s="155" t="s">
        <v>2966</v>
      </c>
    </row>
    <row r="3144" spans="1:11" ht="25.5" hidden="1" x14ac:dyDescent="0.25">
      <c r="A3144" s="148" t="s">
        <v>8051</v>
      </c>
      <c r="B3144" s="149" t="s">
        <v>8052</v>
      </c>
      <c r="C3144" s="150" t="s">
        <v>18</v>
      </c>
      <c r="D3144" s="150">
        <v>0</v>
      </c>
      <c r="E3144" s="151" t="s">
        <v>13</v>
      </c>
      <c r="F3144" s="152" t="str">
        <f t="shared" si="149"/>
        <v/>
      </c>
      <c r="G3144" s="153">
        <f>IF($K3144="Padrão",BDI!$B$17,IF($K3144="Diferenciado",BDI!$E$17,0))</f>
        <v>0.2039</v>
      </c>
      <c r="H3144" s="151" t="str">
        <f t="shared" si="147"/>
        <v/>
      </c>
      <c r="I3144" s="152" t="str">
        <f t="shared" si="148"/>
        <v/>
      </c>
      <c r="J3144" s="154"/>
      <c r="K3144" s="155" t="s">
        <v>2966</v>
      </c>
    </row>
    <row r="3145" spans="1:11" ht="25.5" hidden="1" x14ac:dyDescent="0.25">
      <c r="A3145" s="148" t="s">
        <v>8053</v>
      </c>
      <c r="B3145" s="149" t="s">
        <v>8054</v>
      </c>
      <c r="C3145" s="150" t="s">
        <v>18</v>
      </c>
      <c r="D3145" s="150">
        <v>0</v>
      </c>
      <c r="E3145" s="151" t="s">
        <v>13</v>
      </c>
      <c r="F3145" s="152" t="str">
        <f t="shared" si="149"/>
        <v/>
      </c>
      <c r="G3145" s="153">
        <f>IF($K3145="Padrão",BDI!$B$17,IF($K3145="Diferenciado",BDI!$E$17,0))</f>
        <v>0.2039</v>
      </c>
      <c r="H3145" s="151" t="str">
        <f t="shared" si="147"/>
        <v/>
      </c>
      <c r="I3145" s="152" t="str">
        <f t="shared" si="148"/>
        <v/>
      </c>
      <c r="J3145" s="154"/>
      <c r="K3145" s="155" t="s">
        <v>2966</v>
      </c>
    </row>
    <row r="3146" spans="1:11" hidden="1" x14ac:dyDescent="0.25">
      <c r="A3146" s="148" t="s">
        <v>8055</v>
      </c>
      <c r="B3146" s="149" t="s">
        <v>8056</v>
      </c>
      <c r="C3146" s="150" t="s">
        <v>18</v>
      </c>
      <c r="D3146" s="150">
        <v>0</v>
      </c>
      <c r="E3146" s="151" t="s">
        <v>13</v>
      </c>
      <c r="F3146" s="152" t="str">
        <f t="shared" si="149"/>
        <v/>
      </c>
      <c r="G3146" s="153">
        <f>IF($K3146="Padrão",BDI!$B$17,IF($K3146="Diferenciado",BDI!$E$17,0))</f>
        <v>0.2039</v>
      </c>
      <c r="H3146" s="151" t="str">
        <f t="shared" si="147"/>
        <v/>
      </c>
      <c r="I3146" s="152" t="str">
        <f t="shared" si="148"/>
        <v/>
      </c>
      <c r="J3146" s="154"/>
      <c r="K3146" s="155" t="s">
        <v>2966</v>
      </c>
    </row>
    <row r="3147" spans="1:11" ht="25.5" hidden="1" x14ac:dyDescent="0.25">
      <c r="A3147" s="148" t="s">
        <v>8057</v>
      </c>
      <c r="B3147" s="149" t="s">
        <v>8058</v>
      </c>
      <c r="C3147" s="150" t="s">
        <v>18</v>
      </c>
      <c r="D3147" s="150">
        <v>0</v>
      </c>
      <c r="E3147" s="151" t="s">
        <v>13</v>
      </c>
      <c r="F3147" s="152" t="str">
        <f t="shared" si="149"/>
        <v/>
      </c>
      <c r="G3147" s="153">
        <f>IF($K3147="Padrão",BDI!$B$17,IF($K3147="Diferenciado",BDI!$E$17,0))</f>
        <v>0.2039</v>
      </c>
      <c r="H3147" s="151" t="str">
        <f t="shared" si="147"/>
        <v/>
      </c>
      <c r="I3147" s="152" t="str">
        <f t="shared" si="148"/>
        <v/>
      </c>
      <c r="J3147" s="154"/>
      <c r="K3147" s="155" t="s">
        <v>2966</v>
      </c>
    </row>
    <row r="3148" spans="1:11" ht="25.5" hidden="1" x14ac:dyDescent="0.25">
      <c r="A3148" s="148" t="s">
        <v>8059</v>
      </c>
      <c r="B3148" s="149" t="s">
        <v>8060</v>
      </c>
      <c r="C3148" s="150" t="s">
        <v>18</v>
      </c>
      <c r="D3148" s="150">
        <v>0</v>
      </c>
      <c r="E3148" s="151" t="s">
        <v>13</v>
      </c>
      <c r="F3148" s="152" t="str">
        <f t="shared" si="149"/>
        <v/>
      </c>
      <c r="G3148" s="153">
        <f>IF($K3148="Padrão",BDI!$B$17,IF($K3148="Diferenciado",BDI!$E$17,0))</f>
        <v>0.2039</v>
      </c>
      <c r="H3148" s="151" t="str">
        <f t="shared" si="147"/>
        <v/>
      </c>
      <c r="I3148" s="152" t="str">
        <f t="shared" si="148"/>
        <v/>
      </c>
      <c r="J3148" s="154"/>
      <c r="K3148" s="155" t="s">
        <v>2966</v>
      </c>
    </row>
    <row r="3149" spans="1:11" ht="25.5" hidden="1" x14ac:dyDescent="0.25">
      <c r="A3149" s="148" t="s">
        <v>8061</v>
      </c>
      <c r="B3149" s="149" t="s">
        <v>8062</v>
      </c>
      <c r="C3149" s="150" t="s">
        <v>18</v>
      </c>
      <c r="D3149" s="150">
        <v>0</v>
      </c>
      <c r="E3149" s="151" t="s">
        <v>13</v>
      </c>
      <c r="F3149" s="152" t="str">
        <f t="shared" si="149"/>
        <v/>
      </c>
      <c r="G3149" s="153">
        <f>IF($K3149="Padrão",BDI!$B$17,IF($K3149="Diferenciado",BDI!$E$17,0))</f>
        <v>0.2039</v>
      </c>
      <c r="H3149" s="151" t="str">
        <f t="shared" si="147"/>
        <v/>
      </c>
      <c r="I3149" s="152" t="str">
        <f t="shared" si="148"/>
        <v/>
      </c>
      <c r="J3149" s="154"/>
      <c r="K3149" s="155" t="s">
        <v>2966</v>
      </c>
    </row>
    <row r="3150" spans="1:11" hidden="1" x14ac:dyDescent="0.25">
      <c r="A3150" s="148" t="s">
        <v>8063</v>
      </c>
      <c r="B3150" s="149" t="s">
        <v>8064</v>
      </c>
      <c r="C3150" s="150" t="s">
        <v>18</v>
      </c>
      <c r="D3150" s="150">
        <v>0</v>
      </c>
      <c r="E3150" s="151" t="s">
        <v>13</v>
      </c>
      <c r="F3150" s="152" t="str">
        <f t="shared" si="149"/>
        <v/>
      </c>
      <c r="G3150" s="153">
        <f>IF($K3150="Padrão",BDI!$B$17,IF($K3150="Diferenciado",BDI!$E$17,0))</f>
        <v>0.2039</v>
      </c>
      <c r="H3150" s="151" t="str">
        <f t="shared" si="147"/>
        <v/>
      </c>
      <c r="I3150" s="152" t="str">
        <f t="shared" si="148"/>
        <v/>
      </c>
      <c r="J3150" s="154"/>
      <c r="K3150" s="155" t="s">
        <v>2966</v>
      </c>
    </row>
    <row r="3151" spans="1:11" hidden="1" x14ac:dyDescent="0.25">
      <c r="A3151" s="148" t="s">
        <v>8065</v>
      </c>
      <c r="B3151" s="149" t="s">
        <v>8066</v>
      </c>
      <c r="C3151" s="150" t="s">
        <v>18</v>
      </c>
      <c r="D3151" s="150">
        <v>0</v>
      </c>
      <c r="E3151" s="151" t="s">
        <v>13</v>
      </c>
      <c r="F3151" s="152" t="str">
        <f t="shared" si="149"/>
        <v/>
      </c>
      <c r="G3151" s="153">
        <f>IF($K3151="Padrão",BDI!$B$17,IF($K3151="Diferenciado",BDI!$E$17,0))</f>
        <v>0.2039</v>
      </c>
      <c r="H3151" s="151" t="str">
        <f t="shared" si="147"/>
        <v/>
      </c>
      <c r="I3151" s="152" t="str">
        <f t="shared" si="148"/>
        <v/>
      </c>
      <c r="J3151" s="154"/>
      <c r="K3151" s="155" t="s">
        <v>2966</v>
      </c>
    </row>
    <row r="3152" spans="1:11" hidden="1" x14ac:dyDescent="0.25">
      <c r="A3152" s="148" t="s">
        <v>8067</v>
      </c>
      <c r="B3152" s="149" t="s">
        <v>8068</v>
      </c>
      <c r="C3152" s="150" t="s">
        <v>18</v>
      </c>
      <c r="D3152" s="150">
        <v>0</v>
      </c>
      <c r="E3152" s="151" t="s">
        <v>13</v>
      </c>
      <c r="F3152" s="152" t="str">
        <f t="shared" si="149"/>
        <v/>
      </c>
      <c r="G3152" s="153">
        <f>IF($K3152="Padrão",BDI!$B$17,IF($K3152="Diferenciado",BDI!$E$17,0))</f>
        <v>0.2039</v>
      </c>
      <c r="H3152" s="151" t="str">
        <f t="shared" si="147"/>
        <v/>
      </c>
      <c r="I3152" s="152" t="str">
        <f t="shared" si="148"/>
        <v/>
      </c>
      <c r="J3152" s="154"/>
      <c r="K3152" s="155" t="s">
        <v>2966</v>
      </c>
    </row>
    <row r="3153" spans="1:11" hidden="1" x14ac:dyDescent="0.25">
      <c r="A3153" s="148" t="s">
        <v>8069</v>
      </c>
      <c r="B3153" s="149" t="s">
        <v>8070</v>
      </c>
      <c r="C3153" s="150" t="s">
        <v>18</v>
      </c>
      <c r="D3153" s="150">
        <v>0</v>
      </c>
      <c r="E3153" s="151" t="s">
        <v>13</v>
      </c>
      <c r="F3153" s="152" t="str">
        <f t="shared" si="149"/>
        <v/>
      </c>
      <c r="G3153" s="153">
        <f>IF($K3153="Padrão",BDI!$B$17,IF($K3153="Diferenciado",BDI!$E$17,0))</f>
        <v>0.2039</v>
      </c>
      <c r="H3153" s="151" t="str">
        <f t="shared" si="147"/>
        <v/>
      </c>
      <c r="I3153" s="152" t="str">
        <f t="shared" si="148"/>
        <v/>
      </c>
      <c r="J3153" s="154"/>
      <c r="K3153" s="155" t="s">
        <v>2966</v>
      </c>
    </row>
    <row r="3154" spans="1:11" hidden="1" x14ac:dyDescent="0.25">
      <c r="A3154" s="148" t="s">
        <v>8071</v>
      </c>
      <c r="B3154" s="149" t="s">
        <v>8072</v>
      </c>
      <c r="C3154" s="150" t="s">
        <v>18</v>
      </c>
      <c r="D3154" s="150">
        <v>0</v>
      </c>
      <c r="E3154" s="151" t="s">
        <v>13</v>
      </c>
      <c r="F3154" s="152" t="str">
        <f t="shared" si="149"/>
        <v/>
      </c>
      <c r="G3154" s="153">
        <f>IF($K3154="Padrão",BDI!$B$17,IF($K3154="Diferenciado",BDI!$E$17,0))</f>
        <v>0.2039</v>
      </c>
      <c r="H3154" s="151" t="str">
        <f t="shared" si="147"/>
        <v/>
      </c>
      <c r="I3154" s="152" t="str">
        <f t="shared" si="148"/>
        <v/>
      </c>
      <c r="J3154" s="154"/>
      <c r="K3154" s="155" t="s">
        <v>2966</v>
      </c>
    </row>
    <row r="3155" spans="1:11" hidden="1" x14ac:dyDescent="0.25">
      <c r="A3155" s="148" t="s">
        <v>8073</v>
      </c>
      <c r="B3155" s="149" t="s">
        <v>8074</v>
      </c>
      <c r="C3155" s="150" t="s">
        <v>18</v>
      </c>
      <c r="D3155" s="150">
        <v>0</v>
      </c>
      <c r="E3155" s="151" t="s">
        <v>13</v>
      </c>
      <c r="F3155" s="152" t="str">
        <f t="shared" si="149"/>
        <v/>
      </c>
      <c r="G3155" s="153">
        <f>IF($K3155="Padrão",BDI!$B$17,IF($K3155="Diferenciado",BDI!$E$17,0))</f>
        <v>0.2039</v>
      </c>
      <c r="H3155" s="151" t="str">
        <f t="shared" si="147"/>
        <v/>
      </c>
      <c r="I3155" s="152" t="str">
        <f t="shared" si="148"/>
        <v/>
      </c>
      <c r="J3155" s="154"/>
      <c r="K3155" s="155" t="s">
        <v>2966</v>
      </c>
    </row>
    <row r="3156" spans="1:11" hidden="1" x14ac:dyDescent="0.25">
      <c r="A3156" s="148" t="s">
        <v>8075</v>
      </c>
      <c r="B3156" s="149" t="s">
        <v>8076</v>
      </c>
      <c r="C3156" s="150" t="s">
        <v>18</v>
      </c>
      <c r="D3156" s="150">
        <v>0</v>
      </c>
      <c r="E3156" s="151" t="s">
        <v>13</v>
      </c>
      <c r="F3156" s="152" t="str">
        <f t="shared" si="149"/>
        <v/>
      </c>
      <c r="G3156" s="153">
        <f>IF($K3156="Padrão",BDI!$B$17,IF($K3156="Diferenciado",BDI!$E$17,0))</f>
        <v>0.2039</v>
      </c>
      <c r="H3156" s="151" t="str">
        <f t="shared" si="147"/>
        <v/>
      </c>
      <c r="I3156" s="152" t="str">
        <f t="shared" si="148"/>
        <v/>
      </c>
      <c r="J3156" s="154"/>
      <c r="K3156" s="155" t="s">
        <v>2966</v>
      </c>
    </row>
    <row r="3157" spans="1:11" hidden="1" x14ac:dyDescent="0.25">
      <c r="A3157" s="148" t="s">
        <v>8077</v>
      </c>
      <c r="B3157" s="149" t="s">
        <v>8078</v>
      </c>
      <c r="C3157" s="150" t="s">
        <v>18</v>
      </c>
      <c r="D3157" s="150">
        <v>0</v>
      </c>
      <c r="E3157" s="151" t="s">
        <v>13</v>
      </c>
      <c r="F3157" s="152" t="str">
        <f t="shared" si="149"/>
        <v/>
      </c>
      <c r="G3157" s="153">
        <f>IF($K3157="Padrão",BDI!$B$17,IF($K3157="Diferenciado",BDI!$E$17,0))</f>
        <v>0.2039</v>
      </c>
      <c r="H3157" s="151" t="str">
        <f t="shared" si="147"/>
        <v/>
      </c>
      <c r="I3157" s="152" t="str">
        <f t="shared" si="148"/>
        <v/>
      </c>
      <c r="J3157" s="154"/>
      <c r="K3157" s="155" t="s">
        <v>2966</v>
      </c>
    </row>
    <row r="3158" spans="1:11" hidden="1" x14ac:dyDescent="0.25">
      <c r="A3158" s="148" t="s">
        <v>8079</v>
      </c>
      <c r="B3158" s="149" t="s">
        <v>8080</v>
      </c>
      <c r="C3158" s="150" t="s">
        <v>18</v>
      </c>
      <c r="D3158" s="150">
        <v>0</v>
      </c>
      <c r="E3158" s="151" t="s">
        <v>13</v>
      </c>
      <c r="F3158" s="152" t="str">
        <f t="shared" si="149"/>
        <v/>
      </c>
      <c r="G3158" s="153">
        <f>IF($K3158="Padrão",BDI!$B$17,IF($K3158="Diferenciado",BDI!$E$17,0))</f>
        <v>0.2039</v>
      </c>
      <c r="H3158" s="151" t="str">
        <f t="shared" si="147"/>
        <v/>
      </c>
      <c r="I3158" s="152" t="str">
        <f t="shared" si="148"/>
        <v/>
      </c>
      <c r="J3158" s="154"/>
      <c r="K3158" s="155" t="s">
        <v>2966</v>
      </c>
    </row>
    <row r="3159" spans="1:11" hidden="1" x14ac:dyDescent="0.25">
      <c r="A3159" s="148" t="s">
        <v>8081</v>
      </c>
      <c r="B3159" s="149" t="s">
        <v>8082</v>
      </c>
      <c r="C3159" s="150" t="s">
        <v>18</v>
      </c>
      <c r="D3159" s="150">
        <v>0</v>
      </c>
      <c r="E3159" s="151" t="s">
        <v>13</v>
      </c>
      <c r="F3159" s="152" t="str">
        <f t="shared" si="149"/>
        <v/>
      </c>
      <c r="G3159" s="153">
        <f>IF($K3159="Padrão",BDI!$B$17,IF($K3159="Diferenciado",BDI!$E$17,0))</f>
        <v>0.2039</v>
      </c>
      <c r="H3159" s="151" t="str">
        <f t="shared" si="147"/>
        <v/>
      </c>
      <c r="I3159" s="152" t="str">
        <f t="shared" si="148"/>
        <v/>
      </c>
      <c r="J3159" s="154"/>
      <c r="K3159" s="155" t="s">
        <v>2966</v>
      </c>
    </row>
    <row r="3160" spans="1:11" hidden="1" x14ac:dyDescent="0.25">
      <c r="A3160" s="148" t="s">
        <v>8083</v>
      </c>
      <c r="B3160" s="149" t="s">
        <v>8084</v>
      </c>
      <c r="C3160" s="150" t="s">
        <v>18</v>
      </c>
      <c r="D3160" s="150">
        <v>0</v>
      </c>
      <c r="E3160" s="151" t="s">
        <v>13</v>
      </c>
      <c r="F3160" s="152" t="str">
        <f t="shared" si="149"/>
        <v/>
      </c>
      <c r="G3160" s="153">
        <f>IF($K3160="Padrão",BDI!$B$17,IF($K3160="Diferenciado",BDI!$E$17,0))</f>
        <v>0.2039</v>
      </c>
      <c r="H3160" s="151" t="str">
        <f t="shared" si="147"/>
        <v/>
      </c>
      <c r="I3160" s="152" t="str">
        <f t="shared" si="148"/>
        <v/>
      </c>
      <c r="J3160" s="154"/>
      <c r="K3160" s="155" t="s">
        <v>2966</v>
      </c>
    </row>
    <row r="3161" spans="1:11" hidden="1" x14ac:dyDescent="0.25">
      <c r="A3161" s="148" t="s">
        <v>8085</v>
      </c>
      <c r="B3161" s="149" t="s">
        <v>8086</v>
      </c>
      <c r="C3161" s="150" t="s">
        <v>18</v>
      </c>
      <c r="D3161" s="150">
        <v>0</v>
      </c>
      <c r="E3161" s="151" t="s">
        <v>13</v>
      </c>
      <c r="F3161" s="152" t="str">
        <f t="shared" si="149"/>
        <v/>
      </c>
      <c r="G3161" s="153">
        <f>IF($K3161="Padrão",BDI!$B$17,IF($K3161="Diferenciado",BDI!$E$17,0))</f>
        <v>0.2039</v>
      </c>
      <c r="H3161" s="151" t="str">
        <f t="shared" si="147"/>
        <v/>
      </c>
      <c r="I3161" s="152" t="str">
        <f t="shared" si="148"/>
        <v/>
      </c>
      <c r="J3161" s="154"/>
      <c r="K3161" s="155" t="s">
        <v>2966</v>
      </c>
    </row>
    <row r="3162" spans="1:11" hidden="1" x14ac:dyDescent="0.25">
      <c r="A3162" s="148" t="s">
        <v>8087</v>
      </c>
      <c r="B3162" s="149" t="s">
        <v>8088</v>
      </c>
      <c r="C3162" s="150" t="s">
        <v>18</v>
      </c>
      <c r="D3162" s="150">
        <v>0</v>
      </c>
      <c r="E3162" s="151" t="s">
        <v>13</v>
      </c>
      <c r="F3162" s="152" t="str">
        <f t="shared" si="149"/>
        <v/>
      </c>
      <c r="G3162" s="153">
        <f>IF($K3162="Padrão",BDI!$B$17,IF($K3162="Diferenciado",BDI!$E$17,0))</f>
        <v>0.2039</v>
      </c>
      <c r="H3162" s="151" t="str">
        <f t="shared" si="147"/>
        <v/>
      </c>
      <c r="I3162" s="152" t="str">
        <f t="shared" si="148"/>
        <v/>
      </c>
      <c r="J3162" s="154"/>
      <c r="K3162" s="155" t="s">
        <v>2966</v>
      </c>
    </row>
    <row r="3163" spans="1:11" hidden="1" x14ac:dyDescent="0.25">
      <c r="A3163" s="148" t="s">
        <v>8089</v>
      </c>
      <c r="B3163" s="149" t="s">
        <v>8090</v>
      </c>
      <c r="C3163" s="150" t="s">
        <v>18</v>
      </c>
      <c r="D3163" s="150">
        <v>0</v>
      </c>
      <c r="E3163" s="151" t="s">
        <v>13</v>
      </c>
      <c r="F3163" s="152" t="str">
        <f t="shared" si="149"/>
        <v/>
      </c>
      <c r="G3163" s="153">
        <f>IF($K3163="Padrão",BDI!$B$17,IF($K3163="Diferenciado",BDI!$E$17,0))</f>
        <v>0.2039</v>
      </c>
      <c r="H3163" s="151" t="str">
        <f t="shared" si="147"/>
        <v/>
      </c>
      <c r="I3163" s="152" t="str">
        <f t="shared" si="148"/>
        <v/>
      </c>
      <c r="J3163" s="154"/>
      <c r="K3163" s="155" t="s">
        <v>2966</v>
      </c>
    </row>
    <row r="3164" spans="1:11" hidden="1" x14ac:dyDescent="0.25">
      <c r="A3164" s="148" t="s">
        <v>1756</v>
      </c>
      <c r="B3164" s="149" t="s">
        <v>8091</v>
      </c>
      <c r="C3164" s="150" t="s">
        <v>70</v>
      </c>
      <c r="D3164" s="150">
        <v>0</v>
      </c>
      <c r="E3164" s="151">
        <f ca="1">OFFSET(INDEX(Composições!A:H,MATCH(Orçamentária!A3164,Composições!A:A,0),8),2,0)</f>
        <v>0</v>
      </c>
      <c r="F3164" s="152">
        <f t="shared" ca="1" si="149"/>
        <v>0</v>
      </c>
      <c r="G3164" s="153">
        <f>IF($K3164="Padrão",BDI!$B$17,IF($K3164="Diferenciado",BDI!$E$17,0))</f>
        <v>0.2039</v>
      </c>
      <c r="H3164" s="151">
        <f t="shared" ca="1" si="147"/>
        <v>0</v>
      </c>
      <c r="I3164" s="152">
        <f t="shared" ca="1" si="148"/>
        <v>0</v>
      </c>
      <c r="J3164" s="154"/>
      <c r="K3164" s="155" t="s">
        <v>2966</v>
      </c>
    </row>
    <row r="3165" spans="1:11" hidden="1" x14ac:dyDescent="0.25">
      <c r="A3165" s="148" t="s">
        <v>8092</v>
      </c>
      <c r="B3165" s="149" t="s">
        <v>8093</v>
      </c>
      <c r="C3165" s="150" t="s">
        <v>18</v>
      </c>
      <c r="D3165" s="150">
        <v>0</v>
      </c>
      <c r="E3165" s="151" t="s">
        <v>13</v>
      </c>
      <c r="F3165" s="152" t="str">
        <f t="shared" si="149"/>
        <v/>
      </c>
      <c r="G3165" s="153">
        <f>IF($K3165="Padrão",BDI!$B$17,IF($K3165="Diferenciado",BDI!$E$17,0))</f>
        <v>0.2039</v>
      </c>
      <c r="H3165" s="151" t="str">
        <f t="shared" si="147"/>
        <v/>
      </c>
      <c r="I3165" s="152" t="str">
        <f t="shared" si="148"/>
        <v/>
      </c>
      <c r="J3165" s="154"/>
      <c r="K3165" s="155" t="s">
        <v>2966</v>
      </c>
    </row>
    <row r="3166" spans="1:11" hidden="1" x14ac:dyDescent="0.25">
      <c r="A3166" s="148" t="s">
        <v>8094</v>
      </c>
      <c r="B3166" s="149" t="s">
        <v>8095</v>
      </c>
      <c r="C3166" s="150" t="s">
        <v>18</v>
      </c>
      <c r="D3166" s="150">
        <v>0</v>
      </c>
      <c r="E3166" s="151" t="s">
        <v>13</v>
      </c>
      <c r="F3166" s="152" t="str">
        <f t="shared" si="149"/>
        <v/>
      </c>
      <c r="G3166" s="153">
        <f>IF($K3166="Padrão",BDI!$B$17,IF($K3166="Diferenciado",BDI!$E$17,0))</f>
        <v>0.2039</v>
      </c>
      <c r="H3166" s="151" t="str">
        <f t="shared" si="147"/>
        <v/>
      </c>
      <c r="I3166" s="152" t="str">
        <f t="shared" si="148"/>
        <v/>
      </c>
      <c r="J3166" s="154"/>
      <c r="K3166" s="155" t="s">
        <v>2966</v>
      </c>
    </row>
    <row r="3167" spans="1:11" hidden="1" x14ac:dyDescent="0.25">
      <c r="A3167" s="148" t="s">
        <v>8096</v>
      </c>
      <c r="B3167" s="149" t="s">
        <v>8097</v>
      </c>
      <c r="C3167" s="150" t="s">
        <v>18</v>
      </c>
      <c r="D3167" s="150">
        <v>0</v>
      </c>
      <c r="E3167" s="151" t="s">
        <v>13</v>
      </c>
      <c r="F3167" s="152" t="str">
        <f t="shared" si="149"/>
        <v/>
      </c>
      <c r="G3167" s="153">
        <f>IF($K3167="Padrão",BDI!$B$17,IF($K3167="Diferenciado",BDI!$E$17,0))</f>
        <v>0.2039</v>
      </c>
      <c r="H3167" s="151" t="str">
        <f t="shared" si="147"/>
        <v/>
      </c>
      <c r="I3167" s="152" t="str">
        <f t="shared" si="148"/>
        <v/>
      </c>
      <c r="J3167" s="154"/>
      <c r="K3167" s="155" t="s">
        <v>2966</v>
      </c>
    </row>
    <row r="3168" spans="1:11" hidden="1" x14ac:dyDescent="0.25">
      <c r="A3168" s="148" t="s">
        <v>8098</v>
      </c>
      <c r="B3168" s="149" t="s">
        <v>8099</v>
      </c>
      <c r="C3168" s="150" t="s">
        <v>18</v>
      </c>
      <c r="D3168" s="150">
        <v>0</v>
      </c>
      <c r="E3168" s="151" t="s">
        <v>13</v>
      </c>
      <c r="F3168" s="152" t="str">
        <f t="shared" si="149"/>
        <v/>
      </c>
      <c r="G3168" s="153">
        <f>IF($K3168="Padrão",BDI!$B$17,IF($K3168="Diferenciado",BDI!$E$17,0))</f>
        <v>0.2039</v>
      </c>
      <c r="H3168" s="151" t="str">
        <f t="shared" si="147"/>
        <v/>
      </c>
      <c r="I3168" s="152" t="str">
        <f t="shared" si="148"/>
        <v/>
      </c>
      <c r="J3168" s="154"/>
      <c r="K3168" s="155" t="s">
        <v>2966</v>
      </c>
    </row>
    <row r="3169" spans="1:11" hidden="1" x14ac:dyDescent="0.25">
      <c r="A3169" s="148" t="s">
        <v>8100</v>
      </c>
      <c r="B3169" s="149" t="s">
        <v>8101</v>
      </c>
      <c r="C3169" s="150" t="s">
        <v>18</v>
      </c>
      <c r="D3169" s="150">
        <v>0</v>
      </c>
      <c r="E3169" s="151" t="s">
        <v>13</v>
      </c>
      <c r="F3169" s="152" t="str">
        <f t="shared" si="149"/>
        <v/>
      </c>
      <c r="G3169" s="153">
        <f>IF($K3169="Padrão",BDI!$B$17,IF($K3169="Diferenciado",BDI!$E$17,0))</f>
        <v>0.2039</v>
      </c>
      <c r="H3169" s="151" t="str">
        <f t="shared" si="147"/>
        <v/>
      </c>
      <c r="I3169" s="152" t="str">
        <f t="shared" si="148"/>
        <v/>
      </c>
      <c r="J3169" s="154"/>
      <c r="K3169" s="155" t="s">
        <v>2966</v>
      </c>
    </row>
    <row r="3170" spans="1:11" hidden="1" x14ac:dyDescent="0.25">
      <c r="A3170" s="148" t="s">
        <v>8102</v>
      </c>
      <c r="B3170" s="149" t="s">
        <v>8103</v>
      </c>
      <c r="C3170" s="150" t="s">
        <v>18</v>
      </c>
      <c r="D3170" s="150">
        <v>0</v>
      </c>
      <c r="E3170" s="151" t="s">
        <v>13</v>
      </c>
      <c r="F3170" s="152" t="str">
        <f t="shared" si="149"/>
        <v/>
      </c>
      <c r="G3170" s="153">
        <f>IF($K3170="Padrão",BDI!$B$17,IF($K3170="Diferenciado",BDI!$E$17,0))</f>
        <v>0.2039</v>
      </c>
      <c r="H3170" s="151" t="str">
        <f t="shared" si="147"/>
        <v/>
      </c>
      <c r="I3170" s="152" t="str">
        <f t="shared" si="148"/>
        <v/>
      </c>
      <c r="J3170" s="154"/>
      <c r="K3170" s="155" t="s">
        <v>2966</v>
      </c>
    </row>
    <row r="3171" spans="1:11" hidden="1" x14ac:dyDescent="0.25">
      <c r="A3171" s="148" t="s">
        <v>8104</v>
      </c>
      <c r="B3171" s="149" t="s">
        <v>8105</v>
      </c>
      <c r="C3171" s="150" t="s">
        <v>18</v>
      </c>
      <c r="D3171" s="150">
        <v>0</v>
      </c>
      <c r="E3171" s="151" t="s">
        <v>13</v>
      </c>
      <c r="F3171" s="152" t="str">
        <f t="shared" si="149"/>
        <v/>
      </c>
      <c r="G3171" s="153">
        <f>IF($K3171="Padrão",BDI!$B$17,IF($K3171="Diferenciado",BDI!$E$17,0))</f>
        <v>0.2039</v>
      </c>
      <c r="H3171" s="151" t="str">
        <f t="shared" si="147"/>
        <v/>
      </c>
      <c r="I3171" s="152" t="str">
        <f t="shared" si="148"/>
        <v/>
      </c>
      <c r="J3171" s="154"/>
      <c r="K3171" s="155" t="s">
        <v>2966</v>
      </c>
    </row>
    <row r="3172" spans="1:11" hidden="1" x14ac:dyDescent="0.25">
      <c r="A3172" s="148" t="s">
        <v>1759</v>
      </c>
      <c r="B3172" s="149" t="s">
        <v>8106</v>
      </c>
      <c r="C3172" s="150" t="s">
        <v>70</v>
      </c>
      <c r="D3172" s="150">
        <v>0</v>
      </c>
      <c r="E3172" s="151">
        <f ca="1">OFFSET(INDEX(Composições!A:H,MATCH(Orçamentária!A3172,Composições!A:A,0),8),2,0)</f>
        <v>0</v>
      </c>
      <c r="F3172" s="152">
        <f t="shared" ca="1" si="149"/>
        <v>0</v>
      </c>
      <c r="G3172" s="153">
        <f>IF($K3172="Padrão",BDI!$B$17,IF($K3172="Diferenciado",BDI!$E$17,0))</f>
        <v>0.2039</v>
      </c>
      <c r="H3172" s="151">
        <f t="shared" ca="1" si="147"/>
        <v>0</v>
      </c>
      <c r="I3172" s="152">
        <f t="shared" ca="1" si="148"/>
        <v>0</v>
      </c>
      <c r="J3172" s="154"/>
      <c r="K3172" s="155" t="s">
        <v>2966</v>
      </c>
    </row>
    <row r="3173" spans="1:11" hidden="1" x14ac:dyDescent="0.25">
      <c r="A3173" s="148" t="s">
        <v>8107</v>
      </c>
      <c r="B3173" s="149" t="s">
        <v>8108</v>
      </c>
      <c r="C3173" s="150" t="s">
        <v>18</v>
      </c>
      <c r="D3173" s="150">
        <v>0</v>
      </c>
      <c r="E3173" s="151" t="s">
        <v>13</v>
      </c>
      <c r="F3173" s="152" t="str">
        <f t="shared" si="149"/>
        <v/>
      </c>
      <c r="G3173" s="153">
        <f>IF($K3173="Padrão",BDI!$B$17,IF($K3173="Diferenciado",BDI!$E$17,0))</f>
        <v>0.2039</v>
      </c>
      <c r="H3173" s="151" t="str">
        <f t="shared" si="147"/>
        <v/>
      </c>
      <c r="I3173" s="152" t="str">
        <f t="shared" si="148"/>
        <v/>
      </c>
      <c r="J3173" s="154"/>
      <c r="K3173" s="155" t="s">
        <v>2966</v>
      </c>
    </row>
    <row r="3174" spans="1:11" hidden="1" x14ac:dyDescent="0.25">
      <c r="A3174" s="148" t="s">
        <v>8109</v>
      </c>
      <c r="B3174" s="149" t="s">
        <v>8110</v>
      </c>
      <c r="C3174" s="150" t="s">
        <v>18</v>
      </c>
      <c r="D3174" s="150">
        <v>0</v>
      </c>
      <c r="E3174" s="151" t="s">
        <v>13</v>
      </c>
      <c r="F3174" s="152" t="str">
        <f t="shared" si="149"/>
        <v/>
      </c>
      <c r="G3174" s="153">
        <f>IF($K3174="Padrão",BDI!$B$17,IF($K3174="Diferenciado",BDI!$E$17,0))</f>
        <v>0.2039</v>
      </c>
      <c r="H3174" s="151" t="str">
        <f t="shared" si="147"/>
        <v/>
      </c>
      <c r="I3174" s="152" t="str">
        <f t="shared" si="148"/>
        <v/>
      </c>
      <c r="J3174" s="154"/>
      <c r="K3174" s="155" t="s">
        <v>2966</v>
      </c>
    </row>
    <row r="3175" spans="1:11" hidden="1" x14ac:dyDescent="0.25">
      <c r="A3175" s="148" t="s">
        <v>8111</v>
      </c>
      <c r="B3175" s="149" t="s">
        <v>8112</v>
      </c>
      <c r="C3175" s="150" t="s">
        <v>18</v>
      </c>
      <c r="D3175" s="150">
        <v>0</v>
      </c>
      <c r="E3175" s="151" t="s">
        <v>13</v>
      </c>
      <c r="F3175" s="152" t="str">
        <f t="shared" si="149"/>
        <v/>
      </c>
      <c r="G3175" s="153">
        <f>IF($K3175="Padrão",BDI!$B$17,IF($K3175="Diferenciado",BDI!$E$17,0))</f>
        <v>0.2039</v>
      </c>
      <c r="H3175" s="151" t="str">
        <f t="shared" si="147"/>
        <v/>
      </c>
      <c r="I3175" s="152" t="str">
        <f t="shared" si="148"/>
        <v/>
      </c>
      <c r="J3175" s="154"/>
      <c r="K3175" s="155" t="s">
        <v>2966</v>
      </c>
    </row>
    <row r="3176" spans="1:11" hidden="1" x14ac:dyDescent="0.25">
      <c r="A3176" s="148" t="s">
        <v>8113</v>
      </c>
      <c r="B3176" s="149" t="s">
        <v>8114</v>
      </c>
      <c r="C3176" s="150" t="s">
        <v>18</v>
      </c>
      <c r="D3176" s="150">
        <v>0</v>
      </c>
      <c r="E3176" s="151" t="s">
        <v>13</v>
      </c>
      <c r="F3176" s="152" t="str">
        <f t="shared" si="149"/>
        <v/>
      </c>
      <c r="G3176" s="153">
        <f>IF($K3176="Padrão",BDI!$B$17,IF($K3176="Diferenciado",BDI!$E$17,0))</f>
        <v>0.2039</v>
      </c>
      <c r="H3176" s="151" t="str">
        <f t="shared" si="147"/>
        <v/>
      </c>
      <c r="I3176" s="152" t="str">
        <f t="shared" si="148"/>
        <v/>
      </c>
      <c r="J3176" s="154"/>
      <c r="K3176" s="155" t="s">
        <v>2966</v>
      </c>
    </row>
    <row r="3177" spans="1:11" hidden="1" x14ac:dyDescent="0.25">
      <c r="A3177" s="148" t="s">
        <v>8115</v>
      </c>
      <c r="B3177" s="149" t="s">
        <v>8116</v>
      </c>
      <c r="C3177" s="150" t="s">
        <v>18</v>
      </c>
      <c r="D3177" s="150">
        <v>0</v>
      </c>
      <c r="E3177" s="151" t="s">
        <v>13</v>
      </c>
      <c r="F3177" s="152" t="str">
        <f t="shared" si="149"/>
        <v/>
      </c>
      <c r="G3177" s="153">
        <f>IF($K3177="Padrão",BDI!$B$17,IF($K3177="Diferenciado",BDI!$E$17,0))</f>
        <v>0.2039</v>
      </c>
      <c r="H3177" s="151" t="str">
        <f t="shared" si="147"/>
        <v/>
      </c>
      <c r="I3177" s="152" t="str">
        <f t="shared" si="148"/>
        <v/>
      </c>
      <c r="J3177" s="154"/>
      <c r="K3177" s="155" t="s">
        <v>2966</v>
      </c>
    </row>
    <row r="3178" spans="1:11" hidden="1" x14ac:dyDescent="0.25">
      <c r="A3178" s="148" t="s">
        <v>8117</v>
      </c>
      <c r="B3178" s="149" t="s">
        <v>8118</v>
      </c>
      <c r="C3178" s="150" t="s">
        <v>18</v>
      </c>
      <c r="D3178" s="150">
        <v>0</v>
      </c>
      <c r="E3178" s="151" t="s">
        <v>13</v>
      </c>
      <c r="F3178" s="152" t="str">
        <f t="shared" si="149"/>
        <v/>
      </c>
      <c r="G3178" s="153">
        <f>IF($K3178="Padrão",BDI!$B$17,IF($K3178="Diferenciado",BDI!$E$17,0))</f>
        <v>0.2039</v>
      </c>
      <c r="H3178" s="151" t="str">
        <f t="shared" si="147"/>
        <v/>
      </c>
      <c r="I3178" s="152" t="str">
        <f t="shared" si="148"/>
        <v/>
      </c>
      <c r="J3178" s="154"/>
      <c r="K3178" s="155" t="s">
        <v>2966</v>
      </c>
    </row>
    <row r="3179" spans="1:11" hidden="1" x14ac:dyDescent="0.25">
      <c r="A3179" s="148" t="s">
        <v>8119</v>
      </c>
      <c r="B3179" s="149" t="s">
        <v>8120</v>
      </c>
      <c r="C3179" s="150" t="s">
        <v>18</v>
      </c>
      <c r="D3179" s="150">
        <v>0</v>
      </c>
      <c r="E3179" s="151" t="s">
        <v>13</v>
      </c>
      <c r="F3179" s="152" t="str">
        <f t="shared" si="149"/>
        <v/>
      </c>
      <c r="G3179" s="153">
        <f>IF($K3179="Padrão",BDI!$B$17,IF($K3179="Diferenciado",BDI!$E$17,0))</f>
        <v>0.2039</v>
      </c>
      <c r="H3179" s="151" t="str">
        <f t="shared" si="147"/>
        <v/>
      </c>
      <c r="I3179" s="152" t="str">
        <f t="shared" si="148"/>
        <v/>
      </c>
      <c r="J3179" s="154"/>
      <c r="K3179" s="155" t="s">
        <v>2966</v>
      </c>
    </row>
    <row r="3180" spans="1:11" hidden="1" x14ac:dyDescent="0.25">
      <c r="A3180" s="148" t="s">
        <v>8121</v>
      </c>
      <c r="B3180" s="149" t="s">
        <v>8122</v>
      </c>
      <c r="C3180" s="150" t="s">
        <v>18</v>
      </c>
      <c r="D3180" s="150">
        <v>0</v>
      </c>
      <c r="E3180" s="151" t="s">
        <v>13</v>
      </c>
      <c r="F3180" s="152" t="str">
        <f t="shared" si="149"/>
        <v/>
      </c>
      <c r="G3180" s="153">
        <f>IF($K3180="Padrão",BDI!$B$17,IF($K3180="Diferenciado",BDI!$E$17,0))</f>
        <v>0.2039</v>
      </c>
      <c r="H3180" s="151" t="str">
        <f t="shared" si="147"/>
        <v/>
      </c>
      <c r="I3180" s="152" t="str">
        <f t="shared" si="148"/>
        <v/>
      </c>
      <c r="J3180" s="154"/>
      <c r="K3180" s="155" t="s">
        <v>2966</v>
      </c>
    </row>
    <row r="3181" spans="1:11" hidden="1" x14ac:dyDescent="0.25">
      <c r="A3181" s="148" t="s">
        <v>8123</v>
      </c>
      <c r="B3181" s="149" t="s">
        <v>8124</v>
      </c>
      <c r="C3181" s="150" t="s">
        <v>18</v>
      </c>
      <c r="D3181" s="150">
        <v>0</v>
      </c>
      <c r="E3181" s="151" t="s">
        <v>13</v>
      </c>
      <c r="F3181" s="152" t="str">
        <f t="shared" si="149"/>
        <v/>
      </c>
      <c r="G3181" s="153">
        <f>IF($K3181="Padrão",BDI!$B$17,IF($K3181="Diferenciado",BDI!$E$17,0))</f>
        <v>0.2039</v>
      </c>
      <c r="H3181" s="151" t="str">
        <f t="shared" si="147"/>
        <v/>
      </c>
      <c r="I3181" s="152" t="str">
        <f t="shared" si="148"/>
        <v/>
      </c>
      <c r="J3181" s="154"/>
      <c r="K3181" s="155" t="s">
        <v>2966</v>
      </c>
    </row>
    <row r="3182" spans="1:11" hidden="1" x14ac:dyDescent="0.25">
      <c r="A3182" s="148" t="s">
        <v>8125</v>
      </c>
      <c r="B3182" s="149" t="s">
        <v>8126</v>
      </c>
      <c r="C3182" s="150" t="s">
        <v>18</v>
      </c>
      <c r="D3182" s="150">
        <v>0</v>
      </c>
      <c r="E3182" s="151" t="s">
        <v>13</v>
      </c>
      <c r="F3182" s="152" t="str">
        <f t="shared" si="149"/>
        <v/>
      </c>
      <c r="G3182" s="153">
        <f>IF($K3182="Padrão",BDI!$B$17,IF($K3182="Diferenciado",BDI!$E$17,0))</f>
        <v>0.2039</v>
      </c>
      <c r="H3182" s="151" t="str">
        <f t="shared" si="147"/>
        <v/>
      </c>
      <c r="I3182" s="152" t="str">
        <f t="shared" si="148"/>
        <v/>
      </c>
      <c r="J3182" s="154"/>
      <c r="K3182" s="155" t="s">
        <v>2966</v>
      </c>
    </row>
    <row r="3183" spans="1:11" hidden="1" x14ac:dyDescent="0.25">
      <c r="A3183" s="148" t="s">
        <v>8127</v>
      </c>
      <c r="B3183" s="149" t="s">
        <v>8128</v>
      </c>
      <c r="C3183" s="150" t="s">
        <v>18</v>
      </c>
      <c r="D3183" s="150">
        <v>0</v>
      </c>
      <c r="E3183" s="151" t="s">
        <v>13</v>
      </c>
      <c r="F3183" s="152" t="str">
        <f t="shared" si="149"/>
        <v/>
      </c>
      <c r="G3183" s="153">
        <f>IF($K3183="Padrão",BDI!$B$17,IF($K3183="Diferenciado",BDI!$E$17,0))</f>
        <v>0.2039</v>
      </c>
      <c r="H3183" s="151" t="str">
        <f t="shared" si="147"/>
        <v/>
      </c>
      <c r="I3183" s="152" t="str">
        <f t="shared" si="148"/>
        <v/>
      </c>
      <c r="J3183" s="154"/>
      <c r="K3183" s="155" t="s">
        <v>2966</v>
      </c>
    </row>
    <row r="3184" spans="1:11" hidden="1" x14ac:dyDescent="0.25">
      <c r="A3184" s="148" t="s">
        <v>8129</v>
      </c>
      <c r="B3184" s="149" t="s">
        <v>8130</v>
      </c>
      <c r="C3184" s="150" t="s">
        <v>18</v>
      </c>
      <c r="D3184" s="150">
        <v>0</v>
      </c>
      <c r="E3184" s="151" t="s">
        <v>13</v>
      </c>
      <c r="F3184" s="152" t="str">
        <f t="shared" si="149"/>
        <v/>
      </c>
      <c r="G3184" s="153">
        <f>IF($K3184="Padrão",BDI!$B$17,IF($K3184="Diferenciado",BDI!$E$17,0))</f>
        <v>0.2039</v>
      </c>
      <c r="H3184" s="151" t="str">
        <f t="shared" si="147"/>
        <v/>
      </c>
      <c r="I3184" s="152" t="str">
        <f t="shared" si="148"/>
        <v/>
      </c>
      <c r="J3184" s="154"/>
      <c r="K3184" s="155" t="s">
        <v>2966</v>
      </c>
    </row>
    <row r="3185" spans="1:11" hidden="1" x14ac:dyDescent="0.25">
      <c r="A3185" s="148" t="s">
        <v>1761</v>
      </c>
      <c r="B3185" s="149" t="s">
        <v>8131</v>
      </c>
      <c r="C3185" s="150" t="s">
        <v>70</v>
      </c>
      <c r="D3185" s="150">
        <v>0</v>
      </c>
      <c r="E3185" s="151">
        <f ca="1">OFFSET(INDEX(Composições!A:H,MATCH(Orçamentária!A3185,Composições!A:A,0),8),2,0)</f>
        <v>0</v>
      </c>
      <c r="F3185" s="152">
        <f t="shared" ca="1" si="149"/>
        <v>0</v>
      </c>
      <c r="G3185" s="153">
        <f>IF($K3185="Padrão",BDI!$B$17,IF($K3185="Diferenciado",BDI!$E$17,0))</f>
        <v>0.2039</v>
      </c>
      <c r="H3185" s="151">
        <f t="shared" ca="1" si="147"/>
        <v>0</v>
      </c>
      <c r="I3185" s="152">
        <f t="shared" ca="1" si="148"/>
        <v>0</v>
      </c>
      <c r="J3185" s="154"/>
      <c r="K3185" s="155" t="s">
        <v>2966</v>
      </c>
    </row>
    <row r="3186" spans="1:11" hidden="1" x14ac:dyDescent="0.25">
      <c r="A3186" s="148" t="s">
        <v>8132</v>
      </c>
      <c r="B3186" s="149" t="s">
        <v>8133</v>
      </c>
      <c r="C3186" s="150" t="s">
        <v>18</v>
      </c>
      <c r="D3186" s="150">
        <v>0</v>
      </c>
      <c r="E3186" s="151" t="s">
        <v>13</v>
      </c>
      <c r="F3186" s="152" t="str">
        <f t="shared" si="149"/>
        <v/>
      </c>
      <c r="G3186" s="153">
        <f>IF($K3186="Padrão",BDI!$B$17,IF($K3186="Diferenciado",BDI!$E$17,0))</f>
        <v>0.2039</v>
      </c>
      <c r="H3186" s="151" t="str">
        <f t="shared" si="147"/>
        <v/>
      </c>
      <c r="I3186" s="152" t="str">
        <f t="shared" si="148"/>
        <v/>
      </c>
      <c r="J3186" s="154"/>
      <c r="K3186" s="155" t="s">
        <v>2966</v>
      </c>
    </row>
    <row r="3187" spans="1:11" hidden="1" x14ac:dyDescent="0.25">
      <c r="A3187" s="148" t="s">
        <v>8134</v>
      </c>
      <c r="B3187" s="149" t="s">
        <v>8135</v>
      </c>
      <c r="C3187" s="150" t="s">
        <v>18</v>
      </c>
      <c r="D3187" s="150">
        <v>0</v>
      </c>
      <c r="E3187" s="151" t="s">
        <v>13</v>
      </c>
      <c r="F3187" s="152" t="str">
        <f t="shared" si="149"/>
        <v/>
      </c>
      <c r="G3187" s="153">
        <f>IF($K3187="Padrão",BDI!$B$17,IF($K3187="Diferenciado",BDI!$E$17,0))</f>
        <v>0.2039</v>
      </c>
      <c r="H3187" s="151" t="str">
        <f t="shared" si="147"/>
        <v/>
      </c>
      <c r="I3187" s="152" t="str">
        <f t="shared" si="148"/>
        <v/>
      </c>
      <c r="J3187" s="154"/>
      <c r="K3187" s="155" t="s">
        <v>2966</v>
      </c>
    </row>
    <row r="3188" spans="1:11" hidden="1" x14ac:dyDescent="0.25">
      <c r="A3188" s="148" t="s">
        <v>8136</v>
      </c>
      <c r="B3188" s="149" t="s">
        <v>8137</v>
      </c>
      <c r="C3188" s="150" t="s">
        <v>18</v>
      </c>
      <c r="D3188" s="150">
        <v>0</v>
      </c>
      <c r="E3188" s="151" t="s">
        <v>13</v>
      </c>
      <c r="F3188" s="152" t="str">
        <f t="shared" si="149"/>
        <v/>
      </c>
      <c r="G3188" s="153">
        <f>IF($K3188="Padrão",BDI!$B$17,IF($K3188="Diferenciado",BDI!$E$17,0))</f>
        <v>0.2039</v>
      </c>
      <c r="H3188" s="151" t="str">
        <f t="shared" si="147"/>
        <v/>
      </c>
      <c r="I3188" s="152" t="str">
        <f t="shared" si="148"/>
        <v/>
      </c>
      <c r="J3188" s="154"/>
      <c r="K3188" s="155" t="s">
        <v>2966</v>
      </c>
    </row>
    <row r="3189" spans="1:11" hidden="1" x14ac:dyDescent="0.25">
      <c r="A3189" s="148" t="s">
        <v>8138</v>
      </c>
      <c r="B3189" s="149" t="s">
        <v>8139</v>
      </c>
      <c r="C3189" s="150" t="s">
        <v>18</v>
      </c>
      <c r="D3189" s="150">
        <v>0</v>
      </c>
      <c r="E3189" s="151" t="s">
        <v>13</v>
      </c>
      <c r="F3189" s="152" t="str">
        <f t="shared" si="149"/>
        <v/>
      </c>
      <c r="G3189" s="153">
        <f>IF($K3189="Padrão",BDI!$B$17,IF($K3189="Diferenciado",BDI!$E$17,0))</f>
        <v>0.2039</v>
      </c>
      <c r="H3189" s="151" t="str">
        <f t="shared" si="147"/>
        <v/>
      </c>
      <c r="I3189" s="152" t="str">
        <f t="shared" si="148"/>
        <v/>
      </c>
      <c r="J3189" s="154"/>
      <c r="K3189" s="155" t="s">
        <v>2966</v>
      </c>
    </row>
    <row r="3190" spans="1:11" hidden="1" x14ac:dyDescent="0.25">
      <c r="A3190" s="148" t="s">
        <v>8140</v>
      </c>
      <c r="B3190" s="149" t="s">
        <v>8141</v>
      </c>
      <c r="C3190" s="150" t="s">
        <v>18</v>
      </c>
      <c r="D3190" s="150">
        <v>0</v>
      </c>
      <c r="E3190" s="151" t="s">
        <v>13</v>
      </c>
      <c r="F3190" s="152" t="str">
        <f t="shared" si="149"/>
        <v/>
      </c>
      <c r="G3190" s="153">
        <f>IF($K3190="Padrão",BDI!$B$17,IF($K3190="Diferenciado",BDI!$E$17,0))</f>
        <v>0.2039</v>
      </c>
      <c r="H3190" s="151" t="str">
        <f t="shared" si="147"/>
        <v/>
      </c>
      <c r="I3190" s="152" t="str">
        <f t="shared" si="148"/>
        <v/>
      </c>
      <c r="J3190" s="154"/>
      <c r="K3190" s="155" t="s">
        <v>2966</v>
      </c>
    </row>
    <row r="3191" spans="1:11" hidden="1" x14ac:dyDescent="0.25">
      <c r="A3191" s="148" t="s">
        <v>8142</v>
      </c>
      <c r="B3191" s="149" t="s">
        <v>8143</v>
      </c>
      <c r="C3191" s="150" t="s">
        <v>72</v>
      </c>
      <c r="D3191" s="150">
        <v>0</v>
      </c>
      <c r="E3191" s="151" t="s">
        <v>13</v>
      </c>
      <c r="F3191" s="152" t="str">
        <f t="shared" si="149"/>
        <v/>
      </c>
      <c r="G3191" s="153">
        <f>IF($K3191="Padrão",BDI!$B$17,IF($K3191="Diferenciado",BDI!$E$17,0))</f>
        <v>0.2039</v>
      </c>
      <c r="H3191" s="151" t="str">
        <f t="shared" si="147"/>
        <v/>
      </c>
      <c r="I3191" s="152" t="str">
        <f t="shared" si="148"/>
        <v/>
      </c>
      <c r="J3191" s="154"/>
      <c r="K3191" s="155" t="s">
        <v>2966</v>
      </c>
    </row>
    <row r="3192" spans="1:11" hidden="1" x14ac:dyDescent="0.25">
      <c r="A3192" s="148" t="s">
        <v>8144</v>
      </c>
      <c r="B3192" s="149" t="s">
        <v>8145</v>
      </c>
      <c r="C3192" s="150" t="s">
        <v>18</v>
      </c>
      <c r="D3192" s="150">
        <v>0</v>
      </c>
      <c r="E3192" s="151" t="s">
        <v>13</v>
      </c>
      <c r="F3192" s="152" t="str">
        <f t="shared" si="149"/>
        <v/>
      </c>
      <c r="G3192" s="153">
        <f>IF($K3192="Padrão",BDI!$B$17,IF($K3192="Diferenciado",BDI!$E$17,0))</f>
        <v>0.2039</v>
      </c>
      <c r="H3192" s="151" t="str">
        <f t="shared" si="147"/>
        <v/>
      </c>
      <c r="I3192" s="152" t="str">
        <f t="shared" si="148"/>
        <v/>
      </c>
      <c r="J3192" s="154"/>
      <c r="K3192" s="155" t="s">
        <v>2966</v>
      </c>
    </row>
    <row r="3193" spans="1:11" hidden="1" x14ac:dyDescent="0.25">
      <c r="A3193" s="148" t="s">
        <v>8146</v>
      </c>
      <c r="B3193" s="149" t="s">
        <v>8147</v>
      </c>
      <c r="C3193" s="150" t="s">
        <v>70</v>
      </c>
      <c r="D3193" s="150">
        <v>0</v>
      </c>
      <c r="E3193" s="151" t="s">
        <v>13</v>
      </c>
      <c r="F3193" s="152" t="str">
        <f t="shared" si="149"/>
        <v/>
      </c>
      <c r="G3193" s="153">
        <f>IF($K3193="Padrão",BDI!$B$17,IF($K3193="Diferenciado",BDI!$E$17,0))</f>
        <v>0.2039</v>
      </c>
      <c r="H3193" s="151" t="str">
        <f t="shared" si="147"/>
        <v/>
      </c>
      <c r="I3193" s="152" t="str">
        <f t="shared" si="148"/>
        <v/>
      </c>
      <c r="J3193" s="154"/>
      <c r="K3193" s="155" t="s">
        <v>2966</v>
      </c>
    </row>
    <row r="3194" spans="1:11" hidden="1" x14ac:dyDescent="0.25">
      <c r="A3194" s="148" t="s">
        <v>8148</v>
      </c>
      <c r="B3194" s="149" t="s">
        <v>8149</v>
      </c>
      <c r="C3194" s="150" t="s">
        <v>18</v>
      </c>
      <c r="D3194" s="150">
        <v>0</v>
      </c>
      <c r="E3194" s="151" t="s">
        <v>13</v>
      </c>
      <c r="F3194" s="152" t="str">
        <f t="shared" si="149"/>
        <v/>
      </c>
      <c r="G3194" s="153">
        <f>IF($K3194="Padrão",BDI!$B$17,IF($K3194="Diferenciado",BDI!$E$17,0))</f>
        <v>0.2039</v>
      </c>
      <c r="H3194" s="151" t="str">
        <f t="shared" si="147"/>
        <v/>
      </c>
      <c r="I3194" s="152" t="str">
        <f t="shared" si="148"/>
        <v/>
      </c>
      <c r="J3194" s="154"/>
      <c r="K3194" s="155" t="s">
        <v>2966</v>
      </c>
    </row>
    <row r="3195" spans="1:11" hidden="1" x14ac:dyDescent="0.25">
      <c r="A3195" s="148" t="s">
        <v>8150</v>
      </c>
      <c r="B3195" s="149" t="s">
        <v>8151</v>
      </c>
      <c r="C3195" s="150" t="s">
        <v>70</v>
      </c>
      <c r="D3195" s="150">
        <v>0</v>
      </c>
      <c r="E3195" s="151" t="s">
        <v>13</v>
      </c>
      <c r="F3195" s="152" t="str">
        <f t="shared" si="149"/>
        <v/>
      </c>
      <c r="G3195" s="153">
        <f>IF($K3195="Padrão",BDI!$B$17,IF($K3195="Diferenciado",BDI!$E$17,0))</f>
        <v>0.2039</v>
      </c>
      <c r="H3195" s="151" t="str">
        <f t="shared" si="147"/>
        <v/>
      </c>
      <c r="I3195" s="152" t="str">
        <f t="shared" si="148"/>
        <v/>
      </c>
      <c r="J3195" s="154"/>
      <c r="K3195" s="155" t="s">
        <v>2966</v>
      </c>
    </row>
    <row r="3196" spans="1:11" hidden="1" x14ac:dyDescent="0.25">
      <c r="A3196" s="148" t="s">
        <v>8152</v>
      </c>
      <c r="B3196" s="149" t="s">
        <v>8153</v>
      </c>
      <c r="C3196" s="150" t="s">
        <v>18</v>
      </c>
      <c r="D3196" s="150">
        <v>0</v>
      </c>
      <c r="E3196" s="151" t="s">
        <v>13</v>
      </c>
      <c r="F3196" s="152" t="str">
        <f t="shared" si="149"/>
        <v/>
      </c>
      <c r="G3196" s="153">
        <f>IF($K3196="Padrão",BDI!$B$17,IF($K3196="Diferenciado",BDI!$E$17,0))</f>
        <v>0.2039</v>
      </c>
      <c r="H3196" s="151" t="str">
        <f t="shared" si="147"/>
        <v/>
      </c>
      <c r="I3196" s="152" t="str">
        <f t="shared" si="148"/>
        <v/>
      </c>
      <c r="J3196" s="154"/>
      <c r="K3196" s="155" t="s">
        <v>2966</v>
      </c>
    </row>
    <row r="3197" spans="1:11" hidden="1" x14ac:dyDescent="0.25">
      <c r="A3197" s="148" t="s">
        <v>8154</v>
      </c>
      <c r="B3197" s="149" t="s">
        <v>8155</v>
      </c>
      <c r="C3197" s="150" t="s">
        <v>18</v>
      </c>
      <c r="D3197" s="150">
        <v>0</v>
      </c>
      <c r="E3197" s="151" t="s">
        <v>13</v>
      </c>
      <c r="F3197" s="152" t="str">
        <f t="shared" si="149"/>
        <v/>
      </c>
      <c r="G3197" s="153">
        <f>IF($K3197="Padrão",BDI!$B$17,IF($K3197="Diferenciado",BDI!$E$17,0))</f>
        <v>0.2039</v>
      </c>
      <c r="H3197" s="151" t="str">
        <f t="shared" si="147"/>
        <v/>
      </c>
      <c r="I3197" s="152" t="str">
        <f t="shared" si="148"/>
        <v/>
      </c>
      <c r="J3197" s="154"/>
      <c r="K3197" s="155" t="s">
        <v>2966</v>
      </c>
    </row>
    <row r="3198" spans="1:11" hidden="1" x14ac:dyDescent="0.25">
      <c r="A3198" s="148" t="s">
        <v>8156</v>
      </c>
      <c r="B3198" s="149" t="s">
        <v>8157</v>
      </c>
      <c r="C3198" s="150" t="s">
        <v>18</v>
      </c>
      <c r="D3198" s="150">
        <v>0</v>
      </c>
      <c r="E3198" s="151" t="s">
        <v>13</v>
      </c>
      <c r="F3198" s="152" t="str">
        <f t="shared" si="149"/>
        <v/>
      </c>
      <c r="G3198" s="153">
        <f>IF($K3198="Padrão",BDI!$B$17,IF($K3198="Diferenciado",BDI!$E$17,0))</f>
        <v>0.2039</v>
      </c>
      <c r="H3198" s="151" t="str">
        <f t="shared" si="147"/>
        <v/>
      </c>
      <c r="I3198" s="152" t="str">
        <f t="shared" si="148"/>
        <v/>
      </c>
      <c r="J3198" s="154"/>
      <c r="K3198" s="155" t="s">
        <v>2966</v>
      </c>
    </row>
    <row r="3199" spans="1:11" hidden="1" x14ac:dyDescent="0.25">
      <c r="A3199" s="148" t="s">
        <v>8158</v>
      </c>
      <c r="B3199" s="149" t="s">
        <v>8159</v>
      </c>
      <c r="C3199" s="150" t="s">
        <v>18</v>
      </c>
      <c r="D3199" s="150">
        <v>0</v>
      </c>
      <c r="E3199" s="151" t="s">
        <v>13</v>
      </c>
      <c r="F3199" s="152" t="str">
        <f t="shared" si="149"/>
        <v/>
      </c>
      <c r="G3199" s="153">
        <f>IF($K3199="Padrão",BDI!$B$17,IF($K3199="Diferenciado",BDI!$E$17,0))</f>
        <v>0.2039</v>
      </c>
      <c r="H3199" s="151" t="str">
        <f t="shared" si="147"/>
        <v/>
      </c>
      <c r="I3199" s="152" t="str">
        <f t="shared" si="148"/>
        <v/>
      </c>
      <c r="J3199" s="154"/>
      <c r="K3199" s="155" t="s">
        <v>2966</v>
      </c>
    </row>
    <row r="3200" spans="1:11" hidden="1" x14ac:dyDescent="0.25">
      <c r="A3200" s="148" t="s">
        <v>8160</v>
      </c>
      <c r="B3200" s="149" t="s">
        <v>8161</v>
      </c>
      <c r="C3200" s="150" t="s">
        <v>18</v>
      </c>
      <c r="D3200" s="150">
        <v>0</v>
      </c>
      <c r="E3200" s="151" t="s">
        <v>13</v>
      </c>
      <c r="F3200" s="152" t="str">
        <f t="shared" si="149"/>
        <v/>
      </c>
      <c r="G3200" s="153">
        <f>IF($K3200="Padrão",BDI!$B$17,IF($K3200="Diferenciado",BDI!$E$17,0))</f>
        <v>0.2039</v>
      </c>
      <c r="H3200" s="151" t="str">
        <f t="shared" si="147"/>
        <v/>
      </c>
      <c r="I3200" s="152" t="str">
        <f t="shared" si="148"/>
        <v/>
      </c>
      <c r="J3200" s="154"/>
      <c r="K3200" s="155" t="s">
        <v>2966</v>
      </c>
    </row>
    <row r="3201" spans="1:11" hidden="1" x14ac:dyDescent="0.25">
      <c r="A3201" s="148" t="s">
        <v>8162</v>
      </c>
      <c r="B3201" s="149" t="s">
        <v>8163</v>
      </c>
      <c r="C3201" s="150" t="s">
        <v>18</v>
      </c>
      <c r="D3201" s="150">
        <v>0</v>
      </c>
      <c r="E3201" s="151" t="s">
        <v>13</v>
      </c>
      <c r="F3201" s="152" t="str">
        <f t="shared" si="149"/>
        <v/>
      </c>
      <c r="G3201" s="153">
        <f>IF($K3201="Padrão",BDI!$B$17,IF($K3201="Diferenciado",BDI!$E$17,0))</f>
        <v>0.2039</v>
      </c>
      <c r="H3201" s="151" t="str">
        <f t="shared" si="147"/>
        <v/>
      </c>
      <c r="I3201" s="152" t="str">
        <f t="shared" si="148"/>
        <v/>
      </c>
      <c r="J3201" s="154"/>
      <c r="K3201" s="155" t="s">
        <v>2966</v>
      </c>
    </row>
    <row r="3202" spans="1:11" hidden="1" x14ac:dyDescent="0.25">
      <c r="A3202" s="148" t="s">
        <v>8164</v>
      </c>
      <c r="B3202" s="149" t="s">
        <v>8165</v>
      </c>
      <c r="C3202" s="150" t="s">
        <v>18</v>
      </c>
      <c r="D3202" s="150">
        <v>0</v>
      </c>
      <c r="E3202" s="151" t="s">
        <v>13</v>
      </c>
      <c r="F3202" s="152" t="str">
        <f t="shared" si="149"/>
        <v/>
      </c>
      <c r="G3202" s="153">
        <f>IF($K3202="Padrão",BDI!$B$17,IF($K3202="Diferenciado",BDI!$E$17,0))</f>
        <v>0.2039</v>
      </c>
      <c r="H3202" s="151" t="str">
        <f t="shared" si="147"/>
        <v/>
      </c>
      <c r="I3202" s="152" t="str">
        <f t="shared" si="148"/>
        <v/>
      </c>
      <c r="J3202" s="154"/>
      <c r="K3202" s="155" t="s">
        <v>2966</v>
      </c>
    </row>
    <row r="3203" spans="1:11" hidden="1" x14ac:dyDescent="0.25">
      <c r="A3203" s="148" t="s">
        <v>8166</v>
      </c>
      <c r="B3203" s="149" t="s">
        <v>8167</v>
      </c>
      <c r="C3203" s="150" t="s">
        <v>18</v>
      </c>
      <c r="D3203" s="150">
        <v>0</v>
      </c>
      <c r="E3203" s="151" t="s">
        <v>13</v>
      </c>
      <c r="F3203" s="152" t="str">
        <f t="shared" si="149"/>
        <v/>
      </c>
      <c r="G3203" s="153">
        <f>IF($K3203="Padrão",BDI!$B$17,IF($K3203="Diferenciado",BDI!$E$17,0))</f>
        <v>0.2039</v>
      </c>
      <c r="H3203" s="151" t="str">
        <f t="shared" si="147"/>
        <v/>
      </c>
      <c r="I3203" s="152" t="str">
        <f t="shared" si="148"/>
        <v/>
      </c>
      <c r="J3203" s="154"/>
      <c r="K3203" s="155" t="s">
        <v>2966</v>
      </c>
    </row>
    <row r="3204" spans="1:11" hidden="1" x14ac:dyDescent="0.25">
      <c r="A3204" s="148" t="s">
        <v>8168</v>
      </c>
      <c r="B3204" s="149" t="s">
        <v>8169</v>
      </c>
      <c r="C3204" s="150" t="s">
        <v>106</v>
      </c>
      <c r="D3204" s="150">
        <v>0</v>
      </c>
      <c r="E3204" s="151" t="s">
        <v>13</v>
      </c>
      <c r="F3204" s="152" t="str">
        <f t="shared" si="149"/>
        <v/>
      </c>
      <c r="G3204" s="153">
        <f>IF($K3204="Padrão",BDI!$B$17,IF($K3204="Diferenciado",BDI!$E$17,0))</f>
        <v>0.2039</v>
      </c>
      <c r="H3204" s="151" t="str">
        <f t="shared" si="147"/>
        <v/>
      </c>
      <c r="I3204" s="152" t="str">
        <f t="shared" si="148"/>
        <v/>
      </c>
      <c r="J3204" s="154"/>
      <c r="K3204" s="155" t="s">
        <v>2966</v>
      </c>
    </row>
    <row r="3205" spans="1:11" hidden="1" x14ac:dyDescent="0.25">
      <c r="A3205" s="148" t="s">
        <v>8170</v>
      </c>
      <c r="B3205" s="149" t="s">
        <v>8171</v>
      </c>
      <c r="C3205" s="150" t="s">
        <v>106</v>
      </c>
      <c r="D3205" s="150">
        <v>0</v>
      </c>
      <c r="E3205" s="151" t="s">
        <v>13</v>
      </c>
      <c r="F3205" s="152" t="str">
        <f t="shared" si="149"/>
        <v/>
      </c>
      <c r="G3205" s="153">
        <f>IF($K3205="Padrão",BDI!$B$17,IF($K3205="Diferenciado",BDI!$E$17,0))</f>
        <v>0.2039</v>
      </c>
      <c r="H3205" s="151" t="str">
        <f t="shared" si="147"/>
        <v/>
      </c>
      <c r="I3205" s="152" t="str">
        <f t="shared" si="148"/>
        <v/>
      </c>
      <c r="J3205" s="154"/>
      <c r="K3205" s="155" t="s">
        <v>2966</v>
      </c>
    </row>
    <row r="3206" spans="1:11" hidden="1" x14ac:dyDescent="0.25">
      <c r="A3206" s="148" t="s">
        <v>8172</v>
      </c>
      <c r="B3206" s="149" t="s">
        <v>8173</v>
      </c>
      <c r="C3206" s="150" t="s">
        <v>106</v>
      </c>
      <c r="D3206" s="150">
        <v>0</v>
      </c>
      <c r="E3206" s="151" t="s">
        <v>13</v>
      </c>
      <c r="F3206" s="152" t="str">
        <f t="shared" si="149"/>
        <v/>
      </c>
      <c r="G3206" s="153">
        <f>IF($K3206="Padrão",BDI!$B$17,IF($K3206="Diferenciado",BDI!$E$17,0))</f>
        <v>0.2039</v>
      </c>
      <c r="H3206" s="151" t="str">
        <f t="shared" ref="H3206:H3269" si="150">IF(ISNUMBER(E3206),ROUND(E3206*(1+G3206),2),"")</f>
        <v/>
      </c>
      <c r="I3206" s="152" t="str">
        <f t="shared" ref="I3206:I3269" si="151">IF(ISNUMBER(E3206),ROUND(H3206*D3206,2),"")</f>
        <v/>
      </c>
      <c r="J3206" s="154"/>
      <c r="K3206" s="155" t="s">
        <v>2966</v>
      </c>
    </row>
    <row r="3207" spans="1:11" hidden="1" x14ac:dyDescent="0.25">
      <c r="A3207" s="148" t="s">
        <v>8174</v>
      </c>
      <c r="B3207" s="149" t="s">
        <v>8175</v>
      </c>
      <c r="C3207" s="150" t="s">
        <v>106</v>
      </c>
      <c r="D3207" s="150">
        <v>0</v>
      </c>
      <c r="E3207" s="151" t="s">
        <v>13</v>
      </c>
      <c r="F3207" s="152" t="str">
        <f t="shared" ref="F3207:F3270" si="152">IF(ISNUMBER(E3207),D3207*E3207,"")</f>
        <v/>
      </c>
      <c r="G3207" s="153">
        <f>IF($K3207="Padrão",BDI!$B$17,IF($K3207="Diferenciado",BDI!$E$17,0))</f>
        <v>0.2039</v>
      </c>
      <c r="H3207" s="151" t="str">
        <f t="shared" si="150"/>
        <v/>
      </c>
      <c r="I3207" s="152" t="str">
        <f t="shared" si="151"/>
        <v/>
      </c>
      <c r="J3207" s="154"/>
      <c r="K3207" s="155" t="s">
        <v>2966</v>
      </c>
    </row>
    <row r="3208" spans="1:11" hidden="1" x14ac:dyDescent="0.25">
      <c r="A3208" s="148" t="s">
        <v>1763</v>
      </c>
      <c r="B3208" s="149" t="s">
        <v>8176</v>
      </c>
      <c r="C3208" s="150" t="s">
        <v>18</v>
      </c>
      <c r="D3208" s="150">
        <v>0</v>
      </c>
      <c r="E3208" s="151">
        <f ca="1">OFFSET(INDEX(Composições!A:H,MATCH(Orçamentária!A3208,Composições!A:A,0),8),2,0)</f>
        <v>40.1755</v>
      </c>
      <c r="F3208" s="152">
        <f t="shared" ca="1" si="152"/>
        <v>0</v>
      </c>
      <c r="G3208" s="153">
        <f>IF($K3208="Padrão",BDI!$B$17,IF($K3208="Diferenciado",BDI!$E$17,0))</f>
        <v>0.2039</v>
      </c>
      <c r="H3208" s="151">
        <f t="shared" ca="1" si="150"/>
        <v>48.37</v>
      </c>
      <c r="I3208" s="152">
        <f t="shared" ca="1" si="151"/>
        <v>0</v>
      </c>
      <c r="J3208" s="154"/>
      <c r="K3208" s="155" t="s">
        <v>2966</v>
      </c>
    </row>
    <row r="3209" spans="1:11" ht="25.5" hidden="1" x14ac:dyDescent="0.25">
      <c r="A3209" s="148" t="s">
        <v>1764</v>
      </c>
      <c r="B3209" s="149" t="s">
        <v>8177</v>
      </c>
      <c r="C3209" s="150" t="s">
        <v>18</v>
      </c>
      <c r="D3209" s="150">
        <v>0</v>
      </c>
      <c r="E3209" s="151">
        <f ca="1">OFFSET(INDEX(Composições!A:H,MATCH(Orçamentária!A3209,Composições!A:A,0),8),2,0)</f>
        <v>0</v>
      </c>
      <c r="F3209" s="152">
        <f t="shared" ca="1" si="152"/>
        <v>0</v>
      </c>
      <c r="G3209" s="153">
        <f>IF($K3209="Padrão",BDI!$B$17,IF($K3209="Diferenciado",BDI!$E$17,0))</f>
        <v>0.2039</v>
      </c>
      <c r="H3209" s="151">
        <f t="shared" ca="1" si="150"/>
        <v>0</v>
      </c>
      <c r="I3209" s="152">
        <f t="shared" ca="1" si="151"/>
        <v>0</v>
      </c>
      <c r="J3209" s="154"/>
      <c r="K3209" s="155" t="s">
        <v>2966</v>
      </c>
    </row>
    <row r="3210" spans="1:11" hidden="1" x14ac:dyDescent="0.25">
      <c r="A3210" s="148" t="s">
        <v>8178</v>
      </c>
      <c r="B3210" s="149" t="s">
        <v>8179</v>
      </c>
      <c r="C3210" s="150" t="s">
        <v>18</v>
      </c>
      <c r="D3210" s="150">
        <v>0</v>
      </c>
      <c r="E3210" s="151" t="s">
        <v>13</v>
      </c>
      <c r="F3210" s="152" t="str">
        <f t="shared" si="152"/>
        <v/>
      </c>
      <c r="G3210" s="153">
        <f>IF($K3210="Padrão",BDI!$B$17,IF($K3210="Diferenciado",BDI!$E$17,0))</f>
        <v>0.2039</v>
      </c>
      <c r="H3210" s="151" t="str">
        <f t="shared" si="150"/>
        <v/>
      </c>
      <c r="I3210" s="152" t="str">
        <f t="shared" si="151"/>
        <v/>
      </c>
      <c r="J3210" s="154"/>
      <c r="K3210" s="155" t="s">
        <v>2966</v>
      </c>
    </row>
    <row r="3211" spans="1:11" hidden="1" x14ac:dyDescent="0.25">
      <c r="A3211" s="148" t="s">
        <v>1766</v>
      </c>
      <c r="B3211" s="149" t="s">
        <v>8180</v>
      </c>
      <c r="C3211" s="150" t="s">
        <v>18</v>
      </c>
      <c r="D3211" s="150">
        <v>0</v>
      </c>
      <c r="E3211" s="151">
        <f ca="1">OFFSET(INDEX(Composições!A:H,MATCH(Orçamentária!A3211,Composições!A:A,0),8),2,0)</f>
        <v>68.59</v>
      </c>
      <c r="F3211" s="152">
        <f t="shared" ca="1" si="152"/>
        <v>0</v>
      </c>
      <c r="G3211" s="153">
        <f>IF($K3211="Padrão",BDI!$B$17,IF($K3211="Diferenciado",BDI!$E$17,0))</f>
        <v>0.2039</v>
      </c>
      <c r="H3211" s="151">
        <f t="shared" ca="1" si="150"/>
        <v>82.58</v>
      </c>
      <c r="I3211" s="152">
        <f t="shared" ca="1" si="151"/>
        <v>0</v>
      </c>
      <c r="J3211" s="154"/>
      <c r="K3211" s="155" t="s">
        <v>2966</v>
      </c>
    </row>
    <row r="3212" spans="1:11" hidden="1" x14ac:dyDescent="0.25">
      <c r="A3212" s="148" t="s">
        <v>1767</v>
      </c>
      <c r="B3212" s="149" t="s">
        <v>8181</v>
      </c>
      <c r="C3212" s="150" t="s">
        <v>106</v>
      </c>
      <c r="D3212" s="150">
        <v>0</v>
      </c>
      <c r="E3212" s="151">
        <f ca="1">OFFSET(INDEX(Composições!A:H,MATCH(Orçamentária!A3212,Composições!A:A,0),8),2,0)</f>
        <v>48.915500000000002</v>
      </c>
      <c r="F3212" s="152">
        <f t="shared" ca="1" si="152"/>
        <v>0</v>
      </c>
      <c r="G3212" s="153">
        <f>IF($K3212="Padrão",BDI!$B$17,IF($K3212="Diferenciado",BDI!$E$17,0))</f>
        <v>0.2039</v>
      </c>
      <c r="H3212" s="151">
        <f t="shared" ca="1" si="150"/>
        <v>58.89</v>
      </c>
      <c r="I3212" s="152">
        <f t="shared" ca="1" si="151"/>
        <v>0</v>
      </c>
      <c r="J3212" s="154"/>
      <c r="K3212" s="155" t="s">
        <v>2966</v>
      </c>
    </row>
    <row r="3213" spans="1:11" hidden="1" x14ac:dyDescent="0.25">
      <c r="A3213" s="148" t="s">
        <v>1768</v>
      </c>
      <c r="B3213" s="149" t="s">
        <v>8182</v>
      </c>
      <c r="C3213" s="150" t="s">
        <v>18</v>
      </c>
      <c r="D3213" s="150">
        <v>0</v>
      </c>
      <c r="E3213" s="151">
        <f ca="1">OFFSET(INDEX(Composições!A:H,MATCH(Orçamentária!A3213,Composições!A:A,0),8),2,0)</f>
        <v>6.8131928999999998</v>
      </c>
      <c r="F3213" s="152">
        <f t="shared" ca="1" si="152"/>
        <v>0</v>
      </c>
      <c r="G3213" s="153">
        <f>IF($K3213="Padrão",BDI!$B$17,IF($K3213="Diferenciado",BDI!$E$17,0))</f>
        <v>0.2039</v>
      </c>
      <c r="H3213" s="151">
        <f t="shared" ca="1" si="150"/>
        <v>8.1999999999999993</v>
      </c>
      <c r="I3213" s="152">
        <f t="shared" ca="1" si="151"/>
        <v>0</v>
      </c>
      <c r="J3213" s="154"/>
      <c r="K3213" s="155" t="s">
        <v>2966</v>
      </c>
    </row>
    <row r="3214" spans="1:11" hidden="1" x14ac:dyDescent="0.25">
      <c r="A3214" s="148" t="s">
        <v>1770</v>
      </c>
      <c r="B3214" s="149" t="s">
        <v>8183</v>
      </c>
      <c r="C3214" s="150" t="s">
        <v>18</v>
      </c>
      <c r="D3214" s="150">
        <v>0</v>
      </c>
      <c r="E3214" s="151">
        <f ca="1">OFFSET(INDEX(Composições!A:H,MATCH(Orçamentária!A3214,Composições!A:A,0),8),2,0)</f>
        <v>5843.41</v>
      </c>
      <c r="F3214" s="152">
        <f t="shared" ca="1" si="152"/>
        <v>0</v>
      </c>
      <c r="G3214" s="153">
        <f>IF($K3214="Padrão",BDI!$B$17,IF($K3214="Diferenciado",BDI!$E$17,0))</f>
        <v>0.2039</v>
      </c>
      <c r="H3214" s="151">
        <f t="shared" ca="1" si="150"/>
        <v>7034.88</v>
      </c>
      <c r="I3214" s="152">
        <f t="shared" ca="1" si="151"/>
        <v>0</v>
      </c>
      <c r="J3214" s="154"/>
      <c r="K3214" s="155" t="s">
        <v>2966</v>
      </c>
    </row>
    <row r="3215" spans="1:11" hidden="1" x14ac:dyDescent="0.25">
      <c r="A3215" s="148" t="s">
        <v>1771</v>
      </c>
      <c r="B3215" s="149" t="s">
        <v>1772</v>
      </c>
      <c r="C3215" s="150" t="s">
        <v>18</v>
      </c>
      <c r="D3215" s="150">
        <v>0</v>
      </c>
      <c r="E3215" s="151">
        <f ca="1">OFFSET(INDEX(Composições!A:H,MATCH(Orçamentária!A3215,Composições!A:A,0),8),2,0)</f>
        <v>243.11673368864001</v>
      </c>
      <c r="F3215" s="152">
        <f t="shared" ca="1" si="152"/>
        <v>0</v>
      </c>
      <c r="G3215" s="153">
        <f>IF($K3215="Padrão",BDI!$B$17,IF($K3215="Diferenciado",BDI!$E$17,0))</f>
        <v>0.2039</v>
      </c>
      <c r="H3215" s="151">
        <f t="shared" ca="1" si="150"/>
        <v>292.69</v>
      </c>
      <c r="I3215" s="152">
        <f t="shared" ca="1" si="151"/>
        <v>0</v>
      </c>
      <c r="J3215" s="154"/>
      <c r="K3215" s="155" t="s">
        <v>2966</v>
      </c>
    </row>
    <row r="3216" spans="1:11" hidden="1" x14ac:dyDescent="0.25">
      <c r="A3216" s="148" t="s">
        <v>1773</v>
      </c>
      <c r="B3216" s="149" t="s">
        <v>1774</v>
      </c>
      <c r="C3216" s="150" t="s">
        <v>18</v>
      </c>
      <c r="D3216" s="150">
        <v>0</v>
      </c>
      <c r="E3216" s="151">
        <f ca="1">OFFSET(INDEX(Composições!A:H,MATCH(Orçamentária!A3216,Composições!A:A,0),8),2,0)</f>
        <v>243.11673368864001</v>
      </c>
      <c r="F3216" s="152">
        <f t="shared" ca="1" si="152"/>
        <v>0</v>
      </c>
      <c r="G3216" s="153">
        <f>IF($K3216="Padrão",BDI!$B$17,IF($K3216="Diferenciado",BDI!$E$17,0))</f>
        <v>0.2039</v>
      </c>
      <c r="H3216" s="151">
        <f t="shared" ca="1" si="150"/>
        <v>292.69</v>
      </c>
      <c r="I3216" s="152">
        <f t="shared" ca="1" si="151"/>
        <v>0</v>
      </c>
      <c r="J3216" s="154"/>
      <c r="K3216" s="155" t="s">
        <v>2966</v>
      </c>
    </row>
    <row r="3217" spans="1:11" hidden="1" x14ac:dyDescent="0.25">
      <c r="A3217" s="148" t="s">
        <v>1775</v>
      </c>
      <c r="B3217" s="149" t="s">
        <v>1776</v>
      </c>
      <c r="C3217" s="150" t="s">
        <v>18</v>
      </c>
      <c r="D3217" s="150">
        <v>0</v>
      </c>
      <c r="E3217" s="151">
        <f ca="1">OFFSET(INDEX(Composições!A:H,MATCH(Orçamentária!A3217,Composições!A:A,0),8),2,0)</f>
        <v>243.11673368864001</v>
      </c>
      <c r="F3217" s="152">
        <f t="shared" ca="1" si="152"/>
        <v>0</v>
      </c>
      <c r="G3217" s="153">
        <f>IF($K3217="Padrão",BDI!$B$17,IF($K3217="Diferenciado",BDI!$E$17,0))</f>
        <v>0.2039</v>
      </c>
      <c r="H3217" s="151">
        <f t="shared" ca="1" si="150"/>
        <v>292.69</v>
      </c>
      <c r="I3217" s="152">
        <f t="shared" ca="1" si="151"/>
        <v>0</v>
      </c>
      <c r="J3217" s="154"/>
      <c r="K3217" s="155" t="s">
        <v>2966</v>
      </c>
    </row>
    <row r="3218" spans="1:11" hidden="1" x14ac:dyDescent="0.25">
      <c r="A3218" s="148" t="s">
        <v>1777</v>
      </c>
      <c r="B3218" s="149" t="s">
        <v>1778</v>
      </c>
      <c r="C3218" s="150" t="s">
        <v>18</v>
      </c>
      <c r="D3218" s="150">
        <v>0</v>
      </c>
      <c r="E3218" s="151">
        <f ca="1">OFFSET(INDEX(Composições!A:H,MATCH(Orçamentária!A3218,Composições!A:A,0),8),2,0)</f>
        <v>35.690122500000001</v>
      </c>
      <c r="F3218" s="152">
        <f t="shared" ca="1" si="152"/>
        <v>0</v>
      </c>
      <c r="G3218" s="153">
        <f>IF($K3218="Padrão",BDI!$B$17,IF($K3218="Diferenciado",BDI!$E$17,0))</f>
        <v>0.2039</v>
      </c>
      <c r="H3218" s="151">
        <f t="shared" ca="1" si="150"/>
        <v>42.97</v>
      </c>
      <c r="I3218" s="152">
        <f t="shared" ca="1" si="151"/>
        <v>0</v>
      </c>
      <c r="J3218" s="154"/>
      <c r="K3218" s="155" t="s">
        <v>2966</v>
      </c>
    </row>
    <row r="3219" spans="1:11" hidden="1" x14ac:dyDescent="0.25">
      <c r="A3219" s="148" t="s">
        <v>1779</v>
      </c>
      <c r="B3219" s="149" t="s">
        <v>8184</v>
      </c>
      <c r="C3219" s="150" t="s">
        <v>18</v>
      </c>
      <c r="D3219" s="150">
        <v>0</v>
      </c>
      <c r="E3219" s="151">
        <f ca="1">OFFSET(INDEX(Composições!A:H,MATCH(Orçamentária!A3219,Composições!A:A,0),8),2,0)</f>
        <v>6.7925000000000004</v>
      </c>
      <c r="F3219" s="152">
        <f t="shared" ca="1" si="152"/>
        <v>0</v>
      </c>
      <c r="G3219" s="153">
        <f>IF($K3219="Padrão",BDI!$B$17,IF($K3219="Diferenciado",BDI!$E$17,0))</f>
        <v>0.2039</v>
      </c>
      <c r="H3219" s="151">
        <f t="shared" ca="1" si="150"/>
        <v>8.18</v>
      </c>
      <c r="I3219" s="152">
        <f t="shared" ca="1" si="151"/>
        <v>0</v>
      </c>
      <c r="J3219" s="154"/>
      <c r="K3219" s="155" t="s">
        <v>2966</v>
      </c>
    </row>
    <row r="3220" spans="1:11" ht="25.5" hidden="1" x14ac:dyDescent="0.25">
      <c r="A3220" s="148" t="s">
        <v>1780</v>
      </c>
      <c r="B3220" s="149" t="s">
        <v>8185</v>
      </c>
      <c r="C3220" s="150" t="s">
        <v>18</v>
      </c>
      <c r="D3220" s="150">
        <v>0</v>
      </c>
      <c r="E3220" s="151">
        <f ca="1">OFFSET(INDEX(Composições!A:H,MATCH(Orçamentária!A3220,Composições!A:A,0),8),2,0)</f>
        <v>0</v>
      </c>
      <c r="F3220" s="152">
        <f t="shared" ca="1" si="152"/>
        <v>0</v>
      </c>
      <c r="G3220" s="153">
        <f>IF($K3220="Padrão",BDI!$B$17,IF($K3220="Diferenciado",BDI!$E$17,0))</f>
        <v>0.2039</v>
      </c>
      <c r="H3220" s="151">
        <f t="shared" ca="1" si="150"/>
        <v>0</v>
      </c>
      <c r="I3220" s="152">
        <f t="shared" ca="1" si="151"/>
        <v>0</v>
      </c>
      <c r="J3220" s="154"/>
      <c r="K3220" s="155" t="s">
        <v>2966</v>
      </c>
    </row>
    <row r="3221" spans="1:11" hidden="1" x14ac:dyDescent="0.25">
      <c r="A3221" s="148" t="s">
        <v>8186</v>
      </c>
      <c r="B3221" s="149" t="s">
        <v>8187</v>
      </c>
      <c r="C3221" s="150" t="s">
        <v>18</v>
      </c>
      <c r="D3221" s="150">
        <v>0</v>
      </c>
      <c r="E3221" s="151" t="s">
        <v>13</v>
      </c>
      <c r="F3221" s="152" t="str">
        <f t="shared" si="152"/>
        <v/>
      </c>
      <c r="G3221" s="153">
        <f>IF($K3221="Padrão",BDI!$B$17,IF($K3221="Diferenciado",BDI!$E$17,0))</f>
        <v>0.2039</v>
      </c>
      <c r="H3221" s="151" t="str">
        <f t="shared" si="150"/>
        <v/>
      </c>
      <c r="I3221" s="152" t="str">
        <f t="shared" si="151"/>
        <v/>
      </c>
      <c r="J3221" s="154"/>
      <c r="K3221" s="155" t="s">
        <v>2966</v>
      </c>
    </row>
    <row r="3222" spans="1:11" hidden="1" x14ac:dyDescent="0.25">
      <c r="A3222" s="148" t="s">
        <v>1782</v>
      </c>
      <c r="B3222" s="149" t="s">
        <v>8188</v>
      </c>
      <c r="C3222" s="150" t="s">
        <v>18</v>
      </c>
      <c r="D3222" s="150">
        <v>0</v>
      </c>
      <c r="E3222" s="151">
        <f ca="1">OFFSET(INDEX(Composições!A:H,MATCH(Orçamentária!A3222,Composições!A:A,0),8),2,0)</f>
        <v>2.052</v>
      </c>
      <c r="F3222" s="152">
        <f t="shared" ca="1" si="152"/>
        <v>0</v>
      </c>
      <c r="G3222" s="153">
        <f>IF($K3222="Padrão",BDI!$B$17,IF($K3222="Diferenciado",BDI!$E$17,0))</f>
        <v>0.2039</v>
      </c>
      <c r="H3222" s="151">
        <f t="shared" ca="1" si="150"/>
        <v>2.4700000000000002</v>
      </c>
      <c r="I3222" s="152">
        <f t="shared" ca="1" si="151"/>
        <v>0</v>
      </c>
      <c r="J3222" s="154"/>
      <c r="K3222" s="155" t="s">
        <v>2966</v>
      </c>
    </row>
    <row r="3223" spans="1:11" hidden="1" x14ac:dyDescent="0.25">
      <c r="A3223" s="148" t="s">
        <v>8189</v>
      </c>
      <c r="B3223" s="149" t="s">
        <v>8190</v>
      </c>
      <c r="C3223" s="150" t="s">
        <v>18</v>
      </c>
      <c r="D3223" s="150">
        <v>0</v>
      </c>
      <c r="E3223" s="151" t="s">
        <v>13</v>
      </c>
      <c r="F3223" s="152" t="str">
        <f t="shared" si="152"/>
        <v/>
      </c>
      <c r="G3223" s="153">
        <f>IF($K3223="Padrão",BDI!$B$17,IF($K3223="Diferenciado",BDI!$E$17,0))</f>
        <v>0.2039</v>
      </c>
      <c r="H3223" s="151" t="str">
        <f t="shared" si="150"/>
        <v/>
      </c>
      <c r="I3223" s="152" t="str">
        <f t="shared" si="151"/>
        <v/>
      </c>
      <c r="J3223" s="154"/>
      <c r="K3223" s="155" t="s">
        <v>2966</v>
      </c>
    </row>
    <row r="3224" spans="1:11" hidden="1" x14ac:dyDescent="0.25">
      <c r="A3224" s="148" t="s">
        <v>8191</v>
      </c>
      <c r="B3224" s="149" t="s">
        <v>8192</v>
      </c>
      <c r="C3224" s="150" t="s">
        <v>18</v>
      </c>
      <c r="D3224" s="150">
        <v>0</v>
      </c>
      <c r="E3224" s="151" t="s">
        <v>13</v>
      </c>
      <c r="F3224" s="152" t="str">
        <f t="shared" si="152"/>
        <v/>
      </c>
      <c r="G3224" s="153">
        <f>IF($K3224="Padrão",BDI!$B$17,IF($K3224="Diferenciado",BDI!$E$17,0))</f>
        <v>0.2039</v>
      </c>
      <c r="H3224" s="151" t="str">
        <f t="shared" si="150"/>
        <v/>
      </c>
      <c r="I3224" s="152" t="str">
        <f t="shared" si="151"/>
        <v/>
      </c>
      <c r="J3224" s="154"/>
      <c r="K3224" s="155" t="s">
        <v>2966</v>
      </c>
    </row>
    <row r="3225" spans="1:11" hidden="1" x14ac:dyDescent="0.25">
      <c r="A3225" s="148" t="s">
        <v>1783</v>
      </c>
      <c r="B3225" s="149" t="s">
        <v>8193</v>
      </c>
      <c r="C3225" s="150" t="s">
        <v>8194</v>
      </c>
      <c r="D3225" s="150">
        <v>0</v>
      </c>
      <c r="E3225" s="151">
        <f ca="1">OFFSET(INDEX(Composições!A:H,MATCH(Orçamentária!A3225,Composições!A:A,0),8),2,0)</f>
        <v>52.25</v>
      </c>
      <c r="F3225" s="152">
        <f t="shared" ca="1" si="152"/>
        <v>0</v>
      </c>
      <c r="G3225" s="153">
        <f>IF($K3225="Padrão",BDI!$B$17,IF($K3225="Diferenciado",BDI!$E$17,0))</f>
        <v>0.2039</v>
      </c>
      <c r="H3225" s="151">
        <f t="shared" ca="1" si="150"/>
        <v>62.9</v>
      </c>
      <c r="I3225" s="152">
        <f t="shared" ca="1" si="151"/>
        <v>0</v>
      </c>
      <c r="J3225" s="154"/>
      <c r="K3225" s="155" t="s">
        <v>2966</v>
      </c>
    </row>
    <row r="3226" spans="1:11" hidden="1" x14ac:dyDescent="0.25">
      <c r="A3226" s="148" t="s">
        <v>1784</v>
      </c>
      <c r="B3226" s="149" t="s">
        <v>8195</v>
      </c>
      <c r="C3226" s="150" t="s">
        <v>68</v>
      </c>
      <c r="D3226" s="150">
        <v>0</v>
      </c>
      <c r="E3226" s="151">
        <f ca="1">OFFSET(INDEX(Composições!A:H,MATCH(Orçamentária!A3226,Composições!A:A,0),8),2,0)</f>
        <v>14.648999999999999</v>
      </c>
      <c r="F3226" s="152">
        <f t="shared" ca="1" si="152"/>
        <v>0</v>
      </c>
      <c r="G3226" s="153">
        <f>IF($K3226="Padrão",BDI!$B$17,IF($K3226="Diferenciado",BDI!$E$17,0))</f>
        <v>0.2039</v>
      </c>
      <c r="H3226" s="151">
        <f t="shared" ca="1" si="150"/>
        <v>17.64</v>
      </c>
      <c r="I3226" s="152">
        <f t="shared" ca="1" si="151"/>
        <v>0</v>
      </c>
      <c r="J3226" s="154"/>
      <c r="K3226" s="155" t="s">
        <v>2966</v>
      </c>
    </row>
    <row r="3227" spans="1:11" hidden="1" x14ac:dyDescent="0.25">
      <c r="A3227" s="148" t="s">
        <v>1785</v>
      </c>
      <c r="B3227" s="149" t="s">
        <v>8196</v>
      </c>
      <c r="C3227" s="150" t="s">
        <v>106</v>
      </c>
      <c r="D3227" s="150">
        <v>0</v>
      </c>
      <c r="E3227" s="151">
        <f ca="1">OFFSET(INDEX(Composições!A:H,MATCH(Orçamentária!A3227,Composições!A:A,0),8),2,0)</f>
        <v>0.76005699999999998</v>
      </c>
      <c r="F3227" s="152">
        <f t="shared" ca="1" si="152"/>
        <v>0</v>
      </c>
      <c r="G3227" s="153">
        <f>IF($K3227="Padrão",BDI!$B$17,IF($K3227="Diferenciado",BDI!$E$17,0))</f>
        <v>0.2039</v>
      </c>
      <c r="H3227" s="151">
        <f t="shared" ca="1" si="150"/>
        <v>0.92</v>
      </c>
      <c r="I3227" s="152">
        <f t="shared" ca="1" si="151"/>
        <v>0</v>
      </c>
      <c r="J3227" s="154"/>
      <c r="K3227" s="155" t="s">
        <v>2966</v>
      </c>
    </row>
    <row r="3228" spans="1:11" ht="25.5" hidden="1" x14ac:dyDescent="0.25">
      <c r="A3228" s="148" t="s">
        <v>1786</v>
      </c>
      <c r="B3228" s="149" t="s">
        <v>8197</v>
      </c>
      <c r="C3228" s="150" t="s">
        <v>8198</v>
      </c>
      <c r="D3228" s="150">
        <v>0</v>
      </c>
      <c r="E3228" s="151">
        <f ca="1">OFFSET(INDEX(Composições!A:H,MATCH(Orçamentária!A3228,Composições!A:A,0),8),2,0)</f>
        <v>0</v>
      </c>
      <c r="F3228" s="152">
        <f t="shared" ca="1" si="152"/>
        <v>0</v>
      </c>
      <c r="G3228" s="153">
        <f>IF($K3228="Padrão",BDI!$B$17,IF($K3228="Diferenciado",BDI!$E$17,0))</f>
        <v>0.2039</v>
      </c>
      <c r="H3228" s="151">
        <f t="shared" ca="1" si="150"/>
        <v>0</v>
      </c>
      <c r="I3228" s="152">
        <f t="shared" ca="1" si="151"/>
        <v>0</v>
      </c>
      <c r="J3228" s="154"/>
      <c r="K3228" s="155" t="s">
        <v>2966</v>
      </c>
    </row>
    <row r="3229" spans="1:11" hidden="1" x14ac:dyDescent="0.25">
      <c r="A3229" s="148" t="s">
        <v>8199</v>
      </c>
      <c r="B3229" s="149" t="s">
        <v>8200</v>
      </c>
      <c r="C3229" s="150" t="s">
        <v>18</v>
      </c>
      <c r="D3229" s="150">
        <v>0</v>
      </c>
      <c r="E3229" s="151" t="s">
        <v>13</v>
      </c>
      <c r="F3229" s="152" t="str">
        <f t="shared" si="152"/>
        <v/>
      </c>
      <c r="G3229" s="153">
        <f>IF($K3229="Padrão",BDI!$B$17,IF($K3229="Diferenciado",BDI!$E$17,0))</f>
        <v>0.2039</v>
      </c>
      <c r="H3229" s="151" t="str">
        <f t="shared" si="150"/>
        <v/>
      </c>
      <c r="I3229" s="152" t="str">
        <f t="shared" si="151"/>
        <v/>
      </c>
      <c r="J3229" s="154"/>
      <c r="K3229" s="155" t="s">
        <v>2966</v>
      </c>
    </row>
    <row r="3230" spans="1:11" ht="25.5" hidden="1" x14ac:dyDescent="0.25">
      <c r="A3230" s="148" t="s">
        <v>1789</v>
      </c>
      <c r="B3230" s="149" t="s">
        <v>8201</v>
      </c>
      <c r="C3230" s="150" t="s">
        <v>18</v>
      </c>
      <c r="D3230" s="150">
        <v>0</v>
      </c>
      <c r="E3230" s="151">
        <f ca="1">OFFSET(INDEX(Composições!A:H,MATCH(Orçamentária!A3230,Composições!A:A,0),8),2,0)</f>
        <v>0</v>
      </c>
      <c r="F3230" s="152">
        <f t="shared" ca="1" si="152"/>
        <v>0</v>
      </c>
      <c r="G3230" s="153">
        <f>IF($K3230="Padrão",BDI!$B$17,IF($K3230="Diferenciado",BDI!$E$17,0))</f>
        <v>0.2039</v>
      </c>
      <c r="H3230" s="151">
        <f t="shared" ca="1" si="150"/>
        <v>0</v>
      </c>
      <c r="I3230" s="152">
        <f t="shared" ca="1" si="151"/>
        <v>0</v>
      </c>
      <c r="J3230" s="154"/>
      <c r="K3230" s="155" t="s">
        <v>2966</v>
      </c>
    </row>
    <row r="3231" spans="1:11" hidden="1" x14ac:dyDescent="0.25">
      <c r="A3231" s="148" t="s">
        <v>1791</v>
      </c>
      <c r="B3231" s="149" t="s">
        <v>8202</v>
      </c>
      <c r="C3231" s="150" t="s">
        <v>18</v>
      </c>
      <c r="D3231" s="150">
        <v>0</v>
      </c>
      <c r="E3231" s="151">
        <f ca="1">OFFSET(INDEX(Composições!A:H,MATCH(Orçamentária!A3231,Composições!A:A,0),8),2,0)</f>
        <v>0</v>
      </c>
      <c r="F3231" s="152">
        <f t="shared" ca="1" si="152"/>
        <v>0</v>
      </c>
      <c r="G3231" s="153">
        <f>IF($K3231="Padrão",BDI!$B$17,IF($K3231="Diferenciado",BDI!$E$17,0))</f>
        <v>0.2039</v>
      </c>
      <c r="H3231" s="151">
        <f t="shared" ca="1" si="150"/>
        <v>0</v>
      </c>
      <c r="I3231" s="152">
        <f t="shared" ca="1" si="151"/>
        <v>0</v>
      </c>
      <c r="J3231" s="154"/>
      <c r="K3231" s="155" t="s">
        <v>2966</v>
      </c>
    </row>
    <row r="3232" spans="1:11" hidden="1" x14ac:dyDescent="0.25">
      <c r="A3232" s="148" t="s">
        <v>8203</v>
      </c>
      <c r="B3232" s="149" t="s">
        <v>8204</v>
      </c>
      <c r="C3232" s="150" t="s">
        <v>18</v>
      </c>
      <c r="D3232" s="150">
        <v>0</v>
      </c>
      <c r="E3232" s="151" t="s">
        <v>13</v>
      </c>
      <c r="F3232" s="152" t="str">
        <f t="shared" si="152"/>
        <v/>
      </c>
      <c r="G3232" s="153">
        <f>IF($K3232="Padrão",BDI!$B$17,IF($K3232="Diferenciado",BDI!$E$17,0))</f>
        <v>0.2039</v>
      </c>
      <c r="H3232" s="151" t="str">
        <f t="shared" si="150"/>
        <v/>
      </c>
      <c r="I3232" s="152" t="str">
        <f t="shared" si="151"/>
        <v/>
      </c>
      <c r="J3232" s="154"/>
      <c r="K3232" s="155" t="s">
        <v>2966</v>
      </c>
    </row>
    <row r="3233" spans="1:11" hidden="1" x14ac:dyDescent="0.25">
      <c r="A3233" s="148" t="s">
        <v>8205</v>
      </c>
      <c r="B3233" s="149" t="s">
        <v>8206</v>
      </c>
      <c r="C3233" s="150" t="s">
        <v>68</v>
      </c>
      <c r="D3233" s="150">
        <v>0</v>
      </c>
      <c r="E3233" s="151" t="s">
        <v>13</v>
      </c>
      <c r="F3233" s="152" t="str">
        <f t="shared" si="152"/>
        <v/>
      </c>
      <c r="G3233" s="153">
        <f>IF($K3233="Padrão",BDI!$B$17,IF($K3233="Diferenciado",BDI!$E$17,0))</f>
        <v>0.2039</v>
      </c>
      <c r="H3233" s="151" t="str">
        <f t="shared" si="150"/>
        <v/>
      </c>
      <c r="I3233" s="152" t="str">
        <f t="shared" si="151"/>
        <v/>
      </c>
      <c r="J3233" s="154"/>
      <c r="K3233" s="155" t="s">
        <v>2966</v>
      </c>
    </row>
    <row r="3234" spans="1:11" ht="25.5" hidden="1" x14ac:dyDescent="0.25">
      <c r="A3234" s="148" t="s">
        <v>1793</v>
      </c>
      <c r="B3234" s="149" t="s">
        <v>8207</v>
      </c>
      <c r="C3234" s="150" t="s">
        <v>18</v>
      </c>
      <c r="D3234" s="150">
        <v>0</v>
      </c>
      <c r="E3234" s="151">
        <f ca="1">OFFSET(INDEX(Composições!A:H,MATCH(Orçamentária!A3234,Composições!A:A,0),8),2,0)</f>
        <v>0</v>
      </c>
      <c r="F3234" s="152">
        <f t="shared" ca="1" si="152"/>
        <v>0</v>
      </c>
      <c r="G3234" s="153">
        <f>IF($K3234="Padrão",BDI!$B$17,IF($K3234="Diferenciado",BDI!$E$17,0))</f>
        <v>0.2039</v>
      </c>
      <c r="H3234" s="151">
        <f t="shared" ca="1" si="150"/>
        <v>0</v>
      </c>
      <c r="I3234" s="152">
        <f t="shared" ca="1" si="151"/>
        <v>0</v>
      </c>
      <c r="J3234" s="154"/>
      <c r="K3234" s="155" t="s">
        <v>2966</v>
      </c>
    </row>
    <row r="3235" spans="1:11" ht="25.5" hidden="1" x14ac:dyDescent="0.25">
      <c r="A3235" s="148" t="s">
        <v>1795</v>
      </c>
      <c r="B3235" s="149" t="s">
        <v>8208</v>
      </c>
      <c r="C3235" s="150" t="s">
        <v>18</v>
      </c>
      <c r="D3235" s="150">
        <v>0</v>
      </c>
      <c r="E3235" s="151">
        <f ca="1">OFFSET(INDEX(Composições!A:H,MATCH(Orçamentária!A3235,Composições!A:A,0),8),2,0)</f>
        <v>0</v>
      </c>
      <c r="F3235" s="152">
        <f t="shared" ca="1" si="152"/>
        <v>0</v>
      </c>
      <c r="G3235" s="153">
        <f>IF($K3235="Padrão",BDI!$B$17,IF($K3235="Diferenciado",BDI!$E$17,0))</f>
        <v>0.2039</v>
      </c>
      <c r="H3235" s="151">
        <f t="shared" ca="1" si="150"/>
        <v>0</v>
      </c>
      <c r="I3235" s="152">
        <f t="shared" ca="1" si="151"/>
        <v>0</v>
      </c>
      <c r="J3235" s="154"/>
      <c r="K3235" s="155" t="s">
        <v>2966</v>
      </c>
    </row>
    <row r="3236" spans="1:11" hidden="1" x14ac:dyDescent="0.25">
      <c r="A3236" s="148" t="s">
        <v>1797</v>
      </c>
      <c r="B3236" s="149" t="s">
        <v>8209</v>
      </c>
      <c r="C3236" s="150" t="s">
        <v>106</v>
      </c>
      <c r="D3236" s="150">
        <v>0</v>
      </c>
      <c r="E3236" s="151">
        <f ca="1">OFFSET(INDEX(Composições!A:H,MATCH(Orçamentária!A3236,Composições!A:A,0),8),2,0)</f>
        <v>15.038499999999999</v>
      </c>
      <c r="F3236" s="152">
        <f t="shared" ca="1" si="152"/>
        <v>0</v>
      </c>
      <c r="G3236" s="153">
        <f>IF($K3236="Padrão",BDI!$B$17,IF($K3236="Diferenciado",BDI!$E$17,0))</f>
        <v>0.2039</v>
      </c>
      <c r="H3236" s="151">
        <f t="shared" ca="1" si="150"/>
        <v>18.100000000000001</v>
      </c>
      <c r="I3236" s="152">
        <f t="shared" ca="1" si="151"/>
        <v>0</v>
      </c>
      <c r="J3236" s="154"/>
      <c r="K3236" s="155" t="s">
        <v>2966</v>
      </c>
    </row>
    <row r="3237" spans="1:11" hidden="1" x14ac:dyDescent="0.25">
      <c r="A3237" s="148" t="s">
        <v>1798</v>
      </c>
      <c r="B3237" s="149" t="s">
        <v>8210</v>
      </c>
      <c r="C3237" s="150" t="s">
        <v>106</v>
      </c>
      <c r="D3237" s="150">
        <v>0</v>
      </c>
      <c r="E3237" s="151">
        <f ca="1">OFFSET(INDEX(Composições!A:H,MATCH(Orçamentária!A3237,Composições!A:A,0),8),2,0)</f>
        <v>20.833499999999997</v>
      </c>
      <c r="F3237" s="152">
        <f t="shared" ca="1" si="152"/>
        <v>0</v>
      </c>
      <c r="G3237" s="153">
        <f>IF($K3237="Padrão",BDI!$B$17,IF($K3237="Diferenciado",BDI!$E$17,0))</f>
        <v>0.2039</v>
      </c>
      <c r="H3237" s="151">
        <f t="shared" ca="1" si="150"/>
        <v>25.08</v>
      </c>
      <c r="I3237" s="152">
        <f t="shared" ca="1" si="151"/>
        <v>0</v>
      </c>
      <c r="J3237" s="154"/>
      <c r="K3237" s="155" t="s">
        <v>2966</v>
      </c>
    </row>
    <row r="3238" spans="1:11" hidden="1" x14ac:dyDescent="0.25">
      <c r="A3238" s="148" t="s">
        <v>8211</v>
      </c>
      <c r="B3238" s="149" t="s">
        <v>8212</v>
      </c>
      <c r="C3238" s="150" t="s">
        <v>106</v>
      </c>
      <c r="D3238" s="150">
        <v>0</v>
      </c>
      <c r="E3238" s="151" t="s">
        <v>13</v>
      </c>
      <c r="F3238" s="152" t="str">
        <f t="shared" si="152"/>
        <v/>
      </c>
      <c r="G3238" s="153">
        <f>IF($K3238="Padrão",BDI!$B$17,IF($K3238="Diferenciado",BDI!$E$17,0))</f>
        <v>0.2039</v>
      </c>
      <c r="H3238" s="151" t="str">
        <f t="shared" si="150"/>
        <v/>
      </c>
      <c r="I3238" s="152" t="str">
        <f t="shared" si="151"/>
        <v/>
      </c>
      <c r="J3238" s="154"/>
      <c r="K3238" s="155" t="s">
        <v>2966</v>
      </c>
    </row>
    <row r="3239" spans="1:11" hidden="1" x14ac:dyDescent="0.25">
      <c r="A3239" s="148" t="s">
        <v>8213</v>
      </c>
      <c r="B3239" s="149" t="s">
        <v>8214</v>
      </c>
      <c r="C3239" s="150" t="s">
        <v>68</v>
      </c>
      <c r="D3239" s="150">
        <v>0</v>
      </c>
      <c r="E3239" s="151" t="s">
        <v>13</v>
      </c>
      <c r="F3239" s="152" t="str">
        <f t="shared" si="152"/>
        <v/>
      </c>
      <c r="G3239" s="153">
        <f>IF($K3239="Padrão",BDI!$B$17,IF($K3239="Diferenciado",BDI!$E$17,0))</f>
        <v>0.2039</v>
      </c>
      <c r="H3239" s="151" t="str">
        <f t="shared" si="150"/>
        <v/>
      </c>
      <c r="I3239" s="152" t="str">
        <f t="shared" si="151"/>
        <v/>
      </c>
      <c r="J3239" s="154"/>
      <c r="K3239" s="155" t="s">
        <v>2966</v>
      </c>
    </row>
    <row r="3240" spans="1:11" hidden="1" x14ac:dyDescent="0.25">
      <c r="A3240" s="148" t="s">
        <v>1799</v>
      </c>
      <c r="B3240" s="149" t="s">
        <v>8215</v>
      </c>
      <c r="C3240" s="150" t="s">
        <v>68</v>
      </c>
      <c r="D3240" s="150">
        <v>0</v>
      </c>
      <c r="E3240" s="151">
        <f ca="1">OFFSET(INDEX(Composições!A:H,MATCH(Orçamentária!A3240,Composições!A:A,0),8),2,0)</f>
        <v>386.59628700000002</v>
      </c>
      <c r="F3240" s="152">
        <f t="shared" ca="1" si="152"/>
        <v>0</v>
      </c>
      <c r="G3240" s="153">
        <f>IF($K3240="Padrão",BDI!$B$17,IF($K3240="Diferenciado",BDI!$E$17,0))</f>
        <v>0.2039</v>
      </c>
      <c r="H3240" s="151">
        <f t="shared" ca="1" si="150"/>
        <v>465.42</v>
      </c>
      <c r="I3240" s="152">
        <f t="shared" ca="1" si="151"/>
        <v>0</v>
      </c>
      <c r="J3240" s="154"/>
      <c r="K3240" s="155" t="s">
        <v>2966</v>
      </c>
    </row>
    <row r="3241" spans="1:11" hidden="1" x14ac:dyDescent="0.25">
      <c r="A3241" s="148" t="s">
        <v>8216</v>
      </c>
      <c r="B3241" s="149" t="s">
        <v>8217</v>
      </c>
      <c r="C3241" s="150" t="s">
        <v>18</v>
      </c>
      <c r="D3241" s="150">
        <v>0</v>
      </c>
      <c r="E3241" s="151" t="s">
        <v>13</v>
      </c>
      <c r="F3241" s="152" t="str">
        <f t="shared" si="152"/>
        <v/>
      </c>
      <c r="G3241" s="153">
        <f>IF($K3241="Padrão",BDI!$B$17,IF($K3241="Diferenciado",BDI!$E$17,0))</f>
        <v>0.2039</v>
      </c>
      <c r="H3241" s="151" t="str">
        <f t="shared" si="150"/>
        <v/>
      </c>
      <c r="I3241" s="152" t="str">
        <f t="shared" si="151"/>
        <v/>
      </c>
      <c r="J3241" s="154"/>
      <c r="K3241" s="155" t="s">
        <v>2966</v>
      </c>
    </row>
    <row r="3242" spans="1:11" hidden="1" x14ac:dyDescent="0.25">
      <c r="A3242" s="148" t="s">
        <v>8218</v>
      </c>
      <c r="B3242" s="149" t="s">
        <v>8219</v>
      </c>
      <c r="C3242" s="150" t="s">
        <v>18</v>
      </c>
      <c r="D3242" s="150">
        <v>0</v>
      </c>
      <c r="E3242" s="151" t="s">
        <v>13</v>
      </c>
      <c r="F3242" s="152" t="str">
        <f t="shared" si="152"/>
        <v/>
      </c>
      <c r="G3242" s="153">
        <f>IF($K3242="Padrão",BDI!$B$17,IF($K3242="Diferenciado",BDI!$E$17,0))</f>
        <v>0.2039</v>
      </c>
      <c r="H3242" s="151" t="str">
        <f t="shared" si="150"/>
        <v/>
      </c>
      <c r="I3242" s="152" t="str">
        <f t="shared" si="151"/>
        <v/>
      </c>
      <c r="J3242" s="154"/>
      <c r="K3242" s="155" t="s">
        <v>2966</v>
      </c>
    </row>
    <row r="3243" spans="1:11" hidden="1" x14ac:dyDescent="0.25">
      <c r="A3243" s="148" t="s">
        <v>1800</v>
      </c>
      <c r="B3243" s="149" t="s">
        <v>8220</v>
      </c>
      <c r="C3243" s="150" t="s">
        <v>106</v>
      </c>
      <c r="D3243" s="150">
        <v>0</v>
      </c>
      <c r="E3243" s="151">
        <f ca="1">OFFSET(INDEX(Composições!A:H,MATCH(Orçamentária!A3243,Composições!A:A,0),8),2,0)</f>
        <v>22.452428250000001</v>
      </c>
      <c r="F3243" s="152">
        <f t="shared" ca="1" si="152"/>
        <v>0</v>
      </c>
      <c r="G3243" s="153">
        <f>IF($K3243="Padrão",BDI!$B$17,IF($K3243="Diferenciado",BDI!$E$17,0))</f>
        <v>0.2039</v>
      </c>
      <c r="H3243" s="151">
        <f t="shared" ca="1" si="150"/>
        <v>27.03</v>
      </c>
      <c r="I3243" s="152">
        <f t="shared" ca="1" si="151"/>
        <v>0</v>
      </c>
      <c r="J3243" s="154"/>
      <c r="K3243" s="155" t="s">
        <v>2966</v>
      </c>
    </row>
    <row r="3244" spans="1:11" ht="25.5" hidden="1" x14ac:dyDescent="0.25">
      <c r="A3244" s="148" t="s">
        <v>8221</v>
      </c>
      <c r="B3244" s="149" t="s">
        <v>8222</v>
      </c>
      <c r="C3244" s="150" t="s">
        <v>4927</v>
      </c>
      <c r="D3244" s="150">
        <v>0</v>
      </c>
      <c r="E3244" s="151" t="s">
        <v>13</v>
      </c>
      <c r="F3244" s="152" t="str">
        <f t="shared" si="152"/>
        <v/>
      </c>
      <c r="G3244" s="153">
        <f>IF($K3244="Padrão",BDI!$B$17,IF($K3244="Diferenciado",BDI!$E$17,0))</f>
        <v>0.2039</v>
      </c>
      <c r="H3244" s="151" t="str">
        <f t="shared" si="150"/>
        <v/>
      </c>
      <c r="I3244" s="152" t="str">
        <f t="shared" si="151"/>
        <v/>
      </c>
      <c r="J3244" s="154"/>
      <c r="K3244" s="155" t="s">
        <v>2966</v>
      </c>
    </row>
    <row r="3245" spans="1:11" hidden="1" x14ac:dyDescent="0.25">
      <c r="A3245" s="148" t="s">
        <v>8223</v>
      </c>
      <c r="B3245" s="149" t="s">
        <v>8224</v>
      </c>
      <c r="C3245" s="150" t="s">
        <v>18</v>
      </c>
      <c r="D3245" s="150">
        <v>0</v>
      </c>
      <c r="E3245" s="151" t="s">
        <v>13</v>
      </c>
      <c r="F3245" s="152" t="str">
        <f t="shared" si="152"/>
        <v/>
      </c>
      <c r="G3245" s="153">
        <f>IF($K3245="Padrão",BDI!$B$17,IF($K3245="Diferenciado",BDI!$E$17,0))</f>
        <v>0.2039</v>
      </c>
      <c r="H3245" s="151" t="str">
        <f t="shared" si="150"/>
        <v/>
      </c>
      <c r="I3245" s="152" t="str">
        <f t="shared" si="151"/>
        <v/>
      </c>
      <c r="J3245" s="154"/>
      <c r="K3245" s="155" t="s">
        <v>2966</v>
      </c>
    </row>
    <row r="3246" spans="1:11" ht="25.5" hidden="1" x14ac:dyDescent="0.25">
      <c r="A3246" s="148" t="s">
        <v>8225</v>
      </c>
      <c r="B3246" s="149" t="s">
        <v>8226</v>
      </c>
      <c r="C3246" s="150" t="s">
        <v>18</v>
      </c>
      <c r="D3246" s="150">
        <v>0</v>
      </c>
      <c r="E3246" s="151" t="s">
        <v>13</v>
      </c>
      <c r="F3246" s="152" t="str">
        <f t="shared" si="152"/>
        <v/>
      </c>
      <c r="G3246" s="153">
        <f>IF($K3246="Padrão",BDI!$B$17,IF($K3246="Diferenciado",BDI!$E$17,0))</f>
        <v>0.2039</v>
      </c>
      <c r="H3246" s="151" t="str">
        <f t="shared" si="150"/>
        <v/>
      </c>
      <c r="I3246" s="152" t="str">
        <f t="shared" si="151"/>
        <v/>
      </c>
      <c r="J3246" s="154"/>
      <c r="K3246" s="155" t="s">
        <v>2966</v>
      </c>
    </row>
    <row r="3247" spans="1:11" hidden="1" x14ac:dyDescent="0.25">
      <c r="A3247" s="148" t="s">
        <v>1801</v>
      </c>
      <c r="B3247" s="149" t="s">
        <v>8227</v>
      </c>
      <c r="C3247" s="150" t="s">
        <v>18</v>
      </c>
      <c r="D3247" s="150">
        <v>0</v>
      </c>
      <c r="E3247" s="151">
        <f ca="1">OFFSET(INDEX(Composições!A:H,MATCH(Orçamentária!A3247,Composições!A:A,0),8),2,0)</f>
        <v>1628.8936795974</v>
      </c>
      <c r="F3247" s="152">
        <f t="shared" ca="1" si="152"/>
        <v>0</v>
      </c>
      <c r="G3247" s="153">
        <f>IF($K3247="Padrão",BDI!$B$17,IF($K3247="Diferenciado",BDI!$E$17,0))</f>
        <v>0.2039</v>
      </c>
      <c r="H3247" s="151">
        <f t="shared" ca="1" si="150"/>
        <v>1961.03</v>
      </c>
      <c r="I3247" s="152">
        <f t="shared" ca="1" si="151"/>
        <v>0</v>
      </c>
      <c r="J3247" s="154"/>
      <c r="K3247" s="155" t="s">
        <v>2966</v>
      </c>
    </row>
    <row r="3248" spans="1:11" hidden="1" x14ac:dyDescent="0.25">
      <c r="A3248" s="148" t="s">
        <v>1802</v>
      </c>
      <c r="B3248" s="149" t="s">
        <v>8228</v>
      </c>
      <c r="C3248" s="150" t="s">
        <v>18</v>
      </c>
      <c r="D3248" s="150">
        <v>0</v>
      </c>
      <c r="E3248" s="151">
        <f ca="1">OFFSET(INDEX(Composições!A:H,MATCH(Orçamentária!A3248,Composições!A:A,0),8),2,0)</f>
        <v>1224.4214212867</v>
      </c>
      <c r="F3248" s="152">
        <f t="shared" ca="1" si="152"/>
        <v>0</v>
      </c>
      <c r="G3248" s="153">
        <f>IF($K3248="Padrão",BDI!$B$17,IF($K3248="Diferenciado",BDI!$E$17,0))</f>
        <v>0.2039</v>
      </c>
      <c r="H3248" s="151">
        <f t="shared" ca="1" si="150"/>
        <v>1474.08</v>
      </c>
      <c r="I3248" s="152">
        <f t="shared" ca="1" si="151"/>
        <v>0</v>
      </c>
      <c r="J3248" s="154"/>
      <c r="K3248" s="155" t="s">
        <v>2966</v>
      </c>
    </row>
    <row r="3249" spans="1:11" hidden="1" x14ac:dyDescent="0.25">
      <c r="A3249" s="148" t="s">
        <v>1803</v>
      </c>
      <c r="B3249" s="149" t="s">
        <v>8229</v>
      </c>
      <c r="C3249" s="150" t="s">
        <v>18</v>
      </c>
      <c r="D3249" s="150">
        <v>0</v>
      </c>
      <c r="E3249" s="151">
        <f ca="1">OFFSET(INDEX(Composições!A:H,MATCH(Orçamentária!A3249,Composições!A:A,0),8),2,0)</f>
        <v>14.095625</v>
      </c>
      <c r="F3249" s="152">
        <f t="shared" ca="1" si="152"/>
        <v>0</v>
      </c>
      <c r="G3249" s="153">
        <f>IF($K3249="Padrão",BDI!$B$17,IF($K3249="Diferenciado",BDI!$E$17,0))</f>
        <v>0.2039</v>
      </c>
      <c r="H3249" s="151">
        <f t="shared" ca="1" si="150"/>
        <v>16.97</v>
      </c>
      <c r="I3249" s="152">
        <f t="shared" ca="1" si="151"/>
        <v>0</v>
      </c>
      <c r="J3249" s="154"/>
      <c r="K3249" s="155" t="s">
        <v>2966</v>
      </c>
    </row>
    <row r="3250" spans="1:11" hidden="1" x14ac:dyDescent="0.25">
      <c r="A3250" s="148" t="s">
        <v>1805</v>
      </c>
      <c r="B3250" s="149" t="s">
        <v>8230</v>
      </c>
      <c r="C3250" s="150" t="s">
        <v>18</v>
      </c>
      <c r="D3250" s="150">
        <v>0</v>
      </c>
      <c r="E3250" s="151">
        <f ca="1">OFFSET(INDEX(Composições!A:H,MATCH(Orçamentária!A3250,Composições!A:A,0),8),2,0)</f>
        <v>281.91250000000002</v>
      </c>
      <c r="F3250" s="152">
        <f t="shared" ca="1" si="152"/>
        <v>0</v>
      </c>
      <c r="G3250" s="153">
        <f>IF($K3250="Padrão",BDI!$B$17,IF($K3250="Diferenciado",BDI!$E$17,0))</f>
        <v>0.2039</v>
      </c>
      <c r="H3250" s="151">
        <f t="shared" ca="1" si="150"/>
        <v>339.39</v>
      </c>
      <c r="I3250" s="152">
        <f t="shared" ca="1" si="151"/>
        <v>0</v>
      </c>
      <c r="J3250" s="154"/>
      <c r="K3250" s="155" t="s">
        <v>2966</v>
      </c>
    </row>
    <row r="3251" spans="1:11" hidden="1" x14ac:dyDescent="0.25">
      <c r="A3251" s="148" t="s">
        <v>1806</v>
      </c>
      <c r="B3251" s="149" t="s">
        <v>8231</v>
      </c>
      <c r="C3251" s="150" t="s">
        <v>18</v>
      </c>
      <c r="D3251" s="150">
        <v>0</v>
      </c>
      <c r="E3251" s="151">
        <f ca="1">OFFSET(INDEX(Composições!A:H,MATCH(Orçamentária!A3251,Composições!A:A,0),8),2,0)</f>
        <v>45.106000000000002</v>
      </c>
      <c r="F3251" s="152">
        <f t="shared" ca="1" si="152"/>
        <v>0</v>
      </c>
      <c r="G3251" s="153">
        <f>IF($K3251="Padrão",BDI!$B$17,IF($K3251="Diferenciado",BDI!$E$17,0))</f>
        <v>0.2039</v>
      </c>
      <c r="H3251" s="151">
        <f t="shared" ca="1" si="150"/>
        <v>54.3</v>
      </c>
      <c r="I3251" s="152">
        <f t="shared" ca="1" si="151"/>
        <v>0</v>
      </c>
      <c r="J3251" s="154"/>
      <c r="K3251" s="155" t="s">
        <v>2966</v>
      </c>
    </row>
    <row r="3252" spans="1:11" hidden="1" x14ac:dyDescent="0.25">
      <c r="A3252" s="148" t="s">
        <v>1807</v>
      </c>
      <c r="B3252" s="149" t="s">
        <v>8232</v>
      </c>
      <c r="C3252" s="150" t="s">
        <v>106</v>
      </c>
      <c r="D3252" s="150">
        <v>0</v>
      </c>
      <c r="E3252" s="151">
        <f ca="1">OFFSET(INDEX(Composições!A:H,MATCH(Orçamentária!A3252,Composições!A:A,0),8),2,0)</f>
        <v>3.4673004999999999</v>
      </c>
      <c r="F3252" s="152">
        <f t="shared" ca="1" si="152"/>
        <v>0</v>
      </c>
      <c r="G3252" s="153">
        <f>IF($K3252="Padrão",BDI!$B$17,IF($K3252="Diferenciado",BDI!$E$17,0))</f>
        <v>0.2039</v>
      </c>
      <c r="H3252" s="151">
        <f t="shared" ca="1" si="150"/>
        <v>4.17</v>
      </c>
      <c r="I3252" s="152">
        <f t="shared" ca="1" si="151"/>
        <v>0</v>
      </c>
      <c r="J3252" s="154"/>
      <c r="K3252" s="155" t="s">
        <v>2966</v>
      </c>
    </row>
    <row r="3253" spans="1:11" hidden="1" x14ac:dyDescent="0.25">
      <c r="A3253" s="148" t="s">
        <v>1809</v>
      </c>
      <c r="B3253" s="149" t="s">
        <v>8233</v>
      </c>
      <c r="C3253" s="150" t="s">
        <v>18</v>
      </c>
      <c r="D3253" s="150">
        <v>0</v>
      </c>
      <c r="E3253" s="151">
        <f ca="1">OFFSET(INDEX(Composições!A:H,MATCH(Orçamentária!A3253,Composições!A:A,0),8),2,0)</f>
        <v>243.11673368864001</v>
      </c>
      <c r="F3253" s="152">
        <f t="shared" ca="1" si="152"/>
        <v>0</v>
      </c>
      <c r="G3253" s="153">
        <f>IF($K3253="Padrão",BDI!$B$17,IF($K3253="Diferenciado",BDI!$E$17,0))</f>
        <v>0.2039</v>
      </c>
      <c r="H3253" s="151">
        <f t="shared" ca="1" si="150"/>
        <v>292.69</v>
      </c>
      <c r="I3253" s="152">
        <f t="shared" ca="1" si="151"/>
        <v>0</v>
      </c>
      <c r="J3253" s="154"/>
      <c r="K3253" s="155" t="s">
        <v>2966</v>
      </c>
    </row>
    <row r="3254" spans="1:11" hidden="1" x14ac:dyDescent="0.25">
      <c r="A3254" s="148" t="s">
        <v>1811</v>
      </c>
      <c r="B3254" s="149" t="s">
        <v>8234</v>
      </c>
      <c r="C3254" s="150" t="s">
        <v>18</v>
      </c>
      <c r="D3254" s="150">
        <v>0</v>
      </c>
      <c r="E3254" s="151">
        <f ca="1">OFFSET(INDEX(Composições!A:H,MATCH(Orçamentária!A3254,Composições!A:A,0),8),2,0)</f>
        <v>532.71819667119996</v>
      </c>
      <c r="F3254" s="152">
        <f t="shared" ca="1" si="152"/>
        <v>0</v>
      </c>
      <c r="G3254" s="153">
        <f>IF($K3254="Padrão",BDI!$B$17,IF($K3254="Diferenciado",BDI!$E$17,0))</f>
        <v>0.2039</v>
      </c>
      <c r="H3254" s="151">
        <f t="shared" ca="1" si="150"/>
        <v>641.34</v>
      </c>
      <c r="I3254" s="152">
        <f t="shared" ca="1" si="151"/>
        <v>0</v>
      </c>
      <c r="J3254" s="154"/>
      <c r="K3254" s="155" t="s">
        <v>2966</v>
      </c>
    </row>
    <row r="3255" spans="1:11" hidden="1" x14ac:dyDescent="0.25">
      <c r="A3255" s="148" t="s">
        <v>1812</v>
      </c>
      <c r="B3255" s="149" t="s">
        <v>8235</v>
      </c>
      <c r="C3255" s="150" t="s">
        <v>106</v>
      </c>
      <c r="D3255" s="150">
        <v>0</v>
      </c>
      <c r="E3255" s="151">
        <f ca="1">OFFSET(INDEX(Composições!A:H,MATCH(Orçamentária!A3255,Composições!A:A,0),8),2,0)</f>
        <v>8.3346540000000005</v>
      </c>
      <c r="F3255" s="152">
        <f t="shared" ca="1" si="152"/>
        <v>0</v>
      </c>
      <c r="G3255" s="153">
        <f>IF($K3255="Padrão",BDI!$B$17,IF($K3255="Diferenciado",BDI!$E$17,0))</f>
        <v>0.2039</v>
      </c>
      <c r="H3255" s="151">
        <f t="shared" ca="1" si="150"/>
        <v>10.029999999999999</v>
      </c>
      <c r="I3255" s="152">
        <f t="shared" ca="1" si="151"/>
        <v>0</v>
      </c>
      <c r="J3255" s="154"/>
      <c r="K3255" s="155" t="s">
        <v>2966</v>
      </c>
    </row>
    <row r="3256" spans="1:11" hidden="1" x14ac:dyDescent="0.25">
      <c r="A3256" s="148" t="s">
        <v>1813</v>
      </c>
      <c r="B3256" s="149" t="s">
        <v>8236</v>
      </c>
      <c r="C3256" s="150" t="s">
        <v>106</v>
      </c>
      <c r="D3256" s="150">
        <v>0</v>
      </c>
      <c r="E3256" s="151">
        <f ca="1">OFFSET(INDEX(Composições!A:H,MATCH(Orçamentária!A3256,Composições!A:A,0),8),2,0)</f>
        <v>0.77657750000000003</v>
      </c>
      <c r="F3256" s="152">
        <f t="shared" ca="1" si="152"/>
        <v>0</v>
      </c>
      <c r="G3256" s="153">
        <f>IF($K3256="Padrão",BDI!$B$17,IF($K3256="Diferenciado",BDI!$E$17,0))</f>
        <v>0.2039</v>
      </c>
      <c r="H3256" s="151">
        <f t="shared" ca="1" si="150"/>
        <v>0.93</v>
      </c>
      <c r="I3256" s="152">
        <f t="shared" ca="1" si="151"/>
        <v>0</v>
      </c>
      <c r="J3256" s="154"/>
      <c r="K3256" s="155" t="s">
        <v>2966</v>
      </c>
    </row>
    <row r="3257" spans="1:11" ht="25.5" hidden="1" x14ac:dyDescent="0.25">
      <c r="A3257" s="148" t="s">
        <v>1815</v>
      </c>
      <c r="B3257" s="149" t="s">
        <v>8237</v>
      </c>
      <c r="C3257" s="150" t="s">
        <v>106</v>
      </c>
      <c r="D3257" s="150">
        <v>0</v>
      </c>
      <c r="E3257" s="151">
        <f ca="1">OFFSET(INDEX(Composições!A:H,MATCH(Orçamentária!A3257,Composições!A:A,0),8),2,0)</f>
        <v>28.19125</v>
      </c>
      <c r="F3257" s="152">
        <f t="shared" ca="1" si="152"/>
        <v>0</v>
      </c>
      <c r="G3257" s="153">
        <f>IF($K3257="Padrão",BDI!$B$17,IF($K3257="Diferenciado",BDI!$E$17,0))</f>
        <v>0.2039</v>
      </c>
      <c r="H3257" s="151">
        <f t="shared" ca="1" si="150"/>
        <v>33.94</v>
      </c>
      <c r="I3257" s="152">
        <f t="shared" ca="1" si="151"/>
        <v>0</v>
      </c>
      <c r="J3257" s="154"/>
      <c r="K3257" s="155" t="s">
        <v>2966</v>
      </c>
    </row>
    <row r="3258" spans="1:11" ht="25.5" hidden="1" x14ac:dyDescent="0.25">
      <c r="A3258" s="148" t="s">
        <v>1817</v>
      </c>
      <c r="B3258" s="149" t="s">
        <v>8238</v>
      </c>
      <c r="C3258" s="150" t="s">
        <v>106</v>
      </c>
      <c r="D3258" s="150">
        <v>0</v>
      </c>
      <c r="E3258" s="151">
        <f ca="1">OFFSET(INDEX(Composições!A:H,MATCH(Orçamentária!A3258,Composições!A:A,0),8),2,0)</f>
        <v>42.286874999999995</v>
      </c>
      <c r="F3258" s="152">
        <f t="shared" ca="1" si="152"/>
        <v>0</v>
      </c>
      <c r="G3258" s="153">
        <f>IF($K3258="Padrão",BDI!$B$17,IF($K3258="Diferenciado",BDI!$E$17,0))</f>
        <v>0.2039</v>
      </c>
      <c r="H3258" s="151">
        <f t="shared" ca="1" si="150"/>
        <v>50.91</v>
      </c>
      <c r="I3258" s="152">
        <f t="shared" ca="1" si="151"/>
        <v>0</v>
      </c>
      <c r="J3258" s="154"/>
      <c r="K3258" s="155" t="s">
        <v>2966</v>
      </c>
    </row>
    <row r="3259" spans="1:11" ht="25.5" hidden="1" x14ac:dyDescent="0.25">
      <c r="A3259" s="148" t="s">
        <v>1819</v>
      </c>
      <c r="B3259" s="149" t="s">
        <v>8239</v>
      </c>
      <c r="C3259" s="150" t="s">
        <v>106</v>
      </c>
      <c r="D3259" s="150">
        <v>0</v>
      </c>
      <c r="E3259" s="151">
        <f ca="1">OFFSET(INDEX(Composições!A:H,MATCH(Orçamentária!A3259,Composições!A:A,0),8),2,0)</f>
        <v>42.286874999999995</v>
      </c>
      <c r="F3259" s="152">
        <f t="shared" ca="1" si="152"/>
        <v>0</v>
      </c>
      <c r="G3259" s="153">
        <f>IF($K3259="Padrão",BDI!$B$17,IF($K3259="Diferenciado",BDI!$E$17,0))</f>
        <v>0.2039</v>
      </c>
      <c r="H3259" s="151">
        <f t="shared" ca="1" si="150"/>
        <v>50.91</v>
      </c>
      <c r="I3259" s="152">
        <f t="shared" ca="1" si="151"/>
        <v>0</v>
      </c>
      <c r="J3259" s="154"/>
      <c r="K3259" s="155" t="s">
        <v>2966</v>
      </c>
    </row>
    <row r="3260" spans="1:11" ht="25.5" hidden="1" x14ac:dyDescent="0.25">
      <c r="A3260" s="148" t="s">
        <v>1821</v>
      </c>
      <c r="B3260" s="149" t="s">
        <v>8240</v>
      </c>
      <c r="C3260" s="150" t="s">
        <v>106</v>
      </c>
      <c r="D3260" s="150">
        <v>0</v>
      </c>
      <c r="E3260" s="151">
        <f ca="1">OFFSET(INDEX(Composições!A:H,MATCH(Orçamentária!A3260,Composições!A:A,0),8),2,0)</f>
        <v>56.3825</v>
      </c>
      <c r="F3260" s="152">
        <f t="shared" ca="1" si="152"/>
        <v>0</v>
      </c>
      <c r="G3260" s="153">
        <f>IF($K3260="Padrão",BDI!$B$17,IF($K3260="Diferenciado",BDI!$E$17,0))</f>
        <v>0.2039</v>
      </c>
      <c r="H3260" s="151">
        <f t="shared" ca="1" si="150"/>
        <v>67.88</v>
      </c>
      <c r="I3260" s="152">
        <f t="shared" ca="1" si="151"/>
        <v>0</v>
      </c>
      <c r="J3260" s="154"/>
      <c r="K3260" s="155" t="s">
        <v>2966</v>
      </c>
    </row>
    <row r="3261" spans="1:11" hidden="1" x14ac:dyDescent="0.25">
      <c r="A3261" s="148" t="s">
        <v>1823</v>
      </c>
      <c r="B3261" s="149" t="s">
        <v>8241</v>
      </c>
      <c r="C3261" s="150" t="s">
        <v>18</v>
      </c>
      <c r="D3261" s="150">
        <v>0</v>
      </c>
      <c r="E3261" s="151">
        <f ca="1">OFFSET(INDEX(Composições!A:H,MATCH(Orçamentária!A3261,Composições!A:A,0),8),2,0)</f>
        <v>6348.6200000000008</v>
      </c>
      <c r="F3261" s="152">
        <f t="shared" ca="1" si="152"/>
        <v>0</v>
      </c>
      <c r="G3261" s="153">
        <f>IF($K3261="Padrão",BDI!$B$17,IF($K3261="Diferenciado",BDI!$E$17,0))</f>
        <v>0.2039</v>
      </c>
      <c r="H3261" s="151">
        <f t="shared" ca="1" si="150"/>
        <v>7643.1</v>
      </c>
      <c r="I3261" s="152">
        <f t="shared" ca="1" si="151"/>
        <v>0</v>
      </c>
      <c r="J3261" s="154"/>
      <c r="K3261" s="155" t="s">
        <v>2966</v>
      </c>
    </row>
    <row r="3262" spans="1:11" hidden="1" x14ac:dyDescent="0.25">
      <c r="A3262" s="148" t="s">
        <v>1824</v>
      </c>
      <c r="B3262" s="149" t="s">
        <v>8242</v>
      </c>
      <c r="C3262" s="150" t="s">
        <v>18</v>
      </c>
      <c r="D3262" s="150">
        <v>0</v>
      </c>
      <c r="E3262" s="151">
        <f ca="1">OFFSET(INDEX(Composições!A:H,MATCH(Orçamentária!A3262,Composições!A:A,0),8),2,0)</f>
        <v>468.23219667119997</v>
      </c>
      <c r="F3262" s="152">
        <f t="shared" ca="1" si="152"/>
        <v>0</v>
      </c>
      <c r="G3262" s="153">
        <f>IF($K3262="Padrão",BDI!$B$17,IF($K3262="Diferenciado",BDI!$E$17,0))</f>
        <v>0.2039</v>
      </c>
      <c r="H3262" s="151">
        <f t="shared" ca="1" si="150"/>
        <v>563.70000000000005</v>
      </c>
      <c r="I3262" s="152">
        <f t="shared" ca="1" si="151"/>
        <v>0</v>
      </c>
      <c r="J3262" s="154"/>
      <c r="K3262" s="155" t="s">
        <v>2966</v>
      </c>
    </row>
    <row r="3263" spans="1:11" hidden="1" x14ac:dyDescent="0.25">
      <c r="A3263" s="148" t="s">
        <v>1825</v>
      </c>
      <c r="B3263" s="149" t="s">
        <v>8243</v>
      </c>
      <c r="C3263" s="150" t="s">
        <v>18</v>
      </c>
      <c r="D3263" s="150">
        <v>0</v>
      </c>
      <c r="E3263" s="151">
        <f ca="1">OFFSET(INDEX(Composições!A:H,MATCH(Orçamentária!A3263,Composições!A:A,0),8),2,0)</f>
        <v>14.095625</v>
      </c>
      <c r="F3263" s="152">
        <f t="shared" ca="1" si="152"/>
        <v>0</v>
      </c>
      <c r="G3263" s="153">
        <f>IF($K3263="Padrão",BDI!$B$17,IF($K3263="Diferenciado",BDI!$E$17,0))</f>
        <v>0.2039</v>
      </c>
      <c r="H3263" s="151">
        <f t="shared" ca="1" si="150"/>
        <v>16.97</v>
      </c>
      <c r="I3263" s="152">
        <f t="shared" ca="1" si="151"/>
        <v>0</v>
      </c>
      <c r="J3263" s="154"/>
      <c r="K3263" s="155" t="s">
        <v>2966</v>
      </c>
    </row>
    <row r="3264" spans="1:11" hidden="1" x14ac:dyDescent="0.25">
      <c r="A3264" s="148" t="s">
        <v>1827</v>
      </c>
      <c r="B3264" s="149" t="s">
        <v>8244</v>
      </c>
      <c r="C3264" s="150" t="s">
        <v>18</v>
      </c>
      <c r="D3264" s="150">
        <v>0</v>
      </c>
      <c r="E3264" s="151">
        <f ca="1">OFFSET(INDEX(Composições!A:H,MATCH(Orçamentária!A3264,Composições!A:A,0),8),2,0)</f>
        <v>123.66035667119999</v>
      </c>
      <c r="F3264" s="152">
        <f t="shared" ca="1" si="152"/>
        <v>0</v>
      </c>
      <c r="G3264" s="153">
        <f>IF($K3264="Padrão",BDI!$B$17,IF($K3264="Diferenciado",BDI!$E$17,0))</f>
        <v>0.2039</v>
      </c>
      <c r="H3264" s="151">
        <f t="shared" ca="1" si="150"/>
        <v>148.87</v>
      </c>
      <c r="I3264" s="152">
        <f t="shared" ca="1" si="151"/>
        <v>0</v>
      </c>
      <c r="J3264" s="154"/>
      <c r="K3264" s="155" t="s">
        <v>2966</v>
      </c>
    </row>
    <row r="3265" spans="1:11" hidden="1" x14ac:dyDescent="0.25">
      <c r="A3265" s="148" t="s">
        <v>1828</v>
      </c>
      <c r="B3265" s="149" t="s">
        <v>8245</v>
      </c>
      <c r="C3265" s="150" t="s">
        <v>18</v>
      </c>
      <c r="D3265" s="150">
        <v>0</v>
      </c>
      <c r="E3265" s="151">
        <f ca="1">OFFSET(INDEX(Composições!A:H,MATCH(Orçamentária!A3265,Composições!A:A,0),8),2,0)</f>
        <v>243.11673368864001</v>
      </c>
      <c r="F3265" s="152">
        <f t="shared" ca="1" si="152"/>
        <v>0</v>
      </c>
      <c r="G3265" s="153">
        <f>IF($K3265="Padrão",BDI!$B$17,IF($K3265="Diferenciado",BDI!$E$17,0))</f>
        <v>0.2039</v>
      </c>
      <c r="H3265" s="151">
        <f t="shared" ca="1" si="150"/>
        <v>292.69</v>
      </c>
      <c r="I3265" s="152">
        <f t="shared" ca="1" si="151"/>
        <v>0</v>
      </c>
      <c r="J3265" s="154"/>
      <c r="K3265" s="155" t="s">
        <v>2966</v>
      </c>
    </row>
    <row r="3266" spans="1:11" hidden="1" x14ac:dyDescent="0.25">
      <c r="A3266" s="148" t="s">
        <v>1830</v>
      </c>
      <c r="B3266" s="149" t="s">
        <v>8246</v>
      </c>
      <c r="C3266" s="150" t="s">
        <v>18</v>
      </c>
      <c r="D3266" s="150">
        <v>0</v>
      </c>
      <c r="E3266" s="151">
        <f ca="1">OFFSET(INDEX(Composições!A:H,MATCH(Orçamentária!A3266,Composições!A:A,0),8),2,0)</f>
        <v>38.653105999999994</v>
      </c>
      <c r="F3266" s="152">
        <f t="shared" ca="1" si="152"/>
        <v>0</v>
      </c>
      <c r="G3266" s="153">
        <f>IF($K3266="Padrão",BDI!$B$17,IF($K3266="Diferenciado",BDI!$E$17,0))</f>
        <v>0.2039</v>
      </c>
      <c r="H3266" s="151">
        <f t="shared" ca="1" si="150"/>
        <v>46.53</v>
      </c>
      <c r="I3266" s="152">
        <f t="shared" ca="1" si="151"/>
        <v>0</v>
      </c>
      <c r="J3266" s="154"/>
      <c r="K3266" s="155" t="s">
        <v>2966</v>
      </c>
    </row>
    <row r="3267" spans="1:11" hidden="1" x14ac:dyDescent="0.25">
      <c r="A3267" s="148" t="s">
        <v>1831</v>
      </c>
      <c r="B3267" s="149" t="s">
        <v>8247</v>
      </c>
      <c r="C3267" s="150" t="s">
        <v>18</v>
      </c>
      <c r="D3267" s="150">
        <v>0</v>
      </c>
      <c r="E3267" s="151">
        <f ca="1">OFFSET(INDEX(Composições!A:H,MATCH(Orçamentária!A3267,Composições!A:A,0),8),2,0)</f>
        <v>3.3344999999999998</v>
      </c>
      <c r="F3267" s="152">
        <f t="shared" ca="1" si="152"/>
        <v>0</v>
      </c>
      <c r="G3267" s="153">
        <f>IF($K3267="Padrão",BDI!$B$17,IF($K3267="Diferenciado",BDI!$E$17,0))</f>
        <v>0.2039</v>
      </c>
      <c r="H3267" s="151">
        <f t="shared" ca="1" si="150"/>
        <v>4.01</v>
      </c>
      <c r="I3267" s="152">
        <f t="shared" ca="1" si="151"/>
        <v>0</v>
      </c>
      <c r="J3267" s="154"/>
      <c r="K3267" s="155" t="s">
        <v>2966</v>
      </c>
    </row>
    <row r="3268" spans="1:11" hidden="1" x14ac:dyDescent="0.25">
      <c r="A3268" s="148" t="s">
        <v>1832</v>
      </c>
      <c r="B3268" s="149" t="s">
        <v>1833</v>
      </c>
      <c r="C3268" s="150" t="s">
        <v>18</v>
      </c>
      <c r="D3268" s="150">
        <v>0</v>
      </c>
      <c r="E3268" s="151">
        <f ca="1">OFFSET(INDEX(Composições!A:H,MATCH(Orçamentária!A3268,Composições!A:A,0),8),2,0)</f>
        <v>218.04877374999998</v>
      </c>
      <c r="F3268" s="152">
        <f t="shared" ca="1" si="152"/>
        <v>0</v>
      </c>
      <c r="G3268" s="153">
        <f>IF($K3268="Padrão",BDI!$B$17,IF($K3268="Diferenciado",BDI!$E$17,0))</f>
        <v>0.2039</v>
      </c>
      <c r="H3268" s="151">
        <f t="shared" ca="1" si="150"/>
        <v>262.51</v>
      </c>
      <c r="I3268" s="152">
        <f t="shared" ca="1" si="151"/>
        <v>0</v>
      </c>
      <c r="J3268" s="154"/>
      <c r="K3268" s="155" t="s">
        <v>2966</v>
      </c>
    </row>
    <row r="3269" spans="1:11" hidden="1" x14ac:dyDescent="0.25">
      <c r="A3269" s="148" t="s">
        <v>1834</v>
      </c>
      <c r="B3269" s="149" t="s">
        <v>8248</v>
      </c>
      <c r="C3269" s="150" t="s">
        <v>68</v>
      </c>
      <c r="D3269" s="150">
        <v>0</v>
      </c>
      <c r="E3269" s="151">
        <f ca="1">OFFSET(INDEX(Composições!A:H,MATCH(Orçamentária!A3269,Composições!A:A,0),8),2,0)</f>
        <v>37.082919399999994</v>
      </c>
      <c r="F3269" s="152">
        <f t="shared" ca="1" si="152"/>
        <v>0</v>
      </c>
      <c r="G3269" s="153">
        <f>IF($K3269="Padrão",BDI!$B$17,IF($K3269="Diferenciado",BDI!$E$17,0))</f>
        <v>0.2039</v>
      </c>
      <c r="H3269" s="151">
        <f t="shared" ca="1" si="150"/>
        <v>44.64</v>
      </c>
      <c r="I3269" s="152">
        <f t="shared" ca="1" si="151"/>
        <v>0</v>
      </c>
      <c r="J3269" s="154"/>
      <c r="K3269" s="155" t="s">
        <v>2966</v>
      </c>
    </row>
    <row r="3270" spans="1:11" hidden="1" x14ac:dyDescent="0.25">
      <c r="A3270" s="148" t="s">
        <v>1836</v>
      </c>
      <c r="B3270" s="149" t="s">
        <v>8249</v>
      </c>
      <c r="C3270" s="150" t="s">
        <v>68</v>
      </c>
      <c r="D3270" s="150">
        <v>0</v>
      </c>
      <c r="E3270" s="151">
        <f ca="1">OFFSET(INDEX(Composições!A:H,MATCH(Orçamentária!A3270,Composições!A:A,0),8),2,0)</f>
        <v>37.082919399999994</v>
      </c>
      <c r="F3270" s="152">
        <f t="shared" ca="1" si="152"/>
        <v>0</v>
      </c>
      <c r="G3270" s="153">
        <f>IF($K3270="Padrão",BDI!$B$17,IF($K3270="Diferenciado",BDI!$E$17,0))</f>
        <v>0.2039</v>
      </c>
      <c r="H3270" s="151">
        <f t="shared" ref="H3270:H3333" ca="1" si="153">IF(ISNUMBER(E3270),ROUND(E3270*(1+G3270),2),"")</f>
        <v>44.64</v>
      </c>
      <c r="I3270" s="152">
        <f t="shared" ref="I3270:I3333" ca="1" si="154">IF(ISNUMBER(E3270),ROUND(H3270*D3270,2),"")</f>
        <v>0</v>
      </c>
      <c r="J3270" s="154"/>
      <c r="K3270" s="155" t="s">
        <v>2966</v>
      </c>
    </row>
    <row r="3271" spans="1:11" ht="25.5" hidden="1" x14ac:dyDescent="0.25">
      <c r="A3271" s="148" t="s">
        <v>1838</v>
      </c>
      <c r="B3271" s="149" t="s">
        <v>8250</v>
      </c>
      <c r="C3271" s="150" t="s">
        <v>68</v>
      </c>
      <c r="D3271" s="150">
        <v>0</v>
      </c>
      <c r="E3271" s="151">
        <f ca="1">OFFSET(INDEX(Composições!A:H,MATCH(Orçamentária!A3271,Composições!A:A,0),8),2,0)</f>
        <v>37.082919399999994</v>
      </c>
      <c r="F3271" s="152">
        <f t="shared" ref="F3271:F3334" ca="1" si="155">IF(ISNUMBER(E3271),D3271*E3271,"")</f>
        <v>0</v>
      </c>
      <c r="G3271" s="153">
        <f>IF($K3271="Padrão",BDI!$B$17,IF($K3271="Diferenciado",BDI!$E$17,0))</f>
        <v>0.2039</v>
      </c>
      <c r="H3271" s="151">
        <f t="shared" ca="1" si="153"/>
        <v>44.64</v>
      </c>
      <c r="I3271" s="152">
        <f t="shared" ca="1" si="154"/>
        <v>0</v>
      </c>
      <c r="J3271" s="154"/>
      <c r="K3271" s="155" t="s">
        <v>2966</v>
      </c>
    </row>
    <row r="3272" spans="1:11" hidden="1" x14ac:dyDescent="0.25">
      <c r="A3272" s="148" t="s">
        <v>8251</v>
      </c>
      <c r="B3272" s="149" t="s">
        <v>8252</v>
      </c>
      <c r="C3272" s="150" t="s">
        <v>106</v>
      </c>
      <c r="D3272" s="150">
        <v>0</v>
      </c>
      <c r="E3272" s="151" t="s">
        <v>13</v>
      </c>
      <c r="F3272" s="152" t="str">
        <f t="shared" si="155"/>
        <v/>
      </c>
      <c r="G3272" s="153">
        <f>IF($K3272="Padrão",BDI!$B$17,IF($K3272="Diferenciado",BDI!$E$17,0))</f>
        <v>0.2039</v>
      </c>
      <c r="H3272" s="151" t="str">
        <f t="shared" si="153"/>
        <v/>
      </c>
      <c r="I3272" s="152" t="str">
        <f t="shared" si="154"/>
        <v/>
      </c>
      <c r="J3272" s="154"/>
      <c r="K3272" s="155" t="s">
        <v>2966</v>
      </c>
    </row>
    <row r="3273" spans="1:11" hidden="1" x14ac:dyDescent="0.25">
      <c r="A3273" s="148" t="s">
        <v>8253</v>
      </c>
      <c r="B3273" s="149" t="s">
        <v>8254</v>
      </c>
      <c r="C3273" s="150" t="s">
        <v>106</v>
      </c>
      <c r="D3273" s="150">
        <v>0</v>
      </c>
      <c r="E3273" s="151" t="s">
        <v>13</v>
      </c>
      <c r="F3273" s="152" t="str">
        <f t="shared" si="155"/>
        <v/>
      </c>
      <c r="G3273" s="153">
        <f>IF($K3273="Padrão",BDI!$B$17,IF($K3273="Diferenciado",BDI!$E$17,0))</f>
        <v>0.2039</v>
      </c>
      <c r="H3273" s="151" t="str">
        <f t="shared" si="153"/>
        <v/>
      </c>
      <c r="I3273" s="152" t="str">
        <f t="shared" si="154"/>
        <v/>
      </c>
      <c r="J3273" s="154"/>
      <c r="K3273" s="155" t="s">
        <v>2966</v>
      </c>
    </row>
    <row r="3274" spans="1:11" hidden="1" x14ac:dyDescent="0.25">
      <c r="A3274" s="148" t="s">
        <v>8255</v>
      </c>
      <c r="B3274" s="149" t="s">
        <v>8256</v>
      </c>
      <c r="C3274" s="150" t="s">
        <v>106</v>
      </c>
      <c r="D3274" s="150">
        <v>0</v>
      </c>
      <c r="E3274" s="151" t="s">
        <v>13</v>
      </c>
      <c r="F3274" s="152" t="str">
        <f t="shared" si="155"/>
        <v/>
      </c>
      <c r="G3274" s="153">
        <f>IF($K3274="Padrão",BDI!$B$17,IF($K3274="Diferenciado",BDI!$E$17,0))</f>
        <v>0.2039</v>
      </c>
      <c r="H3274" s="151" t="str">
        <f t="shared" si="153"/>
        <v/>
      </c>
      <c r="I3274" s="152" t="str">
        <f t="shared" si="154"/>
        <v/>
      </c>
      <c r="J3274" s="154"/>
      <c r="K3274" s="155" t="s">
        <v>2966</v>
      </c>
    </row>
    <row r="3275" spans="1:11" hidden="1" x14ac:dyDescent="0.25">
      <c r="A3275" s="148" t="s">
        <v>8257</v>
      </c>
      <c r="B3275" s="149" t="s">
        <v>8258</v>
      </c>
      <c r="C3275" s="150" t="s">
        <v>106</v>
      </c>
      <c r="D3275" s="150">
        <v>0</v>
      </c>
      <c r="E3275" s="151" t="s">
        <v>13</v>
      </c>
      <c r="F3275" s="152" t="str">
        <f t="shared" si="155"/>
        <v/>
      </c>
      <c r="G3275" s="153">
        <f>IF($K3275="Padrão",BDI!$B$17,IF($K3275="Diferenciado",BDI!$E$17,0))</f>
        <v>0.2039</v>
      </c>
      <c r="H3275" s="151" t="str">
        <f t="shared" si="153"/>
        <v/>
      </c>
      <c r="I3275" s="152" t="str">
        <f t="shared" si="154"/>
        <v/>
      </c>
      <c r="J3275" s="154"/>
      <c r="K3275" s="155" t="s">
        <v>2966</v>
      </c>
    </row>
    <row r="3276" spans="1:11" hidden="1" x14ac:dyDescent="0.25">
      <c r="A3276" s="148" t="s">
        <v>8259</v>
      </c>
      <c r="B3276" s="149" t="s">
        <v>8260</v>
      </c>
      <c r="C3276" s="150" t="s">
        <v>106</v>
      </c>
      <c r="D3276" s="150">
        <v>0</v>
      </c>
      <c r="E3276" s="151" t="s">
        <v>13</v>
      </c>
      <c r="F3276" s="152" t="str">
        <f t="shared" si="155"/>
        <v/>
      </c>
      <c r="G3276" s="153">
        <f>IF($K3276="Padrão",BDI!$B$17,IF($K3276="Diferenciado",BDI!$E$17,0))</f>
        <v>0.2039</v>
      </c>
      <c r="H3276" s="151" t="str">
        <f t="shared" si="153"/>
        <v/>
      </c>
      <c r="I3276" s="152" t="str">
        <f t="shared" si="154"/>
        <v/>
      </c>
      <c r="J3276" s="154"/>
      <c r="K3276" s="155" t="s">
        <v>2966</v>
      </c>
    </row>
    <row r="3277" spans="1:11" hidden="1" x14ac:dyDescent="0.25">
      <c r="A3277" s="148" t="s">
        <v>8261</v>
      </c>
      <c r="B3277" s="149" t="s">
        <v>8262</v>
      </c>
      <c r="C3277" s="150" t="s">
        <v>106</v>
      </c>
      <c r="D3277" s="150">
        <v>0</v>
      </c>
      <c r="E3277" s="151" t="s">
        <v>13</v>
      </c>
      <c r="F3277" s="152" t="str">
        <f t="shared" si="155"/>
        <v/>
      </c>
      <c r="G3277" s="153">
        <f>IF($K3277="Padrão",BDI!$B$17,IF($K3277="Diferenciado",BDI!$E$17,0))</f>
        <v>0.2039</v>
      </c>
      <c r="H3277" s="151" t="str">
        <f t="shared" si="153"/>
        <v/>
      </c>
      <c r="I3277" s="152" t="str">
        <f t="shared" si="154"/>
        <v/>
      </c>
      <c r="J3277" s="154"/>
      <c r="K3277" s="155" t="s">
        <v>2966</v>
      </c>
    </row>
    <row r="3278" spans="1:11" hidden="1" x14ac:dyDescent="0.25">
      <c r="A3278" s="148" t="s">
        <v>8263</v>
      </c>
      <c r="B3278" s="149" t="s">
        <v>8264</v>
      </c>
      <c r="C3278" s="150" t="s">
        <v>106</v>
      </c>
      <c r="D3278" s="150">
        <v>0</v>
      </c>
      <c r="E3278" s="151" t="s">
        <v>13</v>
      </c>
      <c r="F3278" s="152" t="str">
        <f t="shared" si="155"/>
        <v/>
      </c>
      <c r="G3278" s="153">
        <f>IF($K3278="Padrão",BDI!$B$17,IF($K3278="Diferenciado",BDI!$E$17,0))</f>
        <v>0.2039</v>
      </c>
      <c r="H3278" s="151" t="str">
        <f t="shared" si="153"/>
        <v/>
      </c>
      <c r="I3278" s="152" t="str">
        <f t="shared" si="154"/>
        <v/>
      </c>
      <c r="J3278" s="154"/>
      <c r="K3278" s="155" t="s">
        <v>2966</v>
      </c>
    </row>
    <row r="3279" spans="1:11" hidden="1" x14ac:dyDescent="0.25">
      <c r="A3279" s="148" t="s">
        <v>1840</v>
      </c>
      <c r="B3279" s="149" t="s">
        <v>8265</v>
      </c>
      <c r="C3279" s="150" t="s">
        <v>68</v>
      </c>
      <c r="D3279" s="150">
        <v>0</v>
      </c>
      <c r="E3279" s="151">
        <f ca="1">OFFSET(INDEX(Composições!A:H,MATCH(Orçamentária!A3279,Composições!A:A,0),8),2,0)</f>
        <v>16.952076004687502</v>
      </c>
      <c r="F3279" s="152">
        <f t="shared" ca="1" si="155"/>
        <v>0</v>
      </c>
      <c r="G3279" s="153">
        <f>IF($K3279="Padrão",BDI!$B$17,IF($K3279="Diferenciado",BDI!$E$17,0))</f>
        <v>0.2039</v>
      </c>
      <c r="H3279" s="151">
        <f t="shared" ca="1" si="153"/>
        <v>20.41</v>
      </c>
      <c r="I3279" s="152">
        <f t="shared" ca="1" si="154"/>
        <v>0</v>
      </c>
      <c r="J3279" s="154"/>
      <c r="K3279" s="155" t="s">
        <v>2966</v>
      </c>
    </row>
    <row r="3280" spans="1:11" hidden="1" x14ac:dyDescent="0.25">
      <c r="A3280" s="148" t="s">
        <v>1841</v>
      </c>
      <c r="B3280" s="149" t="s">
        <v>8266</v>
      </c>
      <c r="C3280" s="150" t="s">
        <v>18</v>
      </c>
      <c r="D3280" s="150">
        <v>0</v>
      </c>
      <c r="E3280" s="151">
        <f ca="1">OFFSET(INDEX(Composições!A:H,MATCH(Orçamentária!A3280,Composições!A:A,0),8),2,0)</f>
        <v>6348.6200000000008</v>
      </c>
      <c r="F3280" s="152">
        <f t="shared" ca="1" si="155"/>
        <v>0</v>
      </c>
      <c r="G3280" s="153">
        <f>IF($K3280="Padrão",BDI!$B$17,IF($K3280="Diferenciado",BDI!$E$17,0))</f>
        <v>0.2039</v>
      </c>
      <c r="H3280" s="151">
        <f t="shared" ca="1" si="153"/>
        <v>7643.1</v>
      </c>
      <c r="I3280" s="152">
        <f t="shared" ca="1" si="154"/>
        <v>0</v>
      </c>
      <c r="J3280" s="154"/>
      <c r="K3280" s="155" t="s">
        <v>2966</v>
      </c>
    </row>
    <row r="3281" spans="1:11" hidden="1" x14ac:dyDescent="0.25">
      <c r="A3281" s="148" t="s">
        <v>1842</v>
      </c>
      <c r="B3281" s="149" t="s">
        <v>8267</v>
      </c>
      <c r="C3281" s="150" t="s">
        <v>18</v>
      </c>
      <c r="D3281" s="150">
        <v>0</v>
      </c>
      <c r="E3281" s="151">
        <f ca="1">OFFSET(INDEX(Composições!A:H,MATCH(Orçamentária!A3281,Composições!A:A,0),8),2,0)</f>
        <v>181.14600000000002</v>
      </c>
      <c r="F3281" s="152">
        <f t="shared" ca="1" si="155"/>
        <v>0</v>
      </c>
      <c r="G3281" s="153">
        <f>IF($K3281="Padrão",BDI!$B$17,IF($K3281="Diferenciado",BDI!$E$17,0))</f>
        <v>0.2039</v>
      </c>
      <c r="H3281" s="151">
        <f t="shared" ca="1" si="153"/>
        <v>218.08</v>
      </c>
      <c r="I3281" s="152">
        <f t="shared" ca="1" si="154"/>
        <v>0</v>
      </c>
      <c r="J3281" s="154"/>
      <c r="K3281" s="155" t="s">
        <v>2966</v>
      </c>
    </row>
    <row r="3282" spans="1:11" hidden="1" x14ac:dyDescent="0.25">
      <c r="A3282" s="148" t="s">
        <v>1847</v>
      </c>
      <c r="B3282" s="149" t="s">
        <v>8268</v>
      </c>
      <c r="C3282" s="150" t="s">
        <v>18</v>
      </c>
      <c r="D3282" s="150">
        <v>0</v>
      </c>
      <c r="E3282" s="151">
        <f ca="1">OFFSET(INDEX(Composições!A:H,MATCH(Orçamentária!A3282,Composições!A:A,0),8),2,0)</f>
        <v>181.14600000000002</v>
      </c>
      <c r="F3282" s="152">
        <f t="shared" ca="1" si="155"/>
        <v>0</v>
      </c>
      <c r="G3282" s="153">
        <f>IF($K3282="Padrão",BDI!$B$17,IF($K3282="Diferenciado",BDI!$E$17,0))</f>
        <v>0.2039</v>
      </c>
      <c r="H3282" s="151">
        <f t="shared" ca="1" si="153"/>
        <v>218.08</v>
      </c>
      <c r="I3282" s="152">
        <f t="shared" ca="1" si="154"/>
        <v>0</v>
      </c>
      <c r="J3282" s="154"/>
      <c r="K3282" s="155" t="s">
        <v>2966</v>
      </c>
    </row>
    <row r="3283" spans="1:11" hidden="1" x14ac:dyDescent="0.25">
      <c r="A3283" s="148" t="s">
        <v>1849</v>
      </c>
      <c r="B3283" s="149" t="s">
        <v>8269</v>
      </c>
      <c r="C3283" s="150" t="s">
        <v>18</v>
      </c>
      <c r="D3283" s="150">
        <v>0</v>
      </c>
      <c r="E3283" s="151">
        <f ca="1">OFFSET(INDEX(Composições!A:H,MATCH(Orçamentária!A3283,Composições!A:A,0),8),2,0)</f>
        <v>181.14600000000002</v>
      </c>
      <c r="F3283" s="152">
        <f t="shared" ca="1" si="155"/>
        <v>0</v>
      </c>
      <c r="G3283" s="153">
        <f>IF($K3283="Padrão",BDI!$B$17,IF($K3283="Diferenciado",BDI!$E$17,0))</f>
        <v>0.2039</v>
      </c>
      <c r="H3283" s="151">
        <f t="shared" ca="1" si="153"/>
        <v>218.08</v>
      </c>
      <c r="I3283" s="152">
        <f t="shared" ca="1" si="154"/>
        <v>0</v>
      </c>
      <c r="J3283" s="154"/>
      <c r="K3283" s="155" t="s">
        <v>2966</v>
      </c>
    </row>
    <row r="3284" spans="1:11" hidden="1" x14ac:dyDescent="0.25">
      <c r="A3284" s="148" t="s">
        <v>1851</v>
      </c>
      <c r="B3284" s="149" t="s">
        <v>8270</v>
      </c>
      <c r="C3284" s="150" t="s">
        <v>18</v>
      </c>
      <c r="D3284" s="150">
        <v>0</v>
      </c>
      <c r="E3284" s="151">
        <f ca="1">OFFSET(INDEX(Composições!A:H,MATCH(Orçamentária!A3284,Composições!A:A,0),8),2,0)</f>
        <v>960.02048029999992</v>
      </c>
      <c r="F3284" s="152">
        <f t="shared" ca="1" si="155"/>
        <v>0</v>
      </c>
      <c r="G3284" s="153">
        <f>IF($K3284="Padrão",BDI!$B$17,IF($K3284="Diferenciado",BDI!$E$17,0))</f>
        <v>0.2039</v>
      </c>
      <c r="H3284" s="151">
        <f t="shared" ca="1" si="153"/>
        <v>1155.77</v>
      </c>
      <c r="I3284" s="152">
        <f t="shared" ca="1" si="154"/>
        <v>0</v>
      </c>
      <c r="J3284" s="154"/>
      <c r="K3284" s="155" t="s">
        <v>2966</v>
      </c>
    </row>
    <row r="3285" spans="1:11" hidden="1" x14ac:dyDescent="0.25">
      <c r="A3285" s="148" t="s">
        <v>1858</v>
      </c>
      <c r="B3285" s="149" t="s">
        <v>8271</v>
      </c>
      <c r="C3285" s="150" t="s">
        <v>18</v>
      </c>
      <c r="D3285" s="150">
        <v>0</v>
      </c>
      <c r="E3285" s="151">
        <f ca="1">OFFSET(INDEX(Composições!A:H,MATCH(Orçamentária!A3285,Composições!A:A,0),8),2,0)</f>
        <v>960.02048029999992</v>
      </c>
      <c r="F3285" s="152">
        <f t="shared" ca="1" si="155"/>
        <v>0</v>
      </c>
      <c r="G3285" s="153">
        <f>IF($K3285="Padrão",BDI!$B$17,IF($K3285="Diferenciado",BDI!$E$17,0))</f>
        <v>0.2039</v>
      </c>
      <c r="H3285" s="151">
        <f t="shared" ca="1" si="153"/>
        <v>1155.77</v>
      </c>
      <c r="I3285" s="152">
        <f t="shared" ca="1" si="154"/>
        <v>0</v>
      </c>
      <c r="J3285" s="154"/>
      <c r="K3285" s="155" t="s">
        <v>2966</v>
      </c>
    </row>
    <row r="3286" spans="1:11" ht="25.5" hidden="1" x14ac:dyDescent="0.25">
      <c r="A3286" s="148" t="s">
        <v>1860</v>
      </c>
      <c r="B3286" s="149" t="s">
        <v>1861</v>
      </c>
      <c r="C3286" s="150" t="s">
        <v>18</v>
      </c>
      <c r="D3286" s="150">
        <v>0</v>
      </c>
      <c r="E3286" s="151">
        <f ca="1">OFFSET(INDEX(Composições!A:H,MATCH(Orçamentária!A3286,Composições!A:A,0),8),2,0)</f>
        <v>243.11673368864001</v>
      </c>
      <c r="F3286" s="152">
        <f t="shared" ca="1" si="155"/>
        <v>0</v>
      </c>
      <c r="G3286" s="153">
        <f>IF($K3286="Padrão",BDI!$B$17,IF($K3286="Diferenciado",BDI!$E$17,0))</f>
        <v>0.2039</v>
      </c>
      <c r="H3286" s="151">
        <f t="shared" ca="1" si="153"/>
        <v>292.69</v>
      </c>
      <c r="I3286" s="152">
        <f t="shared" ca="1" si="154"/>
        <v>0</v>
      </c>
      <c r="J3286" s="154"/>
      <c r="K3286" s="155" t="s">
        <v>2966</v>
      </c>
    </row>
    <row r="3287" spans="1:11" hidden="1" x14ac:dyDescent="0.25">
      <c r="A3287" s="148" t="s">
        <v>8272</v>
      </c>
      <c r="B3287" s="149" t="s">
        <v>8273</v>
      </c>
      <c r="C3287" s="150" t="s">
        <v>68</v>
      </c>
      <c r="D3287" s="150">
        <v>0</v>
      </c>
      <c r="E3287" s="151" t="s">
        <v>13</v>
      </c>
      <c r="F3287" s="152" t="str">
        <f t="shared" si="155"/>
        <v/>
      </c>
      <c r="G3287" s="153">
        <f>IF($K3287="Padrão",BDI!$B$17,IF($K3287="Diferenciado",BDI!$E$17,0))</f>
        <v>0.2039</v>
      </c>
      <c r="H3287" s="151" t="str">
        <f t="shared" si="153"/>
        <v/>
      </c>
      <c r="I3287" s="152" t="str">
        <f t="shared" si="154"/>
        <v/>
      </c>
      <c r="J3287" s="154"/>
      <c r="K3287" s="155" t="s">
        <v>2966</v>
      </c>
    </row>
    <row r="3288" spans="1:11" hidden="1" x14ac:dyDescent="0.25">
      <c r="A3288" s="148" t="s">
        <v>8274</v>
      </c>
      <c r="B3288" s="149" t="s">
        <v>8275</v>
      </c>
      <c r="C3288" s="150" t="s">
        <v>18</v>
      </c>
      <c r="D3288" s="150">
        <v>0</v>
      </c>
      <c r="E3288" s="151" t="s">
        <v>13</v>
      </c>
      <c r="F3288" s="152" t="str">
        <f t="shared" si="155"/>
        <v/>
      </c>
      <c r="G3288" s="153">
        <f>IF($K3288="Padrão",BDI!$B$17,IF($K3288="Diferenciado",BDI!$E$17,0))</f>
        <v>0.2039</v>
      </c>
      <c r="H3288" s="151" t="str">
        <f t="shared" si="153"/>
        <v/>
      </c>
      <c r="I3288" s="152" t="str">
        <f t="shared" si="154"/>
        <v/>
      </c>
      <c r="J3288" s="154"/>
      <c r="K3288" s="155" t="s">
        <v>2966</v>
      </c>
    </row>
    <row r="3289" spans="1:11" hidden="1" x14ac:dyDescent="0.25">
      <c r="A3289" s="148" t="s">
        <v>8276</v>
      </c>
      <c r="B3289" s="149" t="s">
        <v>8277</v>
      </c>
      <c r="C3289" s="150" t="s">
        <v>18</v>
      </c>
      <c r="D3289" s="150">
        <v>0</v>
      </c>
      <c r="E3289" s="151" t="s">
        <v>13</v>
      </c>
      <c r="F3289" s="152" t="str">
        <f t="shared" si="155"/>
        <v/>
      </c>
      <c r="G3289" s="153">
        <f>IF($K3289="Padrão",BDI!$B$17,IF($K3289="Diferenciado",BDI!$E$17,0))</f>
        <v>0.2039</v>
      </c>
      <c r="H3289" s="151" t="str">
        <f t="shared" si="153"/>
        <v/>
      </c>
      <c r="I3289" s="152" t="str">
        <f t="shared" si="154"/>
        <v/>
      </c>
      <c r="J3289" s="154"/>
      <c r="K3289" s="155" t="s">
        <v>2966</v>
      </c>
    </row>
    <row r="3290" spans="1:11" hidden="1" x14ac:dyDescent="0.25">
      <c r="A3290" s="148" t="s">
        <v>8278</v>
      </c>
      <c r="B3290" s="149" t="s">
        <v>8279</v>
      </c>
      <c r="C3290" s="150" t="s">
        <v>4927</v>
      </c>
      <c r="D3290" s="150">
        <v>0</v>
      </c>
      <c r="E3290" s="151" t="s">
        <v>13</v>
      </c>
      <c r="F3290" s="152" t="str">
        <f t="shared" si="155"/>
        <v/>
      </c>
      <c r="G3290" s="153">
        <f>IF($K3290="Padrão",BDI!$B$17,IF($K3290="Diferenciado",BDI!$E$17,0))</f>
        <v>0.2039</v>
      </c>
      <c r="H3290" s="151" t="str">
        <f t="shared" si="153"/>
        <v/>
      </c>
      <c r="I3290" s="152" t="str">
        <f t="shared" si="154"/>
        <v/>
      </c>
      <c r="J3290" s="154"/>
      <c r="K3290" s="155" t="s">
        <v>2966</v>
      </c>
    </row>
    <row r="3291" spans="1:11" hidden="1" x14ac:dyDescent="0.25">
      <c r="A3291" s="148" t="s">
        <v>8280</v>
      </c>
      <c r="B3291" s="149" t="s">
        <v>8281</v>
      </c>
      <c r="C3291" s="150" t="s">
        <v>18</v>
      </c>
      <c r="D3291" s="150">
        <v>0</v>
      </c>
      <c r="E3291" s="151" t="s">
        <v>13</v>
      </c>
      <c r="F3291" s="152" t="str">
        <f t="shared" si="155"/>
        <v/>
      </c>
      <c r="G3291" s="153">
        <f>IF($K3291="Padrão",BDI!$B$17,IF($K3291="Diferenciado",BDI!$E$17,0))</f>
        <v>0.2039</v>
      </c>
      <c r="H3291" s="151" t="str">
        <f t="shared" si="153"/>
        <v/>
      </c>
      <c r="I3291" s="152" t="str">
        <f t="shared" si="154"/>
        <v/>
      </c>
      <c r="J3291" s="154"/>
      <c r="K3291" s="155" t="s">
        <v>2966</v>
      </c>
    </row>
    <row r="3292" spans="1:11" hidden="1" x14ac:dyDescent="0.25">
      <c r="A3292" s="148" t="s">
        <v>8282</v>
      </c>
      <c r="B3292" s="149" t="s">
        <v>8283</v>
      </c>
      <c r="C3292" s="150" t="s">
        <v>18</v>
      </c>
      <c r="D3292" s="150">
        <v>0</v>
      </c>
      <c r="E3292" s="151" t="s">
        <v>13</v>
      </c>
      <c r="F3292" s="152" t="str">
        <f t="shared" si="155"/>
        <v/>
      </c>
      <c r="G3292" s="153">
        <f>IF($K3292="Padrão",BDI!$B$17,IF($K3292="Diferenciado",BDI!$E$17,0))</f>
        <v>0.2039</v>
      </c>
      <c r="H3292" s="151" t="str">
        <f t="shared" si="153"/>
        <v/>
      </c>
      <c r="I3292" s="152" t="str">
        <f t="shared" si="154"/>
        <v/>
      </c>
      <c r="J3292" s="154"/>
      <c r="K3292" s="155" t="s">
        <v>2966</v>
      </c>
    </row>
    <row r="3293" spans="1:11" hidden="1" x14ac:dyDescent="0.25">
      <c r="A3293" s="148" t="s">
        <v>8284</v>
      </c>
      <c r="B3293" s="149" t="s">
        <v>8285</v>
      </c>
      <c r="C3293" s="150" t="s">
        <v>18</v>
      </c>
      <c r="D3293" s="150">
        <v>0</v>
      </c>
      <c r="E3293" s="151" t="s">
        <v>13</v>
      </c>
      <c r="F3293" s="152" t="str">
        <f t="shared" si="155"/>
        <v/>
      </c>
      <c r="G3293" s="153">
        <f>IF($K3293="Padrão",BDI!$B$17,IF($K3293="Diferenciado",BDI!$E$17,0))</f>
        <v>0.2039</v>
      </c>
      <c r="H3293" s="151" t="str">
        <f t="shared" si="153"/>
        <v/>
      </c>
      <c r="I3293" s="152" t="str">
        <f t="shared" si="154"/>
        <v/>
      </c>
      <c r="J3293" s="154"/>
      <c r="K3293" s="155" t="s">
        <v>2966</v>
      </c>
    </row>
    <row r="3294" spans="1:11" hidden="1" x14ac:dyDescent="0.25">
      <c r="A3294" s="148" t="s">
        <v>1862</v>
      </c>
      <c r="B3294" s="149" t="s">
        <v>8286</v>
      </c>
      <c r="C3294" s="150" t="s">
        <v>18</v>
      </c>
      <c r="D3294" s="150">
        <v>0</v>
      </c>
      <c r="E3294" s="151">
        <f ca="1">OFFSET(INDEX(Composições!A:H,MATCH(Orçamentária!A3294,Composições!A:A,0),8),2,0)</f>
        <v>7.4574999999999996</v>
      </c>
      <c r="F3294" s="152">
        <f t="shared" ca="1" si="155"/>
        <v>0</v>
      </c>
      <c r="G3294" s="153">
        <f>IF($K3294="Padrão",BDI!$B$17,IF($K3294="Diferenciado",BDI!$E$17,0))</f>
        <v>0.2039</v>
      </c>
      <c r="H3294" s="151">
        <f t="shared" ca="1" si="153"/>
        <v>8.98</v>
      </c>
      <c r="I3294" s="152">
        <f t="shared" ca="1" si="154"/>
        <v>0</v>
      </c>
      <c r="J3294" s="154"/>
      <c r="K3294" s="155" t="s">
        <v>2966</v>
      </c>
    </row>
    <row r="3295" spans="1:11" hidden="1" x14ac:dyDescent="0.25">
      <c r="A3295" s="148" t="s">
        <v>1863</v>
      </c>
      <c r="B3295" s="149" t="s">
        <v>8287</v>
      </c>
      <c r="C3295" s="150" t="s">
        <v>18</v>
      </c>
      <c r="D3295" s="150">
        <v>0</v>
      </c>
      <c r="E3295" s="151">
        <f ca="1">OFFSET(INDEX(Composições!A:H,MATCH(Orçamentária!A3295,Composições!A:A,0),8),2,0)</f>
        <v>0.8075</v>
      </c>
      <c r="F3295" s="152">
        <f t="shared" ca="1" si="155"/>
        <v>0</v>
      </c>
      <c r="G3295" s="153">
        <f>IF($K3295="Padrão",BDI!$B$17,IF($K3295="Diferenciado",BDI!$E$17,0))</f>
        <v>0.2039</v>
      </c>
      <c r="H3295" s="151">
        <f t="shared" ca="1" si="153"/>
        <v>0.97</v>
      </c>
      <c r="I3295" s="152">
        <f t="shared" ca="1" si="154"/>
        <v>0</v>
      </c>
      <c r="J3295" s="154"/>
      <c r="K3295" s="155" t="s">
        <v>2966</v>
      </c>
    </row>
    <row r="3296" spans="1:11" hidden="1" x14ac:dyDescent="0.25">
      <c r="A3296" s="148" t="s">
        <v>1864</v>
      </c>
      <c r="B3296" s="149" t="s">
        <v>8288</v>
      </c>
      <c r="C3296" s="150" t="s">
        <v>18</v>
      </c>
      <c r="D3296" s="150">
        <v>0</v>
      </c>
      <c r="E3296" s="151">
        <f ca="1">OFFSET(INDEX(Composições!A:H,MATCH(Orçamentária!A3296,Composições!A:A,0),8),2,0)</f>
        <v>1.6719999999999999</v>
      </c>
      <c r="F3296" s="152">
        <f t="shared" ca="1" si="155"/>
        <v>0</v>
      </c>
      <c r="G3296" s="153">
        <f>IF($K3296="Padrão",BDI!$B$17,IF($K3296="Diferenciado",BDI!$E$17,0))</f>
        <v>0.2039</v>
      </c>
      <c r="H3296" s="151">
        <f t="shared" ca="1" si="153"/>
        <v>2.0099999999999998</v>
      </c>
      <c r="I3296" s="152">
        <f t="shared" ca="1" si="154"/>
        <v>0</v>
      </c>
      <c r="J3296" s="154"/>
      <c r="K3296" s="155" t="s">
        <v>2966</v>
      </c>
    </row>
    <row r="3297" spans="1:11" hidden="1" x14ac:dyDescent="0.25">
      <c r="A3297" s="148" t="s">
        <v>1865</v>
      </c>
      <c r="B3297" s="149" t="s">
        <v>8289</v>
      </c>
      <c r="C3297" s="150" t="s">
        <v>18</v>
      </c>
      <c r="D3297" s="150">
        <v>0</v>
      </c>
      <c r="E3297" s="151">
        <f ca="1">OFFSET(INDEX(Composições!A:H,MATCH(Orçamentária!A3297,Composições!A:A,0),8),2,0)</f>
        <v>2.7075</v>
      </c>
      <c r="F3297" s="152">
        <f t="shared" ca="1" si="155"/>
        <v>0</v>
      </c>
      <c r="G3297" s="153">
        <f>IF($K3297="Padrão",BDI!$B$17,IF($K3297="Diferenciado",BDI!$E$17,0))</f>
        <v>0.2039</v>
      </c>
      <c r="H3297" s="151">
        <f t="shared" ca="1" si="153"/>
        <v>3.26</v>
      </c>
      <c r="I3297" s="152">
        <f t="shared" ca="1" si="154"/>
        <v>0</v>
      </c>
      <c r="J3297" s="154"/>
      <c r="K3297" s="155" t="s">
        <v>2966</v>
      </c>
    </row>
    <row r="3298" spans="1:11" hidden="1" x14ac:dyDescent="0.25">
      <c r="A3298" s="148" t="s">
        <v>1866</v>
      </c>
      <c r="B3298" s="149" t="s">
        <v>8290</v>
      </c>
      <c r="C3298" s="150" t="s">
        <v>18</v>
      </c>
      <c r="D3298" s="150">
        <v>0</v>
      </c>
      <c r="E3298" s="151">
        <f ca="1">OFFSET(INDEX(Composições!A:H,MATCH(Orçamentária!A3298,Composições!A:A,0),8),2,0)</f>
        <v>5.9754999999999994</v>
      </c>
      <c r="F3298" s="152">
        <f t="shared" ca="1" si="155"/>
        <v>0</v>
      </c>
      <c r="G3298" s="153">
        <f>IF($K3298="Padrão",BDI!$B$17,IF($K3298="Diferenciado",BDI!$E$17,0))</f>
        <v>0.2039</v>
      </c>
      <c r="H3298" s="151">
        <f t="shared" ca="1" si="153"/>
        <v>7.19</v>
      </c>
      <c r="I3298" s="152">
        <f t="shared" ca="1" si="154"/>
        <v>0</v>
      </c>
      <c r="J3298" s="154"/>
      <c r="K3298" s="155" t="s">
        <v>2966</v>
      </c>
    </row>
    <row r="3299" spans="1:11" hidden="1" x14ac:dyDescent="0.25">
      <c r="A3299" s="148" t="s">
        <v>1867</v>
      </c>
      <c r="B3299" s="149" t="s">
        <v>8291</v>
      </c>
      <c r="C3299" s="150" t="s">
        <v>18</v>
      </c>
      <c r="D3299" s="150">
        <v>0</v>
      </c>
      <c r="E3299" s="151">
        <f ca="1">OFFSET(INDEX(Composições!A:H,MATCH(Orçamentária!A3299,Composições!A:A,0),8),2,0)</f>
        <v>8.9965000000000011</v>
      </c>
      <c r="F3299" s="152">
        <f t="shared" ca="1" si="155"/>
        <v>0</v>
      </c>
      <c r="G3299" s="153">
        <f>IF($K3299="Padrão",BDI!$B$17,IF($K3299="Diferenciado",BDI!$E$17,0))</f>
        <v>0.2039</v>
      </c>
      <c r="H3299" s="151">
        <f t="shared" ca="1" si="153"/>
        <v>10.83</v>
      </c>
      <c r="I3299" s="152">
        <f t="shared" ca="1" si="154"/>
        <v>0</v>
      </c>
      <c r="J3299" s="154"/>
      <c r="K3299" s="155" t="s">
        <v>2966</v>
      </c>
    </row>
    <row r="3300" spans="1:11" hidden="1" x14ac:dyDescent="0.25">
      <c r="A3300" s="148" t="s">
        <v>1868</v>
      </c>
      <c r="B3300" s="149" t="s">
        <v>8292</v>
      </c>
      <c r="C3300" s="150" t="s">
        <v>18</v>
      </c>
      <c r="D3300" s="150">
        <v>0</v>
      </c>
      <c r="E3300" s="151">
        <f ca="1">OFFSET(INDEX(Composições!A:H,MATCH(Orçamentária!A3300,Composições!A:A,0),8),2,0)</f>
        <v>1.3394999999999999</v>
      </c>
      <c r="F3300" s="152">
        <f t="shared" ca="1" si="155"/>
        <v>0</v>
      </c>
      <c r="G3300" s="153">
        <f>IF($K3300="Padrão",BDI!$B$17,IF($K3300="Diferenciado",BDI!$E$17,0))</f>
        <v>0.2039</v>
      </c>
      <c r="H3300" s="151">
        <f t="shared" ca="1" si="153"/>
        <v>1.61</v>
      </c>
      <c r="I3300" s="152">
        <f t="shared" ca="1" si="154"/>
        <v>0</v>
      </c>
      <c r="J3300" s="154"/>
      <c r="K3300" s="155" t="s">
        <v>2966</v>
      </c>
    </row>
    <row r="3301" spans="1:11" hidden="1" x14ac:dyDescent="0.25">
      <c r="A3301" s="148" t="s">
        <v>1869</v>
      </c>
      <c r="B3301" s="149" t="s">
        <v>8293</v>
      </c>
      <c r="C3301" s="150" t="s">
        <v>18</v>
      </c>
      <c r="D3301" s="150">
        <v>0</v>
      </c>
      <c r="E3301" s="151">
        <f ca="1">OFFSET(INDEX(Composições!A:H,MATCH(Orçamentária!A3301,Composições!A:A,0),8),2,0)</f>
        <v>4.7214999999999998</v>
      </c>
      <c r="F3301" s="152">
        <f t="shared" ca="1" si="155"/>
        <v>0</v>
      </c>
      <c r="G3301" s="153">
        <f>IF($K3301="Padrão",BDI!$B$17,IF($K3301="Diferenciado",BDI!$E$17,0))</f>
        <v>0.2039</v>
      </c>
      <c r="H3301" s="151">
        <f t="shared" ca="1" si="153"/>
        <v>5.68</v>
      </c>
      <c r="I3301" s="152">
        <f t="shared" ca="1" si="154"/>
        <v>0</v>
      </c>
      <c r="J3301" s="154"/>
      <c r="K3301" s="155" t="s">
        <v>2966</v>
      </c>
    </row>
    <row r="3302" spans="1:11" hidden="1" x14ac:dyDescent="0.25">
      <c r="A3302" s="148" t="s">
        <v>1870</v>
      </c>
      <c r="B3302" s="149" t="s">
        <v>8294</v>
      </c>
      <c r="C3302" s="150" t="s">
        <v>18</v>
      </c>
      <c r="D3302" s="150">
        <v>0</v>
      </c>
      <c r="E3302" s="151">
        <f ca="1">OFFSET(INDEX(Composições!A:H,MATCH(Orçamentária!A3302,Composições!A:A,0),8),2,0)</f>
        <v>5.8045</v>
      </c>
      <c r="F3302" s="152">
        <f t="shared" ca="1" si="155"/>
        <v>0</v>
      </c>
      <c r="G3302" s="153">
        <f>IF($K3302="Padrão",BDI!$B$17,IF($K3302="Diferenciado",BDI!$E$17,0))</f>
        <v>0.2039</v>
      </c>
      <c r="H3302" s="151">
        <f t="shared" ca="1" si="153"/>
        <v>6.99</v>
      </c>
      <c r="I3302" s="152">
        <f t="shared" ca="1" si="154"/>
        <v>0</v>
      </c>
      <c r="J3302" s="154"/>
      <c r="K3302" s="155" t="s">
        <v>2966</v>
      </c>
    </row>
    <row r="3303" spans="1:11" hidden="1" x14ac:dyDescent="0.25">
      <c r="A3303" s="148" t="s">
        <v>1871</v>
      </c>
      <c r="B3303" s="149" t="s">
        <v>8295</v>
      </c>
      <c r="C3303" s="150" t="s">
        <v>18</v>
      </c>
      <c r="D3303" s="150">
        <v>0</v>
      </c>
      <c r="E3303" s="151">
        <f ca="1">OFFSET(INDEX(Composições!A:H,MATCH(Orçamentária!A3303,Composições!A:A,0),8),2,0)</f>
        <v>1.3964999999999999</v>
      </c>
      <c r="F3303" s="152">
        <f t="shared" ca="1" si="155"/>
        <v>0</v>
      </c>
      <c r="G3303" s="153">
        <f>IF($K3303="Padrão",BDI!$B$17,IF($K3303="Diferenciado",BDI!$E$17,0))</f>
        <v>0.2039</v>
      </c>
      <c r="H3303" s="151">
        <f t="shared" ca="1" si="153"/>
        <v>1.68</v>
      </c>
      <c r="I3303" s="152">
        <f t="shared" ca="1" si="154"/>
        <v>0</v>
      </c>
      <c r="J3303" s="154"/>
      <c r="K3303" s="155" t="s">
        <v>2966</v>
      </c>
    </row>
    <row r="3304" spans="1:11" hidden="1" x14ac:dyDescent="0.25">
      <c r="A3304" s="148" t="s">
        <v>1872</v>
      </c>
      <c r="B3304" s="149" t="s">
        <v>8296</v>
      </c>
      <c r="C3304" s="150" t="s">
        <v>18</v>
      </c>
      <c r="D3304" s="150">
        <v>0</v>
      </c>
      <c r="E3304" s="151">
        <f ca="1">OFFSET(INDEX(Composições!A:H,MATCH(Orçamentária!A3304,Composições!A:A,0),8),2,0)</f>
        <v>2.052</v>
      </c>
      <c r="F3304" s="152">
        <f t="shared" ca="1" si="155"/>
        <v>0</v>
      </c>
      <c r="G3304" s="153">
        <f>IF($K3304="Padrão",BDI!$B$17,IF($K3304="Diferenciado",BDI!$E$17,0))</f>
        <v>0.2039</v>
      </c>
      <c r="H3304" s="151">
        <f t="shared" ca="1" si="153"/>
        <v>2.4700000000000002</v>
      </c>
      <c r="I3304" s="152">
        <f t="shared" ca="1" si="154"/>
        <v>0</v>
      </c>
      <c r="J3304" s="154"/>
      <c r="K3304" s="155" t="s">
        <v>2966</v>
      </c>
    </row>
    <row r="3305" spans="1:11" hidden="1" x14ac:dyDescent="0.25">
      <c r="A3305" s="148" t="s">
        <v>1873</v>
      </c>
      <c r="B3305" s="149" t="s">
        <v>8297</v>
      </c>
      <c r="C3305" s="150" t="s">
        <v>18</v>
      </c>
      <c r="D3305" s="150">
        <v>0</v>
      </c>
      <c r="E3305" s="151">
        <f ca="1">OFFSET(INDEX(Composições!A:H,MATCH(Orçamentária!A3305,Composições!A:A,0),8),2,0)</f>
        <v>6.6784999999999997</v>
      </c>
      <c r="F3305" s="152">
        <f t="shared" ca="1" si="155"/>
        <v>0</v>
      </c>
      <c r="G3305" s="153">
        <f>IF($K3305="Padrão",BDI!$B$17,IF($K3305="Diferenciado",BDI!$E$17,0))</f>
        <v>0.2039</v>
      </c>
      <c r="H3305" s="151">
        <f t="shared" ca="1" si="153"/>
        <v>8.0399999999999991</v>
      </c>
      <c r="I3305" s="152">
        <f t="shared" ca="1" si="154"/>
        <v>0</v>
      </c>
      <c r="J3305" s="154"/>
      <c r="K3305" s="155" t="s">
        <v>2966</v>
      </c>
    </row>
    <row r="3306" spans="1:11" hidden="1" x14ac:dyDescent="0.25">
      <c r="A3306" s="148" t="s">
        <v>1874</v>
      </c>
      <c r="B3306" s="149" t="s">
        <v>8298</v>
      </c>
      <c r="C3306" s="150" t="s">
        <v>18</v>
      </c>
      <c r="D3306" s="150">
        <v>0</v>
      </c>
      <c r="E3306" s="151">
        <f ca="1">OFFSET(INDEX(Composições!A:H,MATCH(Orçamentária!A3306,Composições!A:A,0),8),2,0)</f>
        <v>7.3339999999999996</v>
      </c>
      <c r="F3306" s="152">
        <f t="shared" ca="1" si="155"/>
        <v>0</v>
      </c>
      <c r="G3306" s="153">
        <f>IF($K3306="Padrão",BDI!$B$17,IF($K3306="Diferenciado",BDI!$E$17,0))</f>
        <v>0.2039</v>
      </c>
      <c r="H3306" s="151">
        <f t="shared" ca="1" si="153"/>
        <v>8.83</v>
      </c>
      <c r="I3306" s="152">
        <f t="shared" ca="1" si="154"/>
        <v>0</v>
      </c>
      <c r="J3306" s="154"/>
      <c r="K3306" s="155" t="s">
        <v>2966</v>
      </c>
    </row>
    <row r="3307" spans="1:11" hidden="1" x14ac:dyDescent="0.25">
      <c r="A3307" s="148" t="s">
        <v>1875</v>
      </c>
      <c r="B3307" s="149" t="s">
        <v>8299</v>
      </c>
      <c r="C3307" s="150" t="s">
        <v>18</v>
      </c>
      <c r="D3307" s="150">
        <v>0</v>
      </c>
      <c r="E3307" s="151">
        <f ca="1">OFFSET(INDEX(Composições!A:H,MATCH(Orçamentária!A3307,Composições!A:A,0),8),2,0)</f>
        <v>13.774999999999999</v>
      </c>
      <c r="F3307" s="152">
        <f t="shared" ca="1" si="155"/>
        <v>0</v>
      </c>
      <c r="G3307" s="153">
        <f>IF($K3307="Padrão",BDI!$B$17,IF($K3307="Diferenciado",BDI!$E$17,0))</f>
        <v>0.2039</v>
      </c>
      <c r="H3307" s="151">
        <f t="shared" ca="1" si="153"/>
        <v>16.579999999999998</v>
      </c>
      <c r="I3307" s="152">
        <f t="shared" ca="1" si="154"/>
        <v>0</v>
      </c>
      <c r="J3307" s="154"/>
      <c r="K3307" s="155" t="s">
        <v>2966</v>
      </c>
    </row>
    <row r="3308" spans="1:11" hidden="1" x14ac:dyDescent="0.25">
      <c r="A3308" s="148" t="s">
        <v>1876</v>
      </c>
      <c r="B3308" s="149" t="s">
        <v>8300</v>
      </c>
      <c r="C3308" s="150" t="s">
        <v>18</v>
      </c>
      <c r="D3308" s="150">
        <v>0</v>
      </c>
      <c r="E3308" s="151">
        <f ca="1">OFFSET(INDEX(Composições!A:H,MATCH(Orçamentária!A3308,Composições!A:A,0),8),2,0)</f>
        <v>0.91199999999999992</v>
      </c>
      <c r="F3308" s="152">
        <f t="shared" ca="1" si="155"/>
        <v>0</v>
      </c>
      <c r="G3308" s="153">
        <f>IF($K3308="Padrão",BDI!$B$17,IF($K3308="Diferenciado",BDI!$E$17,0))</f>
        <v>0.2039</v>
      </c>
      <c r="H3308" s="151">
        <f t="shared" ca="1" si="153"/>
        <v>1.1000000000000001</v>
      </c>
      <c r="I3308" s="152">
        <f t="shared" ca="1" si="154"/>
        <v>0</v>
      </c>
      <c r="J3308" s="154"/>
      <c r="K3308" s="155" t="s">
        <v>2966</v>
      </c>
    </row>
    <row r="3309" spans="1:11" hidden="1" x14ac:dyDescent="0.25">
      <c r="A3309" s="148" t="s">
        <v>1877</v>
      </c>
      <c r="B3309" s="149" t="s">
        <v>8301</v>
      </c>
      <c r="C3309" s="150" t="s">
        <v>18</v>
      </c>
      <c r="D3309" s="150">
        <v>0</v>
      </c>
      <c r="E3309" s="151">
        <f ca="1">OFFSET(INDEX(Composições!A:H,MATCH(Orçamentária!A3309,Composições!A:A,0),8),2,0)</f>
        <v>8.9205000000000005</v>
      </c>
      <c r="F3309" s="152">
        <f t="shared" ca="1" si="155"/>
        <v>0</v>
      </c>
      <c r="G3309" s="153">
        <f>IF($K3309="Padrão",BDI!$B$17,IF($K3309="Diferenciado",BDI!$E$17,0))</f>
        <v>0.2039</v>
      </c>
      <c r="H3309" s="151">
        <f t="shared" ca="1" si="153"/>
        <v>10.74</v>
      </c>
      <c r="I3309" s="152">
        <f t="shared" ca="1" si="154"/>
        <v>0</v>
      </c>
      <c r="J3309" s="154"/>
      <c r="K3309" s="155" t="s">
        <v>2966</v>
      </c>
    </row>
    <row r="3310" spans="1:11" hidden="1" x14ac:dyDescent="0.25">
      <c r="A3310" s="148" t="s">
        <v>1878</v>
      </c>
      <c r="B3310" s="149" t="s">
        <v>8302</v>
      </c>
      <c r="C3310" s="150" t="s">
        <v>18</v>
      </c>
      <c r="D3310" s="150">
        <v>0</v>
      </c>
      <c r="E3310" s="151">
        <f ca="1">OFFSET(INDEX(Composições!A:H,MATCH(Orçamentária!A3310,Composições!A:A,0),8),2,0)</f>
        <v>0.99749999999999994</v>
      </c>
      <c r="F3310" s="152">
        <f t="shared" ca="1" si="155"/>
        <v>0</v>
      </c>
      <c r="G3310" s="153">
        <f>IF($K3310="Padrão",BDI!$B$17,IF($K3310="Diferenciado",BDI!$E$17,0))</f>
        <v>0.2039</v>
      </c>
      <c r="H3310" s="151">
        <f t="shared" ca="1" si="153"/>
        <v>1.2</v>
      </c>
      <c r="I3310" s="152">
        <f t="shared" ca="1" si="154"/>
        <v>0</v>
      </c>
      <c r="J3310" s="154"/>
      <c r="K3310" s="155" t="s">
        <v>2966</v>
      </c>
    </row>
    <row r="3311" spans="1:11" hidden="1" x14ac:dyDescent="0.25">
      <c r="A3311" s="148" t="s">
        <v>1879</v>
      </c>
      <c r="B3311" s="149" t="s">
        <v>8303</v>
      </c>
      <c r="C3311" s="150" t="s">
        <v>18</v>
      </c>
      <c r="D3311" s="150">
        <v>0</v>
      </c>
      <c r="E3311" s="151">
        <f ca="1">OFFSET(INDEX(Composições!A:H,MATCH(Orçamentária!A3311,Composições!A:A,0),8),2,0)</f>
        <v>13.756</v>
      </c>
      <c r="F3311" s="152">
        <f t="shared" ca="1" si="155"/>
        <v>0</v>
      </c>
      <c r="G3311" s="153">
        <f>IF($K3311="Padrão",BDI!$B$17,IF($K3311="Diferenciado",BDI!$E$17,0))</f>
        <v>0.2039</v>
      </c>
      <c r="H3311" s="151">
        <f t="shared" ca="1" si="153"/>
        <v>16.559999999999999</v>
      </c>
      <c r="I3311" s="152">
        <f t="shared" ca="1" si="154"/>
        <v>0</v>
      </c>
      <c r="J3311" s="154"/>
      <c r="K3311" s="155" t="s">
        <v>2966</v>
      </c>
    </row>
    <row r="3312" spans="1:11" hidden="1" x14ac:dyDescent="0.25">
      <c r="A3312" s="148" t="s">
        <v>1880</v>
      </c>
      <c r="B3312" s="149" t="s">
        <v>8304</v>
      </c>
      <c r="C3312" s="150" t="s">
        <v>18</v>
      </c>
      <c r="D3312" s="150">
        <v>0</v>
      </c>
      <c r="E3312" s="151">
        <f ca="1">OFFSET(INDEX(Composições!A:H,MATCH(Orçamentária!A3312,Composições!A:A,0),8),2,0)</f>
        <v>2.7075</v>
      </c>
      <c r="F3312" s="152">
        <f t="shared" ca="1" si="155"/>
        <v>0</v>
      </c>
      <c r="G3312" s="153">
        <f>IF($K3312="Padrão",BDI!$B$17,IF($K3312="Diferenciado",BDI!$E$17,0))</f>
        <v>0.2039</v>
      </c>
      <c r="H3312" s="151">
        <f t="shared" ca="1" si="153"/>
        <v>3.26</v>
      </c>
      <c r="I3312" s="152">
        <f t="shared" ca="1" si="154"/>
        <v>0</v>
      </c>
      <c r="J3312" s="154"/>
      <c r="K3312" s="155" t="s">
        <v>2966</v>
      </c>
    </row>
    <row r="3313" spans="1:11" hidden="1" x14ac:dyDescent="0.25">
      <c r="A3313" s="148" t="s">
        <v>1881</v>
      </c>
      <c r="B3313" s="149" t="s">
        <v>8305</v>
      </c>
      <c r="C3313" s="150" t="s">
        <v>18</v>
      </c>
      <c r="D3313" s="150">
        <v>0</v>
      </c>
      <c r="E3313" s="151">
        <f ca="1">OFFSET(INDEX(Composições!A:H,MATCH(Orçamentária!A3313,Composições!A:A,0),8),2,0)</f>
        <v>4.6265000000000001</v>
      </c>
      <c r="F3313" s="152">
        <f t="shared" ca="1" si="155"/>
        <v>0</v>
      </c>
      <c r="G3313" s="153">
        <f>IF($K3313="Padrão",BDI!$B$17,IF($K3313="Diferenciado",BDI!$E$17,0))</f>
        <v>0.2039</v>
      </c>
      <c r="H3313" s="151">
        <f t="shared" ca="1" si="153"/>
        <v>5.57</v>
      </c>
      <c r="I3313" s="152">
        <f t="shared" ca="1" si="154"/>
        <v>0</v>
      </c>
      <c r="J3313" s="154"/>
      <c r="K3313" s="155" t="s">
        <v>2966</v>
      </c>
    </row>
    <row r="3314" spans="1:11" hidden="1" x14ac:dyDescent="0.25">
      <c r="A3314" s="148" t="s">
        <v>1882</v>
      </c>
      <c r="B3314" s="149" t="s">
        <v>8306</v>
      </c>
      <c r="C3314" s="150" t="s">
        <v>18</v>
      </c>
      <c r="D3314" s="150">
        <v>0</v>
      </c>
      <c r="E3314" s="151">
        <f ca="1">OFFSET(INDEX(Composições!A:H,MATCH(Orçamentária!A3314,Composições!A:A,0),8),2,0)</f>
        <v>2.2799999999999998</v>
      </c>
      <c r="F3314" s="152">
        <f t="shared" ca="1" si="155"/>
        <v>0</v>
      </c>
      <c r="G3314" s="153">
        <f>IF($K3314="Padrão",BDI!$B$17,IF($K3314="Diferenciado",BDI!$E$17,0))</f>
        <v>0.2039</v>
      </c>
      <c r="H3314" s="151">
        <f t="shared" ca="1" si="153"/>
        <v>2.74</v>
      </c>
      <c r="I3314" s="152">
        <f t="shared" ca="1" si="154"/>
        <v>0</v>
      </c>
      <c r="J3314" s="154"/>
      <c r="K3314" s="155" t="s">
        <v>2966</v>
      </c>
    </row>
    <row r="3315" spans="1:11" hidden="1" x14ac:dyDescent="0.25">
      <c r="A3315" s="148" t="s">
        <v>1883</v>
      </c>
      <c r="B3315" s="149" t="s">
        <v>8307</v>
      </c>
      <c r="C3315" s="150" t="s">
        <v>18</v>
      </c>
      <c r="D3315" s="150">
        <v>0</v>
      </c>
      <c r="E3315" s="151">
        <f ca="1">OFFSET(INDEX(Composições!A:H,MATCH(Orçamentária!A3315,Composições!A:A,0),8),2,0)</f>
        <v>7.2104999999999997</v>
      </c>
      <c r="F3315" s="152">
        <f t="shared" ca="1" si="155"/>
        <v>0</v>
      </c>
      <c r="G3315" s="153">
        <f>IF($K3315="Padrão",BDI!$B$17,IF($K3315="Diferenciado",BDI!$E$17,0))</f>
        <v>0.2039</v>
      </c>
      <c r="H3315" s="151">
        <f t="shared" ca="1" si="153"/>
        <v>8.68</v>
      </c>
      <c r="I3315" s="152">
        <f t="shared" ca="1" si="154"/>
        <v>0</v>
      </c>
      <c r="J3315" s="154"/>
      <c r="K3315" s="155" t="s">
        <v>2966</v>
      </c>
    </row>
    <row r="3316" spans="1:11" hidden="1" x14ac:dyDescent="0.25">
      <c r="A3316" s="148" t="s">
        <v>1884</v>
      </c>
      <c r="B3316" s="149" t="s">
        <v>8308</v>
      </c>
      <c r="C3316" s="150" t="s">
        <v>18</v>
      </c>
      <c r="D3316" s="150">
        <v>0</v>
      </c>
      <c r="E3316" s="151">
        <f ca="1">OFFSET(INDEX(Composições!A:H,MATCH(Orçamentária!A3316,Composições!A:A,0),8),2,0)</f>
        <v>4.2084999999999999</v>
      </c>
      <c r="F3316" s="152">
        <f t="shared" ca="1" si="155"/>
        <v>0</v>
      </c>
      <c r="G3316" s="153">
        <f>IF($K3316="Padrão",BDI!$B$17,IF($K3316="Diferenciado",BDI!$E$17,0))</f>
        <v>0.2039</v>
      </c>
      <c r="H3316" s="151">
        <f t="shared" ca="1" si="153"/>
        <v>5.07</v>
      </c>
      <c r="I3316" s="152">
        <f t="shared" ca="1" si="154"/>
        <v>0</v>
      </c>
      <c r="J3316" s="154"/>
      <c r="K3316" s="155" t="s">
        <v>2966</v>
      </c>
    </row>
    <row r="3317" spans="1:11" hidden="1" x14ac:dyDescent="0.25">
      <c r="A3317" s="148" t="s">
        <v>1885</v>
      </c>
      <c r="B3317" s="149" t="s">
        <v>8309</v>
      </c>
      <c r="C3317" s="150" t="s">
        <v>18</v>
      </c>
      <c r="D3317" s="150">
        <v>0</v>
      </c>
      <c r="E3317" s="151">
        <f ca="1">OFFSET(INDEX(Composições!A:H,MATCH(Orçamentária!A3317,Composições!A:A,0),8),2,0)</f>
        <v>2.2324999999999999</v>
      </c>
      <c r="F3317" s="152">
        <f t="shared" ca="1" si="155"/>
        <v>0</v>
      </c>
      <c r="G3317" s="153">
        <f>IF($K3317="Padrão",BDI!$B$17,IF($K3317="Diferenciado",BDI!$E$17,0))</f>
        <v>0.2039</v>
      </c>
      <c r="H3317" s="151">
        <f t="shared" ca="1" si="153"/>
        <v>2.69</v>
      </c>
      <c r="I3317" s="152">
        <f t="shared" ca="1" si="154"/>
        <v>0</v>
      </c>
      <c r="J3317" s="154"/>
      <c r="K3317" s="155" t="s">
        <v>2966</v>
      </c>
    </row>
    <row r="3318" spans="1:11" hidden="1" x14ac:dyDescent="0.25">
      <c r="A3318" s="148" t="s">
        <v>1886</v>
      </c>
      <c r="B3318" s="149" t="s">
        <v>8310</v>
      </c>
      <c r="C3318" s="150" t="s">
        <v>18</v>
      </c>
      <c r="D3318" s="150">
        <v>0</v>
      </c>
      <c r="E3318" s="151">
        <f ca="1">OFFSET(INDEX(Composições!A:H,MATCH(Orçamentária!A3318,Composições!A:A,0),8),2,0)</f>
        <v>24.462499999999999</v>
      </c>
      <c r="F3318" s="152">
        <f t="shared" ca="1" si="155"/>
        <v>0</v>
      </c>
      <c r="G3318" s="153">
        <f>IF($K3318="Padrão",BDI!$B$17,IF($K3318="Diferenciado",BDI!$E$17,0))</f>
        <v>0.2039</v>
      </c>
      <c r="H3318" s="151">
        <f t="shared" ca="1" si="153"/>
        <v>29.45</v>
      </c>
      <c r="I3318" s="152">
        <f t="shared" ca="1" si="154"/>
        <v>0</v>
      </c>
      <c r="J3318" s="154"/>
      <c r="K3318" s="155" t="s">
        <v>2966</v>
      </c>
    </row>
    <row r="3319" spans="1:11" hidden="1" x14ac:dyDescent="0.25">
      <c r="A3319" s="148" t="s">
        <v>1887</v>
      </c>
      <c r="B3319" s="149" t="s">
        <v>8311</v>
      </c>
      <c r="C3319" s="150" t="s">
        <v>18</v>
      </c>
      <c r="D3319" s="150">
        <v>0</v>
      </c>
      <c r="E3319" s="151">
        <f ca="1">OFFSET(INDEX(Composições!A:H,MATCH(Orçamentária!A3319,Composições!A:A,0),8),2,0)</f>
        <v>15.019499999999999</v>
      </c>
      <c r="F3319" s="152">
        <f t="shared" ca="1" si="155"/>
        <v>0</v>
      </c>
      <c r="G3319" s="153">
        <f>IF($K3319="Padrão",BDI!$B$17,IF($K3319="Diferenciado",BDI!$E$17,0))</f>
        <v>0.2039</v>
      </c>
      <c r="H3319" s="151">
        <f t="shared" ca="1" si="153"/>
        <v>18.079999999999998</v>
      </c>
      <c r="I3319" s="152">
        <f t="shared" ca="1" si="154"/>
        <v>0</v>
      </c>
      <c r="J3319" s="154"/>
      <c r="K3319" s="155" t="s">
        <v>2966</v>
      </c>
    </row>
    <row r="3320" spans="1:11" hidden="1" x14ac:dyDescent="0.25">
      <c r="A3320" s="148" t="s">
        <v>1888</v>
      </c>
      <c r="B3320" s="149" t="s">
        <v>8312</v>
      </c>
      <c r="C3320" s="150" t="s">
        <v>18</v>
      </c>
      <c r="D3320" s="150">
        <v>0</v>
      </c>
      <c r="E3320" s="151">
        <f ca="1">OFFSET(INDEX(Composições!A:H,MATCH(Orçamentária!A3320,Composições!A:A,0),8),2,0)</f>
        <v>3.1444999999999999</v>
      </c>
      <c r="F3320" s="152">
        <f t="shared" ca="1" si="155"/>
        <v>0</v>
      </c>
      <c r="G3320" s="153">
        <f>IF($K3320="Padrão",BDI!$B$17,IF($K3320="Diferenciado",BDI!$E$17,0))</f>
        <v>0.2039</v>
      </c>
      <c r="H3320" s="151">
        <f t="shared" ca="1" si="153"/>
        <v>3.79</v>
      </c>
      <c r="I3320" s="152">
        <f t="shared" ca="1" si="154"/>
        <v>0</v>
      </c>
      <c r="J3320" s="154"/>
      <c r="K3320" s="155" t="s">
        <v>2966</v>
      </c>
    </row>
    <row r="3321" spans="1:11" hidden="1" x14ac:dyDescent="0.25">
      <c r="A3321" s="148" t="s">
        <v>1889</v>
      </c>
      <c r="B3321" s="149" t="s">
        <v>8313</v>
      </c>
      <c r="C3321" s="150" t="s">
        <v>18</v>
      </c>
      <c r="D3321" s="150">
        <v>0</v>
      </c>
      <c r="E3321" s="151">
        <f ca="1">OFFSET(INDEX(Composições!A:H,MATCH(Orçamentária!A3321,Composições!A:A,0),8),2,0)</f>
        <v>1.0640000000000001</v>
      </c>
      <c r="F3321" s="152">
        <f t="shared" ca="1" si="155"/>
        <v>0</v>
      </c>
      <c r="G3321" s="153">
        <f>IF($K3321="Padrão",BDI!$B$17,IF($K3321="Diferenciado",BDI!$E$17,0))</f>
        <v>0.2039</v>
      </c>
      <c r="H3321" s="151">
        <f t="shared" ca="1" si="153"/>
        <v>1.28</v>
      </c>
      <c r="I3321" s="152">
        <f t="shared" ca="1" si="154"/>
        <v>0</v>
      </c>
      <c r="J3321" s="154"/>
      <c r="K3321" s="155" t="s">
        <v>2966</v>
      </c>
    </row>
    <row r="3322" spans="1:11" hidden="1" x14ac:dyDescent="0.25">
      <c r="A3322" s="148" t="s">
        <v>1890</v>
      </c>
      <c r="B3322" s="149" t="s">
        <v>8314</v>
      </c>
      <c r="C3322" s="150" t="s">
        <v>18</v>
      </c>
      <c r="D3322" s="150">
        <v>0</v>
      </c>
      <c r="E3322" s="151">
        <f ca="1">OFFSET(INDEX(Composições!A:H,MATCH(Orçamentária!A3322,Composições!A:A,0),8),2,0)</f>
        <v>2.0044999999999997</v>
      </c>
      <c r="F3322" s="152">
        <f t="shared" ca="1" si="155"/>
        <v>0</v>
      </c>
      <c r="G3322" s="153">
        <f>IF($K3322="Padrão",BDI!$B$17,IF($K3322="Diferenciado",BDI!$E$17,0))</f>
        <v>0.2039</v>
      </c>
      <c r="H3322" s="151">
        <f t="shared" ca="1" si="153"/>
        <v>2.41</v>
      </c>
      <c r="I3322" s="152">
        <f t="shared" ca="1" si="154"/>
        <v>0</v>
      </c>
      <c r="J3322" s="154"/>
      <c r="K3322" s="155" t="s">
        <v>2966</v>
      </c>
    </row>
    <row r="3323" spans="1:11" hidden="1" x14ac:dyDescent="0.25">
      <c r="A3323" s="148" t="s">
        <v>1891</v>
      </c>
      <c r="B3323" s="149" t="s">
        <v>8315</v>
      </c>
      <c r="C3323" s="150" t="s">
        <v>18</v>
      </c>
      <c r="D3323" s="150">
        <v>0</v>
      </c>
      <c r="E3323" s="151">
        <f ca="1">OFFSET(INDEX(Composições!A:H,MATCH(Orçamentária!A3323,Composições!A:A,0),8),2,0)</f>
        <v>20.690999999999999</v>
      </c>
      <c r="F3323" s="152">
        <f t="shared" ca="1" si="155"/>
        <v>0</v>
      </c>
      <c r="G3323" s="153">
        <f>IF($K3323="Padrão",BDI!$B$17,IF($K3323="Diferenciado",BDI!$E$17,0))</f>
        <v>0.2039</v>
      </c>
      <c r="H3323" s="151">
        <f t="shared" ca="1" si="153"/>
        <v>24.91</v>
      </c>
      <c r="I3323" s="152">
        <f t="shared" ca="1" si="154"/>
        <v>0</v>
      </c>
      <c r="J3323" s="154"/>
      <c r="K3323" s="155" t="s">
        <v>2966</v>
      </c>
    </row>
    <row r="3324" spans="1:11" hidden="1" x14ac:dyDescent="0.25">
      <c r="A3324" s="148" t="s">
        <v>1892</v>
      </c>
      <c r="B3324" s="149" t="s">
        <v>8316</v>
      </c>
      <c r="C3324" s="150" t="s">
        <v>18</v>
      </c>
      <c r="D3324" s="150">
        <v>0</v>
      </c>
      <c r="E3324" s="151">
        <f ca="1">OFFSET(INDEX(Composições!A:H,MATCH(Orçamentária!A3324,Composições!A:A,0),8),2,0)</f>
        <v>6.593</v>
      </c>
      <c r="F3324" s="152">
        <f t="shared" ca="1" si="155"/>
        <v>0</v>
      </c>
      <c r="G3324" s="153">
        <f>IF($K3324="Padrão",BDI!$B$17,IF($K3324="Diferenciado",BDI!$E$17,0))</f>
        <v>0.2039</v>
      </c>
      <c r="H3324" s="151">
        <f t="shared" ca="1" si="153"/>
        <v>7.94</v>
      </c>
      <c r="I3324" s="152">
        <f t="shared" ca="1" si="154"/>
        <v>0</v>
      </c>
      <c r="J3324" s="154"/>
      <c r="K3324" s="155" t="s">
        <v>2966</v>
      </c>
    </row>
    <row r="3325" spans="1:11" hidden="1" x14ac:dyDescent="0.25">
      <c r="A3325" s="148" t="s">
        <v>1893</v>
      </c>
      <c r="B3325" s="149" t="s">
        <v>8317</v>
      </c>
      <c r="C3325" s="150" t="s">
        <v>18</v>
      </c>
      <c r="D3325" s="150">
        <v>0</v>
      </c>
      <c r="E3325" s="151">
        <f ca="1">OFFSET(INDEX(Composições!A:H,MATCH(Orçamentária!A3325,Composições!A:A,0),8),2,0)</f>
        <v>4.3890000000000002</v>
      </c>
      <c r="F3325" s="152">
        <f t="shared" ca="1" si="155"/>
        <v>0</v>
      </c>
      <c r="G3325" s="153">
        <f>IF($K3325="Padrão",BDI!$B$17,IF($K3325="Diferenciado",BDI!$E$17,0))</f>
        <v>0.2039</v>
      </c>
      <c r="H3325" s="151">
        <f t="shared" ca="1" si="153"/>
        <v>5.28</v>
      </c>
      <c r="I3325" s="152">
        <f t="shared" ca="1" si="154"/>
        <v>0</v>
      </c>
      <c r="J3325" s="154"/>
      <c r="K3325" s="155" t="s">
        <v>2966</v>
      </c>
    </row>
    <row r="3326" spans="1:11" hidden="1" x14ac:dyDescent="0.25">
      <c r="A3326" s="148" t="s">
        <v>1894</v>
      </c>
      <c r="B3326" s="149" t="s">
        <v>8318</v>
      </c>
      <c r="C3326" s="150" t="s">
        <v>18</v>
      </c>
      <c r="D3326" s="150">
        <v>0</v>
      </c>
      <c r="E3326" s="151">
        <f ca="1">OFFSET(INDEX(Composições!A:H,MATCH(Orçamentária!A3326,Composições!A:A,0),8),2,0)</f>
        <v>13.423500000000001</v>
      </c>
      <c r="F3326" s="152">
        <f t="shared" ca="1" si="155"/>
        <v>0</v>
      </c>
      <c r="G3326" s="153">
        <f>IF($K3326="Padrão",BDI!$B$17,IF($K3326="Diferenciado",BDI!$E$17,0))</f>
        <v>0.2039</v>
      </c>
      <c r="H3326" s="151">
        <f t="shared" ca="1" si="153"/>
        <v>16.16</v>
      </c>
      <c r="I3326" s="152">
        <f t="shared" ca="1" si="154"/>
        <v>0</v>
      </c>
      <c r="J3326" s="154"/>
      <c r="K3326" s="155" t="s">
        <v>2966</v>
      </c>
    </row>
    <row r="3327" spans="1:11" hidden="1" x14ac:dyDescent="0.25">
      <c r="A3327" s="148" t="s">
        <v>1895</v>
      </c>
      <c r="B3327" s="149" t="s">
        <v>8319</v>
      </c>
      <c r="C3327" s="150" t="s">
        <v>18</v>
      </c>
      <c r="D3327" s="150">
        <v>0</v>
      </c>
      <c r="E3327" s="151">
        <f ca="1">OFFSET(INDEX(Composições!A:H,MATCH(Orçamentária!A3327,Composições!A:A,0),8),2,0)</f>
        <v>6.6499999999999995</v>
      </c>
      <c r="F3327" s="152">
        <f t="shared" ca="1" si="155"/>
        <v>0</v>
      </c>
      <c r="G3327" s="153">
        <f>IF($K3327="Padrão",BDI!$B$17,IF($K3327="Diferenciado",BDI!$E$17,0))</f>
        <v>0.2039</v>
      </c>
      <c r="H3327" s="151">
        <f t="shared" ca="1" si="153"/>
        <v>8.01</v>
      </c>
      <c r="I3327" s="152">
        <f t="shared" ca="1" si="154"/>
        <v>0</v>
      </c>
      <c r="J3327" s="154"/>
      <c r="K3327" s="155" t="s">
        <v>2966</v>
      </c>
    </row>
    <row r="3328" spans="1:11" hidden="1" x14ac:dyDescent="0.25">
      <c r="A3328" s="148" t="s">
        <v>1896</v>
      </c>
      <c r="B3328" s="149" t="s">
        <v>8320</v>
      </c>
      <c r="C3328" s="150" t="s">
        <v>18</v>
      </c>
      <c r="D3328" s="150">
        <v>0</v>
      </c>
      <c r="E3328" s="151">
        <f ca="1">OFFSET(INDEX(Composições!A:H,MATCH(Orçamentária!A3328,Composições!A:A,0),8),2,0)</f>
        <v>10.298</v>
      </c>
      <c r="F3328" s="152">
        <f t="shared" ca="1" si="155"/>
        <v>0</v>
      </c>
      <c r="G3328" s="153">
        <f>IF($K3328="Padrão",BDI!$B$17,IF($K3328="Diferenciado",BDI!$E$17,0))</f>
        <v>0.2039</v>
      </c>
      <c r="H3328" s="151">
        <f t="shared" ca="1" si="153"/>
        <v>12.4</v>
      </c>
      <c r="I3328" s="152">
        <f t="shared" ca="1" si="154"/>
        <v>0</v>
      </c>
      <c r="J3328" s="154"/>
      <c r="K3328" s="155" t="s">
        <v>2966</v>
      </c>
    </row>
    <row r="3329" spans="1:11" hidden="1" x14ac:dyDescent="0.25">
      <c r="A3329" s="148" t="s">
        <v>1897</v>
      </c>
      <c r="B3329" s="149" t="s">
        <v>8321</v>
      </c>
      <c r="C3329" s="150" t="s">
        <v>18</v>
      </c>
      <c r="D3329" s="150">
        <v>0</v>
      </c>
      <c r="E3329" s="151">
        <f ca="1">OFFSET(INDEX(Composições!A:H,MATCH(Orçamentária!A3329,Composições!A:A,0),8),2,0)</f>
        <v>4.75</v>
      </c>
      <c r="F3329" s="152">
        <f t="shared" ca="1" si="155"/>
        <v>0</v>
      </c>
      <c r="G3329" s="153">
        <f>IF($K3329="Padrão",BDI!$B$17,IF($K3329="Diferenciado",BDI!$E$17,0))</f>
        <v>0.2039</v>
      </c>
      <c r="H3329" s="151">
        <f t="shared" ca="1" si="153"/>
        <v>5.72</v>
      </c>
      <c r="I3329" s="152">
        <f t="shared" ca="1" si="154"/>
        <v>0</v>
      </c>
      <c r="J3329" s="154"/>
      <c r="K3329" s="155" t="s">
        <v>2966</v>
      </c>
    </row>
    <row r="3330" spans="1:11" hidden="1" x14ac:dyDescent="0.25">
      <c r="A3330" s="148" t="s">
        <v>1898</v>
      </c>
      <c r="B3330" s="149" t="s">
        <v>8322</v>
      </c>
      <c r="C3330" s="150" t="s">
        <v>18</v>
      </c>
      <c r="D3330" s="150">
        <v>0</v>
      </c>
      <c r="E3330" s="151">
        <f ca="1">OFFSET(INDEX(Composições!A:H,MATCH(Orçamentária!A3330,Composições!A:A,0),8),2,0)</f>
        <v>31.616</v>
      </c>
      <c r="F3330" s="152">
        <f t="shared" ca="1" si="155"/>
        <v>0</v>
      </c>
      <c r="G3330" s="153">
        <f>IF($K3330="Padrão",BDI!$B$17,IF($K3330="Diferenciado",BDI!$E$17,0))</f>
        <v>0.2039</v>
      </c>
      <c r="H3330" s="151">
        <f t="shared" ca="1" si="153"/>
        <v>38.06</v>
      </c>
      <c r="I3330" s="152">
        <f t="shared" ca="1" si="154"/>
        <v>0</v>
      </c>
      <c r="J3330" s="154"/>
      <c r="K3330" s="155" t="s">
        <v>2966</v>
      </c>
    </row>
    <row r="3331" spans="1:11" hidden="1" x14ac:dyDescent="0.25">
      <c r="A3331" s="148" t="s">
        <v>1899</v>
      </c>
      <c r="B3331" s="149" t="s">
        <v>8323</v>
      </c>
      <c r="C3331" s="150" t="s">
        <v>18</v>
      </c>
      <c r="D3331" s="150">
        <v>0</v>
      </c>
      <c r="E3331" s="151">
        <f ca="1">OFFSET(INDEX(Composições!A:H,MATCH(Orçamentária!A3331,Composições!A:A,0),8),2,0)</f>
        <v>28.889499999999998</v>
      </c>
      <c r="F3331" s="152">
        <f t="shared" ca="1" si="155"/>
        <v>0</v>
      </c>
      <c r="G3331" s="153">
        <f>IF($K3331="Padrão",BDI!$B$17,IF($K3331="Diferenciado",BDI!$E$17,0))</f>
        <v>0.2039</v>
      </c>
      <c r="H3331" s="151">
        <f t="shared" ca="1" si="153"/>
        <v>34.78</v>
      </c>
      <c r="I3331" s="152">
        <f t="shared" ca="1" si="154"/>
        <v>0</v>
      </c>
      <c r="J3331" s="154"/>
      <c r="K3331" s="155" t="s">
        <v>2966</v>
      </c>
    </row>
    <row r="3332" spans="1:11" hidden="1" x14ac:dyDescent="0.25">
      <c r="A3332" s="148" t="s">
        <v>1900</v>
      </c>
      <c r="B3332" s="149" t="s">
        <v>8324</v>
      </c>
      <c r="C3332" s="150" t="s">
        <v>18</v>
      </c>
      <c r="D3332" s="150">
        <v>0</v>
      </c>
      <c r="E3332" s="151">
        <f ca="1">OFFSET(INDEX(Composições!A:H,MATCH(Orçamentária!A3332,Composições!A:A,0),8),2,0)</f>
        <v>2.3465000000000003</v>
      </c>
      <c r="F3332" s="152">
        <f t="shared" ca="1" si="155"/>
        <v>0</v>
      </c>
      <c r="G3332" s="153">
        <f>IF($K3332="Padrão",BDI!$B$17,IF($K3332="Diferenciado",BDI!$E$17,0))</f>
        <v>0.2039</v>
      </c>
      <c r="H3332" s="151">
        <f t="shared" ca="1" si="153"/>
        <v>2.82</v>
      </c>
      <c r="I3332" s="152">
        <f t="shared" ca="1" si="154"/>
        <v>0</v>
      </c>
      <c r="J3332" s="154"/>
      <c r="K3332" s="155" t="s">
        <v>2966</v>
      </c>
    </row>
    <row r="3333" spans="1:11" hidden="1" x14ac:dyDescent="0.25">
      <c r="A3333" s="148" t="s">
        <v>1901</v>
      </c>
      <c r="B3333" s="149" t="s">
        <v>8325</v>
      </c>
      <c r="C3333" s="150" t="s">
        <v>18</v>
      </c>
      <c r="D3333" s="150">
        <v>0</v>
      </c>
      <c r="E3333" s="151">
        <f ca="1">OFFSET(INDEX(Composições!A:H,MATCH(Orçamentária!A3333,Composições!A:A,0),8),2,0)</f>
        <v>4.1324999999999994</v>
      </c>
      <c r="F3333" s="152">
        <f t="shared" ca="1" si="155"/>
        <v>0</v>
      </c>
      <c r="G3333" s="153">
        <f>IF($K3333="Padrão",BDI!$B$17,IF($K3333="Diferenciado",BDI!$E$17,0))</f>
        <v>0.2039</v>
      </c>
      <c r="H3333" s="151">
        <f t="shared" ca="1" si="153"/>
        <v>4.9800000000000004</v>
      </c>
      <c r="I3333" s="152">
        <f t="shared" ca="1" si="154"/>
        <v>0</v>
      </c>
      <c r="J3333" s="154"/>
      <c r="K3333" s="155" t="s">
        <v>2966</v>
      </c>
    </row>
    <row r="3334" spans="1:11" hidden="1" x14ac:dyDescent="0.25">
      <c r="A3334" s="148" t="s">
        <v>1902</v>
      </c>
      <c r="B3334" s="149" t="s">
        <v>8326</v>
      </c>
      <c r="C3334" s="150" t="s">
        <v>18</v>
      </c>
      <c r="D3334" s="150">
        <v>0</v>
      </c>
      <c r="E3334" s="151">
        <f ca="1">OFFSET(INDEX(Composições!A:H,MATCH(Orçamentária!A3334,Composições!A:A,0),8),2,0)</f>
        <v>30.97</v>
      </c>
      <c r="F3334" s="152">
        <f t="shared" ca="1" si="155"/>
        <v>0</v>
      </c>
      <c r="G3334" s="153">
        <f>IF($K3334="Padrão",BDI!$B$17,IF($K3334="Diferenciado",BDI!$E$17,0))</f>
        <v>0.2039</v>
      </c>
      <c r="H3334" s="151">
        <f t="shared" ref="H3334:H3397" ca="1" si="156">IF(ISNUMBER(E3334),ROUND(E3334*(1+G3334),2),"")</f>
        <v>37.28</v>
      </c>
      <c r="I3334" s="152">
        <f t="shared" ref="I3334:I3397" ca="1" si="157">IF(ISNUMBER(E3334),ROUND(H3334*D3334,2),"")</f>
        <v>0</v>
      </c>
      <c r="J3334" s="154"/>
      <c r="K3334" s="155" t="s">
        <v>2966</v>
      </c>
    </row>
    <row r="3335" spans="1:11" hidden="1" x14ac:dyDescent="0.25">
      <c r="A3335" s="148" t="s">
        <v>1903</v>
      </c>
      <c r="B3335" s="149" t="s">
        <v>8327</v>
      </c>
      <c r="C3335" s="150" t="s">
        <v>18</v>
      </c>
      <c r="D3335" s="150">
        <v>0</v>
      </c>
      <c r="E3335" s="151">
        <f ca="1">OFFSET(INDEX(Composições!A:H,MATCH(Orçamentária!A3335,Composições!A:A,0),8),2,0)</f>
        <v>5.5765000000000002</v>
      </c>
      <c r="F3335" s="152">
        <f t="shared" ref="F3335:F3398" ca="1" si="158">IF(ISNUMBER(E3335),D3335*E3335,"")</f>
        <v>0</v>
      </c>
      <c r="G3335" s="153">
        <f>IF($K3335="Padrão",BDI!$B$17,IF($K3335="Diferenciado",BDI!$E$17,0))</f>
        <v>0.2039</v>
      </c>
      <c r="H3335" s="151">
        <f t="shared" ca="1" si="156"/>
        <v>6.71</v>
      </c>
      <c r="I3335" s="152">
        <f t="shared" ca="1" si="157"/>
        <v>0</v>
      </c>
      <c r="J3335" s="154"/>
      <c r="K3335" s="155" t="s">
        <v>2966</v>
      </c>
    </row>
    <row r="3336" spans="1:11" hidden="1" x14ac:dyDescent="0.25">
      <c r="A3336" s="148" t="s">
        <v>1904</v>
      </c>
      <c r="B3336" s="149" t="s">
        <v>8328</v>
      </c>
      <c r="C3336" s="150" t="s">
        <v>18</v>
      </c>
      <c r="D3336" s="150">
        <v>0</v>
      </c>
      <c r="E3336" s="151">
        <f ca="1">OFFSET(INDEX(Composições!A:H,MATCH(Orçamentária!A3336,Composições!A:A,0),8),2,0)</f>
        <v>7.9229999999999992</v>
      </c>
      <c r="F3336" s="152">
        <f t="shared" ca="1" si="158"/>
        <v>0</v>
      </c>
      <c r="G3336" s="153">
        <f>IF($K3336="Padrão",BDI!$B$17,IF($K3336="Diferenciado",BDI!$E$17,0))</f>
        <v>0.2039</v>
      </c>
      <c r="H3336" s="151">
        <f t="shared" ca="1" si="156"/>
        <v>9.5399999999999991</v>
      </c>
      <c r="I3336" s="152">
        <f t="shared" ca="1" si="157"/>
        <v>0</v>
      </c>
      <c r="J3336" s="154"/>
      <c r="K3336" s="155" t="s">
        <v>2966</v>
      </c>
    </row>
    <row r="3337" spans="1:11" hidden="1" x14ac:dyDescent="0.25">
      <c r="A3337" s="148" t="s">
        <v>1905</v>
      </c>
      <c r="B3337" s="149" t="s">
        <v>8329</v>
      </c>
      <c r="C3337" s="150" t="s">
        <v>18</v>
      </c>
      <c r="D3337" s="150">
        <v>0</v>
      </c>
      <c r="E3337" s="151">
        <f ca="1">OFFSET(INDEX(Composições!A:H,MATCH(Orçamentária!A3337,Composições!A:A,0),8),2,0)</f>
        <v>14.563499999999999</v>
      </c>
      <c r="F3337" s="152">
        <f t="shared" ca="1" si="158"/>
        <v>0</v>
      </c>
      <c r="G3337" s="153">
        <f>IF($K3337="Padrão",BDI!$B$17,IF($K3337="Diferenciado",BDI!$E$17,0))</f>
        <v>0.2039</v>
      </c>
      <c r="H3337" s="151">
        <f t="shared" ca="1" si="156"/>
        <v>17.53</v>
      </c>
      <c r="I3337" s="152">
        <f t="shared" ca="1" si="157"/>
        <v>0</v>
      </c>
      <c r="J3337" s="154"/>
      <c r="K3337" s="155" t="s">
        <v>2966</v>
      </c>
    </row>
    <row r="3338" spans="1:11" hidden="1" x14ac:dyDescent="0.25">
      <c r="A3338" s="148" t="s">
        <v>1906</v>
      </c>
      <c r="B3338" s="149" t="s">
        <v>8330</v>
      </c>
      <c r="C3338" s="150" t="s">
        <v>18</v>
      </c>
      <c r="D3338" s="150">
        <v>0</v>
      </c>
      <c r="E3338" s="151">
        <f ca="1">OFFSET(INDEX(Composições!A:H,MATCH(Orçamentária!A3338,Composições!A:A,0),8),2,0)</f>
        <v>8.36</v>
      </c>
      <c r="F3338" s="152">
        <f t="shared" ca="1" si="158"/>
        <v>0</v>
      </c>
      <c r="G3338" s="153">
        <f>IF($K3338="Padrão",BDI!$B$17,IF($K3338="Diferenciado",BDI!$E$17,0))</f>
        <v>0.2039</v>
      </c>
      <c r="H3338" s="151">
        <f t="shared" ca="1" si="156"/>
        <v>10.06</v>
      </c>
      <c r="I3338" s="152">
        <f t="shared" ca="1" si="157"/>
        <v>0</v>
      </c>
      <c r="J3338" s="154"/>
      <c r="K3338" s="155" t="s">
        <v>2966</v>
      </c>
    </row>
    <row r="3339" spans="1:11" hidden="1" x14ac:dyDescent="0.25">
      <c r="A3339" s="148" t="s">
        <v>1907</v>
      </c>
      <c r="B3339" s="149" t="s">
        <v>8331</v>
      </c>
      <c r="C3339" s="150" t="s">
        <v>18</v>
      </c>
      <c r="D3339" s="150">
        <v>0</v>
      </c>
      <c r="E3339" s="151">
        <f ca="1">OFFSET(INDEX(Composições!A:H,MATCH(Orçamentária!A3339,Composições!A:A,0),8),2,0)</f>
        <v>10.763499999999999</v>
      </c>
      <c r="F3339" s="152">
        <f t="shared" ca="1" si="158"/>
        <v>0</v>
      </c>
      <c r="G3339" s="153">
        <f>IF($K3339="Padrão",BDI!$B$17,IF($K3339="Diferenciado",BDI!$E$17,0))</f>
        <v>0.2039</v>
      </c>
      <c r="H3339" s="151">
        <f t="shared" ca="1" si="156"/>
        <v>12.96</v>
      </c>
      <c r="I3339" s="152">
        <f t="shared" ca="1" si="157"/>
        <v>0</v>
      </c>
      <c r="J3339" s="154"/>
      <c r="K3339" s="155" t="s">
        <v>2966</v>
      </c>
    </row>
    <row r="3340" spans="1:11" hidden="1" x14ac:dyDescent="0.25">
      <c r="A3340" s="148" t="s">
        <v>1908</v>
      </c>
      <c r="B3340" s="149" t="s">
        <v>8332</v>
      </c>
      <c r="C3340" s="150" t="s">
        <v>18</v>
      </c>
      <c r="D3340" s="150">
        <v>0</v>
      </c>
      <c r="E3340" s="151">
        <f ca="1">OFFSET(INDEX(Composições!A:H,MATCH(Orçamentária!A3340,Composições!A:A,0),8),2,0)</f>
        <v>4.8734999999999999</v>
      </c>
      <c r="F3340" s="152">
        <f t="shared" ca="1" si="158"/>
        <v>0</v>
      </c>
      <c r="G3340" s="153">
        <f>IF($K3340="Padrão",BDI!$B$17,IF($K3340="Diferenciado",BDI!$E$17,0))</f>
        <v>0.2039</v>
      </c>
      <c r="H3340" s="151">
        <f t="shared" ca="1" si="156"/>
        <v>5.87</v>
      </c>
      <c r="I3340" s="152">
        <f t="shared" ca="1" si="157"/>
        <v>0</v>
      </c>
      <c r="J3340" s="154"/>
      <c r="K3340" s="155" t="s">
        <v>2966</v>
      </c>
    </row>
    <row r="3341" spans="1:11" hidden="1" x14ac:dyDescent="0.25">
      <c r="A3341" s="148" t="s">
        <v>1909</v>
      </c>
      <c r="B3341" s="149" t="s">
        <v>8333</v>
      </c>
      <c r="C3341" s="150" t="s">
        <v>18</v>
      </c>
      <c r="D3341" s="150">
        <v>0</v>
      </c>
      <c r="E3341" s="151">
        <f ca="1">OFFSET(INDEX(Composições!A:H,MATCH(Orçamentária!A3341,Composições!A:A,0),8),2,0)</f>
        <v>31.882000000000001</v>
      </c>
      <c r="F3341" s="152">
        <f t="shared" ca="1" si="158"/>
        <v>0</v>
      </c>
      <c r="G3341" s="153">
        <f>IF($K3341="Padrão",BDI!$B$17,IF($K3341="Diferenciado",BDI!$E$17,0))</f>
        <v>0.2039</v>
      </c>
      <c r="H3341" s="151">
        <f t="shared" ca="1" si="156"/>
        <v>38.380000000000003</v>
      </c>
      <c r="I3341" s="152">
        <f t="shared" ca="1" si="157"/>
        <v>0</v>
      </c>
      <c r="J3341" s="154"/>
      <c r="K3341" s="155" t="s">
        <v>2966</v>
      </c>
    </row>
    <row r="3342" spans="1:11" hidden="1" x14ac:dyDescent="0.25">
      <c r="A3342" s="148" t="s">
        <v>1910</v>
      </c>
      <c r="B3342" s="149" t="s">
        <v>8334</v>
      </c>
      <c r="C3342" s="150" t="s">
        <v>18</v>
      </c>
      <c r="D3342" s="150">
        <v>0</v>
      </c>
      <c r="E3342" s="151">
        <f ca="1">OFFSET(INDEX(Composições!A:H,MATCH(Orçamentária!A3342,Composições!A:A,0),8),2,0)</f>
        <v>30.846499999999999</v>
      </c>
      <c r="F3342" s="152">
        <f t="shared" ca="1" si="158"/>
        <v>0</v>
      </c>
      <c r="G3342" s="153">
        <f>IF($K3342="Padrão",BDI!$B$17,IF($K3342="Diferenciado",BDI!$E$17,0))</f>
        <v>0.2039</v>
      </c>
      <c r="H3342" s="151">
        <f t="shared" ca="1" si="156"/>
        <v>37.14</v>
      </c>
      <c r="I3342" s="152">
        <f t="shared" ca="1" si="157"/>
        <v>0</v>
      </c>
      <c r="J3342" s="154"/>
      <c r="K3342" s="155" t="s">
        <v>2966</v>
      </c>
    </row>
    <row r="3343" spans="1:11" hidden="1" x14ac:dyDescent="0.25">
      <c r="A3343" s="148" t="s">
        <v>1911</v>
      </c>
      <c r="B3343" s="149" t="s">
        <v>8335</v>
      </c>
      <c r="C3343" s="150" t="s">
        <v>18</v>
      </c>
      <c r="D3343" s="150">
        <v>0</v>
      </c>
      <c r="E3343" s="151">
        <f ca="1">OFFSET(INDEX(Composições!A:H,MATCH(Orçamentária!A3343,Composições!A:A,0),8),2,0)</f>
        <v>4.0754999999999999</v>
      </c>
      <c r="F3343" s="152">
        <f t="shared" ca="1" si="158"/>
        <v>0</v>
      </c>
      <c r="G3343" s="153">
        <f>IF($K3343="Padrão",BDI!$B$17,IF($K3343="Diferenciado",BDI!$E$17,0))</f>
        <v>0.2039</v>
      </c>
      <c r="H3343" s="151">
        <f t="shared" ca="1" si="156"/>
        <v>4.91</v>
      </c>
      <c r="I3343" s="152">
        <f t="shared" ca="1" si="157"/>
        <v>0</v>
      </c>
      <c r="J3343" s="154"/>
      <c r="K3343" s="155" t="s">
        <v>2966</v>
      </c>
    </row>
    <row r="3344" spans="1:11" hidden="1" x14ac:dyDescent="0.25">
      <c r="A3344" s="148" t="s">
        <v>1912</v>
      </c>
      <c r="B3344" s="149" t="s">
        <v>8336</v>
      </c>
      <c r="C3344" s="150" t="s">
        <v>18</v>
      </c>
      <c r="D3344" s="150">
        <v>0</v>
      </c>
      <c r="E3344" s="151">
        <f ca="1">OFFSET(INDEX(Composições!A:H,MATCH(Orçamentária!A3344,Composições!A:A,0),8),2,0)</f>
        <v>4.9779999999999998</v>
      </c>
      <c r="F3344" s="152">
        <f t="shared" ca="1" si="158"/>
        <v>0</v>
      </c>
      <c r="G3344" s="153">
        <f>IF($K3344="Padrão",BDI!$B$17,IF($K3344="Diferenciado",BDI!$E$17,0))</f>
        <v>0.2039</v>
      </c>
      <c r="H3344" s="151">
        <f t="shared" ca="1" si="156"/>
        <v>5.99</v>
      </c>
      <c r="I3344" s="152">
        <f t="shared" ca="1" si="157"/>
        <v>0</v>
      </c>
      <c r="J3344" s="154"/>
      <c r="K3344" s="155" t="s">
        <v>2966</v>
      </c>
    </row>
    <row r="3345" spans="1:11" hidden="1" x14ac:dyDescent="0.25">
      <c r="A3345" s="148" t="s">
        <v>1913</v>
      </c>
      <c r="B3345" s="149" t="s">
        <v>8337</v>
      </c>
      <c r="C3345" s="150" t="s">
        <v>18</v>
      </c>
      <c r="D3345" s="150">
        <v>0</v>
      </c>
      <c r="E3345" s="151">
        <f ca="1">OFFSET(INDEX(Composições!A:H,MATCH(Orçamentária!A3345,Composições!A:A,0),8),2,0)</f>
        <v>29.269499999999997</v>
      </c>
      <c r="F3345" s="152">
        <f t="shared" ca="1" si="158"/>
        <v>0</v>
      </c>
      <c r="G3345" s="153">
        <f>IF($K3345="Padrão",BDI!$B$17,IF($K3345="Diferenciado",BDI!$E$17,0))</f>
        <v>0.2039</v>
      </c>
      <c r="H3345" s="151">
        <f t="shared" ca="1" si="156"/>
        <v>35.24</v>
      </c>
      <c r="I3345" s="152">
        <f t="shared" ca="1" si="157"/>
        <v>0</v>
      </c>
      <c r="J3345" s="154"/>
      <c r="K3345" s="155" t="s">
        <v>2966</v>
      </c>
    </row>
    <row r="3346" spans="1:11" hidden="1" x14ac:dyDescent="0.25">
      <c r="A3346" s="148" t="s">
        <v>1914</v>
      </c>
      <c r="B3346" s="149" t="s">
        <v>8338</v>
      </c>
      <c r="C3346" s="150" t="s">
        <v>18</v>
      </c>
      <c r="D3346" s="150">
        <v>0</v>
      </c>
      <c r="E3346" s="151">
        <f ca="1">OFFSET(INDEX(Composições!A:H,MATCH(Orçamentária!A3346,Composições!A:A,0),8),2,0)</f>
        <v>38.057000000000002</v>
      </c>
      <c r="F3346" s="152">
        <f t="shared" ca="1" si="158"/>
        <v>0</v>
      </c>
      <c r="G3346" s="153">
        <f>IF($K3346="Padrão",BDI!$B$17,IF($K3346="Diferenciado",BDI!$E$17,0))</f>
        <v>0.2039</v>
      </c>
      <c r="H3346" s="151">
        <f t="shared" ca="1" si="156"/>
        <v>45.82</v>
      </c>
      <c r="I3346" s="152">
        <f t="shared" ca="1" si="157"/>
        <v>0</v>
      </c>
      <c r="J3346" s="154"/>
      <c r="K3346" s="155" t="s">
        <v>2966</v>
      </c>
    </row>
    <row r="3347" spans="1:11" hidden="1" x14ac:dyDescent="0.25">
      <c r="A3347" s="148" t="s">
        <v>1915</v>
      </c>
      <c r="B3347" s="149" t="s">
        <v>8339</v>
      </c>
      <c r="C3347" s="150" t="s">
        <v>18</v>
      </c>
      <c r="D3347" s="150">
        <v>0</v>
      </c>
      <c r="E3347" s="151">
        <f ca="1">OFFSET(INDEX(Composições!A:H,MATCH(Orçamentária!A3347,Composições!A:A,0),8),2,0)</f>
        <v>43.823500000000003</v>
      </c>
      <c r="F3347" s="152">
        <f t="shared" ca="1" si="158"/>
        <v>0</v>
      </c>
      <c r="G3347" s="153">
        <f>IF($K3347="Padrão",BDI!$B$17,IF($K3347="Diferenciado",BDI!$E$17,0))</f>
        <v>0.2039</v>
      </c>
      <c r="H3347" s="151">
        <f t="shared" ca="1" si="156"/>
        <v>52.76</v>
      </c>
      <c r="I3347" s="152">
        <f t="shared" ca="1" si="157"/>
        <v>0</v>
      </c>
      <c r="J3347" s="154"/>
      <c r="K3347" s="155" t="s">
        <v>2966</v>
      </c>
    </row>
    <row r="3348" spans="1:11" hidden="1" x14ac:dyDescent="0.25">
      <c r="A3348" s="148" t="s">
        <v>1916</v>
      </c>
      <c r="B3348" s="149" t="s">
        <v>8340</v>
      </c>
      <c r="C3348" s="150" t="s">
        <v>18</v>
      </c>
      <c r="D3348" s="150">
        <v>0</v>
      </c>
      <c r="E3348" s="151">
        <f ca="1">OFFSET(INDEX(Composições!A:H,MATCH(Orçamentária!A3348,Composições!A:A,0),8),2,0)</f>
        <v>7.6094999999999997</v>
      </c>
      <c r="F3348" s="152">
        <f t="shared" ca="1" si="158"/>
        <v>0</v>
      </c>
      <c r="G3348" s="153">
        <f>IF($K3348="Padrão",BDI!$B$17,IF($K3348="Diferenciado",BDI!$E$17,0))</f>
        <v>0.2039</v>
      </c>
      <c r="H3348" s="151">
        <f t="shared" ca="1" si="156"/>
        <v>9.16</v>
      </c>
      <c r="I3348" s="152">
        <f t="shared" ca="1" si="157"/>
        <v>0</v>
      </c>
      <c r="J3348" s="154"/>
      <c r="K3348" s="155" t="s">
        <v>2966</v>
      </c>
    </row>
    <row r="3349" spans="1:11" hidden="1" x14ac:dyDescent="0.25">
      <c r="A3349" s="148" t="s">
        <v>1917</v>
      </c>
      <c r="B3349" s="149" t="s">
        <v>8341</v>
      </c>
      <c r="C3349" s="150" t="s">
        <v>18</v>
      </c>
      <c r="D3349" s="150">
        <v>0</v>
      </c>
      <c r="E3349" s="151">
        <f ca="1">OFFSET(INDEX(Composições!A:H,MATCH(Orçamentária!A3349,Composições!A:A,0),8),2,0)</f>
        <v>51.148000000000003</v>
      </c>
      <c r="F3349" s="152">
        <f t="shared" ca="1" si="158"/>
        <v>0</v>
      </c>
      <c r="G3349" s="153">
        <f>IF($K3349="Padrão",BDI!$B$17,IF($K3349="Diferenciado",BDI!$E$17,0))</f>
        <v>0.2039</v>
      </c>
      <c r="H3349" s="151">
        <f t="shared" ca="1" si="156"/>
        <v>61.58</v>
      </c>
      <c r="I3349" s="152">
        <f t="shared" ca="1" si="157"/>
        <v>0</v>
      </c>
      <c r="J3349" s="154"/>
      <c r="K3349" s="155" t="s">
        <v>2966</v>
      </c>
    </row>
    <row r="3350" spans="1:11" hidden="1" x14ac:dyDescent="0.25">
      <c r="A3350" s="148" t="s">
        <v>1918</v>
      </c>
      <c r="B3350" s="149" t="s">
        <v>8342</v>
      </c>
      <c r="C3350" s="150" t="s">
        <v>18</v>
      </c>
      <c r="D3350" s="150">
        <v>0</v>
      </c>
      <c r="E3350" s="151">
        <f ca="1">OFFSET(INDEX(Composições!A:H,MATCH(Orçamentária!A3350,Composições!A:A,0),8),2,0)</f>
        <v>95.294499999999999</v>
      </c>
      <c r="F3350" s="152">
        <f t="shared" ca="1" si="158"/>
        <v>0</v>
      </c>
      <c r="G3350" s="153">
        <f>IF($K3350="Padrão",BDI!$B$17,IF($K3350="Diferenciado",BDI!$E$17,0))</f>
        <v>0.2039</v>
      </c>
      <c r="H3350" s="151">
        <f t="shared" ca="1" si="156"/>
        <v>114.73</v>
      </c>
      <c r="I3350" s="152">
        <f t="shared" ca="1" si="157"/>
        <v>0</v>
      </c>
      <c r="J3350" s="154"/>
      <c r="K3350" s="155" t="s">
        <v>2966</v>
      </c>
    </row>
    <row r="3351" spans="1:11" hidden="1" x14ac:dyDescent="0.25">
      <c r="A3351" s="148" t="s">
        <v>1919</v>
      </c>
      <c r="B3351" s="149" t="s">
        <v>8343</v>
      </c>
      <c r="C3351" s="150" t="s">
        <v>18</v>
      </c>
      <c r="D3351" s="150">
        <v>0</v>
      </c>
      <c r="E3351" s="151">
        <f ca="1">OFFSET(INDEX(Composições!A:H,MATCH(Orçamentária!A3351,Composições!A:A,0),8),2,0)</f>
        <v>23.322499999999998</v>
      </c>
      <c r="F3351" s="152">
        <f t="shared" ca="1" si="158"/>
        <v>0</v>
      </c>
      <c r="G3351" s="153">
        <f>IF($K3351="Padrão",BDI!$B$17,IF($K3351="Diferenciado",BDI!$E$17,0))</f>
        <v>0.2039</v>
      </c>
      <c r="H3351" s="151">
        <f t="shared" ca="1" si="156"/>
        <v>28.08</v>
      </c>
      <c r="I3351" s="152">
        <f t="shared" ca="1" si="157"/>
        <v>0</v>
      </c>
      <c r="J3351" s="154"/>
      <c r="K3351" s="155" t="s">
        <v>2966</v>
      </c>
    </row>
    <row r="3352" spans="1:11" hidden="1" x14ac:dyDescent="0.25">
      <c r="A3352" s="148" t="s">
        <v>1920</v>
      </c>
      <c r="B3352" s="149" t="s">
        <v>8344</v>
      </c>
      <c r="C3352" s="150" t="s">
        <v>18</v>
      </c>
      <c r="D3352" s="150">
        <v>0</v>
      </c>
      <c r="E3352" s="151">
        <f ca="1">OFFSET(INDEX(Composições!A:H,MATCH(Orçamentária!A3352,Composições!A:A,0),8),2,0)</f>
        <v>72.79849999999999</v>
      </c>
      <c r="F3352" s="152">
        <f t="shared" ca="1" si="158"/>
        <v>0</v>
      </c>
      <c r="G3352" s="153">
        <f>IF($K3352="Padrão",BDI!$B$17,IF($K3352="Diferenciado",BDI!$E$17,0))</f>
        <v>0.2039</v>
      </c>
      <c r="H3352" s="151">
        <f t="shared" ca="1" si="156"/>
        <v>87.64</v>
      </c>
      <c r="I3352" s="152">
        <f t="shared" ca="1" si="157"/>
        <v>0</v>
      </c>
      <c r="J3352" s="154"/>
      <c r="K3352" s="155" t="s">
        <v>2966</v>
      </c>
    </row>
    <row r="3353" spans="1:11" hidden="1" x14ac:dyDescent="0.25">
      <c r="A3353" s="148" t="s">
        <v>1921</v>
      </c>
      <c r="B3353" s="149" t="s">
        <v>8345</v>
      </c>
      <c r="C3353" s="150" t="s">
        <v>18</v>
      </c>
      <c r="D3353" s="150">
        <v>0</v>
      </c>
      <c r="E3353" s="151">
        <f ca="1">OFFSET(INDEX(Composições!A:H,MATCH(Orçamentária!A3353,Composições!A:A,0),8),2,0)</f>
        <v>58.444000000000003</v>
      </c>
      <c r="F3353" s="152">
        <f t="shared" ca="1" si="158"/>
        <v>0</v>
      </c>
      <c r="G3353" s="153">
        <f>IF($K3353="Padrão",BDI!$B$17,IF($K3353="Diferenciado",BDI!$E$17,0))</f>
        <v>0.2039</v>
      </c>
      <c r="H3353" s="151">
        <f t="shared" ca="1" si="156"/>
        <v>70.36</v>
      </c>
      <c r="I3353" s="152">
        <f t="shared" ca="1" si="157"/>
        <v>0</v>
      </c>
      <c r="J3353" s="154"/>
      <c r="K3353" s="155" t="s">
        <v>2966</v>
      </c>
    </row>
    <row r="3354" spans="1:11" hidden="1" x14ac:dyDescent="0.25">
      <c r="A3354" s="148" t="s">
        <v>1922</v>
      </c>
      <c r="B3354" s="149" t="s">
        <v>8346</v>
      </c>
      <c r="C3354" s="150" t="s">
        <v>18</v>
      </c>
      <c r="D3354" s="150">
        <v>0</v>
      </c>
      <c r="E3354" s="151">
        <f ca="1">OFFSET(INDEX(Composições!A:H,MATCH(Orçamentária!A3354,Composições!A:A,0),8),2,0)</f>
        <v>64.105999999999995</v>
      </c>
      <c r="F3354" s="152">
        <f t="shared" ca="1" si="158"/>
        <v>0</v>
      </c>
      <c r="G3354" s="153">
        <f>IF($K3354="Padrão",BDI!$B$17,IF($K3354="Diferenciado",BDI!$E$17,0))</f>
        <v>0.2039</v>
      </c>
      <c r="H3354" s="151">
        <f t="shared" ca="1" si="156"/>
        <v>77.180000000000007</v>
      </c>
      <c r="I3354" s="152">
        <f t="shared" ca="1" si="157"/>
        <v>0</v>
      </c>
      <c r="J3354" s="154"/>
      <c r="K3354" s="155" t="s">
        <v>2966</v>
      </c>
    </row>
    <row r="3355" spans="1:11" hidden="1" x14ac:dyDescent="0.25">
      <c r="A3355" s="148" t="s">
        <v>1923</v>
      </c>
      <c r="B3355" s="149" t="s">
        <v>8347</v>
      </c>
      <c r="C3355" s="150" t="s">
        <v>18</v>
      </c>
      <c r="D3355" s="150">
        <v>0</v>
      </c>
      <c r="E3355" s="151">
        <f ca="1">OFFSET(INDEX(Composições!A:H,MATCH(Orçamentária!A3355,Composições!A:A,0),8),2,0)</f>
        <v>21.802499999999998</v>
      </c>
      <c r="F3355" s="152">
        <f t="shared" ca="1" si="158"/>
        <v>0</v>
      </c>
      <c r="G3355" s="153">
        <f>IF($K3355="Padrão",BDI!$B$17,IF($K3355="Diferenciado",BDI!$E$17,0))</f>
        <v>0.2039</v>
      </c>
      <c r="H3355" s="151">
        <f t="shared" ca="1" si="156"/>
        <v>26.25</v>
      </c>
      <c r="I3355" s="152">
        <f t="shared" ca="1" si="157"/>
        <v>0</v>
      </c>
      <c r="J3355" s="154"/>
      <c r="K3355" s="155" t="s">
        <v>2966</v>
      </c>
    </row>
    <row r="3356" spans="1:11" hidden="1" x14ac:dyDescent="0.25">
      <c r="A3356" s="148" t="s">
        <v>1924</v>
      </c>
      <c r="B3356" s="149" t="s">
        <v>8348</v>
      </c>
      <c r="C3356" s="150" t="s">
        <v>18</v>
      </c>
      <c r="D3356" s="150">
        <v>0</v>
      </c>
      <c r="E3356" s="151">
        <f ca="1">OFFSET(INDEX(Composições!A:H,MATCH(Orçamentária!A3356,Composições!A:A,0),8),2,0)</f>
        <v>38.294499999999999</v>
      </c>
      <c r="F3356" s="152">
        <f t="shared" ca="1" si="158"/>
        <v>0</v>
      </c>
      <c r="G3356" s="153">
        <f>IF($K3356="Padrão",BDI!$B$17,IF($K3356="Diferenciado",BDI!$E$17,0))</f>
        <v>0.2039</v>
      </c>
      <c r="H3356" s="151">
        <f t="shared" ca="1" si="156"/>
        <v>46.1</v>
      </c>
      <c r="I3356" s="152">
        <f t="shared" ca="1" si="157"/>
        <v>0</v>
      </c>
      <c r="J3356" s="154"/>
      <c r="K3356" s="155" t="s">
        <v>2966</v>
      </c>
    </row>
    <row r="3357" spans="1:11" hidden="1" x14ac:dyDescent="0.25">
      <c r="A3357" s="148" t="s">
        <v>1925</v>
      </c>
      <c r="B3357" s="149" t="s">
        <v>8349</v>
      </c>
      <c r="C3357" s="150" t="s">
        <v>18</v>
      </c>
      <c r="D3357" s="150">
        <v>0</v>
      </c>
      <c r="E3357" s="151">
        <f ca="1">OFFSET(INDEX(Composições!A:H,MATCH(Orçamentária!A3357,Composições!A:A,0),8),2,0)</f>
        <v>163.44749999999999</v>
      </c>
      <c r="F3357" s="152">
        <f t="shared" ca="1" si="158"/>
        <v>0</v>
      </c>
      <c r="G3357" s="153">
        <f>IF($K3357="Padrão",BDI!$B$17,IF($K3357="Diferenciado",BDI!$E$17,0))</f>
        <v>0.2039</v>
      </c>
      <c r="H3357" s="151">
        <f t="shared" ca="1" si="156"/>
        <v>196.77</v>
      </c>
      <c r="I3357" s="152">
        <f t="shared" ca="1" si="157"/>
        <v>0</v>
      </c>
      <c r="J3357" s="154"/>
      <c r="K3357" s="155" t="s">
        <v>2966</v>
      </c>
    </row>
    <row r="3358" spans="1:11" ht="25.5" hidden="1" x14ac:dyDescent="0.25">
      <c r="A3358" s="148" t="s">
        <v>1926</v>
      </c>
      <c r="B3358" s="149" t="s">
        <v>8350</v>
      </c>
      <c r="C3358" s="150" t="s">
        <v>18</v>
      </c>
      <c r="D3358" s="150">
        <v>0</v>
      </c>
      <c r="E3358" s="151">
        <f ca="1">OFFSET(INDEX(Composições!A:H,MATCH(Orçamentária!A3358,Composições!A:A,0),8),2,0)</f>
        <v>0</v>
      </c>
      <c r="F3358" s="152">
        <f t="shared" ca="1" si="158"/>
        <v>0</v>
      </c>
      <c r="G3358" s="153">
        <f>IF($K3358="Padrão",BDI!$B$17,IF($K3358="Diferenciado",BDI!$E$17,0))</f>
        <v>0.2039</v>
      </c>
      <c r="H3358" s="151">
        <f t="shared" ca="1" si="156"/>
        <v>0</v>
      </c>
      <c r="I3358" s="152">
        <f t="shared" ca="1" si="157"/>
        <v>0</v>
      </c>
      <c r="J3358" s="154"/>
      <c r="K3358" s="155" t="s">
        <v>2966</v>
      </c>
    </row>
    <row r="3359" spans="1:11" hidden="1" x14ac:dyDescent="0.25">
      <c r="A3359" s="148" t="s">
        <v>1928</v>
      </c>
      <c r="B3359" s="149" t="s">
        <v>8351</v>
      </c>
      <c r="C3359" s="150" t="s">
        <v>18</v>
      </c>
      <c r="D3359" s="150">
        <v>0</v>
      </c>
      <c r="E3359" s="151">
        <f ca="1">OFFSET(INDEX(Composições!A:H,MATCH(Orçamentária!A3359,Composições!A:A,0),8),2,0)</f>
        <v>21.698</v>
      </c>
      <c r="F3359" s="152">
        <f t="shared" ca="1" si="158"/>
        <v>0</v>
      </c>
      <c r="G3359" s="153">
        <f>IF($K3359="Padrão",BDI!$B$17,IF($K3359="Diferenciado",BDI!$E$17,0))</f>
        <v>0.2039</v>
      </c>
      <c r="H3359" s="151">
        <f t="shared" ca="1" si="156"/>
        <v>26.12</v>
      </c>
      <c r="I3359" s="152">
        <f t="shared" ca="1" si="157"/>
        <v>0</v>
      </c>
      <c r="J3359" s="154"/>
      <c r="K3359" s="155" t="s">
        <v>2966</v>
      </c>
    </row>
    <row r="3360" spans="1:11" hidden="1" x14ac:dyDescent="0.25">
      <c r="A3360" s="148" t="s">
        <v>1929</v>
      </c>
      <c r="B3360" s="149" t="s">
        <v>8352</v>
      </c>
      <c r="C3360" s="150" t="s">
        <v>18</v>
      </c>
      <c r="D3360" s="150">
        <v>0</v>
      </c>
      <c r="E3360" s="151">
        <f ca="1">OFFSET(INDEX(Composições!A:H,MATCH(Orçamentária!A3360,Composições!A:A,0),8),2,0)</f>
        <v>238.393</v>
      </c>
      <c r="F3360" s="152">
        <f t="shared" ca="1" si="158"/>
        <v>0</v>
      </c>
      <c r="G3360" s="153">
        <f>IF($K3360="Padrão",BDI!$B$17,IF($K3360="Diferenciado",BDI!$E$17,0))</f>
        <v>0.2039</v>
      </c>
      <c r="H3360" s="151">
        <f t="shared" ca="1" si="156"/>
        <v>287</v>
      </c>
      <c r="I3360" s="152">
        <f t="shared" ca="1" si="157"/>
        <v>0</v>
      </c>
      <c r="J3360" s="154"/>
      <c r="K3360" s="155" t="s">
        <v>2966</v>
      </c>
    </row>
    <row r="3361" spans="1:11" hidden="1" x14ac:dyDescent="0.25">
      <c r="A3361" s="148" t="s">
        <v>1930</v>
      </c>
      <c r="B3361" s="149" t="s">
        <v>8353</v>
      </c>
      <c r="C3361" s="150" t="s">
        <v>18</v>
      </c>
      <c r="D3361" s="150">
        <v>0</v>
      </c>
      <c r="E3361" s="151">
        <f ca="1">OFFSET(INDEX(Composições!A:H,MATCH(Orçamentária!A3361,Composições!A:A,0),8),2,0)</f>
        <v>113.9335</v>
      </c>
      <c r="F3361" s="152">
        <f t="shared" ca="1" si="158"/>
        <v>0</v>
      </c>
      <c r="G3361" s="153">
        <f>IF($K3361="Padrão",BDI!$B$17,IF($K3361="Diferenciado",BDI!$E$17,0))</f>
        <v>0.2039</v>
      </c>
      <c r="H3361" s="151">
        <f t="shared" ca="1" si="156"/>
        <v>137.16</v>
      </c>
      <c r="I3361" s="152">
        <f t="shared" ca="1" si="157"/>
        <v>0</v>
      </c>
      <c r="J3361" s="154"/>
      <c r="K3361" s="155" t="s">
        <v>2966</v>
      </c>
    </row>
    <row r="3362" spans="1:11" hidden="1" x14ac:dyDescent="0.25">
      <c r="A3362" s="148" t="s">
        <v>1931</v>
      </c>
      <c r="B3362" s="149" t="s">
        <v>8354</v>
      </c>
      <c r="C3362" s="150" t="s">
        <v>18</v>
      </c>
      <c r="D3362" s="150">
        <v>0</v>
      </c>
      <c r="E3362" s="151">
        <f ca="1">OFFSET(INDEX(Composições!A:H,MATCH(Orçamentária!A3362,Composições!A:A,0),8),2,0)</f>
        <v>24.852</v>
      </c>
      <c r="F3362" s="152">
        <f t="shared" ca="1" si="158"/>
        <v>0</v>
      </c>
      <c r="G3362" s="153">
        <f>IF($K3362="Padrão",BDI!$B$17,IF($K3362="Diferenciado",BDI!$E$17,0))</f>
        <v>0.2039</v>
      </c>
      <c r="H3362" s="151">
        <f t="shared" ca="1" si="156"/>
        <v>29.92</v>
      </c>
      <c r="I3362" s="152">
        <f t="shared" ca="1" si="157"/>
        <v>0</v>
      </c>
      <c r="J3362" s="154"/>
      <c r="K3362" s="155" t="s">
        <v>2966</v>
      </c>
    </row>
    <row r="3363" spans="1:11" hidden="1" x14ac:dyDescent="0.25">
      <c r="A3363" s="148" t="s">
        <v>1932</v>
      </c>
      <c r="B3363" s="149" t="s">
        <v>8355</v>
      </c>
      <c r="C3363" s="150" t="s">
        <v>18</v>
      </c>
      <c r="D3363" s="150">
        <v>0</v>
      </c>
      <c r="E3363" s="151">
        <f ca="1">OFFSET(INDEX(Composições!A:H,MATCH(Orçamentária!A3363,Composições!A:A,0),8),2,0)</f>
        <v>89.850999999999999</v>
      </c>
      <c r="F3363" s="152">
        <f t="shared" ca="1" si="158"/>
        <v>0</v>
      </c>
      <c r="G3363" s="153">
        <f>IF($K3363="Padrão",BDI!$B$17,IF($K3363="Diferenciado",BDI!$E$17,0))</f>
        <v>0.2039</v>
      </c>
      <c r="H3363" s="151">
        <f t="shared" ca="1" si="156"/>
        <v>108.17</v>
      </c>
      <c r="I3363" s="152">
        <f t="shared" ca="1" si="157"/>
        <v>0</v>
      </c>
      <c r="J3363" s="154"/>
      <c r="K3363" s="155" t="s">
        <v>2966</v>
      </c>
    </row>
    <row r="3364" spans="1:11" hidden="1" x14ac:dyDescent="0.25">
      <c r="A3364" s="148" t="s">
        <v>1933</v>
      </c>
      <c r="B3364" s="149" t="s">
        <v>8356</v>
      </c>
      <c r="C3364" s="150" t="s">
        <v>18</v>
      </c>
      <c r="D3364" s="150">
        <v>0</v>
      </c>
      <c r="E3364" s="151">
        <f ca="1">OFFSET(INDEX(Composições!A:H,MATCH(Orçamentária!A3364,Composições!A:A,0),8),2,0)</f>
        <v>74.869500000000002</v>
      </c>
      <c r="F3364" s="152">
        <f t="shared" ca="1" si="158"/>
        <v>0</v>
      </c>
      <c r="G3364" s="153">
        <f>IF($K3364="Padrão",BDI!$B$17,IF($K3364="Diferenciado",BDI!$E$17,0))</f>
        <v>0.2039</v>
      </c>
      <c r="H3364" s="151">
        <f t="shared" ca="1" si="156"/>
        <v>90.14</v>
      </c>
      <c r="I3364" s="152">
        <f t="shared" ca="1" si="157"/>
        <v>0</v>
      </c>
      <c r="J3364" s="154"/>
      <c r="K3364" s="155" t="s">
        <v>2966</v>
      </c>
    </row>
    <row r="3365" spans="1:11" hidden="1" x14ac:dyDescent="0.25">
      <c r="A3365" s="148" t="s">
        <v>1934</v>
      </c>
      <c r="B3365" s="149" t="s">
        <v>8357</v>
      </c>
      <c r="C3365" s="150" t="s">
        <v>18</v>
      </c>
      <c r="D3365" s="150">
        <v>0</v>
      </c>
      <c r="E3365" s="151">
        <f ca="1">OFFSET(INDEX(Composições!A:H,MATCH(Orçamentária!A3365,Composições!A:A,0),8),2,0)</f>
        <v>87.171999999999997</v>
      </c>
      <c r="F3365" s="152">
        <f t="shared" ca="1" si="158"/>
        <v>0</v>
      </c>
      <c r="G3365" s="153">
        <f>IF($K3365="Padrão",BDI!$B$17,IF($K3365="Diferenciado",BDI!$E$17,0))</f>
        <v>0.2039</v>
      </c>
      <c r="H3365" s="151">
        <f t="shared" ca="1" si="156"/>
        <v>104.95</v>
      </c>
      <c r="I3365" s="152">
        <f t="shared" ca="1" si="157"/>
        <v>0</v>
      </c>
      <c r="J3365" s="154"/>
      <c r="K3365" s="155" t="s">
        <v>2966</v>
      </c>
    </row>
    <row r="3366" spans="1:11" hidden="1" x14ac:dyDescent="0.25">
      <c r="A3366" s="148" t="s">
        <v>1935</v>
      </c>
      <c r="B3366" s="149" t="s">
        <v>8358</v>
      </c>
      <c r="C3366" s="150" t="s">
        <v>18</v>
      </c>
      <c r="D3366" s="150">
        <v>0</v>
      </c>
      <c r="E3366" s="151">
        <f ca="1">OFFSET(INDEX(Composições!A:H,MATCH(Orçamentária!A3366,Composições!A:A,0),8),2,0)</f>
        <v>48.953499999999998</v>
      </c>
      <c r="F3366" s="152">
        <f t="shared" ca="1" si="158"/>
        <v>0</v>
      </c>
      <c r="G3366" s="153">
        <f>IF($K3366="Padrão",BDI!$B$17,IF($K3366="Diferenciado",BDI!$E$17,0))</f>
        <v>0.2039</v>
      </c>
      <c r="H3366" s="151">
        <f t="shared" ca="1" si="156"/>
        <v>58.94</v>
      </c>
      <c r="I3366" s="152">
        <f t="shared" ca="1" si="157"/>
        <v>0</v>
      </c>
      <c r="J3366" s="154"/>
      <c r="K3366" s="155" t="s">
        <v>2966</v>
      </c>
    </row>
    <row r="3367" spans="1:11" hidden="1" x14ac:dyDescent="0.25">
      <c r="A3367" s="148" t="s">
        <v>1936</v>
      </c>
      <c r="B3367" s="149" t="s">
        <v>8359</v>
      </c>
      <c r="C3367" s="150" t="s">
        <v>18</v>
      </c>
      <c r="D3367" s="150">
        <v>0</v>
      </c>
      <c r="E3367" s="151">
        <f ca="1">OFFSET(INDEX(Composições!A:H,MATCH(Orçamentária!A3367,Composições!A:A,0),8),2,0)</f>
        <v>38.294499999999999</v>
      </c>
      <c r="F3367" s="152">
        <f t="shared" ca="1" si="158"/>
        <v>0</v>
      </c>
      <c r="G3367" s="153">
        <f>IF($K3367="Padrão",BDI!$B$17,IF($K3367="Diferenciado",BDI!$E$17,0))</f>
        <v>0.2039</v>
      </c>
      <c r="H3367" s="151">
        <f t="shared" ca="1" si="156"/>
        <v>46.1</v>
      </c>
      <c r="I3367" s="152">
        <f t="shared" ca="1" si="157"/>
        <v>0</v>
      </c>
      <c r="J3367" s="154"/>
      <c r="K3367" s="155" t="s">
        <v>2966</v>
      </c>
    </row>
    <row r="3368" spans="1:11" ht="25.5" hidden="1" x14ac:dyDescent="0.25">
      <c r="A3368" s="148" t="s">
        <v>1937</v>
      </c>
      <c r="B3368" s="149" t="s">
        <v>8360</v>
      </c>
      <c r="C3368" s="150" t="s">
        <v>18</v>
      </c>
      <c r="D3368" s="150">
        <v>0</v>
      </c>
      <c r="E3368" s="151">
        <f ca="1">OFFSET(INDEX(Composições!A:H,MATCH(Orçamentária!A3368,Composições!A:A,0),8),2,0)</f>
        <v>0</v>
      </c>
      <c r="F3368" s="152">
        <f t="shared" ca="1" si="158"/>
        <v>0</v>
      </c>
      <c r="G3368" s="153">
        <f>IF($K3368="Padrão",BDI!$B$17,IF($K3368="Diferenciado",BDI!$E$17,0))</f>
        <v>0.2039</v>
      </c>
      <c r="H3368" s="151">
        <f t="shared" ca="1" si="156"/>
        <v>0</v>
      </c>
      <c r="I3368" s="152">
        <f t="shared" ca="1" si="157"/>
        <v>0</v>
      </c>
      <c r="J3368" s="154"/>
      <c r="K3368" s="155" t="s">
        <v>2966</v>
      </c>
    </row>
    <row r="3369" spans="1:11" hidden="1" x14ac:dyDescent="0.25">
      <c r="A3369" s="148" t="s">
        <v>1939</v>
      </c>
      <c r="B3369" s="149" t="s">
        <v>8361</v>
      </c>
      <c r="C3369" s="150" t="s">
        <v>18</v>
      </c>
      <c r="D3369" s="150">
        <v>0</v>
      </c>
      <c r="E3369" s="151">
        <f ca="1">OFFSET(INDEX(Composições!A:H,MATCH(Orçamentária!A3369,Composições!A:A,0),8),2,0)</f>
        <v>29.915499999999998</v>
      </c>
      <c r="F3369" s="152">
        <f t="shared" ca="1" si="158"/>
        <v>0</v>
      </c>
      <c r="G3369" s="153">
        <f>IF($K3369="Padrão",BDI!$B$17,IF($K3369="Diferenciado",BDI!$E$17,0))</f>
        <v>0.2039</v>
      </c>
      <c r="H3369" s="151">
        <f t="shared" ca="1" si="156"/>
        <v>36.020000000000003</v>
      </c>
      <c r="I3369" s="152">
        <f t="shared" ca="1" si="157"/>
        <v>0</v>
      </c>
      <c r="J3369" s="154"/>
      <c r="K3369" s="155" t="s">
        <v>2966</v>
      </c>
    </row>
    <row r="3370" spans="1:11" hidden="1" x14ac:dyDescent="0.25">
      <c r="A3370" s="148" t="s">
        <v>1940</v>
      </c>
      <c r="B3370" s="149" t="s">
        <v>8362</v>
      </c>
      <c r="C3370" s="150" t="s">
        <v>18</v>
      </c>
      <c r="D3370" s="150">
        <v>0</v>
      </c>
      <c r="E3370" s="151">
        <f ca="1">OFFSET(INDEX(Composições!A:H,MATCH(Orçamentária!A3370,Composições!A:A,0),8),2,0)</f>
        <v>230.869</v>
      </c>
      <c r="F3370" s="152">
        <f t="shared" ca="1" si="158"/>
        <v>0</v>
      </c>
      <c r="G3370" s="153">
        <f>IF($K3370="Padrão",BDI!$B$17,IF($K3370="Diferenciado",BDI!$E$17,0))</f>
        <v>0.2039</v>
      </c>
      <c r="H3370" s="151">
        <f t="shared" ca="1" si="156"/>
        <v>277.94</v>
      </c>
      <c r="I3370" s="152">
        <f t="shared" ca="1" si="157"/>
        <v>0</v>
      </c>
      <c r="J3370" s="154"/>
      <c r="K3370" s="155" t="s">
        <v>2966</v>
      </c>
    </row>
    <row r="3371" spans="1:11" ht="25.5" hidden="1" x14ac:dyDescent="0.25">
      <c r="A3371" s="148" t="s">
        <v>1941</v>
      </c>
      <c r="B3371" s="149" t="s">
        <v>8363</v>
      </c>
      <c r="C3371" s="150" t="s">
        <v>18</v>
      </c>
      <c r="D3371" s="150">
        <v>0</v>
      </c>
      <c r="E3371" s="151">
        <f ca="1">OFFSET(INDEX(Composições!A:H,MATCH(Orçamentária!A3371,Composições!A:A,0),8),2,0)</f>
        <v>0</v>
      </c>
      <c r="F3371" s="152">
        <f t="shared" ca="1" si="158"/>
        <v>0</v>
      </c>
      <c r="G3371" s="153">
        <f>IF($K3371="Padrão",BDI!$B$17,IF($K3371="Diferenciado",BDI!$E$17,0))</f>
        <v>0.2039</v>
      </c>
      <c r="H3371" s="151">
        <f t="shared" ca="1" si="156"/>
        <v>0</v>
      </c>
      <c r="I3371" s="152">
        <f t="shared" ca="1" si="157"/>
        <v>0</v>
      </c>
      <c r="J3371" s="154"/>
      <c r="K3371" s="155" t="s">
        <v>2966</v>
      </c>
    </row>
    <row r="3372" spans="1:11" hidden="1" x14ac:dyDescent="0.25">
      <c r="A3372" s="148" t="s">
        <v>1943</v>
      </c>
      <c r="B3372" s="149" t="s">
        <v>8364</v>
      </c>
      <c r="C3372" s="150" t="s">
        <v>18</v>
      </c>
      <c r="D3372" s="150">
        <v>0</v>
      </c>
      <c r="E3372" s="151">
        <f ca="1">OFFSET(INDEX(Composições!A:H,MATCH(Orçamentária!A3372,Composições!A:A,0),8),2,0)</f>
        <v>38.057000000000002</v>
      </c>
      <c r="F3372" s="152">
        <f t="shared" ca="1" si="158"/>
        <v>0</v>
      </c>
      <c r="G3372" s="153">
        <f>IF($K3372="Padrão",BDI!$B$17,IF($K3372="Diferenciado",BDI!$E$17,0))</f>
        <v>0.2039</v>
      </c>
      <c r="H3372" s="151">
        <f t="shared" ca="1" si="156"/>
        <v>45.82</v>
      </c>
      <c r="I3372" s="152">
        <f t="shared" ca="1" si="157"/>
        <v>0</v>
      </c>
      <c r="J3372" s="154"/>
      <c r="K3372" s="155" t="s">
        <v>2966</v>
      </c>
    </row>
    <row r="3373" spans="1:11" hidden="1" x14ac:dyDescent="0.25">
      <c r="A3373" s="148" t="s">
        <v>1944</v>
      </c>
      <c r="B3373" s="149" t="s">
        <v>8365</v>
      </c>
      <c r="C3373" s="150" t="s">
        <v>18</v>
      </c>
      <c r="D3373" s="150">
        <v>0</v>
      </c>
      <c r="E3373" s="151">
        <f ca="1">OFFSET(INDEX(Composições!A:H,MATCH(Orçamentária!A3373,Composições!A:A,0),8),2,0)</f>
        <v>193.83799999999999</v>
      </c>
      <c r="F3373" s="152">
        <f t="shared" ca="1" si="158"/>
        <v>0</v>
      </c>
      <c r="G3373" s="153">
        <f>IF($K3373="Padrão",BDI!$B$17,IF($K3373="Diferenciado",BDI!$E$17,0))</f>
        <v>0.2039</v>
      </c>
      <c r="H3373" s="151">
        <f t="shared" ca="1" si="156"/>
        <v>233.36</v>
      </c>
      <c r="I3373" s="152">
        <f t="shared" ca="1" si="157"/>
        <v>0</v>
      </c>
      <c r="J3373" s="154"/>
      <c r="K3373" s="155" t="s">
        <v>2966</v>
      </c>
    </row>
    <row r="3374" spans="1:11" hidden="1" x14ac:dyDescent="0.25">
      <c r="A3374" s="148" t="s">
        <v>1945</v>
      </c>
      <c r="B3374" s="149" t="s">
        <v>8366</v>
      </c>
      <c r="C3374" s="150" t="s">
        <v>18</v>
      </c>
      <c r="D3374" s="150">
        <v>0</v>
      </c>
      <c r="E3374" s="151">
        <f ca="1">OFFSET(INDEX(Composições!A:H,MATCH(Orçamentária!A3374,Composições!A:A,0),8),2,0)</f>
        <v>83.125</v>
      </c>
      <c r="F3374" s="152">
        <f t="shared" ca="1" si="158"/>
        <v>0</v>
      </c>
      <c r="G3374" s="153">
        <f>IF($K3374="Padrão",BDI!$B$17,IF($K3374="Diferenciado",BDI!$E$17,0))</f>
        <v>0.2039</v>
      </c>
      <c r="H3374" s="151">
        <f t="shared" ca="1" si="156"/>
        <v>100.07</v>
      </c>
      <c r="I3374" s="152">
        <f t="shared" ca="1" si="157"/>
        <v>0</v>
      </c>
      <c r="J3374" s="154"/>
      <c r="K3374" s="155" t="s">
        <v>2966</v>
      </c>
    </row>
    <row r="3375" spans="1:11" hidden="1" x14ac:dyDescent="0.25">
      <c r="A3375" s="148" t="s">
        <v>1946</v>
      </c>
      <c r="B3375" s="149" t="s">
        <v>8367</v>
      </c>
      <c r="C3375" s="150" t="s">
        <v>18</v>
      </c>
      <c r="D3375" s="150">
        <v>0</v>
      </c>
      <c r="E3375" s="151">
        <f ca="1">OFFSET(INDEX(Composições!A:H,MATCH(Orçamentária!A3375,Composições!A:A,0),8),2,0)</f>
        <v>60.942500000000003</v>
      </c>
      <c r="F3375" s="152">
        <f t="shared" ca="1" si="158"/>
        <v>0</v>
      </c>
      <c r="G3375" s="153">
        <f>IF($K3375="Padrão",BDI!$B$17,IF($K3375="Diferenciado",BDI!$E$17,0))</f>
        <v>0.2039</v>
      </c>
      <c r="H3375" s="151">
        <f t="shared" ca="1" si="156"/>
        <v>73.37</v>
      </c>
      <c r="I3375" s="152">
        <f t="shared" ca="1" si="157"/>
        <v>0</v>
      </c>
      <c r="J3375" s="154"/>
      <c r="K3375" s="155" t="s">
        <v>2966</v>
      </c>
    </row>
    <row r="3376" spans="1:11" hidden="1" x14ac:dyDescent="0.25">
      <c r="A3376" s="148" t="s">
        <v>1947</v>
      </c>
      <c r="B3376" s="149" t="s">
        <v>8368</v>
      </c>
      <c r="C3376" s="150" t="s">
        <v>18</v>
      </c>
      <c r="D3376" s="150">
        <v>0</v>
      </c>
      <c r="E3376" s="151">
        <f ca="1">OFFSET(INDEX(Composições!A:H,MATCH(Orçamentária!A3376,Composições!A:A,0),8),2,0)</f>
        <v>425.19149999999996</v>
      </c>
      <c r="F3376" s="152">
        <f t="shared" ca="1" si="158"/>
        <v>0</v>
      </c>
      <c r="G3376" s="153">
        <f>IF($K3376="Padrão",BDI!$B$17,IF($K3376="Diferenciado",BDI!$E$17,0))</f>
        <v>0.2039</v>
      </c>
      <c r="H3376" s="151">
        <f t="shared" ca="1" si="156"/>
        <v>511.89</v>
      </c>
      <c r="I3376" s="152">
        <f t="shared" ca="1" si="157"/>
        <v>0</v>
      </c>
      <c r="J3376" s="154"/>
      <c r="K3376" s="155" t="s">
        <v>2966</v>
      </c>
    </row>
    <row r="3377" spans="1:11" hidden="1" x14ac:dyDescent="0.25">
      <c r="A3377" s="148" t="s">
        <v>1948</v>
      </c>
      <c r="B3377" s="149" t="s">
        <v>8369</v>
      </c>
      <c r="C3377" s="150" t="s">
        <v>18</v>
      </c>
      <c r="D3377" s="150">
        <v>0</v>
      </c>
      <c r="E3377" s="151">
        <f ca="1">OFFSET(INDEX(Composições!A:H,MATCH(Orçamentária!A3377,Composições!A:A,0),8),2,0)</f>
        <v>48.288499999999999</v>
      </c>
      <c r="F3377" s="152">
        <f t="shared" ca="1" si="158"/>
        <v>0</v>
      </c>
      <c r="G3377" s="153">
        <f>IF($K3377="Padrão",BDI!$B$17,IF($K3377="Diferenciado",BDI!$E$17,0))</f>
        <v>0.2039</v>
      </c>
      <c r="H3377" s="151">
        <f t="shared" ca="1" si="156"/>
        <v>58.13</v>
      </c>
      <c r="I3377" s="152">
        <f t="shared" ca="1" si="157"/>
        <v>0</v>
      </c>
      <c r="J3377" s="154"/>
      <c r="K3377" s="155" t="s">
        <v>2966</v>
      </c>
    </row>
    <row r="3378" spans="1:11" hidden="1" x14ac:dyDescent="0.25">
      <c r="A3378" s="148" t="s">
        <v>1949</v>
      </c>
      <c r="B3378" s="149" t="s">
        <v>8370</v>
      </c>
      <c r="C3378" s="150" t="s">
        <v>18</v>
      </c>
      <c r="D3378" s="150">
        <v>0</v>
      </c>
      <c r="E3378" s="151">
        <f ca="1">OFFSET(INDEX(Composições!A:H,MATCH(Orçamentária!A3378,Composições!A:A,0),8),2,0)</f>
        <v>298.18599999999998</v>
      </c>
      <c r="F3378" s="152">
        <f t="shared" ca="1" si="158"/>
        <v>0</v>
      </c>
      <c r="G3378" s="153">
        <f>IF($K3378="Padrão",BDI!$B$17,IF($K3378="Diferenciado",BDI!$E$17,0))</f>
        <v>0.2039</v>
      </c>
      <c r="H3378" s="151">
        <f t="shared" ca="1" si="156"/>
        <v>358.99</v>
      </c>
      <c r="I3378" s="152">
        <f t="shared" ca="1" si="157"/>
        <v>0</v>
      </c>
      <c r="J3378" s="154"/>
      <c r="K3378" s="155" t="s">
        <v>2966</v>
      </c>
    </row>
    <row r="3379" spans="1:11" hidden="1" x14ac:dyDescent="0.25">
      <c r="A3379" s="148" t="s">
        <v>1950</v>
      </c>
      <c r="B3379" s="149" t="s">
        <v>8371</v>
      </c>
      <c r="C3379" s="150" t="s">
        <v>18</v>
      </c>
      <c r="D3379" s="150">
        <v>0</v>
      </c>
      <c r="E3379" s="151">
        <f ca="1">OFFSET(INDEX(Composições!A:H,MATCH(Orçamentária!A3379,Composições!A:A,0),8),2,0)</f>
        <v>4.75</v>
      </c>
      <c r="F3379" s="152">
        <f t="shared" ca="1" si="158"/>
        <v>0</v>
      </c>
      <c r="G3379" s="153">
        <f>IF($K3379="Padrão",BDI!$B$17,IF($K3379="Diferenciado",BDI!$E$17,0))</f>
        <v>0.2039</v>
      </c>
      <c r="H3379" s="151">
        <f t="shared" ca="1" si="156"/>
        <v>5.72</v>
      </c>
      <c r="I3379" s="152">
        <f t="shared" ca="1" si="157"/>
        <v>0</v>
      </c>
      <c r="J3379" s="154"/>
      <c r="K3379" s="155" t="s">
        <v>2966</v>
      </c>
    </row>
    <row r="3380" spans="1:11" ht="25.5" hidden="1" x14ac:dyDescent="0.25">
      <c r="A3380" s="148" t="s">
        <v>1951</v>
      </c>
      <c r="B3380" s="149" t="s">
        <v>1952</v>
      </c>
      <c r="C3380" s="150" t="s">
        <v>18</v>
      </c>
      <c r="D3380" s="150">
        <v>0</v>
      </c>
      <c r="E3380" s="151">
        <f ca="1">OFFSET(INDEX(Composições!A:H,MATCH(Orçamentária!A3380,Composições!A:A,0),8),2,0)</f>
        <v>0</v>
      </c>
      <c r="F3380" s="152">
        <f t="shared" ca="1" si="158"/>
        <v>0</v>
      </c>
      <c r="G3380" s="153">
        <f>IF($K3380="Padrão",BDI!$B$17,IF($K3380="Diferenciado",BDI!$E$17,0))</f>
        <v>0.2039</v>
      </c>
      <c r="H3380" s="151">
        <f t="shared" ca="1" si="156"/>
        <v>0</v>
      </c>
      <c r="I3380" s="152">
        <f t="shared" ca="1" si="157"/>
        <v>0</v>
      </c>
      <c r="J3380" s="154"/>
      <c r="K3380" s="155" t="s">
        <v>2966</v>
      </c>
    </row>
    <row r="3381" spans="1:11" hidden="1" x14ac:dyDescent="0.25">
      <c r="A3381" s="148" t="s">
        <v>1953</v>
      </c>
      <c r="B3381" s="149" t="s">
        <v>8372</v>
      </c>
      <c r="C3381" s="150" t="s">
        <v>18</v>
      </c>
      <c r="D3381" s="150">
        <v>0</v>
      </c>
      <c r="E3381" s="151">
        <f ca="1">OFFSET(INDEX(Composições!A:H,MATCH(Orçamentária!A3381,Composições!A:A,0),8),2,0)</f>
        <v>3.9045000000000001</v>
      </c>
      <c r="F3381" s="152">
        <f t="shared" ca="1" si="158"/>
        <v>0</v>
      </c>
      <c r="G3381" s="153">
        <f>IF($K3381="Padrão",BDI!$B$17,IF($K3381="Diferenciado",BDI!$E$17,0))</f>
        <v>0.2039</v>
      </c>
      <c r="H3381" s="151">
        <f t="shared" ca="1" si="156"/>
        <v>4.7</v>
      </c>
      <c r="I3381" s="152">
        <f t="shared" ca="1" si="157"/>
        <v>0</v>
      </c>
      <c r="J3381" s="154"/>
      <c r="K3381" s="155" t="s">
        <v>2966</v>
      </c>
    </row>
    <row r="3382" spans="1:11" hidden="1" x14ac:dyDescent="0.25">
      <c r="A3382" s="148" t="s">
        <v>1954</v>
      </c>
      <c r="B3382" s="149" t="s">
        <v>8373</v>
      </c>
      <c r="C3382" s="150" t="s">
        <v>18</v>
      </c>
      <c r="D3382" s="150">
        <v>0</v>
      </c>
      <c r="E3382" s="151">
        <f ca="1">OFFSET(INDEX(Composições!A:H,MATCH(Orçamentária!A3382,Composições!A:A,0),8),2,0)</f>
        <v>3.8</v>
      </c>
      <c r="F3382" s="152">
        <f t="shared" ca="1" si="158"/>
        <v>0</v>
      </c>
      <c r="G3382" s="153">
        <f>IF($K3382="Padrão",BDI!$B$17,IF($K3382="Diferenciado",BDI!$E$17,0))</f>
        <v>0.2039</v>
      </c>
      <c r="H3382" s="151">
        <f t="shared" ca="1" si="156"/>
        <v>4.57</v>
      </c>
      <c r="I3382" s="152">
        <f t="shared" ca="1" si="157"/>
        <v>0</v>
      </c>
      <c r="J3382" s="154"/>
      <c r="K3382" s="155" t="s">
        <v>2966</v>
      </c>
    </row>
    <row r="3383" spans="1:11" hidden="1" x14ac:dyDescent="0.25">
      <c r="A3383" s="148" t="s">
        <v>1955</v>
      </c>
      <c r="B3383" s="149" t="s">
        <v>8374</v>
      </c>
      <c r="C3383" s="150" t="s">
        <v>18</v>
      </c>
      <c r="D3383" s="150">
        <v>0</v>
      </c>
      <c r="E3383" s="151">
        <f ca="1">OFFSET(INDEX(Composições!A:H,MATCH(Orçamentária!A3383,Composições!A:A,0),8),2,0)</f>
        <v>4.3890000000000002</v>
      </c>
      <c r="F3383" s="152">
        <f t="shared" ca="1" si="158"/>
        <v>0</v>
      </c>
      <c r="G3383" s="153">
        <f>IF($K3383="Padrão",BDI!$B$17,IF($K3383="Diferenciado",BDI!$E$17,0))</f>
        <v>0.2039</v>
      </c>
      <c r="H3383" s="151">
        <f t="shared" ca="1" si="156"/>
        <v>5.28</v>
      </c>
      <c r="I3383" s="152">
        <f t="shared" ca="1" si="157"/>
        <v>0</v>
      </c>
      <c r="J3383" s="154"/>
      <c r="K3383" s="155" t="s">
        <v>2966</v>
      </c>
    </row>
    <row r="3384" spans="1:11" hidden="1" x14ac:dyDescent="0.25">
      <c r="A3384" s="148" t="s">
        <v>1956</v>
      </c>
      <c r="B3384" s="149" t="s">
        <v>8375</v>
      </c>
      <c r="C3384" s="150" t="s">
        <v>18</v>
      </c>
      <c r="D3384" s="150">
        <v>0</v>
      </c>
      <c r="E3384" s="151">
        <f ca="1">OFFSET(INDEX(Composições!A:H,MATCH(Orçamentária!A3384,Composições!A:A,0),8),2,0)</f>
        <v>5.8519999999999994</v>
      </c>
      <c r="F3384" s="152">
        <f t="shared" ca="1" si="158"/>
        <v>0</v>
      </c>
      <c r="G3384" s="153">
        <f>IF($K3384="Padrão",BDI!$B$17,IF($K3384="Diferenciado",BDI!$E$17,0))</f>
        <v>0.2039</v>
      </c>
      <c r="H3384" s="151">
        <f t="shared" ca="1" si="156"/>
        <v>7.05</v>
      </c>
      <c r="I3384" s="152">
        <f t="shared" ca="1" si="157"/>
        <v>0</v>
      </c>
      <c r="J3384" s="154"/>
      <c r="K3384" s="155" t="s">
        <v>2966</v>
      </c>
    </row>
    <row r="3385" spans="1:11" hidden="1" x14ac:dyDescent="0.25">
      <c r="A3385" s="148" t="s">
        <v>1957</v>
      </c>
      <c r="B3385" s="149" t="s">
        <v>8376</v>
      </c>
      <c r="C3385" s="150" t="s">
        <v>18</v>
      </c>
      <c r="D3385" s="150">
        <v>0</v>
      </c>
      <c r="E3385" s="151">
        <f ca="1">OFFSET(INDEX(Composições!A:H,MATCH(Orçamentária!A3385,Composições!A:A,0),8),2,0)</f>
        <v>2.2989999999999999</v>
      </c>
      <c r="F3385" s="152">
        <f t="shared" ca="1" si="158"/>
        <v>0</v>
      </c>
      <c r="G3385" s="153">
        <f>IF($K3385="Padrão",BDI!$B$17,IF($K3385="Diferenciado",BDI!$E$17,0))</f>
        <v>0.2039</v>
      </c>
      <c r="H3385" s="151">
        <f t="shared" ca="1" si="156"/>
        <v>2.77</v>
      </c>
      <c r="I3385" s="152">
        <f t="shared" ca="1" si="157"/>
        <v>0</v>
      </c>
      <c r="J3385" s="154"/>
      <c r="K3385" s="155" t="s">
        <v>2966</v>
      </c>
    </row>
    <row r="3386" spans="1:11" hidden="1" x14ac:dyDescent="0.25">
      <c r="A3386" s="148" t="s">
        <v>1958</v>
      </c>
      <c r="B3386" s="149" t="s">
        <v>8377</v>
      </c>
      <c r="C3386" s="150" t="s">
        <v>18</v>
      </c>
      <c r="D3386" s="150">
        <v>0</v>
      </c>
      <c r="E3386" s="151">
        <f ca="1">OFFSET(INDEX(Composições!A:H,MATCH(Orçamentária!A3386,Composições!A:A,0),8),2,0)</f>
        <v>2.5459999999999998</v>
      </c>
      <c r="F3386" s="152">
        <f t="shared" ca="1" si="158"/>
        <v>0</v>
      </c>
      <c r="G3386" s="153">
        <f>IF($K3386="Padrão",BDI!$B$17,IF($K3386="Diferenciado",BDI!$E$17,0))</f>
        <v>0.2039</v>
      </c>
      <c r="H3386" s="151">
        <f t="shared" ca="1" si="156"/>
        <v>3.07</v>
      </c>
      <c r="I3386" s="152">
        <f t="shared" ca="1" si="157"/>
        <v>0</v>
      </c>
      <c r="J3386" s="154"/>
      <c r="K3386" s="155" t="s">
        <v>2966</v>
      </c>
    </row>
    <row r="3387" spans="1:11" hidden="1" x14ac:dyDescent="0.25">
      <c r="A3387" s="148" t="s">
        <v>1959</v>
      </c>
      <c r="B3387" s="149" t="s">
        <v>8378</v>
      </c>
      <c r="C3387" s="150" t="s">
        <v>18</v>
      </c>
      <c r="D3387" s="150">
        <v>0</v>
      </c>
      <c r="E3387" s="151">
        <f ca="1">OFFSET(INDEX(Composições!A:H,MATCH(Orçamentária!A3387,Composições!A:A,0),8),2,0)</f>
        <v>7.1439999999999992</v>
      </c>
      <c r="F3387" s="152">
        <f t="shared" ca="1" si="158"/>
        <v>0</v>
      </c>
      <c r="G3387" s="153">
        <f>IF($K3387="Padrão",BDI!$B$17,IF($K3387="Diferenciado",BDI!$E$17,0))</f>
        <v>0.2039</v>
      </c>
      <c r="H3387" s="151">
        <f t="shared" ca="1" si="156"/>
        <v>8.6</v>
      </c>
      <c r="I3387" s="152">
        <f t="shared" ca="1" si="157"/>
        <v>0</v>
      </c>
      <c r="J3387" s="154"/>
      <c r="K3387" s="155" t="s">
        <v>2966</v>
      </c>
    </row>
    <row r="3388" spans="1:11" hidden="1" x14ac:dyDescent="0.25">
      <c r="A3388" s="148" t="s">
        <v>1960</v>
      </c>
      <c r="B3388" s="149" t="s">
        <v>8379</v>
      </c>
      <c r="C3388" s="150" t="s">
        <v>18</v>
      </c>
      <c r="D3388" s="150">
        <v>0</v>
      </c>
      <c r="E3388" s="151">
        <f ca="1">OFFSET(INDEX(Composições!A:H,MATCH(Orçamentária!A3388,Composições!A:A,0),8),2,0)</f>
        <v>3.4104999999999999</v>
      </c>
      <c r="F3388" s="152">
        <f t="shared" ca="1" si="158"/>
        <v>0</v>
      </c>
      <c r="G3388" s="153">
        <f>IF($K3388="Padrão",BDI!$B$17,IF($K3388="Diferenciado",BDI!$E$17,0))</f>
        <v>0.2039</v>
      </c>
      <c r="H3388" s="151">
        <f t="shared" ca="1" si="156"/>
        <v>4.1100000000000003</v>
      </c>
      <c r="I3388" s="152">
        <f t="shared" ca="1" si="157"/>
        <v>0</v>
      </c>
      <c r="J3388" s="154"/>
      <c r="K3388" s="155" t="s">
        <v>2966</v>
      </c>
    </row>
    <row r="3389" spans="1:11" hidden="1" x14ac:dyDescent="0.25">
      <c r="A3389" s="148" t="s">
        <v>1961</v>
      </c>
      <c r="B3389" s="149" t="s">
        <v>8380</v>
      </c>
      <c r="C3389" s="150" t="s">
        <v>18</v>
      </c>
      <c r="D3389" s="150">
        <v>0</v>
      </c>
      <c r="E3389" s="151">
        <f ca="1">OFFSET(INDEX(Composições!A:H,MATCH(Orçamentária!A3389,Composições!A:A,0),8),2,0)</f>
        <v>11.618499999999999</v>
      </c>
      <c r="F3389" s="152">
        <f t="shared" ca="1" si="158"/>
        <v>0</v>
      </c>
      <c r="G3389" s="153">
        <f>IF($K3389="Padrão",BDI!$B$17,IF($K3389="Diferenciado",BDI!$E$17,0))</f>
        <v>0.2039</v>
      </c>
      <c r="H3389" s="151">
        <f t="shared" ca="1" si="156"/>
        <v>13.99</v>
      </c>
      <c r="I3389" s="152">
        <f t="shared" ca="1" si="157"/>
        <v>0</v>
      </c>
      <c r="J3389" s="154"/>
      <c r="K3389" s="155" t="s">
        <v>2966</v>
      </c>
    </row>
    <row r="3390" spans="1:11" hidden="1" x14ac:dyDescent="0.25">
      <c r="A3390" s="148" t="s">
        <v>1962</v>
      </c>
      <c r="B3390" s="149" t="s">
        <v>8381</v>
      </c>
      <c r="C3390" s="150" t="s">
        <v>18</v>
      </c>
      <c r="D3390" s="150">
        <v>0</v>
      </c>
      <c r="E3390" s="151">
        <f ca="1">OFFSET(INDEX(Composições!A:H,MATCH(Orçamentária!A3390,Composições!A:A,0),8),2,0)</f>
        <v>10.183999999999999</v>
      </c>
      <c r="F3390" s="152">
        <f t="shared" ca="1" si="158"/>
        <v>0</v>
      </c>
      <c r="G3390" s="153">
        <f>IF($K3390="Padrão",BDI!$B$17,IF($K3390="Diferenciado",BDI!$E$17,0))</f>
        <v>0.2039</v>
      </c>
      <c r="H3390" s="151">
        <f t="shared" ca="1" si="156"/>
        <v>12.26</v>
      </c>
      <c r="I3390" s="152">
        <f t="shared" ca="1" si="157"/>
        <v>0</v>
      </c>
      <c r="J3390" s="154"/>
      <c r="K3390" s="155" t="s">
        <v>2966</v>
      </c>
    </row>
    <row r="3391" spans="1:11" hidden="1" x14ac:dyDescent="0.25">
      <c r="A3391" s="148" t="s">
        <v>1963</v>
      </c>
      <c r="B3391" s="149" t="s">
        <v>8382</v>
      </c>
      <c r="C3391" s="150" t="s">
        <v>18</v>
      </c>
      <c r="D3391" s="150">
        <v>0</v>
      </c>
      <c r="E3391" s="151">
        <f ca="1">OFFSET(INDEX(Composições!A:H,MATCH(Orçamentária!A3391,Composições!A:A,0),8),2,0)</f>
        <v>7.7614999999999998</v>
      </c>
      <c r="F3391" s="152">
        <f t="shared" ca="1" si="158"/>
        <v>0</v>
      </c>
      <c r="G3391" s="153">
        <f>IF($K3391="Padrão",BDI!$B$17,IF($K3391="Diferenciado",BDI!$E$17,0))</f>
        <v>0.2039</v>
      </c>
      <c r="H3391" s="151">
        <f t="shared" ca="1" si="156"/>
        <v>9.34</v>
      </c>
      <c r="I3391" s="152">
        <f t="shared" ca="1" si="157"/>
        <v>0</v>
      </c>
      <c r="J3391" s="154"/>
      <c r="K3391" s="155" t="s">
        <v>2966</v>
      </c>
    </row>
    <row r="3392" spans="1:11" hidden="1" x14ac:dyDescent="0.25">
      <c r="A3392" s="148" t="s">
        <v>1964</v>
      </c>
      <c r="B3392" s="149" t="s">
        <v>8383</v>
      </c>
      <c r="C3392" s="150" t="s">
        <v>18</v>
      </c>
      <c r="D3392" s="150">
        <v>0</v>
      </c>
      <c r="E3392" s="151">
        <f ca="1">OFFSET(INDEX(Composições!A:H,MATCH(Orçamentária!A3392,Composições!A:A,0),8),2,0)</f>
        <v>0</v>
      </c>
      <c r="F3392" s="152">
        <f t="shared" ca="1" si="158"/>
        <v>0</v>
      </c>
      <c r="G3392" s="153">
        <f>IF($K3392="Padrão",BDI!$B$17,IF($K3392="Diferenciado",BDI!$E$17,0))</f>
        <v>0.2039</v>
      </c>
      <c r="H3392" s="151">
        <f t="shared" ca="1" si="156"/>
        <v>0</v>
      </c>
      <c r="I3392" s="152">
        <f t="shared" ca="1" si="157"/>
        <v>0</v>
      </c>
      <c r="J3392" s="154"/>
      <c r="K3392" s="155" t="s">
        <v>2966</v>
      </c>
    </row>
    <row r="3393" spans="1:11" hidden="1" x14ac:dyDescent="0.25">
      <c r="A3393" s="148" t="s">
        <v>1966</v>
      </c>
      <c r="B3393" s="149" t="s">
        <v>8384</v>
      </c>
      <c r="C3393" s="150" t="s">
        <v>18</v>
      </c>
      <c r="D3393" s="150">
        <v>0</v>
      </c>
      <c r="E3393" s="151">
        <f ca="1">OFFSET(INDEX(Composições!A:H,MATCH(Orçamentária!A3393,Composições!A:A,0),8),2,0)</f>
        <v>3.1635</v>
      </c>
      <c r="F3393" s="152">
        <f t="shared" ca="1" si="158"/>
        <v>0</v>
      </c>
      <c r="G3393" s="153">
        <f>IF($K3393="Padrão",BDI!$B$17,IF($K3393="Diferenciado",BDI!$E$17,0))</f>
        <v>0.2039</v>
      </c>
      <c r="H3393" s="151">
        <f t="shared" ca="1" si="156"/>
        <v>3.81</v>
      </c>
      <c r="I3393" s="152">
        <f t="shared" ca="1" si="157"/>
        <v>0</v>
      </c>
      <c r="J3393" s="154"/>
      <c r="K3393" s="155" t="s">
        <v>2966</v>
      </c>
    </row>
    <row r="3394" spans="1:11" hidden="1" x14ac:dyDescent="0.25">
      <c r="A3394" s="148" t="s">
        <v>1967</v>
      </c>
      <c r="B3394" s="149" t="s">
        <v>8385</v>
      </c>
      <c r="C3394" s="150" t="s">
        <v>18</v>
      </c>
      <c r="D3394" s="150">
        <v>0</v>
      </c>
      <c r="E3394" s="151">
        <f ca="1">OFFSET(INDEX(Composições!A:H,MATCH(Orçamentária!A3394,Composições!A:A,0),8),2,0)</f>
        <v>4.6265000000000001</v>
      </c>
      <c r="F3394" s="152">
        <f t="shared" ca="1" si="158"/>
        <v>0</v>
      </c>
      <c r="G3394" s="153">
        <f>IF($K3394="Padrão",BDI!$B$17,IF($K3394="Diferenciado",BDI!$E$17,0))</f>
        <v>0.2039</v>
      </c>
      <c r="H3394" s="151">
        <f t="shared" ca="1" si="156"/>
        <v>5.57</v>
      </c>
      <c r="I3394" s="152">
        <f t="shared" ca="1" si="157"/>
        <v>0</v>
      </c>
      <c r="J3394" s="154"/>
      <c r="K3394" s="155" t="s">
        <v>2966</v>
      </c>
    </row>
    <row r="3395" spans="1:11" hidden="1" x14ac:dyDescent="0.25">
      <c r="A3395" s="148" t="s">
        <v>1968</v>
      </c>
      <c r="B3395" s="149" t="s">
        <v>8386</v>
      </c>
      <c r="C3395" s="150" t="s">
        <v>18</v>
      </c>
      <c r="D3395" s="150">
        <v>0</v>
      </c>
      <c r="E3395" s="151">
        <f ca="1">OFFSET(INDEX(Composições!A:H,MATCH(Orçamentária!A3395,Composições!A:A,0),8),2,0)</f>
        <v>5.4719999999999995</v>
      </c>
      <c r="F3395" s="152">
        <f t="shared" ca="1" si="158"/>
        <v>0</v>
      </c>
      <c r="G3395" s="153">
        <f>IF($K3395="Padrão",BDI!$B$17,IF($K3395="Diferenciado",BDI!$E$17,0))</f>
        <v>0.2039</v>
      </c>
      <c r="H3395" s="151">
        <f t="shared" ca="1" si="156"/>
        <v>6.59</v>
      </c>
      <c r="I3395" s="152">
        <f t="shared" ca="1" si="157"/>
        <v>0</v>
      </c>
      <c r="J3395" s="154"/>
      <c r="K3395" s="155" t="s">
        <v>2966</v>
      </c>
    </row>
    <row r="3396" spans="1:11" hidden="1" x14ac:dyDescent="0.25">
      <c r="A3396" s="148" t="s">
        <v>1969</v>
      </c>
      <c r="B3396" s="149" t="s">
        <v>8387</v>
      </c>
      <c r="C3396" s="150" t="s">
        <v>18</v>
      </c>
      <c r="D3396" s="150">
        <v>0</v>
      </c>
      <c r="E3396" s="151">
        <f ca="1">OFFSET(INDEX(Composições!A:H,MATCH(Orçamentária!A3396,Composições!A:A,0),8),2,0)</f>
        <v>14.126499999999998</v>
      </c>
      <c r="F3396" s="152">
        <f t="shared" ca="1" si="158"/>
        <v>0</v>
      </c>
      <c r="G3396" s="153">
        <f>IF($K3396="Padrão",BDI!$B$17,IF($K3396="Diferenciado",BDI!$E$17,0))</f>
        <v>0.2039</v>
      </c>
      <c r="H3396" s="151">
        <f t="shared" ca="1" si="156"/>
        <v>17.010000000000002</v>
      </c>
      <c r="I3396" s="152">
        <f t="shared" ca="1" si="157"/>
        <v>0</v>
      </c>
      <c r="J3396" s="154"/>
      <c r="K3396" s="155" t="s">
        <v>2966</v>
      </c>
    </row>
    <row r="3397" spans="1:11" hidden="1" x14ac:dyDescent="0.25">
      <c r="A3397" s="148" t="s">
        <v>1970</v>
      </c>
      <c r="B3397" s="149" t="s">
        <v>8388</v>
      </c>
      <c r="C3397" s="150" t="s">
        <v>18</v>
      </c>
      <c r="D3397" s="150">
        <v>0</v>
      </c>
      <c r="E3397" s="151">
        <f ca="1">OFFSET(INDEX(Composições!A:H,MATCH(Orçamentária!A3397,Composições!A:A,0),8),2,0)</f>
        <v>6.9254999999999995</v>
      </c>
      <c r="F3397" s="152">
        <f t="shared" ca="1" si="158"/>
        <v>0</v>
      </c>
      <c r="G3397" s="153">
        <f>IF($K3397="Padrão",BDI!$B$17,IF($K3397="Diferenciado",BDI!$E$17,0))</f>
        <v>0.2039</v>
      </c>
      <c r="H3397" s="151">
        <f t="shared" ca="1" si="156"/>
        <v>8.34</v>
      </c>
      <c r="I3397" s="152">
        <f t="shared" ca="1" si="157"/>
        <v>0</v>
      </c>
      <c r="J3397" s="154"/>
      <c r="K3397" s="155" t="s">
        <v>2966</v>
      </c>
    </row>
    <row r="3398" spans="1:11" hidden="1" x14ac:dyDescent="0.25">
      <c r="A3398" s="148" t="s">
        <v>1971</v>
      </c>
      <c r="B3398" s="149" t="s">
        <v>8389</v>
      </c>
      <c r="C3398" s="150" t="s">
        <v>18</v>
      </c>
      <c r="D3398" s="150">
        <v>0</v>
      </c>
      <c r="E3398" s="151">
        <f ca="1">OFFSET(INDEX(Composições!A:H,MATCH(Orçamentária!A3398,Composições!A:A,0),8),2,0)</f>
        <v>7.1819999999999995</v>
      </c>
      <c r="F3398" s="152">
        <f t="shared" ca="1" si="158"/>
        <v>0</v>
      </c>
      <c r="G3398" s="153">
        <f>IF($K3398="Padrão",BDI!$B$17,IF($K3398="Diferenciado",BDI!$E$17,0))</f>
        <v>0.2039</v>
      </c>
      <c r="H3398" s="151">
        <f t="shared" ref="H3398:H3461" ca="1" si="159">IF(ISNUMBER(E3398),ROUND(E3398*(1+G3398),2),"")</f>
        <v>8.65</v>
      </c>
      <c r="I3398" s="152">
        <f t="shared" ref="I3398:I3461" ca="1" si="160">IF(ISNUMBER(E3398),ROUND(H3398*D3398,2),"")</f>
        <v>0</v>
      </c>
      <c r="J3398" s="154"/>
      <c r="K3398" s="155" t="s">
        <v>2966</v>
      </c>
    </row>
    <row r="3399" spans="1:11" hidden="1" x14ac:dyDescent="0.25">
      <c r="A3399" s="148" t="s">
        <v>1972</v>
      </c>
      <c r="B3399" s="149" t="s">
        <v>8390</v>
      </c>
      <c r="C3399" s="150" t="s">
        <v>18</v>
      </c>
      <c r="D3399" s="150">
        <v>0</v>
      </c>
      <c r="E3399" s="151">
        <f ca="1">OFFSET(INDEX(Composições!A:H,MATCH(Orçamentária!A3399,Composições!A:A,0),8),2,0)</f>
        <v>45.989499999999992</v>
      </c>
      <c r="F3399" s="152">
        <f t="shared" ref="F3399:F3462" ca="1" si="161">IF(ISNUMBER(E3399),D3399*E3399,"")</f>
        <v>0</v>
      </c>
      <c r="G3399" s="153">
        <f>IF($K3399="Padrão",BDI!$B$17,IF($K3399="Diferenciado",BDI!$E$17,0))</f>
        <v>0.2039</v>
      </c>
      <c r="H3399" s="151">
        <f t="shared" ca="1" si="159"/>
        <v>55.37</v>
      </c>
      <c r="I3399" s="152">
        <f t="shared" ca="1" si="160"/>
        <v>0</v>
      </c>
      <c r="J3399" s="154"/>
      <c r="K3399" s="155" t="s">
        <v>2966</v>
      </c>
    </row>
    <row r="3400" spans="1:11" hidden="1" x14ac:dyDescent="0.25">
      <c r="A3400" s="148" t="s">
        <v>1973</v>
      </c>
      <c r="B3400" s="149" t="s">
        <v>8391</v>
      </c>
      <c r="C3400" s="150" t="s">
        <v>18</v>
      </c>
      <c r="D3400" s="150">
        <v>0</v>
      </c>
      <c r="E3400" s="151">
        <f ca="1">OFFSET(INDEX(Composições!A:H,MATCH(Orçamentária!A3400,Composições!A:A,0),8),2,0)</f>
        <v>8.1889999999999983</v>
      </c>
      <c r="F3400" s="152">
        <f t="shared" ca="1" si="161"/>
        <v>0</v>
      </c>
      <c r="G3400" s="153">
        <f>IF($K3400="Padrão",BDI!$B$17,IF($K3400="Diferenciado",BDI!$E$17,0))</f>
        <v>0.2039</v>
      </c>
      <c r="H3400" s="151">
        <f t="shared" ca="1" si="159"/>
        <v>9.86</v>
      </c>
      <c r="I3400" s="152">
        <f t="shared" ca="1" si="160"/>
        <v>0</v>
      </c>
      <c r="J3400" s="154"/>
      <c r="K3400" s="155" t="s">
        <v>2966</v>
      </c>
    </row>
    <row r="3401" spans="1:11" hidden="1" x14ac:dyDescent="0.25">
      <c r="A3401" s="148" t="s">
        <v>1974</v>
      </c>
      <c r="B3401" s="149" t="s">
        <v>8392</v>
      </c>
      <c r="C3401" s="150" t="s">
        <v>18</v>
      </c>
      <c r="D3401" s="150">
        <v>0</v>
      </c>
      <c r="E3401" s="151">
        <f ca="1">OFFSET(INDEX(Composições!A:H,MATCH(Orçamentária!A3401,Composições!A:A,0),8),2,0)</f>
        <v>12.901</v>
      </c>
      <c r="F3401" s="152">
        <f t="shared" ca="1" si="161"/>
        <v>0</v>
      </c>
      <c r="G3401" s="153">
        <f>IF($K3401="Padrão",BDI!$B$17,IF($K3401="Diferenciado",BDI!$E$17,0))</f>
        <v>0.2039</v>
      </c>
      <c r="H3401" s="151">
        <f t="shared" ca="1" si="159"/>
        <v>15.53</v>
      </c>
      <c r="I3401" s="152">
        <f t="shared" ca="1" si="160"/>
        <v>0</v>
      </c>
      <c r="J3401" s="154"/>
      <c r="K3401" s="155" t="s">
        <v>2966</v>
      </c>
    </row>
    <row r="3402" spans="1:11" hidden="1" x14ac:dyDescent="0.25">
      <c r="A3402" s="148" t="s">
        <v>1975</v>
      </c>
      <c r="B3402" s="149" t="s">
        <v>8393</v>
      </c>
      <c r="C3402" s="150" t="s">
        <v>18</v>
      </c>
      <c r="D3402" s="150">
        <v>0</v>
      </c>
      <c r="E3402" s="151">
        <f ca="1">OFFSET(INDEX(Composições!A:H,MATCH(Orçamentária!A3402,Composições!A:A,0),8),2,0)</f>
        <v>29.611499999999999</v>
      </c>
      <c r="F3402" s="152">
        <f t="shared" ca="1" si="161"/>
        <v>0</v>
      </c>
      <c r="G3402" s="153">
        <f>IF($K3402="Padrão",BDI!$B$17,IF($K3402="Diferenciado",BDI!$E$17,0))</f>
        <v>0.2039</v>
      </c>
      <c r="H3402" s="151">
        <f t="shared" ca="1" si="159"/>
        <v>35.65</v>
      </c>
      <c r="I3402" s="152">
        <f t="shared" ca="1" si="160"/>
        <v>0</v>
      </c>
      <c r="J3402" s="154"/>
      <c r="K3402" s="155" t="s">
        <v>2966</v>
      </c>
    </row>
    <row r="3403" spans="1:11" hidden="1" x14ac:dyDescent="0.25">
      <c r="A3403" s="148" t="s">
        <v>1976</v>
      </c>
      <c r="B3403" s="149" t="s">
        <v>8394</v>
      </c>
      <c r="C3403" s="150" t="s">
        <v>18</v>
      </c>
      <c r="D3403" s="150">
        <v>0</v>
      </c>
      <c r="E3403" s="151">
        <f ca="1">OFFSET(INDEX(Composições!A:H,MATCH(Orçamentária!A3403,Composições!A:A,0),8),2,0)</f>
        <v>10.9725</v>
      </c>
      <c r="F3403" s="152">
        <f t="shared" ca="1" si="161"/>
        <v>0</v>
      </c>
      <c r="G3403" s="153">
        <f>IF($K3403="Padrão",BDI!$B$17,IF($K3403="Diferenciado",BDI!$E$17,0))</f>
        <v>0.2039</v>
      </c>
      <c r="H3403" s="151">
        <f t="shared" ca="1" si="159"/>
        <v>13.21</v>
      </c>
      <c r="I3403" s="152">
        <f t="shared" ca="1" si="160"/>
        <v>0</v>
      </c>
      <c r="J3403" s="154"/>
      <c r="K3403" s="155" t="s">
        <v>2966</v>
      </c>
    </row>
    <row r="3404" spans="1:11" hidden="1" x14ac:dyDescent="0.25">
      <c r="A3404" s="148" t="s">
        <v>1977</v>
      </c>
      <c r="B3404" s="149" t="s">
        <v>8395</v>
      </c>
      <c r="C3404" s="150" t="s">
        <v>18</v>
      </c>
      <c r="D3404" s="150">
        <v>0</v>
      </c>
      <c r="E3404" s="151">
        <f ca="1">OFFSET(INDEX(Composições!A:H,MATCH(Orçamentária!A3404,Composições!A:A,0),8),2,0)</f>
        <v>8.0370000000000008</v>
      </c>
      <c r="F3404" s="152">
        <f t="shared" ca="1" si="161"/>
        <v>0</v>
      </c>
      <c r="G3404" s="153">
        <f>IF($K3404="Padrão",BDI!$B$17,IF($K3404="Diferenciado",BDI!$E$17,0))</f>
        <v>0.2039</v>
      </c>
      <c r="H3404" s="151">
        <f t="shared" ca="1" si="159"/>
        <v>9.68</v>
      </c>
      <c r="I3404" s="152">
        <f t="shared" ca="1" si="160"/>
        <v>0</v>
      </c>
      <c r="J3404" s="154"/>
      <c r="K3404" s="155" t="s">
        <v>2966</v>
      </c>
    </row>
    <row r="3405" spans="1:11" hidden="1" x14ac:dyDescent="0.25">
      <c r="A3405" s="148" t="s">
        <v>1978</v>
      </c>
      <c r="B3405" s="149" t="s">
        <v>8396</v>
      </c>
      <c r="C3405" s="150" t="s">
        <v>18</v>
      </c>
      <c r="D3405" s="150">
        <v>0</v>
      </c>
      <c r="E3405" s="151">
        <f ca="1">OFFSET(INDEX(Composições!A:H,MATCH(Orçamentária!A3405,Composições!A:A,0),8),2,0)</f>
        <v>6.7734999999999994</v>
      </c>
      <c r="F3405" s="152">
        <f t="shared" ca="1" si="161"/>
        <v>0</v>
      </c>
      <c r="G3405" s="153">
        <f>IF($K3405="Padrão",BDI!$B$17,IF($K3405="Diferenciado",BDI!$E$17,0))</f>
        <v>0.2039</v>
      </c>
      <c r="H3405" s="151">
        <f t="shared" ca="1" si="159"/>
        <v>8.15</v>
      </c>
      <c r="I3405" s="152">
        <f t="shared" ca="1" si="160"/>
        <v>0</v>
      </c>
      <c r="J3405" s="154"/>
      <c r="K3405" s="155" t="s">
        <v>2966</v>
      </c>
    </row>
    <row r="3406" spans="1:11" hidden="1" x14ac:dyDescent="0.25">
      <c r="A3406" s="148" t="s">
        <v>1979</v>
      </c>
      <c r="B3406" s="149" t="s">
        <v>8397</v>
      </c>
      <c r="C3406" s="150" t="s">
        <v>18</v>
      </c>
      <c r="D3406" s="150">
        <v>0</v>
      </c>
      <c r="E3406" s="151">
        <f ca="1">OFFSET(INDEX(Composições!A:H,MATCH(Orçamentária!A3406,Composições!A:A,0),8),2,0)</f>
        <v>8.5784999999999982</v>
      </c>
      <c r="F3406" s="152">
        <f t="shared" ca="1" si="161"/>
        <v>0</v>
      </c>
      <c r="G3406" s="153">
        <f>IF($K3406="Padrão",BDI!$B$17,IF($K3406="Diferenciado",BDI!$E$17,0))</f>
        <v>0.2039</v>
      </c>
      <c r="H3406" s="151">
        <f t="shared" ca="1" si="159"/>
        <v>10.33</v>
      </c>
      <c r="I3406" s="152">
        <f t="shared" ca="1" si="160"/>
        <v>0</v>
      </c>
      <c r="J3406" s="154"/>
      <c r="K3406" s="155" t="s">
        <v>2966</v>
      </c>
    </row>
    <row r="3407" spans="1:11" hidden="1" x14ac:dyDescent="0.25">
      <c r="A3407" s="148" t="s">
        <v>1980</v>
      </c>
      <c r="B3407" s="149" t="s">
        <v>8398</v>
      </c>
      <c r="C3407" s="150" t="s">
        <v>18</v>
      </c>
      <c r="D3407" s="150">
        <v>0</v>
      </c>
      <c r="E3407" s="151">
        <f ca="1">OFFSET(INDEX(Composições!A:H,MATCH(Orçamentária!A3407,Composições!A:A,0),8),2,0)</f>
        <v>60.192</v>
      </c>
      <c r="F3407" s="152">
        <f t="shared" ca="1" si="161"/>
        <v>0</v>
      </c>
      <c r="G3407" s="153">
        <f>IF($K3407="Padrão",BDI!$B$17,IF($K3407="Diferenciado",BDI!$E$17,0))</f>
        <v>0.2039</v>
      </c>
      <c r="H3407" s="151">
        <f t="shared" ca="1" si="159"/>
        <v>72.47</v>
      </c>
      <c r="I3407" s="152">
        <f t="shared" ca="1" si="160"/>
        <v>0</v>
      </c>
      <c r="J3407" s="154"/>
      <c r="K3407" s="155" t="s">
        <v>2966</v>
      </c>
    </row>
    <row r="3408" spans="1:11" hidden="1" x14ac:dyDescent="0.25">
      <c r="A3408" s="148" t="s">
        <v>1981</v>
      </c>
      <c r="B3408" s="149" t="s">
        <v>8399</v>
      </c>
      <c r="C3408" s="150" t="s">
        <v>18</v>
      </c>
      <c r="D3408" s="150">
        <v>0</v>
      </c>
      <c r="E3408" s="151">
        <f ca="1">OFFSET(INDEX(Composições!A:H,MATCH(Orçamentária!A3408,Composições!A:A,0),8),2,0)</f>
        <v>9.4429999999999996</v>
      </c>
      <c r="F3408" s="152">
        <f t="shared" ca="1" si="161"/>
        <v>0</v>
      </c>
      <c r="G3408" s="153">
        <f>IF($K3408="Padrão",BDI!$B$17,IF($K3408="Diferenciado",BDI!$E$17,0))</f>
        <v>0.2039</v>
      </c>
      <c r="H3408" s="151">
        <f t="shared" ca="1" si="159"/>
        <v>11.37</v>
      </c>
      <c r="I3408" s="152">
        <f t="shared" ca="1" si="160"/>
        <v>0</v>
      </c>
      <c r="J3408" s="154"/>
      <c r="K3408" s="155" t="s">
        <v>2966</v>
      </c>
    </row>
    <row r="3409" spans="1:11" hidden="1" x14ac:dyDescent="0.25">
      <c r="A3409" s="148" t="s">
        <v>1982</v>
      </c>
      <c r="B3409" s="149" t="s">
        <v>8400</v>
      </c>
      <c r="C3409" s="150" t="s">
        <v>18</v>
      </c>
      <c r="D3409" s="150">
        <v>0</v>
      </c>
      <c r="E3409" s="151">
        <f ca="1">OFFSET(INDEX(Composições!A:H,MATCH(Orçamentária!A3409,Composições!A:A,0),8),2,0)</f>
        <v>43.253500000000003</v>
      </c>
      <c r="F3409" s="152">
        <f t="shared" ca="1" si="161"/>
        <v>0</v>
      </c>
      <c r="G3409" s="153">
        <f>IF($K3409="Padrão",BDI!$B$17,IF($K3409="Diferenciado",BDI!$E$17,0))</f>
        <v>0.2039</v>
      </c>
      <c r="H3409" s="151">
        <f t="shared" ca="1" si="159"/>
        <v>52.07</v>
      </c>
      <c r="I3409" s="152">
        <f t="shared" ca="1" si="160"/>
        <v>0</v>
      </c>
      <c r="J3409" s="154"/>
      <c r="K3409" s="155" t="s">
        <v>2966</v>
      </c>
    </row>
    <row r="3410" spans="1:11" hidden="1" x14ac:dyDescent="0.25">
      <c r="A3410" s="148" t="s">
        <v>1983</v>
      </c>
      <c r="B3410" s="149" t="s">
        <v>8401</v>
      </c>
      <c r="C3410" s="150" t="s">
        <v>18</v>
      </c>
      <c r="D3410" s="150">
        <v>0</v>
      </c>
      <c r="E3410" s="151">
        <f ca="1">OFFSET(INDEX(Composições!A:H,MATCH(Orçamentária!A3410,Composições!A:A,0),8),2,0)</f>
        <v>24.804499999999997</v>
      </c>
      <c r="F3410" s="152">
        <f t="shared" ca="1" si="161"/>
        <v>0</v>
      </c>
      <c r="G3410" s="153">
        <f>IF($K3410="Padrão",BDI!$B$17,IF($K3410="Diferenciado",BDI!$E$17,0))</f>
        <v>0.2039</v>
      </c>
      <c r="H3410" s="151">
        <f t="shared" ca="1" si="159"/>
        <v>29.86</v>
      </c>
      <c r="I3410" s="152">
        <f t="shared" ca="1" si="160"/>
        <v>0</v>
      </c>
      <c r="J3410" s="154"/>
      <c r="K3410" s="155" t="s">
        <v>2966</v>
      </c>
    </row>
    <row r="3411" spans="1:11" hidden="1" x14ac:dyDescent="0.25">
      <c r="A3411" s="148" t="s">
        <v>1984</v>
      </c>
      <c r="B3411" s="149" t="s">
        <v>8402</v>
      </c>
      <c r="C3411" s="150" t="s">
        <v>18</v>
      </c>
      <c r="D3411" s="150">
        <v>0</v>
      </c>
      <c r="E3411" s="151">
        <f ca="1">OFFSET(INDEX(Composições!A:H,MATCH(Orçamentária!A3411,Composições!A:A,0),8),2,0)</f>
        <v>13.262</v>
      </c>
      <c r="F3411" s="152">
        <f t="shared" ca="1" si="161"/>
        <v>0</v>
      </c>
      <c r="G3411" s="153">
        <f>IF($K3411="Padrão",BDI!$B$17,IF($K3411="Diferenciado",BDI!$E$17,0))</f>
        <v>0.2039</v>
      </c>
      <c r="H3411" s="151">
        <f t="shared" ca="1" si="159"/>
        <v>15.97</v>
      </c>
      <c r="I3411" s="152">
        <f t="shared" ca="1" si="160"/>
        <v>0</v>
      </c>
      <c r="J3411" s="154"/>
      <c r="K3411" s="155" t="s">
        <v>2966</v>
      </c>
    </row>
    <row r="3412" spans="1:11" hidden="1" x14ac:dyDescent="0.25">
      <c r="A3412" s="148" t="s">
        <v>1985</v>
      </c>
      <c r="B3412" s="149" t="s">
        <v>8403</v>
      </c>
      <c r="C3412" s="150" t="s">
        <v>18</v>
      </c>
      <c r="D3412" s="150">
        <v>0</v>
      </c>
      <c r="E3412" s="151">
        <f ca="1">OFFSET(INDEX(Composições!A:H,MATCH(Orçamentária!A3412,Composições!A:A,0),8),2,0)</f>
        <v>45.200999999999993</v>
      </c>
      <c r="F3412" s="152">
        <f t="shared" ca="1" si="161"/>
        <v>0</v>
      </c>
      <c r="G3412" s="153">
        <f>IF($K3412="Padrão",BDI!$B$17,IF($K3412="Diferenciado",BDI!$E$17,0))</f>
        <v>0.2039</v>
      </c>
      <c r="H3412" s="151">
        <f t="shared" ca="1" si="159"/>
        <v>54.42</v>
      </c>
      <c r="I3412" s="152">
        <f t="shared" ca="1" si="160"/>
        <v>0</v>
      </c>
      <c r="J3412" s="154"/>
      <c r="K3412" s="155" t="s">
        <v>2966</v>
      </c>
    </row>
    <row r="3413" spans="1:11" hidden="1" x14ac:dyDescent="0.25">
      <c r="A3413" s="148" t="s">
        <v>1986</v>
      </c>
      <c r="B3413" s="149" t="s">
        <v>8404</v>
      </c>
      <c r="C3413" s="150" t="s">
        <v>18</v>
      </c>
      <c r="D3413" s="150">
        <v>0</v>
      </c>
      <c r="E3413" s="151">
        <f ca="1">OFFSET(INDEX(Composições!A:H,MATCH(Orçamentária!A3413,Composições!A:A,0),8),2,0)</f>
        <v>42.3795</v>
      </c>
      <c r="F3413" s="152">
        <f t="shared" ca="1" si="161"/>
        <v>0</v>
      </c>
      <c r="G3413" s="153">
        <f>IF($K3413="Padrão",BDI!$B$17,IF($K3413="Diferenciado",BDI!$E$17,0))</f>
        <v>0.2039</v>
      </c>
      <c r="H3413" s="151">
        <f t="shared" ca="1" si="159"/>
        <v>51.02</v>
      </c>
      <c r="I3413" s="152">
        <f t="shared" ca="1" si="160"/>
        <v>0</v>
      </c>
      <c r="J3413" s="154"/>
      <c r="K3413" s="155" t="s">
        <v>2966</v>
      </c>
    </row>
    <row r="3414" spans="1:11" hidden="1" x14ac:dyDescent="0.25">
      <c r="A3414" s="148" t="s">
        <v>1987</v>
      </c>
      <c r="B3414" s="149" t="s">
        <v>8405</v>
      </c>
      <c r="C3414" s="150" t="s">
        <v>18</v>
      </c>
      <c r="D3414" s="150">
        <v>0</v>
      </c>
      <c r="E3414" s="151">
        <f ca="1">OFFSET(INDEX(Composições!A:H,MATCH(Orçamentária!A3414,Composições!A:A,0),8),2,0)</f>
        <v>20.9665</v>
      </c>
      <c r="F3414" s="152">
        <f t="shared" ca="1" si="161"/>
        <v>0</v>
      </c>
      <c r="G3414" s="153">
        <f>IF($K3414="Padrão",BDI!$B$17,IF($K3414="Diferenciado",BDI!$E$17,0))</f>
        <v>0.2039</v>
      </c>
      <c r="H3414" s="151">
        <f t="shared" ca="1" si="159"/>
        <v>25.24</v>
      </c>
      <c r="I3414" s="152">
        <f t="shared" ca="1" si="160"/>
        <v>0</v>
      </c>
      <c r="J3414" s="154"/>
      <c r="K3414" s="155" t="s">
        <v>2966</v>
      </c>
    </row>
    <row r="3415" spans="1:11" hidden="1" x14ac:dyDescent="0.25">
      <c r="A3415" s="148" t="s">
        <v>1988</v>
      </c>
      <c r="B3415" s="149" t="s">
        <v>8406</v>
      </c>
      <c r="C3415" s="150" t="s">
        <v>18</v>
      </c>
      <c r="D3415" s="150">
        <v>0</v>
      </c>
      <c r="E3415" s="151">
        <f ca="1">OFFSET(INDEX(Composições!A:H,MATCH(Orçamentária!A3415,Composições!A:A,0),8),2,0)</f>
        <v>10.7445</v>
      </c>
      <c r="F3415" s="152">
        <f t="shared" ca="1" si="161"/>
        <v>0</v>
      </c>
      <c r="G3415" s="153">
        <f>IF($K3415="Padrão",BDI!$B$17,IF($K3415="Diferenciado",BDI!$E$17,0))</f>
        <v>0.2039</v>
      </c>
      <c r="H3415" s="151">
        <f t="shared" ca="1" si="159"/>
        <v>12.94</v>
      </c>
      <c r="I3415" s="152">
        <f t="shared" ca="1" si="160"/>
        <v>0</v>
      </c>
      <c r="J3415" s="154"/>
      <c r="K3415" s="155" t="s">
        <v>2966</v>
      </c>
    </row>
    <row r="3416" spans="1:11" hidden="1" x14ac:dyDescent="0.25">
      <c r="A3416" s="148" t="s">
        <v>1989</v>
      </c>
      <c r="B3416" s="149" t="s">
        <v>8407</v>
      </c>
      <c r="C3416" s="150" t="s">
        <v>18</v>
      </c>
      <c r="D3416" s="150">
        <v>0</v>
      </c>
      <c r="E3416" s="151">
        <f ca="1">OFFSET(INDEX(Composições!A:H,MATCH(Orçamentária!A3416,Composições!A:A,0),8),2,0)</f>
        <v>33.8675</v>
      </c>
      <c r="F3416" s="152">
        <f t="shared" ca="1" si="161"/>
        <v>0</v>
      </c>
      <c r="G3416" s="153">
        <f>IF($K3416="Padrão",BDI!$B$17,IF($K3416="Diferenciado",BDI!$E$17,0))</f>
        <v>0.2039</v>
      </c>
      <c r="H3416" s="151">
        <f t="shared" ca="1" si="159"/>
        <v>40.770000000000003</v>
      </c>
      <c r="I3416" s="152">
        <f t="shared" ca="1" si="160"/>
        <v>0</v>
      </c>
      <c r="J3416" s="154"/>
      <c r="K3416" s="155" t="s">
        <v>2966</v>
      </c>
    </row>
    <row r="3417" spans="1:11" hidden="1" x14ac:dyDescent="0.25">
      <c r="A3417" s="148" t="s">
        <v>1990</v>
      </c>
      <c r="B3417" s="149" t="s">
        <v>8408</v>
      </c>
      <c r="C3417" s="150" t="s">
        <v>18</v>
      </c>
      <c r="D3417" s="150">
        <v>0</v>
      </c>
      <c r="E3417" s="151">
        <f ca="1">OFFSET(INDEX(Composições!A:H,MATCH(Orçamentária!A3417,Composições!A:A,0),8),2,0)</f>
        <v>77.282499999999985</v>
      </c>
      <c r="F3417" s="152">
        <f t="shared" ca="1" si="161"/>
        <v>0</v>
      </c>
      <c r="G3417" s="153">
        <f>IF($K3417="Padrão",BDI!$B$17,IF($K3417="Diferenciado",BDI!$E$17,0))</f>
        <v>0.2039</v>
      </c>
      <c r="H3417" s="151">
        <f t="shared" ca="1" si="159"/>
        <v>93.04</v>
      </c>
      <c r="I3417" s="152">
        <f t="shared" ca="1" si="160"/>
        <v>0</v>
      </c>
      <c r="J3417" s="154"/>
      <c r="K3417" s="155" t="s">
        <v>2966</v>
      </c>
    </row>
    <row r="3418" spans="1:11" hidden="1" x14ac:dyDescent="0.25">
      <c r="A3418" s="148" t="s">
        <v>1991</v>
      </c>
      <c r="B3418" s="149" t="s">
        <v>8409</v>
      </c>
      <c r="C3418" s="150" t="s">
        <v>18</v>
      </c>
      <c r="D3418" s="150">
        <v>0</v>
      </c>
      <c r="E3418" s="151">
        <f ca="1">OFFSET(INDEX(Composições!A:H,MATCH(Orçamentária!A3418,Composições!A:A,0),8),2,0)</f>
        <v>188.72699999999998</v>
      </c>
      <c r="F3418" s="152">
        <f t="shared" ca="1" si="161"/>
        <v>0</v>
      </c>
      <c r="G3418" s="153">
        <f>IF($K3418="Padrão",BDI!$B$17,IF($K3418="Diferenciado",BDI!$E$17,0))</f>
        <v>0.2039</v>
      </c>
      <c r="H3418" s="151">
        <f t="shared" ca="1" si="159"/>
        <v>227.21</v>
      </c>
      <c r="I3418" s="152">
        <f t="shared" ca="1" si="160"/>
        <v>0</v>
      </c>
      <c r="J3418" s="154"/>
      <c r="K3418" s="155" t="s">
        <v>2966</v>
      </c>
    </row>
    <row r="3419" spans="1:11" hidden="1" x14ac:dyDescent="0.25">
      <c r="A3419" s="148" t="s">
        <v>1992</v>
      </c>
      <c r="B3419" s="149" t="s">
        <v>8410</v>
      </c>
      <c r="C3419" s="150" t="s">
        <v>18</v>
      </c>
      <c r="D3419" s="150">
        <v>0</v>
      </c>
      <c r="E3419" s="151">
        <f ca="1">OFFSET(INDEX(Composições!A:H,MATCH(Orçamentária!A3419,Composições!A:A,0),8),2,0)</f>
        <v>119.71899999999999</v>
      </c>
      <c r="F3419" s="152">
        <f t="shared" ca="1" si="161"/>
        <v>0</v>
      </c>
      <c r="G3419" s="153">
        <f>IF($K3419="Padrão",BDI!$B$17,IF($K3419="Diferenciado",BDI!$E$17,0))</f>
        <v>0.2039</v>
      </c>
      <c r="H3419" s="151">
        <f t="shared" ca="1" si="159"/>
        <v>144.13</v>
      </c>
      <c r="I3419" s="152">
        <f t="shared" ca="1" si="160"/>
        <v>0</v>
      </c>
      <c r="J3419" s="154"/>
      <c r="K3419" s="155" t="s">
        <v>2966</v>
      </c>
    </row>
    <row r="3420" spans="1:11" hidden="1" x14ac:dyDescent="0.25">
      <c r="A3420" s="148" t="s">
        <v>1993</v>
      </c>
      <c r="B3420" s="149" t="s">
        <v>8411</v>
      </c>
      <c r="C3420" s="150" t="s">
        <v>18</v>
      </c>
      <c r="D3420" s="150">
        <v>0</v>
      </c>
      <c r="E3420" s="151">
        <f ca="1">OFFSET(INDEX(Composições!A:H,MATCH(Orçamentária!A3420,Composições!A:A,0),8),2,0)</f>
        <v>62.281999999999996</v>
      </c>
      <c r="F3420" s="152">
        <f t="shared" ca="1" si="161"/>
        <v>0</v>
      </c>
      <c r="G3420" s="153">
        <f>IF($K3420="Padrão",BDI!$B$17,IF($K3420="Diferenciado",BDI!$E$17,0))</f>
        <v>0.2039</v>
      </c>
      <c r="H3420" s="151">
        <f t="shared" ca="1" si="159"/>
        <v>74.98</v>
      </c>
      <c r="I3420" s="152">
        <f t="shared" ca="1" si="160"/>
        <v>0</v>
      </c>
      <c r="J3420" s="154"/>
      <c r="K3420" s="155" t="s">
        <v>2966</v>
      </c>
    </row>
    <row r="3421" spans="1:11" hidden="1" x14ac:dyDescent="0.25">
      <c r="A3421" s="148" t="s">
        <v>1994</v>
      </c>
      <c r="B3421" s="149" t="s">
        <v>8412</v>
      </c>
      <c r="C3421" s="150" t="s">
        <v>18</v>
      </c>
      <c r="D3421" s="150">
        <v>0</v>
      </c>
      <c r="E3421" s="151">
        <f ca="1">OFFSET(INDEX(Composições!A:H,MATCH(Orçamentária!A3421,Composições!A:A,0),8),2,0)</f>
        <v>67.658999999999992</v>
      </c>
      <c r="F3421" s="152">
        <f t="shared" ca="1" si="161"/>
        <v>0</v>
      </c>
      <c r="G3421" s="153">
        <f>IF($K3421="Padrão",BDI!$B$17,IF($K3421="Diferenciado",BDI!$E$17,0))</f>
        <v>0.2039</v>
      </c>
      <c r="H3421" s="151">
        <f t="shared" ca="1" si="159"/>
        <v>81.45</v>
      </c>
      <c r="I3421" s="152">
        <f t="shared" ca="1" si="160"/>
        <v>0</v>
      </c>
      <c r="J3421" s="154"/>
      <c r="K3421" s="155" t="s">
        <v>2966</v>
      </c>
    </row>
    <row r="3422" spans="1:11" hidden="1" x14ac:dyDescent="0.25">
      <c r="A3422" s="148" t="s">
        <v>1995</v>
      </c>
      <c r="B3422" s="149" t="s">
        <v>8413</v>
      </c>
      <c r="C3422" s="150" t="s">
        <v>18</v>
      </c>
      <c r="D3422" s="150">
        <v>0</v>
      </c>
      <c r="E3422" s="151">
        <f ca="1">OFFSET(INDEX(Composições!A:H,MATCH(Orçamentária!A3422,Composições!A:A,0),8),2,0)</f>
        <v>157.3295</v>
      </c>
      <c r="F3422" s="152">
        <f t="shared" ca="1" si="161"/>
        <v>0</v>
      </c>
      <c r="G3422" s="153">
        <f>IF($K3422="Padrão",BDI!$B$17,IF($K3422="Diferenciado",BDI!$E$17,0))</f>
        <v>0.2039</v>
      </c>
      <c r="H3422" s="151">
        <f t="shared" ca="1" si="159"/>
        <v>189.41</v>
      </c>
      <c r="I3422" s="152">
        <f t="shared" ca="1" si="160"/>
        <v>0</v>
      </c>
      <c r="J3422" s="154"/>
      <c r="K3422" s="155" t="s">
        <v>2966</v>
      </c>
    </row>
    <row r="3423" spans="1:11" hidden="1" x14ac:dyDescent="0.25">
      <c r="A3423" s="148" t="s">
        <v>1996</v>
      </c>
      <c r="B3423" s="149" t="s">
        <v>8414</v>
      </c>
      <c r="C3423" s="150" t="s">
        <v>18</v>
      </c>
      <c r="D3423" s="150">
        <v>0</v>
      </c>
      <c r="E3423" s="151">
        <f ca="1">OFFSET(INDEX(Composições!A:H,MATCH(Orçamentária!A3423,Composições!A:A,0),8),2,0)</f>
        <v>65.036999999999992</v>
      </c>
      <c r="F3423" s="152">
        <f t="shared" ca="1" si="161"/>
        <v>0</v>
      </c>
      <c r="G3423" s="153">
        <f>IF($K3423="Padrão",BDI!$B$17,IF($K3423="Diferenciado",BDI!$E$17,0))</f>
        <v>0.2039</v>
      </c>
      <c r="H3423" s="151">
        <f t="shared" ca="1" si="159"/>
        <v>78.3</v>
      </c>
      <c r="I3423" s="152">
        <f t="shared" ca="1" si="160"/>
        <v>0</v>
      </c>
      <c r="J3423" s="154"/>
      <c r="K3423" s="155" t="s">
        <v>2966</v>
      </c>
    </row>
    <row r="3424" spans="1:11" hidden="1" x14ac:dyDescent="0.25">
      <c r="A3424" s="148" t="s">
        <v>1997</v>
      </c>
      <c r="B3424" s="149" t="s">
        <v>8415</v>
      </c>
      <c r="C3424" s="150" t="s">
        <v>18</v>
      </c>
      <c r="D3424" s="150">
        <v>0</v>
      </c>
      <c r="E3424" s="151">
        <f ca="1">OFFSET(INDEX(Composições!A:H,MATCH(Orçamentária!A3424,Composições!A:A,0),8),2,0)</f>
        <v>57.057000000000002</v>
      </c>
      <c r="F3424" s="152">
        <f t="shared" ca="1" si="161"/>
        <v>0</v>
      </c>
      <c r="G3424" s="153">
        <f>IF($K3424="Padrão",BDI!$B$17,IF($K3424="Diferenciado",BDI!$E$17,0))</f>
        <v>0.2039</v>
      </c>
      <c r="H3424" s="151">
        <f t="shared" ca="1" si="159"/>
        <v>68.69</v>
      </c>
      <c r="I3424" s="152">
        <f t="shared" ca="1" si="160"/>
        <v>0</v>
      </c>
      <c r="J3424" s="154"/>
      <c r="K3424" s="155" t="s">
        <v>2966</v>
      </c>
    </row>
    <row r="3425" spans="1:11" hidden="1" x14ac:dyDescent="0.25">
      <c r="A3425" s="148" t="s">
        <v>8416</v>
      </c>
      <c r="B3425" s="149" t="s">
        <v>8417</v>
      </c>
      <c r="C3425" s="150" t="s">
        <v>18</v>
      </c>
      <c r="D3425" s="150">
        <v>0</v>
      </c>
      <c r="E3425" s="151" t="s">
        <v>13</v>
      </c>
      <c r="F3425" s="152" t="str">
        <f t="shared" si="161"/>
        <v/>
      </c>
      <c r="G3425" s="153">
        <f>IF($K3425="Padrão",BDI!$B$17,IF($K3425="Diferenciado",BDI!$E$17,0))</f>
        <v>0.2039</v>
      </c>
      <c r="H3425" s="151" t="str">
        <f t="shared" si="159"/>
        <v/>
      </c>
      <c r="I3425" s="152" t="str">
        <f t="shared" si="160"/>
        <v/>
      </c>
      <c r="J3425" s="154"/>
      <c r="K3425" s="155" t="s">
        <v>2966</v>
      </c>
    </row>
    <row r="3426" spans="1:11" hidden="1" x14ac:dyDescent="0.25">
      <c r="A3426" s="148" t="s">
        <v>1998</v>
      </c>
      <c r="B3426" s="149" t="s">
        <v>8418</v>
      </c>
      <c r="C3426" s="150" t="s">
        <v>18</v>
      </c>
      <c r="D3426" s="150">
        <v>0</v>
      </c>
      <c r="E3426" s="151">
        <f ca="1">OFFSET(INDEX(Composições!A:H,MATCH(Orçamentária!A3426,Composições!A:A,0),8),2,0)</f>
        <v>63.374499999999991</v>
      </c>
      <c r="F3426" s="152">
        <f t="shared" ca="1" si="161"/>
        <v>0</v>
      </c>
      <c r="G3426" s="153">
        <f>IF($K3426="Padrão",BDI!$B$17,IF($K3426="Diferenciado",BDI!$E$17,0))</f>
        <v>0.2039</v>
      </c>
      <c r="H3426" s="151">
        <f t="shared" ca="1" si="159"/>
        <v>76.3</v>
      </c>
      <c r="I3426" s="152">
        <f t="shared" ca="1" si="160"/>
        <v>0</v>
      </c>
      <c r="J3426" s="154"/>
      <c r="K3426" s="155" t="s">
        <v>2966</v>
      </c>
    </row>
    <row r="3427" spans="1:11" hidden="1" x14ac:dyDescent="0.25">
      <c r="A3427" s="148" t="s">
        <v>1999</v>
      </c>
      <c r="B3427" s="149" t="s">
        <v>8419</v>
      </c>
      <c r="C3427" s="150" t="s">
        <v>18</v>
      </c>
      <c r="D3427" s="150">
        <v>0</v>
      </c>
      <c r="E3427" s="151">
        <f ca="1">OFFSET(INDEX(Composições!A:H,MATCH(Orçamentária!A3427,Composições!A:A,0),8),2,0)</f>
        <v>39.367999999999995</v>
      </c>
      <c r="F3427" s="152">
        <f t="shared" ca="1" si="161"/>
        <v>0</v>
      </c>
      <c r="G3427" s="153">
        <f>IF($K3427="Padrão",BDI!$B$17,IF($K3427="Diferenciado",BDI!$E$17,0))</f>
        <v>0.2039</v>
      </c>
      <c r="H3427" s="151">
        <f t="shared" ca="1" si="159"/>
        <v>47.4</v>
      </c>
      <c r="I3427" s="152">
        <f t="shared" ca="1" si="160"/>
        <v>0</v>
      </c>
      <c r="J3427" s="154"/>
      <c r="K3427" s="155" t="s">
        <v>2966</v>
      </c>
    </row>
    <row r="3428" spans="1:11" hidden="1" x14ac:dyDescent="0.25">
      <c r="A3428" s="148" t="s">
        <v>2000</v>
      </c>
      <c r="B3428" s="149" t="s">
        <v>8420</v>
      </c>
      <c r="C3428" s="150" t="s">
        <v>18</v>
      </c>
      <c r="D3428" s="150">
        <v>0</v>
      </c>
      <c r="E3428" s="151">
        <f ca="1">OFFSET(INDEX(Composições!A:H,MATCH(Orçamentária!A3428,Composições!A:A,0),8),2,0)</f>
        <v>90.658500000000004</v>
      </c>
      <c r="F3428" s="152">
        <f t="shared" ca="1" si="161"/>
        <v>0</v>
      </c>
      <c r="G3428" s="153">
        <f>IF($K3428="Padrão",BDI!$B$17,IF($K3428="Diferenciado",BDI!$E$17,0))</f>
        <v>0.2039</v>
      </c>
      <c r="H3428" s="151">
        <f t="shared" ca="1" si="159"/>
        <v>109.14</v>
      </c>
      <c r="I3428" s="152">
        <f t="shared" ca="1" si="160"/>
        <v>0</v>
      </c>
      <c r="J3428" s="154"/>
      <c r="K3428" s="155" t="s">
        <v>2966</v>
      </c>
    </row>
    <row r="3429" spans="1:11" hidden="1" x14ac:dyDescent="0.25">
      <c r="A3429" s="148" t="s">
        <v>8421</v>
      </c>
      <c r="B3429" s="149" t="s">
        <v>8422</v>
      </c>
      <c r="C3429" s="150" t="s">
        <v>18</v>
      </c>
      <c r="D3429" s="150">
        <v>0</v>
      </c>
      <c r="E3429" s="151" t="s">
        <v>13</v>
      </c>
      <c r="F3429" s="152" t="str">
        <f t="shared" si="161"/>
        <v/>
      </c>
      <c r="G3429" s="153">
        <f>IF($K3429="Padrão",BDI!$B$17,IF($K3429="Diferenciado",BDI!$E$17,0))</f>
        <v>0.2039</v>
      </c>
      <c r="H3429" s="151" t="str">
        <f t="shared" si="159"/>
        <v/>
      </c>
      <c r="I3429" s="152" t="str">
        <f t="shared" si="160"/>
        <v/>
      </c>
      <c r="J3429" s="154"/>
      <c r="K3429" s="155" t="s">
        <v>2966</v>
      </c>
    </row>
    <row r="3430" spans="1:11" hidden="1" x14ac:dyDescent="0.25">
      <c r="A3430" s="148" t="s">
        <v>8423</v>
      </c>
      <c r="B3430" s="149" t="s">
        <v>8424</v>
      </c>
      <c r="C3430" s="150" t="s">
        <v>18</v>
      </c>
      <c r="D3430" s="150">
        <v>0</v>
      </c>
      <c r="E3430" s="151" t="s">
        <v>13</v>
      </c>
      <c r="F3430" s="152" t="str">
        <f t="shared" si="161"/>
        <v/>
      </c>
      <c r="G3430" s="153">
        <f>IF($K3430="Padrão",BDI!$B$17,IF($K3430="Diferenciado",BDI!$E$17,0))</f>
        <v>0.2039</v>
      </c>
      <c r="H3430" s="151" t="str">
        <f t="shared" si="159"/>
        <v/>
      </c>
      <c r="I3430" s="152" t="str">
        <f t="shared" si="160"/>
        <v/>
      </c>
      <c r="J3430" s="154"/>
      <c r="K3430" s="155" t="s">
        <v>2966</v>
      </c>
    </row>
    <row r="3431" spans="1:11" hidden="1" x14ac:dyDescent="0.25">
      <c r="A3431" s="148" t="s">
        <v>8425</v>
      </c>
      <c r="B3431" s="149" t="s">
        <v>8426</v>
      </c>
      <c r="C3431" s="150" t="s">
        <v>18</v>
      </c>
      <c r="D3431" s="150">
        <v>0</v>
      </c>
      <c r="E3431" s="151" t="s">
        <v>13</v>
      </c>
      <c r="F3431" s="152" t="str">
        <f t="shared" si="161"/>
        <v/>
      </c>
      <c r="G3431" s="153">
        <f>IF($K3431="Padrão",BDI!$B$17,IF($K3431="Diferenciado",BDI!$E$17,0))</f>
        <v>0.2039</v>
      </c>
      <c r="H3431" s="151" t="str">
        <f t="shared" si="159"/>
        <v/>
      </c>
      <c r="I3431" s="152" t="str">
        <f t="shared" si="160"/>
        <v/>
      </c>
      <c r="J3431" s="154"/>
      <c r="K3431" s="155" t="s">
        <v>2966</v>
      </c>
    </row>
    <row r="3432" spans="1:11" hidden="1" x14ac:dyDescent="0.25">
      <c r="A3432" s="148" t="s">
        <v>8427</v>
      </c>
      <c r="B3432" s="149" t="s">
        <v>8428</v>
      </c>
      <c r="C3432" s="150" t="s">
        <v>18</v>
      </c>
      <c r="D3432" s="150">
        <v>0</v>
      </c>
      <c r="E3432" s="151" t="s">
        <v>13</v>
      </c>
      <c r="F3432" s="152" t="str">
        <f t="shared" si="161"/>
        <v/>
      </c>
      <c r="G3432" s="153">
        <f>IF($K3432="Padrão",BDI!$B$17,IF($K3432="Diferenciado",BDI!$E$17,0))</f>
        <v>0.2039</v>
      </c>
      <c r="H3432" s="151" t="str">
        <f t="shared" si="159"/>
        <v/>
      </c>
      <c r="I3432" s="152" t="str">
        <f t="shared" si="160"/>
        <v/>
      </c>
      <c r="J3432" s="154"/>
      <c r="K3432" s="155" t="s">
        <v>2966</v>
      </c>
    </row>
    <row r="3433" spans="1:11" hidden="1" x14ac:dyDescent="0.25">
      <c r="A3433" s="148" t="s">
        <v>2001</v>
      </c>
      <c r="B3433" s="149" t="s">
        <v>8429</v>
      </c>
      <c r="C3433" s="150" t="s">
        <v>18</v>
      </c>
      <c r="D3433" s="150">
        <v>0</v>
      </c>
      <c r="E3433" s="151">
        <f ca="1">OFFSET(INDEX(Composições!A:H,MATCH(Orçamentária!A3433,Composições!A:A,0),8),2,0)</f>
        <v>97.260999999999996</v>
      </c>
      <c r="F3433" s="152">
        <f t="shared" ca="1" si="161"/>
        <v>0</v>
      </c>
      <c r="G3433" s="153">
        <f>IF($K3433="Padrão",BDI!$B$17,IF($K3433="Diferenciado",BDI!$E$17,0))</f>
        <v>0.2039</v>
      </c>
      <c r="H3433" s="151">
        <f t="shared" ca="1" si="159"/>
        <v>117.09</v>
      </c>
      <c r="I3433" s="152">
        <f t="shared" ca="1" si="160"/>
        <v>0</v>
      </c>
      <c r="J3433" s="154"/>
      <c r="K3433" s="155" t="s">
        <v>2966</v>
      </c>
    </row>
    <row r="3434" spans="1:11" hidden="1" x14ac:dyDescent="0.25">
      <c r="A3434" s="148" t="s">
        <v>2002</v>
      </c>
      <c r="B3434" s="149" t="s">
        <v>8430</v>
      </c>
      <c r="C3434" s="150" t="s">
        <v>18</v>
      </c>
      <c r="D3434" s="150">
        <v>0</v>
      </c>
      <c r="E3434" s="151">
        <f ca="1">OFFSET(INDEX(Composições!A:H,MATCH(Orçamentária!A3434,Composições!A:A,0),8),2,0)</f>
        <v>49.932000000000002</v>
      </c>
      <c r="F3434" s="152">
        <f t="shared" ca="1" si="161"/>
        <v>0</v>
      </c>
      <c r="G3434" s="153">
        <f>IF($K3434="Padrão",BDI!$B$17,IF($K3434="Diferenciado",BDI!$E$17,0))</f>
        <v>0.2039</v>
      </c>
      <c r="H3434" s="151">
        <f t="shared" ca="1" si="159"/>
        <v>60.11</v>
      </c>
      <c r="I3434" s="152">
        <f t="shared" ca="1" si="160"/>
        <v>0</v>
      </c>
      <c r="J3434" s="154"/>
      <c r="K3434" s="155" t="s">
        <v>2966</v>
      </c>
    </row>
    <row r="3435" spans="1:11" hidden="1" x14ac:dyDescent="0.25">
      <c r="A3435" s="148" t="s">
        <v>2003</v>
      </c>
      <c r="B3435" s="149" t="s">
        <v>8431</v>
      </c>
      <c r="C3435" s="150" t="s">
        <v>18</v>
      </c>
      <c r="D3435" s="150">
        <v>0</v>
      </c>
      <c r="E3435" s="151">
        <f ca="1">OFFSET(INDEX(Composições!A:H,MATCH(Orçamentária!A3435,Composições!A:A,0),8),2,0)</f>
        <v>116.79299999999999</v>
      </c>
      <c r="F3435" s="152">
        <f t="shared" ca="1" si="161"/>
        <v>0</v>
      </c>
      <c r="G3435" s="153">
        <f>IF($K3435="Padrão",BDI!$B$17,IF($K3435="Diferenciado",BDI!$E$17,0))</f>
        <v>0.2039</v>
      </c>
      <c r="H3435" s="151">
        <f t="shared" ca="1" si="159"/>
        <v>140.61000000000001</v>
      </c>
      <c r="I3435" s="152">
        <f t="shared" ca="1" si="160"/>
        <v>0</v>
      </c>
      <c r="J3435" s="154"/>
      <c r="K3435" s="155" t="s">
        <v>2966</v>
      </c>
    </row>
    <row r="3436" spans="1:11" hidden="1" x14ac:dyDescent="0.25">
      <c r="A3436" s="148" t="s">
        <v>8432</v>
      </c>
      <c r="B3436" s="149" t="s">
        <v>8433</v>
      </c>
      <c r="C3436" s="150" t="s">
        <v>18</v>
      </c>
      <c r="D3436" s="150">
        <v>0</v>
      </c>
      <c r="E3436" s="151" t="s">
        <v>13</v>
      </c>
      <c r="F3436" s="152" t="str">
        <f t="shared" si="161"/>
        <v/>
      </c>
      <c r="G3436" s="153">
        <f>IF($K3436="Padrão",BDI!$B$17,IF($K3436="Diferenciado",BDI!$E$17,0))</f>
        <v>0.2039</v>
      </c>
      <c r="H3436" s="151" t="str">
        <f t="shared" si="159"/>
        <v/>
      </c>
      <c r="I3436" s="152" t="str">
        <f t="shared" si="160"/>
        <v/>
      </c>
      <c r="J3436" s="154"/>
      <c r="K3436" s="155" t="s">
        <v>2966</v>
      </c>
    </row>
    <row r="3437" spans="1:11" hidden="1" x14ac:dyDescent="0.25">
      <c r="A3437" s="148" t="s">
        <v>2004</v>
      </c>
      <c r="B3437" s="149" t="s">
        <v>8434</v>
      </c>
      <c r="C3437" s="150" t="s">
        <v>18</v>
      </c>
      <c r="D3437" s="150">
        <v>0</v>
      </c>
      <c r="E3437" s="151">
        <f ca="1">OFFSET(INDEX(Composições!A:H,MATCH(Orçamentária!A3437,Composições!A:A,0),8),2,0)</f>
        <v>56.012</v>
      </c>
      <c r="F3437" s="152">
        <f t="shared" ca="1" si="161"/>
        <v>0</v>
      </c>
      <c r="G3437" s="153">
        <f>IF($K3437="Padrão",BDI!$B$17,IF($K3437="Diferenciado",BDI!$E$17,0))</f>
        <v>0.2039</v>
      </c>
      <c r="H3437" s="151">
        <f t="shared" ca="1" si="159"/>
        <v>67.430000000000007</v>
      </c>
      <c r="I3437" s="152">
        <f t="shared" ca="1" si="160"/>
        <v>0</v>
      </c>
      <c r="J3437" s="154"/>
      <c r="K3437" s="155" t="s">
        <v>2966</v>
      </c>
    </row>
    <row r="3438" spans="1:11" hidden="1" x14ac:dyDescent="0.25">
      <c r="A3438" s="148" t="s">
        <v>8435</v>
      </c>
      <c r="B3438" s="149" t="s">
        <v>8436</v>
      </c>
      <c r="C3438" s="150" t="s">
        <v>18</v>
      </c>
      <c r="D3438" s="150">
        <v>0</v>
      </c>
      <c r="E3438" s="151" t="s">
        <v>13</v>
      </c>
      <c r="F3438" s="152" t="str">
        <f t="shared" si="161"/>
        <v/>
      </c>
      <c r="G3438" s="153">
        <f>IF($K3438="Padrão",BDI!$B$17,IF($K3438="Diferenciado",BDI!$E$17,0))</f>
        <v>0.2039</v>
      </c>
      <c r="H3438" s="151" t="str">
        <f t="shared" si="159"/>
        <v/>
      </c>
      <c r="I3438" s="152" t="str">
        <f t="shared" si="160"/>
        <v/>
      </c>
      <c r="J3438" s="154"/>
      <c r="K3438" s="155" t="s">
        <v>2966</v>
      </c>
    </row>
    <row r="3439" spans="1:11" hidden="1" x14ac:dyDescent="0.25">
      <c r="A3439" s="148" t="s">
        <v>2005</v>
      </c>
      <c r="B3439" s="149" t="s">
        <v>8437</v>
      </c>
      <c r="C3439" s="150" t="s">
        <v>18</v>
      </c>
      <c r="D3439" s="150">
        <v>0</v>
      </c>
      <c r="E3439" s="151">
        <f ca="1">OFFSET(INDEX(Composições!A:H,MATCH(Orçamentária!A3439,Composições!A:A,0),8),2,0)</f>
        <v>154.40349999999998</v>
      </c>
      <c r="F3439" s="152">
        <f t="shared" ca="1" si="161"/>
        <v>0</v>
      </c>
      <c r="G3439" s="153">
        <f>IF($K3439="Padrão",BDI!$B$17,IF($K3439="Diferenciado",BDI!$E$17,0))</f>
        <v>0.2039</v>
      </c>
      <c r="H3439" s="151">
        <f t="shared" ca="1" si="159"/>
        <v>185.89</v>
      </c>
      <c r="I3439" s="152">
        <f t="shared" ca="1" si="160"/>
        <v>0</v>
      </c>
      <c r="J3439" s="154"/>
      <c r="K3439" s="155" t="s">
        <v>2966</v>
      </c>
    </row>
    <row r="3440" spans="1:11" hidden="1" x14ac:dyDescent="0.25">
      <c r="A3440" s="148" t="s">
        <v>8438</v>
      </c>
      <c r="B3440" s="149" t="s">
        <v>8439</v>
      </c>
      <c r="C3440" s="150" t="s">
        <v>18</v>
      </c>
      <c r="D3440" s="150">
        <v>0</v>
      </c>
      <c r="E3440" s="151" t="s">
        <v>13</v>
      </c>
      <c r="F3440" s="152" t="str">
        <f t="shared" si="161"/>
        <v/>
      </c>
      <c r="G3440" s="153">
        <f>IF($K3440="Padrão",BDI!$B$17,IF($K3440="Diferenciado",BDI!$E$17,0))</f>
        <v>0.2039</v>
      </c>
      <c r="H3440" s="151" t="str">
        <f t="shared" si="159"/>
        <v/>
      </c>
      <c r="I3440" s="152" t="str">
        <f t="shared" si="160"/>
        <v/>
      </c>
      <c r="J3440" s="154"/>
      <c r="K3440" s="155" t="s">
        <v>2966</v>
      </c>
    </row>
    <row r="3441" spans="1:11" hidden="1" x14ac:dyDescent="0.25">
      <c r="A3441" s="148" t="s">
        <v>2006</v>
      </c>
      <c r="B3441" s="149" t="s">
        <v>8440</v>
      </c>
      <c r="C3441" s="150" t="s">
        <v>18</v>
      </c>
      <c r="D3441" s="150">
        <v>0</v>
      </c>
      <c r="E3441" s="151">
        <f ca="1">OFFSET(INDEX(Composições!A:H,MATCH(Orçamentária!A3441,Composições!A:A,0),8),2,0)</f>
        <v>81.55749999999999</v>
      </c>
      <c r="F3441" s="152">
        <f t="shared" ca="1" si="161"/>
        <v>0</v>
      </c>
      <c r="G3441" s="153">
        <f>IF($K3441="Padrão",BDI!$B$17,IF($K3441="Diferenciado",BDI!$E$17,0))</f>
        <v>0.2039</v>
      </c>
      <c r="H3441" s="151">
        <f t="shared" ca="1" si="159"/>
        <v>98.19</v>
      </c>
      <c r="I3441" s="152">
        <f t="shared" ca="1" si="160"/>
        <v>0</v>
      </c>
      <c r="J3441" s="154"/>
      <c r="K3441" s="155" t="s">
        <v>2966</v>
      </c>
    </row>
    <row r="3442" spans="1:11" hidden="1" x14ac:dyDescent="0.25">
      <c r="A3442" s="148" t="s">
        <v>2007</v>
      </c>
      <c r="B3442" s="149" t="s">
        <v>8441</v>
      </c>
      <c r="C3442" s="150" t="s">
        <v>18</v>
      </c>
      <c r="D3442" s="150">
        <v>0</v>
      </c>
      <c r="E3442" s="151">
        <f ca="1">OFFSET(INDEX(Composições!A:H,MATCH(Orçamentária!A3442,Composições!A:A,0),8),2,0)</f>
        <v>230.84049999999999</v>
      </c>
      <c r="F3442" s="152">
        <f t="shared" ca="1" si="161"/>
        <v>0</v>
      </c>
      <c r="G3442" s="153">
        <f>IF($K3442="Padrão",BDI!$B$17,IF($K3442="Diferenciado",BDI!$E$17,0))</f>
        <v>0.2039</v>
      </c>
      <c r="H3442" s="151">
        <f t="shared" ca="1" si="159"/>
        <v>277.91000000000003</v>
      </c>
      <c r="I3442" s="152">
        <f t="shared" ca="1" si="160"/>
        <v>0</v>
      </c>
      <c r="J3442" s="154"/>
      <c r="K3442" s="155" t="s">
        <v>2966</v>
      </c>
    </row>
    <row r="3443" spans="1:11" hidden="1" x14ac:dyDescent="0.25">
      <c r="A3443" s="148" t="s">
        <v>2008</v>
      </c>
      <c r="B3443" s="149" t="s">
        <v>8442</v>
      </c>
      <c r="C3443" s="150" t="s">
        <v>18</v>
      </c>
      <c r="D3443" s="150">
        <v>0</v>
      </c>
      <c r="E3443" s="151">
        <f ca="1">OFFSET(INDEX(Composições!A:H,MATCH(Orçamentária!A3443,Composições!A:A,0),8),2,0)</f>
        <v>0</v>
      </c>
      <c r="F3443" s="152">
        <f t="shared" ca="1" si="161"/>
        <v>0</v>
      </c>
      <c r="G3443" s="153">
        <f>IF($K3443="Padrão",BDI!$B$17,IF($K3443="Diferenciado",BDI!$E$17,0))</f>
        <v>0.2039</v>
      </c>
      <c r="H3443" s="151">
        <f t="shared" ca="1" si="159"/>
        <v>0</v>
      </c>
      <c r="I3443" s="152">
        <f t="shared" ca="1" si="160"/>
        <v>0</v>
      </c>
      <c r="J3443" s="154"/>
      <c r="K3443" s="155" t="s">
        <v>2966</v>
      </c>
    </row>
    <row r="3444" spans="1:11" hidden="1" x14ac:dyDescent="0.25">
      <c r="A3444" s="148" t="s">
        <v>2010</v>
      </c>
      <c r="B3444" s="149" t="s">
        <v>8443</v>
      </c>
      <c r="C3444" s="150" t="s">
        <v>18</v>
      </c>
      <c r="D3444" s="150">
        <v>0</v>
      </c>
      <c r="E3444" s="151">
        <f ca="1">OFFSET(INDEX(Composições!A:H,MATCH(Orçamentária!A3444,Composições!A:A,0),8),2,0)</f>
        <v>78.98299999999999</v>
      </c>
      <c r="F3444" s="152">
        <f t="shared" ca="1" si="161"/>
        <v>0</v>
      </c>
      <c r="G3444" s="153">
        <f>IF($K3444="Padrão",BDI!$B$17,IF($K3444="Diferenciado",BDI!$E$17,0))</f>
        <v>0.2039</v>
      </c>
      <c r="H3444" s="151">
        <f t="shared" ca="1" si="159"/>
        <v>95.09</v>
      </c>
      <c r="I3444" s="152">
        <f t="shared" ca="1" si="160"/>
        <v>0</v>
      </c>
      <c r="J3444" s="154"/>
      <c r="K3444" s="155" t="s">
        <v>2966</v>
      </c>
    </row>
    <row r="3445" spans="1:11" hidden="1" x14ac:dyDescent="0.25">
      <c r="A3445" s="148" t="s">
        <v>2011</v>
      </c>
      <c r="B3445" s="149" t="s">
        <v>8444</v>
      </c>
      <c r="C3445" s="150" t="s">
        <v>18</v>
      </c>
      <c r="D3445" s="150">
        <v>0</v>
      </c>
      <c r="E3445" s="151">
        <f ca="1">OFFSET(INDEX(Composições!A:H,MATCH(Orçamentária!A3445,Composições!A:A,0),8),2,0)</f>
        <v>0</v>
      </c>
      <c r="F3445" s="152">
        <f t="shared" ca="1" si="161"/>
        <v>0</v>
      </c>
      <c r="G3445" s="153">
        <f>IF($K3445="Padrão",BDI!$B$17,IF($K3445="Diferenciado",BDI!$E$17,0))</f>
        <v>0.2039</v>
      </c>
      <c r="H3445" s="151">
        <f t="shared" ca="1" si="159"/>
        <v>0</v>
      </c>
      <c r="I3445" s="152">
        <f t="shared" ca="1" si="160"/>
        <v>0</v>
      </c>
      <c r="J3445" s="154"/>
      <c r="K3445" s="155" t="s">
        <v>2966</v>
      </c>
    </row>
    <row r="3446" spans="1:11" hidden="1" x14ac:dyDescent="0.25">
      <c r="A3446" s="148" t="s">
        <v>2013</v>
      </c>
      <c r="B3446" s="149" t="s">
        <v>8445</v>
      </c>
      <c r="C3446" s="150" t="s">
        <v>18</v>
      </c>
      <c r="D3446" s="150">
        <v>0</v>
      </c>
      <c r="E3446" s="151">
        <f ca="1">OFFSET(INDEX(Composições!A:H,MATCH(Orçamentária!A3446,Composições!A:A,0),8),2,0)</f>
        <v>537.63349999999991</v>
      </c>
      <c r="F3446" s="152">
        <f t="shared" ca="1" si="161"/>
        <v>0</v>
      </c>
      <c r="G3446" s="153">
        <f>IF($K3446="Padrão",BDI!$B$17,IF($K3446="Diferenciado",BDI!$E$17,0))</f>
        <v>0.2039</v>
      </c>
      <c r="H3446" s="151">
        <f t="shared" ca="1" si="159"/>
        <v>647.26</v>
      </c>
      <c r="I3446" s="152">
        <f t="shared" ca="1" si="160"/>
        <v>0</v>
      </c>
      <c r="J3446" s="154"/>
      <c r="K3446" s="155" t="s">
        <v>2966</v>
      </c>
    </row>
    <row r="3447" spans="1:11" hidden="1" x14ac:dyDescent="0.25">
      <c r="A3447" s="148" t="s">
        <v>8446</v>
      </c>
      <c r="B3447" s="149" t="s">
        <v>8447</v>
      </c>
      <c r="C3447" s="150" t="s">
        <v>18</v>
      </c>
      <c r="D3447" s="150">
        <v>0</v>
      </c>
      <c r="E3447" s="151" t="s">
        <v>13</v>
      </c>
      <c r="F3447" s="152" t="str">
        <f t="shared" si="161"/>
        <v/>
      </c>
      <c r="G3447" s="153">
        <f>IF($K3447="Padrão",BDI!$B$17,IF($K3447="Diferenciado",BDI!$E$17,0))</f>
        <v>0.2039</v>
      </c>
      <c r="H3447" s="151" t="str">
        <f t="shared" si="159"/>
        <v/>
      </c>
      <c r="I3447" s="152" t="str">
        <f t="shared" si="160"/>
        <v/>
      </c>
      <c r="J3447" s="154"/>
      <c r="K3447" s="155" t="s">
        <v>2966</v>
      </c>
    </row>
    <row r="3448" spans="1:11" hidden="1" x14ac:dyDescent="0.25">
      <c r="A3448" s="148" t="s">
        <v>2014</v>
      </c>
      <c r="B3448" s="149" t="s">
        <v>8448</v>
      </c>
      <c r="C3448" s="150" t="s">
        <v>18</v>
      </c>
      <c r="D3448" s="150">
        <v>0</v>
      </c>
      <c r="E3448" s="151">
        <f ca="1">OFFSET(INDEX(Composições!A:H,MATCH(Orçamentária!A3448,Composições!A:A,0),8),2,0)</f>
        <v>267.30149999999998</v>
      </c>
      <c r="F3448" s="152">
        <f t="shared" ca="1" si="161"/>
        <v>0</v>
      </c>
      <c r="G3448" s="153">
        <f>IF($K3448="Padrão",BDI!$B$17,IF($K3448="Diferenciado",BDI!$E$17,0))</f>
        <v>0.2039</v>
      </c>
      <c r="H3448" s="151">
        <f t="shared" ca="1" si="159"/>
        <v>321.8</v>
      </c>
      <c r="I3448" s="152">
        <f t="shared" ca="1" si="160"/>
        <v>0</v>
      </c>
      <c r="J3448" s="154"/>
      <c r="K3448" s="155" t="s">
        <v>2966</v>
      </c>
    </row>
    <row r="3449" spans="1:11" hidden="1" x14ac:dyDescent="0.25">
      <c r="A3449" s="148" t="s">
        <v>2015</v>
      </c>
      <c r="B3449" s="149" t="s">
        <v>8449</v>
      </c>
      <c r="C3449" s="150" t="s">
        <v>18</v>
      </c>
      <c r="D3449" s="150">
        <v>0</v>
      </c>
      <c r="E3449" s="151">
        <f ca="1">OFFSET(INDEX(Composições!A:H,MATCH(Orçamentária!A3449,Composições!A:A,0),8),2,0)</f>
        <v>657.11500000000001</v>
      </c>
      <c r="F3449" s="152">
        <f t="shared" ca="1" si="161"/>
        <v>0</v>
      </c>
      <c r="G3449" s="153">
        <f>IF($K3449="Padrão",BDI!$B$17,IF($K3449="Diferenciado",BDI!$E$17,0))</f>
        <v>0.2039</v>
      </c>
      <c r="H3449" s="151">
        <f t="shared" ca="1" si="159"/>
        <v>791.1</v>
      </c>
      <c r="I3449" s="152">
        <f t="shared" ca="1" si="160"/>
        <v>0</v>
      </c>
      <c r="J3449" s="154"/>
      <c r="K3449" s="155" t="s">
        <v>2966</v>
      </c>
    </row>
    <row r="3450" spans="1:11" hidden="1" x14ac:dyDescent="0.25">
      <c r="A3450" s="148" t="s">
        <v>8450</v>
      </c>
      <c r="B3450" s="149" t="s">
        <v>8451</v>
      </c>
      <c r="C3450" s="150" t="s">
        <v>18</v>
      </c>
      <c r="D3450" s="150">
        <v>0</v>
      </c>
      <c r="E3450" s="151" t="s">
        <v>13</v>
      </c>
      <c r="F3450" s="152" t="str">
        <f t="shared" si="161"/>
        <v/>
      </c>
      <c r="G3450" s="153">
        <f>IF($K3450="Padrão",BDI!$B$17,IF($K3450="Diferenciado",BDI!$E$17,0))</f>
        <v>0.2039</v>
      </c>
      <c r="H3450" s="151" t="str">
        <f t="shared" si="159"/>
        <v/>
      </c>
      <c r="I3450" s="152" t="str">
        <f t="shared" si="160"/>
        <v/>
      </c>
      <c r="J3450" s="154"/>
      <c r="K3450" s="155" t="s">
        <v>2966</v>
      </c>
    </row>
    <row r="3451" spans="1:11" hidden="1" x14ac:dyDescent="0.25">
      <c r="A3451" s="148" t="s">
        <v>2016</v>
      </c>
      <c r="B3451" s="149" t="s">
        <v>8452</v>
      </c>
      <c r="C3451" s="150" t="s">
        <v>18</v>
      </c>
      <c r="D3451" s="150">
        <v>0</v>
      </c>
      <c r="E3451" s="151">
        <f ca="1">OFFSET(INDEX(Composições!A:H,MATCH(Orçamentária!A3451,Composições!A:A,0),8),2,0)</f>
        <v>246.18299999999996</v>
      </c>
      <c r="F3451" s="152">
        <f t="shared" ca="1" si="161"/>
        <v>0</v>
      </c>
      <c r="G3451" s="153">
        <f>IF($K3451="Padrão",BDI!$B$17,IF($K3451="Diferenciado",BDI!$E$17,0))</f>
        <v>0.2039</v>
      </c>
      <c r="H3451" s="151">
        <f t="shared" ca="1" si="159"/>
        <v>296.38</v>
      </c>
      <c r="I3451" s="152">
        <f t="shared" ca="1" si="160"/>
        <v>0</v>
      </c>
      <c r="J3451" s="154"/>
      <c r="K3451" s="155" t="s">
        <v>2966</v>
      </c>
    </row>
    <row r="3452" spans="1:11" hidden="1" x14ac:dyDescent="0.25">
      <c r="A3452" s="148" t="s">
        <v>8453</v>
      </c>
      <c r="B3452" s="149" t="s">
        <v>8454</v>
      </c>
      <c r="C3452" s="150" t="s">
        <v>18</v>
      </c>
      <c r="D3452" s="150">
        <v>0</v>
      </c>
      <c r="E3452" s="151" t="s">
        <v>13</v>
      </c>
      <c r="F3452" s="152" t="str">
        <f t="shared" si="161"/>
        <v/>
      </c>
      <c r="G3452" s="153">
        <f>IF($K3452="Padrão",BDI!$B$17,IF($K3452="Diferenciado",BDI!$E$17,0))</f>
        <v>0.2039</v>
      </c>
      <c r="H3452" s="151" t="str">
        <f t="shared" si="159"/>
        <v/>
      </c>
      <c r="I3452" s="152" t="str">
        <f t="shared" si="160"/>
        <v/>
      </c>
      <c r="J3452" s="154"/>
      <c r="K3452" s="155" t="s">
        <v>2966</v>
      </c>
    </row>
    <row r="3453" spans="1:11" hidden="1" x14ac:dyDescent="0.25">
      <c r="A3453" s="148" t="s">
        <v>2017</v>
      </c>
      <c r="B3453" s="149" t="s">
        <v>8455</v>
      </c>
      <c r="C3453" s="150" t="s">
        <v>18</v>
      </c>
      <c r="D3453" s="150">
        <v>0</v>
      </c>
      <c r="E3453" s="151">
        <f ca="1">OFFSET(INDEX(Composições!A:H,MATCH(Orçamentária!A3453,Composições!A:A,0),8),2,0)</f>
        <v>515.55550000000005</v>
      </c>
      <c r="F3453" s="152">
        <f t="shared" ca="1" si="161"/>
        <v>0</v>
      </c>
      <c r="G3453" s="153">
        <f>IF($K3453="Padrão",BDI!$B$17,IF($K3453="Diferenciado",BDI!$E$17,0))</f>
        <v>0.2039</v>
      </c>
      <c r="H3453" s="151">
        <f t="shared" ca="1" si="159"/>
        <v>620.67999999999995</v>
      </c>
      <c r="I3453" s="152">
        <f t="shared" ca="1" si="160"/>
        <v>0</v>
      </c>
      <c r="J3453" s="154"/>
      <c r="K3453" s="155" t="s">
        <v>2966</v>
      </c>
    </row>
    <row r="3454" spans="1:11" hidden="1" x14ac:dyDescent="0.25">
      <c r="A3454" s="148" t="s">
        <v>8456</v>
      </c>
      <c r="B3454" s="149" t="s">
        <v>8457</v>
      </c>
      <c r="C3454" s="150" t="s">
        <v>18</v>
      </c>
      <c r="D3454" s="150">
        <v>0</v>
      </c>
      <c r="E3454" s="151" t="s">
        <v>13</v>
      </c>
      <c r="F3454" s="152" t="str">
        <f t="shared" si="161"/>
        <v/>
      </c>
      <c r="G3454" s="153">
        <f>IF($K3454="Padrão",BDI!$B$17,IF($K3454="Diferenciado",BDI!$E$17,0))</f>
        <v>0.2039</v>
      </c>
      <c r="H3454" s="151" t="str">
        <f t="shared" si="159"/>
        <v/>
      </c>
      <c r="I3454" s="152" t="str">
        <f t="shared" si="160"/>
        <v/>
      </c>
      <c r="J3454" s="154"/>
      <c r="K3454" s="155" t="s">
        <v>2966</v>
      </c>
    </row>
    <row r="3455" spans="1:11" hidden="1" x14ac:dyDescent="0.25">
      <c r="A3455" s="148" t="s">
        <v>2018</v>
      </c>
      <c r="B3455" s="149" t="s">
        <v>8458</v>
      </c>
      <c r="C3455" s="150" t="s">
        <v>18</v>
      </c>
      <c r="D3455" s="150">
        <v>0</v>
      </c>
      <c r="E3455" s="151">
        <f ca="1">OFFSET(INDEX(Composições!A:H,MATCH(Orçamentária!A3455,Composições!A:A,0),8),2,0)</f>
        <v>409.26</v>
      </c>
      <c r="F3455" s="152">
        <f t="shared" ca="1" si="161"/>
        <v>0</v>
      </c>
      <c r="G3455" s="153">
        <f>IF($K3455="Padrão",BDI!$B$17,IF($K3455="Diferenciado",BDI!$E$17,0))</f>
        <v>0.2039</v>
      </c>
      <c r="H3455" s="151">
        <f t="shared" ca="1" si="159"/>
        <v>492.71</v>
      </c>
      <c r="I3455" s="152">
        <f t="shared" ca="1" si="160"/>
        <v>0</v>
      </c>
      <c r="J3455" s="154"/>
      <c r="K3455" s="155" t="s">
        <v>2966</v>
      </c>
    </row>
    <row r="3456" spans="1:11" hidden="1" x14ac:dyDescent="0.25">
      <c r="A3456" s="148" t="s">
        <v>2019</v>
      </c>
      <c r="B3456" s="149" t="s">
        <v>8459</v>
      </c>
      <c r="C3456" s="150" t="s">
        <v>18</v>
      </c>
      <c r="D3456" s="150">
        <v>0</v>
      </c>
      <c r="E3456" s="151">
        <f ca="1">OFFSET(INDEX(Composições!A:H,MATCH(Orçamentária!A3456,Composições!A:A,0),8),2,0)</f>
        <v>1028.0899999999999</v>
      </c>
      <c r="F3456" s="152">
        <f t="shared" ca="1" si="161"/>
        <v>0</v>
      </c>
      <c r="G3456" s="153">
        <f>IF($K3456="Padrão",BDI!$B$17,IF($K3456="Diferenciado",BDI!$E$17,0))</f>
        <v>0.2039</v>
      </c>
      <c r="H3456" s="151">
        <f t="shared" ca="1" si="159"/>
        <v>1237.72</v>
      </c>
      <c r="I3456" s="152">
        <f t="shared" ca="1" si="160"/>
        <v>0</v>
      </c>
      <c r="J3456" s="154"/>
      <c r="K3456" s="155" t="s">
        <v>2966</v>
      </c>
    </row>
    <row r="3457" spans="1:11" hidden="1" x14ac:dyDescent="0.25">
      <c r="A3457" s="148" t="s">
        <v>8460</v>
      </c>
      <c r="B3457" s="149" t="s">
        <v>8461</v>
      </c>
      <c r="C3457" s="150" t="s">
        <v>18</v>
      </c>
      <c r="D3457" s="150">
        <v>0</v>
      </c>
      <c r="E3457" s="151" t="s">
        <v>13</v>
      </c>
      <c r="F3457" s="152" t="str">
        <f t="shared" si="161"/>
        <v/>
      </c>
      <c r="G3457" s="153">
        <f>IF($K3457="Padrão",BDI!$B$17,IF($K3457="Diferenciado",BDI!$E$17,0))</f>
        <v>0.2039</v>
      </c>
      <c r="H3457" s="151" t="str">
        <f t="shared" si="159"/>
        <v/>
      </c>
      <c r="I3457" s="152" t="str">
        <f t="shared" si="160"/>
        <v/>
      </c>
      <c r="J3457" s="154"/>
      <c r="K3457" s="155" t="s">
        <v>2966</v>
      </c>
    </row>
    <row r="3458" spans="1:11" hidden="1" x14ac:dyDescent="0.25">
      <c r="A3458" s="148" t="s">
        <v>8462</v>
      </c>
      <c r="B3458" s="149" t="s">
        <v>8463</v>
      </c>
      <c r="C3458" s="150" t="s">
        <v>18</v>
      </c>
      <c r="D3458" s="150">
        <v>0</v>
      </c>
      <c r="E3458" s="151" t="s">
        <v>13</v>
      </c>
      <c r="F3458" s="152" t="str">
        <f t="shared" si="161"/>
        <v/>
      </c>
      <c r="G3458" s="153">
        <f>IF($K3458="Padrão",BDI!$B$17,IF($K3458="Diferenciado",BDI!$E$17,0))</f>
        <v>0.2039</v>
      </c>
      <c r="H3458" s="151" t="str">
        <f t="shared" si="159"/>
        <v/>
      </c>
      <c r="I3458" s="152" t="str">
        <f t="shared" si="160"/>
        <v/>
      </c>
      <c r="J3458" s="154"/>
      <c r="K3458" s="155" t="s">
        <v>2966</v>
      </c>
    </row>
    <row r="3459" spans="1:11" hidden="1" x14ac:dyDescent="0.25">
      <c r="A3459" s="148" t="s">
        <v>8464</v>
      </c>
      <c r="B3459" s="149" t="s">
        <v>8465</v>
      </c>
      <c r="C3459" s="150" t="s">
        <v>18</v>
      </c>
      <c r="D3459" s="150">
        <v>0</v>
      </c>
      <c r="E3459" s="151" t="s">
        <v>13</v>
      </c>
      <c r="F3459" s="152" t="str">
        <f t="shared" si="161"/>
        <v/>
      </c>
      <c r="G3459" s="153">
        <f>IF($K3459="Padrão",BDI!$B$17,IF($K3459="Diferenciado",BDI!$E$17,0))</f>
        <v>0.2039</v>
      </c>
      <c r="H3459" s="151" t="str">
        <f t="shared" si="159"/>
        <v/>
      </c>
      <c r="I3459" s="152" t="str">
        <f t="shared" si="160"/>
        <v/>
      </c>
      <c r="J3459" s="154"/>
      <c r="K3459" s="155" t="s">
        <v>2966</v>
      </c>
    </row>
    <row r="3460" spans="1:11" hidden="1" x14ac:dyDescent="0.25">
      <c r="A3460" s="148" t="s">
        <v>2020</v>
      </c>
      <c r="B3460" s="149" t="s">
        <v>8466</v>
      </c>
      <c r="C3460" s="150" t="s">
        <v>18</v>
      </c>
      <c r="D3460" s="150">
        <v>0</v>
      </c>
      <c r="E3460" s="151">
        <f ca="1">OFFSET(INDEX(Composições!A:H,MATCH(Orçamentária!A3460,Composições!A:A,0),8),2,0)</f>
        <v>61.645499999999998</v>
      </c>
      <c r="F3460" s="152">
        <f t="shared" ca="1" si="161"/>
        <v>0</v>
      </c>
      <c r="G3460" s="153">
        <f>IF($K3460="Padrão",BDI!$B$17,IF($K3460="Diferenciado",BDI!$E$17,0))</f>
        <v>0.2039</v>
      </c>
      <c r="H3460" s="151">
        <f t="shared" ca="1" si="159"/>
        <v>74.22</v>
      </c>
      <c r="I3460" s="152">
        <f t="shared" ca="1" si="160"/>
        <v>0</v>
      </c>
      <c r="J3460" s="154"/>
      <c r="K3460" s="155" t="s">
        <v>2966</v>
      </c>
    </row>
    <row r="3461" spans="1:11" hidden="1" x14ac:dyDescent="0.25">
      <c r="A3461" s="148" t="s">
        <v>2021</v>
      </c>
      <c r="B3461" s="149" t="s">
        <v>8467</v>
      </c>
      <c r="C3461" s="150" t="s">
        <v>18</v>
      </c>
      <c r="D3461" s="150">
        <v>0</v>
      </c>
      <c r="E3461" s="151">
        <f ca="1">OFFSET(INDEX(Composições!A:H,MATCH(Orçamentária!A3461,Composições!A:A,0),8),2,0)</f>
        <v>12.4735</v>
      </c>
      <c r="F3461" s="152">
        <f t="shared" ca="1" si="161"/>
        <v>0</v>
      </c>
      <c r="G3461" s="153">
        <f>IF($K3461="Padrão",BDI!$B$17,IF($K3461="Diferenciado",BDI!$E$17,0))</f>
        <v>0.2039</v>
      </c>
      <c r="H3461" s="151">
        <f t="shared" ca="1" si="159"/>
        <v>15.02</v>
      </c>
      <c r="I3461" s="152">
        <f t="shared" ca="1" si="160"/>
        <v>0</v>
      </c>
      <c r="J3461" s="154"/>
      <c r="K3461" s="155" t="s">
        <v>2966</v>
      </c>
    </row>
    <row r="3462" spans="1:11" hidden="1" x14ac:dyDescent="0.25">
      <c r="A3462" s="148" t="s">
        <v>2022</v>
      </c>
      <c r="B3462" s="149" t="s">
        <v>8468</v>
      </c>
      <c r="C3462" s="150" t="s">
        <v>18</v>
      </c>
      <c r="D3462" s="150">
        <v>0</v>
      </c>
      <c r="E3462" s="151">
        <f ca="1">OFFSET(INDEX(Composições!A:H,MATCH(Orçamentária!A3462,Composições!A:A,0),8),2,0)</f>
        <v>16.111999999999998</v>
      </c>
      <c r="F3462" s="152">
        <f t="shared" ca="1" si="161"/>
        <v>0</v>
      </c>
      <c r="G3462" s="153">
        <f>IF($K3462="Padrão",BDI!$B$17,IF($K3462="Diferenciado",BDI!$E$17,0))</f>
        <v>0.2039</v>
      </c>
      <c r="H3462" s="151">
        <f t="shared" ref="H3462:H3525" ca="1" si="162">IF(ISNUMBER(E3462),ROUND(E3462*(1+G3462),2),"")</f>
        <v>19.399999999999999</v>
      </c>
      <c r="I3462" s="152">
        <f t="shared" ref="I3462:I3525" ca="1" si="163">IF(ISNUMBER(E3462),ROUND(H3462*D3462,2),"")</f>
        <v>0</v>
      </c>
      <c r="J3462" s="154"/>
      <c r="K3462" s="155" t="s">
        <v>2966</v>
      </c>
    </row>
    <row r="3463" spans="1:11" hidden="1" x14ac:dyDescent="0.25">
      <c r="A3463" s="148" t="s">
        <v>2023</v>
      </c>
      <c r="B3463" s="149" t="s">
        <v>8469</v>
      </c>
      <c r="C3463" s="150" t="s">
        <v>18</v>
      </c>
      <c r="D3463" s="150">
        <v>0</v>
      </c>
      <c r="E3463" s="151">
        <f ca="1">OFFSET(INDEX(Composições!A:H,MATCH(Orçamentária!A3463,Composições!A:A,0),8),2,0)</f>
        <v>6.84</v>
      </c>
      <c r="F3463" s="152">
        <f t="shared" ref="F3463:F3526" ca="1" si="164">IF(ISNUMBER(E3463),D3463*E3463,"")</f>
        <v>0</v>
      </c>
      <c r="G3463" s="153">
        <f>IF($K3463="Padrão",BDI!$B$17,IF($K3463="Diferenciado",BDI!$E$17,0))</f>
        <v>0.2039</v>
      </c>
      <c r="H3463" s="151">
        <f t="shared" ca="1" si="162"/>
        <v>8.23</v>
      </c>
      <c r="I3463" s="152">
        <f t="shared" ca="1" si="163"/>
        <v>0</v>
      </c>
      <c r="J3463" s="154"/>
      <c r="K3463" s="155" t="s">
        <v>2966</v>
      </c>
    </row>
    <row r="3464" spans="1:11" hidden="1" x14ac:dyDescent="0.25">
      <c r="A3464" s="148" t="s">
        <v>2024</v>
      </c>
      <c r="B3464" s="149" t="s">
        <v>8470</v>
      </c>
      <c r="C3464" s="150" t="s">
        <v>18</v>
      </c>
      <c r="D3464" s="150">
        <v>0</v>
      </c>
      <c r="E3464" s="151">
        <f ca="1">OFFSET(INDEX(Composições!A:H,MATCH(Orçamentária!A3464,Composições!A:A,0),8),2,0)</f>
        <v>1.3109999999999999</v>
      </c>
      <c r="F3464" s="152">
        <f t="shared" ca="1" si="164"/>
        <v>0</v>
      </c>
      <c r="G3464" s="153">
        <f>IF($K3464="Padrão",BDI!$B$17,IF($K3464="Diferenciado",BDI!$E$17,0))</f>
        <v>0.2039</v>
      </c>
      <c r="H3464" s="151">
        <f t="shared" ca="1" si="162"/>
        <v>1.58</v>
      </c>
      <c r="I3464" s="152">
        <f t="shared" ca="1" si="163"/>
        <v>0</v>
      </c>
      <c r="J3464" s="154"/>
      <c r="K3464" s="155" t="s">
        <v>2966</v>
      </c>
    </row>
    <row r="3465" spans="1:11" hidden="1" x14ac:dyDescent="0.25">
      <c r="A3465" s="148" t="s">
        <v>2025</v>
      </c>
      <c r="B3465" s="149" t="s">
        <v>8471</v>
      </c>
      <c r="C3465" s="150" t="s">
        <v>18</v>
      </c>
      <c r="D3465" s="150">
        <v>0</v>
      </c>
      <c r="E3465" s="151">
        <f ca="1">OFFSET(INDEX(Composições!A:H,MATCH(Orçamentária!A3465,Composições!A:A,0),8),2,0)</f>
        <v>20.7575</v>
      </c>
      <c r="F3465" s="152">
        <f t="shared" ca="1" si="164"/>
        <v>0</v>
      </c>
      <c r="G3465" s="153">
        <f>IF($K3465="Padrão",BDI!$B$17,IF($K3465="Diferenciado",BDI!$E$17,0))</f>
        <v>0.2039</v>
      </c>
      <c r="H3465" s="151">
        <f t="shared" ca="1" si="162"/>
        <v>24.99</v>
      </c>
      <c r="I3465" s="152">
        <f t="shared" ca="1" si="163"/>
        <v>0</v>
      </c>
      <c r="J3465" s="154"/>
      <c r="K3465" s="155" t="s">
        <v>2966</v>
      </c>
    </row>
    <row r="3466" spans="1:11" hidden="1" x14ac:dyDescent="0.25">
      <c r="A3466" s="148" t="s">
        <v>2026</v>
      </c>
      <c r="B3466" s="149" t="s">
        <v>8472</v>
      </c>
      <c r="C3466" s="150" t="s">
        <v>18</v>
      </c>
      <c r="D3466" s="150">
        <v>0</v>
      </c>
      <c r="E3466" s="151">
        <f ca="1">OFFSET(INDEX(Composições!A:H,MATCH(Orçamentária!A3466,Composições!A:A,0),8),2,0)</f>
        <v>52.0505</v>
      </c>
      <c r="F3466" s="152">
        <f t="shared" ca="1" si="164"/>
        <v>0</v>
      </c>
      <c r="G3466" s="153">
        <f>IF($K3466="Padrão",BDI!$B$17,IF($K3466="Diferenciado",BDI!$E$17,0))</f>
        <v>0.2039</v>
      </c>
      <c r="H3466" s="151">
        <f t="shared" ca="1" si="162"/>
        <v>62.66</v>
      </c>
      <c r="I3466" s="152">
        <f t="shared" ca="1" si="163"/>
        <v>0</v>
      </c>
      <c r="J3466" s="154"/>
      <c r="K3466" s="155" t="s">
        <v>2966</v>
      </c>
    </row>
    <row r="3467" spans="1:11" hidden="1" x14ac:dyDescent="0.25">
      <c r="A3467" s="148" t="s">
        <v>8473</v>
      </c>
      <c r="B3467" s="149" t="s">
        <v>8474</v>
      </c>
      <c r="C3467" s="150" t="s">
        <v>18</v>
      </c>
      <c r="D3467" s="150">
        <v>0</v>
      </c>
      <c r="E3467" s="151" t="s">
        <v>13</v>
      </c>
      <c r="F3467" s="152" t="str">
        <f t="shared" si="164"/>
        <v/>
      </c>
      <c r="G3467" s="153">
        <f>IF($K3467="Padrão",BDI!$B$17,IF($K3467="Diferenciado",BDI!$E$17,0))</f>
        <v>0.2039</v>
      </c>
      <c r="H3467" s="151" t="str">
        <f t="shared" si="162"/>
        <v/>
      </c>
      <c r="I3467" s="152" t="str">
        <f t="shared" si="163"/>
        <v/>
      </c>
      <c r="J3467" s="154"/>
      <c r="K3467" s="155" t="s">
        <v>2966</v>
      </c>
    </row>
    <row r="3468" spans="1:11" hidden="1" x14ac:dyDescent="0.25">
      <c r="A3468" s="148" t="s">
        <v>2027</v>
      </c>
      <c r="B3468" s="149" t="s">
        <v>8475</v>
      </c>
      <c r="C3468" s="150" t="s">
        <v>18</v>
      </c>
      <c r="D3468" s="150">
        <v>0</v>
      </c>
      <c r="E3468" s="151">
        <f ca="1">OFFSET(INDEX(Composições!A:H,MATCH(Orçamentária!A3468,Composições!A:A,0),8),2,0)</f>
        <v>9.6044999999999998</v>
      </c>
      <c r="F3468" s="152">
        <f t="shared" ca="1" si="164"/>
        <v>0</v>
      </c>
      <c r="G3468" s="153">
        <f>IF($K3468="Padrão",BDI!$B$17,IF($K3468="Diferenciado",BDI!$E$17,0))</f>
        <v>0.2039</v>
      </c>
      <c r="H3468" s="151">
        <f t="shared" ca="1" si="162"/>
        <v>11.56</v>
      </c>
      <c r="I3468" s="152">
        <f t="shared" ca="1" si="163"/>
        <v>0</v>
      </c>
      <c r="J3468" s="154"/>
      <c r="K3468" s="155" t="s">
        <v>2966</v>
      </c>
    </row>
    <row r="3469" spans="1:11" hidden="1" x14ac:dyDescent="0.25">
      <c r="A3469" s="148" t="s">
        <v>2028</v>
      </c>
      <c r="B3469" s="149" t="s">
        <v>8476</v>
      </c>
      <c r="C3469" s="150" t="s">
        <v>18</v>
      </c>
      <c r="D3469" s="150">
        <v>0</v>
      </c>
      <c r="E3469" s="151">
        <f ca="1">OFFSET(INDEX(Composições!A:H,MATCH(Orçamentária!A3469,Composições!A:A,0),8),2,0)</f>
        <v>14.193</v>
      </c>
      <c r="F3469" s="152">
        <f t="shared" ca="1" si="164"/>
        <v>0</v>
      </c>
      <c r="G3469" s="153">
        <f>IF($K3469="Padrão",BDI!$B$17,IF($K3469="Diferenciado",BDI!$E$17,0))</f>
        <v>0.2039</v>
      </c>
      <c r="H3469" s="151">
        <f t="shared" ca="1" si="162"/>
        <v>17.09</v>
      </c>
      <c r="I3469" s="152">
        <f t="shared" ca="1" si="163"/>
        <v>0</v>
      </c>
      <c r="J3469" s="154"/>
      <c r="K3469" s="155" t="s">
        <v>2966</v>
      </c>
    </row>
    <row r="3470" spans="1:11" ht="25.5" hidden="1" x14ac:dyDescent="0.25">
      <c r="A3470" s="148" t="s">
        <v>2029</v>
      </c>
      <c r="B3470" s="149" t="s">
        <v>8477</v>
      </c>
      <c r="C3470" s="150" t="s">
        <v>18</v>
      </c>
      <c r="D3470" s="150">
        <v>0</v>
      </c>
      <c r="E3470" s="151">
        <f ca="1">OFFSET(INDEX(Composições!A:H,MATCH(Orçamentária!A3470,Composições!A:A,0),8),2,0)</f>
        <v>0</v>
      </c>
      <c r="F3470" s="152">
        <f t="shared" ca="1" si="164"/>
        <v>0</v>
      </c>
      <c r="G3470" s="153">
        <f>IF($K3470="Padrão",BDI!$B$17,IF($K3470="Diferenciado",BDI!$E$17,0))</f>
        <v>0.2039</v>
      </c>
      <c r="H3470" s="151">
        <f t="shared" ca="1" si="162"/>
        <v>0</v>
      </c>
      <c r="I3470" s="152">
        <f t="shared" ca="1" si="163"/>
        <v>0</v>
      </c>
      <c r="J3470" s="154"/>
      <c r="K3470" s="155" t="s">
        <v>2966</v>
      </c>
    </row>
    <row r="3471" spans="1:11" ht="25.5" hidden="1" x14ac:dyDescent="0.25">
      <c r="A3471" s="148" t="s">
        <v>2031</v>
      </c>
      <c r="B3471" s="149" t="s">
        <v>8478</v>
      </c>
      <c r="C3471" s="150" t="s">
        <v>18</v>
      </c>
      <c r="D3471" s="150">
        <v>0</v>
      </c>
      <c r="E3471" s="151">
        <f ca="1">OFFSET(INDEX(Composições!A:H,MATCH(Orçamentária!A3471,Composições!A:A,0),8),2,0)</f>
        <v>0</v>
      </c>
      <c r="F3471" s="152">
        <f t="shared" ca="1" si="164"/>
        <v>0</v>
      </c>
      <c r="G3471" s="153">
        <f>IF($K3471="Padrão",BDI!$B$17,IF($K3471="Diferenciado",BDI!$E$17,0))</f>
        <v>0.2039</v>
      </c>
      <c r="H3471" s="151">
        <f t="shared" ca="1" si="162"/>
        <v>0</v>
      </c>
      <c r="I3471" s="152">
        <f t="shared" ca="1" si="163"/>
        <v>0</v>
      </c>
      <c r="J3471" s="154"/>
      <c r="K3471" s="155" t="s">
        <v>2966</v>
      </c>
    </row>
    <row r="3472" spans="1:11" hidden="1" x14ac:dyDescent="0.25">
      <c r="A3472" s="148" t="s">
        <v>8479</v>
      </c>
      <c r="B3472" s="149" t="s">
        <v>8480</v>
      </c>
      <c r="C3472" s="150" t="s">
        <v>18</v>
      </c>
      <c r="D3472" s="150">
        <v>0</v>
      </c>
      <c r="E3472" s="151" t="s">
        <v>13</v>
      </c>
      <c r="F3472" s="152" t="str">
        <f t="shared" si="164"/>
        <v/>
      </c>
      <c r="G3472" s="153">
        <f>IF($K3472="Padrão",BDI!$B$17,IF($K3472="Diferenciado",BDI!$E$17,0))</f>
        <v>0.2039</v>
      </c>
      <c r="H3472" s="151" t="str">
        <f t="shared" si="162"/>
        <v/>
      </c>
      <c r="I3472" s="152" t="str">
        <f t="shared" si="163"/>
        <v/>
      </c>
      <c r="J3472" s="154"/>
      <c r="K3472" s="155" t="s">
        <v>2966</v>
      </c>
    </row>
    <row r="3473" spans="1:11" hidden="1" x14ac:dyDescent="0.25">
      <c r="A3473" s="148" t="s">
        <v>8481</v>
      </c>
      <c r="B3473" s="149" t="s">
        <v>8482</v>
      </c>
      <c r="C3473" s="150" t="s">
        <v>18</v>
      </c>
      <c r="D3473" s="150">
        <v>0</v>
      </c>
      <c r="E3473" s="151" t="s">
        <v>13</v>
      </c>
      <c r="F3473" s="152" t="str">
        <f t="shared" si="164"/>
        <v/>
      </c>
      <c r="G3473" s="153">
        <f>IF($K3473="Padrão",BDI!$B$17,IF($K3473="Diferenciado",BDI!$E$17,0))</f>
        <v>0.2039</v>
      </c>
      <c r="H3473" s="151" t="str">
        <f t="shared" si="162"/>
        <v/>
      </c>
      <c r="I3473" s="152" t="str">
        <f t="shared" si="163"/>
        <v/>
      </c>
      <c r="J3473" s="154"/>
      <c r="K3473" s="155" t="s">
        <v>2966</v>
      </c>
    </row>
    <row r="3474" spans="1:11" hidden="1" x14ac:dyDescent="0.25">
      <c r="A3474" s="148" t="s">
        <v>8483</v>
      </c>
      <c r="B3474" s="149" t="s">
        <v>8484</v>
      </c>
      <c r="C3474" s="150" t="s">
        <v>18</v>
      </c>
      <c r="D3474" s="150">
        <v>0</v>
      </c>
      <c r="E3474" s="151" t="s">
        <v>13</v>
      </c>
      <c r="F3474" s="152" t="str">
        <f t="shared" si="164"/>
        <v/>
      </c>
      <c r="G3474" s="153">
        <f>IF($K3474="Padrão",BDI!$B$17,IF($K3474="Diferenciado",BDI!$E$17,0))</f>
        <v>0.2039</v>
      </c>
      <c r="H3474" s="151" t="str">
        <f t="shared" si="162"/>
        <v/>
      </c>
      <c r="I3474" s="152" t="str">
        <f t="shared" si="163"/>
        <v/>
      </c>
      <c r="J3474" s="154"/>
      <c r="K3474" s="155" t="s">
        <v>2966</v>
      </c>
    </row>
    <row r="3475" spans="1:11" hidden="1" x14ac:dyDescent="0.25">
      <c r="A3475" s="148" t="s">
        <v>8485</v>
      </c>
      <c r="B3475" s="149" t="s">
        <v>8486</v>
      </c>
      <c r="C3475" s="150" t="s">
        <v>18</v>
      </c>
      <c r="D3475" s="150">
        <v>0</v>
      </c>
      <c r="E3475" s="151" t="s">
        <v>13</v>
      </c>
      <c r="F3475" s="152" t="str">
        <f t="shared" si="164"/>
        <v/>
      </c>
      <c r="G3475" s="153">
        <f>IF($K3475="Padrão",BDI!$B$17,IF($K3475="Diferenciado",BDI!$E$17,0))</f>
        <v>0.2039</v>
      </c>
      <c r="H3475" s="151" t="str">
        <f t="shared" si="162"/>
        <v/>
      </c>
      <c r="I3475" s="152" t="str">
        <f t="shared" si="163"/>
        <v/>
      </c>
      <c r="J3475" s="154"/>
      <c r="K3475" s="155" t="s">
        <v>2966</v>
      </c>
    </row>
    <row r="3476" spans="1:11" hidden="1" x14ac:dyDescent="0.25">
      <c r="A3476" s="148" t="s">
        <v>2033</v>
      </c>
      <c r="B3476" s="149" t="s">
        <v>2034</v>
      </c>
      <c r="C3476" s="150" t="s">
        <v>106</v>
      </c>
      <c r="D3476" s="150">
        <v>0</v>
      </c>
      <c r="E3476" s="151">
        <f ca="1">OFFSET(INDEX(Composições!A:H,MATCH(Orçamentária!A3476,Composições!A:A,0),8),2,0)</f>
        <v>6.1735328199999993</v>
      </c>
      <c r="F3476" s="152">
        <f t="shared" ca="1" si="164"/>
        <v>0</v>
      </c>
      <c r="G3476" s="153">
        <f>IF($K3476="Padrão",BDI!$B$17,IF($K3476="Diferenciado",BDI!$E$17,0))</f>
        <v>0.2039</v>
      </c>
      <c r="H3476" s="151">
        <f t="shared" ca="1" si="162"/>
        <v>7.43</v>
      </c>
      <c r="I3476" s="152">
        <f t="shared" ca="1" si="163"/>
        <v>0</v>
      </c>
      <c r="J3476" s="154"/>
      <c r="K3476" s="155" t="s">
        <v>2966</v>
      </c>
    </row>
    <row r="3477" spans="1:11" hidden="1" x14ac:dyDescent="0.25">
      <c r="A3477" s="148" t="s">
        <v>2035</v>
      </c>
      <c r="B3477" s="149" t="s">
        <v>8487</v>
      </c>
      <c r="C3477" s="150" t="s">
        <v>3982</v>
      </c>
      <c r="D3477" s="150">
        <v>0</v>
      </c>
      <c r="E3477" s="151" t="e">
        <f ca="1">OFFSET(INDEX(Composições!A:H,MATCH(Orçamentária!A3477,Composições!A:A,0),8),2,0)</f>
        <v>#REF!</v>
      </c>
      <c r="F3477" s="152" t="str">
        <f t="shared" ca="1" si="164"/>
        <v/>
      </c>
      <c r="G3477" s="153">
        <f>IF($K3477="Padrão",BDI!$B$17,IF($K3477="Diferenciado",BDI!$E$17,0))</f>
        <v>0.2039</v>
      </c>
      <c r="H3477" s="151" t="str">
        <f t="shared" ca="1" si="162"/>
        <v/>
      </c>
      <c r="I3477" s="152" t="str">
        <f t="shared" ca="1" si="163"/>
        <v/>
      </c>
      <c r="J3477" s="154"/>
      <c r="K3477" s="155" t="s">
        <v>2966</v>
      </c>
    </row>
    <row r="3478" spans="1:11" hidden="1" x14ac:dyDescent="0.25">
      <c r="A3478" s="148" t="s">
        <v>8488</v>
      </c>
      <c r="B3478" s="149" t="s">
        <v>8489</v>
      </c>
      <c r="C3478" s="150" t="s">
        <v>18</v>
      </c>
      <c r="D3478" s="150">
        <v>0</v>
      </c>
      <c r="E3478" s="151" t="s">
        <v>13</v>
      </c>
      <c r="F3478" s="152" t="str">
        <f t="shared" si="164"/>
        <v/>
      </c>
      <c r="G3478" s="153">
        <f>IF($K3478="Padrão",BDI!$B$17,IF($K3478="Diferenciado",BDI!$E$17,0))</f>
        <v>0.2039</v>
      </c>
      <c r="H3478" s="151" t="str">
        <f t="shared" si="162"/>
        <v/>
      </c>
      <c r="I3478" s="152" t="str">
        <f t="shared" si="163"/>
        <v/>
      </c>
      <c r="J3478" s="154"/>
      <c r="K3478" s="155" t="s">
        <v>2966</v>
      </c>
    </row>
    <row r="3479" spans="1:11" hidden="1" x14ac:dyDescent="0.25">
      <c r="A3479" s="148" t="s">
        <v>2036</v>
      </c>
      <c r="B3479" s="149" t="s">
        <v>8490</v>
      </c>
      <c r="C3479" s="150" t="s">
        <v>68</v>
      </c>
      <c r="D3479" s="150">
        <v>0</v>
      </c>
      <c r="E3479" s="151">
        <f ca="1">OFFSET(INDEX(Composições!A:H,MATCH(Orçamentária!A3479,Composições!A:A,0),8),2,0)</f>
        <v>312.53655750000001</v>
      </c>
      <c r="F3479" s="152">
        <f t="shared" ca="1" si="164"/>
        <v>0</v>
      </c>
      <c r="G3479" s="153">
        <f>IF($K3479="Padrão",BDI!$B$17,IF($K3479="Diferenciado",BDI!$E$17,0))</f>
        <v>0.2039</v>
      </c>
      <c r="H3479" s="151">
        <f t="shared" ca="1" si="162"/>
        <v>376.26</v>
      </c>
      <c r="I3479" s="152">
        <f t="shared" ca="1" si="163"/>
        <v>0</v>
      </c>
      <c r="J3479" s="154"/>
      <c r="K3479" s="155" t="s">
        <v>2966</v>
      </c>
    </row>
    <row r="3480" spans="1:11" hidden="1" x14ac:dyDescent="0.25">
      <c r="A3480" s="148" t="s">
        <v>2037</v>
      </c>
      <c r="B3480" s="149" t="s">
        <v>8491</v>
      </c>
      <c r="C3480" s="150" t="s">
        <v>68</v>
      </c>
      <c r="D3480" s="150">
        <v>0</v>
      </c>
      <c r="E3480" s="151">
        <f ca="1">OFFSET(INDEX(Composições!A:H,MATCH(Orçamentária!A3480,Composições!A:A,0),8),2,0)</f>
        <v>312.53655750000001</v>
      </c>
      <c r="F3480" s="152">
        <f t="shared" ca="1" si="164"/>
        <v>0</v>
      </c>
      <c r="G3480" s="153">
        <f>IF($K3480="Padrão",BDI!$B$17,IF($K3480="Diferenciado",BDI!$E$17,0))</f>
        <v>0.2039</v>
      </c>
      <c r="H3480" s="151">
        <f t="shared" ca="1" si="162"/>
        <v>376.26</v>
      </c>
      <c r="I3480" s="152">
        <f t="shared" ca="1" si="163"/>
        <v>0</v>
      </c>
      <c r="J3480" s="154"/>
      <c r="K3480" s="155" t="s">
        <v>2966</v>
      </c>
    </row>
    <row r="3481" spans="1:11" hidden="1" x14ac:dyDescent="0.25">
      <c r="A3481" s="148" t="s">
        <v>8492</v>
      </c>
      <c r="B3481" s="149" t="s">
        <v>8493</v>
      </c>
      <c r="C3481" s="150" t="s">
        <v>68</v>
      </c>
      <c r="D3481" s="150">
        <v>0</v>
      </c>
      <c r="E3481" s="151" t="s">
        <v>13</v>
      </c>
      <c r="F3481" s="152" t="str">
        <f t="shared" si="164"/>
        <v/>
      </c>
      <c r="G3481" s="153">
        <f>IF($K3481="Padrão",BDI!$B$17,IF($K3481="Diferenciado",BDI!$E$17,0))</f>
        <v>0.2039</v>
      </c>
      <c r="H3481" s="151" t="str">
        <f t="shared" si="162"/>
        <v/>
      </c>
      <c r="I3481" s="152" t="str">
        <f t="shared" si="163"/>
        <v/>
      </c>
      <c r="J3481" s="154"/>
      <c r="K3481" s="155" t="s">
        <v>2966</v>
      </c>
    </row>
    <row r="3482" spans="1:11" hidden="1" x14ac:dyDescent="0.25">
      <c r="A3482" s="148" t="s">
        <v>2038</v>
      </c>
      <c r="B3482" s="149" t="s">
        <v>8494</v>
      </c>
      <c r="C3482" s="150" t="s">
        <v>68</v>
      </c>
      <c r="D3482" s="150">
        <v>0</v>
      </c>
      <c r="E3482" s="151">
        <f ca="1">OFFSET(INDEX(Composições!A:H,MATCH(Orçamentária!A3482,Composições!A:A,0),8),2,0)</f>
        <v>16.883086500000001</v>
      </c>
      <c r="F3482" s="152">
        <f t="shared" ca="1" si="164"/>
        <v>0</v>
      </c>
      <c r="G3482" s="153">
        <f>IF($K3482="Padrão",BDI!$B$17,IF($K3482="Diferenciado",BDI!$E$17,0))</f>
        <v>0.2039</v>
      </c>
      <c r="H3482" s="151">
        <f t="shared" ca="1" si="162"/>
        <v>20.329999999999998</v>
      </c>
      <c r="I3482" s="152">
        <f t="shared" ca="1" si="163"/>
        <v>0</v>
      </c>
      <c r="J3482" s="154"/>
      <c r="K3482" s="155" t="s">
        <v>2966</v>
      </c>
    </row>
    <row r="3483" spans="1:11" hidden="1" x14ac:dyDescent="0.25">
      <c r="A3483" s="148" t="s">
        <v>2039</v>
      </c>
      <c r="B3483" s="149" t="s">
        <v>8495</v>
      </c>
      <c r="C3483" s="150" t="s">
        <v>68</v>
      </c>
      <c r="D3483" s="150">
        <v>0</v>
      </c>
      <c r="E3483" s="151">
        <f ca="1">OFFSET(INDEX(Composições!A:H,MATCH(Orçamentária!A3483,Composições!A:A,0),8),2,0)</f>
        <v>85.469444408510995</v>
      </c>
      <c r="F3483" s="152">
        <f t="shared" ca="1" si="164"/>
        <v>0</v>
      </c>
      <c r="G3483" s="153">
        <f>IF($K3483="Padrão",BDI!$B$17,IF($K3483="Diferenciado",BDI!$E$17,0))</f>
        <v>0.2039</v>
      </c>
      <c r="H3483" s="151">
        <f t="shared" ca="1" si="162"/>
        <v>102.9</v>
      </c>
      <c r="I3483" s="152">
        <f t="shared" ca="1" si="163"/>
        <v>0</v>
      </c>
      <c r="J3483" s="154"/>
      <c r="K3483" s="155" t="s">
        <v>2966</v>
      </c>
    </row>
    <row r="3484" spans="1:11" hidden="1" x14ac:dyDescent="0.25">
      <c r="A3484" s="148" t="s">
        <v>8496</v>
      </c>
      <c r="B3484" s="149" t="s">
        <v>8497</v>
      </c>
      <c r="C3484" s="150" t="s">
        <v>18</v>
      </c>
      <c r="D3484" s="150">
        <v>0</v>
      </c>
      <c r="E3484" s="151" t="s">
        <v>13</v>
      </c>
      <c r="F3484" s="152" t="str">
        <f t="shared" si="164"/>
        <v/>
      </c>
      <c r="G3484" s="153">
        <f>IF($K3484="Padrão",BDI!$B$17,IF($K3484="Diferenciado",BDI!$E$17,0))</f>
        <v>0.2039</v>
      </c>
      <c r="H3484" s="151" t="str">
        <f t="shared" si="162"/>
        <v/>
      </c>
      <c r="I3484" s="152" t="str">
        <f t="shared" si="163"/>
        <v/>
      </c>
      <c r="J3484" s="154"/>
      <c r="K3484" s="155" t="s">
        <v>2966</v>
      </c>
    </row>
    <row r="3485" spans="1:11" hidden="1" x14ac:dyDescent="0.25">
      <c r="A3485" s="148" t="s">
        <v>2040</v>
      </c>
      <c r="B3485" s="149" t="s">
        <v>8498</v>
      </c>
      <c r="C3485" s="150" t="s">
        <v>1788</v>
      </c>
      <c r="D3485" s="150">
        <v>0</v>
      </c>
      <c r="E3485" s="151">
        <f ca="1">OFFSET(INDEX(Composições!A:H,MATCH(Orçamentária!A3485,Composições!A:A,0),8),2,0)</f>
        <v>51.546999999999997</v>
      </c>
      <c r="F3485" s="152">
        <f t="shared" ca="1" si="164"/>
        <v>0</v>
      </c>
      <c r="G3485" s="153">
        <f>IF($K3485="Padrão",BDI!$B$17,IF($K3485="Diferenciado",BDI!$E$17,0))</f>
        <v>0.2039</v>
      </c>
      <c r="H3485" s="151">
        <f t="shared" ca="1" si="162"/>
        <v>62.06</v>
      </c>
      <c r="I3485" s="152">
        <f t="shared" ca="1" si="163"/>
        <v>0</v>
      </c>
      <c r="J3485" s="154"/>
      <c r="K3485" s="155" t="s">
        <v>2966</v>
      </c>
    </row>
    <row r="3486" spans="1:11" hidden="1" x14ac:dyDescent="0.25">
      <c r="A3486" s="148" t="s">
        <v>8499</v>
      </c>
      <c r="B3486" s="149" t="s">
        <v>8500</v>
      </c>
      <c r="C3486" s="150" t="s">
        <v>18</v>
      </c>
      <c r="D3486" s="150">
        <v>0</v>
      </c>
      <c r="E3486" s="151" t="s">
        <v>13</v>
      </c>
      <c r="F3486" s="152" t="str">
        <f t="shared" si="164"/>
        <v/>
      </c>
      <c r="G3486" s="153">
        <f>IF($K3486="Padrão",BDI!$B$17,IF($K3486="Diferenciado",BDI!$E$17,0))</f>
        <v>0.2039</v>
      </c>
      <c r="H3486" s="151" t="str">
        <f t="shared" si="162"/>
        <v/>
      </c>
      <c r="I3486" s="152" t="str">
        <f t="shared" si="163"/>
        <v/>
      </c>
      <c r="J3486" s="154"/>
      <c r="K3486" s="155" t="s">
        <v>2966</v>
      </c>
    </row>
    <row r="3487" spans="1:11" hidden="1" x14ac:dyDescent="0.25">
      <c r="A3487" s="148" t="s">
        <v>2041</v>
      </c>
      <c r="B3487" s="149" t="s">
        <v>8501</v>
      </c>
      <c r="C3487" s="150" t="s">
        <v>72</v>
      </c>
      <c r="D3487" s="150">
        <v>0</v>
      </c>
      <c r="E3487" s="151">
        <f ca="1">OFFSET(INDEX(Composições!A:H,MATCH(Orçamentária!A3487,Composições!A:A,0),8),2,0)</f>
        <v>11.197069943289225</v>
      </c>
      <c r="F3487" s="152">
        <f t="shared" ca="1" si="164"/>
        <v>0</v>
      </c>
      <c r="G3487" s="153">
        <f>IF($K3487="Padrão",BDI!$B$17,IF($K3487="Diferenciado",BDI!$E$17,0))</f>
        <v>0.2039</v>
      </c>
      <c r="H3487" s="151">
        <f t="shared" ca="1" si="162"/>
        <v>13.48</v>
      </c>
      <c r="I3487" s="152">
        <f t="shared" ca="1" si="163"/>
        <v>0</v>
      </c>
      <c r="J3487" s="154"/>
      <c r="K3487" s="155" t="s">
        <v>2966</v>
      </c>
    </row>
    <row r="3488" spans="1:11" hidden="1" x14ac:dyDescent="0.25">
      <c r="A3488" s="148" t="s">
        <v>2043</v>
      </c>
      <c r="B3488" s="149" t="s">
        <v>8502</v>
      </c>
      <c r="C3488" s="150" t="s">
        <v>18</v>
      </c>
      <c r="D3488" s="150">
        <v>0</v>
      </c>
      <c r="E3488" s="151">
        <f ca="1">OFFSET(INDEX(Composições!A:H,MATCH(Orçamentária!A3488,Composições!A:A,0),8),2,0)</f>
        <v>634.04677700000002</v>
      </c>
      <c r="F3488" s="152">
        <f t="shared" ca="1" si="164"/>
        <v>0</v>
      </c>
      <c r="G3488" s="153">
        <f>IF($K3488="Padrão",BDI!$B$17,IF($K3488="Diferenciado",BDI!$E$17,0))</f>
        <v>0.2039</v>
      </c>
      <c r="H3488" s="151">
        <f t="shared" ca="1" si="162"/>
        <v>763.33</v>
      </c>
      <c r="I3488" s="152">
        <f t="shared" ca="1" si="163"/>
        <v>0</v>
      </c>
      <c r="J3488" s="154"/>
      <c r="K3488" s="155" t="s">
        <v>2966</v>
      </c>
    </row>
    <row r="3489" spans="1:11" hidden="1" x14ac:dyDescent="0.25">
      <c r="A3489" s="148" t="s">
        <v>2044</v>
      </c>
      <c r="B3489" s="149" t="s">
        <v>8503</v>
      </c>
      <c r="C3489" s="150" t="s">
        <v>68</v>
      </c>
      <c r="D3489" s="150">
        <v>0</v>
      </c>
      <c r="E3489" s="151">
        <f ca="1">OFFSET(INDEX(Composições!A:H,MATCH(Orçamentária!A3489,Composições!A:A,0),8),2,0)</f>
        <v>24.91375</v>
      </c>
      <c r="F3489" s="152">
        <f t="shared" ca="1" si="164"/>
        <v>0</v>
      </c>
      <c r="G3489" s="153">
        <f>IF($K3489="Padrão",BDI!$B$17,IF($K3489="Diferenciado",BDI!$E$17,0))</f>
        <v>0.2039</v>
      </c>
      <c r="H3489" s="151">
        <f t="shared" ca="1" si="162"/>
        <v>29.99</v>
      </c>
      <c r="I3489" s="152">
        <f t="shared" ca="1" si="163"/>
        <v>0</v>
      </c>
      <c r="J3489" s="154"/>
      <c r="K3489" s="155" t="s">
        <v>2966</v>
      </c>
    </row>
    <row r="3490" spans="1:11" hidden="1" x14ac:dyDescent="0.25">
      <c r="A3490" s="148" t="s">
        <v>2046</v>
      </c>
      <c r="B3490" s="149" t="s">
        <v>8504</v>
      </c>
      <c r="C3490" s="150" t="s">
        <v>18</v>
      </c>
      <c r="D3490" s="150">
        <v>0</v>
      </c>
      <c r="E3490" s="151">
        <f ca="1">OFFSET(INDEX(Composições!A:H,MATCH(Orçamentária!A3490,Composições!A:A,0),8),2,0)</f>
        <v>6348.6200000000008</v>
      </c>
      <c r="F3490" s="152">
        <f t="shared" ca="1" si="164"/>
        <v>0</v>
      </c>
      <c r="G3490" s="153">
        <f>IF($K3490="Padrão",BDI!$B$17,IF($K3490="Diferenciado",BDI!$E$17,0))</f>
        <v>0.2039</v>
      </c>
      <c r="H3490" s="151">
        <f t="shared" ca="1" si="162"/>
        <v>7643.1</v>
      </c>
      <c r="I3490" s="152">
        <f t="shared" ca="1" si="163"/>
        <v>0</v>
      </c>
      <c r="J3490" s="154"/>
      <c r="K3490" s="155" t="s">
        <v>2966</v>
      </c>
    </row>
    <row r="3491" spans="1:11" hidden="1" x14ac:dyDescent="0.25">
      <c r="A3491" s="148" t="s">
        <v>2047</v>
      </c>
      <c r="B3491" s="149" t="s">
        <v>8505</v>
      </c>
      <c r="C3491" s="150" t="s">
        <v>18</v>
      </c>
      <c r="D3491" s="150">
        <v>0</v>
      </c>
      <c r="E3491" s="151">
        <f ca="1">OFFSET(INDEX(Composições!A:H,MATCH(Orçamentária!A3491,Composições!A:A,0),8),2,0)</f>
        <v>243.11673368864001</v>
      </c>
      <c r="F3491" s="152">
        <f t="shared" ca="1" si="164"/>
        <v>0</v>
      </c>
      <c r="G3491" s="153">
        <f>IF($K3491="Padrão",BDI!$B$17,IF($K3491="Diferenciado",BDI!$E$17,0))</f>
        <v>0.2039</v>
      </c>
      <c r="H3491" s="151">
        <f t="shared" ca="1" si="162"/>
        <v>292.69</v>
      </c>
      <c r="I3491" s="152">
        <f t="shared" ca="1" si="163"/>
        <v>0</v>
      </c>
      <c r="J3491" s="154"/>
      <c r="K3491" s="155" t="s">
        <v>2966</v>
      </c>
    </row>
    <row r="3492" spans="1:11" hidden="1" x14ac:dyDescent="0.25">
      <c r="A3492" s="148" t="s">
        <v>2049</v>
      </c>
      <c r="B3492" s="149" t="s">
        <v>8506</v>
      </c>
      <c r="C3492" s="150" t="s">
        <v>3982</v>
      </c>
      <c r="D3492" s="150">
        <v>0</v>
      </c>
      <c r="E3492" s="151" t="e">
        <f ca="1">OFFSET(INDEX(Composições!A:H,MATCH(Orçamentária!A3492,Composições!A:A,0),8),2,0)</f>
        <v>#REF!</v>
      </c>
      <c r="F3492" s="152" t="str">
        <f t="shared" ca="1" si="164"/>
        <v/>
      </c>
      <c r="G3492" s="153">
        <f>IF($K3492="Padrão",BDI!$B$17,IF($K3492="Diferenciado",BDI!$E$17,0))</f>
        <v>0.2039</v>
      </c>
      <c r="H3492" s="151" t="str">
        <f t="shared" ca="1" si="162"/>
        <v/>
      </c>
      <c r="I3492" s="152" t="str">
        <f t="shared" ca="1" si="163"/>
        <v/>
      </c>
      <c r="J3492" s="154"/>
      <c r="K3492" s="155" t="s">
        <v>2966</v>
      </c>
    </row>
    <row r="3493" spans="1:11" hidden="1" x14ac:dyDescent="0.25">
      <c r="A3493" s="148" t="s">
        <v>2050</v>
      </c>
      <c r="B3493" s="149" t="s">
        <v>2051</v>
      </c>
      <c r="C3493" s="150" t="s">
        <v>68</v>
      </c>
      <c r="D3493" s="150">
        <v>0</v>
      </c>
      <c r="E3493" s="151">
        <f ca="1">OFFSET(INDEX(Composições!A:H,MATCH(Orçamentária!A3493,Composições!A:A,0),8),2,0)</f>
        <v>4.2992249999999999</v>
      </c>
      <c r="F3493" s="152">
        <f t="shared" ca="1" si="164"/>
        <v>0</v>
      </c>
      <c r="G3493" s="153">
        <f>IF($K3493="Padrão",BDI!$B$17,IF($K3493="Diferenciado",BDI!$E$17,0))</f>
        <v>0.2039</v>
      </c>
      <c r="H3493" s="151">
        <f t="shared" ca="1" si="162"/>
        <v>5.18</v>
      </c>
      <c r="I3493" s="152">
        <f t="shared" ca="1" si="163"/>
        <v>0</v>
      </c>
      <c r="J3493" s="154"/>
      <c r="K3493" s="155" t="s">
        <v>2966</v>
      </c>
    </row>
    <row r="3494" spans="1:11" hidden="1" x14ac:dyDescent="0.25">
      <c r="A3494" s="148" t="s">
        <v>8507</v>
      </c>
      <c r="B3494" s="149" t="s">
        <v>8508</v>
      </c>
      <c r="C3494" s="150" t="s">
        <v>18</v>
      </c>
      <c r="D3494" s="150">
        <v>0</v>
      </c>
      <c r="E3494" s="151" t="s">
        <v>13</v>
      </c>
      <c r="F3494" s="152" t="str">
        <f t="shared" si="164"/>
        <v/>
      </c>
      <c r="G3494" s="153">
        <f>IF($K3494="Padrão",BDI!$B$17,IF($K3494="Diferenciado",BDI!$E$17,0))</f>
        <v>0.2039</v>
      </c>
      <c r="H3494" s="151" t="str">
        <f t="shared" si="162"/>
        <v/>
      </c>
      <c r="I3494" s="152" t="str">
        <f t="shared" si="163"/>
        <v/>
      </c>
      <c r="J3494" s="154"/>
      <c r="K3494" s="155" t="s">
        <v>2966</v>
      </c>
    </row>
    <row r="3495" spans="1:11" hidden="1" x14ac:dyDescent="0.25">
      <c r="A3495" s="148" t="s">
        <v>2052</v>
      </c>
      <c r="B3495" s="149" t="s">
        <v>8509</v>
      </c>
      <c r="C3495" s="150" t="s">
        <v>68</v>
      </c>
      <c r="D3495" s="150">
        <v>0</v>
      </c>
      <c r="E3495" s="151">
        <f ca="1">OFFSET(INDEX(Composições!A:H,MATCH(Orçamentária!A3495,Composições!A:A,0),8),2,0)</f>
        <v>12.788284399999997</v>
      </c>
      <c r="F3495" s="152">
        <f t="shared" ca="1" si="164"/>
        <v>0</v>
      </c>
      <c r="G3495" s="153">
        <f>IF($K3495="Padrão",BDI!$B$17,IF($K3495="Diferenciado",BDI!$E$17,0))</f>
        <v>0.2039</v>
      </c>
      <c r="H3495" s="151">
        <f t="shared" ca="1" si="162"/>
        <v>15.4</v>
      </c>
      <c r="I3495" s="152">
        <f t="shared" ca="1" si="163"/>
        <v>0</v>
      </c>
      <c r="J3495" s="154"/>
      <c r="K3495" s="155" t="s">
        <v>2966</v>
      </c>
    </row>
    <row r="3496" spans="1:11" hidden="1" x14ac:dyDescent="0.25">
      <c r="A3496" s="148" t="s">
        <v>2053</v>
      </c>
      <c r="B3496" s="149" t="s">
        <v>8510</v>
      </c>
      <c r="C3496" s="150" t="s">
        <v>106</v>
      </c>
      <c r="D3496" s="150">
        <v>0</v>
      </c>
      <c r="E3496" s="151">
        <f ca="1">OFFSET(INDEX(Composições!A:H,MATCH(Orçamentária!A3496,Composições!A:A,0),8),2,0)</f>
        <v>10.073952</v>
      </c>
      <c r="F3496" s="152">
        <f t="shared" ca="1" si="164"/>
        <v>0</v>
      </c>
      <c r="G3496" s="153">
        <f>IF($K3496="Padrão",BDI!$B$17,IF($K3496="Diferenciado",BDI!$E$17,0))</f>
        <v>0.2039</v>
      </c>
      <c r="H3496" s="151">
        <f t="shared" ca="1" si="162"/>
        <v>12.13</v>
      </c>
      <c r="I3496" s="152">
        <f t="shared" ca="1" si="163"/>
        <v>0</v>
      </c>
      <c r="J3496" s="154"/>
      <c r="K3496" s="155" t="s">
        <v>2966</v>
      </c>
    </row>
    <row r="3497" spans="1:11" ht="25.5" hidden="1" x14ac:dyDescent="0.25">
      <c r="A3497" s="148" t="s">
        <v>2054</v>
      </c>
      <c r="B3497" s="149" t="s">
        <v>8511</v>
      </c>
      <c r="C3497" s="150" t="s">
        <v>18</v>
      </c>
      <c r="D3497" s="150">
        <v>0</v>
      </c>
      <c r="E3497" s="151">
        <f ca="1">OFFSET(INDEX(Composições!A:H,MATCH(Orçamentária!A3497,Composições!A:A,0),8),2,0)</f>
        <v>0</v>
      </c>
      <c r="F3497" s="152">
        <f t="shared" ca="1" si="164"/>
        <v>0</v>
      </c>
      <c r="G3497" s="153">
        <f>IF($K3497="Padrão",BDI!$B$17,IF($K3497="Diferenciado",BDI!$E$17,0))</f>
        <v>0.2039</v>
      </c>
      <c r="H3497" s="151">
        <f t="shared" ca="1" si="162"/>
        <v>0</v>
      </c>
      <c r="I3497" s="152">
        <f t="shared" ca="1" si="163"/>
        <v>0</v>
      </c>
      <c r="J3497" s="154"/>
      <c r="K3497" s="155" t="s">
        <v>2966</v>
      </c>
    </row>
    <row r="3498" spans="1:11" hidden="1" x14ac:dyDescent="0.25">
      <c r="A3498" s="148" t="s">
        <v>8512</v>
      </c>
      <c r="B3498" s="149" t="s">
        <v>8513</v>
      </c>
      <c r="C3498" s="150" t="s">
        <v>18</v>
      </c>
      <c r="D3498" s="150">
        <v>0</v>
      </c>
      <c r="E3498" s="151" t="s">
        <v>13</v>
      </c>
      <c r="F3498" s="152" t="str">
        <f t="shared" si="164"/>
        <v/>
      </c>
      <c r="G3498" s="153">
        <f>IF($K3498="Padrão",BDI!$B$17,IF($K3498="Diferenciado",BDI!$E$17,0))</f>
        <v>0.2039</v>
      </c>
      <c r="H3498" s="151" t="str">
        <f t="shared" si="162"/>
        <v/>
      </c>
      <c r="I3498" s="152" t="str">
        <f t="shared" si="163"/>
        <v/>
      </c>
      <c r="J3498" s="154"/>
      <c r="K3498" s="155" t="s">
        <v>2966</v>
      </c>
    </row>
    <row r="3499" spans="1:11" hidden="1" x14ac:dyDescent="0.25">
      <c r="A3499" s="148" t="s">
        <v>2056</v>
      </c>
      <c r="B3499" s="149" t="s">
        <v>8514</v>
      </c>
      <c r="C3499" s="150" t="s">
        <v>68</v>
      </c>
      <c r="D3499" s="150">
        <v>0</v>
      </c>
      <c r="E3499" s="151">
        <f ca="1">OFFSET(INDEX(Composições!A:H,MATCH(Orçamentária!A3499,Composições!A:A,0),8),2,0)</f>
        <v>756.65788099999997</v>
      </c>
      <c r="F3499" s="152">
        <f t="shared" ca="1" si="164"/>
        <v>0</v>
      </c>
      <c r="G3499" s="153">
        <f>IF($K3499="Padrão",BDI!$B$17,IF($K3499="Diferenciado",BDI!$E$17,0))</f>
        <v>0.2039</v>
      </c>
      <c r="H3499" s="151">
        <f t="shared" ca="1" si="162"/>
        <v>910.94</v>
      </c>
      <c r="I3499" s="152">
        <f t="shared" ca="1" si="163"/>
        <v>0</v>
      </c>
      <c r="J3499" s="154"/>
      <c r="K3499" s="155" t="s">
        <v>2966</v>
      </c>
    </row>
    <row r="3500" spans="1:11" hidden="1" x14ac:dyDescent="0.25">
      <c r="A3500" s="148" t="s">
        <v>2057</v>
      </c>
      <c r="B3500" s="149" t="s">
        <v>8515</v>
      </c>
      <c r="C3500" s="150" t="s">
        <v>68</v>
      </c>
      <c r="D3500" s="150">
        <v>0</v>
      </c>
      <c r="E3500" s="151">
        <f ca="1">OFFSET(INDEX(Composições!A:H,MATCH(Orçamentária!A3500,Composições!A:A,0),8),2,0)</f>
        <v>231.328971</v>
      </c>
      <c r="F3500" s="152">
        <f t="shared" ca="1" si="164"/>
        <v>0</v>
      </c>
      <c r="G3500" s="153">
        <f>IF($K3500="Padrão",BDI!$B$17,IF($K3500="Diferenciado",BDI!$E$17,0))</f>
        <v>0.2039</v>
      </c>
      <c r="H3500" s="151">
        <f t="shared" ca="1" si="162"/>
        <v>278.5</v>
      </c>
      <c r="I3500" s="152">
        <f t="shared" ca="1" si="163"/>
        <v>0</v>
      </c>
      <c r="J3500" s="154"/>
      <c r="K3500" s="155" t="s">
        <v>2966</v>
      </c>
    </row>
    <row r="3501" spans="1:11" hidden="1" x14ac:dyDescent="0.25">
      <c r="A3501" s="148" t="s">
        <v>2058</v>
      </c>
      <c r="B3501" s="149" t="s">
        <v>8516</v>
      </c>
      <c r="C3501" s="150" t="s">
        <v>68</v>
      </c>
      <c r="D3501" s="150">
        <v>0</v>
      </c>
      <c r="E3501" s="151">
        <f ca="1">OFFSET(INDEX(Composições!A:H,MATCH(Orçamentária!A3501,Composições!A:A,0),8),2,0)</f>
        <v>76.317470999999983</v>
      </c>
      <c r="F3501" s="152">
        <f t="shared" ca="1" si="164"/>
        <v>0</v>
      </c>
      <c r="G3501" s="153">
        <f>IF($K3501="Padrão",BDI!$B$17,IF($K3501="Diferenciado",BDI!$E$17,0))</f>
        <v>0.2039</v>
      </c>
      <c r="H3501" s="151">
        <f t="shared" ca="1" si="162"/>
        <v>91.88</v>
      </c>
      <c r="I3501" s="152">
        <f t="shared" ca="1" si="163"/>
        <v>0</v>
      </c>
      <c r="J3501" s="154"/>
      <c r="K3501" s="155" t="s">
        <v>2966</v>
      </c>
    </row>
    <row r="3502" spans="1:11" hidden="1" x14ac:dyDescent="0.25">
      <c r="A3502" s="148" t="s">
        <v>8517</v>
      </c>
      <c r="B3502" s="149" t="s">
        <v>8518</v>
      </c>
      <c r="C3502" s="150" t="s">
        <v>4340</v>
      </c>
      <c r="D3502" s="150">
        <v>0</v>
      </c>
      <c r="E3502" s="151" t="s">
        <v>13</v>
      </c>
      <c r="F3502" s="152" t="str">
        <f t="shared" si="164"/>
        <v/>
      </c>
      <c r="G3502" s="153">
        <f>IF($K3502="Padrão",BDI!$B$17,IF($K3502="Diferenciado",BDI!$E$17,0))</f>
        <v>0.2039</v>
      </c>
      <c r="H3502" s="151" t="str">
        <f t="shared" si="162"/>
        <v/>
      </c>
      <c r="I3502" s="152" t="str">
        <f t="shared" si="163"/>
        <v/>
      </c>
      <c r="J3502" s="154"/>
      <c r="K3502" s="155" t="s">
        <v>2966</v>
      </c>
    </row>
    <row r="3503" spans="1:11" hidden="1" x14ac:dyDescent="0.25">
      <c r="A3503" s="148" t="s">
        <v>8519</v>
      </c>
      <c r="B3503" s="149" t="s">
        <v>8520</v>
      </c>
      <c r="C3503" s="150" t="s">
        <v>4340</v>
      </c>
      <c r="D3503" s="150">
        <v>0</v>
      </c>
      <c r="E3503" s="151" t="s">
        <v>13</v>
      </c>
      <c r="F3503" s="152" t="str">
        <f t="shared" si="164"/>
        <v/>
      </c>
      <c r="G3503" s="153">
        <f>IF($K3503="Padrão",BDI!$B$17,IF($K3503="Diferenciado",BDI!$E$17,0))</f>
        <v>0.2039</v>
      </c>
      <c r="H3503" s="151" t="str">
        <f t="shared" si="162"/>
        <v/>
      </c>
      <c r="I3503" s="152" t="str">
        <f t="shared" si="163"/>
        <v/>
      </c>
      <c r="J3503" s="154"/>
      <c r="K3503" s="155" t="s">
        <v>2966</v>
      </c>
    </row>
    <row r="3504" spans="1:11" ht="25.5" hidden="1" x14ac:dyDescent="0.25">
      <c r="A3504" s="148" t="s">
        <v>8521</v>
      </c>
      <c r="B3504" s="149" t="s">
        <v>8522</v>
      </c>
      <c r="C3504" s="150" t="s">
        <v>4340</v>
      </c>
      <c r="D3504" s="150">
        <v>0</v>
      </c>
      <c r="E3504" s="151" t="s">
        <v>13</v>
      </c>
      <c r="F3504" s="152" t="str">
        <f t="shared" si="164"/>
        <v/>
      </c>
      <c r="G3504" s="153">
        <f>IF($K3504="Padrão",BDI!$B$17,IF($K3504="Diferenciado",BDI!$E$17,0))</f>
        <v>0.2039</v>
      </c>
      <c r="H3504" s="151" t="str">
        <f t="shared" si="162"/>
        <v/>
      </c>
      <c r="I3504" s="152" t="str">
        <f t="shared" si="163"/>
        <v/>
      </c>
      <c r="J3504" s="154"/>
      <c r="K3504" s="155" t="s">
        <v>2966</v>
      </c>
    </row>
    <row r="3505" spans="1:11" hidden="1" x14ac:dyDescent="0.25">
      <c r="A3505" s="148" t="s">
        <v>8523</v>
      </c>
      <c r="B3505" s="149" t="s">
        <v>8524</v>
      </c>
      <c r="C3505" s="150" t="s">
        <v>4340</v>
      </c>
      <c r="D3505" s="150">
        <v>0</v>
      </c>
      <c r="E3505" s="151" t="s">
        <v>13</v>
      </c>
      <c r="F3505" s="152" t="str">
        <f t="shared" si="164"/>
        <v/>
      </c>
      <c r="G3505" s="153">
        <f>IF($K3505="Padrão",BDI!$B$17,IF($K3505="Diferenciado",BDI!$E$17,0))</f>
        <v>0.2039</v>
      </c>
      <c r="H3505" s="151" t="str">
        <f t="shared" si="162"/>
        <v/>
      </c>
      <c r="I3505" s="152" t="str">
        <f t="shared" si="163"/>
        <v/>
      </c>
      <c r="J3505" s="154"/>
      <c r="K3505" s="155" t="s">
        <v>2966</v>
      </c>
    </row>
    <row r="3506" spans="1:11" hidden="1" x14ac:dyDescent="0.25">
      <c r="A3506" s="148" t="s">
        <v>2059</v>
      </c>
      <c r="B3506" s="149" t="s">
        <v>8525</v>
      </c>
      <c r="C3506" s="150" t="s">
        <v>68</v>
      </c>
      <c r="D3506" s="150">
        <v>0</v>
      </c>
      <c r="E3506" s="151">
        <f ca="1">OFFSET(INDEX(Composições!A:H,MATCH(Orçamentária!A3506,Composições!A:A,0),8),2,0)</f>
        <v>4.8952283999999997</v>
      </c>
      <c r="F3506" s="152">
        <f t="shared" ca="1" si="164"/>
        <v>0</v>
      </c>
      <c r="G3506" s="153">
        <f>IF($K3506="Padrão",BDI!$B$17,IF($K3506="Diferenciado",BDI!$E$17,0))</f>
        <v>0.2039</v>
      </c>
      <c r="H3506" s="151">
        <f t="shared" ca="1" si="162"/>
        <v>5.89</v>
      </c>
      <c r="I3506" s="152">
        <f t="shared" ca="1" si="163"/>
        <v>0</v>
      </c>
      <c r="J3506" s="154"/>
      <c r="K3506" s="155" t="s">
        <v>2966</v>
      </c>
    </row>
    <row r="3507" spans="1:11" hidden="1" x14ac:dyDescent="0.25">
      <c r="A3507" s="148" t="s">
        <v>2060</v>
      </c>
      <c r="B3507" s="149" t="s">
        <v>8526</v>
      </c>
      <c r="C3507" s="150" t="s">
        <v>106</v>
      </c>
      <c r="D3507" s="150">
        <v>0</v>
      </c>
      <c r="E3507" s="151">
        <f ca="1">OFFSET(INDEX(Composições!A:H,MATCH(Orçamentária!A3507,Composições!A:A,0),8),2,0)</f>
        <v>28.024999999999999</v>
      </c>
      <c r="F3507" s="152">
        <f t="shared" ca="1" si="164"/>
        <v>0</v>
      </c>
      <c r="G3507" s="153">
        <f>IF($K3507="Padrão",BDI!$B$17,IF($K3507="Diferenciado",BDI!$E$17,0))</f>
        <v>0.2039</v>
      </c>
      <c r="H3507" s="151">
        <f t="shared" ca="1" si="162"/>
        <v>33.74</v>
      </c>
      <c r="I3507" s="152">
        <f t="shared" ca="1" si="163"/>
        <v>0</v>
      </c>
      <c r="J3507" s="154"/>
      <c r="K3507" s="155" t="s">
        <v>2966</v>
      </c>
    </row>
    <row r="3508" spans="1:11" ht="25.5" hidden="1" x14ac:dyDescent="0.25">
      <c r="A3508" s="148" t="s">
        <v>2062</v>
      </c>
      <c r="B3508" s="149" t="s">
        <v>8527</v>
      </c>
      <c r="C3508" s="150" t="s">
        <v>18</v>
      </c>
      <c r="D3508" s="150">
        <v>0</v>
      </c>
      <c r="E3508" s="151">
        <f ca="1">OFFSET(INDEX(Composições!A:H,MATCH(Orçamentária!A3508,Composições!A:A,0),8),2,0)</f>
        <v>0</v>
      </c>
      <c r="F3508" s="152">
        <f t="shared" ca="1" si="164"/>
        <v>0</v>
      </c>
      <c r="G3508" s="153">
        <f>IF($K3508="Padrão",BDI!$B$17,IF($K3508="Diferenciado",BDI!$E$17,0))</f>
        <v>0.2039</v>
      </c>
      <c r="H3508" s="151">
        <f t="shared" ca="1" si="162"/>
        <v>0</v>
      </c>
      <c r="I3508" s="152">
        <f t="shared" ca="1" si="163"/>
        <v>0</v>
      </c>
      <c r="J3508" s="154"/>
      <c r="K3508" s="155" t="s">
        <v>2966</v>
      </c>
    </row>
    <row r="3509" spans="1:11" hidden="1" x14ac:dyDescent="0.25">
      <c r="A3509" s="148" t="s">
        <v>2064</v>
      </c>
      <c r="B3509" s="149" t="s">
        <v>8528</v>
      </c>
      <c r="C3509" s="150" t="s">
        <v>68</v>
      </c>
      <c r="D3509" s="150">
        <v>0</v>
      </c>
      <c r="E3509" s="151">
        <f ca="1">OFFSET(INDEX(Composições!A:H,MATCH(Orçamentária!A3509,Composições!A:A,0),8),2,0)</f>
        <v>70.535162999999997</v>
      </c>
      <c r="F3509" s="152">
        <f t="shared" ca="1" si="164"/>
        <v>0</v>
      </c>
      <c r="G3509" s="153">
        <f>IF($K3509="Padrão",BDI!$B$17,IF($K3509="Diferenciado",BDI!$E$17,0))</f>
        <v>0.2039</v>
      </c>
      <c r="H3509" s="151">
        <f t="shared" ca="1" si="162"/>
        <v>84.92</v>
      </c>
      <c r="I3509" s="152">
        <f t="shared" ca="1" si="163"/>
        <v>0</v>
      </c>
      <c r="J3509" s="154"/>
      <c r="K3509" s="155" t="s">
        <v>2966</v>
      </c>
    </row>
    <row r="3510" spans="1:11" hidden="1" x14ac:dyDescent="0.25">
      <c r="A3510" s="148" t="s">
        <v>8529</v>
      </c>
      <c r="B3510" s="149" t="s">
        <v>8530</v>
      </c>
      <c r="C3510" s="150" t="s">
        <v>4190</v>
      </c>
      <c r="D3510" s="150">
        <v>0</v>
      </c>
      <c r="E3510" s="151" t="s">
        <v>13</v>
      </c>
      <c r="F3510" s="152" t="str">
        <f t="shared" si="164"/>
        <v/>
      </c>
      <c r="G3510" s="153">
        <f>IF($K3510="Padrão",BDI!$B$17,IF($K3510="Diferenciado",BDI!$E$17,0))</f>
        <v>0.2039</v>
      </c>
      <c r="H3510" s="151" t="str">
        <f t="shared" si="162"/>
        <v/>
      </c>
      <c r="I3510" s="152" t="str">
        <f t="shared" si="163"/>
        <v/>
      </c>
      <c r="J3510" s="154"/>
      <c r="K3510" s="155" t="s">
        <v>2966</v>
      </c>
    </row>
    <row r="3511" spans="1:11" hidden="1" x14ac:dyDescent="0.25">
      <c r="A3511" s="148" t="s">
        <v>2067</v>
      </c>
      <c r="B3511" s="149" t="s">
        <v>8531</v>
      </c>
      <c r="C3511" s="150" t="s">
        <v>68</v>
      </c>
      <c r="D3511" s="150">
        <v>0</v>
      </c>
      <c r="E3511" s="151">
        <f ca="1">OFFSET(INDEX(Composições!A:H,MATCH(Orçamentária!A3511,Composições!A:A,0),8),2,0)</f>
        <v>47.200190450000001</v>
      </c>
      <c r="F3511" s="152">
        <f t="shared" ca="1" si="164"/>
        <v>0</v>
      </c>
      <c r="G3511" s="153">
        <f>IF($K3511="Padrão",BDI!$B$17,IF($K3511="Diferenciado",BDI!$E$17,0))</f>
        <v>0.2039</v>
      </c>
      <c r="H3511" s="151">
        <f t="shared" ca="1" si="162"/>
        <v>56.82</v>
      </c>
      <c r="I3511" s="152">
        <f t="shared" ca="1" si="163"/>
        <v>0</v>
      </c>
      <c r="J3511" s="154"/>
      <c r="K3511" s="155" t="s">
        <v>2966</v>
      </c>
    </row>
    <row r="3512" spans="1:11" hidden="1" x14ac:dyDescent="0.25">
      <c r="A3512" s="148" t="s">
        <v>2068</v>
      </c>
      <c r="B3512" s="149" t="s">
        <v>8532</v>
      </c>
      <c r="C3512" s="150" t="s">
        <v>18</v>
      </c>
      <c r="D3512" s="150">
        <v>0</v>
      </c>
      <c r="E3512" s="151">
        <f ca="1">OFFSET(INDEX(Composições!A:H,MATCH(Orçamentária!A3512,Composições!A:A,0),8),2,0)</f>
        <v>18.211233287500001</v>
      </c>
      <c r="F3512" s="152">
        <f t="shared" ca="1" si="164"/>
        <v>0</v>
      </c>
      <c r="G3512" s="153">
        <f>IF($K3512="Padrão",BDI!$B$17,IF($K3512="Diferenciado",BDI!$E$17,0))</f>
        <v>0.2039</v>
      </c>
      <c r="H3512" s="151">
        <f t="shared" ca="1" si="162"/>
        <v>21.92</v>
      </c>
      <c r="I3512" s="152">
        <f t="shared" ca="1" si="163"/>
        <v>0</v>
      </c>
      <c r="J3512" s="154"/>
      <c r="K3512" s="155" t="s">
        <v>2966</v>
      </c>
    </row>
    <row r="3513" spans="1:11" hidden="1" x14ac:dyDescent="0.25">
      <c r="A3513" s="148" t="s">
        <v>2071</v>
      </c>
      <c r="B3513" s="149" t="s">
        <v>8533</v>
      </c>
      <c r="C3513" s="150" t="s">
        <v>18</v>
      </c>
      <c r="D3513" s="150">
        <v>0</v>
      </c>
      <c r="E3513" s="151">
        <f ca="1">OFFSET(INDEX(Composições!A:H,MATCH(Orçamentária!A3513,Composições!A:A,0),8),2,0)</f>
        <v>18.211233287500001</v>
      </c>
      <c r="F3513" s="152">
        <f t="shared" ca="1" si="164"/>
        <v>0</v>
      </c>
      <c r="G3513" s="153">
        <f>IF($K3513="Padrão",BDI!$B$17,IF($K3513="Diferenciado",BDI!$E$17,0))</f>
        <v>0.2039</v>
      </c>
      <c r="H3513" s="151">
        <f t="shared" ca="1" si="162"/>
        <v>21.92</v>
      </c>
      <c r="I3513" s="152">
        <f t="shared" ca="1" si="163"/>
        <v>0</v>
      </c>
      <c r="J3513" s="154"/>
      <c r="K3513" s="155" t="s">
        <v>2966</v>
      </c>
    </row>
    <row r="3514" spans="1:11" hidden="1" x14ac:dyDescent="0.25">
      <c r="A3514" s="148" t="s">
        <v>2073</v>
      </c>
      <c r="B3514" s="149" t="s">
        <v>8534</v>
      </c>
      <c r="C3514" s="150" t="s">
        <v>3982</v>
      </c>
      <c r="D3514" s="150">
        <v>0</v>
      </c>
      <c r="E3514" s="151" t="e">
        <f ca="1">OFFSET(INDEX(Composições!A:H,MATCH(Orçamentária!A3514,Composições!A:A,0),8),2,0)</f>
        <v>#REF!</v>
      </c>
      <c r="F3514" s="152" t="str">
        <f t="shared" ca="1" si="164"/>
        <v/>
      </c>
      <c r="G3514" s="153">
        <f>IF($K3514="Padrão",BDI!$B$17,IF($K3514="Diferenciado",BDI!$E$17,0))</f>
        <v>0.2039</v>
      </c>
      <c r="H3514" s="151" t="str">
        <f t="shared" ca="1" si="162"/>
        <v/>
      </c>
      <c r="I3514" s="152" t="str">
        <f t="shared" ca="1" si="163"/>
        <v/>
      </c>
      <c r="J3514" s="154"/>
      <c r="K3514" s="155" t="s">
        <v>2966</v>
      </c>
    </row>
    <row r="3515" spans="1:11" hidden="1" x14ac:dyDescent="0.25">
      <c r="A3515" s="148" t="s">
        <v>2074</v>
      </c>
      <c r="B3515" s="149" t="s">
        <v>8535</v>
      </c>
      <c r="C3515" s="150" t="s">
        <v>68</v>
      </c>
      <c r="D3515" s="150">
        <v>0</v>
      </c>
      <c r="E3515" s="151">
        <f ca="1">OFFSET(INDEX(Composições!A:H,MATCH(Orçamentária!A3515,Composições!A:A,0),8),2,0)</f>
        <v>75.582949999999997</v>
      </c>
      <c r="F3515" s="152">
        <f t="shared" ca="1" si="164"/>
        <v>0</v>
      </c>
      <c r="G3515" s="153">
        <f>IF($K3515="Padrão",BDI!$B$17,IF($K3515="Diferenciado",BDI!$E$17,0))</f>
        <v>0.2039</v>
      </c>
      <c r="H3515" s="151">
        <f t="shared" ca="1" si="162"/>
        <v>90.99</v>
      </c>
      <c r="I3515" s="152">
        <f t="shared" ca="1" si="163"/>
        <v>0</v>
      </c>
      <c r="J3515" s="154"/>
      <c r="K3515" s="155" t="s">
        <v>2966</v>
      </c>
    </row>
    <row r="3516" spans="1:11" hidden="1" x14ac:dyDescent="0.25">
      <c r="A3516" s="148" t="s">
        <v>8536</v>
      </c>
      <c r="B3516" s="149" t="s">
        <v>8537</v>
      </c>
      <c r="C3516" s="150" t="s">
        <v>18</v>
      </c>
      <c r="D3516" s="150">
        <v>0</v>
      </c>
      <c r="E3516" s="151" t="s">
        <v>13</v>
      </c>
      <c r="F3516" s="152" t="str">
        <f t="shared" si="164"/>
        <v/>
      </c>
      <c r="G3516" s="153">
        <f>IF($K3516="Padrão",BDI!$B$17,IF($K3516="Diferenciado",BDI!$E$17,0))</f>
        <v>0.2039</v>
      </c>
      <c r="H3516" s="151" t="str">
        <f t="shared" si="162"/>
        <v/>
      </c>
      <c r="I3516" s="152" t="str">
        <f t="shared" si="163"/>
        <v/>
      </c>
      <c r="J3516" s="154"/>
      <c r="K3516" s="155" t="s">
        <v>2966</v>
      </c>
    </row>
    <row r="3517" spans="1:11" hidden="1" x14ac:dyDescent="0.25">
      <c r="A3517" s="148" t="s">
        <v>8538</v>
      </c>
      <c r="B3517" s="149" t="s">
        <v>8539</v>
      </c>
      <c r="C3517" s="150" t="s">
        <v>18</v>
      </c>
      <c r="D3517" s="150">
        <v>0</v>
      </c>
      <c r="E3517" s="151" t="s">
        <v>13</v>
      </c>
      <c r="F3517" s="152" t="str">
        <f t="shared" si="164"/>
        <v/>
      </c>
      <c r="G3517" s="153">
        <f>IF($K3517="Padrão",BDI!$B$17,IF($K3517="Diferenciado",BDI!$E$17,0))</f>
        <v>0.2039</v>
      </c>
      <c r="H3517" s="151" t="str">
        <f t="shared" si="162"/>
        <v/>
      </c>
      <c r="I3517" s="152" t="str">
        <f t="shared" si="163"/>
        <v/>
      </c>
      <c r="J3517" s="154"/>
      <c r="K3517" s="155" t="s">
        <v>2966</v>
      </c>
    </row>
    <row r="3518" spans="1:11" hidden="1" x14ac:dyDescent="0.25">
      <c r="A3518" s="148" t="s">
        <v>2075</v>
      </c>
      <c r="B3518" s="149" t="s">
        <v>8540</v>
      </c>
      <c r="C3518" s="150" t="s">
        <v>18</v>
      </c>
      <c r="D3518" s="150">
        <v>0</v>
      </c>
      <c r="E3518" s="151">
        <f ca="1">OFFSET(INDEX(Composições!A:H,MATCH(Orçamentária!A3518,Composições!A:A,0),8),2,0)</f>
        <v>0</v>
      </c>
      <c r="F3518" s="152">
        <f t="shared" ca="1" si="164"/>
        <v>0</v>
      </c>
      <c r="G3518" s="153">
        <f>IF($K3518="Padrão",BDI!$B$17,IF($K3518="Diferenciado",BDI!$E$17,0))</f>
        <v>0.2039</v>
      </c>
      <c r="H3518" s="151">
        <f t="shared" ca="1" si="162"/>
        <v>0</v>
      </c>
      <c r="I3518" s="152">
        <f t="shared" ca="1" si="163"/>
        <v>0</v>
      </c>
      <c r="J3518" s="154"/>
      <c r="K3518" s="155" t="s">
        <v>2966</v>
      </c>
    </row>
    <row r="3519" spans="1:11" hidden="1" x14ac:dyDescent="0.25">
      <c r="A3519" s="148" t="s">
        <v>8541</v>
      </c>
      <c r="B3519" s="149" t="s">
        <v>8542</v>
      </c>
      <c r="C3519" s="150" t="s">
        <v>18</v>
      </c>
      <c r="D3519" s="150">
        <v>0</v>
      </c>
      <c r="E3519" s="151" t="s">
        <v>13</v>
      </c>
      <c r="F3519" s="152" t="str">
        <f t="shared" si="164"/>
        <v/>
      </c>
      <c r="G3519" s="153">
        <f>IF($K3519="Padrão",BDI!$B$17,IF($K3519="Diferenciado",BDI!$E$17,0))</f>
        <v>0.2039</v>
      </c>
      <c r="H3519" s="151" t="str">
        <f t="shared" si="162"/>
        <v/>
      </c>
      <c r="I3519" s="152" t="str">
        <f t="shared" si="163"/>
        <v/>
      </c>
      <c r="J3519" s="154"/>
      <c r="K3519" s="155" t="s">
        <v>2966</v>
      </c>
    </row>
    <row r="3520" spans="1:11" hidden="1" x14ac:dyDescent="0.25">
      <c r="A3520" s="148" t="s">
        <v>8543</v>
      </c>
      <c r="B3520" s="149" t="s">
        <v>8544</v>
      </c>
      <c r="C3520" s="150" t="s">
        <v>18</v>
      </c>
      <c r="D3520" s="150">
        <v>0</v>
      </c>
      <c r="E3520" s="151" t="s">
        <v>13</v>
      </c>
      <c r="F3520" s="152" t="str">
        <f t="shared" si="164"/>
        <v/>
      </c>
      <c r="G3520" s="153">
        <f>IF($K3520="Padrão",BDI!$B$17,IF($K3520="Diferenciado",BDI!$E$17,0))</f>
        <v>0.2039</v>
      </c>
      <c r="H3520" s="151" t="str">
        <f t="shared" si="162"/>
        <v/>
      </c>
      <c r="I3520" s="152" t="str">
        <f t="shared" si="163"/>
        <v/>
      </c>
      <c r="J3520" s="154"/>
      <c r="K3520" s="155" t="s">
        <v>2966</v>
      </c>
    </row>
    <row r="3521" spans="1:11" hidden="1" x14ac:dyDescent="0.25">
      <c r="A3521" s="148" t="s">
        <v>8545</v>
      </c>
      <c r="B3521" s="149" t="s">
        <v>8546</v>
      </c>
      <c r="C3521" s="150" t="s">
        <v>18</v>
      </c>
      <c r="D3521" s="150">
        <v>0</v>
      </c>
      <c r="E3521" s="151" t="s">
        <v>13</v>
      </c>
      <c r="F3521" s="152" t="str">
        <f t="shared" si="164"/>
        <v/>
      </c>
      <c r="G3521" s="153">
        <f>IF($K3521="Padrão",BDI!$B$17,IF($K3521="Diferenciado",BDI!$E$17,0))</f>
        <v>0.2039</v>
      </c>
      <c r="H3521" s="151" t="str">
        <f t="shared" si="162"/>
        <v/>
      </c>
      <c r="I3521" s="152" t="str">
        <f t="shared" si="163"/>
        <v/>
      </c>
      <c r="J3521" s="154"/>
      <c r="K3521" s="155" t="s">
        <v>2966</v>
      </c>
    </row>
    <row r="3522" spans="1:11" hidden="1" x14ac:dyDescent="0.25">
      <c r="A3522" s="148" t="s">
        <v>8547</v>
      </c>
      <c r="B3522" s="149" t="s">
        <v>8548</v>
      </c>
      <c r="C3522" s="150" t="s">
        <v>18</v>
      </c>
      <c r="D3522" s="150">
        <v>0</v>
      </c>
      <c r="E3522" s="151" t="s">
        <v>13</v>
      </c>
      <c r="F3522" s="152" t="str">
        <f t="shared" si="164"/>
        <v/>
      </c>
      <c r="G3522" s="153">
        <f>IF($K3522="Padrão",BDI!$B$17,IF($K3522="Diferenciado",BDI!$E$17,0))</f>
        <v>0.2039</v>
      </c>
      <c r="H3522" s="151" t="str">
        <f t="shared" si="162"/>
        <v/>
      </c>
      <c r="I3522" s="152" t="str">
        <f t="shared" si="163"/>
        <v/>
      </c>
      <c r="J3522" s="154"/>
      <c r="K3522" s="155" t="s">
        <v>2966</v>
      </c>
    </row>
    <row r="3523" spans="1:11" hidden="1" x14ac:dyDescent="0.25">
      <c r="A3523" s="148" t="s">
        <v>8549</v>
      </c>
      <c r="B3523" s="149" t="s">
        <v>8550</v>
      </c>
      <c r="C3523" s="150" t="s">
        <v>18</v>
      </c>
      <c r="D3523" s="150">
        <v>0</v>
      </c>
      <c r="E3523" s="151" t="s">
        <v>13</v>
      </c>
      <c r="F3523" s="152" t="str">
        <f t="shared" si="164"/>
        <v/>
      </c>
      <c r="G3523" s="153">
        <f>IF($K3523="Padrão",BDI!$B$17,IF($K3523="Diferenciado",BDI!$E$17,0))</f>
        <v>0.2039</v>
      </c>
      <c r="H3523" s="151" t="str">
        <f t="shared" si="162"/>
        <v/>
      </c>
      <c r="I3523" s="152" t="str">
        <f t="shared" si="163"/>
        <v/>
      </c>
      <c r="J3523" s="154"/>
      <c r="K3523" s="155" t="s">
        <v>2966</v>
      </c>
    </row>
    <row r="3524" spans="1:11" hidden="1" x14ac:dyDescent="0.25">
      <c r="A3524" s="148" t="s">
        <v>8551</v>
      </c>
      <c r="B3524" s="149" t="s">
        <v>8552</v>
      </c>
      <c r="C3524" s="150" t="s">
        <v>18</v>
      </c>
      <c r="D3524" s="150">
        <v>0</v>
      </c>
      <c r="E3524" s="151" t="s">
        <v>13</v>
      </c>
      <c r="F3524" s="152" t="str">
        <f t="shared" si="164"/>
        <v/>
      </c>
      <c r="G3524" s="153">
        <f>IF($K3524="Padrão",BDI!$B$17,IF($K3524="Diferenciado",BDI!$E$17,0))</f>
        <v>0.2039</v>
      </c>
      <c r="H3524" s="151" t="str">
        <f t="shared" si="162"/>
        <v/>
      </c>
      <c r="I3524" s="152" t="str">
        <f t="shared" si="163"/>
        <v/>
      </c>
      <c r="J3524" s="154"/>
      <c r="K3524" s="155" t="s">
        <v>2966</v>
      </c>
    </row>
    <row r="3525" spans="1:11" hidden="1" x14ac:dyDescent="0.25">
      <c r="A3525" s="148" t="s">
        <v>8553</v>
      </c>
      <c r="B3525" s="149" t="s">
        <v>8554</v>
      </c>
      <c r="C3525" s="150" t="s">
        <v>18</v>
      </c>
      <c r="D3525" s="150">
        <v>0</v>
      </c>
      <c r="E3525" s="151" t="s">
        <v>13</v>
      </c>
      <c r="F3525" s="152" t="str">
        <f t="shared" si="164"/>
        <v/>
      </c>
      <c r="G3525" s="153">
        <f>IF($K3525="Padrão",BDI!$B$17,IF($K3525="Diferenciado",BDI!$E$17,0))</f>
        <v>0.2039</v>
      </c>
      <c r="H3525" s="151" t="str">
        <f t="shared" si="162"/>
        <v/>
      </c>
      <c r="I3525" s="152" t="str">
        <f t="shared" si="163"/>
        <v/>
      </c>
      <c r="J3525" s="154"/>
      <c r="K3525" s="155" t="s">
        <v>2966</v>
      </c>
    </row>
    <row r="3526" spans="1:11" hidden="1" x14ac:dyDescent="0.25">
      <c r="A3526" s="148" t="s">
        <v>2077</v>
      </c>
      <c r="B3526" s="149" t="s">
        <v>8555</v>
      </c>
      <c r="C3526" s="150" t="s">
        <v>3982</v>
      </c>
      <c r="D3526" s="150">
        <v>0</v>
      </c>
      <c r="E3526" s="151" t="e">
        <f ca="1">OFFSET(INDEX(Composições!A:H,MATCH(Orçamentária!A3526,Composições!A:A,0),8),2,0)</f>
        <v>#REF!</v>
      </c>
      <c r="F3526" s="152" t="str">
        <f t="shared" ca="1" si="164"/>
        <v/>
      </c>
      <c r="G3526" s="153">
        <f>IF($K3526="Padrão",BDI!$B$17,IF($K3526="Diferenciado",BDI!$E$17,0))</f>
        <v>0.2039</v>
      </c>
      <c r="H3526" s="151" t="str">
        <f t="shared" ref="H3526:H3589" ca="1" si="165">IF(ISNUMBER(E3526),ROUND(E3526*(1+G3526),2),"")</f>
        <v/>
      </c>
      <c r="I3526" s="152" t="str">
        <f t="shared" ref="I3526:I3589" ca="1" si="166">IF(ISNUMBER(E3526),ROUND(H3526*D3526,2),"")</f>
        <v/>
      </c>
      <c r="J3526" s="154"/>
      <c r="K3526" s="155" t="s">
        <v>2966</v>
      </c>
    </row>
    <row r="3527" spans="1:11" hidden="1" x14ac:dyDescent="0.25">
      <c r="A3527" s="148" t="s">
        <v>8556</v>
      </c>
      <c r="B3527" s="149" t="s">
        <v>8557</v>
      </c>
      <c r="C3527" s="150" t="s">
        <v>18</v>
      </c>
      <c r="D3527" s="150">
        <v>0</v>
      </c>
      <c r="E3527" s="151" t="s">
        <v>13</v>
      </c>
      <c r="F3527" s="152" t="str">
        <f t="shared" ref="F3527:F3590" si="167">IF(ISNUMBER(E3527),D3527*E3527,"")</f>
        <v/>
      </c>
      <c r="G3527" s="153">
        <f>IF($K3527="Padrão",BDI!$B$17,IF($K3527="Diferenciado",BDI!$E$17,0))</f>
        <v>0.2039</v>
      </c>
      <c r="H3527" s="151" t="str">
        <f t="shared" si="165"/>
        <v/>
      </c>
      <c r="I3527" s="152" t="str">
        <f t="shared" si="166"/>
        <v/>
      </c>
      <c r="J3527" s="154"/>
      <c r="K3527" s="155" t="s">
        <v>2966</v>
      </c>
    </row>
    <row r="3528" spans="1:11" hidden="1" x14ac:dyDescent="0.25">
      <c r="A3528" s="148" t="s">
        <v>8558</v>
      </c>
      <c r="B3528" s="149" t="s">
        <v>8559</v>
      </c>
      <c r="C3528" s="150" t="s">
        <v>18</v>
      </c>
      <c r="D3528" s="150">
        <v>0</v>
      </c>
      <c r="E3528" s="151" t="s">
        <v>13</v>
      </c>
      <c r="F3528" s="152" t="str">
        <f t="shared" si="167"/>
        <v/>
      </c>
      <c r="G3528" s="153">
        <f>IF($K3528="Padrão",BDI!$B$17,IF($K3528="Diferenciado",BDI!$E$17,0))</f>
        <v>0.2039</v>
      </c>
      <c r="H3528" s="151" t="str">
        <f t="shared" si="165"/>
        <v/>
      </c>
      <c r="I3528" s="152" t="str">
        <f t="shared" si="166"/>
        <v/>
      </c>
      <c r="J3528" s="154"/>
      <c r="K3528" s="155" t="s">
        <v>2966</v>
      </c>
    </row>
    <row r="3529" spans="1:11" hidden="1" x14ac:dyDescent="0.25">
      <c r="A3529" s="148" t="s">
        <v>8560</v>
      </c>
      <c r="B3529" s="149" t="s">
        <v>8561</v>
      </c>
      <c r="C3529" s="150" t="s">
        <v>18</v>
      </c>
      <c r="D3529" s="150">
        <v>0</v>
      </c>
      <c r="E3529" s="151" t="s">
        <v>13</v>
      </c>
      <c r="F3529" s="152" t="str">
        <f t="shared" si="167"/>
        <v/>
      </c>
      <c r="G3529" s="153">
        <f>IF($K3529="Padrão",BDI!$B$17,IF($K3529="Diferenciado",BDI!$E$17,0))</f>
        <v>0.2039</v>
      </c>
      <c r="H3529" s="151" t="str">
        <f t="shared" si="165"/>
        <v/>
      </c>
      <c r="I3529" s="152" t="str">
        <f t="shared" si="166"/>
        <v/>
      </c>
      <c r="J3529" s="154"/>
      <c r="K3529" s="155" t="s">
        <v>2966</v>
      </c>
    </row>
    <row r="3530" spans="1:11" ht="25.5" hidden="1" x14ac:dyDescent="0.25">
      <c r="A3530" s="148" t="s">
        <v>8562</v>
      </c>
      <c r="B3530" s="149" t="s">
        <v>8563</v>
      </c>
      <c r="C3530" s="150" t="s">
        <v>18</v>
      </c>
      <c r="D3530" s="150">
        <v>0</v>
      </c>
      <c r="E3530" s="151" t="s">
        <v>13</v>
      </c>
      <c r="F3530" s="152" t="str">
        <f t="shared" si="167"/>
        <v/>
      </c>
      <c r="G3530" s="153">
        <f>IF($K3530="Padrão",BDI!$B$17,IF($K3530="Diferenciado",BDI!$E$17,0))</f>
        <v>0.2039</v>
      </c>
      <c r="H3530" s="151" t="str">
        <f t="shared" si="165"/>
        <v/>
      </c>
      <c r="I3530" s="152" t="str">
        <f t="shared" si="166"/>
        <v/>
      </c>
      <c r="J3530" s="154"/>
      <c r="K3530" s="155" t="s">
        <v>2966</v>
      </c>
    </row>
    <row r="3531" spans="1:11" ht="25.5" hidden="1" x14ac:dyDescent="0.25">
      <c r="A3531" s="148" t="s">
        <v>8564</v>
      </c>
      <c r="B3531" s="149" t="s">
        <v>8565</v>
      </c>
      <c r="C3531" s="150" t="s">
        <v>18</v>
      </c>
      <c r="D3531" s="150">
        <v>0</v>
      </c>
      <c r="E3531" s="151" t="s">
        <v>13</v>
      </c>
      <c r="F3531" s="152" t="str">
        <f t="shared" si="167"/>
        <v/>
      </c>
      <c r="G3531" s="153">
        <f>IF($K3531="Padrão",BDI!$B$17,IF($K3531="Diferenciado",BDI!$E$17,0))</f>
        <v>0.2039</v>
      </c>
      <c r="H3531" s="151" t="str">
        <f t="shared" si="165"/>
        <v/>
      </c>
      <c r="I3531" s="152" t="str">
        <f t="shared" si="166"/>
        <v/>
      </c>
      <c r="J3531" s="154"/>
      <c r="K3531" s="155" t="s">
        <v>2966</v>
      </c>
    </row>
    <row r="3532" spans="1:11" ht="25.5" hidden="1" x14ac:dyDescent="0.25">
      <c r="A3532" s="148" t="s">
        <v>8566</v>
      </c>
      <c r="B3532" s="149" t="s">
        <v>8567</v>
      </c>
      <c r="C3532" s="150" t="s">
        <v>18</v>
      </c>
      <c r="D3532" s="150">
        <v>0</v>
      </c>
      <c r="E3532" s="151" t="s">
        <v>13</v>
      </c>
      <c r="F3532" s="152" t="str">
        <f t="shared" si="167"/>
        <v/>
      </c>
      <c r="G3532" s="153">
        <f>IF($K3532="Padrão",BDI!$B$17,IF($K3532="Diferenciado",BDI!$E$17,0))</f>
        <v>0.2039</v>
      </c>
      <c r="H3532" s="151" t="str">
        <f t="shared" si="165"/>
        <v/>
      </c>
      <c r="I3532" s="152" t="str">
        <f t="shared" si="166"/>
        <v/>
      </c>
      <c r="J3532" s="154"/>
      <c r="K3532" s="155" t="s">
        <v>2966</v>
      </c>
    </row>
    <row r="3533" spans="1:11" hidden="1" x14ac:dyDescent="0.25">
      <c r="A3533" s="148" t="s">
        <v>8568</v>
      </c>
      <c r="B3533" s="149" t="s">
        <v>8569</v>
      </c>
      <c r="C3533" s="150" t="s">
        <v>18</v>
      </c>
      <c r="D3533" s="150">
        <v>0</v>
      </c>
      <c r="E3533" s="151" t="s">
        <v>13</v>
      </c>
      <c r="F3533" s="152" t="str">
        <f t="shared" si="167"/>
        <v/>
      </c>
      <c r="G3533" s="153">
        <f>IF($K3533="Padrão",BDI!$B$17,IF($K3533="Diferenciado",BDI!$E$17,0))</f>
        <v>0.2039</v>
      </c>
      <c r="H3533" s="151" t="str">
        <f t="shared" si="165"/>
        <v/>
      </c>
      <c r="I3533" s="152" t="str">
        <f t="shared" si="166"/>
        <v/>
      </c>
      <c r="J3533" s="154"/>
      <c r="K3533" s="155" t="s">
        <v>2966</v>
      </c>
    </row>
    <row r="3534" spans="1:11" hidden="1" x14ac:dyDescent="0.25">
      <c r="A3534" s="148" t="s">
        <v>8570</v>
      </c>
      <c r="B3534" s="149" t="s">
        <v>8571</v>
      </c>
      <c r="C3534" s="150" t="s">
        <v>18</v>
      </c>
      <c r="D3534" s="150">
        <v>0</v>
      </c>
      <c r="E3534" s="151" t="s">
        <v>13</v>
      </c>
      <c r="F3534" s="152" t="str">
        <f t="shared" si="167"/>
        <v/>
      </c>
      <c r="G3534" s="153">
        <f>IF($K3534="Padrão",BDI!$B$17,IF($K3534="Diferenciado",BDI!$E$17,0))</f>
        <v>0.2039</v>
      </c>
      <c r="H3534" s="151" t="str">
        <f t="shared" si="165"/>
        <v/>
      </c>
      <c r="I3534" s="152" t="str">
        <f t="shared" si="166"/>
        <v/>
      </c>
      <c r="J3534" s="154"/>
      <c r="K3534" s="155" t="s">
        <v>2966</v>
      </c>
    </row>
    <row r="3535" spans="1:11" hidden="1" x14ac:dyDescent="0.25">
      <c r="A3535" s="148" t="s">
        <v>8572</v>
      </c>
      <c r="B3535" s="149" t="s">
        <v>8573</v>
      </c>
      <c r="C3535" s="150" t="s">
        <v>18</v>
      </c>
      <c r="D3535" s="150">
        <v>0</v>
      </c>
      <c r="E3535" s="151" t="s">
        <v>13</v>
      </c>
      <c r="F3535" s="152" t="str">
        <f t="shared" si="167"/>
        <v/>
      </c>
      <c r="G3535" s="153">
        <f>IF($K3535="Padrão",BDI!$B$17,IF($K3535="Diferenciado",BDI!$E$17,0))</f>
        <v>0.2039</v>
      </c>
      <c r="H3535" s="151" t="str">
        <f t="shared" si="165"/>
        <v/>
      </c>
      <c r="I3535" s="152" t="str">
        <f t="shared" si="166"/>
        <v/>
      </c>
      <c r="J3535" s="154"/>
      <c r="K3535" s="155" t="s">
        <v>2966</v>
      </c>
    </row>
    <row r="3536" spans="1:11" hidden="1" x14ac:dyDescent="0.25">
      <c r="A3536" s="148" t="s">
        <v>2078</v>
      </c>
      <c r="B3536" s="149" t="s">
        <v>8574</v>
      </c>
      <c r="C3536" s="150" t="s">
        <v>18</v>
      </c>
      <c r="D3536" s="150">
        <v>0</v>
      </c>
      <c r="E3536" s="151">
        <f ca="1">OFFSET(INDEX(Composições!A:H,MATCH(Orçamentária!A3536,Composições!A:A,0),8),2,0)</f>
        <v>87.445462250000006</v>
      </c>
      <c r="F3536" s="152">
        <f t="shared" ca="1" si="167"/>
        <v>0</v>
      </c>
      <c r="G3536" s="153">
        <f>IF($K3536="Padrão",BDI!$B$17,IF($K3536="Diferenciado",BDI!$E$17,0))</f>
        <v>0.2039</v>
      </c>
      <c r="H3536" s="151">
        <f t="shared" ca="1" si="165"/>
        <v>105.28</v>
      </c>
      <c r="I3536" s="152">
        <f t="shared" ca="1" si="166"/>
        <v>0</v>
      </c>
      <c r="J3536" s="154"/>
      <c r="K3536" s="155" t="s">
        <v>2966</v>
      </c>
    </row>
    <row r="3537" spans="1:11" hidden="1" x14ac:dyDescent="0.25">
      <c r="A3537" s="148" t="s">
        <v>2080</v>
      </c>
      <c r="B3537" s="149" t="s">
        <v>8575</v>
      </c>
      <c r="C3537" s="150" t="s">
        <v>2975</v>
      </c>
      <c r="D3537" s="150">
        <v>0</v>
      </c>
      <c r="E3537" s="151">
        <f ca="1">OFFSET(INDEX(Composições!A:H,MATCH(Orçamentária!A3537,Composições!A:A,0),8),2,0)</f>
        <v>142.75650000000002</v>
      </c>
      <c r="F3537" s="152">
        <f t="shared" ca="1" si="167"/>
        <v>0</v>
      </c>
      <c r="G3537" s="153">
        <f>IF($K3537="Padrão",BDI!$B$17,IF($K3537="Diferenciado",BDI!$E$17,0))</f>
        <v>0.2039</v>
      </c>
      <c r="H3537" s="151">
        <f t="shared" ca="1" si="165"/>
        <v>171.86</v>
      </c>
      <c r="I3537" s="152">
        <f t="shared" ca="1" si="166"/>
        <v>0</v>
      </c>
      <c r="J3537" s="154"/>
      <c r="K3537" s="155" t="s">
        <v>2966</v>
      </c>
    </row>
    <row r="3538" spans="1:11" hidden="1" x14ac:dyDescent="0.25">
      <c r="A3538" s="148" t="s">
        <v>8576</v>
      </c>
      <c r="B3538" s="149" t="s">
        <v>8577</v>
      </c>
      <c r="C3538" s="150" t="s">
        <v>18</v>
      </c>
      <c r="D3538" s="150">
        <v>0</v>
      </c>
      <c r="E3538" s="151" t="s">
        <v>13</v>
      </c>
      <c r="F3538" s="152" t="str">
        <f t="shared" si="167"/>
        <v/>
      </c>
      <c r="G3538" s="153">
        <f>IF($K3538="Padrão",BDI!$B$17,IF($K3538="Diferenciado",BDI!$E$17,0))</f>
        <v>0.2039</v>
      </c>
      <c r="H3538" s="151" t="str">
        <f t="shared" si="165"/>
        <v/>
      </c>
      <c r="I3538" s="152" t="str">
        <f t="shared" si="166"/>
        <v/>
      </c>
      <c r="J3538" s="154"/>
      <c r="K3538" s="155" t="s">
        <v>2966</v>
      </c>
    </row>
    <row r="3539" spans="1:11" hidden="1" x14ac:dyDescent="0.25">
      <c r="A3539" s="148" t="s">
        <v>8578</v>
      </c>
      <c r="B3539" s="149" t="s">
        <v>8579</v>
      </c>
      <c r="C3539" s="150" t="s">
        <v>18</v>
      </c>
      <c r="D3539" s="150">
        <v>0</v>
      </c>
      <c r="E3539" s="151" t="s">
        <v>13</v>
      </c>
      <c r="F3539" s="152" t="str">
        <f t="shared" si="167"/>
        <v/>
      </c>
      <c r="G3539" s="153">
        <f>IF($K3539="Padrão",BDI!$B$17,IF($K3539="Diferenciado",BDI!$E$17,0))</f>
        <v>0.2039</v>
      </c>
      <c r="H3539" s="151" t="str">
        <f t="shared" si="165"/>
        <v/>
      </c>
      <c r="I3539" s="152" t="str">
        <f t="shared" si="166"/>
        <v/>
      </c>
      <c r="J3539" s="154"/>
      <c r="K3539" s="155" t="s">
        <v>2966</v>
      </c>
    </row>
    <row r="3540" spans="1:11" ht="25.5" hidden="1" x14ac:dyDescent="0.25">
      <c r="A3540" s="148" t="s">
        <v>8580</v>
      </c>
      <c r="B3540" s="149" t="s">
        <v>8581</v>
      </c>
      <c r="C3540" s="150" t="s">
        <v>4927</v>
      </c>
      <c r="D3540" s="150">
        <v>0</v>
      </c>
      <c r="E3540" s="151" t="s">
        <v>13</v>
      </c>
      <c r="F3540" s="152" t="str">
        <f t="shared" si="167"/>
        <v/>
      </c>
      <c r="G3540" s="153">
        <f>IF($K3540="Padrão",BDI!$B$17,IF($K3540="Diferenciado",BDI!$E$17,0))</f>
        <v>0.2039</v>
      </c>
      <c r="H3540" s="151" t="str">
        <f t="shared" si="165"/>
        <v/>
      </c>
      <c r="I3540" s="152" t="str">
        <f t="shared" si="166"/>
        <v/>
      </c>
      <c r="J3540" s="154"/>
      <c r="K3540" s="155" t="s">
        <v>2966</v>
      </c>
    </row>
    <row r="3541" spans="1:11" hidden="1" x14ac:dyDescent="0.25">
      <c r="A3541" s="148" t="s">
        <v>2081</v>
      </c>
      <c r="B3541" s="149" t="s">
        <v>8582</v>
      </c>
      <c r="C3541" s="150" t="s">
        <v>18</v>
      </c>
      <c r="D3541" s="150">
        <v>0</v>
      </c>
      <c r="E3541" s="151">
        <f ca="1">OFFSET(INDEX(Composições!A:H,MATCH(Orçamentária!A3541,Composições!A:A,0),8),2,0)</f>
        <v>6.9243474714000008</v>
      </c>
      <c r="F3541" s="152">
        <f t="shared" ca="1" si="167"/>
        <v>0</v>
      </c>
      <c r="G3541" s="153">
        <f>IF($K3541="Padrão",BDI!$B$17,IF($K3541="Diferenciado",BDI!$E$17,0))</f>
        <v>0.2039</v>
      </c>
      <c r="H3541" s="151">
        <f t="shared" ca="1" si="165"/>
        <v>8.34</v>
      </c>
      <c r="I3541" s="152">
        <f t="shared" ca="1" si="166"/>
        <v>0</v>
      </c>
      <c r="J3541" s="154"/>
      <c r="K3541" s="155" t="s">
        <v>2966</v>
      </c>
    </row>
    <row r="3542" spans="1:11" hidden="1" x14ac:dyDescent="0.25">
      <c r="A3542" s="148" t="s">
        <v>2083</v>
      </c>
      <c r="B3542" s="149" t="s">
        <v>8583</v>
      </c>
      <c r="C3542" s="150" t="s">
        <v>18</v>
      </c>
      <c r="D3542" s="150">
        <v>0</v>
      </c>
      <c r="E3542" s="151">
        <f ca="1">OFFSET(INDEX(Composições!A:H,MATCH(Orçamentária!A3542,Composições!A:A,0),8),2,0)</f>
        <v>15.041333137500001</v>
      </c>
      <c r="F3542" s="152">
        <f t="shared" ca="1" si="167"/>
        <v>0</v>
      </c>
      <c r="G3542" s="153">
        <f>IF($K3542="Padrão",BDI!$B$17,IF($K3542="Diferenciado",BDI!$E$17,0))</f>
        <v>0.2039</v>
      </c>
      <c r="H3542" s="151">
        <f t="shared" ca="1" si="165"/>
        <v>18.11</v>
      </c>
      <c r="I3542" s="152">
        <f t="shared" ca="1" si="166"/>
        <v>0</v>
      </c>
      <c r="J3542" s="154"/>
      <c r="K3542" s="155" t="s">
        <v>2966</v>
      </c>
    </row>
    <row r="3543" spans="1:11" hidden="1" x14ac:dyDescent="0.25">
      <c r="A3543" s="148" t="s">
        <v>2085</v>
      </c>
      <c r="B3543" s="149" t="s">
        <v>8584</v>
      </c>
      <c r="C3543" s="150" t="s">
        <v>68</v>
      </c>
      <c r="D3543" s="150">
        <v>0</v>
      </c>
      <c r="E3543" s="151">
        <f ca="1">OFFSET(INDEX(Composições!A:H,MATCH(Orçamentária!A3543,Composições!A:A,0),8),2,0)</f>
        <v>22.071976049999996</v>
      </c>
      <c r="F3543" s="152">
        <f t="shared" ca="1" si="167"/>
        <v>0</v>
      </c>
      <c r="G3543" s="153">
        <f>IF($K3543="Padrão",BDI!$B$17,IF($K3543="Diferenciado",BDI!$E$17,0))</f>
        <v>0.2039</v>
      </c>
      <c r="H3543" s="151">
        <f t="shared" ca="1" si="165"/>
        <v>26.57</v>
      </c>
      <c r="I3543" s="152">
        <f t="shared" ca="1" si="166"/>
        <v>0</v>
      </c>
      <c r="J3543" s="154"/>
      <c r="K3543" s="155" t="s">
        <v>2966</v>
      </c>
    </row>
    <row r="3544" spans="1:11" hidden="1" x14ac:dyDescent="0.25">
      <c r="A3544" s="148" t="s">
        <v>8585</v>
      </c>
      <c r="B3544" s="149" t="s">
        <v>8586</v>
      </c>
      <c r="C3544" s="150" t="s">
        <v>18</v>
      </c>
      <c r="D3544" s="150">
        <v>0</v>
      </c>
      <c r="E3544" s="151" t="s">
        <v>13</v>
      </c>
      <c r="F3544" s="152" t="str">
        <f t="shared" si="167"/>
        <v/>
      </c>
      <c r="G3544" s="153">
        <f>IF($K3544="Padrão",BDI!$B$17,IF($K3544="Diferenciado",BDI!$E$17,0))</f>
        <v>0.2039</v>
      </c>
      <c r="H3544" s="151" t="str">
        <f t="shared" si="165"/>
        <v/>
      </c>
      <c r="I3544" s="152" t="str">
        <f t="shared" si="166"/>
        <v/>
      </c>
      <c r="J3544" s="154"/>
      <c r="K3544" s="155" t="s">
        <v>2966</v>
      </c>
    </row>
    <row r="3545" spans="1:11" hidden="1" x14ac:dyDescent="0.25">
      <c r="A3545" s="148" t="s">
        <v>2087</v>
      </c>
      <c r="B3545" s="149" t="s">
        <v>8587</v>
      </c>
      <c r="C3545" s="150" t="s">
        <v>18</v>
      </c>
      <c r="D3545" s="150">
        <v>0</v>
      </c>
      <c r="E3545" s="151">
        <f ca="1">OFFSET(INDEX(Composições!A:H,MATCH(Orçamentária!A3545,Composições!A:A,0),8),2,0)</f>
        <v>18.042400000000001</v>
      </c>
      <c r="F3545" s="152">
        <f t="shared" ca="1" si="167"/>
        <v>0</v>
      </c>
      <c r="G3545" s="153">
        <f>IF($K3545="Padrão",BDI!$B$17,IF($K3545="Diferenciado",BDI!$E$17,0))</f>
        <v>0.2039</v>
      </c>
      <c r="H3545" s="151">
        <f t="shared" ca="1" si="165"/>
        <v>21.72</v>
      </c>
      <c r="I3545" s="152">
        <f t="shared" ca="1" si="166"/>
        <v>0</v>
      </c>
      <c r="J3545" s="154"/>
      <c r="K3545" s="155" t="s">
        <v>2966</v>
      </c>
    </row>
    <row r="3546" spans="1:11" hidden="1" x14ac:dyDescent="0.25">
      <c r="A3546" s="148" t="s">
        <v>2089</v>
      </c>
      <c r="B3546" s="149" t="s">
        <v>8588</v>
      </c>
      <c r="C3546" s="150" t="s">
        <v>106</v>
      </c>
      <c r="D3546" s="150">
        <v>0</v>
      </c>
      <c r="E3546" s="151">
        <f ca="1">OFFSET(INDEX(Composições!A:H,MATCH(Orçamentária!A3546,Composições!A:A,0),8),2,0)</f>
        <v>1.6760812</v>
      </c>
      <c r="F3546" s="152">
        <f t="shared" ca="1" si="167"/>
        <v>0</v>
      </c>
      <c r="G3546" s="153">
        <f>IF($K3546="Padrão",BDI!$B$17,IF($K3546="Diferenciado",BDI!$E$17,0))</f>
        <v>0.2039</v>
      </c>
      <c r="H3546" s="151">
        <f t="shared" ca="1" si="165"/>
        <v>2.02</v>
      </c>
      <c r="I3546" s="152">
        <f t="shared" ca="1" si="166"/>
        <v>0</v>
      </c>
      <c r="J3546" s="154"/>
      <c r="K3546" s="155" t="s">
        <v>2966</v>
      </c>
    </row>
    <row r="3547" spans="1:11" hidden="1" x14ac:dyDescent="0.25">
      <c r="A3547" s="148" t="s">
        <v>2091</v>
      </c>
      <c r="B3547" s="149" t="s">
        <v>8589</v>
      </c>
      <c r="C3547" s="150" t="s">
        <v>18</v>
      </c>
      <c r="D3547" s="150">
        <v>0</v>
      </c>
      <c r="E3547" s="151">
        <f ca="1">OFFSET(INDEX(Composições!A:H,MATCH(Orçamentária!A3547,Composições!A:A,0),8),2,0)</f>
        <v>112.765</v>
      </c>
      <c r="F3547" s="152">
        <f t="shared" ca="1" si="167"/>
        <v>0</v>
      </c>
      <c r="G3547" s="153">
        <f>IF($K3547="Padrão",BDI!$B$17,IF($K3547="Diferenciado",BDI!$E$17,0))</f>
        <v>0.2039</v>
      </c>
      <c r="H3547" s="151">
        <f t="shared" ca="1" si="165"/>
        <v>135.76</v>
      </c>
      <c r="I3547" s="152">
        <f t="shared" ca="1" si="166"/>
        <v>0</v>
      </c>
      <c r="J3547" s="154"/>
      <c r="K3547" s="155" t="s">
        <v>2966</v>
      </c>
    </row>
    <row r="3548" spans="1:11" hidden="1" x14ac:dyDescent="0.25">
      <c r="A3548" s="148" t="s">
        <v>2093</v>
      </c>
      <c r="B3548" s="149" t="s">
        <v>8590</v>
      </c>
      <c r="C3548" s="150" t="s">
        <v>106</v>
      </c>
      <c r="D3548" s="150">
        <v>0</v>
      </c>
      <c r="E3548" s="151">
        <f ca="1">OFFSET(INDEX(Composições!A:H,MATCH(Orçamentária!A3548,Composições!A:A,0),8),2,0)</f>
        <v>47.641535750000003</v>
      </c>
      <c r="F3548" s="152">
        <f t="shared" ca="1" si="167"/>
        <v>0</v>
      </c>
      <c r="G3548" s="153">
        <f>IF($K3548="Padrão",BDI!$B$17,IF($K3548="Diferenciado",BDI!$E$17,0))</f>
        <v>0.2039</v>
      </c>
      <c r="H3548" s="151">
        <f t="shared" ca="1" si="165"/>
        <v>57.36</v>
      </c>
      <c r="I3548" s="152">
        <f t="shared" ca="1" si="166"/>
        <v>0</v>
      </c>
      <c r="J3548" s="154"/>
      <c r="K3548" s="155" t="s">
        <v>2966</v>
      </c>
    </row>
    <row r="3549" spans="1:11" hidden="1" x14ac:dyDescent="0.25">
      <c r="A3549" s="148" t="s">
        <v>2094</v>
      </c>
      <c r="B3549" s="149" t="s">
        <v>8591</v>
      </c>
      <c r="C3549" s="150" t="s">
        <v>18</v>
      </c>
      <c r="D3549" s="150">
        <v>0</v>
      </c>
      <c r="E3549" s="151">
        <f ca="1">OFFSET(INDEX(Composições!A:H,MATCH(Orçamentária!A3549,Composições!A:A,0),8),2,0)</f>
        <v>70.654327946367502</v>
      </c>
      <c r="F3549" s="152">
        <f t="shared" ca="1" si="167"/>
        <v>0</v>
      </c>
      <c r="G3549" s="153">
        <f>IF($K3549="Padrão",BDI!$B$17,IF($K3549="Diferenciado",BDI!$E$17,0))</f>
        <v>0.2039</v>
      </c>
      <c r="H3549" s="151">
        <f t="shared" ca="1" si="165"/>
        <v>85.06</v>
      </c>
      <c r="I3549" s="152">
        <f t="shared" ca="1" si="166"/>
        <v>0</v>
      </c>
      <c r="J3549" s="154"/>
      <c r="K3549" s="155" t="s">
        <v>2966</v>
      </c>
    </row>
    <row r="3550" spans="1:11" hidden="1" x14ac:dyDescent="0.25">
      <c r="A3550" s="148" t="s">
        <v>2095</v>
      </c>
      <c r="B3550" s="149" t="s">
        <v>8592</v>
      </c>
      <c r="C3550" s="150" t="s">
        <v>18</v>
      </c>
      <c r="D3550" s="150">
        <v>0</v>
      </c>
      <c r="E3550" s="151">
        <f ca="1">OFFSET(INDEX(Composições!A:H,MATCH(Orçamentária!A3550,Composições!A:A,0),8),2,0)</f>
        <v>17.820584499999999</v>
      </c>
      <c r="F3550" s="152">
        <f t="shared" ca="1" si="167"/>
        <v>0</v>
      </c>
      <c r="G3550" s="153">
        <f>IF($K3550="Padrão",BDI!$B$17,IF($K3550="Diferenciado",BDI!$E$17,0))</f>
        <v>0.2039</v>
      </c>
      <c r="H3550" s="151">
        <f t="shared" ca="1" si="165"/>
        <v>21.45</v>
      </c>
      <c r="I3550" s="152">
        <f t="shared" ca="1" si="166"/>
        <v>0</v>
      </c>
      <c r="J3550" s="154"/>
      <c r="K3550" s="155" t="s">
        <v>2966</v>
      </c>
    </row>
    <row r="3551" spans="1:11" hidden="1" x14ac:dyDescent="0.25">
      <c r="A3551" s="148" t="s">
        <v>2096</v>
      </c>
      <c r="B3551" s="149" t="s">
        <v>8593</v>
      </c>
      <c r="C3551" s="150" t="s">
        <v>18</v>
      </c>
      <c r="D3551" s="150">
        <v>0</v>
      </c>
      <c r="E3551" s="151">
        <f ca="1">OFFSET(INDEX(Composições!A:H,MATCH(Orçamentária!A3551,Composições!A:A,0),8),2,0)</f>
        <v>155.1046</v>
      </c>
      <c r="F3551" s="152">
        <f t="shared" ca="1" si="167"/>
        <v>0</v>
      </c>
      <c r="G3551" s="153">
        <f>IF($K3551="Padrão",BDI!$B$17,IF($K3551="Diferenciado",BDI!$E$17,0))</f>
        <v>0.2039</v>
      </c>
      <c r="H3551" s="151">
        <f t="shared" ca="1" si="165"/>
        <v>186.73</v>
      </c>
      <c r="I3551" s="152">
        <f t="shared" ca="1" si="166"/>
        <v>0</v>
      </c>
      <c r="J3551" s="154"/>
      <c r="K3551" s="155" t="s">
        <v>2966</v>
      </c>
    </row>
    <row r="3552" spans="1:11" hidden="1" x14ac:dyDescent="0.25">
      <c r="A3552" s="148" t="s">
        <v>8594</v>
      </c>
      <c r="B3552" s="149" t="s">
        <v>8595</v>
      </c>
      <c r="C3552" s="150" t="s">
        <v>18</v>
      </c>
      <c r="D3552" s="150">
        <v>0</v>
      </c>
      <c r="E3552" s="151" t="s">
        <v>13</v>
      </c>
      <c r="F3552" s="152" t="str">
        <f t="shared" si="167"/>
        <v/>
      </c>
      <c r="G3552" s="153">
        <f>IF($K3552="Padrão",BDI!$B$17,IF($K3552="Diferenciado",BDI!$E$17,0))</f>
        <v>0.2039</v>
      </c>
      <c r="H3552" s="151" t="str">
        <f t="shared" si="165"/>
        <v/>
      </c>
      <c r="I3552" s="152" t="str">
        <f t="shared" si="166"/>
        <v/>
      </c>
      <c r="J3552" s="154"/>
      <c r="K3552" s="155" t="s">
        <v>2966</v>
      </c>
    </row>
    <row r="3553" spans="1:11" hidden="1" x14ac:dyDescent="0.25">
      <c r="A3553" s="148" t="s">
        <v>2097</v>
      </c>
      <c r="B3553" s="149" t="s">
        <v>8596</v>
      </c>
      <c r="C3553" s="150" t="s">
        <v>106</v>
      </c>
      <c r="D3553" s="150">
        <v>0</v>
      </c>
      <c r="E3553" s="151">
        <f ca="1">OFFSET(INDEX(Composições!A:H,MATCH(Orçamentária!A3553,Composições!A:A,0),8),2,0)</f>
        <v>624.98930599999994</v>
      </c>
      <c r="F3553" s="152">
        <f t="shared" ca="1" si="167"/>
        <v>0</v>
      </c>
      <c r="G3553" s="153">
        <f>IF($K3553="Padrão",BDI!$B$17,IF($K3553="Diferenciado",BDI!$E$17,0))</f>
        <v>0.2039</v>
      </c>
      <c r="H3553" s="151">
        <f t="shared" ca="1" si="165"/>
        <v>752.42</v>
      </c>
      <c r="I3553" s="152">
        <f t="shared" ca="1" si="166"/>
        <v>0</v>
      </c>
      <c r="J3553" s="154"/>
      <c r="K3553" s="155" t="s">
        <v>2966</v>
      </c>
    </row>
    <row r="3554" spans="1:11" hidden="1" x14ac:dyDescent="0.25">
      <c r="A3554" s="148" t="s">
        <v>2098</v>
      </c>
      <c r="B3554" s="149" t="s">
        <v>8597</v>
      </c>
      <c r="C3554" s="150" t="s">
        <v>18</v>
      </c>
      <c r="D3554" s="150">
        <v>0</v>
      </c>
      <c r="E3554" s="151">
        <f ca="1">OFFSET(INDEX(Composições!A:H,MATCH(Orçamentária!A3554,Composições!A:A,0),8),2,0)</f>
        <v>2.7838324999999999</v>
      </c>
      <c r="F3554" s="152">
        <f t="shared" ca="1" si="167"/>
        <v>0</v>
      </c>
      <c r="G3554" s="153">
        <f>IF($K3554="Padrão",BDI!$B$17,IF($K3554="Diferenciado",BDI!$E$17,0))</f>
        <v>0.2039</v>
      </c>
      <c r="H3554" s="151">
        <f t="shared" ca="1" si="165"/>
        <v>3.35</v>
      </c>
      <c r="I3554" s="152">
        <f t="shared" ca="1" si="166"/>
        <v>0</v>
      </c>
      <c r="J3554" s="154"/>
      <c r="K3554" s="155" t="s">
        <v>2966</v>
      </c>
    </row>
    <row r="3555" spans="1:11" hidden="1" x14ac:dyDescent="0.25">
      <c r="A3555" s="148" t="s">
        <v>2100</v>
      </c>
      <c r="B3555" s="149" t="s">
        <v>8598</v>
      </c>
      <c r="C3555" s="150" t="s">
        <v>18</v>
      </c>
      <c r="D3555" s="150">
        <v>0</v>
      </c>
      <c r="E3555" s="151">
        <f ca="1">OFFSET(INDEX(Composições!A:H,MATCH(Orçamentária!A3555,Composições!A:A,0),8),2,0)</f>
        <v>27.331499999999998</v>
      </c>
      <c r="F3555" s="152">
        <f t="shared" ca="1" si="167"/>
        <v>0</v>
      </c>
      <c r="G3555" s="153">
        <f>IF($K3555="Padrão",BDI!$B$17,IF($K3555="Diferenciado",BDI!$E$17,0))</f>
        <v>0.2039</v>
      </c>
      <c r="H3555" s="151">
        <f t="shared" ca="1" si="165"/>
        <v>32.9</v>
      </c>
      <c r="I3555" s="152">
        <f t="shared" ca="1" si="166"/>
        <v>0</v>
      </c>
      <c r="J3555" s="154"/>
      <c r="K3555" s="155" t="s">
        <v>2966</v>
      </c>
    </row>
    <row r="3556" spans="1:11" hidden="1" x14ac:dyDescent="0.25">
      <c r="A3556" s="148" t="s">
        <v>2101</v>
      </c>
      <c r="B3556" s="149" t="s">
        <v>8599</v>
      </c>
      <c r="C3556" s="150" t="s">
        <v>18</v>
      </c>
      <c r="D3556" s="150">
        <v>0</v>
      </c>
      <c r="E3556" s="151">
        <f ca="1">OFFSET(INDEX(Composições!A:H,MATCH(Orçamentária!A3556,Composições!A:A,0),8),2,0)</f>
        <v>8.8919999999999995</v>
      </c>
      <c r="F3556" s="152">
        <f t="shared" ca="1" si="167"/>
        <v>0</v>
      </c>
      <c r="G3556" s="153">
        <f>IF($K3556="Padrão",BDI!$B$17,IF($K3556="Diferenciado",BDI!$E$17,0))</f>
        <v>0.2039</v>
      </c>
      <c r="H3556" s="151">
        <f t="shared" ca="1" si="165"/>
        <v>10.71</v>
      </c>
      <c r="I3556" s="152">
        <f t="shared" ca="1" si="166"/>
        <v>0</v>
      </c>
      <c r="J3556" s="154"/>
      <c r="K3556" s="155" t="s">
        <v>2966</v>
      </c>
    </row>
    <row r="3557" spans="1:11" hidden="1" x14ac:dyDescent="0.25">
      <c r="A3557" s="148" t="s">
        <v>2102</v>
      </c>
      <c r="B3557" s="149" t="s">
        <v>8600</v>
      </c>
      <c r="C3557" s="150" t="s">
        <v>18</v>
      </c>
      <c r="D3557" s="150">
        <v>0</v>
      </c>
      <c r="E3557" s="151">
        <f ca="1">OFFSET(INDEX(Composições!A:H,MATCH(Orçamentária!A3557,Composições!A:A,0),8),2,0)</f>
        <v>18.948781168949999</v>
      </c>
      <c r="F3557" s="152">
        <f t="shared" ca="1" si="167"/>
        <v>0</v>
      </c>
      <c r="G3557" s="153">
        <f>IF($K3557="Padrão",BDI!$B$17,IF($K3557="Diferenciado",BDI!$E$17,0))</f>
        <v>0.2039</v>
      </c>
      <c r="H3557" s="151">
        <f t="shared" ca="1" si="165"/>
        <v>22.81</v>
      </c>
      <c r="I3557" s="152">
        <f t="shared" ca="1" si="166"/>
        <v>0</v>
      </c>
      <c r="J3557" s="154"/>
      <c r="K3557" s="155" t="s">
        <v>2966</v>
      </c>
    </row>
    <row r="3558" spans="1:11" hidden="1" x14ac:dyDescent="0.25">
      <c r="A3558" s="148" t="s">
        <v>2104</v>
      </c>
      <c r="B3558" s="149" t="s">
        <v>8601</v>
      </c>
      <c r="C3558" s="150" t="s">
        <v>18</v>
      </c>
      <c r="D3558" s="150">
        <v>0</v>
      </c>
      <c r="E3558" s="151">
        <f ca="1">OFFSET(INDEX(Composições!A:H,MATCH(Orçamentária!A3558,Composições!A:A,0),8),2,0)</f>
        <v>18.948781168949999</v>
      </c>
      <c r="F3558" s="152">
        <f t="shared" ca="1" si="167"/>
        <v>0</v>
      </c>
      <c r="G3558" s="153">
        <f>IF($K3558="Padrão",BDI!$B$17,IF($K3558="Diferenciado",BDI!$E$17,0))</f>
        <v>0.2039</v>
      </c>
      <c r="H3558" s="151">
        <f t="shared" ca="1" si="165"/>
        <v>22.81</v>
      </c>
      <c r="I3558" s="152">
        <f t="shared" ca="1" si="166"/>
        <v>0</v>
      </c>
      <c r="J3558" s="154"/>
      <c r="K3558" s="155" t="s">
        <v>2966</v>
      </c>
    </row>
    <row r="3559" spans="1:11" hidden="1" x14ac:dyDescent="0.25">
      <c r="A3559" s="148" t="s">
        <v>2106</v>
      </c>
      <c r="B3559" s="149" t="s">
        <v>8602</v>
      </c>
      <c r="C3559" s="150" t="s">
        <v>18</v>
      </c>
      <c r="D3559" s="150">
        <v>0</v>
      </c>
      <c r="E3559" s="151">
        <f ca="1">OFFSET(INDEX(Composições!A:H,MATCH(Orçamentária!A3559,Composições!A:A,0),8),2,0)</f>
        <v>2.4946999999999999</v>
      </c>
      <c r="F3559" s="152">
        <f t="shared" ca="1" si="167"/>
        <v>0</v>
      </c>
      <c r="G3559" s="153">
        <f>IF($K3559="Padrão",BDI!$B$17,IF($K3559="Diferenciado",BDI!$E$17,0))</f>
        <v>0.2039</v>
      </c>
      <c r="H3559" s="151">
        <f t="shared" ca="1" si="165"/>
        <v>3</v>
      </c>
      <c r="I3559" s="152">
        <f t="shared" ca="1" si="166"/>
        <v>0</v>
      </c>
      <c r="J3559" s="154"/>
      <c r="K3559" s="155" t="s">
        <v>2966</v>
      </c>
    </row>
    <row r="3560" spans="1:11" hidden="1" x14ac:dyDescent="0.25">
      <c r="A3560" s="148" t="s">
        <v>2108</v>
      </c>
      <c r="B3560" s="149" t="s">
        <v>8603</v>
      </c>
      <c r="C3560" s="150" t="s">
        <v>18</v>
      </c>
      <c r="D3560" s="150">
        <v>0</v>
      </c>
      <c r="E3560" s="151">
        <f ca="1">OFFSET(INDEX(Composições!A:H,MATCH(Orçamentária!A3560,Composições!A:A,0),8),2,0)</f>
        <v>2.4946999999999999</v>
      </c>
      <c r="F3560" s="152">
        <f t="shared" ca="1" si="167"/>
        <v>0</v>
      </c>
      <c r="G3560" s="153">
        <f>IF($K3560="Padrão",BDI!$B$17,IF($K3560="Diferenciado",BDI!$E$17,0))</f>
        <v>0.2039</v>
      </c>
      <c r="H3560" s="151">
        <f t="shared" ca="1" si="165"/>
        <v>3</v>
      </c>
      <c r="I3560" s="152">
        <f t="shared" ca="1" si="166"/>
        <v>0</v>
      </c>
      <c r="J3560" s="154"/>
      <c r="K3560" s="155" t="s">
        <v>2966</v>
      </c>
    </row>
    <row r="3561" spans="1:11" hidden="1" x14ac:dyDescent="0.25">
      <c r="A3561" s="148" t="s">
        <v>2110</v>
      </c>
      <c r="B3561" s="149" t="s">
        <v>8604</v>
      </c>
      <c r="C3561" s="150" t="s">
        <v>18</v>
      </c>
      <c r="D3561" s="150">
        <v>0</v>
      </c>
      <c r="E3561" s="151">
        <f ca="1">OFFSET(INDEX(Composições!A:H,MATCH(Orçamentária!A3561,Composições!A:A,0),8),2,0)</f>
        <v>2.4946999999999999</v>
      </c>
      <c r="F3561" s="152">
        <f t="shared" ca="1" si="167"/>
        <v>0</v>
      </c>
      <c r="G3561" s="153">
        <f>IF($K3561="Padrão",BDI!$B$17,IF($K3561="Diferenciado",BDI!$E$17,0))</f>
        <v>0.2039</v>
      </c>
      <c r="H3561" s="151">
        <f t="shared" ca="1" si="165"/>
        <v>3</v>
      </c>
      <c r="I3561" s="152">
        <f t="shared" ca="1" si="166"/>
        <v>0</v>
      </c>
      <c r="J3561" s="154"/>
      <c r="K3561" s="155" t="s">
        <v>2966</v>
      </c>
    </row>
    <row r="3562" spans="1:11" hidden="1" x14ac:dyDescent="0.25">
      <c r="A3562" s="148" t="s">
        <v>2112</v>
      </c>
      <c r="B3562" s="149" t="s">
        <v>8605</v>
      </c>
      <c r="C3562" s="150" t="s">
        <v>18</v>
      </c>
      <c r="D3562" s="150">
        <v>0</v>
      </c>
      <c r="E3562" s="151">
        <f ca="1">OFFSET(INDEX(Composições!A:H,MATCH(Orçamentária!A3562,Composições!A:A,0),8),2,0)</f>
        <v>17.8732525</v>
      </c>
      <c r="F3562" s="152">
        <f t="shared" ca="1" si="167"/>
        <v>0</v>
      </c>
      <c r="G3562" s="153">
        <f>IF($K3562="Padrão",BDI!$B$17,IF($K3562="Diferenciado",BDI!$E$17,0))</f>
        <v>0.2039</v>
      </c>
      <c r="H3562" s="151">
        <f t="shared" ca="1" si="165"/>
        <v>21.52</v>
      </c>
      <c r="I3562" s="152">
        <f t="shared" ca="1" si="166"/>
        <v>0</v>
      </c>
      <c r="J3562" s="154"/>
      <c r="K3562" s="155" t="s">
        <v>2966</v>
      </c>
    </row>
    <row r="3563" spans="1:11" hidden="1" x14ac:dyDescent="0.25">
      <c r="A3563" s="148" t="s">
        <v>2114</v>
      </c>
      <c r="B3563" s="149" t="s">
        <v>8606</v>
      </c>
      <c r="C3563" s="150" t="s">
        <v>18</v>
      </c>
      <c r="D3563" s="150">
        <v>0</v>
      </c>
      <c r="E3563" s="151">
        <f ca="1">OFFSET(INDEX(Composições!A:H,MATCH(Orçamentária!A3563,Composições!A:A,0),8),2,0)</f>
        <v>19.508344999999998</v>
      </c>
      <c r="F3563" s="152">
        <f t="shared" ca="1" si="167"/>
        <v>0</v>
      </c>
      <c r="G3563" s="153">
        <f>IF($K3563="Padrão",BDI!$B$17,IF($K3563="Diferenciado",BDI!$E$17,0))</f>
        <v>0.2039</v>
      </c>
      <c r="H3563" s="151">
        <f t="shared" ca="1" si="165"/>
        <v>23.49</v>
      </c>
      <c r="I3563" s="152">
        <f t="shared" ca="1" si="166"/>
        <v>0</v>
      </c>
      <c r="J3563" s="154"/>
      <c r="K3563" s="155" t="s">
        <v>2966</v>
      </c>
    </row>
    <row r="3564" spans="1:11" hidden="1" x14ac:dyDescent="0.25">
      <c r="A3564" s="148" t="s">
        <v>2116</v>
      </c>
      <c r="B3564" s="149" t="s">
        <v>8607</v>
      </c>
      <c r="C3564" s="150" t="s">
        <v>18</v>
      </c>
      <c r="D3564" s="150">
        <v>0</v>
      </c>
      <c r="E3564" s="151">
        <f ca="1">OFFSET(INDEX(Composições!A:H,MATCH(Orçamentária!A3564,Composições!A:A,0),8),2,0)</f>
        <v>19.508344999999998</v>
      </c>
      <c r="F3564" s="152">
        <f t="shared" ca="1" si="167"/>
        <v>0</v>
      </c>
      <c r="G3564" s="153">
        <f>IF($K3564="Padrão",BDI!$B$17,IF($K3564="Diferenciado",BDI!$E$17,0))</f>
        <v>0.2039</v>
      </c>
      <c r="H3564" s="151">
        <f t="shared" ca="1" si="165"/>
        <v>23.49</v>
      </c>
      <c r="I3564" s="152">
        <f t="shared" ca="1" si="166"/>
        <v>0</v>
      </c>
      <c r="J3564" s="154"/>
      <c r="K3564" s="155" t="s">
        <v>2966</v>
      </c>
    </row>
    <row r="3565" spans="1:11" hidden="1" x14ac:dyDescent="0.25">
      <c r="A3565" s="148" t="s">
        <v>2118</v>
      </c>
      <c r="B3565" s="149" t="s">
        <v>8608</v>
      </c>
      <c r="C3565" s="150" t="s">
        <v>18</v>
      </c>
      <c r="D3565" s="150">
        <v>0</v>
      </c>
      <c r="E3565" s="151">
        <f ca="1">OFFSET(INDEX(Composições!A:H,MATCH(Orçamentária!A3565,Composições!A:A,0),8),2,0)</f>
        <v>0.63430312499999997</v>
      </c>
      <c r="F3565" s="152">
        <f t="shared" ca="1" si="167"/>
        <v>0</v>
      </c>
      <c r="G3565" s="153">
        <f>IF($K3565="Padrão",BDI!$B$17,IF($K3565="Diferenciado",BDI!$E$17,0))</f>
        <v>0.2039</v>
      </c>
      <c r="H3565" s="151">
        <f t="shared" ca="1" si="165"/>
        <v>0.76</v>
      </c>
      <c r="I3565" s="152">
        <f t="shared" ca="1" si="166"/>
        <v>0</v>
      </c>
      <c r="J3565" s="154"/>
      <c r="K3565" s="155" t="s">
        <v>2966</v>
      </c>
    </row>
    <row r="3566" spans="1:11" hidden="1" x14ac:dyDescent="0.25">
      <c r="A3566" s="148" t="s">
        <v>2120</v>
      </c>
      <c r="B3566" s="149" t="s">
        <v>8609</v>
      </c>
      <c r="C3566" s="150" t="s">
        <v>18</v>
      </c>
      <c r="D3566" s="150">
        <v>0</v>
      </c>
      <c r="E3566" s="151">
        <f ca="1">OFFSET(INDEX(Composições!A:H,MATCH(Orçamentária!A3566,Composições!A:A,0),8),2,0)</f>
        <v>1352.9169449999999</v>
      </c>
      <c r="F3566" s="152">
        <f t="shared" ca="1" si="167"/>
        <v>0</v>
      </c>
      <c r="G3566" s="153">
        <f>IF($K3566="Padrão",BDI!$B$17,IF($K3566="Diferenciado",BDI!$E$17,0))</f>
        <v>0.2039</v>
      </c>
      <c r="H3566" s="151">
        <f t="shared" ca="1" si="165"/>
        <v>1628.78</v>
      </c>
      <c r="I3566" s="152">
        <f t="shared" ca="1" si="166"/>
        <v>0</v>
      </c>
      <c r="J3566" s="154"/>
      <c r="K3566" s="155" t="s">
        <v>2966</v>
      </c>
    </row>
    <row r="3567" spans="1:11" hidden="1" x14ac:dyDescent="0.25">
      <c r="A3567" s="148" t="s">
        <v>2121</v>
      </c>
      <c r="B3567" s="149" t="s">
        <v>2122</v>
      </c>
      <c r="C3567" s="150" t="s">
        <v>106</v>
      </c>
      <c r="D3567" s="150">
        <v>0</v>
      </c>
      <c r="E3567" s="151">
        <f ca="1">OFFSET(INDEX(Composições!A:H,MATCH(Orçamentária!A3567,Composições!A:A,0),8),2,0)</f>
        <v>5.8694182499999998</v>
      </c>
      <c r="F3567" s="152">
        <f t="shared" ca="1" si="167"/>
        <v>0</v>
      </c>
      <c r="G3567" s="153">
        <f>IF($K3567="Padrão",BDI!$B$17,IF($K3567="Diferenciado",BDI!$E$17,0))</f>
        <v>0.2039</v>
      </c>
      <c r="H3567" s="151">
        <f t="shared" ca="1" si="165"/>
        <v>7.07</v>
      </c>
      <c r="I3567" s="152">
        <f t="shared" ca="1" si="166"/>
        <v>0</v>
      </c>
      <c r="J3567" s="154"/>
      <c r="K3567" s="155" t="s">
        <v>2966</v>
      </c>
    </row>
    <row r="3568" spans="1:11" hidden="1" x14ac:dyDescent="0.25">
      <c r="A3568" s="148" t="s">
        <v>2123</v>
      </c>
      <c r="B3568" s="149" t="s">
        <v>8610</v>
      </c>
      <c r="C3568" s="150" t="s">
        <v>18</v>
      </c>
      <c r="D3568" s="150">
        <v>0</v>
      </c>
      <c r="E3568" s="151">
        <f ca="1">OFFSET(INDEX(Composições!A:H,MATCH(Orçamentária!A3568,Composições!A:A,0),8),2,0)</f>
        <v>18.07059125</v>
      </c>
      <c r="F3568" s="152">
        <f t="shared" ca="1" si="167"/>
        <v>0</v>
      </c>
      <c r="G3568" s="153">
        <f>IF($K3568="Padrão",BDI!$B$17,IF($K3568="Diferenciado",BDI!$E$17,0))</f>
        <v>0.2039</v>
      </c>
      <c r="H3568" s="151">
        <f t="shared" ca="1" si="165"/>
        <v>21.76</v>
      </c>
      <c r="I3568" s="152">
        <f t="shared" ca="1" si="166"/>
        <v>0</v>
      </c>
      <c r="J3568" s="154"/>
      <c r="K3568" s="155" t="s">
        <v>2966</v>
      </c>
    </row>
    <row r="3569" spans="1:11" hidden="1" x14ac:dyDescent="0.25">
      <c r="A3569" s="148" t="s">
        <v>2125</v>
      </c>
      <c r="B3569" s="149" t="s">
        <v>8611</v>
      </c>
      <c r="C3569" s="150" t="s">
        <v>18</v>
      </c>
      <c r="D3569" s="150">
        <v>0</v>
      </c>
      <c r="E3569" s="151">
        <f ca="1">OFFSET(INDEX(Composições!A:H,MATCH(Orçamentária!A3569,Composições!A:A,0),8),2,0)</f>
        <v>139.704644</v>
      </c>
      <c r="F3569" s="152">
        <f t="shared" ca="1" si="167"/>
        <v>0</v>
      </c>
      <c r="G3569" s="153">
        <f>IF($K3569="Padrão",BDI!$B$17,IF($K3569="Diferenciado",BDI!$E$17,0))</f>
        <v>0.2039</v>
      </c>
      <c r="H3569" s="151">
        <f t="shared" ca="1" si="165"/>
        <v>168.19</v>
      </c>
      <c r="I3569" s="152">
        <f t="shared" ca="1" si="166"/>
        <v>0</v>
      </c>
      <c r="J3569" s="154"/>
      <c r="K3569" s="155" t="s">
        <v>2966</v>
      </c>
    </row>
    <row r="3570" spans="1:11" hidden="1" x14ac:dyDescent="0.25">
      <c r="A3570" s="148" t="s">
        <v>2127</v>
      </c>
      <c r="B3570" s="149" t="s">
        <v>8612</v>
      </c>
      <c r="C3570" s="150" t="s">
        <v>18</v>
      </c>
      <c r="D3570" s="150">
        <v>0</v>
      </c>
      <c r="E3570" s="151">
        <f ca="1">OFFSET(INDEX(Composições!A:H,MATCH(Orçamentária!A3570,Composições!A:A,0),8),2,0)</f>
        <v>27.940928799999995</v>
      </c>
      <c r="F3570" s="152">
        <f t="shared" ca="1" si="167"/>
        <v>0</v>
      </c>
      <c r="G3570" s="153">
        <f>IF($K3570="Padrão",BDI!$B$17,IF($K3570="Diferenciado",BDI!$E$17,0))</f>
        <v>0.2039</v>
      </c>
      <c r="H3570" s="151">
        <f t="shared" ca="1" si="165"/>
        <v>33.64</v>
      </c>
      <c r="I3570" s="152">
        <f t="shared" ca="1" si="166"/>
        <v>0</v>
      </c>
      <c r="J3570" s="154"/>
      <c r="K3570" s="155" t="s">
        <v>2966</v>
      </c>
    </row>
    <row r="3571" spans="1:11" hidden="1" x14ac:dyDescent="0.25">
      <c r="A3571" s="148" t="s">
        <v>8613</v>
      </c>
      <c r="B3571" s="149" t="s">
        <v>8614</v>
      </c>
      <c r="C3571" s="150" t="s">
        <v>18</v>
      </c>
      <c r="D3571" s="150">
        <v>0</v>
      </c>
      <c r="E3571" s="151" t="s">
        <v>13</v>
      </c>
      <c r="F3571" s="152" t="str">
        <f t="shared" si="167"/>
        <v/>
      </c>
      <c r="G3571" s="153">
        <f>IF($K3571="Padrão",BDI!$B$17,IF($K3571="Diferenciado",BDI!$E$17,0))</f>
        <v>0.2039</v>
      </c>
      <c r="H3571" s="151" t="str">
        <f t="shared" si="165"/>
        <v/>
      </c>
      <c r="I3571" s="152" t="str">
        <f t="shared" si="166"/>
        <v/>
      </c>
      <c r="J3571" s="154"/>
      <c r="K3571" s="155" t="s">
        <v>2966</v>
      </c>
    </row>
    <row r="3572" spans="1:11" hidden="1" x14ac:dyDescent="0.25">
      <c r="A3572" s="148" t="s">
        <v>8615</v>
      </c>
      <c r="B3572" s="149" t="s">
        <v>8616</v>
      </c>
      <c r="C3572" s="150" t="s">
        <v>18</v>
      </c>
      <c r="D3572" s="150">
        <v>0</v>
      </c>
      <c r="E3572" s="151" t="s">
        <v>13</v>
      </c>
      <c r="F3572" s="152" t="str">
        <f t="shared" si="167"/>
        <v/>
      </c>
      <c r="G3572" s="153">
        <f>IF($K3572="Padrão",BDI!$B$17,IF($K3572="Diferenciado",BDI!$E$17,0))</f>
        <v>0.2039</v>
      </c>
      <c r="H3572" s="151" t="str">
        <f t="shared" si="165"/>
        <v/>
      </c>
      <c r="I3572" s="152" t="str">
        <f t="shared" si="166"/>
        <v/>
      </c>
      <c r="J3572" s="154"/>
      <c r="K3572" s="155" t="s">
        <v>2966</v>
      </c>
    </row>
    <row r="3573" spans="1:11" hidden="1" x14ac:dyDescent="0.25">
      <c r="A3573" s="148" t="s">
        <v>8617</v>
      </c>
      <c r="B3573" s="149" t="s">
        <v>8618</v>
      </c>
      <c r="C3573" s="150" t="s">
        <v>18</v>
      </c>
      <c r="D3573" s="150">
        <v>0</v>
      </c>
      <c r="E3573" s="151" t="s">
        <v>13</v>
      </c>
      <c r="F3573" s="152" t="str">
        <f t="shared" si="167"/>
        <v/>
      </c>
      <c r="G3573" s="153">
        <f>IF($K3573="Padrão",BDI!$B$17,IF($K3573="Diferenciado",BDI!$E$17,0))</f>
        <v>0.2039</v>
      </c>
      <c r="H3573" s="151" t="str">
        <f t="shared" si="165"/>
        <v/>
      </c>
      <c r="I3573" s="152" t="str">
        <f t="shared" si="166"/>
        <v/>
      </c>
      <c r="J3573" s="154"/>
      <c r="K3573" s="155" t="s">
        <v>2966</v>
      </c>
    </row>
    <row r="3574" spans="1:11" hidden="1" x14ac:dyDescent="0.25">
      <c r="A3574" s="148" t="s">
        <v>8619</v>
      </c>
      <c r="B3574" s="149" t="s">
        <v>8620</v>
      </c>
      <c r="C3574" s="150" t="s">
        <v>18</v>
      </c>
      <c r="D3574" s="150">
        <v>0</v>
      </c>
      <c r="E3574" s="151" t="s">
        <v>13</v>
      </c>
      <c r="F3574" s="152" t="str">
        <f t="shared" si="167"/>
        <v/>
      </c>
      <c r="G3574" s="153">
        <f>IF($K3574="Padrão",BDI!$B$17,IF($K3574="Diferenciado",BDI!$E$17,0))</f>
        <v>0.2039</v>
      </c>
      <c r="H3574" s="151" t="str">
        <f t="shared" si="165"/>
        <v/>
      </c>
      <c r="I3574" s="152" t="str">
        <f t="shared" si="166"/>
        <v/>
      </c>
      <c r="J3574" s="154"/>
      <c r="K3574" s="155" t="s">
        <v>2966</v>
      </c>
    </row>
    <row r="3575" spans="1:11" hidden="1" x14ac:dyDescent="0.25">
      <c r="A3575" s="148" t="s">
        <v>8621</v>
      </c>
      <c r="B3575" s="149" t="s">
        <v>8622</v>
      </c>
      <c r="C3575" s="150" t="s">
        <v>18</v>
      </c>
      <c r="D3575" s="150">
        <v>0</v>
      </c>
      <c r="E3575" s="151" t="s">
        <v>13</v>
      </c>
      <c r="F3575" s="152" t="str">
        <f t="shared" si="167"/>
        <v/>
      </c>
      <c r="G3575" s="153">
        <f>IF($K3575="Padrão",BDI!$B$17,IF($K3575="Diferenciado",BDI!$E$17,0))</f>
        <v>0.2039</v>
      </c>
      <c r="H3575" s="151" t="str">
        <f t="shared" si="165"/>
        <v/>
      </c>
      <c r="I3575" s="152" t="str">
        <f t="shared" si="166"/>
        <v/>
      </c>
      <c r="J3575" s="154"/>
      <c r="K3575" s="155" t="s">
        <v>2966</v>
      </c>
    </row>
    <row r="3576" spans="1:11" hidden="1" x14ac:dyDescent="0.25">
      <c r="A3576" s="148" t="s">
        <v>8623</v>
      </c>
      <c r="B3576" s="149" t="s">
        <v>8624</v>
      </c>
      <c r="C3576" s="150" t="s">
        <v>18</v>
      </c>
      <c r="D3576" s="150">
        <v>0</v>
      </c>
      <c r="E3576" s="151" t="s">
        <v>13</v>
      </c>
      <c r="F3576" s="152" t="str">
        <f t="shared" si="167"/>
        <v/>
      </c>
      <c r="G3576" s="153">
        <f>IF($K3576="Padrão",BDI!$B$17,IF($K3576="Diferenciado",BDI!$E$17,0))</f>
        <v>0.2039</v>
      </c>
      <c r="H3576" s="151" t="str">
        <f t="shared" si="165"/>
        <v/>
      </c>
      <c r="I3576" s="152" t="str">
        <f t="shared" si="166"/>
        <v/>
      </c>
      <c r="J3576" s="154"/>
      <c r="K3576" s="155" t="s">
        <v>2966</v>
      </c>
    </row>
    <row r="3577" spans="1:11" hidden="1" x14ac:dyDescent="0.25">
      <c r="A3577" s="148" t="s">
        <v>8625</v>
      </c>
      <c r="B3577" s="149" t="s">
        <v>8626</v>
      </c>
      <c r="C3577" s="150" t="s">
        <v>18</v>
      </c>
      <c r="D3577" s="150">
        <v>0</v>
      </c>
      <c r="E3577" s="151" t="s">
        <v>13</v>
      </c>
      <c r="F3577" s="152" t="str">
        <f t="shared" si="167"/>
        <v/>
      </c>
      <c r="G3577" s="153">
        <f>IF($K3577="Padrão",BDI!$B$17,IF($K3577="Diferenciado",BDI!$E$17,0))</f>
        <v>0.2039</v>
      </c>
      <c r="H3577" s="151" t="str">
        <f t="shared" si="165"/>
        <v/>
      </c>
      <c r="I3577" s="152" t="str">
        <f t="shared" si="166"/>
        <v/>
      </c>
      <c r="J3577" s="154"/>
      <c r="K3577" s="155" t="s">
        <v>2966</v>
      </c>
    </row>
    <row r="3578" spans="1:11" hidden="1" x14ac:dyDescent="0.25">
      <c r="A3578" s="148" t="s">
        <v>8627</v>
      </c>
      <c r="B3578" s="149" t="s">
        <v>8628</v>
      </c>
      <c r="C3578" s="150" t="s">
        <v>18</v>
      </c>
      <c r="D3578" s="150">
        <v>0</v>
      </c>
      <c r="E3578" s="151" t="s">
        <v>13</v>
      </c>
      <c r="F3578" s="152" t="str">
        <f t="shared" si="167"/>
        <v/>
      </c>
      <c r="G3578" s="153">
        <f>IF($K3578="Padrão",BDI!$B$17,IF($K3578="Diferenciado",BDI!$E$17,0))</f>
        <v>0.2039</v>
      </c>
      <c r="H3578" s="151" t="str">
        <f t="shared" si="165"/>
        <v/>
      </c>
      <c r="I3578" s="152" t="str">
        <f t="shared" si="166"/>
        <v/>
      </c>
      <c r="J3578" s="154"/>
      <c r="K3578" s="155" t="s">
        <v>2966</v>
      </c>
    </row>
    <row r="3579" spans="1:11" hidden="1" x14ac:dyDescent="0.25">
      <c r="A3579" s="148" t="s">
        <v>8629</v>
      </c>
      <c r="B3579" s="149" t="s">
        <v>8630</v>
      </c>
      <c r="C3579" s="150" t="s">
        <v>18</v>
      </c>
      <c r="D3579" s="150">
        <v>0</v>
      </c>
      <c r="E3579" s="151" t="s">
        <v>13</v>
      </c>
      <c r="F3579" s="152" t="str">
        <f t="shared" si="167"/>
        <v/>
      </c>
      <c r="G3579" s="153">
        <f>IF($K3579="Padrão",BDI!$B$17,IF($K3579="Diferenciado",BDI!$E$17,0))</f>
        <v>0.2039</v>
      </c>
      <c r="H3579" s="151" t="str">
        <f t="shared" si="165"/>
        <v/>
      </c>
      <c r="I3579" s="152" t="str">
        <f t="shared" si="166"/>
        <v/>
      </c>
      <c r="J3579" s="154"/>
      <c r="K3579" s="155" t="s">
        <v>2966</v>
      </c>
    </row>
    <row r="3580" spans="1:11" ht="25.5" hidden="1" x14ac:dyDescent="0.25">
      <c r="A3580" s="148" t="s">
        <v>2129</v>
      </c>
      <c r="B3580" s="149" t="s">
        <v>8631</v>
      </c>
      <c r="C3580" s="150" t="s">
        <v>106</v>
      </c>
      <c r="D3580" s="150">
        <v>0</v>
      </c>
      <c r="E3580" s="151">
        <f ca="1">OFFSET(INDEX(Composições!A:H,MATCH(Orçamentária!A3580,Composições!A:A,0),8),2,0)</f>
        <v>78.299416852808505</v>
      </c>
      <c r="F3580" s="152">
        <f t="shared" ca="1" si="167"/>
        <v>0</v>
      </c>
      <c r="G3580" s="153">
        <f>IF($K3580="Padrão",BDI!$B$17,IF($K3580="Diferenciado",BDI!$E$17,0))</f>
        <v>0.2039</v>
      </c>
      <c r="H3580" s="151">
        <f t="shared" ca="1" si="165"/>
        <v>94.26</v>
      </c>
      <c r="I3580" s="152">
        <f t="shared" ca="1" si="166"/>
        <v>0</v>
      </c>
      <c r="J3580" s="154"/>
      <c r="K3580" s="155" t="s">
        <v>2966</v>
      </c>
    </row>
    <row r="3581" spans="1:11" ht="25.5" hidden="1" x14ac:dyDescent="0.25">
      <c r="A3581" s="148" t="s">
        <v>2134</v>
      </c>
      <c r="B3581" s="149" t="s">
        <v>8632</v>
      </c>
      <c r="C3581" s="150" t="s">
        <v>68</v>
      </c>
      <c r="D3581" s="150">
        <v>0</v>
      </c>
      <c r="E3581" s="151">
        <f ca="1">OFFSET(INDEX(Composições!A:H,MATCH(Orçamentária!A3581,Composições!A:A,0),8),2,0)</f>
        <v>11.463713650000001</v>
      </c>
      <c r="F3581" s="152">
        <f t="shared" ca="1" si="167"/>
        <v>0</v>
      </c>
      <c r="G3581" s="153">
        <f>IF($K3581="Padrão",BDI!$B$17,IF($K3581="Diferenciado",BDI!$E$17,0))</f>
        <v>0.2039</v>
      </c>
      <c r="H3581" s="151">
        <f t="shared" ca="1" si="165"/>
        <v>13.8</v>
      </c>
      <c r="I3581" s="152">
        <f t="shared" ca="1" si="166"/>
        <v>0</v>
      </c>
      <c r="J3581" s="154"/>
      <c r="K3581" s="155" t="s">
        <v>2966</v>
      </c>
    </row>
    <row r="3582" spans="1:11" hidden="1" x14ac:dyDescent="0.25">
      <c r="A3582" s="148" t="s">
        <v>2136</v>
      </c>
      <c r="B3582" s="149" t="s">
        <v>8633</v>
      </c>
      <c r="C3582" s="150" t="s">
        <v>18</v>
      </c>
      <c r="D3582" s="150">
        <v>0</v>
      </c>
      <c r="E3582" s="151">
        <f ca="1">OFFSET(INDEX(Composições!A:H,MATCH(Orçamentária!A3582,Composições!A:A,0),8),2,0)</f>
        <v>458.95449619999994</v>
      </c>
      <c r="F3582" s="152">
        <f t="shared" ca="1" si="167"/>
        <v>0</v>
      </c>
      <c r="G3582" s="153">
        <f>IF($K3582="Padrão",BDI!$B$17,IF($K3582="Diferenciado",BDI!$E$17,0))</f>
        <v>0.2039</v>
      </c>
      <c r="H3582" s="151">
        <f t="shared" ca="1" si="165"/>
        <v>552.54</v>
      </c>
      <c r="I3582" s="152">
        <f t="shared" ca="1" si="166"/>
        <v>0</v>
      </c>
      <c r="J3582" s="154"/>
      <c r="K3582" s="155" t="s">
        <v>2966</v>
      </c>
    </row>
    <row r="3583" spans="1:11" hidden="1" x14ac:dyDescent="0.25">
      <c r="A3583" s="148" t="s">
        <v>2137</v>
      </c>
      <c r="B3583" s="149" t="s">
        <v>8634</v>
      </c>
      <c r="C3583" s="150" t="s">
        <v>18</v>
      </c>
      <c r="D3583" s="150">
        <v>0</v>
      </c>
      <c r="E3583" s="151">
        <f ca="1">OFFSET(INDEX(Composições!A:H,MATCH(Orçamentária!A3583,Composições!A:A,0),8),2,0)</f>
        <v>63.763107000000005</v>
      </c>
      <c r="F3583" s="152">
        <f t="shared" ca="1" si="167"/>
        <v>0</v>
      </c>
      <c r="G3583" s="153">
        <f>IF($K3583="Padrão",BDI!$B$17,IF($K3583="Diferenciado",BDI!$E$17,0))</f>
        <v>0.2039</v>
      </c>
      <c r="H3583" s="151">
        <f t="shared" ca="1" si="165"/>
        <v>76.760000000000005</v>
      </c>
      <c r="I3583" s="152">
        <f t="shared" ca="1" si="166"/>
        <v>0</v>
      </c>
      <c r="J3583" s="154"/>
      <c r="K3583" s="155" t="s">
        <v>2966</v>
      </c>
    </row>
    <row r="3584" spans="1:11" hidden="1" x14ac:dyDescent="0.25">
      <c r="A3584" s="148" t="s">
        <v>2139</v>
      </c>
      <c r="B3584" s="149" t="s">
        <v>8635</v>
      </c>
      <c r="C3584" s="150" t="s">
        <v>106</v>
      </c>
      <c r="D3584" s="150">
        <v>0</v>
      </c>
      <c r="E3584" s="151">
        <f ca="1">OFFSET(INDEX(Composições!A:H,MATCH(Orçamentária!A3584,Composições!A:A,0),8),2,0)</f>
        <v>111.55629599999999</v>
      </c>
      <c r="F3584" s="152">
        <f t="shared" ca="1" si="167"/>
        <v>0</v>
      </c>
      <c r="G3584" s="153">
        <f>IF($K3584="Padrão",BDI!$B$17,IF($K3584="Diferenciado",BDI!$E$17,0))</f>
        <v>0.2039</v>
      </c>
      <c r="H3584" s="151">
        <f t="shared" ca="1" si="165"/>
        <v>134.30000000000001</v>
      </c>
      <c r="I3584" s="152">
        <f t="shared" ca="1" si="166"/>
        <v>0</v>
      </c>
      <c r="J3584" s="154"/>
      <c r="K3584" s="155" t="s">
        <v>2966</v>
      </c>
    </row>
    <row r="3585" spans="1:11" hidden="1" x14ac:dyDescent="0.25">
      <c r="A3585" s="148" t="s">
        <v>2140</v>
      </c>
      <c r="B3585" s="149" t="s">
        <v>8636</v>
      </c>
      <c r="C3585" s="150" t="s">
        <v>106</v>
      </c>
      <c r="D3585" s="150">
        <v>0</v>
      </c>
      <c r="E3585" s="151">
        <f ca="1">OFFSET(INDEX(Composições!A:H,MATCH(Orçamentária!A3585,Composições!A:A,0),8),2,0)</f>
        <v>174.95179099999999</v>
      </c>
      <c r="F3585" s="152">
        <f t="shared" ca="1" si="167"/>
        <v>0</v>
      </c>
      <c r="G3585" s="153">
        <f>IF($K3585="Padrão",BDI!$B$17,IF($K3585="Diferenciado",BDI!$E$17,0))</f>
        <v>0.2039</v>
      </c>
      <c r="H3585" s="151">
        <f t="shared" ca="1" si="165"/>
        <v>210.62</v>
      </c>
      <c r="I3585" s="152">
        <f t="shared" ca="1" si="166"/>
        <v>0</v>
      </c>
      <c r="J3585" s="154"/>
      <c r="K3585" s="155" t="s">
        <v>2966</v>
      </c>
    </row>
    <row r="3586" spans="1:11" hidden="1" x14ac:dyDescent="0.25">
      <c r="A3586" s="148" t="s">
        <v>2141</v>
      </c>
      <c r="B3586" s="149" t="s">
        <v>8637</v>
      </c>
      <c r="C3586" s="150" t="s">
        <v>18</v>
      </c>
      <c r="D3586" s="150">
        <v>0</v>
      </c>
      <c r="E3586" s="151">
        <f ca="1">OFFSET(INDEX(Composições!A:H,MATCH(Orçamentária!A3586,Composições!A:A,0),8),2,0)</f>
        <v>25.984806599999999</v>
      </c>
      <c r="F3586" s="152">
        <f t="shared" ca="1" si="167"/>
        <v>0</v>
      </c>
      <c r="G3586" s="153">
        <f>IF($K3586="Padrão",BDI!$B$17,IF($K3586="Diferenciado",BDI!$E$17,0))</f>
        <v>0.2039</v>
      </c>
      <c r="H3586" s="151">
        <f t="shared" ca="1" si="165"/>
        <v>31.28</v>
      </c>
      <c r="I3586" s="152">
        <f t="shared" ca="1" si="166"/>
        <v>0</v>
      </c>
      <c r="J3586" s="154"/>
      <c r="K3586" s="155" t="s">
        <v>2966</v>
      </c>
    </row>
    <row r="3587" spans="1:11" hidden="1" x14ac:dyDescent="0.25">
      <c r="A3587" s="148" t="s">
        <v>2143</v>
      </c>
      <c r="B3587" s="149" t="s">
        <v>8638</v>
      </c>
      <c r="C3587" s="150" t="s">
        <v>18</v>
      </c>
      <c r="D3587" s="150">
        <v>0</v>
      </c>
      <c r="E3587" s="151">
        <f ca="1">OFFSET(INDEX(Composições!A:H,MATCH(Orçamentária!A3587,Composições!A:A,0),8),2,0)</f>
        <v>55.838491999999995</v>
      </c>
      <c r="F3587" s="152">
        <f t="shared" ca="1" si="167"/>
        <v>0</v>
      </c>
      <c r="G3587" s="153">
        <f>IF($K3587="Padrão",BDI!$B$17,IF($K3587="Diferenciado",BDI!$E$17,0))</f>
        <v>0.2039</v>
      </c>
      <c r="H3587" s="151">
        <f t="shared" ca="1" si="165"/>
        <v>67.22</v>
      </c>
      <c r="I3587" s="152">
        <f t="shared" ca="1" si="166"/>
        <v>0</v>
      </c>
      <c r="J3587" s="154"/>
      <c r="K3587" s="155" t="s">
        <v>2966</v>
      </c>
    </row>
    <row r="3588" spans="1:11" hidden="1" x14ac:dyDescent="0.25">
      <c r="A3588" s="148" t="s">
        <v>2144</v>
      </c>
      <c r="B3588" s="149" t="s">
        <v>8639</v>
      </c>
      <c r="C3588" s="150" t="s">
        <v>106</v>
      </c>
      <c r="D3588" s="150">
        <v>0</v>
      </c>
      <c r="E3588" s="151">
        <f ca="1">OFFSET(INDEX(Composições!A:H,MATCH(Orçamentária!A3588,Composições!A:A,0),8),2,0)</f>
        <v>39.374488499999998</v>
      </c>
      <c r="F3588" s="152">
        <f t="shared" ca="1" si="167"/>
        <v>0</v>
      </c>
      <c r="G3588" s="153">
        <f>IF($K3588="Padrão",BDI!$B$17,IF($K3588="Diferenciado",BDI!$E$17,0))</f>
        <v>0.2039</v>
      </c>
      <c r="H3588" s="151">
        <f t="shared" ca="1" si="165"/>
        <v>47.4</v>
      </c>
      <c r="I3588" s="152">
        <f t="shared" ca="1" si="166"/>
        <v>0</v>
      </c>
      <c r="J3588" s="154"/>
      <c r="K3588" s="155" t="s">
        <v>2966</v>
      </c>
    </row>
    <row r="3589" spans="1:11" hidden="1" x14ac:dyDescent="0.25">
      <c r="A3589" s="148" t="s">
        <v>8640</v>
      </c>
      <c r="B3589" s="149" t="s">
        <v>8641</v>
      </c>
      <c r="C3589" s="150" t="s">
        <v>18</v>
      </c>
      <c r="D3589" s="150">
        <v>0</v>
      </c>
      <c r="E3589" s="151" t="s">
        <v>13</v>
      </c>
      <c r="F3589" s="152" t="str">
        <f t="shared" si="167"/>
        <v/>
      </c>
      <c r="G3589" s="153">
        <f>IF($K3589="Padrão",BDI!$B$17,IF($K3589="Diferenciado",BDI!$E$17,0))</f>
        <v>0.2039</v>
      </c>
      <c r="H3589" s="151" t="str">
        <f t="shared" si="165"/>
        <v/>
      </c>
      <c r="I3589" s="152" t="str">
        <f t="shared" si="166"/>
        <v/>
      </c>
      <c r="J3589" s="154"/>
      <c r="K3589" s="155" t="s">
        <v>2966</v>
      </c>
    </row>
    <row r="3590" spans="1:11" hidden="1" x14ac:dyDescent="0.25">
      <c r="A3590" s="148" t="s">
        <v>8642</v>
      </c>
      <c r="B3590" s="149" t="s">
        <v>8643</v>
      </c>
      <c r="C3590" s="150" t="s">
        <v>18</v>
      </c>
      <c r="D3590" s="150">
        <v>0</v>
      </c>
      <c r="E3590" s="151" t="s">
        <v>13</v>
      </c>
      <c r="F3590" s="152" t="str">
        <f t="shared" si="167"/>
        <v/>
      </c>
      <c r="G3590" s="153">
        <f>IF($K3590="Padrão",BDI!$B$17,IF($K3590="Diferenciado",BDI!$E$17,0))</f>
        <v>0.2039</v>
      </c>
      <c r="H3590" s="151" t="str">
        <f t="shared" ref="H3590:H3653" si="168">IF(ISNUMBER(E3590),ROUND(E3590*(1+G3590),2),"")</f>
        <v/>
      </c>
      <c r="I3590" s="152" t="str">
        <f t="shared" ref="I3590:I3653" si="169">IF(ISNUMBER(E3590),ROUND(H3590*D3590,2),"")</f>
        <v/>
      </c>
      <c r="J3590" s="154"/>
      <c r="K3590" s="155" t="s">
        <v>2966</v>
      </c>
    </row>
    <row r="3591" spans="1:11" hidden="1" x14ac:dyDescent="0.25">
      <c r="A3591" s="148" t="s">
        <v>2145</v>
      </c>
      <c r="B3591" s="149" t="s">
        <v>8644</v>
      </c>
      <c r="C3591" s="150" t="s">
        <v>3982</v>
      </c>
      <c r="D3591" s="150">
        <v>0</v>
      </c>
      <c r="E3591" s="151" t="e">
        <f ca="1">OFFSET(INDEX(Composições!A:H,MATCH(Orçamentária!A3591,Composições!A:A,0),8),2,0)</f>
        <v>#REF!</v>
      </c>
      <c r="F3591" s="152" t="str">
        <f t="shared" ref="F3591:F3654" ca="1" si="170">IF(ISNUMBER(E3591),D3591*E3591,"")</f>
        <v/>
      </c>
      <c r="G3591" s="153">
        <f>IF($K3591="Padrão",BDI!$B$17,IF($K3591="Diferenciado",BDI!$E$17,0))</f>
        <v>0.2039</v>
      </c>
      <c r="H3591" s="151" t="str">
        <f t="shared" ca="1" si="168"/>
        <v/>
      </c>
      <c r="I3591" s="152" t="str">
        <f t="shared" ca="1" si="169"/>
        <v/>
      </c>
      <c r="J3591" s="154"/>
      <c r="K3591" s="155" t="s">
        <v>2966</v>
      </c>
    </row>
    <row r="3592" spans="1:11" hidden="1" x14ac:dyDescent="0.25">
      <c r="A3592" s="148" t="s">
        <v>2146</v>
      </c>
      <c r="B3592" s="149" t="s">
        <v>8645</v>
      </c>
      <c r="C3592" s="150" t="s">
        <v>3982</v>
      </c>
      <c r="D3592" s="150">
        <v>0</v>
      </c>
      <c r="E3592" s="151" t="e">
        <f ca="1">OFFSET(INDEX(Composições!A:H,MATCH(Orçamentária!A3592,Composições!A:A,0),8),2,0)</f>
        <v>#REF!</v>
      </c>
      <c r="F3592" s="152" t="str">
        <f t="shared" ca="1" si="170"/>
        <v/>
      </c>
      <c r="G3592" s="153">
        <f>IF($K3592="Padrão",BDI!$B$17,IF($K3592="Diferenciado",BDI!$E$17,0))</f>
        <v>0.2039</v>
      </c>
      <c r="H3592" s="151" t="str">
        <f t="shared" ca="1" si="168"/>
        <v/>
      </c>
      <c r="I3592" s="152" t="str">
        <f t="shared" ca="1" si="169"/>
        <v/>
      </c>
      <c r="J3592" s="154"/>
      <c r="K3592" s="155" t="s">
        <v>2966</v>
      </c>
    </row>
    <row r="3593" spans="1:11" hidden="1" x14ac:dyDescent="0.25">
      <c r="A3593" s="148" t="s">
        <v>2147</v>
      </c>
      <c r="B3593" s="149" t="s">
        <v>8646</v>
      </c>
      <c r="C3593" s="150" t="s">
        <v>3982</v>
      </c>
      <c r="D3593" s="150">
        <v>0</v>
      </c>
      <c r="E3593" s="151" t="e">
        <f ca="1">OFFSET(INDEX(Composições!A:H,MATCH(Orçamentária!A3593,Composições!A:A,0),8),2,0)</f>
        <v>#REF!</v>
      </c>
      <c r="F3593" s="152" t="str">
        <f t="shared" ca="1" si="170"/>
        <v/>
      </c>
      <c r="G3593" s="153">
        <f>IF($K3593="Padrão",BDI!$B$17,IF($K3593="Diferenciado",BDI!$E$17,0))</f>
        <v>0.2039</v>
      </c>
      <c r="H3593" s="151" t="str">
        <f t="shared" ca="1" si="168"/>
        <v/>
      </c>
      <c r="I3593" s="152" t="str">
        <f t="shared" ca="1" si="169"/>
        <v/>
      </c>
      <c r="J3593" s="154"/>
      <c r="K3593" s="155" t="s">
        <v>2966</v>
      </c>
    </row>
    <row r="3594" spans="1:11" hidden="1" x14ac:dyDescent="0.25">
      <c r="A3594" s="148" t="s">
        <v>2148</v>
      </c>
      <c r="B3594" s="149" t="s">
        <v>8647</v>
      </c>
      <c r="C3594" s="150" t="s">
        <v>3982</v>
      </c>
      <c r="D3594" s="150">
        <v>0</v>
      </c>
      <c r="E3594" s="151" t="e">
        <f ca="1">OFFSET(INDEX(Composições!A:H,MATCH(Orçamentária!A3594,Composições!A:A,0),8),2,0)</f>
        <v>#REF!</v>
      </c>
      <c r="F3594" s="152" t="str">
        <f t="shared" ca="1" si="170"/>
        <v/>
      </c>
      <c r="G3594" s="153">
        <f>IF($K3594="Padrão",BDI!$B$17,IF($K3594="Diferenciado",BDI!$E$17,0))</f>
        <v>0.2039</v>
      </c>
      <c r="H3594" s="151" t="str">
        <f t="shared" ca="1" si="168"/>
        <v/>
      </c>
      <c r="I3594" s="152" t="str">
        <f t="shared" ca="1" si="169"/>
        <v/>
      </c>
      <c r="J3594" s="154"/>
      <c r="K3594" s="155" t="s">
        <v>2966</v>
      </c>
    </row>
    <row r="3595" spans="1:11" hidden="1" x14ac:dyDescent="0.25">
      <c r="A3595" s="148" t="s">
        <v>2149</v>
      </c>
      <c r="B3595" s="149" t="s">
        <v>8648</v>
      </c>
      <c r="C3595" s="150" t="s">
        <v>3982</v>
      </c>
      <c r="D3595" s="150">
        <v>0</v>
      </c>
      <c r="E3595" s="151" t="e">
        <f ca="1">OFFSET(INDEX(Composições!A:H,MATCH(Orçamentária!A3595,Composições!A:A,0),8),2,0)</f>
        <v>#REF!</v>
      </c>
      <c r="F3595" s="152" t="str">
        <f t="shared" ca="1" si="170"/>
        <v/>
      </c>
      <c r="G3595" s="153">
        <f>IF($K3595="Padrão",BDI!$B$17,IF($K3595="Diferenciado",BDI!$E$17,0))</f>
        <v>0.2039</v>
      </c>
      <c r="H3595" s="151" t="str">
        <f t="shared" ca="1" si="168"/>
        <v/>
      </c>
      <c r="I3595" s="152" t="str">
        <f t="shared" ca="1" si="169"/>
        <v/>
      </c>
      <c r="J3595" s="154"/>
      <c r="K3595" s="155" t="s">
        <v>2966</v>
      </c>
    </row>
    <row r="3596" spans="1:11" hidden="1" x14ac:dyDescent="0.25">
      <c r="A3596" s="148" t="s">
        <v>2150</v>
      </c>
      <c r="B3596" s="149" t="s">
        <v>8649</v>
      </c>
      <c r="C3596" s="150" t="s">
        <v>3982</v>
      </c>
      <c r="D3596" s="150">
        <v>0</v>
      </c>
      <c r="E3596" s="151" t="e">
        <f ca="1">OFFSET(INDEX(Composições!A:H,MATCH(Orçamentária!A3596,Composições!A:A,0),8),2,0)</f>
        <v>#REF!</v>
      </c>
      <c r="F3596" s="152" t="str">
        <f t="shared" ca="1" si="170"/>
        <v/>
      </c>
      <c r="G3596" s="153">
        <f>IF($K3596="Padrão",BDI!$B$17,IF($K3596="Diferenciado",BDI!$E$17,0))</f>
        <v>0.2039</v>
      </c>
      <c r="H3596" s="151" t="str">
        <f t="shared" ca="1" si="168"/>
        <v/>
      </c>
      <c r="I3596" s="152" t="str">
        <f t="shared" ca="1" si="169"/>
        <v/>
      </c>
      <c r="J3596" s="154"/>
      <c r="K3596" s="155" t="s">
        <v>2966</v>
      </c>
    </row>
    <row r="3597" spans="1:11" hidden="1" x14ac:dyDescent="0.25">
      <c r="A3597" s="148" t="s">
        <v>2151</v>
      </c>
      <c r="B3597" s="149" t="s">
        <v>8650</v>
      </c>
      <c r="C3597" s="150" t="s">
        <v>3982</v>
      </c>
      <c r="D3597" s="150">
        <v>0</v>
      </c>
      <c r="E3597" s="151" t="e">
        <f ca="1">OFFSET(INDEX(Composições!A:H,MATCH(Orçamentária!A3597,Composições!A:A,0),8),2,0)</f>
        <v>#REF!</v>
      </c>
      <c r="F3597" s="152" t="str">
        <f t="shared" ca="1" si="170"/>
        <v/>
      </c>
      <c r="G3597" s="153">
        <f>IF($K3597="Padrão",BDI!$B$17,IF($K3597="Diferenciado",BDI!$E$17,0))</f>
        <v>0.2039</v>
      </c>
      <c r="H3597" s="151" t="str">
        <f t="shared" ca="1" si="168"/>
        <v/>
      </c>
      <c r="I3597" s="152" t="str">
        <f t="shared" ca="1" si="169"/>
        <v/>
      </c>
      <c r="J3597" s="154"/>
      <c r="K3597" s="155" t="s">
        <v>2966</v>
      </c>
    </row>
    <row r="3598" spans="1:11" hidden="1" x14ac:dyDescent="0.25">
      <c r="A3598" s="148" t="s">
        <v>2152</v>
      </c>
      <c r="B3598" s="149" t="s">
        <v>8651</v>
      </c>
      <c r="C3598" s="150" t="s">
        <v>3982</v>
      </c>
      <c r="D3598" s="150">
        <v>0</v>
      </c>
      <c r="E3598" s="151" t="e">
        <f ca="1">OFFSET(INDEX(Composições!A:H,MATCH(Orçamentária!A3598,Composições!A:A,0),8),2,0)</f>
        <v>#REF!</v>
      </c>
      <c r="F3598" s="152" t="str">
        <f t="shared" ca="1" si="170"/>
        <v/>
      </c>
      <c r="G3598" s="153">
        <f>IF($K3598="Padrão",BDI!$B$17,IF($K3598="Diferenciado",BDI!$E$17,0))</f>
        <v>0.2039</v>
      </c>
      <c r="H3598" s="151" t="str">
        <f t="shared" ca="1" si="168"/>
        <v/>
      </c>
      <c r="I3598" s="152" t="str">
        <f t="shared" ca="1" si="169"/>
        <v/>
      </c>
      <c r="J3598" s="154"/>
      <c r="K3598" s="155" t="s">
        <v>2966</v>
      </c>
    </row>
    <row r="3599" spans="1:11" hidden="1" x14ac:dyDescent="0.25">
      <c r="A3599" s="148" t="s">
        <v>2153</v>
      </c>
      <c r="B3599" s="149" t="s">
        <v>8652</v>
      </c>
      <c r="C3599" s="150" t="s">
        <v>3982</v>
      </c>
      <c r="D3599" s="150">
        <v>0</v>
      </c>
      <c r="E3599" s="151" t="e">
        <f ca="1">OFFSET(INDEX(Composições!A:H,MATCH(Orçamentária!A3599,Composições!A:A,0),8),2,0)</f>
        <v>#REF!</v>
      </c>
      <c r="F3599" s="152" t="str">
        <f t="shared" ca="1" si="170"/>
        <v/>
      </c>
      <c r="G3599" s="153">
        <f>IF($K3599="Padrão",BDI!$B$17,IF($K3599="Diferenciado",BDI!$E$17,0))</f>
        <v>0.2039</v>
      </c>
      <c r="H3599" s="151" t="str">
        <f t="shared" ca="1" si="168"/>
        <v/>
      </c>
      <c r="I3599" s="152" t="str">
        <f t="shared" ca="1" si="169"/>
        <v/>
      </c>
      <c r="J3599" s="154"/>
      <c r="K3599" s="155" t="s">
        <v>2966</v>
      </c>
    </row>
    <row r="3600" spans="1:11" hidden="1" x14ac:dyDescent="0.25">
      <c r="A3600" s="148" t="s">
        <v>2154</v>
      </c>
      <c r="B3600" s="149" t="s">
        <v>8653</v>
      </c>
      <c r="C3600" s="150" t="s">
        <v>3982</v>
      </c>
      <c r="D3600" s="150">
        <v>0</v>
      </c>
      <c r="E3600" s="151" t="e">
        <f ca="1">OFFSET(INDEX(Composições!A:H,MATCH(Orçamentária!A3600,Composições!A:A,0),8),2,0)</f>
        <v>#REF!</v>
      </c>
      <c r="F3600" s="152" t="str">
        <f t="shared" ca="1" si="170"/>
        <v/>
      </c>
      <c r="G3600" s="153">
        <f>IF($K3600="Padrão",BDI!$B$17,IF($K3600="Diferenciado",BDI!$E$17,0))</f>
        <v>0.2039</v>
      </c>
      <c r="H3600" s="151" t="str">
        <f t="shared" ca="1" si="168"/>
        <v/>
      </c>
      <c r="I3600" s="152" t="str">
        <f t="shared" ca="1" si="169"/>
        <v/>
      </c>
      <c r="J3600" s="154"/>
      <c r="K3600" s="155" t="s">
        <v>2966</v>
      </c>
    </row>
    <row r="3601" spans="1:11" hidden="1" x14ac:dyDescent="0.25">
      <c r="A3601" s="148" t="s">
        <v>2155</v>
      </c>
      <c r="B3601" s="149" t="s">
        <v>8654</v>
      </c>
      <c r="C3601" s="150" t="s">
        <v>3982</v>
      </c>
      <c r="D3601" s="150">
        <v>0</v>
      </c>
      <c r="E3601" s="151" t="e">
        <f ca="1">OFFSET(INDEX(Composições!A:H,MATCH(Orçamentária!A3601,Composições!A:A,0),8),2,0)</f>
        <v>#REF!</v>
      </c>
      <c r="F3601" s="152" t="str">
        <f t="shared" ca="1" si="170"/>
        <v/>
      </c>
      <c r="G3601" s="153">
        <f>IF($K3601="Padrão",BDI!$B$17,IF($K3601="Diferenciado",BDI!$E$17,0))</f>
        <v>0.2039</v>
      </c>
      <c r="H3601" s="151" t="str">
        <f t="shared" ca="1" si="168"/>
        <v/>
      </c>
      <c r="I3601" s="152" t="str">
        <f t="shared" ca="1" si="169"/>
        <v/>
      </c>
      <c r="J3601" s="154"/>
      <c r="K3601" s="155" t="s">
        <v>2966</v>
      </c>
    </row>
    <row r="3602" spans="1:11" hidden="1" x14ac:dyDescent="0.25">
      <c r="A3602" s="148" t="s">
        <v>2156</v>
      </c>
      <c r="B3602" s="149" t="s">
        <v>8655</v>
      </c>
      <c r="C3602" s="150" t="s">
        <v>3982</v>
      </c>
      <c r="D3602" s="150">
        <v>0</v>
      </c>
      <c r="E3602" s="151" t="e">
        <f ca="1">OFFSET(INDEX(Composições!A:H,MATCH(Orçamentária!A3602,Composições!A:A,0),8),2,0)</f>
        <v>#REF!</v>
      </c>
      <c r="F3602" s="152" t="str">
        <f t="shared" ca="1" si="170"/>
        <v/>
      </c>
      <c r="G3602" s="153">
        <f>IF($K3602="Padrão",BDI!$B$17,IF($K3602="Diferenciado",BDI!$E$17,0))</f>
        <v>0.2039</v>
      </c>
      <c r="H3602" s="151" t="str">
        <f t="shared" ca="1" si="168"/>
        <v/>
      </c>
      <c r="I3602" s="152" t="str">
        <f t="shared" ca="1" si="169"/>
        <v/>
      </c>
      <c r="J3602" s="154"/>
      <c r="K3602" s="155" t="s">
        <v>2966</v>
      </c>
    </row>
    <row r="3603" spans="1:11" hidden="1" x14ac:dyDescent="0.25">
      <c r="A3603" s="148" t="s">
        <v>2157</v>
      </c>
      <c r="B3603" s="149" t="s">
        <v>8656</v>
      </c>
      <c r="C3603" s="150" t="s">
        <v>3982</v>
      </c>
      <c r="D3603" s="150">
        <v>0</v>
      </c>
      <c r="E3603" s="151" t="e">
        <f ca="1">OFFSET(INDEX(Composições!A:H,MATCH(Orçamentária!A3603,Composições!A:A,0),8),2,0)</f>
        <v>#REF!</v>
      </c>
      <c r="F3603" s="152" t="str">
        <f t="shared" ca="1" si="170"/>
        <v/>
      </c>
      <c r="G3603" s="153">
        <f>IF($K3603="Padrão",BDI!$B$17,IF($K3603="Diferenciado",BDI!$E$17,0))</f>
        <v>0.2039</v>
      </c>
      <c r="H3603" s="151" t="str">
        <f t="shared" ca="1" si="168"/>
        <v/>
      </c>
      <c r="I3603" s="152" t="str">
        <f t="shared" ca="1" si="169"/>
        <v/>
      </c>
      <c r="J3603" s="154"/>
      <c r="K3603" s="155" t="s">
        <v>2966</v>
      </c>
    </row>
    <row r="3604" spans="1:11" hidden="1" x14ac:dyDescent="0.25">
      <c r="A3604" s="148" t="s">
        <v>2158</v>
      </c>
      <c r="B3604" s="149" t="s">
        <v>8657</v>
      </c>
      <c r="C3604" s="150" t="s">
        <v>3982</v>
      </c>
      <c r="D3604" s="150">
        <v>0</v>
      </c>
      <c r="E3604" s="151" t="e">
        <f ca="1">OFFSET(INDEX(Composições!A:H,MATCH(Orçamentária!A3604,Composições!A:A,0),8),2,0)</f>
        <v>#REF!</v>
      </c>
      <c r="F3604" s="152" t="str">
        <f t="shared" ca="1" si="170"/>
        <v/>
      </c>
      <c r="G3604" s="153">
        <f>IF($K3604="Padrão",BDI!$B$17,IF($K3604="Diferenciado",BDI!$E$17,0))</f>
        <v>0.2039</v>
      </c>
      <c r="H3604" s="151" t="str">
        <f t="shared" ca="1" si="168"/>
        <v/>
      </c>
      <c r="I3604" s="152" t="str">
        <f t="shared" ca="1" si="169"/>
        <v/>
      </c>
      <c r="J3604" s="154"/>
      <c r="K3604" s="155" t="s">
        <v>2966</v>
      </c>
    </row>
    <row r="3605" spans="1:11" ht="25.5" hidden="1" x14ac:dyDescent="0.25">
      <c r="A3605" s="148" t="s">
        <v>8658</v>
      </c>
      <c r="B3605" s="149" t="s">
        <v>8659</v>
      </c>
      <c r="C3605" s="150" t="s">
        <v>4927</v>
      </c>
      <c r="D3605" s="150">
        <v>0</v>
      </c>
      <c r="E3605" s="151" t="s">
        <v>13</v>
      </c>
      <c r="F3605" s="152" t="str">
        <f t="shared" si="170"/>
        <v/>
      </c>
      <c r="G3605" s="153">
        <f>IF($K3605="Padrão",BDI!$B$17,IF($K3605="Diferenciado",BDI!$E$17,0))</f>
        <v>0.2039</v>
      </c>
      <c r="H3605" s="151" t="str">
        <f t="shared" si="168"/>
        <v/>
      </c>
      <c r="I3605" s="152" t="str">
        <f t="shared" si="169"/>
        <v/>
      </c>
      <c r="J3605" s="154"/>
      <c r="K3605" s="155" t="s">
        <v>2966</v>
      </c>
    </row>
    <row r="3606" spans="1:11" hidden="1" x14ac:dyDescent="0.25">
      <c r="A3606" s="148" t="s">
        <v>8660</v>
      </c>
      <c r="B3606" s="149" t="s">
        <v>8661</v>
      </c>
      <c r="C3606" s="150" t="s">
        <v>18</v>
      </c>
      <c r="D3606" s="150">
        <v>0</v>
      </c>
      <c r="E3606" s="151" t="s">
        <v>13</v>
      </c>
      <c r="F3606" s="152" t="str">
        <f t="shared" si="170"/>
        <v/>
      </c>
      <c r="G3606" s="153">
        <f>IF($K3606="Padrão",BDI!$B$17,IF($K3606="Diferenciado",BDI!$E$17,0))</f>
        <v>0.2039</v>
      </c>
      <c r="H3606" s="151" t="str">
        <f t="shared" si="168"/>
        <v/>
      </c>
      <c r="I3606" s="152" t="str">
        <f t="shared" si="169"/>
        <v/>
      </c>
      <c r="J3606" s="154"/>
      <c r="K3606" s="155" t="s">
        <v>2966</v>
      </c>
    </row>
    <row r="3607" spans="1:11" hidden="1" x14ac:dyDescent="0.25">
      <c r="A3607" s="148" t="s">
        <v>8662</v>
      </c>
      <c r="B3607" s="149" t="s">
        <v>8663</v>
      </c>
      <c r="C3607" s="150" t="s">
        <v>18</v>
      </c>
      <c r="D3607" s="150">
        <v>0</v>
      </c>
      <c r="E3607" s="151" t="s">
        <v>13</v>
      </c>
      <c r="F3607" s="152" t="str">
        <f t="shared" si="170"/>
        <v/>
      </c>
      <c r="G3607" s="153">
        <f>IF($K3607="Padrão",BDI!$B$17,IF($K3607="Diferenciado",BDI!$E$17,0))</f>
        <v>0.2039</v>
      </c>
      <c r="H3607" s="151" t="str">
        <f t="shared" si="168"/>
        <v/>
      </c>
      <c r="I3607" s="152" t="str">
        <f t="shared" si="169"/>
        <v/>
      </c>
      <c r="J3607" s="154"/>
      <c r="K3607" s="155" t="s">
        <v>2966</v>
      </c>
    </row>
    <row r="3608" spans="1:11" hidden="1" x14ac:dyDescent="0.25">
      <c r="A3608" s="148" t="s">
        <v>8664</v>
      </c>
      <c r="B3608" s="149" t="s">
        <v>8665</v>
      </c>
      <c r="C3608" s="150" t="s">
        <v>18</v>
      </c>
      <c r="D3608" s="150">
        <v>0</v>
      </c>
      <c r="E3608" s="151" t="s">
        <v>13</v>
      </c>
      <c r="F3608" s="152" t="str">
        <f t="shared" si="170"/>
        <v/>
      </c>
      <c r="G3608" s="153">
        <f>IF($K3608="Padrão",BDI!$B$17,IF($K3608="Diferenciado",BDI!$E$17,0))</f>
        <v>0.2039</v>
      </c>
      <c r="H3608" s="151" t="str">
        <f t="shared" si="168"/>
        <v/>
      </c>
      <c r="I3608" s="152" t="str">
        <f t="shared" si="169"/>
        <v/>
      </c>
      <c r="J3608" s="154"/>
      <c r="K3608" s="155" t="s">
        <v>2966</v>
      </c>
    </row>
    <row r="3609" spans="1:11" hidden="1" x14ac:dyDescent="0.25">
      <c r="A3609" s="148" t="s">
        <v>8666</v>
      </c>
      <c r="B3609" s="149" t="s">
        <v>8667</v>
      </c>
      <c r="C3609" s="150" t="s">
        <v>18</v>
      </c>
      <c r="D3609" s="150">
        <v>0</v>
      </c>
      <c r="E3609" s="151" t="s">
        <v>13</v>
      </c>
      <c r="F3609" s="152" t="str">
        <f t="shared" si="170"/>
        <v/>
      </c>
      <c r="G3609" s="153">
        <f>IF($K3609="Padrão",BDI!$B$17,IF($K3609="Diferenciado",BDI!$E$17,0))</f>
        <v>0.2039</v>
      </c>
      <c r="H3609" s="151" t="str">
        <f t="shared" si="168"/>
        <v/>
      </c>
      <c r="I3609" s="152" t="str">
        <f t="shared" si="169"/>
        <v/>
      </c>
      <c r="J3609" s="154"/>
      <c r="K3609" s="155" t="s">
        <v>2966</v>
      </c>
    </row>
    <row r="3610" spans="1:11" hidden="1" x14ac:dyDescent="0.25">
      <c r="A3610" s="148" t="s">
        <v>8668</v>
      </c>
      <c r="B3610" s="149" t="s">
        <v>8669</v>
      </c>
      <c r="C3610" s="150" t="s">
        <v>18</v>
      </c>
      <c r="D3610" s="150">
        <v>0</v>
      </c>
      <c r="E3610" s="151" t="s">
        <v>13</v>
      </c>
      <c r="F3610" s="152" t="str">
        <f t="shared" si="170"/>
        <v/>
      </c>
      <c r="G3610" s="153">
        <f>IF($K3610="Padrão",BDI!$B$17,IF($K3610="Diferenciado",BDI!$E$17,0))</f>
        <v>0.2039</v>
      </c>
      <c r="H3610" s="151" t="str">
        <f t="shared" si="168"/>
        <v/>
      </c>
      <c r="I3610" s="152" t="str">
        <f t="shared" si="169"/>
        <v/>
      </c>
      <c r="J3610" s="154"/>
      <c r="K3610" s="155" t="s">
        <v>2966</v>
      </c>
    </row>
    <row r="3611" spans="1:11" hidden="1" x14ac:dyDescent="0.25">
      <c r="A3611" s="148" t="s">
        <v>8670</v>
      </c>
      <c r="B3611" s="149" t="s">
        <v>8671</v>
      </c>
      <c r="C3611" s="150" t="s">
        <v>18</v>
      </c>
      <c r="D3611" s="150">
        <v>0</v>
      </c>
      <c r="E3611" s="151" t="s">
        <v>13</v>
      </c>
      <c r="F3611" s="152" t="str">
        <f t="shared" si="170"/>
        <v/>
      </c>
      <c r="G3611" s="153">
        <f>IF($K3611="Padrão",BDI!$B$17,IF($K3611="Diferenciado",BDI!$E$17,0))</f>
        <v>0.2039</v>
      </c>
      <c r="H3611" s="151" t="str">
        <f t="shared" si="168"/>
        <v/>
      </c>
      <c r="I3611" s="152" t="str">
        <f t="shared" si="169"/>
        <v/>
      </c>
      <c r="J3611" s="154"/>
      <c r="K3611" s="155" t="s">
        <v>2966</v>
      </c>
    </row>
    <row r="3612" spans="1:11" hidden="1" x14ac:dyDescent="0.25">
      <c r="A3612" s="148" t="s">
        <v>8672</v>
      </c>
      <c r="B3612" s="149" t="s">
        <v>8673</v>
      </c>
      <c r="C3612" s="150" t="s">
        <v>18</v>
      </c>
      <c r="D3612" s="150">
        <v>0</v>
      </c>
      <c r="E3612" s="151" t="s">
        <v>13</v>
      </c>
      <c r="F3612" s="152" t="str">
        <f t="shared" si="170"/>
        <v/>
      </c>
      <c r="G3612" s="153">
        <f>IF($K3612="Padrão",BDI!$B$17,IF($K3612="Diferenciado",BDI!$E$17,0))</f>
        <v>0.2039</v>
      </c>
      <c r="H3612" s="151" t="str">
        <f t="shared" si="168"/>
        <v/>
      </c>
      <c r="I3612" s="152" t="str">
        <f t="shared" si="169"/>
        <v/>
      </c>
      <c r="J3612" s="154"/>
      <c r="K3612" s="155" t="s">
        <v>2966</v>
      </c>
    </row>
    <row r="3613" spans="1:11" hidden="1" x14ac:dyDescent="0.25">
      <c r="A3613" s="148" t="s">
        <v>8674</v>
      </c>
      <c r="B3613" s="149" t="s">
        <v>8675</v>
      </c>
      <c r="C3613" s="150" t="s">
        <v>18</v>
      </c>
      <c r="D3613" s="150">
        <v>0</v>
      </c>
      <c r="E3613" s="151" t="s">
        <v>13</v>
      </c>
      <c r="F3613" s="152" t="str">
        <f t="shared" si="170"/>
        <v/>
      </c>
      <c r="G3613" s="153">
        <f>IF($K3613="Padrão",BDI!$B$17,IF($K3613="Diferenciado",BDI!$E$17,0))</f>
        <v>0.2039</v>
      </c>
      <c r="H3613" s="151" t="str">
        <f t="shared" si="168"/>
        <v/>
      </c>
      <c r="I3613" s="152" t="str">
        <f t="shared" si="169"/>
        <v/>
      </c>
      <c r="J3613" s="154"/>
      <c r="K3613" s="155" t="s">
        <v>2966</v>
      </c>
    </row>
    <row r="3614" spans="1:11" ht="25.5" hidden="1" x14ac:dyDescent="0.25">
      <c r="A3614" s="148" t="s">
        <v>8676</v>
      </c>
      <c r="B3614" s="149" t="s">
        <v>8677</v>
      </c>
      <c r="C3614" s="150" t="s">
        <v>18</v>
      </c>
      <c r="D3614" s="150">
        <v>0</v>
      </c>
      <c r="E3614" s="151" t="s">
        <v>13</v>
      </c>
      <c r="F3614" s="152" t="str">
        <f t="shared" si="170"/>
        <v/>
      </c>
      <c r="G3614" s="153">
        <f>IF($K3614="Padrão",BDI!$B$17,IF($K3614="Diferenciado",BDI!$E$17,0))</f>
        <v>0.2039</v>
      </c>
      <c r="H3614" s="151" t="str">
        <f t="shared" si="168"/>
        <v/>
      </c>
      <c r="I3614" s="152" t="str">
        <f t="shared" si="169"/>
        <v/>
      </c>
      <c r="J3614" s="154"/>
      <c r="K3614" s="155" t="s">
        <v>2966</v>
      </c>
    </row>
    <row r="3615" spans="1:11" ht="25.5" hidden="1" x14ac:dyDescent="0.25">
      <c r="A3615" s="148" t="s">
        <v>8678</v>
      </c>
      <c r="B3615" s="149" t="s">
        <v>8679</v>
      </c>
      <c r="C3615" s="150" t="s">
        <v>18</v>
      </c>
      <c r="D3615" s="150">
        <v>0</v>
      </c>
      <c r="E3615" s="151" t="s">
        <v>13</v>
      </c>
      <c r="F3615" s="152" t="str">
        <f t="shared" si="170"/>
        <v/>
      </c>
      <c r="G3615" s="153">
        <f>IF($K3615="Padrão",BDI!$B$17,IF($K3615="Diferenciado",BDI!$E$17,0))</f>
        <v>0.2039</v>
      </c>
      <c r="H3615" s="151" t="str">
        <f t="shared" si="168"/>
        <v/>
      </c>
      <c r="I3615" s="152" t="str">
        <f t="shared" si="169"/>
        <v/>
      </c>
      <c r="J3615" s="154"/>
      <c r="K3615" s="155" t="s">
        <v>2966</v>
      </c>
    </row>
    <row r="3616" spans="1:11" ht="25.5" hidden="1" x14ac:dyDescent="0.25">
      <c r="A3616" s="148" t="s">
        <v>8680</v>
      </c>
      <c r="B3616" s="149" t="s">
        <v>8681</v>
      </c>
      <c r="C3616" s="150" t="s">
        <v>18</v>
      </c>
      <c r="D3616" s="150">
        <v>0</v>
      </c>
      <c r="E3616" s="151" t="s">
        <v>13</v>
      </c>
      <c r="F3616" s="152" t="str">
        <f t="shared" si="170"/>
        <v/>
      </c>
      <c r="G3616" s="153">
        <f>IF($K3616="Padrão",BDI!$B$17,IF($K3616="Diferenciado",BDI!$E$17,0))</f>
        <v>0.2039</v>
      </c>
      <c r="H3616" s="151" t="str">
        <f t="shared" si="168"/>
        <v/>
      </c>
      <c r="I3616" s="152" t="str">
        <f t="shared" si="169"/>
        <v/>
      </c>
      <c r="J3616" s="154"/>
      <c r="K3616" s="155" t="s">
        <v>2966</v>
      </c>
    </row>
    <row r="3617" spans="1:11" ht="25.5" hidden="1" x14ac:dyDescent="0.25">
      <c r="A3617" s="148" t="s">
        <v>8682</v>
      </c>
      <c r="B3617" s="149" t="s">
        <v>8683</v>
      </c>
      <c r="C3617" s="150" t="s">
        <v>18</v>
      </c>
      <c r="D3617" s="150">
        <v>0</v>
      </c>
      <c r="E3617" s="151" t="s">
        <v>13</v>
      </c>
      <c r="F3617" s="152" t="str">
        <f t="shared" si="170"/>
        <v/>
      </c>
      <c r="G3617" s="153">
        <f>IF($K3617="Padrão",BDI!$B$17,IF($K3617="Diferenciado",BDI!$E$17,0))</f>
        <v>0.2039</v>
      </c>
      <c r="H3617" s="151" t="str">
        <f t="shared" si="168"/>
        <v/>
      </c>
      <c r="I3617" s="152" t="str">
        <f t="shared" si="169"/>
        <v/>
      </c>
      <c r="J3617" s="154"/>
      <c r="K3617" s="155" t="s">
        <v>2966</v>
      </c>
    </row>
    <row r="3618" spans="1:11" ht="25.5" hidden="1" x14ac:dyDescent="0.25">
      <c r="A3618" s="148" t="s">
        <v>8684</v>
      </c>
      <c r="B3618" s="149" t="s">
        <v>8685</v>
      </c>
      <c r="C3618" s="150" t="s">
        <v>18</v>
      </c>
      <c r="D3618" s="150">
        <v>0</v>
      </c>
      <c r="E3618" s="151" t="s">
        <v>13</v>
      </c>
      <c r="F3618" s="152" t="str">
        <f t="shared" si="170"/>
        <v/>
      </c>
      <c r="G3618" s="153">
        <f>IF($K3618="Padrão",BDI!$B$17,IF($K3618="Diferenciado",BDI!$E$17,0))</f>
        <v>0.2039</v>
      </c>
      <c r="H3618" s="151" t="str">
        <f t="shared" si="168"/>
        <v/>
      </c>
      <c r="I3618" s="152" t="str">
        <f t="shared" si="169"/>
        <v/>
      </c>
      <c r="J3618" s="154"/>
      <c r="K3618" s="155" t="s">
        <v>2966</v>
      </c>
    </row>
    <row r="3619" spans="1:11" ht="25.5" hidden="1" x14ac:dyDescent="0.25">
      <c r="A3619" s="148" t="s">
        <v>8686</v>
      </c>
      <c r="B3619" s="149" t="s">
        <v>8687</v>
      </c>
      <c r="C3619" s="150" t="s">
        <v>18</v>
      </c>
      <c r="D3619" s="150">
        <v>0</v>
      </c>
      <c r="E3619" s="151" t="s">
        <v>13</v>
      </c>
      <c r="F3619" s="152" t="str">
        <f t="shared" si="170"/>
        <v/>
      </c>
      <c r="G3619" s="153">
        <f>IF($K3619="Padrão",BDI!$B$17,IF($K3619="Diferenciado",BDI!$E$17,0))</f>
        <v>0.2039</v>
      </c>
      <c r="H3619" s="151" t="str">
        <f t="shared" si="168"/>
        <v/>
      </c>
      <c r="I3619" s="152" t="str">
        <f t="shared" si="169"/>
        <v/>
      </c>
      <c r="J3619" s="154"/>
      <c r="K3619" s="155" t="s">
        <v>2966</v>
      </c>
    </row>
    <row r="3620" spans="1:11" ht="25.5" hidden="1" x14ac:dyDescent="0.25">
      <c r="A3620" s="148" t="s">
        <v>8688</v>
      </c>
      <c r="B3620" s="149" t="s">
        <v>8689</v>
      </c>
      <c r="C3620" s="150" t="s">
        <v>18</v>
      </c>
      <c r="D3620" s="150">
        <v>0</v>
      </c>
      <c r="E3620" s="151" t="s">
        <v>13</v>
      </c>
      <c r="F3620" s="152" t="str">
        <f t="shared" si="170"/>
        <v/>
      </c>
      <c r="G3620" s="153">
        <f>IF($K3620="Padrão",BDI!$B$17,IF($K3620="Diferenciado",BDI!$E$17,0))</f>
        <v>0.2039</v>
      </c>
      <c r="H3620" s="151" t="str">
        <f t="shared" si="168"/>
        <v/>
      </c>
      <c r="I3620" s="152" t="str">
        <f t="shared" si="169"/>
        <v/>
      </c>
      <c r="J3620" s="154"/>
      <c r="K3620" s="155" t="s">
        <v>2966</v>
      </c>
    </row>
    <row r="3621" spans="1:11" ht="25.5" hidden="1" x14ac:dyDescent="0.25">
      <c r="A3621" s="148" t="s">
        <v>8690</v>
      </c>
      <c r="B3621" s="149" t="s">
        <v>8691</v>
      </c>
      <c r="C3621" s="150" t="s">
        <v>18</v>
      </c>
      <c r="D3621" s="150">
        <v>0</v>
      </c>
      <c r="E3621" s="151" t="s">
        <v>13</v>
      </c>
      <c r="F3621" s="152" t="str">
        <f t="shared" si="170"/>
        <v/>
      </c>
      <c r="G3621" s="153">
        <f>IF($K3621="Padrão",BDI!$B$17,IF($K3621="Diferenciado",BDI!$E$17,0))</f>
        <v>0.2039</v>
      </c>
      <c r="H3621" s="151" t="str">
        <f t="shared" si="168"/>
        <v/>
      </c>
      <c r="I3621" s="152" t="str">
        <f t="shared" si="169"/>
        <v/>
      </c>
      <c r="J3621" s="154"/>
      <c r="K3621" s="155" t="s">
        <v>2966</v>
      </c>
    </row>
    <row r="3622" spans="1:11" ht="25.5" hidden="1" x14ac:dyDescent="0.25">
      <c r="A3622" s="148" t="s">
        <v>8692</v>
      </c>
      <c r="B3622" s="149" t="s">
        <v>8693</v>
      </c>
      <c r="C3622" s="150" t="s">
        <v>18</v>
      </c>
      <c r="D3622" s="150">
        <v>0</v>
      </c>
      <c r="E3622" s="151" t="s">
        <v>13</v>
      </c>
      <c r="F3622" s="152" t="str">
        <f t="shared" si="170"/>
        <v/>
      </c>
      <c r="G3622" s="153">
        <f>IF($K3622="Padrão",BDI!$B$17,IF($K3622="Diferenciado",BDI!$E$17,0))</f>
        <v>0.2039</v>
      </c>
      <c r="H3622" s="151" t="str">
        <f t="shared" si="168"/>
        <v/>
      </c>
      <c r="I3622" s="152" t="str">
        <f t="shared" si="169"/>
        <v/>
      </c>
      <c r="J3622" s="154"/>
      <c r="K3622" s="155" t="s">
        <v>2966</v>
      </c>
    </row>
    <row r="3623" spans="1:11" ht="25.5" hidden="1" x14ac:dyDescent="0.25">
      <c r="A3623" s="148" t="s">
        <v>8694</v>
      </c>
      <c r="B3623" s="149" t="s">
        <v>8695</v>
      </c>
      <c r="C3623" s="150" t="s">
        <v>18</v>
      </c>
      <c r="D3623" s="150">
        <v>0</v>
      </c>
      <c r="E3623" s="151" t="s">
        <v>13</v>
      </c>
      <c r="F3623" s="152" t="str">
        <f t="shared" si="170"/>
        <v/>
      </c>
      <c r="G3623" s="153">
        <f>IF($K3623="Padrão",BDI!$B$17,IF($K3623="Diferenciado",BDI!$E$17,0))</f>
        <v>0.2039</v>
      </c>
      <c r="H3623" s="151" t="str">
        <f t="shared" si="168"/>
        <v/>
      </c>
      <c r="I3623" s="152" t="str">
        <f t="shared" si="169"/>
        <v/>
      </c>
      <c r="J3623" s="154"/>
      <c r="K3623" s="155" t="s">
        <v>2966</v>
      </c>
    </row>
    <row r="3624" spans="1:11" ht="25.5" hidden="1" x14ac:dyDescent="0.25">
      <c r="A3624" s="148" t="s">
        <v>8696</v>
      </c>
      <c r="B3624" s="149" t="s">
        <v>8697</v>
      </c>
      <c r="C3624" s="150" t="s">
        <v>18</v>
      </c>
      <c r="D3624" s="150">
        <v>0</v>
      </c>
      <c r="E3624" s="151" t="s">
        <v>13</v>
      </c>
      <c r="F3624" s="152" t="str">
        <f t="shared" si="170"/>
        <v/>
      </c>
      <c r="G3624" s="153">
        <f>IF($K3624="Padrão",BDI!$B$17,IF($K3624="Diferenciado",BDI!$E$17,0))</f>
        <v>0.2039</v>
      </c>
      <c r="H3624" s="151" t="str">
        <f t="shared" si="168"/>
        <v/>
      </c>
      <c r="I3624" s="152" t="str">
        <f t="shared" si="169"/>
        <v/>
      </c>
      <c r="J3624" s="154"/>
      <c r="K3624" s="155" t="s">
        <v>2966</v>
      </c>
    </row>
    <row r="3625" spans="1:11" ht="38.25" hidden="1" x14ac:dyDescent="0.25">
      <c r="A3625" s="148" t="s">
        <v>8698</v>
      </c>
      <c r="B3625" s="149" t="s">
        <v>8699</v>
      </c>
      <c r="C3625" s="150" t="s">
        <v>461</v>
      </c>
      <c r="D3625" s="150">
        <v>0</v>
      </c>
      <c r="E3625" s="151" t="s">
        <v>13</v>
      </c>
      <c r="F3625" s="152" t="str">
        <f t="shared" si="170"/>
        <v/>
      </c>
      <c r="G3625" s="153">
        <f>IF($K3625="Padrão",BDI!$B$17,IF($K3625="Diferenciado",BDI!$E$17,0))</f>
        <v>0.2039</v>
      </c>
      <c r="H3625" s="151" t="str">
        <f t="shared" si="168"/>
        <v/>
      </c>
      <c r="I3625" s="152" t="str">
        <f t="shared" si="169"/>
        <v/>
      </c>
      <c r="J3625" s="154"/>
      <c r="K3625" s="155" t="s">
        <v>2966</v>
      </c>
    </row>
    <row r="3626" spans="1:11" ht="38.25" hidden="1" x14ac:dyDescent="0.25">
      <c r="A3626" s="148" t="s">
        <v>8700</v>
      </c>
      <c r="B3626" s="149" t="s">
        <v>8701</v>
      </c>
      <c r="C3626" s="150" t="s">
        <v>461</v>
      </c>
      <c r="D3626" s="150">
        <v>0</v>
      </c>
      <c r="E3626" s="151" t="s">
        <v>13</v>
      </c>
      <c r="F3626" s="152" t="str">
        <f t="shared" si="170"/>
        <v/>
      </c>
      <c r="G3626" s="153">
        <f>IF($K3626="Padrão",BDI!$B$17,IF($K3626="Diferenciado",BDI!$E$17,0))</f>
        <v>0.2039</v>
      </c>
      <c r="H3626" s="151" t="str">
        <f t="shared" si="168"/>
        <v/>
      </c>
      <c r="I3626" s="152" t="str">
        <f t="shared" si="169"/>
        <v/>
      </c>
      <c r="J3626" s="154"/>
      <c r="K3626" s="155" t="s">
        <v>2966</v>
      </c>
    </row>
    <row r="3627" spans="1:11" ht="25.5" hidden="1" x14ac:dyDescent="0.25">
      <c r="A3627" s="148" t="s">
        <v>2159</v>
      </c>
      <c r="B3627" s="149" t="s">
        <v>8702</v>
      </c>
      <c r="C3627" s="150" t="s">
        <v>18</v>
      </c>
      <c r="D3627" s="150">
        <v>0</v>
      </c>
      <c r="E3627" s="151">
        <f ca="1">OFFSET(INDEX(Composições!A:H,MATCH(Orçamentária!A3627,Composições!A:A,0),8),2,0)</f>
        <v>3126.6000000000004</v>
      </c>
      <c r="F3627" s="152">
        <f t="shared" ca="1" si="170"/>
        <v>0</v>
      </c>
      <c r="G3627" s="153">
        <f>IF($K3627="Padrão",BDI!$B$17,IF($K3627="Diferenciado",BDI!$E$17,0))</f>
        <v>0.2039</v>
      </c>
      <c r="H3627" s="151">
        <f t="shared" ca="1" si="168"/>
        <v>3764.11</v>
      </c>
      <c r="I3627" s="152">
        <f t="shared" ca="1" si="169"/>
        <v>0</v>
      </c>
      <c r="J3627" s="154"/>
      <c r="K3627" s="155" t="s">
        <v>2966</v>
      </c>
    </row>
    <row r="3628" spans="1:11" ht="25.5" hidden="1" x14ac:dyDescent="0.25">
      <c r="A3628" s="148" t="s">
        <v>8703</v>
      </c>
      <c r="B3628" s="149" t="s">
        <v>8704</v>
      </c>
      <c r="C3628" s="150" t="s">
        <v>87</v>
      </c>
      <c r="D3628" s="150">
        <v>0</v>
      </c>
      <c r="E3628" s="151" t="s">
        <v>13</v>
      </c>
      <c r="F3628" s="152" t="str">
        <f t="shared" si="170"/>
        <v/>
      </c>
      <c r="G3628" s="153">
        <f>IF($K3628="Padrão",BDI!$B$17,IF($K3628="Diferenciado",BDI!$E$17,0))</f>
        <v>0.2039</v>
      </c>
      <c r="H3628" s="151" t="str">
        <f t="shared" si="168"/>
        <v/>
      </c>
      <c r="I3628" s="152" t="str">
        <f t="shared" si="169"/>
        <v/>
      </c>
      <c r="J3628" s="154"/>
      <c r="K3628" s="155" t="s">
        <v>2966</v>
      </c>
    </row>
    <row r="3629" spans="1:11" hidden="1" x14ac:dyDescent="0.25">
      <c r="A3629" s="148" t="s">
        <v>8705</v>
      </c>
      <c r="B3629" s="149" t="s">
        <v>8706</v>
      </c>
      <c r="C3629" s="150" t="s">
        <v>18</v>
      </c>
      <c r="D3629" s="150">
        <v>0</v>
      </c>
      <c r="E3629" s="151" t="s">
        <v>13</v>
      </c>
      <c r="F3629" s="152" t="str">
        <f t="shared" si="170"/>
        <v/>
      </c>
      <c r="G3629" s="153">
        <f>IF($K3629="Padrão",BDI!$B$17,IF($K3629="Diferenciado",BDI!$E$17,0))</f>
        <v>0.2039</v>
      </c>
      <c r="H3629" s="151" t="str">
        <f t="shared" si="168"/>
        <v/>
      </c>
      <c r="I3629" s="152" t="str">
        <f t="shared" si="169"/>
        <v/>
      </c>
      <c r="J3629" s="154"/>
      <c r="K3629" s="155" t="s">
        <v>2966</v>
      </c>
    </row>
    <row r="3630" spans="1:11" ht="25.5" hidden="1" x14ac:dyDescent="0.25">
      <c r="A3630" s="148" t="s">
        <v>8707</v>
      </c>
      <c r="B3630" s="149" t="s">
        <v>8708</v>
      </c>
      <c r="C3630" s="150" t="s">
        <v>87</v>
      </c>
      <c r="D3630" s="150">
        <v>0</v>
      </c>
      <c r="E3630" s="151" t="s">
        <v>13</v>
      </c>
      <c r="F3630" s="152" t="str">
        <f t="shared" si="170"/>
        <v/>
      </c>
      <c r="G3630" s="153">
        <f>IF($K3630="Padrão",BDI!$B$17,IF($K3630="Diferenciado",BDI!$E$17,0))</f>
        <v>0.2039</v>
      </c>
      <c r="H3630" s="151" t="str">
        <f t="shared" si="168"/>
        <v/>
      </c>
      <c r="I3630" s="152" t="str">
        <f t="shared" si="169"/>
        <v/>
      </c>
      <c r="J3630" s="154"/>
      <c r="K3630" s="155" t="s">
        <v>2966</v>
      </c>
    </row>
    <row r="3631" spans="1:11" ht="25.5" hidden="1" x14ac:dyDescent="0.25">
      <c r="A3631" s="148" t="s">
        <v>8709</v>
      </c>
      <c r="B3631" s="149" t="s">
        <v>8710</v>
      </c>
      <c r="C3631" s="150" t="s">
        <v>87</v>
      </c>
      <c r="D3631" s="150">
        <v>0</v>
      </c>
      <c r="E3631" s="151" t="s">
        <v>13</v>
      </c>
      <c r="F3631" s="152" t="str">
        <f t="shared" si="170"/>
        <v/>
      </c>
      <c r="G3631" s="153">
        <f>IF($K3631="Padrão",BDI!$B$17,IF($K3631="Diferenciado",BDI!$E$17,0))</f>
        <v>0.2039</v>
      </c>
      <c r="H3631" s="151" t="str">
        <f t="shared" si="168"/>
        <v/>
      </c>
      <c r="I3631" s="152" t="str">
        <f t="shared" si="169"/>
        <v/>
      </c>
      <c r="J3631" s="154"/>
      <c r="K3631" s="155" t="s">
        <v>2966</v>
      </c>
    </row>
    <row r="3632" spans="1:11" ht="25.5" hidden="1" x14ac:dyDescent="0.25">
      <c r="A3632" s="148" t="s">
        <v>8711</v>
      </c>
      <c r="B3632" s="149" t="s">
        <v>8712</v>
      </c>
      <c r="C3632" s="150" t="s">
        <v>87</v>
      </c>
      <c r="D3632" s="150">
        <v>0</v>
      </c>
      <c r="E3632" s="151" t="s">
        <v>13</v>
      </c>
      <c r="F3632" s="152" t="str">
        <f t="shared" si="170"/>
        <v/>
      </c>
      <c r="G3632" s="153">
        <f>IF($K3632="Padrão",BDI!$B$17,IF($K3632="Diferenciado",BDI!$E$17,0))</f>
        <v>0.2039</v>
      </c>
      <c r="H3632" s="151" t="str">
        <f t="shared" si="168"/>
        <v/>
      </c>
      <c r="I3632" s="152" t="str">
        <f t="shared" si="169"/>
        <v/>
      </c>
      <c r="J3632" s="154"/>
      <c r="K3632" s="155" t="s">
        <v>2966</v>
      </c>
    </row>
    <row r="3633" spans="1:11" ht="25.5" hidden="1" x14ac:dyDescent="0.25">
      <c r="A3633" s="148" t="s">
        <v>8713</v>
      </c>
      <c r="B3633" s="149" t="s">
        <v>8714</v>
      </c>
      <c r="C3633" s="150" t="s">
        <v>87</v>
      </c>
      <c r="D3633" s="150">
        <v>0</v>
      </c>
      <c r="E3633" s="151" t="s">
        <v>13</v>
      </c>
      <c r="F3633" s="152" t="str">
        <f t="shared" si="170"/>
        <v/>
      </c>
      <c r="G3633" s="153">
        <f>IF($K3633="Padrão",BDI!$B$17,IF($K3633="Diferenciado",BDI!$E$17,0))</f>
        <v>0.2039</v>
      </c>
      <c r="H3633" s="151" t="str">
        <f t="shared" si="168"/>
        <v/>
      </c>
      <c r="I3633" s="152" t="str">
        <f t="shared" si="169"/>
        <v/>
      </c>
      <c r="J3633" s="154"/>
      <c r="K3633" s="155" t="s">
        <v>2966</v>
      </c>
    </row>
    <row r="3634" spans="1:11" ht="25.5" hidden="1" x14ac:dyDescent="0.25">
      <c r="A3634" s="148" t="s">
        <v>8715</v>
      </c>
      <c r="B3634" s="149" t="s">
        <v>8716</v>
      </c>
      <c r="C3634" s="150" t="s">
        <v>87</v>
      </c>
      <c r="D3634" s="150">
        <v>0</v>
      </c>
      <c r="E3634" s="151" t="s">
        <v>13</v>
      </c>
      <c r="F3634" s="152" t="str">
        <f t="shared" si="170"/>
        <v/>
      </c>
      <c r="G3634" s="153">
        <f>IF($K3634="Padrão",BDI!$B$17,IF($K3634="Diferenciado",BDI!$E$17,0))</f>
        <v>0.2039</v>
      </c>
      <c r="H3634" s="151" t="str">
        <f t="shared" si="168"/>
        <v/>
      </c>
      <c r="I3634" s="152" t="str">
        <f t="shared" si="169"/>
        <v/>
      </c>
      <c r="J3634" s="154"/>
      <c r="K3634" s="155" t="s">
        <v>2966</v>
      </c>
    </row>
    <row r="3635" spans="1:11" ht="25.5" hidden="1" x14ac:dyDescent="0.25">
      <c r="A3635" s="148" t="s">
        <v>8717</v>
      </c>
      <c r="B3635" s="149" t="s">
        <v>8718</v>
      </c>
      <c r="C3635" s="150" t="s">
        <v>87</v>
      </c>
      <c r="D3635" s="150">
        <v>0</v>
      </c>
      <c r="E3635" s="151" t="s">
        <v>13</v>
      </c>
      <c r="F3635" s="152" t="str">
        <f t="shared" si="170"/>
        <v/>
      </c>
      <c r="G3635" s="153">
        <f>IF($K3635="Padrão",BDI!$B$17,IF($K3635="Diferenciado",BDI!$E$17,0))</f>
        <v>0.2039</v>
      </c>
      <c r="H3635" s="151" t="str">
        <f t="shared" si="168"/>
        <v/>
      </c>
      <c r="I3635" s="152" t="str">
        <f t="shared" si="169"/>
        <v/>
      </c>
      <c r="J3635" s="154"/>
      <c r="K3635" s="155" t="s">
        <v>2966</v>
      </c>
    </row>
    <row r="3636" spans="1:11" ht="25.5" hidden="1" x14ac:dyDescent="0.25">
      <c r="A3636" s="148" t="s">
        <v>8719</v>
      </c>
      <c r="B3636" s="149" t="s">
        <v>8720</v>
      </c>
      <c r="C3636" s="150" t="s">
        <v>87</v>
      </c>
      <c r="D3636" s="150">
        <v>0</v>
      </c>
      <c r="E3636" s="151" t="s">
        <v>13</v>
      </c>
      <c r="F3636" s="152" t="str">
        <f t="shared" si="170"/>
        <v/>
      </c>
      <c r="G3636" s="153">
        <f>IF($K3636="Padrão",BDI!$B$17,IF($K3636="Diferenciado",BDI!$E$17,0))</f>
        <v>0.2039</v>
      </c>
      <c r="H3636" s="151" t="str">
        <f t="shared" si="168"/>
        <v/>
      </c>
      <c r="I3636" s="152" t="str">
        <f t="shared" si="169"/>
        <v/>
      </c>
      <c r="J3636" s="154"/>
      <c r="K3636" s="155" t="s">
        <v>2966</v>
      </c>
    </row>
    <row r="3637" spans="1:11" ht="25.5" hidden="1" x14ac:dyDescent="0.25">
      <c r="A3637" s="148" t="s">
        <v>8721</v>
      </c>
      <c r="B3637" s="149" t="s">
        <v>8722</v>
      </c>
      <c r="C3637" s="150" t="s">
        <v>87</v>
      </c>
      <c r="D3637" s="150">
        <v>0</v>
      </c>
      <c r="E3637" s="151" t="s">
        <v>13</v>
      </c>
      <c r="F3637" s="152" t="str">
        <f t="shared" si="170"/>
        <v/>
      </c>
      <c r="G3637" s="153">
        <f>IF($K3637="Padrão",BDI!$B$17,IF($K3637="Diferenciado",BDI!$E$17,0))</f>
        <v>0.2039</v>
      </c>
      <c r="H3637" s="151" t="str">
        <f t="shared" si="168"/>
        <v/>
      </c>
      <c r="I3637" s="152" t="str">
        <f t="shared" si="169"/>
        <v/>
      </c>
      <c r="J3637" s="154"/>
      <c r="K3637" s="155" t="s">
        <v>2966</v>
      </c>
    </row>
    <row r="3638" spans="1:11" ht="25.5" hidden="1" x14ac:dyDescent="0.25">
      <c r="A3638" s="148" t="s">
        <v>8723</v>
      </c>
      <c r="B3638" s="149" t="s">
        <v>8724</v>
      </c>
      <c r="C3638" s="150" t="s">
        <v>87</v>
      </c>
      <c r="D3638" s="150">
        <v>0</v>
      </c>
      <c r="E3638" s="151" t="s">
        <v>13</v>
      </c>
      <c r="F3638" s="152" t="str">
        <f t="shared" si="170"/>
        <v/>
      </c>
      <c r="G3638" s="153">
        <f>IF($K3638="Padrão",BDI!$B$17,IF($K3638="Diferenciado",BDI!$E$17,0))</f>
        <v>0.2039</v>
      </c>
      <c r="H3638" s="151" t="str">
        <f t="shared" si="168"/>
        <v/>
      </c>
      <c r="I3638" s="152" t="str">
        <f t="shared" si="169"/>
        <v/>
      </c>
      <c r="J3638" s="154"/>
      <c r="K3638" s="155" t="s">
        <v>2966</v>
      </c>
    </row>
    <row r="3639" spans="1:11" ht="25.5" hidden="1" x14ac:dyDescent="0.25">
      <c r="A3639" s="148" t="s">
        <v>8725</v>
      </c>
      <c r="B3639" s="149" t="s">
        <v>8726</v>
      </c>
      <c r="C3639" s="150" t="s">
        <v>87</v>
      </c>
      <c r="D3639" s="150">
        <v>0</v>
      </c>
      <c r="E3639" s="151" t="s">
        <v>13</v>
      </c>
      <c r="F3639" s="152" t="str">
        <f t="shared" si="170"/>
        <v/>
      </c>
      <c r="G3639" s="153">
        <f>IF($K3639="Padrão",BDI!$B$17,IF($K3639="Diferenciado",BDI!$E$17,0))</f>
        <v>0.2039</v>
      </c>
      <c r="H3639" s="151" t="str">
        <f t="shared" si="168"/>
        <v/>
      </c>
      <c r="I3639" s="152" t="str">
        <f t="shared" si="169"/>
        <v/>
      </c>
      <c r="J3639" s="154"/>
      <c r="K3639" s="155" t="s">
        <v>2966</v>
      </c>
    </row>
    <row r="3640" spans="1:11" ht="25.5" hidden="1" x14ac:dyDescent="0.25">
      <c r="A3640" s="148" t="s">
        <v>8727</v>
      </c>
      <c r="B3640" s="149" t="s">
        <v>8728</v>
      </c>
      <c r="C3640" s="150" t="s">
        <v>87</v>
      </c>
      <c r="D3640" s="150">
        <v>0</v>
      </c>
      <c r="E3640" s="151" t="s">
        <v>13</v>
      </c>
      <c r="F3640" s="152" t="str">
        <f t="shared" si="170"/>
        <v/>
      </c>
      <c r="G3640" s="153">
        <f>IF($K3640="Padrão",BDI!$B$17,IF($K3640="Diferenciado",BDI!$E$17,0))</f>
        <v>0.2039</v>
      </c>
      <c r="H3640" s="151" t="str">
        <f t="shared" si="168"/>
        <v/>
      </c>
      <c r="I3640" s="152" t="str">
        <f t="shared" si="169"/>
        <v/>
      </c>
      <c r="J3640" s="154"/>
      <c r="K3640" s="155" t="s">
        <v>2966</v>
      </c>
    </row>
    <row r="3641" spans="1:11" ht="25.5" hidden="1" x14ac:dyDescent="0.25">
      <c r="A3641" s="148" t="s">
        <v>8729</v>
      </c>
      <c r="B3641" s="149" t="s">
        <v>8730</v>
      </c>
      <c r="C3641" s="150" t="s">
        <v>87</v>
      </c>
      <c r="D3641" s="150">
        <v>0</v>
      </c>
      <c r="E3641" s="151" t="s">
        <v>13</v>
      </c>
      <c r="F3641" s="152" t="str">
        <f t="shared" si="170"/>
        <v/>
      </c>
      <c r="G3641" s="153">
        <f>IF($K3641="Padrão",BDI!$B$17,IF($K3641="Diferenciado",BDI!$E$17,0))</f>
        <v>0.2039</v>
      </c>
      <c r="H3641" s="151" t="str">
        <f t="shared" si="168"/>
        <v/>
      </c>
      <c r="I3641" s="152" t="str">
        <f t="shared" si="169"/>
        <v/>
      </c>
      <c r="J3641" s="154"/>
      <c r="K3641" s="155" t="s">
        <v>2966</v>
      </c>
    </row>
    <row r="3642" spans="1:11" ht="25.5" hidden="1" x14ac:dyDescent="0.25">
      <c r="A3642" s="148" t="s">
        <v>8731</v>
      </c>
      <c r="B3642" s="149" t="s">
        <v>8732</v>
      </c>
      <c r="C3642" s="150" t="s">
        <v>87</v>
      </c>
      <c r="D3642" s="150">
        <v>0</v>
      </c>
      <c r="E3642" s="151" t="s">
        <v>13</v>
      </c>
      <c r="F3642" s="152" t="str">
        <f t="shared" si="170"/>
        <v/>
      </c>
      <c r="G3642" s="153">
        <f>IF($K3642="Padrão",BDI!$B$17,IF($K3642="Diferenciado",BDI!$E$17,0))</f>
        <v>0.2039</v>
      </c>
      <c r="H3642" s="151" t="str">
        <f t="shared" si="168"/>
        <v/>
      </c>
      <c r="I3642" s="152" t="str">
        <f t="shared" si="169"/>
        <v/>
      </c>
      <c r="J3642" s="154"/>
      <c r="K3642" s="155" t="s">
        <v>2966</v>
      </c>
    </row>
    <row r="3643" spans="1:11" ht="25.5" hidden="1" x14ac:dyDescent="0.25">
      <c r="A3643" s="148" t="s">
        <v>8733</v>
      </c>
      <c r="B3643" s="149" t="s">
        <v>8734</v>
      </c>
      <c r="C3643" s="150" t="s">
        <v>87</v>
      </c>
      <c r="D3643" s="150">
        <v>0</v>
      </c>
      <c r="E3643" s="151" t="s">
        <v>13</v>
      </c>
      <c r="F3643" s="152" t="str">
        <f t="shared" si="170"/>
        <v/>
      </c>
      <c r="G3643" s="153">
        <f>IF($K3643="Padrão",BDI!$B$17,IF($K3643="Diferenciado",BDI!$E$17,0))</f>
        <v>0.2039</v>
      </c>
      <c r="H3643" s="151" t="str">
        <f t="shared" si="168"/>
        <v/>
      </c>
      <c r="I3643" s="152" t="str">
        <f t="shared" si="169"/>
        <v/>
      </c>
      <c r="J3643" s="154"/>
      <c r="K3643" s="155" t="s">
        <v>2966</v>
      </c>
    </row>
    <row r="3644" spans="1:11" ht="25.5" hidden="1" x14ac:dyDescent="0.25">
      <c r="A3644" s="148" t="s">
        <v>8735</v>
      </c>
      <c r="B3644" s="149" t="s">
        <v>8736</v>
      </c>
      <c r="C3644" s="150" t="s">
        <v>87</v>
      </c>
      <c r="D3644" s="150">
        <v>0</v>
      </c>
      <c r="E3644" s="151" t="s">
        <v>13</v>
      </c>
      <c r="F3644" s="152" t="str">
        <f t="shared" si="170"/>
        <v/>
      </c>
      <c r="G3644" s="153">
        <f>IF($K3644="Padrão",BDI!$B$17,IF($K3644="Diferenciado",BDI!$E$17,0))</f>
        <v>0.2039</v>
      </c>
      <c r="H3644" s="151" t="str">
        <f t="shared" si="168"/>
        <v/>
      </c>
      <c r="I3644" s="152" t="str">
        <f t="shared" si="169"/>
        <v/>
      </c>
      <c r="J3644" s="154"/>
      <c r="K3644" s="155" t="s">
        <v>2966</v>
      </c>
    </row>
    <row r="3645" spans="1:11" ht="25.5" hidden="1" x14ac:dyDescent="0.25">
      <c r="A3645" s="148" t="s">
        <v>8737</v>
      </c>
      <c r="B3645" s="149" t="s">
        <v>8738</v>
      </c>
      <c r="C3645" s="150" t="s">
        <v>87</v>
      </c>
      <c r="D3645" s="150">
        <v>0</v>
      </c>
      <c r="E3645" s="151" t="s">
        <v>13</v>
      </c>
      <c r="F3645" s="152" t="str">
        <f t="shared" si="170"/>
        <v/>
      </c>
      <c r="G3645" s="153">
        <f>IF($K3645="Padrão",BDI!$B$17,IF($K3645="Diferenciado",BDI!$E$17,0))</f>
        <v>0.2039</v>
      </c>
      <c r="H3645" s="151" t="str">
        <f t="shared" si="168"/>
        <v/>
      </c>
      <c r="I3645" s="152" t="str">
        <f t="shared" si="169"/>
        <v/>
      </c>
      <c r="J3645" s="154"/>
      <c r="K3645" s="155" t="s">
        <v>2966</v>
      </c>
    </row>
    <row r="3646" spans="1:11" ht="25.5" hidden="1" x14ac:dyDescent="0.25">
      <c r="A3646" s="148" t="s">
        <v>8739</v>
      </c>
      <c r="B3646" s="149" t="s">
        <v>8740</v>
      </c>
      <c r="C3646" s="150" t="s">
        <v>87</v>
      </c>
      <c r="D3646" s="150">
        <v>0</v>
      </c>
      <c r="E3646" s="151" t="s">
        <v>13</v>
      </c>
      <c r="F3646" s="152" t="str">
        <f t="shared" si="170"/>
        <v/>
      </c>
      <c r="G3646" s="153">
        <f>IF($K3646="Padrão",BDI!$B$17,IF($K3646="Diferenciado",BDI!$E$17,0))</f>
        <v>0.2039</v>
      </c>
      <c r="H3646" s="151" t="str">
        <f t="shared" si="168"/>
        <v/>
      </c>
      <c r="I3646" s="152" t="str">
        <f t="shared" si="169"/>
        <v/>
      </c>
      <c r="J3646" s="154"/>
      <c r="K3646" s="155" t="s">
        <v>2966</v>
      </c>
    </row>
    <row r="3647" spans="1:11" ht="25.5" hidden="1" x14ac:dyDescent="0.25">
      <c r="A3647" s="148" t="s">
        <v>8741</v>
      </c>
      <c r="B3647" s="149" t="s">
        <v>8742</v>
      </c>
      <c r="C3647" s="150" t="s">
        <v>87</v>
      </c>
      <c r="D3647" s="150">
        <v>0</v>
      </c>
      <c r="E3647" s="151" t="s">
        <v>13</v>
      </c>
      <c r="F3647" s="152" t="str">
        <f t="shared" si="170"/>
        <v/>
      </c>
      <c r="G3647" s="153">
        <f>IF($K3647="Padrão",BDI!$B$17,IF($K3647="Diferenciado",BDI!$E$17,0))</f>
        <v>0.2039</v>
      </c>
      <c r="H3647" s="151" t="str">
        <f t="shared" si="168"/>
        <v/>
      </c>
      <c r="I3647" s="152" t="str">
        <f t="shared" si="169"/>
        <v/>
      </c>
      <c r="J3647" s="154"/>
      <c r="K3647" s="155" t="s">
        <v>2966</v>
      </c>
    </row>
    <row r="3648" spans="1:11" ht="25.5" hidden="1" x14ac:dyDescent="0.25">
      <c r="A3648" s="148" t="s">
        <v>8743</v>
      </c>
      <c r="B3648" s="149" t="s">
        <v>8744</v>
      </c>
      <c r="C3648" s="150" t="s">
        <v>87</v>
      </c>
      <c r="D3648" s="150">
        <v>0</v>
      </c>
      <c r="E3648" s="151" t="s">
        <v>13</v>
      </c>
      <c r="F3648" s="152" t="str">
        <f t="shared" si="170"/>
        <v/>
      </c>
      <c r="G3648" s="153">
        <f>IF($K3648="Padrão",BDI!$B$17,IF($K3648="Diferenciado",BDI!$E$17,0))</f>
        <v>0.2039</v>
      </c>
      <c r="H3648" s="151" t="str">
        <f t="shared" si="168"/>
        <v/>
      </c>
      <c r="I3648" s="152" t="str">
        <f t="shared" si="169"/>
        <v/>
      </c>
      <c r="J3648" s="154"/>
      <c r="K3648" s="155" t="s">
        <v>2966</v>
      </c>
    </row>
    <row r="3649" spans="1:11" ht="25.5" hidden="1" x14ac:dyDescent="0.25">
      <c r="A3649" s="148" t="s">
        <v>8745</v>
      </c>
      <c r="B3649" s="149" t="s">
        <v>8746</v>
      </c>
      <c r="C3649" s="150" t="s">
        <v>87</v>
      </c>
      <c r="D3649" s="150">
        <v>0</v>
      </c>
      <c r="E3649" s="151" t="s">
        <v>13</v>
      </c>
      <c r="F3649" s="152" t="str">
        <f t="shared" si="170"/>
        <v/>
      </c>
      <c r="G3649" s="153">
        <f>IF($K3649="Padrão",BDI!$B$17,IF($K3649="Diferenciado",BDI!$E$17,0))</f>
        <v>0.2039</v>
      </c>
      <c r="H3649" s="151" t="str">
        <f t="shared" si="168"/>
        <v/>
      </c>
      <c r="I3649" s="152" t="str">
        <f t="shared" si="169"/>
        <v/>
      </c>
      <c r="J3649" s="154"/>
      <c r="K3649" s="155" t="s">
        <v>2966</v>
      </c>
    </row>
    <row r="3650" spans="1:11" ht="25.5" hidden="1" x14ac:dyDescent="0.25">
      <c r="A3650" s="148" t="s">
        <v>8747</v>
      </c>
      <c r="B3650" s="149" t="s">
        <v>8748</v>
      </c>
      <c r="C3650" s="150" t="s">
        <v>87</v>
      </c>
      <c r="D3650" s="150">
        <v>0</v>
      </c>
      <c r="E3650" s="151" t="s">
        <v>13</v>
      </c>
      <c r="F3650" s="152" t="str">
        <f t="shared" si="170"/>
        <v/>
      </c>
      <c r="G3650" s="153">
        <f>IF($K3650="Padrão",BDI!$B$17,IF($K3650="Diferenciado",BDI!$E$17,0))</f>
        <v>0.2039</v>
      </c>
      <c r="H3650" s="151" t="str">
        <f t="shared" si="168"/>
        <v/>
      </c>
      <c r="I3650" s="152" t="str">
        <f t="shared" si="169"/>
        <v/>
      </c>
      <c r="J3650" s="154"/>
      <c r="K3650" s="155" t="s">
        <v>2966</v>
      </c>
    </row>
    <row r="3651" spans="1:11" ht="25.5" hidden="1" x14ac:dyDescent="0.25">
      <c r="A3651" s="148" t="s">
        <v>8749</v>
      </c>
      <c r="B3651" s="149" t="s">
        <v>8750</v>
      </c>
      <c r="C3651" s="150" t="s">
        <v>87</v>
      </c>
      <c r="D3651" s="150">
        <v>0</v>
      </c>
      <c r="E3651" s="151" t="s">
        <v>13</v>
      </c>
      <c r="F3651" s="152" t="str">
        <f t="shared" si="170"/>
        <v/>
      </c>
      <c r="G3651" s="153">
        <f>IF($K3651="Padrão",BDI!$B$17,IF($K3651="Diferenciado",BDI!$E$17,0))</f>
        <v>0.2039</v>
      </c>
      <c r="H3651" s="151" t="str">
        <f t="shared" si="168"/>
        <v/>
      </c>
      <c r="I3651" s="152" t="str">
        <f t="shared" si="169"/>
        <v/>
      </c>
      <c r="J3651" s="154"/>
      <c r="K3651" s="155" t="s">
        <v>2966</v>
      </c>
    </row>
    <row r="3652" spans="1:11" hidden="1" x14ac:dyDescent="0.25">
      <c r="A3652" s="148" t="s">
        <v>8751</v>
      </c>
      <c r="B3652" s="149" t="s">
        <v>8752</v>
      </c>
      <c r="C3652" s="150" t="s">
        <v>87</v>
      </c>
      <c r="D3652" s="150">
        <v>0</v>
      </c>
      <c r="E3652" s="151" t="s">
        <v>13</v>
      </c>
      <c r="F3652" s="152" t="str">
        <f t="shared" si="170"/>
        <v/>
      </c>
      <c r="G3652" s="153">
        <f>IF($K3652="Padrão",BDI!$B$17,IF($K3652="Diferenciado",BDI!$E$17,0))</f>
        <v>0.2039</v>
      </c>
      <c r="H3652" s="151" t="str">
        <f t="shared" si="168"/>
        <v/>
      </c>
      <c r="I3652" s="152" t="str">
        <f t="shared" si="169"/>
        <v/>
      </c>
      <c r="J3652" s="154"/>
      <c r="K3652" s="155" t="s">
        <v>2966</v>
      </c>
    </row>
    <row r="3653" spans="1:11" ht="25.5" hidden="1" x14ac:dyDescent="0.25">
      <c r="A3653" s="148" t="s">
        <v>8753</v>
      </c>
      <c r="B3653" s="149" t="s">
        <v>8754</v>
      </c>
      <c r="C3653" s="150" t="s">
        <v>87</v>
      </c>
      <c r="D3653" s="150">
        <v>0</v>
      </c>
      <c r="E3653" s="151" t="s">
        <v>13</v>
      </c>
      <c r="F3653" s="152" t="str">
        <f t="shared" si="170"/>
        <v/>
      </c>
      <c r="G3653" s="153">
        <f>IF($K3653="Padrão",BDI!$B$17,IF($K3653="Diferenciado",BDI!$E$17,0))</f>
        <v>0.2039</v>
      </c>
      <c r="H3653" s="151" t="str">
        <f t="shared" si="168"/>
        <v/>
      </c>
      <c r="I3653" s="152" t="str">
        <f t="shared" si="169"/>
        <v/>
      </c>
      <c r="J3653" s="154"/>
      <c r="K3653" s="155" t="s">
        <v>2966</v>
      </c>
    </row>
    <row r="3654" spans="1:11" ht="25.5" hidden="1" x14ac:dyDescent="0.25">
      <c r="A3654" s="148" t="s">
        <v>8755</v>
      </c>
      <c r="B3654" s="149" t="s">
        <v>8756</v>
      </c>
      <c r="C3654" s="150" t="s">
        <v>87</v>
      </c>
      <c r="D3654" s="150">
        <v>0</v>
      </c>
      <c r="E3654" s="151" t="s">
        <v>13</v>
      </c>
      <c r="F3654" s="152" t="str">
        <f t="shared" si="170"/>
        <v/>
      </c>
      <c r="G3654" s="153">
        <f>IF($K3654="Padrão",BDI!$B$17,IF($K3654="Diferenciado",BDI!$E$17,0))</f>
        <v>0.2039</v>
      </c>
      <c r="H3654" s="151" t="str">
        <f t="shared" ref="H3654:H3717" si="171">IF(ISNUMBER(E3654),ROUND(E3654*(1+G3654),2),"")</f>
        <v/>
      </c>
      <c r="I3654" s="152" t="str">
        <f t="shared" ref="I3654:I3717" si="172">IF(ISNUMBER(E3654),ROUND(H3654*D3654,2),"")</f>
        <v/>
      </c>
      <c r="J3654" s="154"/>
      <c r="K3654" s="155" t="s">
        <v>2966</v>
      </c>
    </row>
    <row r="3655" spans="1:11" ht="25.5" hidden="1" x14ac:dyDescent="0.25">
      <c r="A3655" s="148" t="s">
        <v>8757</v>
      </c>
      <c r="B3655" s="149" t="s">
        <v>8758</v>
      </c>
      <c r="C3655" s="150" t="s">
        <v>87</v>
      </c>
      <c r="D3655" s="150">
        <v>0</v>
      </c>
      <c r="E3655" s="151" t="s">
        <v>13</v>
      </c>
      <c r="F3655" s="152" t="str">
        <f t="shared" ref="F3655:F3718" si="173">IF(ISNUMBER(E3655),D3655*E3655,"")</f>
        <v/>
      </c>
      <c r="G3655" s="153">
        <f>IF($K3655="Padrão",BDI!$B$17,IF($K3655="Diferenciado",BDI!$E$17,0))</f>
        <v>0.2039</v>
      </c>
      <c r="H3655" s="151" t="str">
        <f t="shared" si="171"/>
        <v/>
      </c>
      <c r="I3655" s="152" t="str">
        <f t="shared" si="172"/>
        <v/>
      </c>
      <c r="J3655" s="154"/>
      <c r="K3655" s="155" t="s">
        <v>2966</v>
      </c>
    </row>
    <row r="3656" spans="1:11" ht="25.5" hidden="1" x14ac:dyDescent="0.25">
      <c r="A3656" s="148" t="s">
        <v>8759</v>
      </c>
      <c r="B3656" s="149" t="s">
        <v>8760</v>
      </c>
      <c r="C3656" s="150" t="s">
        <v>87</v>
      </c>
      <c r="D3656" s="150">
        <v>0</v>
      </c>
      <c r="E3656" s="151" t="s">
        <v>13</v>
      </c>
      <c r="F3656" s="152" t="str">
        <f t="shared" si="173"/>
        <v/>
      </c>
      <c r="G3656" s="153">
        <f>IF($K3656="Padrão",BDI!$B$17,IF($K3656="Diferenciado",BDI!$E$17,0))</f>
        <v>0.2039</v>
      </c>
      <c r="H3656" s="151" t="str">
        <f t="shared" si="171"/>
        <v/>
      </c>
      <c r="I3656" s="152" t="str">
        <f t="shared" si="172"/>
        <v/>
      </c>
      <c r="J3656" s="154"/>
      <c r="K3656" s="155" t="s">
        <v>2966</v>
      </c>
    </row>
    <row r="3657" spans="1:11" ht="25.5" hidden="1" x14ac:dyDescent="0.25">
      <c r="A3657" s="148" t="s">
        <v>8761</v>
      </c>
      <c r="B3657" s="149" t="s">
        <v>8762</v>
      </c>
      <c r="C3657" s="150" t="s">
        <v>87</v>
      </c>
      <c r="D3657" s="150">
        <v>0</v>
      </c>
      <c r="E3657" s="151" t="s">
        <v>13</v>
      </c>
      <c r="F3657" s="152" t="str">
        <f t="shared" si="173"/>
        <v/>
      </c>
      <c r="G3657" s="153">
        <f>IF($K3657="Padrão",BDI!$B$17,IF($K3657="Diferenciado",BDI!$E$17,0))</f>
        <v>0.2039</v>
      </c>
      <c r="H3657" s="151" t="str">
        <f t="shared" si="171"/>
        <v/>
      </c>
      <c r="I3657" s="152" t="str">
        <f t="shared" si="172"/>
        <v/>
      </c>
      <c r="J3657" s="154"/>
      <c r="K3657" s="155" t="s">
        <v>2966</v>
      </c>
    </row>
    <row r="3658" spans="1:11" ht="25.5" hidden="1" x14ac:dyDescent="0.25">
      <c r="A3658" s="148" t="s">
        <v>8763</v>
      </c>
      <c r="B3658" s="149" t="s">
        <v>8764</v>
      </c>
      <c r="C3658" s="150" t="s">
        <v>87</v>
      </c>
      <c r="D3658" s="150">
        <v>0</v>
      </c>
      <c r="E3658" s="151" t="s">
        <v>13</v>
      </c>
      <c r="F3658" s="152" t="str">
        <f t="shared" si="173"/>
        <v/>
      </c>
      <c r="G3658" s="153">
        <f>IF($K3658="Padrão",BDI!$B$17,IF($K3658="Diferenciado",BDI!$E$17,0))</f>
        <v>0.2039</v>
      </c>
      <c r="H3658" s="151" t="str">
        <f t="shared" si="171"/>
        <v/>
      </c>
      <c r="I3658" s="152" t="str">
        <f t="shared" si="172"/>
        <v/>
      </c>
      <c r="J3658" s="154"/>
      <c r="K3658" s="155" t="s">
        <v>2966</v>
      </c>
    </row>
    <row r="3659" spans="1:11" ht="25.5" hidden="1" x14ac:dyDescent="0.25">
      <c r="A3659" s="148" t="s">
        <v>8765</v>
      </c>
      <c r="B3659" s="149" t="s">
        <v>8766</v>
      </c>
      <c r="C3659" s="150" t="s">
        <v>87</v>
      </c>
      <c r="D3659" s="150">
        <v>0</v>
      </c>
      <c r="E3659" s="151" t="s">
        <v>13</v>
      </c>
      <c r="F3659" s="152" t="str">
        <f t="shared" si="173"/>
        <v/>
      </c>
      <c r="G3659" s="153">
        <f>IF($K3659="Padrão",BDI!$B$17,IF($K3659="Diferenciado",BDI!$E$17,0))</f>
        <v>0.2039</v>
      </c>
      <c r="H3659" s="151" t="str">
        <f t="shared" si="171"/>
        <v/>
      </c>
      <c r="I3659" s="152" t="str">
        <f t="shared" si="172"/>
        <v/>
      </c>
      <c r="J3659" s="154"/>
      <c r="K3659" s="155" t="s">
        <v>2966</v>
      </c>
    </row>
    <row r="3660" spans="1:11" ht="25.5" hidden="1" x14ac:dyDescent="0.25">
      <c r="A3660" s="148" t="s">
        <v>8767</v>
      </c>
      <c r="B3660" s="149" t="s">
        <v>8768</v>
      </c>
      <c r="C3660" s="150" t="s">
        <v>87</v>
      </c>
      <c r="D3660" s="150">
        <v>0</v>
      </c>
      <c r="E3660" s="151" t="s">
        <v>13</v>
      </c>
      <c r="F3660" s="152" t="str">
        <f t="shared" si="173"/>
        <v/>
      </c>
      <c r="G3660" s="153">
        <f>IF($K3660="Padrão",BDI!$B$17,IF($K3660="Diferenciado",BDI!$E$17,0))</f>
        <v>0.2039</v>
      </c>
      <c r="H3660" s="151" t="str">
        <f t="shared" si="171"/>
        <v/>
      </c>
      <c r="I3660" s="152" t="str">
        <f t="shared" si="172"/>
        <v/>
      </c>
      <c r="J3660" s="154"/>
      <c r="K3660" s="155" t="s">
        <v>2966</v>
      </c>
    </row>
    <row r="3661" spans="1:11" ht="25.5" hidden="1" x14ac:dyDescent="0.25">
      <c r="A3661" s="148" t="s">
        <v>8769</v>
      </c>
      <c r="B3661" s="149" t="s">
        <v>8770</v>
      </c>
      <c r="C3661" s="150" t="s">
        <v>87</v>
      </c>
      <c r="D3661" s="150">
        <v>0</v>
      </c>
      <c r="E3661" s="151" t="s">
        <v>13</v>
      </c>
      <c r="F3661" s="152" t="str">
        <f t="shared" si="173"/>
        <v/>
      </c>
      <c r="G3661" s="153">
        <f>IF($K3661="Padrão",BDI!$B$17,IF($K3661="Diferenciado",BDI!$E$17,0))</f>
        <v>0.2039</v>
      </c>
      <c r="H3661" s="151" t="str">
        <f t="shared" si="171"/>
        <v/>
      </c>
      <c r="I3661" s="152" t="str">
        <f t="shared" si="172"/>
        <v/>
      </c>
      <c r="J3661" s="154"/>
      <c r="K3661" s="155" t="s">
        <v>2966</v>
      </c>
    </row>
    <row r="3662" spans="1:11" ht="25.5" hidden="1" x14ac:dyDescent="0.25">
      <c r="A3662" s="148" t="s">
        <v>8771</v>
      </c>
      <c r="B3662" s="149" t="s">
        <v>8772</v>
      </c>
      <c r="C3662" s="150" t="s">
        <v>87</v>
      </c>
      <c r="D3662" s="150">
        <v>0</v>
      </c>
      <c r="E3662" s="151" t="s">
        <v>13</v>
      </c>
      <c r="F3662" s="152" t="str">
        <f t="shared" si="173"/>
        <v/>
      </c>
      <c r="G3662" s="153">
        <f>IF($K3662="Padrão",BDI!$B$17,IF($K3662="Diferenciado",BDI!$E$17,0))</f>
        <v>0.2039</v>
      </c>
      <c r="H3662" s="151" t="str">
        <f t="shared" si="171"/>
        <v/>
      </c>
      <c r="I3662" s="152" t="str">
        <f t="shared" si="172"/>
        <v/>
      </c>
      <c r="J3662" s="154"/>
      <c r="K3662" s="155" t="s">
        <v>2966</v>
      </c>
    </row>
    <row r="3663" spans="1:11" ht="25.5" hidden="1" x14ac:dyDescent="0.25">
      <c r="A3663" s="148" t="s">
        <v>8773</v>
      </c>
      <c r="B3663" s="149" t="s">
        <v>8774</v>
      </c>
      <c r="C3663" s="150" t="s">
        <v>87</v>
      </c>
      <c r="D3663" s="150">
        <v>0</v>
      </c>
      <c r="E3663" s="151" t="s">
        <v>13</v>
      </c>
      <c r="F3663" s="152" t="str">
        <f t="shared" si="173"/>
        <v/>
      </c>
      <c r="G3663" s="153">
        <f>IF($K3663="Padrão",BDI!$B$17,IF($K3663="Diferenciado",BDI!$E$17,0))</f>
        <v>0.2039</v>
      </c>
      <c r="H3663" s="151" t="str">
        <f t="shared" si="171"/>
        <v/>
      </c>
      <c r="I3663" s="152" t="str">
        <f t="shared" si="172"/>
        <v/>
      </c>
      <c r="J3663" s="154"/>
      <c r="K3663" s="155" t="s">
        <v>2966</v>
      </c>
    </row>
    <row r="3664" spans="1:11" ht="25.5" hidden="1" x14ac:dyDescent="0.25">
      <c r="A3664" s="148" t="s">
        <v>8775</v>
      </c>
      <c r="B3664" s="149" t="s">
        <v>8776</v>
      </c>
      <c r="C3664" s="150" t="s">
        <v>87</v>
      </c>
      <c r="D3664" s="150">
        <v>0</v>
      </c>
      <c r="E3664" s="151" t="s">
        <v>13</v>
      </c>
      <c r="F3664" s="152" t="str">
        <f t="shared" si="173"/>
        <v/>
      </c>
      <c r="G3664" s="153">
        <f>IF($K3664="Padrão",BDI!$B$17,IF($K3664="Diferenciado",BDI!$E$17,0))</f>
        <v>0.2039</v>
      </c>
      <c r="H3664" s="151" t="str">
        <f t="shared" si="171"/>
        <v/>
      </c>
      <c r="I3664" s="152" t="str">
        <f t="shared" si="172"/>
        <v/>
      </c>
      <c r="J3664" s="154"/>
      <c r="K3664" s="155" t="s">
        <v>2966</v>
      </c>
    </row>
    <row r="3665" spans="1:11" ht="25.5" hidden="1" x14ac:dyDescent="0.25">
      <c r="A3665" s="148" t="s">
        <v>8777</v>
      </c>
      <c r="B3665" s="149" t="s">
        <v>8778</v>
      </c>
      <c r="C3665" s="150" t="s">
        <v>87</v>
      </c>
      <c r="D3665" s="150">
        <v>0</v>
      </c>
      <c r="E3665" s="151" t="s">
        <v>13</v>
      </c>
      <c r="F3665" s="152" t="str">
        <f t="shared" si="173"/>
        <v/>
      </c>
      <c r="G3665" s="153">
        <f>IF($K3665="Padrão",BDI!$B$17,IF($K3665="Diferenciado",BDI!$E$17,0))</f>
        <v>0.2039</v>
      </c>
      <c r="H3665" s="151" t="str">
        <f t="shared" si="171"/>
        <v/>
      </c>
      <c r="I3665" s="152" t="str">
        <f t="shared" si="172"/>
        <v/>
      </c>
      <c r="J3665" s="154"/>
      <c r="K3665" s="155" t="s">
        <v>2966</v>
      </c>
    </row>
    <row r="3666" spans="1:11" ht="25.5" hidden="1" x14ac:dyDescent="0.25">
      <c r="A3666" s="148" t="s">
        <v>8779</v>
      </c>
      <c r="B3666" s="149" t="s">
        <v>8780</v>
      </c>
      <c r="C3666" s="150" t="s">
        <v>87</v>
      </c>
      <c r="D3666" s="150">
        <v>0</v>
      </c>
      <c r="E3666" s="151" t="s">
        <v>13</v>
      </c>
      <c r="F3666" s="152" t="str">
        <f t="shared" si="173"/>
        <v/>
      </c>
      <c r="G3666" s="153">
        <f>IF($K3666="Padrão",BDI!$B$17,IF($K3666="Diferenciado",BDI!$E$17,0))</f>
        <v>0.2039</v>
      </c>
      <c r="H3666" s="151" t="str">
        <f t="shared" si="171"/>
        <v/>
      </c>
      <c r="I3666" s="152" t="str">
        <f t="shared" si="172"/>
        <v/>
      </c>
      <c r="J3666" s="154"/>
      <c r="K3666" s="155" t="s">
        <v>2966</v>
      </c>
    </row>
    <row r="3667" spans="1:11" hidden="1" x14ac:dyDescent="0.25">
      <c r="A3667" s="148" t="s">
        <v>8781</v>
      </c>
      <c r="B3667" s="149" t="s">
        <v>8782</v>
      </c>
      <c r="C3667" s="150" t="s">
        <v>87</v>
      </c>
      <c r="D3667" s="150">
        <v>0</v>
      </c>
      <c r="E3667" s="151" t="s">
        <v>13</v>
      </c>
      <c r="F3667" s="152" t="str">
        <f t="shared" si="173"/>
        <v/>
      </c>
      <c r="G3667" s="153">
        <f>IF($K3667="Padrão",BDI!$B$17,IF($K3667="Diferenciado",BDI!$E$17,0))</f>
        <v>0.2039</v>
      </c>
      <c r="H3667" s="151" t="str">
        <f t="shared" si="171"/>
        <v/>
      </c>
      <c r="I3667" s="152" t="str">
        <f t="shared" si="172"/>
        <v/>
      </c>
      <c r="J3667" s="154"/>
      <c r="K3667" s="155" t="s">
        <v>2966</v>
      </c>
    </row>
    <row r="3668" spans="1:11" ht="25.5" hidden="1" x14ac:dyDescent="0.25">
      <c r="A3668" s="148" t="s">
        <v>8783</v>
      </c>
      <c r="B3668" s="149" t="s">
        <v>8784</v>
      </c>
      <c r="C3668" s="150" t="s">
        <v>87</v>
      </c>
      <c r="D3668" s="150">
        <v>0</v>
      </c>
      <c r="E3668" s="151" t="s">
        <v>13</v>
      </c>
      <c r="F3668" s="152" t="str">
        <f t="shared" si="173"/>
        <v/>
      </c>
      <c r="G3668" s="153">
        <f>IF($K3668="Padrão",BDI!$B$17,IF($K3668="Diferenciado",BDI!$E$17,0))</f>
        <v>0.2039</v>
      </c>
      <c r="H3668" s="151" t="str">
        <f t="shared" si="171"/>
        <v/>
      </c>
      <c r="I3668" s="152" t="str">
        <f t="shared" si="172"/>
        <v/>
      </c>
      <c r="J3668" s="154"/>
      <c r="K3668" s="155" t="s">
        <v>2966</v>
      </c>
    </row>
    <row r="3669" spans="1:11" ht="25.5" hidden="1" x14ac:dyDescent="0.25">
      <c r="A3669" s="148" t="s">
        <v>8785</v>
      </c>
      <c r="B3669" s="149" t="s">
        <v>8786</v>
      </c>
      <c r="C3669" s="150" t="s">
        <v>87</v>
      </c>
      <c r="D3669" s="150">
        <v>0</v>
      </c>
      <c r="E3669" s="151" t="s">
        <v>13</v>
      </c>
      <c r="F3669" s="152" t="str">
        <f t="shared" si="173"/>
        <v/>
      </c>
      <c r="G3669" s="153">
        <f>IF($K3669="Padrão",BDI!$B$17,IF($K3669="Diferenciado",BDI!$E$17,0))</f>
        <v>0.2039</v>
      </c>
      <c r="H3669" s="151" t="str">
        <f t="shared" si="171"/>
        <v/>
      </c>
      <c r="I3669" s="152" t="str">
        <f t="shared" si="172"/>
        <v/>
      </c>
      <c r="J3669" s="154"/>
      <c r="K3669" s="155" t="s">
        <v>2966</v>
      </c>
    </row>
    <row r="3670" spans="1:11" ht="25.5" hidden="1" x14ac:dyDescent="0.25">
      <c r="A3670" s="148" t="s">
        <v>8787</v>
      </c>
      <c r="B3670" s="149" t="s">
        <v>8788</v>
      </c>
      <c r="C3670" s="150" t="s">
        <v>87</v>
      </c>
      <c r="D3670" s="150">
        <v>0</v>
      </c>
      <c r="E3670" s="151" t="s">
        <v>13</v>
      </c>
      <c r="F3670" s="152" t="str">
        <f t="shared" si="173"/>
        <v/>
      </c>
      <c r="G3670" s="153">
        <f>IF($K3670="Padrão",BDI!$B$17,IF($K3670="Diferenciado",BDI!$E$17,0))</f>
        <v>0.2039</v>
      </c>
      <c r="H3670" s="151" t="str">
        <f t="shared" si="171"/>
        <v/>
      </c>
      <c r="I3670" s="152" t="str">
        <f t="shared" si="172"/>
        <v/>
      </c>
      <c r="J3670" s="154"/>
      <c r="K3670" s="155" t="s">
        <v>2966</v>
      </c>
    </row>
    <row r="3671" spans="1:11" ht="25.5" hidden="1" x14ac:dyDescent="0.25">
      <c r="A3671" s="148" t="s">
        <v>8789</v>
      </c>
      <c r="B3671" s="149" t="s">
        <v>8790</v>
      </c>
      <c r="C3671" s="150" t="s">
        <v>87</v>
      </c>
      <c r="D3671" s="150">
        <v>0</v>
      </c>
      <c r="E3671" s="151" t="s">
        <v>13</v>
      </c>
      <c r="F3671" s="152" t="str">
        <f t="shared" si="173"/>
        <v/>
      </c>
      <c r="G3671" s="153">
        <f>IF($K3671="Padrão",BDI!$B$17,IF($K3671="Diferenciado",BDI!$E$17,0))</f>
        <v>0.2039</v>
      </c>
      <c r="H3671" s="151" t="str">
        <f t="shared" si="171"/>
        <v/>
      </c>
      <c r="I3671" s="152" t="str">
        <f t="shared" si="172"/>
        <v/>
      </c>
      <c r="J3671" s="154"/>
      <c r="K3671" s="155" t="s">
        <v>2966</v>
      </c>
    </row>
    <row r="3672" spans="1:11" ht="25.5" hidden="1" x14ac:dyDescent="0.25">
      <c r="A3672" s="148" t="s">
        <v>8791</v>
      </c>
      <c r="B3672" s="149" t="s">
        <v>8792</v>
      </c>
      <c r="C3672" s="150" t="s">
        <v>87</v>
      </c>
      <c r="D3672" s="150">
        <v>0</v>
      </c>
      <c r="E3672" s="151" t="s">
        <v>13</v>
      </c>
      <c r="F3672" s="152" t="str">
        <f t="shared" si="173"/>
        <v/>
      </c>
      <c r="G3672" s="153">
        <f>IF($K3672="Padrão",BDI!$B$17,IF($K3672="Diferenciado",BDI!$E$17,0))</f>
        <v>0.2039</v>
      </c>
      <c r="H3672" s="151" t="str">
        <f t="shared" si="171"/>
        <v/>
      </c>
      <c r="I3672" s="152" t="str">
        <f t="shared" si="172"/>
        <v/>
      </c>
      <c r="J3672" s="154"/>
      <c r="K3672" s="155" t="s">
        <v>2966</v>
      </c>
    </row>
    <row r="3673" spans="1:11" ht="25.5" hidden="1" x14ac:dyDescent="0.25">
      <c r="A3673" s="148" t="s">
        <v>8793</v>
      </c>
      <c r="B3673" s="149" t="s">
        <v>8794</v>
      </c>
      <c r="C3673" s="150" t="s">
        <v>87</v>
      </c>
      <c r="D3673" s="150">
        <v>0</v>
      </c>
      <c r="E3673" s="151" t="s">
        <v>13</v>
      </c>
      <c r="F3673" s="152" t="str">
        <f t="shared" si="173"/>
        <v/>
      </c>
      <c r="G3673" s="153">
        <f>IF($K3673="Padrão",BDI!$B$17,IF($K3673="Diferenciado",BDI!$E$17,0))</f>
        <v>0.2039</v>
      </c>
      <c r="H3673" s="151" t="str">
        <f t="shared" si="171"/>
        <v/>
      </c>
      <c r="I3673" s="152" t="str">
        <f t="shared" si="172"/>
        <v/>
      </c>
      <c r="J3673" s="154"/>
      <c r="K3673" s="155" t="s">
        <v>2966</v>
      </c>
    </row>
    <row r="3674" spans="1:11" ht="25.5" hidden="1" x14ac:dyDescent="0.25">
      <c r="A3674" s="148" t="s">
        <v>8795</v>
      </c>
      <c r="B3674" s="149" t="s">
        <v>8796</v>
      </c>
      <c r="C3674" s="150" t="s">
        <v>87</v>
      </c>
      <c r="D3674" s="150">
        <v>0</v>
      </c>
      <c r="E3674" s="151" t="s">
        <v>13</v>
      </c>
      <c r="F3674" s="152" t="str">
        <f t="shared" si="173"/>
        <v/>
      </c>
      <c r="G3674" s="153">
        <f>IF($K3674="Padrão",BDI!$B$17,IF($K3674="Diferenciado",BDI!$E$17,0))</f>
        <v>0.2039</v>
      </c>
      <c r="H3674" s="151" t="str">
        <f t="shared" si="171"/>
        <v/>
      </c>
      <c r="I3674" s="152" t="str">
        <f t="shared" si="172"/>
        <v/>
      </c>
      <c r="J3674" s="154"/>
      <c r="K3674" s="155" t="s">
        <v>2966</v>
      </c>
    </row>
    <row r="3675" spans="1:11" hidden="1" x14ac:dyDescent="0.25">
      <c r="A3675" s="148" t="s">
        <v>8797</v>
      </c>
      <c r="B3675" s="149" t="s">
        <v>8798</v>
      </c>
      <c r="C3675" s="150" t="s">
        <v>87</v>
      </c>
      <c r="D3675" s="150">
        <v>0</v>
      </c>
      <c r="E3675" s="151" t="s">
        <v>13</v>
      </c>
      <c r="F3675" s="152" t="str">
        <f t="shared" si="173"/>
        <v/>
      </c>
      <c r="G3675" s="153">
        <f>IF($K3675="Padrão",BDI!$B$17,IF($K3675="Diferenciado",BDI!$E$17,0))</f>
        <v>0.2039</v>
      </c>
      <c r="H3675" s="151" t="str">
        <f t="shared" si="171"/>
        <v/>
      </c>
      <c r="I3675" s="152" t="str">
        <f t="shared" si="172"/>
        <v/>
      </c>
      <c r="J3675" s="154"/>
      <c r="K3675" s="155" t="s">
        <v>2966</v>
      </c>
    </row>
    <row r="3676" spans="1:11" hidden="1" x14ac:dyDescent="0.25">
      <c r="A3676" s="148" t="s">
        <v>8799</v>
      </c>
      <c r="B3676" s="149" t="s">
        <v>8800</v>
      </c>
      <c r="C3676" s="150" t="s">
        <v>87</v>
      </c>
      <c r="D3676" s="150">
        <v>0</v>
      </c>
      <c r="E3676" s="151" t="s">
        <v>13</v>
      </c>
      <c r="F3676" s="152" t="str">
        <f t="shared" si="173"/>
        <v/>
      </c>
      <c r="G3676" s="153">
        <f>IF($K3676="Padrão",BDI!$B$17,IF($K3676="Diferenciado",BDI!$E$17,0))</f>
        <v>0.2039</v>
      </c>
      <c r="H3676" s="151" t="str">
        <f t="shared" si="171"/>
        <v/>
      </c>
      <c r="I3676" s="152" t="str">
        <f t="shared" si="172"/>
        <v/>
      </c>
      <c r="J3676" s="154"/>
      <c r="K3676" s="155" t="s">
        <v>2966</v>
      </c>
    </row>
    <row r="3677" spans="1:11" hidden="1" x14ac:dyDescent="0.25">
      <c r="A3677" s="148" t="s">
        <v>8801</v>
      </c>
      <c r="B3677" s="149" t="s">
        <v>8802</v>
      </c>
      <c r="C3677" s="150" t="s">
        <v>87</v>
      </c>
      <c r="D3677" s="150">
        <v>0</v>
      </c>
      <c r="E3677" s="151" t="s">
        <v>13</v>
      </c>
      <c r="F3677" s="152" t="str">
        <f t="shared" si="173"/>
        <v/>
      </c>
      <c r="G3677" s="153">
        <f>IF($K3677="Padrão",BDI!$B$17,IF($K3677="Diferenciado",BDI!$E$17,0))</f>
        <v>0.2039</v>
      </c>
      <c r="H3677" s="151" t="str">
        <f t="shared" si="171"/>
        <v/>
      </c>
      <c r="I3677" s="152" t="str">
        <f t="shared" si="172"/>
        <v/>
      </c>
      <c r="J3677" s="154"/>
      <c r="K3677" s="155" t="s">
        <v>2966</v>
      </c>
    </row>
    <row r="3678" spans="1:11" hidden="1" x14ac:dyDescent="0.25">
      <c r="A3678" s="148" t="s">
        <v>8803</v>
      </c>
      <c r="B3678" s="149" t="s">
        <v>8804</v>
      </c>
      <c r="C3678" s="150" t="s">
        <v>87</v>
      </c>
      <c r="D3678" s="150">
        <v>0</v>
      </c>
      <c r="E3678" s="151" t="s">
        <v>13</v>
      </c>
      <c r="F3678" s="152" t="str">
        <f t="shared" si="173"/>
        <v/>
      </c>
      <c r="G3678" s="153">
        <f>IF($K3678="Padrão",BDI!$B$17,IF($K3678="Diferenciado",BDI!$E$17,0))</f>
        <v>0.2039</v>
      </c>
      <c r="H3678" s="151" t="str">
        <f t="shared" si="171"/>
        <v/>
      </c>
      <c r="I3678" s="152" t="str">
        <f t="shared" si="172"/>
        <v/>
      </c>
      <c r="J3678" s="154"/>
      <c r="K3678" s="155" t="s">
        <v>2966</v>
      </c>
    </row>
    <row r="3679" spans="1:11" hidden="1" x14ac:dyDescent="0.25">
      <c r="A3679" s="148" t="s">
        <v>8805</v>
      </c>
      <c r="B3679" s="149" t="s">
        <v>8806</v>
      </c>
      <c r="C3679" s="150" t="s">
        <v>87</v>
      </c>
      <c r="D3679" s="150">
        <v>0</v>
      </c>
      <c r="E3679" s="151" t="s">
        <v>13</v>
      </c>
      <c r="F3679" s="152" t="str">
        <f t="shared" si="173"/>
        <v/>
      </c>
      <c r="G3679" s="153">
        <f>IF($K3679="Padrão",BDI!$B$17,IF($K3679="Diferenciado",BDI!$E$17,0))</f>
        <v>0.2039</v>
      </c>
      <c r="H3679" s="151" t="str">
        <f t="shared" si="171"/>
        <v/>
      </c>
      <c r="I3679" s="152" t="str">
        <f t="shared" si="172"/>
        <v/>
      </c>
      <c r="J3679" s="154"/>
      <c r="K3679" s="155" t="s">
        <v>2966</v>
      </c>
    </row>
    <row r="3680" spans="1:11" hidden="1" x14ac:dyDescent="0.25">
      <c r="A3680" s="148" t="s">
        <v>8807</v>
      </c>
      <c r="B3680" s="149" t="s">
        <v>8808</v>
      </c>
      <c r="C3680" s="150" t="s">
        <v>87</v>
      </c>
      <c r="D3680" s="150">
        <v>0</v>
      </c>
      <c r="E3680" s="151" t="s">
        <v>13</v>
      </c>
      <c r="F3680" s="152" t="str">
        <f t="shared" si="173"/>
        <v/>
      </c>
      <c r="G3680" s="153">
        <f>IF($K3680="Padrão",BDI!$B$17,IF($K3680="Diferenciado",BDI!$E$17,0))</f>
        <v>0.2039</v>
      </c>
      <c r="H3680" s="151" t="str">
        <f t="shared" si="171"/>
        <v/>
      </c>
      <c r="I3680" s="152" t="str">
        <f t="shared" si="172"/>
        <v/>
      </c>
      <c r="J3680" s="154"/>
      <c r="K3680" s="155" t="s">
        <v>2966</v>
      </c>
    </row>
    <row r="3681" spans="1:11" hidden="1" x14ac:dyDescent="0.25">
      <c r="A3681" s="148" t="s">
        <v>8809</v>
      </c>
      <c r="B3681" s="149" t="s">
        <v>8810</v>
      </c>
      <c r="C3681" s="150" t="s">
        <v>87</v>
      </c>
      <c r="D3681" s="150">
        <v>0</v>
      </c>
      <c r="E3681" s="151" t="s">
        <v>13</v>
      </c>
      <c r="F3681" s="152" t="str">
        <f t="shared" si="173"/>
        <v/>
      </c>
      <c r="G3681" s="153">
        <f>IF($K3681="Padrão",BDI!$B$17,IF($K3681="Diferenciado",BDI!$E$17,0))</f>
        <v>0.2039</v>
      </c>
      <c r="H3681" s="151" t="str">
        <f t="shared" si="171"/>
        <v/>
      </c>
      <c r="I3681" s="152" t="str">
        <f t="shared" si="172"/>
        <v/>
      </c>
      <c r="J3681" s="154"/>
      <c r="K3681" s="155" t="s">
        <v>2966</v>
      </c>
    </row>
    <row r="3682" spans="1:11" hidden="1" x14ac:dyDescent="0.25">
      <c r="A3682" s="148" t="s">
        <v>8811</v>
      </c>
      <c r="B3682" s="149" t="s">
        <v>8812</v>
      </c>
      <c r="C3682" s="150" t="s">
        <v>87</v>
      </c>
      <c r="D3682" s="150">
        <v>0</v>
      </c>
      <c r="E3682" s="151" t="s">
        <v>13</v>
      </c>
      <c r="F3682" s="152" t="str">
        <f t="shared" si="173"/>
        <v/>
      </c>
      <c r="G3682" s="153">
        <f>IF($K3682="Padrão",BDI!$B$17,IF($K3682="Diferenciado",BDI!$E$17,0))</f>
        <v>0.2039</v>
      </c>
      <c r="H3682" s="151" t="str">
        <f t="shared" si="171"/>
        <v/>
      </c>
      <c r="I3682" s="152" t="str">
        <f t="shared" si="172"/>
        <v/>
      </c>
      <c r="J3682" s="154"/>
      <c r="K3682" s="155" t="s">
        <v>2966</v>
      </c>
    </row>
    <row r="3683" spans="1:11" hidden="1" x14ac:dyDescent="0.25">
      <c r="A3683" s="148" t="s">
        <v>8813</v>
      </c>
      <c r="B3683" s="149" t="s">
        <v>8814</v>
      </c>
      <c r="C3683" s="150" t="s">
        <v>87</v>
      </c>
      <c r="D3683" s="150">
        <v>0</v>
      </c>
      <c r="E3683" s="151" t="s">
        <v>13</v>
      </c>
      <c r="F3683" s="152" t="str">
        <f t="shared" si="173"/>
        <v/>
      </c>
      <c r="G3683" s="153">
        <f>IF($K3683="Padrão",BDI!$B$17,IF($K3683="Diferenciado",BDI!$E$17,0))</f>
        <v>0.2039</v>
      </c>
      <c r="H3683" s="151" t="str">
        <f t="shared" si="171"/>
        <v/>
      </c>
      <c r="I3683" s="152" t="str">
        <f t="shared" si="172"/>
        <v/>
      </c>
      <c r="J3683" s="154"/>
      <c r="K3683" s="155" t="s">
        <v>2966</v>
      </c>
    </row>
    <row r="3684" spans="1:11" hidden="1" x14ac:dyDescent="0.25">
      <c r="A3684" s="148" t="s">
        <v>8815</v>
      </c>
      <c r="B3684" s="149" t="s">
        <v>8816</v>
      </c>
      <c r="C3684" s="150" t="s">
        <v>87</v>
      </c>
      <c r="D3684" s="150">
        <v>0</v>
      </c>
      <c r="E3684" s="151" t="s">
        <v>13</v>
      </c>
      <c r="F3684" s="152" t="str">
        <f t="shared" si="173"/>
        <v/>
      </c>
      <c r="G3684" s="153">
        <f>IF($K3684="Padrão",BDI!$B$17,IF($K3684="Diferenciado",BDI!$E$17,0))</f>
        <v>0.2039</v>
      </c>
      <c r="H3684" s="151" t="str">
        <f t="shared" si="171"/>
        <v/>
      </c>
      <c r="I3684" s="152" t="str">
        <f t="shared" si="172"/>
        <v/>
      </c>
      <c r="J3684" s="154"/>
      <c r="K3684" s="155" t="s">
        <v>2966</v>
      </c>
    </row>
    <row r="3685" spans="1:11" hidden="1" x14ac:dyDescent="0.25">
      <c r="A3685" s="148" t="s">
        <v>8817</v>
      </c>
      <c r="B3685" s="149" t="s">
        <v>8818</v>
      </c>
      <c r="C3685" s="150" t="s">
        <v>87</v>
      </c>
      <c r="D3685" s="150">
        <v>0</v>
      </c>
      <c r="E3685" s="151" t="s">
        <v>13</v>
      </c>
      <c r="F3685" s="152" t="str">
        <f t="shared" si="173"/>
        <v/>
      </c>
      <c r="G3685" s="153">
        <f>IF($K3685="Padrão",BDI!$B$17,IF($K3685="Diferenciado",BDI!$E$17,0))</f>
        <v>0.2039</v>
      </c>
      <c r="H3685" s="151" t="str">
        <f t="shared" si="171"/>
        <v/>
      </c>
      <c r="I3685" s="152" t="str">
        <f t="shared" si="172"/>
        <v/>
      </c>
      <c r="J3685" s="154"/>
      <c r="K3685" s="155" t="s">
        <v>2966</v>
      </c>
    </row>
    <row r="3686" spans="1:11" hidden="1" x14ac:dyDescent="0.25">
      <c r="A3686" s="148" t="s">
        <v>8819</v>
      </c>
      <c r="B3686" s="149" t="s">
        <v>8820</v>
      </c>
      <c r="C3686" s="150" t="s">
        <v>87</v>
      </c>
      <c r="D3686" s="150">
        <v>0</v>
      </c>
      <c r="E3686" s="151" t="s">
        <v>13</v>
      </c>
      <c r="F3686" s="152" t="str">
        <f t="shared" si="173"/>
        <v/>
      </c>
      <c r="G3686" s="153">
        <f>IF($K3686="Padrão",BDI!$B$17,IF($K3686="Diferenciado",BDI!$E$17,0))</f>
        <v>0.2039</v>
      </c>
      <c r="H3686" s="151" t="str">
        <f t="shared" si="171"/>
        <v/>
      </c>
      <c r="I3686" s="152" t="str">
        <f t="shared" si="172"/>
        <v/>
      </c>
      <c r="J3686" s="154"/>
      <c r="K3686" s="155" t="s">
        <v>2966</v>
      </c>
    </row>
    <row r="3687" spans="1:11" hidden="1" x14ac:dyDescent="0.25">
      <c r="A3687" s="148" t="s">
        <v>8821</v>
      </c>
      <c r="B3687" s="149" t="s">
        <v>8822</v>
      </c>
      <c r="C3687" s="150" t="s">
        <v>87</v>
      </c>
      <c r="D3687" s="150">
        <v>0</v>
      </c>
      <c r="E3687" s="151" t="s">
        <v>13</v>
      </c>
      <c r="F3687" s="152" t="str">
        <f t="shared" si="173"/>
        <v/>
      </c>
      <c r="G3687" s="153">
        <f>IF($K3687="Padrão",BDI!$B$17,IF($K3687="Diferenciado",BDI!$E$17,0))</f>
        <v>0.2039</v>
      </c>
      <c r="H3687" s="151" t="str">
        <f t="shared" si="171"/>
        <v/>
      </c>
      <c r="I3687" s="152" t="str">
        <f t="shared" si="172"/>
        <v/>
      </c>
      <c r="J3687" s="154"/>
      <c r="K3687" s="155" t="s">
        <v>2966</v>
      </c>
    </row>
    <row r="3688" spans="1:11" hidden="1" x14ac:dyDescent="0.25">
      <c r="A3688" s="148" t="s">
        <v>8823</v>
      </c>
      <c r="B3688" s="149" t="s">
        <v>8824</v>
      </c>
      <c r="C3688" s="150" t="s">
        <v>87</v>
      </c>
      <c r="D3688" s="150">
        <v>0</v>
      </c>
      <c r="E3688" s="151" t="s">
        <v>13</v>
      </c>
      <c r="F3688" s="152" t="str">
        <f t="shared" si="173"/>
        <v/>
      </c>
      <c r="G3688" s="153">
        <f>IF($K3688="Padrão",BDI!$B$17,IF($K3688="Diferenciado",BDI!$E$17,0))</f>
        <v>0.2039</v>
      </c>
      <c r="H3688" s="151" t="str">
        <f t="shared" si="171"/>
        <v/>
      </c>
      <c r="I3688" s="152" t="str">
        <f t="shared" si="172"/>
        <v/>
      </c>
      <c r="J3688" s="154"/>
      <c r="K3688" s="155" t="s">
        <v>2966</v>
      </c>
    </row>
    <row r="3689" spans="1:11" hidden="1" x14ac:dyDescent="0.25">
      <c r="A3689" s="148" t="s">
        <v>8825</v>
      </c>
      <c r="B3689" s="149" t="s">
        <v>8826</v>
      </c>
      <c r="C3689" s="150" t="s">
        <v>87</v>
      </c>
      <c r="D3689" s="150">
        <v>0</v>
      </c>
      <c r="E3689" s="151" t="s">
        <v>13</v>
      </c>
      <c r="F3689" s="152" t="str">
        <f t="shared" si="173"/>
        <v/>
      </c>
      <c r="G3689" s="153">
        <f>IF($K3689="Padrão",BDI!$B$17,IF($K3689="Diferenciado",BDI!$E$17,0))</f>
        <v>0.2039</v>
      </c>
      <c r="H3689" s="151" t="str">
        <f t="shared" si="171"/>
        <v/>
      </c>
      <c r="I3689" s="152" t="str">
        <f t="shared" si="172"/>
        <v/>
      </c>
      <c r="J3689" s="154"/>
      <c r="K3689" s="155" t="s">
        <v>2966</v>
      </c>
    </row>
    <row r="3690" spans="1:11" hidden="1" x14ac:dyDescent="0.25">
      <c r="A3690" s="148" t="s">
        <v>8827</v>
      </c>
      <c r="B3690" s="149" t="s">
        <v>8828</v>
      </c>
      <c r="C3690" s="150" t="s">
        <v>87</v>
      </c>
      <c r="D3690" s="150">
        <v>0</v>
      </c>
      <c r="E3690" s="151" t="s">
        <v>13</v>
      </c>
      <c r="F3690" s="152" t="str">
        <f t="shared" si="173"/>
        <v/>
      </c>
      <c r="G3690" s="153">
        <f>IF($K3690="Padrão",BDI!$B$17,IF($K3690="Diferenciado",BDI!$E$17,0))</f>
        <v>0.2039</v>
      </c>
      <c r="H3690" s="151" t="str">
        <f t="shared" si="171"/>
        <v/>
      </c>
      <c r="I3690" s="152" t="str">
        <f t="shared" si="172"/>
        <v/>
      </c>
      <c r="J3690" s="154"/>
      <c r="K3690" s="155" t="s">
        <v>2966</v>
      </c>
    </row>
    <row r="3691" spans="1:11" hidden="1" x14ac:dyDescent="0.25">
      <c r="A3691" s="148" t="s">
        <v>8829</v>
      </c>
      <c r="B3691" s="149" t="s">
        <v>8830</v>
      </c>
      <c r="C3691" s="150" t="s">
        <v>87</v>
      </c>
      <c r="D3691" s="150">
        <v>0</v>
      </c>
      <c r="E3691" s="151" t="s">
        <v>13</v>
      </c>
      <c r="F3691" s="152" t="str">
        <f t="shared" si="173"/>
        <v/>
      </c>
      <c r="G3691" s="153">
        <f>IF($K3691="Padrão",BDI!$B$17,IF($K3691="Diferenciado",BDI!$E$17,0))</f>
        <v>0.2039</v>
      </c>
      <c r="H3691" s="151" t="str">
        <f t="shared" si="171"/>
        <v/>
      </c>
      <c r="I3691" s="152" t="str">
        <f t="shared" si="172"/>
        <v/>
      </c>
      <c r="J3691" s="154"/>
      <c r="K3691" s="155" t="s">
        <v>2966</v>
      </c>
    </row>
    <row r="3692" spans="1:11" hidden="1" x14ac:dyDescent="0.25">
      <c r="A3692" s="148" t="s">
        <v>8831</v>
      </c>
      <c r="B3692" s="149" t="s">
        <v>8832</v>
      </c>
      <c r="C3692" s="150" t="s">
        <v>87</v>
      </c>
      <c r="D3692" s="150">
        <v>0</v>
      </c>
      <c r="E3692" s="151" t="s">
        <v>13</v>
      </c>
      <c r="F3692" s="152" t="str">
        <f t="shared" si="173"/>
        <v/>
      </c>
      <c r="G3692" s="153">
        <f>IF($K3692="Padrão",BDI!$B$17,IF($K3692="Diferenciado",BDI!$E$17,0))</f>
        <v>0.2039</v>
      </c>
      <c r="H3692" s="151" t="str">
        <f t="shared" si="171"/>
        <v/>
      </c>
      <c r="I3692" s="152" t="str">
        <f t="shared" si="172"/>
        <v/>
      </c>
      <c r="J3692" s="154"/>
      <c r="K3692" s="155" t="s">
        <v>2966</v>
      </c>
    </row>
    <row r="3693" spans="1:11" hidden="1" x14ac:dyDescent="0.25">
      <c r="A3693" s="148" t="s">
        <v>8833</v>
      </c>
      <c r="B3693" s="149" t="s">
        <v>8834</v>
      </c>
      <c r="C3693" s="150" t="s">
        <v>87</v>
      </c>
      <c r="D3693" s="150">
        <v>0</v>
      </c>
      <c r="E3693" s="151" t="s">
        <v>13</v>
      </c>
      <c r="F3693" s="152" t="str">
        <f t="shared" si="173"/>
        <v/>
      </c>
      <c r="G3693" s="153">
        <f>IF($K3693="Padrão",BDI!$B$17,IF($K3693="Diferenciado",BDI!$E$17,0))</f>
        <v>0.2039</v>
      </c>
      <c r="H3693" s="151" t="str">
        <f t="shared" si="171"/>
        <v/>
      </c>
      <c r="I3693" s="152" t="str">
        <f t="shared" si="172"/>
        <v/>
      </c>
      <c r="J3693" s="154"/>
      <c r="K3693" s="155" t="s">
        <v>2966</v>
      </c>
    </row>
    <row r="3694" spans="1:11" hidden="1" x14ac:dyDescent="0.25">
      <c r="A3694" s="148" t="s">
        <v>8835</v>
      </c>
      <c r="B3694" s="149" t="s">
        <v>8836</v>
      </c>
      <c r="C3694" s="150" t="s">
        <v>87</v>
      </c>
      <c r="D3694" s="150">
        <v>0</v>
      </c>
      <c r="E3694" s="151" t="s">
        <v>13</v>
      </c>
      <c r="F3694" s="152" t="str">
        <f t="shared" si="173"/>
        <v/>
      </c>
      <c r="G3694" s="153">
        <f>IF($K3694="Padrão",BDI!$B$17,IF($K3694="Diferenciado",BDI!$E$17,0))</f>
        <v>0.2039</v>
      </c>
      <c r="H3694" s="151" t="str">
        <f t="shared" si="171"/>
        <v/>
      </c>
      <c r="I3694" s="152" t="str">
        <f t="shared" si="172"/>
        <v/>
      </c>
      <c r="J3694" s="154"/>
      <c r="K3694" s="155" t="s">
        <v>2966</v>
      </c>
    </row>
    <row r="3695" spans="1:11" hidden="1" x14ac:dyDescent="0.25">
      <c r="A3695" s="148" t="s">
        <v>8837</v>
      </c>
      <c r="B3695" s="149" t="s">
        <v>8838</v>
      </c>
      <c r="C3695" s="150" t="s">
        <v>87</v>
      </c>
      <c r="D3695" s="150">
        <v>0</v>
      </c>
      <c r="E3695" s="151" t="s">
        <v>13</v>
      </c>
      <c r="F3695" s="152" t="str">
        <f t="shared" si="173"/>
        <v/>
      </c>
      <c r="G3695" s="153">
        <f>IF($K3695="Padrão",BDI!$B$17,IF($K3695="Diferenciado",BDI!$E$17,0))</f>
        <v>0.2039</v>
      </c>
      <c r="H3695" s="151" t="str">
        <f t="shared" si="171"/>
        <v/>
      </c>
      <c r="I3695" s="152" t="str">
        <f t="shared" si="172"/>
        <v/>
      </c>
      <c r="J3695" s="154"/>
      <c r="K3695" s="155" t="s">
        <v>2966</v>
      </c>
    </row>
    <row r="3696" spans="1:11" hidden="1" x14ac:dyDescent="0.25">
      <c r="A3696" s="148" t="s">
        <v>8839</v>
      </c>
      <c r="B3696" s="149" t="s">
        <v>8840</v>
      </c>
      <c r="C3696" s="150" t="s">
        <v>87</v>
      </c>
      <c r="D3696" s="150">
        <v>0</v>
      </c>
      <c r="E3696" s="151" t="s">
        <v>13</v>
      </c>
      <c r="F3696" s="152" t="str">
        <f t="shared" si="173"/>
        <v/>
      </c>
      <c r="G3696" s="153">
        <f>IF($K3696="Padrão",BDI!$B$17,IF($K3696="Diferenciado",BDI!$E$17,0))</f>
        <v>0.2039</v>
      </c>
      <c r="H3696" s="151" t="str">
        <f t="shared" si="171"/>
        <v/>
      </c>
      <c r="I3696" s="152" t="str">
        <f t="shared" si="172"/>
        <v/>
      </c>
      <c r="J3696" s="154"/>
      <c r="K3696" s="155" t="s">
        <v>2966</v>
      </c>
    </row>
    <row r="3697" spans="1:11" hidden="1" x14ac:dyDescent="0.25">
      <c r="A3697" s="148" t="s">
        <v>8841</v>
      </c>
      <c r="B3697" s="149" t="s">
        <v>8842</v>
      </c>
      <c r="C3697" s="150" t="s">
        <v>87</v>
      </c>
      <c r="D3697" s="150">
        <v>0</v>
      </c>
      <c r="E3697" s="151" t="s">
        <v>13</v>
      </c>
      <c r="F3697" s="152" t="str">
        <f t="shared" si="173"/>
        <v/>
      </c>
      <c r="G3697" s="153">
        <f>IF($K3697="Padrão",BDI!$B$17,IF($K3697="Diferenciado",BDI!$E$17,0))</f>
        <v>0.2039</v>
      </c>
      <c r="H3697" s="151" t="str">
        <f t="shared" si="171"/>
        <v/>
      </c>
      <c r="I3697" s="152" t="str">
        <f t="shared" si="172"/>
        <v/>
      </c>
      <c r="J3697" s="154"/>
      <c r="K3697" s="155" t="s">
        <v>2966</v>
      </c>
    </row>
    <row r="3698" spans="1:11" hidden="1" x14ac:dyDescent="0.25">
      <c r="A3698" s="148" t="s">
        <v>8843</v>
      </c>
      <c r="B3698" s="149" t="s">
        <v>8844</v>
      </c>
      <c r="C3698" s="150" t="s">
        <v>87</v>
      </c>
      <c r="D3698" s="150">
        <v>0</v>
      </c>
      <c r="E3698" s="151" t="s">
        <v>13</v>
      </c>
      <c r="F3698" s="152" t="str">
        <f t="shared" si="173"/>
        <v/>
      </c>
      <c r="G3698" s="153">
        <f>IF($K3698="Padrão",BDI!$B$17,IF($K3698="Diferenciado",BDI!$E$17,0))</f>
        <v>0.2039</v>
      </c>
      <c r="H3698" s="151" t="str">
        <f t="shared" si="171"/>
        <v/>
      </c>
      <c r="I3698" s="152" t="str">
        <f t="shared" si="172"/>
        <v/>
      </c>
      <c r="J3698" s="154"/>
      <c r="K3698" s="155" t="s">
        <v>2966</v>
      </c>
    </row>
    <row r="3699" spans="1:11" hidden="1" x14ac:dyDescent="0.25">
      <c r="A3699" s="148" t="s">
        <v>8845</v>
      </c>
      <c r="B3699" s="149" t="s">
        <v>8846</v>
      </c>
      <c r="C3699" s="150" t="s">
        <v>87</v>
      </c>
      <c r="D3699" s="150">
        <v>0</v>
      </c>
      <c r="E3699" s="151" t="s">
        <v>13</v>
      </c>
      <c r="F3699" s="152" t="str">
        <f t="shared" si="173"/>
        <v/>
      </c>
      <c r="G3699" s="153">
        <f>IF($K3699="Padrão",BDI!$B$17,IF($K3699="Diferenciado",BDI!$E$17,0))</f>
        <v>0.2039</v>
      </c>
      <c r="H3699" s="151" t="str">
        <f t="shared" si="171"/>
        <v/>
      </c>
      <c r="I3699" s="152" t="str">
        <f t="shared" si="172"/>
        <v/>
      </c>
      <c r="J3699" s="154"/>
      <c r="K3699" s="155" t="s">
        <v>2966</v>
      </c>
    </row>
    <row r="3700" spans="1:11" hidden="1" x14ac:dyDescent="0.25">
      <c r="A3700" s="148" t="s">
        <v>8847</v>
      </c>
      <c r="B3700" s="149" t="s">
        <v>8848</v>
      </c>
      <c r="C3700" s="150" t="s">
        <v>87</v>
      </c>
      <c r="D3700" s="150">
        <v>0</v>
      </c>
      <c r="E3700" s="151" t="s">
        <v>13</v>
      </c>
      <c r="F3700" s="152" t="str">
        <f t="shared" si="173"/>
        <v/>
      </c>
      <c r="G3700" s="153">
        <f>IF($K3700="Padrão",BDI!$B$17,IF($K3700="Diferenciado",BDI!$E$17,0))</f>
        <v>0.2039</v>
      </c>
      <c r="H3700" s="151" t="str">
        <f t="shared" si="171"/>
        <v/>
      </c>
      <c r="I3700" s="152" t="str">
        <f t="shared" si="172"/>
        <v/>
      </c>
      <c r="J3700" s="154"/>
      <c r="K3700" s="155" t="s">
        <v>2966</v>
      </c>
    </row>
    <row r="3701" spans="1:11" hidden="1" x14ac:dyDescent="0.25">
      <c r="A3701" s="148" t="s">
        <v>8849</v>
      </c>
      <c r="B3701" s="149" t="s">
        <v>8850</v>
      </c>
      <c r="C3701" s="150" t="s">
        <v>87</v>
      </c>
      <c r="D3701" s="150">
        <v>0</v>
      </c>
      <c r="E3701" s="151" t="s">
        <v>13</v>
      </c>
      <c r="F3701" s="152" t="str">
        <f t="shared" si="173"/>
        <v/>
      </c>
      <c r="G3701" s="153">
        <f>IF($K3701="Padrão",BDI!$B$17,IF($K3701="Diferenciado",BDI!$E$17,0))</f>
        <v>0.2039</v>
      </c>
      <c r="H3701" s="151" t="str">
        <f t="shared" si="171"/>
        <v/>
      </c>
      <c r="I3701" s="152" t="str">
        <f t="shared" si="172"/>
        <v/>
      </c>
      <c r="J3701" s="154"/>
      <c r="K3701" s="155" t="s">
        <v>2966</v>
      </c>
    </row>
    <row r="3702" spans="1:11" hidden="1" x14ac:dyDescent="0.25">
      <c r="A3702" s="148" t="s">
        <v>8851</v>
      </c>
      <c r="B3702" s="149" t="s">
        <v>8852</v>
      </c>
      <c r="C3702" s="150" t="s">
        <v>87</v>
      </c>
      <c r="D3702" s="150">
        <v>0</v>
      </c>
      <c r="E3702" s="151" t="s">
        <v>13</v>
      </c>
      <c r="F3702" s="152" t="str">
        <f t="shared" si="173"/>
        <v/>
      </c>
      <c r="G3702" s="153">
        <f>IF($K3702="Padrão",BDI!$B$17,IF($K3702="Diferenciado",BDI!$E$17,0))</f>
        <v>0.2039</v>
      </c>
      <c r="H3702" s="151" t="str">
        <f t="shared" si="171"/>
        <v/>
      </c>
      <c r="I3702" s="152" t="str">
        <f t="shared" si="172"/>
        <v/>
      </c>
      <c r="J3702" s="154"/>
      <c r="K3702" s="155" t="s">
        <v>2966</v>
      </c>
    </row>
    <row r="3703" spans="1:11" hidden="1" x14ac:dyDescent="0.25">
      <c r="A3703" s="148" t="s">
        <v>8853</v>
      </c>
      <c r="B3703" s="149" t="s">
        <v>8854</v>
      </c>
      <c r="C3703" s="150" t="s">
        <v>87</v>
      </c>
      <c r="D3703" s="150">
        <v>0</v>
      </c>
      <c r="E3703" s="151" t="s">
        <v>13</v>
      </c>
      <c r="F3703" s="152" t="str">
        <f t="shared" si="173"/>
        <v/>
      </c>
      <c r="G3703" s="153">
        <f>IF($K3703="Padrão",BDI!$B$17,IF($K3703="Diferenciado",BDI!$E$17,0))</f>
        <v>0.2039</v>
      </c>
      <c r="H3703" s="151" t="str">
        <f t="shared" si="171"/>
        <v/>
      </c>
      <c r="I3703" s="152" t="str">
        <f t="shared" si="172"/>
        <v/>
      </c>
      <c r="J3703" s="154"/>
      <c r="K3703" s="155" t="s">
        <v>2966</v>
      </c>
    </row>
    <row r="3704" spans="1:11" hidden="1" x14ac:dyDescent="0.25">
      <c r="A3704" s="148" t="s">
        <v>8855</v>
      </c>
      <c r="B3704" s="149" t="s">
        <v>8856</v>
      </c>
      <c r="C3704" s="150" t="s">
        <v>87</v>
      </c>
      <c r="D3704" s="150">
        <v>0</v>
      </c>
      <c r="E3704" s="151" t="s">
        <v>13</v>
      </c>
      <c r="F3704" s="152" t="str">
        <f t="shared" si="173"/>
        <v/>
      </c>
      <c r="G3704" s="153">
        <f>IF($K3704="Padrão",BDI!$B$17,IF($K3704="Diferenciado",BDI!$E$17,0))</f>
        <v>0.2039</v>
      </c>
      <c r="H3704" s="151" t="str">
        <f t="shared" si="171"/>
        <v/>
      </c>
      <c r="I3704" s="152" t="str">
        <f t="shared" si="172"/>
        <v/>
      </c>
      <c r="J3704" s="154"/>
      <c r="K3704" s="155" t="s">
        <v>2966</v>
      </c>
    </row>
    <row r="3705" spans="1:11" hidden="1" x14ac:dyDescent="0.25">
      <c r="A3705" s="148" t="s">
        <v>8857</v>
      </c>
      <c r="B3705" s="149" t="s">
        <v>8858</v>
      </c>
      <c r="C3705" s="150" t="s">
        <v>87</v>
      </c>
      <c r="D3705" s="150">
        <v>0</v>
      </c>
      <c r="E3705" s="151" t="s">
        <v>13</v>
      </c>
      <c r="F3705" s="152" t="str">
        <f t="shared" si="173"/>
        <v/>
      </c>
      <c r="G3705" s="153">
        <f>IF($K3705="Padrão",BDI!$B$17,IF($K3705="Diferenciado",BDI!$E$17,0))</f>
        <v>0.2039</v>
      </c>
      <c r="H3705" s="151" t="str">
        <f t="shared" si="171"/>
        <v/>
      </c>
      <c r="I3705" s="152" t="str">
        <f t="shared" si="172"/>
        <v/>
      </c>
      <c r="J3705" s="154"/>
      <c r="K3705" s="155" t="s">
        <v>2966</v>
      </c>
    </row>
    <row r="3706" spans="1:11" hidden="1" x14ac:dyDescent="0.25">
      <c r="A3706" s="148" t="s">
        <v>8859</v>
      </c>
      <c r="B3706" s="149" t="s">
        <v>8860</v>
      </c>
      <c r="C3706" s="150" t="s">
        <v>87</v>
      </c>
      <c r="D3706" s="150">
        <v>0</v>
      </c>
      <c r="E3706" s="151" t="s">
        <v>13</v>
      </c>
      <c r="F3706" s="152" t="str">
        <f t="shared" si="173"/>
        <v/>
      </c>
      <c r="G3706" s="153">
        <f>IF($K3706="Padrão",BDI!$B$17,IF($K3706="Diferenciado",BDI!$E$17,0))</f>
        <v>0.2039</v>
      </c>
      <c r="H3706" s="151" t="str">
        <f t="shared" si="171"/>
        <v/>
      </c>
      <c r="I3706" s="152" t="str">
        <f t="shared" si="172"/>
        <v/>
      </c>
      <c r="J3706" s="154"/>
      <c r="K3706" s="155" t="s">
        <v>2966</v>
      </c>
    </row>
    <row r="3707" spans="1:11" hidden="1" x14ac:dyDescent="0.25">
      <c r="A3707" s="148" t="s">
        <v>8861</v>
      </c>
      <c r="B3707" s="149" t="s">
        <v>8862</v>
      </c>
      <c r="C3707" s="150" t="s">
        <v>87</v>
      </c>
      <c r="D3707" s="150">
        <v>0</v>
      </c>
      <c r="E3707" s="151" t="s">
        <v>13</v>
      </c>
      <c r="F3707" s="152" t="str">
        <f t="shared" si="173"/>
        <v/>
      </c>
      <c r="G3707" s="153">
        <f>IF($K3707="Padrão",BDI!$B$17,IF($K3707="Diferenciado",BDI!$E$17,0))</f>
        <v>0.2039</v>
      </c>
      <c r="H3707" s="151" t="str">
        <f t="shared" si="171"/>
        <v/>
      </c>
      <c r="I3707" s="152" t="str">
        <f t="shared" si="172"/>
        <v/>
      </c>
      <c r="J3707" s="154"/>
      <c r="K3707" s="155" t="s">
        <v>2966</v>
      </c>
    </row>
    <row r="3708" spans="1:11" ht="25.5" hidden="1" x14ac:dyDescent="0.25">
      <c r="A3708" s="148" t="s">
        <v>8863</v>
      </c>
      <c r="B3708" s="149" t="s">
        <v>8864</v>
      </c>
      <c r="C3708" s="150" t="s">
        <v>87</v>
      </c>
      <c r="D3708" s="150">
        <v>0</v>
      </c>
      <c r="E3708" s="151" t="s">
        <v>13</v>
      </c>
      <c r="F3708" s="152" t="str">
        <f t="shared" si="173"/>
        <v/>
      </c>
      <c r="G3708" s="153">
        <f>IF($K3708="Padrão",BDI!$B$17,IF($K3708="Diferenciado",BDI!$E$17,0))</f>
        <v>0.2039</v>
      </c>
      <c r="H3708" s="151" t="str">
        <f t="shared" si="171"/>
        <v/>
      </c>
      <c r="I3708" s="152" t="str">
        <f t="shared" si="172"/>
        <v/>
      </c>
      <c r="J3708" s="154"/>
      <c r="K3708" s="155" t="s">
        <v>2966</v>
      </c>
    </row>
    <row r="3709" spans="1:11" ht="25.5" hidden="1" x14ac:dyDescent="0.25">
      <c r="A3709" s="148" t="s">
        <v>8865</v>
      </c>
      <c r="B3709" s="149" t="s">
        <v>8866</v>
      </c>
      <c r="C3709" s="150" t="s">
        <v>87</v>
      </c>
      <c r="D3709" s="150">
        <v>0</v>
      </c>
      <c r="E3709" s="151" t="s">
        <v>13</v>
      </c>
      <c r="F3709" s="152" t="str">
        <f t="shared" si="173"/>
        <v/>
      </c>
      <c r="G3709" s="153">
        <f>IF($K3709="Padrão",BDI!$B$17,IF($K3709="Diferenciado",BDI!$E$17,0))</f>
        <v>0.2039</v>
      </c>
      <c r="H3709" s="151" t="str">
        <f t="shared" si="171"/>
        <v/>
      </c>
      <c r="I3709" s="152" t="str">
        <f t="shared" si="172"/>
        <v/>
      </c>
      <c r="J3709" s="154"/>
      <c r="K3709" s="155" t="s">
        <v>2966</v>
      </c>
    </row>
    <row r="3710" spans="1:11" hidden="1" x14ac:dyDescent="0.25">
      <c r="A3710" s="148" t="s">
        <v>8867</v>
      </c>
      <c r="B3710" s="149" t="s">
        <v>8868</v>
      </c>
      <c r="C3710" s="150" t="s">
        <v>87</v>
      </c>
      <c r="D3710" s="150">
        <v>0</v>
      </c>
      <c r="E3710" s="151" t="s">
        <v>13</v>
      </c>
      <c r="F3710" s="152" t="str">
        <f t="shared" si="173"/>
        <v/>
      </c>
      <c r="G3710" s="153">
        <f>IF($K3710="Padrão",BDI!$B$17,IF($K3710="Diferenciado",BDI!$E$17,0))</f>
        <v>0.2039</v>
      </c>
      <c r="H3710" s="151" t="str">
        <f t="shared" si="171"/>
        <v/>
      </c>
      <c r="I3710" s="152" t="str">
        <f t="shared" si="172"/>
        <v/>
      </c>
      <c r="J3710" s="154"/>
      <c r="K3710" s="155" t="s">
        <v>2966</v>
      </c>
    </row>
    <row r="3711" spans="1:11" hidden="1" x14ac:dyDescent="0.25">
      <c r="A3711" s="148" t="s">
        <v>8869</v>
      </c>
      <c r="B3711" s="149" t="s">
        <v>8870</v>
      </c>
      <c r="C3711" s="150" t="s">
        <v>106</v>
      </c>
      <c r="D3711" s="150">
        <v>0</v>
      </c>
      <c r="E3711" s="151" t="s">
        <v>13</v>
      </c>
      <c r="F3711" s="152" t="str">
        <f t="shared" si="173"/>
        <v/>
      </c>
      <c r="G3711" s="153">
        <f>IF($K3711="Padrão",BDI!$B$17,IF($K3711="Diferenciado",BDI!$E$17,0))</f>
        <v>0.2039</v>
      </c>
      <c r="H3711" s="151" t="str">
        <f t="shared" si="171"/>
        <v/>
      </c>
      <c r="I3711" s="152" t="str">
        <f t="shared" si="172"/>
        <v/>
      </c>
      <c r="J3711" s="154"/>
      <c r="K3711" s="155" t="s">
        <v>2966</v>
      </c>
    </row>
    <row r="3712" spans="1:11" ht="25.5" hidden="1" x14ac:dyDescent="0.25">
      <c r="A3712" s="148" t="s">
        <v>8871</v>
      </c>
      <c r="B3712" s="149" t="s">
        <v>8872</v>
      </c>
      <c r="C3712" s="150" t="s">
        <v>87</v>
      </c>
      <c r="D3712" s="150">
        <v>0</v>
      </c>
      <c r="E3712" s="151" t="s">
        <v>13</v>
      </c>
      <c r="F3712" s="152" t="str">
        <f t="shared" si="173"/>
        <v/>
      </c>
      <c r="G3712" s="153">
        <f>IF($K3712="Padrão",BDI!$B$17,IF($K3712="Diferenciado",BDI!$E$17,0))</f>
        <v>0.2039</v>
      </c>
      <c r="H3712" s="151" t="str">
        <f t="shared" si="171"/>
        <v/>
      </c>
      <c r="I3712" s="152" t="str">
        <f t="shared" si="172"/>
        <v/>
      </c>
      <c r="J3712" s="154"/>
      <c r="K3712" s="155" t="s">
        <v>2966</v>
      </c>
    </row>
    <row r="3713" spans="1:11" hidden="1" x14ac:dyDescent="0.25">
      <c r="A3713" s="148" t="s">
        <v>8873</v>
      </c>
      <c r="B3713" s="149" t="s">
        <v>8874</v>
      </c>
      <c r="C3713" s="150" t="s">
        <v>87</v>
      </c>
      <c r="D3713" s="150">
        <v>0</v>
      </c>
      <c r="E3713" s="151" t="s">
        <v>13</v>
      </c>
      <c r="F3713" s="152" t="str">
        <f t="shared" si="173"/>
        <v/>
      </c>
      <c r="G3713" s="153">
        <f>IF($K3713="Padrão",BDI!$B$17,IF($K3713="Diferenciado",BDI!$E$17,0))</f>
        <v>0.2039</v>
      </c>
      <c r="H3713" s="151" t="str">
        <f t="shared" si="171"/>
        <v/>
      </c>
      <c r="I3713" s="152" t="str">
        <f t="shared" si="172"/>
        <v/>
      </c>
      <c r="J3713" s="154"/>
      <c r="K3713" s="155" t="s">
        <v>2966</v>
      </c>
    </row>
    <row r="3714" spans="1:11" hidden="1" x14ac:dyDescent="0.25">
      <c r="A3714" s="148" t="s">
        <v>8875</v>
      </c>
      <c r="B3714" s="149" t="s">
        <v>8876</v>
      </c>
      <c r="C3714" s="150" t="s">
        <v>87</v>
      </c>
      <c r="D3714" s="150">
        <v>0</v>
      </c>
      <c r="E3714" s="151" t="s">
        <v>13</v>
      </c>
      <c r="F3714" s="152" t="str">
        <f t="shared" si="173"/>
        <v/>
      </c>
      <c r="G3714" s="153">
        <f>IF($K3714="Padrão",BDI!$B$17,IF($K3714="Diferenciado",BDI!$E$17,0))</f>
        <v>0.2039</v>
      </c>
      <c r="H3714" s="151" t="str">
        <f t="shared" si="171"/>
        <v/>
      </c>
      <c r="I3714" s="152" t="str">
        <f t="shared" si="172"/>
        <v/>
      </c>
      <c r="J3714" s="154"/>
      <c r="K3714" s="155" t="s">
        <v>2966</v>
      </c>
    </row>
    <row r="3715" spans="1:11" ht="25.5" hidden="1" x14ac:dyDescent="0.25">
      <c r="A3715" s="148" t="s">
        <v>8877</v>
      </c>
      <c r="B3715" s="149" t="s">
        <v>8878</v>
      </c>
      <c r="C3715" s="150" t="s">
        <v>87</v>
      </c>
      <c r="D3715" s="150">
        <v>0</v>
      </c>
      <c r="E3715" s="151" t="s">
        <v>13</v>
      </c>
      <c r="F3715" s="152" t="str">
        <f t="shared" si="173"/>
        <v/>
      </c>
      <c r="G3715" s="153">
        <f>IF($K3715="Padrão",BDI!$B$17,IF($K3715="Diferenciado",BDI!$E$17,0))</f>
        <v>0.2039</v>
      </c>
      <c r="H3715" s="151" t="str">
        <f t="shared" si="171"/>
        <v/>
      </c>
      <c r="I3715" s="152" t="str">
        <f t="shared" si="172"/>
        <v/>
      </c>
      <c r="J3715" s="154"/>
      <c r="K3715" s="155" t="s">
        <v>2966</v>
      </c>
    </row>
    <row r="3716" spans="1:11" ht="25.5" hidden="1" x14ac:dyDescent="0.25">
      <c r="A3716" s="148" t="s">
        <v>8879</v>
      </c>
      <c r="B3716" s="149" t="s">
        <v>8880</v>
      </c>
      <c r="C3716" s="150" t="s">
        <v>87</v>
      </c>
      <c r="D3716" s="150">
        <v>0</v>
      </c>
      <c r="E3716" s="151" t="s">
        <v>13</v>
      </c>
      <c r="F3716" s="152" t="str">
        <f t="shared" si="173"/>
        <v/>
      </c>
      <c r="G3716" s="153">
        <f>IF($K3716="Padrão",BDI!$B$17,IF($K3716="Diferenciado",BDI!$E$17,0))</f>
        <v>0.2039</v>
      </c>
      <c r="H3716" s="151" t="str">
        <f t="shared" si="171"/>
        <v/>
      </c>
      <c r="I3716" s="152" t="str">
        <f t="shared" si="172"/>
        <v/>
      </c>
      <c r="J3716" s="154"/>
      <c r="K3716" s="155" t="s">
        <v>2966</v>
      </c>
    </row>
    <row r="3717" spans="1:11" ht="25.5" hidden="1" x14ac:dyDescent="0.25">
      <c r="A3717" s="148" t="s">
        <v>8881</v>
      </c>
      <c r="B3717" s="149" t="s">
        <v>8882</v>
      </c>
      <c r="C3717" s="150" t="s">
        <v>87</v>
      </c>
      <c r="D3717" s="150">
        <v>0</v>
      </c>
      <c r="E3717" s="151" t="s">
        <v>13</v>
      </c>
      <c r="F3717" s="152" t="str">
        <f t="shared" si="173"/>
        <v/>
      </c>
      <c r="G3717" s="153">
        <f>IF($K3717="Padrão",BDI!$B$17,IF($K3717="Diferenciado",BDI!$E$17,0))</f>
        <v>0.2039</v>
      </c>
      <c r="H3717" s="151" t="str">
        <f t="shared" si="171"/>
        <v/>
      </c>
      <c r="I3717" s="152" t="str">
        <f t="shared" si="172"/>
        <v/>
      </c>
      <c r="J3717" s="154"/>
      <c r="K3717" s="155" t="s">
        <v>2966</v>
      </c>
    </row>
    <row r="3718" spans="1:11" hidden="1" x14ac:dyDescent="0.25">
      <c r="A3718" s="148" t="s">
        <v>8883</v>
      </c>
      <c r="B3718" s="149" t="s">
        <v>8884</v>
      </c>
      <c r="C3718" s="150" t="s">
        <v>87</v>
      </c>
      <c r="D3718" s="150">
        <v>0</v>
      </c>
      <c r="E3718" s="151" t="s">
        <v>13</v>
      </c>
      <c r="F3718" s="152" t="str">
        <f t="shared" si="173"/>
        <v/>
      </c>
      <c r="G3718" s="153">
        <f>IF($K3718="Padrão",BDI!$B$17,IF($K3718="Diferenciado",BDI!$E$17,0))</f>
        <v>0.2039</v>
      </c>
      <c r="H3718" s="151" t="str">
        <f t="shared" ref="H3718:H3781" si="174">IF(ISNUMBER(E3718),ROUND(E3718*(1+G3718),2),"")</f>
        <v/>
      </c>
      <c r="I3718" s="152" t="str">
        <f t="shared" ref="I3718:I3781" si="175">IF(ISNUMBER(E3718),ROUND(H3718*D3718,2),"")</f>
        <v/>
      </c>
      <c r="J3718" s="154"/>
      <c r="K3718" s="155" t="s">
        <v>2966</v>
      </c>
    </row>
    <row r="3719" spans="1:11" ht="25.5" hidden="1" x14ac:dyDescent="0.25">
      <c r="A3719" s="148" t="s">
        <v>8885</v>
      </c>
      <c r="B3719" s="149" t="s">
        <v>8886</v>
      </c>
      <c r="C3719" s="150" t="s">
        <v>87</v>
      </c>
      <c r="D3719" s="150">
        <v>0</v>
      </c>
      <c r="E3719" s="151" t="s">
        <v>13</v>
      </c>
      <c r="F3719" s="152" t="str">
        <f t="shared" ref="F3719:F3782" si="176">IF(ISNUMBER(E3719),D3719*E3719,"")</f>
        <v/>
      </c>
      <c r="G3719" s="153">
        <f>IF($K3719="Padrão",BDI!$B$17,IF($K3719="Diferenciado",BDI!$E$17,0))</f>
        <v>0.2039</v>
      </c>
      <c r="H3719" s="151" t="str">
        <f t="shared" si="174"/>
        <v/>
      </c>
      <c r="I3719" s="152" t="str">
        <f t="shared" si="175"/>
        <v/>
      </c>
      <c r="J3719" s="154"/>
      <c r="K3719" s="155" t="s">
        <v>2966</v>
      </c>
    </row>
    <row r="3720" spans="1:11" hidden="1" x14ac:dyDescent="0.25">
      <c r="A3720" s="148" t="s">
        <v>8887</v>
      </c>
      <c r="B3720" s="149" t="s">
        <v>8888</v>
      </c>
      <c r="C3720" s="150" t="s">
        <v>87</v>
      </c>
      <c r="D3720" s="150">
        <v>0</v>
      </c>
      <c r="E3720" s="151" t="s">
        <v>13</v>
      </c>
      <c r="F3720" s="152" t="str">
        <f t="shared" si="176"/>
        <v/>
      </c>
      <c r="G3720" s="153">
        <f>IF($K3720="Padrão",BDI!$B$17,IF($K3720="Diferenciado",BDI!$E$17,0))</f>
        <v>0.2039</v>
      </c>
      <c r="H3720" s="151" t="str">
        <f t="shared" si="174"/>
        <v/>
      </c>
      <c r="I3720" s="152" t="str">
        <f t="shared" si="175"/>
        <v/>
      </c>
      <c r="J3720" s="154"/>
      <c r="K3720" s="155" t="s">
        <v>2966</v>
      </c>
    </row>
    <row r="3721" spans="1:11" hidden="1" x14ac:dyDescent="0.25">
      <c r="A3721" s="148" t="s">
        <v>8889</v>
      </c>
      <c r="B3721" s="149" t="s">
        <v>8890</v>
      </c>
      <c r="C3721" s="150" t="s">
        <v>87</v>
      </c>
      <c r="D3721" s="150">
        <v>0</v>
      </c>
      <c r="E3721" s="151" t="s">
        <v>13</v>
      </c>
      <c r="F3721" s="152" t="str">
        <f t="shared" si="176"/>
        <v/>
      </c>
      <c r="G3721" s="153">
        <f>IF($K3721="Padrão",BDI!$B$17,IF($K3721="Diferenciado",BDI!$E$17,0))</f>
        <v>0.2039</v>
      </c>
      <c r="H3721" s="151" t="str">
        <f t="shared" si="174"/>
        <v/>
      </c>
      <c r="I3721" s="152" t="str">
        <f t="shared" si="175"/>
        <v/>
      </c>
      <c r="J3721" s="154"/>
      <c r="K3721" s="155" t="s">
        <v>2966</v>
      </c>
    </row>
    <row r="3722" spans="1:11" hidden="1" x14ac:dyDescent="0.25">
      <c r="A3722" s="148" t="s">
        <v>8891</v>
      </c>
      <c r="B3722" s="149" t="s">
        <v>8892</v>
      </c>
      <c r="C3722" s="150" t="s">
        <v>87</v>
      </c>
      <c r="D3722" s="150">
        <v>0</v>
      </c>
      <c r="E3722" s="151" t="s">
        <v>13</v>
      </c>
      <c r="F3722" s="152" t="str">
        <f t="shared" si="176"/>
        <v/>
      </c>
      <c r="G3722" s="153">
        <f>IF($K3722="Padrão",BDI!$B$17,IF($K3722="Diferenciado",BDI!$E$17,0))</f>
        <v>0.2039</v>
      </c>
      <c r="H3722" s="151" t="str">
        <f t="shared" si="174"/>
        <v/>
      </c>
      <c r="I3722" s="152" t="str">
        <f t="shared" si="175"/>
        <v/>
      </c>
      <c r="J3722" s="154"/>
      <c r="K3722" s="155" t="s">
        <v>2966</v>
      </c>
    </row>
    <row r="3723" spans="1:11" hidden="1" x14ac:dyDescent="0.25">
      <c r="A3723" s="148" t="s">
        <v>8893</v>
      </c>
      <c r="B3723" s="149" t="s">
        <v>8894</v>
      </c>
      <c r="C3723" s="150" t="s">
        <v>87</v>
      </c>
      <c r="D3723" s="150">
        <v>0</v>
      </c>
      <c r="E3723" s="151" t="s">
        <v>13</v>
      </c>
      <c r="F3723" s="152" t="str">
        <f t="shared" si="176"/>
        <v/>
      </c>
      <c r="G3723" s="153">
        <f>IF($K3723="Padrão",BDI!$B$17,IF($K3723="Diferenciado",BDI!$E$17,0))</f>
        <v>0.2039</v>
      </c>
      <c r="H3723" s="151" t="str">
        <f t="shared" si="174"/>
        <v/>
      </c>
      <c r="I3723" s="152" t="str">
        <f t="shared" si="175"/>
        <v/>
      </c>
      <c r="J3723" s="154"/>
      <c r="K3723" s="155" t="s">
        <v>2966</v>
      </c>
    </row>
    <row r="3724" spans="1:11" hidden="1" x14ac:dyDescent="0.25">
      <c r="A3724" s="148" t="s">
        <v>8895</v>
      </c>
      <c r="B3724" s="149" t="s">
        <v>8896</v>
      </c>
      <c r="C3724" s="150" t="s">
        <v>87</v>
      </c>
      <c r="D3724" s="150">
        <v>0</v>
      </c>
      <c r="E3724" s="151" t="s">
        <v>13</v>
      </c>
      <c r="F3724" s="152" t="str">
        <f t="shared" si="176"/>
        <v/>
      </c>
      <c r="G3724" s="153">
        <f>IF($K3724="Padrão",BDI!$B$17,IF($K3724="Diferenciado",BDI!$E$17,0))</f>
        <v>0.2039</v>
      </c>
      <c r="H3724" s="151" t="str">
        <f t="shared" si="174"/>
        <v/>
      </c>
      <c r="I3724" s="152" t="str">
        <f t="shared" si="175"/>
        <v/>
      </c>
      <c r="J3724" s="154"/>
      <c r="K3724" s="155" t="s">
        <v>2966</v>
      </c>
    </row>
    <row r="3725" spans="1:11" hidden="1" x14ac:dyDescent="0.25">
      <c r="A3725" s="148" t="s">
        <v>8897</v>
      </c>
      <c r="B3725" s="149" t="s">
        <v>8898</v>
      </c>
      <c r="C3725" s="150" t="s">
        <v>87</v>
      </c>
      <c r="D3725" s="150">
        <v>0</v>
      </c>
      <c r="E3725" s="151" t="s">
        <v>13</v>
      </c>
      <c r="F3725" s="152" t="str">
        <f t="shared" si="176"/>
        <v/>
      </c>
      <c r="G3725" s="153">
        <f>IF($K3725="Padrão",BDI!$B$17,IF($K3725="Diferenciado",BDI!$E$17,0))</f>
        <v>0.2039</v>
      </c>
      <c r="H3725" s="151" t="str">
        <f t="shared" si="174"/>
        <v/>
      </c>
      <c r="I3725" s="152" t="str">
        <f t="shared" si="175"/>
        <v/>
      </c>
      <c r="J3725" s="154"/>
      <c r="K3725" s="155" t="s">
        <v>2966</v>
      </c>
    </row>
    <row r="3726" spans="1:11" hidden="1" x14ac:dyDescent="0.25">
      <c r="A3726" s="148" t="s">
        <v>2160</v>
      </c>
      <c r="B3726" s="149" t="s">
        <v>8899</v>
      </c>
      <c r="C3726" s="150" t="s">
        <v>106</v>
      </c>
      <c r="D3726" s="150">
        <v>0</v>
      </c>
      <c r="E3726" s="151">
        <f ca="1">OFFSET(INDEX(Composições!A:H,MATCH(Orçamentária!A3726,Composições!A:A,0),8),2,0)</f>
        <v>294.41445249999992</v>
      </c>
      <c r="F3726" s="152">
        <f t="shared" ca="1" si="176"/>
        <v>0</v>
      </c>
      <c r="G3726" s="153">
        <f>IF($K3726="Padrão",BDI!$B$17,IF($K3726="Diferenciado",BDI!$E$17,0))</f>
        <v>0.2039</v>
      </c>
      <c r="H3726" s="151">
        <f t="shared" ca="1" si="174"/>
        <v>354.45</v>
      </c>
      <c r="I3726" s="152">
        <f t="shared" ca="1" si="175"/>
        <v>0</v>
      </c>
      <c r="J3726" s="154"/>
      <c r="K3726" s="155" t="s">
        <v>2966</v>
      </c>
    </row>
    <row r="3727" spans="1:11" hidden="1" x14ac:dyDescent="0.25">
      <c r="A3727" s="148" t="s">
        <v>8900</v>
      </c>
      <c r="B3727" s="149" t="s">
        <v>8901</v>
      </c>
      <c r="C3727" s="150" t="s">
        <v>87</v>
      </c>
      <c r="D3727" s="150">
        <v>0</v>
      </c>
      <c r="E3727" s="151" t="s">
        <v>13</v>
      </c>
      <c r="F3727" s="152" t="str">
        <f t="shared" si="176"/>
        <v/>
      </c>
      <c r="G3727" s="153">
        <f>IF($K3727="Padrão",BDI!$B$17,IF($K3727="Diferenciado",BDI!$E$17,0))</f>
        <v>0.2039</v>
      </c>
      <c r="H3727" s="151" t="str">
        <f t="shared" si="174"/>
        <v/>
      </c>
      <c r="I3727" s="152" t="str">
        <f t="shared" si="175"/>
        <v/>
      </c>
      <c r="J3727" s="154"/>
      <c r="K3727" s="155" t="s">
        <v>2966</v>
      </c>
    </row>
    <row r="3728" spans="1:11" hidden="1" x14ac:dyDescent="0.25">
      <c r="A3728" s="148" t="s">
        <v>8902</v>
      </c>
      <c r="B3728" s="149" t="s">
        <v>8903</v>
      </c>
      <c r="C3728" s="150" t="s">
        <v>87</v>
      </c>
      <c r="D3728" s="150">
        <v>0</v>
      </c>
      <c r="E3728" s="151" t="s">
        <v>13</v>
      </c>
      <c r="F3728" s="152" t="str">
        <f t="shared" si="176"/>
        <v/>
      </c>
      <c r="G3728" s="153">
        <f>IF($K3728="Padrão",BDI!$B$17,IF($K3728="Diferenciado",BDI!$E$17,0))</f>
        <v>0.2039</v>
      </c>
      <c r="H3728" s="151" t="str">
        <f t="shared" si="174"/>
        <v/>
      </c>
      <c r="I3728" s="152" t="str">
        <f t="shared" si="175"/>
        <v/>
      </c>
      <c r="J3728" s="154"/>
      <c r="K3728" s="155" t="s">
        <v>2966</v>
      </c>
    </row>
    <row r="3729" spans="1:11" hidden="1" x14ac:dyDescent="0.25">
      <c r="A3729" s="148" t="s">
        <v>8904</v>
      </c>
      <c r="B3729" s="149" t="s">
        <v>8905</v>
      </c>
      <c r="C3729" s="150" t="s">
        <v>87</v>
      </c>
      <c r="D3729" s="150">
        <v>0</v>
      </c>
      <c r="E3729" s="151" t="s">
        <v>13</v>
      </c>
      <c r="F3729" s="152" t="str">
        <f t="shared" si="176"/>
        <v/>
      </c>
      <c r="G3729" s="153">
        <f>IF($K3729="Padrão",BDI!$B$17,IF($K3729="Diferenciado",BDI!$E$17,0))</f>
        <v>0.2039</v>
      </c>
      <c r="H3729" s="151" t="str">
        <f t="shared" si="174"/>
        <v/>
      </c>
      <c r="I3729" s="152" t="str">
        <f t="shared" si="175"/>
        <v/>
      </c>
      <c r="J3729" s="154"/>
      <c r="K3729" s="155" t="s">
        <v>2966</v>
      </c>
    </row>
    <row r="3730" spans="1:11" hidden="1" x14ac:dyDescent="0.25">
      <c r="A3730" s="148" t="s">
        <v>8906</v>
      </c>
      <c r="B3730" s="149" t="s">
        <v>8907</v>
      </c>
      <c r="C3730" s="150" t="s">
        <v>87</v>
      </c>
      <c r="D3730" s="150">
        <v>0</v>
      </c>
      <c r="E3730" s="151" t="s">
        <v>13</v>
      </c>
      <c r="F3730" s="152" t="str">
        <f t="shared" si="176"/>
        <v/>
      </c>
      <c r="G3730" s="153">
        <f>IF($K3730="Padrão",BDI!$B$17,IF($K3730="Diferenciado",BDI!$E$17,0))</f>
        <v>0.2039</v>
      </c>
      <c r="H3730" s="151" t="str">
        <f t="shared" si="174"/>
        <v/>
      </c>
      <c r="I3730" s="152" t="str">
        <f t="shared" si="175"/>
        <v/>
      </c>
      <c r="J3730" s="154"/>
      <c r="K3730" s="155" t="s">
        <v>2966</v>
      </c>
    </row>
    <row r="3731" spans="1:11" hidden="1" x14ac:dyDescent="0.25">
      <c r="A3731" s="148" t="s">
        <v>8908</v>
      </c>
      <c r="B3731" s="149" t="s">
        <v>8909</v>
      </c>
      <c r="C3731" s="150" t="s">
        <v>87</v>
      </c>
      <c r="D3731" s="150">
        <v>0</v>
      </c>
      <c r="E3731" s="151" t="s">
        <v>13</v>
      </c>
      <c r="F3731" s="152" t="str">
        <f t="shared" si="176"/>
        <v/>
      </c>
      <c r="G3731" s="153">
        <f>IF($K3731="Padrão",BDI!$B$17,IF($K3731="Diferenciado",BDI!$E$17,0))</f>
        <v>0.2039</v>
      </c>
      <c r="H3731" s="151" t="str">
        <f t="shared" si="174"/>
        <v/>
      </c>
      <c r="I3731" s="152" t="str">
        <f t="shared" si="175"/>
        <v/>
      </c>
      <c r="J3731" s="154"/>
      <c r="K3731" s="155" t="s">
        <v>2966</v>
      </c>
    </row>
    <row r="3732" spans="1:11" hidden="1" x14ac:dyDescent="0.25">
      <c r="A3732" s="148" t="s">
        <v>8910</v>
      </c>
      <c r="B3732" s="149" t="s">
        <v>8911</v>
      </c>
      <c r="C3732" s="150" t="s">
        <v>87</v>
      </c>
      <c r="D3732" s="150">
        <v>0</v>
      </c>
      <c r="E3732" s="151" t="s">
        <v>13</v>
      </c>
      <c r="F3732" s="152" t="str">
        <f t="shared" si="176"/>
        <v/>
      </c>
      <c r="G3732" s="153">
        <f>IF($K3732="Padrão",BDI!$B$17,IF($K3732="Diferenciado",BDI!$E$17,0))</f>
        <v>0.2039</v>
      </c>
      <c r="H3732" s="151" t="str">
        <f t="shared" si="174"/>
        <v/>
      </c>
      <c r="I3732" s="152" t="str">
        <f t="shared" si="175"/>
        <v/>
      </c>
      <c r="J3732" s="154"/>
      <c r="K3732" s="155" t="s">
        <v>2966</v>
      </c>
    </row>
    <row r="3733" spans="1:11" ht="25.5" hidden="1" x14ac:dyDescent="0.25">
      <c r="A3733" s="148" t="s">
        <v>8912</v>
      </c>
      <c r="B3733" s="149" t="s">
        <v>8913</v>
      </c>
      <c r="C3733" s="150" t="s">
        <v>87</v>
      </c>
      <c r="D3733" s="150">
        <v>0</v>
      </c>
      <c r="E3733" s="151" t="s">
        <v>13</v>
      </c>
      <c r="F3733" s="152" t="str">
        <f t="shared" si="176"/>
        <v/>
      </c>
      <c r="G3733" s="153">
        <f>IF($K3733="Padrão",BDI!$B$17,IF($K3733="Diferenciado",BDI!$E$17,0))</f>
        <v>0.2039</v>
      </c>
      <c r="H3733" s="151" t="str">
        <f t="shared" si="174"/>
        <v/>
      </c>
      <c r="I3733" s="152" t="str">
        <f t="shared" si="175"/>
        <v/>
      </c>
      <c r="J3733" s="154"/>
      <c r="K3733" s="155" t="s">
        <v>2966</v>
      </c>
    </row>
    <row r="3734" spans="1:11" hidden="1" x14ac:dyDescent="0.25">
      <c r="A3734" s="148" t="s">
        <v>8914</v>
      </c>
      <c r="B3734" s="149" t="s">
        <v>8915</v>
      </c>
      <c r="C3734" s="150" t="s">
        <v>87</v>
      </c>
      <c r="D3734" s="150">
        <v>0</v>
      </c>
      <c r="E3734" s="151" t="s">
        <v>13</v>
      </c>
      <c r="F3734" s="152" t="str">
        <f t="shared" si="176"/>
        <v/>
      </c>
      <c r="G3734" s="153">
        <f>IF($K3734="Padrão",BDI!$B$17,IF($K3734="Diferenciado",BDI!$E$17,0))</f>
        <v>0.2039</v>
      </c>
      <c r="H3734" s="151" t="str">
        <f t="shared" si="174"/>
        <v/>
      </c>
      <c r="I3734" s="152" t="str">
        <f t="shared" si="175"/>
        <v/>
      </c>
      <c r="J3734" s="154"/>
      <c r="K3734" s="155" t="s">
        <v>2966</v>
      </c>
    </row>
    <row r="3735" spans="1:11" hidden="1" x14ac:dyDescent="0.25">
      <c r="A3735" s="148" t="s">
        <v>8916</v>
      </c>
      <c r="B3735" s="149" t="s">
        <v>8917</v>
      </c>
      <c r="C3735" s="150" t="s">
        <v>87</v>
      </c>
      <c r="D3735" s="150">
        <v>0</v>
      </c>
      <c r="E3735" s="151" t="s">
        <v>13</v>
      </c>
      <c r="F3735" s="152" t="str">
        <f t="shared" si="176"/>
        <v/>
      </c>
      <c r="G3735" s="153">
        <f>IF($K3735="Padrão",BDI!$B$17,IF($K3735="Diferenciado",BDI!$E$17,0))</f>
        <v>0.2039</v>
      </c>
      <c r="H3735" s="151" t="str">
        <f t="shared" si="174"/>
        <v/>
      </c>
      <c r="I3735" s="152" t="str">
        <f t="shared" si="175"/>
        <v/>
      </c>
      <c r="J3735" s="154"/>
      <c r="K3735" s="155" t="s">
        <v>2966</v>
      </c>
    </row>
    <row r="3736" spans="1:11" hidden="1" x14ac:dyDescent="0.25">
      <c r="A3736" s="148" t="s">
        <v>8918</v>
      </c>
      <c r="B3736" s="149" t="s">
        <v>8919</v>
      </c>
      <c r="C3736" s="150" t="s">
        <v>87</v>
      </c>
      <c r="D3736" s="150">
        <v>0</v>
      </c>
      <c r="E3736" s="151" t="s">
        <v>13</v>
      </c>
      <c r="F3736" s="152" t="str">
        <f t="shared" si="176"/>
        <v/>
      </c>
      <c r="G3736" s="153">
        <f>IF($K3736="Padrão",BDI!$B$17,IF($K3736="Diferenciado",BDI!$E$17,0))</f>
        <v>0.2039</v>
      </c>
      <c r="H3736" s="151" t="str">
        <f t="shared" si="174"/>
        <v/>
      </c>
      <c r="I3736" s="152" t="str">
        <f t="shared" si="175"/>
        <v/>
      </c>
      <c r="J3736" s="154"/>
      <c r="K3736" s="155" t="s">
        <v>2966</v>
      </c>
    </row>
    <row r="3737" spans="1:11" hidden="1" x14ac:dyDescent="0.25">
      <c r="A3737" s="148" t="s">
        <v>8920</v>
      </c>
      <c r="B3737" s="149" t="s">
        <v>8921</v>
      </c>
      <c r="C3737" s="150" t="s">
        <v>87</v>
      </c>
      <c r="D3737" s="150">
        <v>0</v>
      </c>
      <c r="E3737" s="151" t="s">
        <v>13</v>
      </c>
      <c r="F3737" s="152" t="str">
        <f t="shared" si="176"/>
        <v/>
      </c>
      <c r="G3737" s="153">
        <f>IF($K3737="Padrão",BDI!$B$17,IF($K3737="Diferenciado",BDI!$E$17,0))</f>
        <v>0.2039</v>
      </c>
      <c r="H3737" s="151" t="str">
        <f t="shared" si="174"/>
        <v/>
      </c>
      <c r="I3737" s="152" t="str">
        <f t="shared" si="175"/>
        <v/>
      </c>
      <c r="J3737" s="154"/>
      <c r="K3737" s="155" t="s">
        <v>2966</v>
      </c>
    </row>
    <row r="3738" spans="1:11" hidden="1" x14ac:dyDescent="0.25">
      <c r="A3738" s="148" t="s">
        <v>8922</v>
      </c>
      <c r="B3738" s="149" t="s">
        <v>8923</v>
      </c>
      <c r="C3738" s="150" t="s">
        <v>87</v>
      </c>
      <c r="D3738" s="150">
        <v>0</v>
      </c>
      <c r="E3738" s="151" t="s">
        <v>13</v>
      </c>
      <c r="F3738" s="152" t="str">
        <f t="shared" si="176"/>
        <v/>
      </c>
      <c r="G3738" s="153">
        <f>IF($K3738="Padrão",BDI!$B$17,IF($K3738="Diferenciado",BDI!$E$17,0))</f>
        <v>0.2039</v>
      </c>
      <c r="H3738" s="151" t="str">
        <f t="shared" si="174"/>
        <v/>
      </c>
      <c r="I3738" s="152" t="str">
        <f t="shared" si="175"/>
        <v/>
      </c>
      <c r="J3738" s="154"/>
      <c r="K3738" s="155" t="s">
        <v>2966</v>
      </c>
    </row>
    <row r="3739" spans="1:11" hidden="1" x14ac:dyDescent="0.25">
      <c r="A3739" s="148" t="s">
        <v>8924</v>
      </c>
      <c r="B3739" s="149" t="s">
        <v>8925</v>
      </c>
      <c r="C3739" s="150" t="s">
        <v>87</v>
      </c>
      <c r="D3739" s="150">
        <v>0</v>
      </c>
      <c r="E3739" s="151" t="s">
        <v>13</v>
      </c>
      <c r="F3739" s="152" t="str">
        <f t="shared" si="176"/>
        <v/>
      </c>
      <c r="G3739" s="153">
        <f>IF($K3739="Padrão",BDI!$B$17,IF($K3739="Diferenciado",BDI!$E$17,0))</f>
        <v>0.2039</v>
      </c>
      <c r="H3739" s="151" t="str">
        <f t="shared" si="174"/>
        <v/>
      </c>
      <c r="I3739" s="152" t="str">
        <f t="shared" si="175"/>
        <v/>
      </c>
      <c r="J3739" s="154"/>
      <c r="K3739" s="155" t="s">
        <v>2966</v>
      </c>
    </row>
    <row r="3740" spans="1:11" hidden="1" x14ac:dyDescent="0.25">
      <c r="A3740" s="148" t="s">
        <v>8926</v>
      </c>
      <c r="B3740" s="149" t="s">
        <v>8927</v>
      </c>
      <c r="C3740" s="150" t="s">
        <v>87</v>
      </c>
      <c r="D3740" s="150">
        <v>0</v>
      </c>
      <c r="E3740" s="151" t="s">
        <v>13</v>
      </c>
      <c r="F3740" s="152" t="str">
        <f t="shared" si="176"/>
        <v/>
      </c>
      <c r="G3740" s="153">
        <f>IF($K3740="Padrão",BDI!$B$17,IF($K3740="Diferenciado",BDI!$E$17,0))</f>
        <v>0.2039</v>
      </c>
      <c r="H3740" s="151" t="str">
        <f t="shared" si="174"/>
        <v/>
      </c>
      <c r="I3740" s="152" t="str">
        <f t="shared" si="175"/>
        <v/>
      </c>
      <c r="J3740" s="154"/>
      <c r="K3740" s="155" t="s">
        <v>2966</v>
      </c>
    </row>
    <row r="3741" spans="1:11" hidden="1" x14ac:dyDescent="0.25">
      <c r="A3741" s="148" t="s">
        <v>8928</v>
      </c>
      <c r="B3741" s="149" t="s">
        <v>8929</v>
      </c>
      <c r="C3741" s="150" t="s">
        <v>87</v>
      </c>
      <c r="D3741" s="150">
        <v>0</v>
      </c>
      <c r="E3741" s="151" t="s">
        <v>13</v>
      </c>
      <c r="F3741" s="152" t="str">
        <f t="shared" si="176"/>
        <v/>
      </c>
      <c r="G3741" s="153">
        <f>IF($K3741="Padrão",BDI!$B$17,IF($K3741="Diferenciado",BDI!$E$17,0))</f>
        <v>0.2039</v>
      </c>
      <c r="H3741" s="151" t="str">
        <f t="shared" si="174"/>
        <v/>
      </c>
      <c r="I3741" s="152" t="str">
        <f t="shared" si="175"/>
        <v/>
      </c>
      <c r="J3741" s="154"/>
      <c r="K3741" s="155" t="s">
        <v>2966</v>
      </c>
    </row>
    <row r="3742" spans="1:11" hidden="1" x14ac:dyDescent="0.25">
      <c r="A3742" s="148" t="s">
        <v>8930</v>
      </c>
      <c r="B3742" s="149" t="s">
        <v>8931</v>
      </c>
      <c r="C3742" s="150" t="s">
        <v>87</v>
      </c>
      <c r="D3742" s="150">
        <v>0</v>
      </c>
      <c r="E3742" s="151" t="s">
        <v>13</v>
      </c>
      <c r="F3742" s="152" t="str">
        <f t="shared" si="176"/>
        <v/>
      </c>
      <c r="G3742" s="153">
        <f>IF($K3742="Padrão",BDI!$B$17,IF($K3742="Diferenciado",BDI!$E$17,0))</f>
        <v>0.2039</v>
      </c>
      <c r="H3742" s="151" t="str">
        <f t="shared" si="174"/>
        <v/>
      </c>
      <c r="I3742" s="152" t="str">
        <f t="shared" si="175"/>
        <v/>
      </c>
      <c r="J3742" s="154"/>
      <c r="K3742" s="155" t="s">
        <v>2966</v>
      </c>
    </row>
    <row r="3743" spans="1:11" ht="25.5" hidden="1" x14ac:dyDescent="0.25">
      <c r="A3743" s="148" t="s">
        <v>8932</v>
      </c>
      <c r="B3743" s="149" t="s">
        <v>8933</v>
      </c>
      <c r="C3743" s="150" t="s">
        <v>87</v>
      </c>
      <c r="D3743" s="150">
        <v>0</v>
      </c>
      <c r="E3743" s="151" t="s">
        <v>13</v>
      </c>
      <c r="F3743" s="152" t="str">
        <f t="shared" si="176"/>
        <v/>
      </c>
      <c r="G3743" s="153">
        <f>IF($K3743="Padrão",BDI!$B$17,IF($K3743="Diferenciado",BDI!$E$17,0))</f>
        <v>0.2039</v>
      </c>
      <c r="H3743" s="151" t="str">
        <f t="shared" si="174"/>
        <v/>
      </c>
      <c r="I3743" s="152" t="str">
        <f t="shared" si="175"/>
        <v/>
      </c>
      <c r="J3743" s="154"/>
      <c r="K3743" s="155" t="s">
        <v>2966</v>
      </c>
    </row>
    <row r="3744" spans="1:11" ht="25.5" hidden="1" x14ac:dyDescent="0.25">
      <c r="A3744" s="148" t="s">
        <v>8934</v>
      </c>
      <c r="B3744" s="149" t="s">
        <v>8935</v>
      </c>
      <c r="C3744" s="150" t="s">
        <v>87</v>
      </c>
      <c r="D3744" s="150">
        <v>0</v>
      </c>
      <c r="E3744" s="151" t="s">
        <v>13</v>
      </c>
      <c r="F3744" s="152" t="str">
        <f t="shared" si="176"/>
        <v/>
      </c>
      <c r="G3744" s="153">
        <f>IF($K3744="Padrão",BDI!$B$17,IF($K3744="Diferenciado",BDI!$E$17,0))</f>
        <v>0.2039</v>
      </c>
      <c r="H3744" s="151" t="str">
        <f t="shared" si="174"/>
        <v/>
      </c>
      <c r="I3744" s="152" t="str">
        <f t="shared" si="175"/>
        <v/>
      </c>
      <c r="J3744" s="154"/>
      <c r="K3744" s="155" t="s">
        <v>2966</v>
      </c>
    </row>
    <row r="3745" spans="1:11" hidden="1" x14ac:dyDescent="0.25">
      <c r="A3745" s="148" t="s">
        <v>8936</v>
      </c>
      <c r="B3745" s="149" t="s">
        <v>8937</v>
      </c>
      <c r="C3745" s="150" t="s">
        <v>87</v>
      </c>
      <c r="D3745" s="150">
        <v>0</v>
      </c>
      <c r="E3745" s="151" t="s">
        <v>13</v>
      </c>
      <c r="F3745" s="152" t="str">
        <f t="shared" si="176"/>
        <v/>
      </c>
      <c r="G3745" s="153">
        <f>IF($K3745="Padrão",BDI!$B$17,IF($K3745="Diferenciado",BDI!$E$17,0))</f>
        <v>0.2039</v>
      </c>
      <c r="H3745" s="151" t="str">
        <f t="shared" si="174"/>
        <v/>
      </c>
      <c r="I3745" s="152" t="str">
        <f t="shared" si="175"/>
        <v/>
      </c>
      <c r="J3745" s="154"/>
      <c r="K3745" s="155" t="s">
        <v>2966</v>
      </c>
    </row>
    <row r="3746" spans="1:11" hidden="1" x14ac:dyDescent="0.25">
      <c r="A3746" s="148" t="s">
        <v>8938</v>
      </c>
      <c r="B3746" s="149" t="s">
        <v>8939</v>
      </c>
      <c r="C3746" s="150" t="s">
        <v>87</v>
      </c>
      <c r="D3746" s="150">
        <v>0</v>
      </c>
      <c r="E3746" s="151" t="s">
        <v>13</v>
      </c>
      <c r="F3746" s="152" t="str">
        <f t="shared" si="176"/>
        <v/>
      </c>
      <c r="G3746" s="153">
        <f>IF($K3746="Padrão",BDI!$B$17,IF($K3746="Diferenciado",BDI!$E$17,0))</f>
        <v>0.2039</v>
      </c>
      <c r="H3746" s="151" t="str">
        <f t="shared" si="174"/>
        <v/>
      </c>
      <c r="I3746" s="152" t="str">
        <f t="shared" si="175"/>
        <v/>
      </c>
      <c r="J3746" s="154"/>
      <c r="K3746" s="155" t="s">
        <v>2966</v>
      </c>
    </row>
    <row r="3747" spans="1:11" hidden="1" x14ac:dyDescent="0.25">
      <c r="A3747" s="148" t="s">
        <v>8940</v>
      </c>
      <c r="B3747" s="149" t="s">
        <v>8941</v>
      </c>
      <c r="C3747" s="150" t="s">
        <v>87</v>
      </c>
      <c r="D3747" s="150">
        <v>0</v>
      </c>
      <c r="E3747" s="151" t="s">
        <v>13</v>
      </c>
      <c r="F3747" s="152" t="str">
        <f t="shared" si="176"/>
        <v/>
      </c>
      <c r="G3747" s="153">
        <f>IF($K3747="Padrão",BDI!$B$17,IF($K3747="Diferenciado",BDI!$E$17,0))</f>
        <v>0.2039</v>
      </c>
      <c r="H3747" s="151" t="str">
        <f t="shared" si="174"/>
        <v/>
      </c>
      <c r="I3747" s="152" t="str">
        <f t="shared" si="175"/>
        <v/>
      </c>
      <c r="J3747" s="154"/>
      <c r="K3747" s="155" t="s">
        <v>2966</v>
      </c>
    </row>
    <row r="3748" spans="1:11" hidden="1" x14ac:dyDescent="0.25">
      <c r="A3748" s="148" t="s">
        <v>8942</v>
      </c>
      <c r="B3748" s="149" t="s">
        <v>8943</v>
      </c>
      <c r="C3748" s="150" t="s">
        <v>87</v>
      </c>
      <c r="D3748" s="150">
        <v>0</v>
      </c>
      <c r="E3748" s="151" t="s">
        <v>13</v>
      </c>
      <c r="F3748" s="152" t="str">
        <f t="shared" si="176"/>
        <v/>
      </c>
      <c r="G3748" s="153">
        <f>IF($K3748="Padrão",BDI!$B$17,IF($K3748="Diferenciado",BDI!$E$17,0))</f>
        <v>0.2039</v>
      </c>
      <c r="H3748" s="151" t="str">
        <f t="shared" si="174"/>
        <v/>
      </c>
      <c r="I3748" s="152" t="str">
        <f t="shared" si="175"/>
        <v/>
      </c>
      <c r="J3748" s="154"/>
      <c r="K3748" s="155" t="s">
        <v>2966</v>
      </c>
    </row>
    <row r="3749" spans="1:11" hidden="1" x14ac:dyDescent="0.25">
      <c r="A3749" s="148" t="s">
        <v>8944</v>
      </c>
      <c r="B3749" s="149" t="s">
        <v>8945</v>
      </c>
      <c r="C3749" s="150" t="s">
        <v>87</v>
      </c>
      <c r="D3749" s="150">
        <v>0</v>
      </c>
      <c r="E3749" s="151" t="s">
        <v>13</v>
      </c>
      <c r="F3749" s="152" t="str">
        <f t="shared" si="176"/>
        <v/>
      </c>
      <c r="G3749" s="153">
        <f>IF($K3749="Padrão",BDI!$B$17,IF($K3749="Diferenciado",BDI!$E$17,0))</f>
        <v>0.2039</v>
      </c>
      <c r="H3749" s="151" t="str">
        <f t="shared" si="174"/>
        <v/>
      </c>
      <c r="I3749" s="152" t="str">
        <f t="shared" si="175"/>
        <v/>
      </c>
      <c r="J3749" s="154"/>
      <c r="K3749" s="155" t="s">
        <v>2966</v>
      </c>
    </row>
    <row r="3750" spans="1:11" hidden="1" x14ac:dyDescent="0.25">
      <c r="A3750" s="148" t="s">
        <v>8946</v>
      </c>
      <c r="B3750" s="149" t="s">
        <v>8947</v>
      </c>
      <c r="C3750" s="150" t="s">
        <v>87</v>
      </c>
      <c r="D3750" s="150">
        <v>0</v>
      </c>
      <c r="E3750" s="151" t="s">
        <v>13</v>
      </c>
      <c r="F3750" s="152" t="str">
        <f t="shared" si="176"/>
        <v/>
      </c>
      <c r="G3750" s="153">
        <f>IF($K3750="Padrão",BDI!$B$17,IF($K3750="Diferenciado",BDI!$E$17,0))</f>
        <v>0.2039</v>
      </c>
      <c r="H3750" s="151" t="str">
        <f t="shared" si="174"/>
        <v/>
      </c>
      <c r="I3750" s="152" t="str">
        <f t="shared" si="175"/>
        <v/>
      </c>
      <c r="J3750" s="154"/>
      <c r="K3750" s="155" t="s">
        <v>2966</v>
      </c>
    </row>
    <row r="3751" spans="1:11" hidden="1" x14ac:dyDescent="0.25">
      <c r="A3751" s="148" t="s">
        <v>8948</v>
      </c>
      <c r="B3751" s="149" t="s">
        <v>8949</v>
      </c>
      <c r="C3751" s="150" t="s">
        <v>87</v>
      </c>
      <c r="D3751" s="150">
        <v>0</v>
      </c>
      <c r="E3751" s="151" t="s">
        <v>13</v>
      </c>
      <c r="F3751" s="152" t="str">
        <f t="shared" si="176"/>
        <v/>
      </c>
      <c r="G3751" s="153">
        <f>IF($K3751="Padrão",BDI!$B$17,IF($K3751="Diferenciado",BDI!$E$17,0))</f>
        <v>0.2039</v>
      </c>
      <c r="H3751" s="151" t="str">
        <f t="shared" si="174"/>
        <v/>
      </c>
      <c r="I3751" s="152" t="str">
        <f t="shared" si="175"/>
        <v/>
      </c>
      <c r="J3751" s="154"/>
      <c r="K3751" s="155" t="s">
        <v>2966</v>
      </c>
    </row>
    <row r="3752" spans="1:11" hidden="1" x14ac:dyDescent="0.25">
      <c r="A3752" s="148" t="s">
        <v>8950</v>
      </c>
      <c r="B3752" s="149" t="s">
        <v>8951</v>
      </c>
      <c r="C3752" s="150" t="s">
        <v>87</v>
      </c>
      <c r="D3752" s="150">
        <v>0</v>
      </c>
      <c r="E3752" s="151" t="s">
        <v>13</v>
      </c>
      <c r="F3752" s="152" t="str">
        <f t="shared" si="176"/>
        <v/>
      </c>
      <c r="G3752" s="153">
        <f>IF($K3752="Padrão",BDI!$B$17,IF($K3752="Diferenciado",BDI!$E$17,0))</f>
        <v>0.2039</v>
      </c>
      <c r="H3752" s="151" t="str">
        <f t="shared" si="174"/>
        <v/>
      </c>
      <c r="I3752" s="152" t="str">
        <f t="shared" si="175"/>
        <v/>
      </c>
      <c r="J3752" s="154"/>
      <c r="K3752" s="155" t="s">
        <v>2966</v>
      </c>
    </row>
    <row r="3753" spans="1:11" hidden="1" x14ac:dyDescent="0.25">
      <c r="A3753" s="148" t="s">
        <v>8952</v>
      </c>
      <c r="B3753" s="149" t="s">
        <v>8953</v>
      </c>
      <c r="C3753" s="150" t="s">
        <v>87</v>
      </c>
      <c r="D3753" s="150">
        <v>0</v>
      </c>
      <c r="E3753" s="151" t="s">
        <v>13</v>
      </c>
      <c r="F3753" s="152" t="str">
        <f t="shared" si="176"/>
        <v/>
      </c>
      <c r="G3753" s="153">
        <f>IF($K3753="Padrão",BDI!$B$17,IF($K3753="Diferenciado",BDI!$E$17,0))</f>
        <v>0.2039</v>
      </c>
      <c r="H3753" s="151" t="str">
        <f t="shared" si="174"/>
        <v/>
      </c>
      <c r="I3753" s="152" t="str">
        <f t="shared" si="175"/>
        <v/>
      </c>
      <c r="J3753" s="154"/>
      <c r="K3753" s="155" t="s">
        <v>2966</v>
      </c>
    </row>
    <row r="3754" spans="1:11" hidden="1" x14ac:dyDescent="0.25">
      <c r="A3754" s="148" t="s">
        <v>8954</v>
      </c>
      <c r="B3754" s="149" t="s">
        <v>8955</v>
      </c>
      <c r="C3754" s="150" t="s">
        <v>87</v>
      </c>
      <c r="D3754" s="150">
        <v>0</v>
      </c>
      <c r="E3754" s="151" t="s">
        <v>13</v>
      </c>
      <c r="F3754" s="152" t="str">
        <f t="shared" si="176"/>
        <v/>
      </c>
      <c r="G3754" s="153">
        <f>IF($K3754="Padrão",BDI!$B$17,IF($K3754="Diferenciado",BDI!$E$17,0))</f>
        <v>0.2039</v>
      </c>
      <c r="H3754" s="151" t="str">
        <f t="shared" si="174"/>
        <v/>
      </c>
      <c r="I3754" s="152" t="str">
        <f t="shared" si="175"/>
        <v/>
      </c>
      <c r="J3754" s="154"/>
      <c r="K3754" s="155" t="s">
        <v>2966</v>
      </c>
    </row>
    <row r="3755" spans="1:11" ht="25.5" hidden="1" x14ac:dyDescent="0.25">
      <c r="A3755" s="148" t="s">
        <v>8956</v>
      </c>
      <c r="B3755" s="149" t="s">
        <v>8957</v>
      </c>
      <c r="C3755" s="150" t="s">
        <v>87</v>
      </c>
      <c r="D3755" s="150">
        <v>0</v>
      </c>
      <c r="E3755" s="151" t="s">
        <v>13</v>
      </c>
      <c r="F3755" s="152" t="str">
        <f t="shared" si="176"/>
        <v/>
      </c>
      <c r="G3755" s="153">
        <f>IF($K3755="Padrão",BDI!$B$17,IF($K3755="Diferenciado",BDI!$E$17,0))</f>
        <v>0.2039</v>
      </c>
      <c r="H3755" s="151" t="str">
        <f t="shared" si="174"/>
        <v/>
      </c>
      <c r="I3755" s="152" t="str">
        <f t="shared" si="175"/>
        <v/>
      </c>
      <c r="J3755" s="154"/>
      <c r="K3755" s="155" t="s">
        <v>2966</v>
      </c>
    </row>
    <row r="3756" spans="1:11" ht="25.5" hidden="1" x14ac:dyDescent="0.25">
      <c r="A3756" s="148" t="s">
        <v>8958</v>
      </c>
      <c r="B3756" s="149" t="s">
        <v>8959</v>
      </c>
      <c r="C3756" s="150" t="s">
        <v>87</v>
      </c>
      <c r="D3756" s="150">
        <v>0</v>
      </c>
      <c r="E3756" s="151" t="s">
        <v>13</v>
      </c>
      <c r="F3756" s="152" t="str">
        <f t="shared" si="176"/>
        <v/>
      </c>
      <c r="G3756" s="153">
        <f>IF($K3756="Padrão",BDI!$B$17,IF($K3756="Diferenciado",BDI!$E$17,0))</f>
        <v>0.2039</v>
      </c>
      <c r="H3756" s="151" t="str">
        <f t="shared" si="174"/>
        <v/>
      </c>
      <c r="I3756" s="152" t="str">
        <f t="shared" si="175"/>
        <v/>
      </c>
      <c r="J3756" s="154"/>
      <c r="K3756" s="155" t="s">
        <v>2966</v>
      </c>
    </row>
    <row r="3757" spans="1:11" hidden="1" x14ac:dyDescent="0.25">
      <c r="A3757" s="148" t="s">
        <v>8960</v>
      </c>
      <c r="B3757" s="149" t="s">
        <v>8961</v>
      </c>
      <c r="C3757" s="150" t="s">
        <v>87</v>
      </c>
      <c r="D3757" s="150">
        <v>0</v>
      </c>
      <c r="E3757" s="151" t="s">
        <v>13</v>
      </c>
      <c r="F3757" s="152" t="str">
        <f t="shared" si="176"/>
        <v/>
      </c>
      <c r="G3757" s="153">
        <f>IF($K3757="Padrão",BDI!$B$17,IF($K3757="Diferenciado",BDI!$E$17,0))</f>
        <v>0.2039</v>
      </c>
      <c r="H3757" s="151" t="str">
        <f t="shared" si="174"/>
        <v/>
      </c>
      <c r="I3757" s="152" t="str">
        <f t="shared" si="175"/>
        <v/>
      </c>
      <c r="J3757" s="154"/>
      <c r="K3757" s="155" t="s">
        <v>2966</v>
      </c>
    </row>
    <row r="3758" spans="1:11" hidden="1" x14ac:dyDescent="0.25">
      <c r="A3758" s="148" t="s">
        <v>8962</v>
      </c>
      <c r="B3758" s="149" t="s">
        <v>8963</v>
      </c>
      <c r="C3758" s="150" t="s">
        <v>87</v>
      </c>
      <c r="D3758" s="150">
        <v>0</v>
      </c>
      <c r="E3758" s="151" t="s">
        <v>13</v>
      </c>
      <c r="F3758" s="152" t="str">
        <f t="shared" si="176"/>
        <v/>
      </c>
      <c r="G3758" s="153">
        <f>IF($K3758="Padrão",BDI!$B$17,IF($K3758="Diferenciado",BDI!$E$17,0))</f>
        <v>0.2039</v>
      </c>
      <c r="H3758" s="151" t="str">
        <f t="shared" si="174"/>
        <v/>
      </c>
      <c r="I3758" s="152" t="str">
        <f t="shared" si="175"/>
        <v/>
      </c>
      <c r="J3758" s="154"/>
      <c r="K3758" s="155" t="s">
        <v>2966</v>
      </c>
    </row>
    <row r="3759" spans="1:11" hidden="1" x14ac:dyDescent="0.25">
      <c r="A3759" s="148" t="s">
        <v>8964</v>
      </c>
      <c r="B3759" s="149" t="s">
        <v>8965</v>
      </c>
      <c r="C3759" s="150" t="s">
        <v>87</v>
      </c>
      <c r="D3759" s="150">
        <v>0</v>
      </c>
      <c r="E3759" s="151" t="s">
        <v>13</v>
      </c>
      <c r="F3759" s="152" t="str">
        <f t="shared" si="176"/>
        <v/>
      </c>
      <c r="G3759" s="153">
        <f>IF($K3759="Padrão",BDI!$B$17,IF($K3759="Diferenciado",BDI!$E$17,0))</f>
        <v>0.2039</v>
      </c>
      <c r="H3759" s="151" t="str">
        <f t="shared" si="174"/>
        <v/>
      </c>
      <c r="I3759" s="152" t="str">
        <f t="shared" si="175"/>
        <v/>
      </c>
      <c r="J3759" s="154"/>
      <c r="K3759" s="155" t="s">
        <v>2966</v>
      </c>
    </row>
    <row r="3760" spans="1:11" hidden="1" x14ac:dyDescent="0.25">
      <c r="A3760" s="148" t="s">
        <v>8966</v>
      </c>
      <c r="B3760" s="149" t="s">
        <v>8967</v>
      </c>
      <c r="C3760" s="150" t="s">
        <v>87</v>
      </c>
      <c r="D3760" s="150">
        <v>0</v>
      </c>
      <c r="E3760" s="151" t="s">
        <v>13</v>
      </c>
      <c r="F3760" s="152" t="str">
        <f t="shared" si="176"/>
        <v/>
      </c>
      <c r="G3760" s="153">
        <f>IF($K3760="Padrão",BDI!$B$17,IF($K3760="Diferenciado",BDI!$E$17,0))</f>
        <v>0.2039</v>
      </c>
      <c r="H3760" s="151" t="str">
        <f t="shared" si="174"/>
        <v/>
      </c>
      <c r="I3760" s="152" t="str">
        <f t="shared" si="175"/>
        <v/>
      </c>
      <c r="J3760" s="154"/>
      <c r="K3760" s="155" t="s">
        <v>2966</v>
      </c>
    </row>
    <row r="3761" spans="1:11" hidden="1" x14ac:dyDescent="0.25">
      <c r="A3761" s="148" t="s">
        <v>8968</v>
      </c>
      <c r="B3761" s="149" t="s">
        <v>8969</v>
      </c>
      <c r="C3761" s="150" t="s">
        <v>87</v>
      </c>
      <c r="D3761" s="150">
        <v>0</v>
      </c>
      <c r="E3761" s="151" t="s">
        <v>13</v>
      </c>
      <c r="F3761" s="152" t="str">
        <f t="shared" si="176"/>
        <v/>
      </c>
      <c r="G3761" s="153">
        <f>IF($K3761="Padrão",BDI!$B$17,IF($K3761="Diferenciado",BDI!$E$17,0))</f>
        <v>0.2039</v>
      </c>
      <c r="H3761" s="151" t="str">
        <f t="shared" si="174"/>
        <v/>
      </c>
      <c r="I3761" s="152" t="str">
        <f t="shared" si="175"/>
        <v/>
      </c>
      <c r="J3761" s="154"/>
      <c r="K3761" s="155" t="s">
        <v>2966</v>
      </c>
    </row>
    <row r="3762" spans="1:11" hidden="1" x14ac:dyDescent="0.25">
      <c r="A3762" s="148" t="s">
        <v>8970</v>
      </c>
      <c r="B3762" s="149" t="s">
        <v>8971</v>
      </c>
      <c r="C3762" s="150" t="s">
        <v>87</v>
      </c>
      <c r="D3762" s="150">
        <v>0</v>
      </c>
      <c r="E3762" s="151" t="s">
        <v>13</v>
      </c>
      <c r="F3762" s="152" t="str">
        <f t="shared" si="176"/>
        <v/>
      </c>
      <c r="G3762" s="153">
        <f>IF($K3762="Padrão",BDI!$B$17,IF($K3762="Diferenciado",BDI!$E$17,0))</f>
        <v>0.2039</v>
      </c>
      <c r="H3762" s="151" t="str">
        <f t="shared" si="174"/>
        <v/>
      </c>
      <c r="I3762" s="152" t="str">
        <f t="shared" si="175"/>
        <v/>
      </c>
      <c r="J3762" s="154"/>
      <c r="K3762" s="155" t="s">
        <v>2966</v>
      </c>
    </row>
    <row r="3763" spans="1:11" hidden="1" x14ac:dyDescent="0.25">
      <c r="A3763" s="148" t="s">
        <v>8972</v>
      </c>
      <c r="B3763" s="149" t="s">
        <v>8973</v>
      </c>
      <c r="C3763" s="150" t="s">
        <v>87</v>
      </c>
      <c r="D3763" s="150">
        <v>0</v>
      </c>
      <c r="E3763" s="151" t="s">
        <v>13</v>
      </c>
      <c r="F3763" s="152" t="str">
        <f t="shared" si="176"/>
        <v/>
      </c>
      <c r="G3763" s="153">
        <f>IF($K3763="Padrão",BDI!$B$17,IF($K3763="Diferenciado",BDI!$E$17,0))</f>
        <v>0.2039</v>
      </c>
      <c r="H3763" s="151" t="str">
        <f t="shared" si="174"/>
        <v/>
      </c>
      <c r="I3763" s="152" t="str">
        <f t="shared" si="175"/>
        <v/>
      </c>
      <c r="J3763" s="154"/>
      <c r="K3763" s="155" t="s">
        <v>2966</v>
      </c>
    </row>
    <row r="3764" spans="1:11" hidden="1" x14ac:dyDescent="0.25">
      <c r="A3764" s="148" t="s">
        <v>8974</v>
      </c>
      <c r="B3764" s="149" t="s">
        <v>8975</v>
      </c>
      <c r="C3764" s="150" t="s">
        <v>87</v>
      </c>
      <c r="D3764" s="150">
        <v>0</v>
      </c>
      <c r="E3764" s="151" t="s">
        <v>13</v>
      </c>
      <c r="F3764" s="152" t="str">
        <f t="shared" si="176"/>
        <v/>
      </c>
      <c r="G3764" s="153">
        <f>IF($K3764="Padrão",BDI!$B$17,IF($K3764="Diferenciado",BDI!$E$17,0))</f>
        <v>0.2039</v>
      </c>
      <c r="H3764" s="151" t="str">
        <f t="shared" si="174"/>
        <v/>
      </c>
      <c r="I3764" s="152" t="str">
        <f t="shared" si="175"/>
        <v/>
      </c>
      <c r="J3764" s="154"/>
      <c r="K3764" s="155" t="s">
        <v>2966</v>
      </c>
    </row>
    <row r="3765" spans="1:11" hidden="1" x14ac:dyDescent="0.25">
      <c r="A3765" s="148" t="s">
        <v>8976</v>
      </c>
      <c r="B3765" s="149" t="s">
        <v>8977</v>
      </c>
      <c r="C3765" s="150" t="s">
        <v>87</v>
      </c>
      <c r="D3765" s="150">
        <v>0</v>
      </c>
      <c r="E3765" s="151" t="s">
        <v>13</v>
      </c>
      <c r="F3765" s="152" t="str">
        <f t="shared" si="176"/>
        <v/>
      </c>
      <c r="G3765" s="153">
        <f>IF($K3765="Padrão",BDI!$B$17,IF($K3765="Diferenciado",BDI!$E$17,0))</f>
        <v>0.2039</v>
      </c>
      <c r="H3765" s="151" t="str">
        <f t="shared" si="174"/>
        <v/>
      </c>
      <c r="I3765" s="152" t="str">
        <f t="shared" si="175"/>
        <v/>
      </c>
      <c r="J3765" s="154"/>
      <c r="K3765" s="155" t="s">
        <v>2966</v>
      </c>
    </row>
    <row r="3766" spans="1:11" ht="25.5" hidden="1" x14ac:dyDescent="0.25">
      <c r="A3766" s="148" t="s">
        <v>8978</v>
      </c>
      <c r="B3766" s="149" t="s">
        <v>8979</v>
      </c>
      <c r="C3766" s="150" t="s">
        <v>87</v>
      </c>
      <c r="D3766" s="150">
        <v>0</v>
      </c>
      <c r="E3766" s="151" t="s">
        <v>13</v>
      </c>
      <c r="F3766" s="152" t="str">
        <f t="shared" si="176"/>
        <v/>
      </c>
      <c r="G3766" s="153">
        <f>IF($K3766="Padrão",BDI!$B$17,IF($K3766="Diferenciado",BDI!$E$17,0))</f>
        <v>0.2039</v>
      </c>
      <c r="H3766" s="151" t="str">
        <f t="shared" si="174"/>
        <v/>
      </c>
      <c r="I3766" s="152" t="str">
        <f t="shared" si="175"/>
        <v/>
      </c>
      <c r="J3766" s="154"/>
      <c r="K3766" s="155" t="s">
        <v>2966</v>
      </c>
    </row>
    <row r="3767" spans="1:11" hidden="1" x14ac:dyDescent="0.25">
      <c r="A3767" s="148" t="s">
        <v>8980</v>
      </c>
      <c r="B3767" s="149" t="s">
        <v>8981</v>
      </c>
      <c r="C3767" s="150" t="s">
        <v>87</v>
      </c>
      <c r="D3767" s="150">
        <v>0</v>
      </c>
      <c r="E3767" s="151" t="s">
        <v>13</v>
      </c>
      <c r="F3767" s="152" t="str">
        <f t="shared" si="176"/>
        <v/>
      </c>
      <c r="G3767" s="153">
        <f>IF($K3767="Padrão",BDI!$B$17,IF($K3767="Diferenciado",BDI!$E$17,0))</f>
        <v>0.2039</v>
      </c>
      <c r="H3767" s="151" t="str">
        <f t="shared" si="174"/>
        <v/>
      </c>
      <c r="I3767" s="152" t="str">
        <f t="shared" si="175"/>
        <v/>
      </c>
      <c r="J3767" s="154"/>
      <c r="K3767" s="155" t="s">
        <v>2966</v>
      </c>
    </row>
    <row r="3768" spans="1:11" hidden="1" x14ac:dyDescent="0.25">
      <c r="A3768" s="148" t="s">
        <v>8982</v>
      </c>
      <c r="B3768" s="149" t="s">
        <v>8983</v>
      </c>
      <c r="C3768" s="150" t="s">
        <v>87</v>
      </c>
      <c r="D3768" s="150">
        <v>0</v>
      </c>
      <c r="E3768" s="151" t="s">
        <v>13</v>
      </c>
      <c r="F3768" s="152" t="str">
        <f t="shared" si="176"/>
        <v/>
      </c>
      <c r="G3768" s="153">
        <f>IF($K3768="Padrão",BDI!$B$17,IF($K3768="Diferenciado",BDI!$E$17,0))</f>
        <v>0.2039</v>
      </c>
      <c r="H3768" s="151" t="str">
        <f t="shared" si="174"/>
        <v/>
      </c>
      <c r="I3768" s="152" t="str">
        <f t="shared" si="175"/>
        <v/>
      </c>
      <c r="J3768" s="154"/>
      <c r="K3768" s="155" t="s">
        <v>2966</v>
      </c>
    </row>
    <row r="3769" spans="1:11" hidden="1" x14ac:dyDescent="0.25">
      <c r="A3769" s="148" t="s">
        <v>8984</v>
      </c>
      <c r="B3769" s="149" t="s">
        <v>8985</v>
      </c>
      <c r="C3769" s="150" t="s">
        <v>87</v>
      </c>
      <c r="D3769" s="150">
        <v>0</v>
      </c>
      <c r="E3769" s="151" t="s">
        <v>13</v>
      </c>
      <c r="F3769" s="152" t="str">
        <f t="shared" si="176"/>
        <v/>
      </c>
      <c r="G3769" s="153">
        <f>IF($K3769="Padrão",BDI!$B$17,IF($K3769="Diferenciado",BDI!$E$17,0))</f>
        <v>0.2039</v>
      </c>
      <c r="H3769" s="151" t="str">
        <f t="shared" si="174"/>
        <v/>
      </c>
      <c r="I3769" s="152" t="str">
        <f t="shared" si="175"/>
        <v/>
      </c>
      <c r="J3769" s="154"/>
      <c r="K3769" s="155" t="s">
        <v>2966</v>
      </c>
    </row>
    <row r="3770" spans="1:11" ht="25.5" hidden="1" x14ac:dyDescent="0.25">
      <c r="A3770" s="148" t="s">
        <v>8986</v>
      </c>
      <c r="B3770" s="149" t="s">
        <v>8987</v>
      </c>
      <c r="C3770" s="150" t="s">
        <v>87</v>
      </c>
      <c r="D3770" s="150">
        <v>0</v>
      </c>
      <c r="E3770" s="151" t="s">
        <v>13</v>
      </c>
      <c r="F3770" s="152" t="str">
        <f t="shared" si="176"/>
        <v/>
      </c>
      <c r="G3770" s="153">
        <f>IF($K3770="Padrão",BDI!$B$17,IF($K3770="Diferenciado",BDI!$E$17,0))</f>
        <v>0.2039</v>
      </c>
      <c r="H3770" s="151" t="str">
        <f t="shared" si="174"/>
        <v/>
      </c>
      <c r="I3770" s="152" t="str">
        <f t="shared" si="175"/>
        <v/>
      </c>
      <c r="J3770" s="154"/>
      <c r="K3770" s="155" t="s">
        <v>2966</v>
      </c>
    </row>
    <row r="3771" spans="1:11" ht="25.5" hidden="1" x14ac:dyDescent="0.25">
      <c r="A3771" s="148" t="s">
        <v>8988</v>
      </c>
      <c r="B3771" s="149" t="s">
        <v>8989</v>
      </c>
      <c r="C3771" s="150" t="s">
        <v>87</v>
      </c>
      <c r="D3771" s="150">
        <v>0</v>
      </c>
      <c r="E3771" s="151" t="s">
        <v>13</v>
      </c>
      <c r="F3771" s="152" t="str">
        <f t="shared" si="176"/>
        <v/>
      </c>
      <c r="G3771" s="153">
        <f>IF($K3771="Padrão",BDI!$B$17,IF($K3771="Diferenciado",BDI!$E$17,0))</f>
        <v>0.2039</v>
      </c>
      <c r="H3771" s="151" t="str">
        <f t="shared" si="174"/>
        <v/>
      </c>
      <c r="I3771" s="152" t="str">
        <f t="shared" si="175"/>
        <v/>
      </c>
      <c r="J3771" s="154"/>
      <c r="K3771" s="155" t="s">
        <v>2966</v>
      </c>
    </row>
    <row r="3772" spans="1:11" ht="25.5" hidden="1" x14ac:dyDescent="0.25">
      <c r="A3772" s="148" t="s">
        <v>8990</v>
      </c>
      <c r="B3772" s="149" t="s">
        <v>8991</v>
      </c>
      <c r="C3772" s="150" t="s">
        <v>87</v>
      </c>
      <c r="D3772" s="150">
        <v>0</v>
      </c>
      <c r="E3772" s="151" t="s">
        <v>13</v>
      </c>
      <c r="F3772" s="152" t="str">
        <f t="shared" si="176"/>
        <v/>
      </c>
      <c r="G3772" s="153">
        <f>IF($K3772="Padrão",BDI!$B$17,IF($K3772="Diferenciado",BDI!$E$17,0))</f>
        <v>0.2039</v>
      </c>
      <c r="H3772" s="151" t="str">
        <f t="shared" si="174"/>
        <v/>
      </c>
      <c r="I3772" s="152" t="str">
        <f t="shared" si="175"/>
        <v/>
      </c>
      <c r="J3772" s="154"/>
      <c r="K3772" s="155" t="s">
        <v>2966</v>
      </c>
    </row>
    <row r="3773" spans="1:11" ht="25.5" hidden="1" x14ac:dyDescent="0.25">
      <c r="A3773" s="148" t="s">
        <v>8992</v>
      </c>
      <c r="B3773" s="149" t="s">
        <v>8993</v>
      </c>
      <c r="C3773" s="150" t="s">
        <v>87</v>
      </c>
      <c r="D3773" s="150">
        <v>0</v>
      </c>
      <c r="E3773" s="151" t="s">
        <v>13</v>
      </c>
      <c r="F3773" s="152" t="str">
        <f t="shared" si="176"/>
        <v/>
      </c>
      <c r="G3773" s="153">
        <f>IF($K3773="Padrão",BDI!$B$17,IF($K3773="Diferenciado",BDI!$E$17,0))</f>
        <v>0.2039</v>
      </c>
      <c r="H3773" s="151" t="str">
        <f t="shared" si="174"/>
        <v/>
      </c>
      <c r="I3773" s="152" t="str">
        <f t="shared" si="175"/>
        <v/>
      </c>
      <c r="J3773" s="154"/>
      <c r="K3773" s="155" t="s">
        <v>2966</v>
      </c>
    </row>
    <row r="3774" spans="1:11" hidden="1" x14ac:dyDescent="0.25">
      <c r="A3774" s="148" t="s">
        <v>8994</v>
      </c>
      <c r="B3774" s="149" t="s">
        <v>8995</v>
      </c>
      <c r="C3774" s="150" t="s">
        <v>87</v>
      </c>
      <c r="D3774" s="150">
        <v>0</v>
      </c>
      <c r="E3774" s="151" t="s">
        <v>13</v>
      </c>
      <c r="F3774" s="152" t="str">
        <f t="shared" si="176"/>
        <v/>
      </c>
      <c r="G3774" s="153">
        <f>IF($K3774="Padrão",BDI!$B$17,IF($K3774="Diferenciado",BDI!$E$17,0))</f>
        <v>0.2039</v>
      </c>
      <c r="H3774" s="151" t="str">
        <f t="shared" si="174"/>
        <v/>
      </c>
      <c r="I3774" s="152" t="str">
        <f t="shared" si="175"/>
        <v/>
      </c>
      <c r="J3774" s="154"/>
      <c r="K3774" s="155" t="s">
        <v>2966</v>
      </c>
    </row>
    <row r="3775" spans="1:11" hidden="1" x14ac:dyDescent="0.25">
      <c r="A3775" s="148" t="s">
        <v>8996</v>
      </c>
      <c r="B3775" s="149" t="s">
        <v>8997</v>
      </c>
      <c r="C3775" s="150" t="s">
        <v>87</v>
      </c>
      <c r="D3775" s="150">
        <v>0</v>
      </c>
      <c r="E3775" s="151" t="s">
        <v>13</v>
      </c>
      <c r="F3775" s="152" t="str">
        <f t="shared" si="176"/>
        <v/>
      </c>
      <c r="G3775" s="153">
        <f>IF($K3775="Padrão",BDI!$B$17,IF($K3775="Diferenciado",BDI!$E$17,0))</f>
        <v>0.2039</v>
      </c>
      <c r="H3775" s="151" t="str">
        <f t="shared" si="174"/>
        <v/>
      </c>
      <c r="I3775" s="152" t="str">
        <f t="shared" si="175"/>
        <v/>
      </c>
      <c r="J3775" s="154"/>
      <c r="K3775" s="155" t="s">
        <v>2966</v>
      </c>
    </row>
    <row r="3776" spans="1:11" hidden="1" x14ac:dyDescent="0.25">
      <c r="A3776" s="148" t="s">
        <v>8998</v>
      </c>
      <c r="B3776" s="149" t="s">
        <v>8999</v>
      </c>
      <c r="C3776" s="150" t="s">
        <v>87</v>
      </c>
      <c r="D3776" s="150">
        <v>0</v>
      </c>
      <c r="E3776" s="151" t="s">
        <v>13</v>
      </c>
      <c r="F3776" s="152" t="str">
        <f t="shared" si="176"/>
        <v/>
      </c>
      <c r="G3776" s="153">
        <f>IF($K3776="Padrão",BDI!$B$17,IF($K3776="Diferenciado",BDI!$E$17,0))</f>
        <v>0.2039</v>
      </c>
      <c r="H3776" s="151" t="str">
        <f t="shared" si="174"/>
        <v/>
      </c>
      <c r="I3776" s="152" t="str">
        <f t="shared" si="175"/>
        <v/>
      </c>
      <c r="J3776" s="154"/>
      <c r="K3776" s="155" t="s">
        <v>2966</v>
      </c>
    </row>
    <row r="3777" spans="1:11" hidden="1" x14ac:dyDescent="0.25">
      <c r="A3777" s="148" t="s">
        <v>9000</v>
      </c>
      <c r="B3777" s="149" t="s">
        <v>9001</v>
      </c>
      <c r="C3777" s="150" t="s">
        <v>87</v>
      </c>
      <c r="D3777" s="150">
        <v>0</v>
      </c>
      <c r="E3777" s="151" t="s">
        <v>13</v>
      </c>
      <c r="F3777" s="152" t="str">
        <f t="shared" si="176"/>
        <v/>
      </c>
      <c r="G3777" s="153">
        <f>IF($K3777="Padrão",BDI!$B$17,IF($K3777="Diferenciado",BDI!$E$17,0))</f>
        <v>0.2039</v>
      </c>
      <c r="H3777" s="151" t="str">
        <f t="shared" si="174"/>
        <v/>
      </c>
      <c r="I3777" s="152" t="str">
        <f t="shared" si="175"/>
        <v/>
      </c>
      <c r="J3777" s="154"/>
      <c r="K3777" s="155" t="s">
        <v>2966</v>
      </c>
    </row>
    <row r="3778" spans="1:11" hidden="1" x14ac:dyDescent="0.25">
      <c r="A3778" s="148" t="s">
        <v>9002</v>
      </c>
      <c r="B3778" s="149" t="s">
        <v>9003</v>
      </c>
      <c r="C3778" s="150" t="s">
        <v>87</v>
      </c>
      <c r="D3778" s="150">
        <v>0</v>
      </c>
      <c r="E3778" s="151" t="s">
        <v>13</v>
      </c>
      <c r="F3778" s="152" t="str">
        <f t="shared" si="176"/>
        <v/>
      </c>
      <c r="G3778" s="153">
        <f>IF($K3778="Padrão",BDI!$B$17,IF($K3778="Diferenciado",BDI!$E$17,0))</f>
        <v>0.2039</v>
      </c>
      <c r="H3778" s="151" t="str">
        <f t="shared" si="174"/>
        <v/>
      </c>
      <c r="I3778" s="152" t="str">
        <f t="shared" si="175"/>
        <v/>
      </c>
      <c r="J3778" s="154"/>
      <c r="K3778" s="155" t="s">
        <v>2966</v>
      </c>
    </row>
    <row r="3779" spans="1:11" hidden="1" x14ac:dyDescent="0.25">
      <c r="A3779" s="148" t="s">
        <v>9004</v>
      </c>
      <c r="B3779" s="149" t="s">
        <v>9005</v>
      </c>
      <c r="C3779" s="150" t="s">
        <v>87</v>
      </c>
      <c r="D3779" s="150">
        <v>0</v>
      </c>
      <c r="E3779" s="151" t="s">
        <v>13</v>
      </c>
      <c r="F3779" s="152" t="str">
        <f t="shared" si="176"/>
        <v/>
      </c>
      <c r="G3779" s="153">
        <f>IF($K3779="Padrão",BDI!$B$17,IF($K3779="Diferenciado",BDI!$E$17,0))</f>
        <v>0.2039</v>
      </c>
      <c r="H3779" s="151" t="str">
        <f t="shared" si="174"/>
        <v/>
      </c>
      <c r="I3779" s="152" t="str">
        <f t="shared" si="175"/>
        <v/>
      </c>
      <c r="J3779" s="154"/>
      <c r="K3779" s="155" t="s">
        <v>2966</v>
      </c>
    </row>
    <row r="3780" spans="1:11" hidden="1" x14ac:dyDescent="0.25">
      <c r="A3780" s="148" t="s">
        <v>9006</v>
      </c>
      <c r="B3780" s="149" t="s">
        <v>9007</v>
      </c>
      <c r="C3780" s="150" t="s">
        <v>87</v>
      </c>
      <c r="D3780" s="150">
        <v>0</v>
      </c>
      <c r="E3780" s="151" t="s">
        <v>13</v>
      </c>
      <c r="F3780" s="152" t="str">
        <f t="shared" si="176"/>
        <v/>
      </c>
      <c r="G3780" s="153">
        <f>IF($K3780="Padrão",BDI!$B$17,IF($K3780="Diferenciado",BDI!$E$17,0))</f>
        <v>0.2039</v>
      </c>
      <c r="H3780" s="151" t="str">
        <f t="shared" si="174"/>
        <v/>
      </c>
      <c r="I3780" s="152" t="str">
        <f t="shared" si="175"/>
        <v/>
      </c>
      <c r="J3780" s="154"/>
      <c r="K3780" s="155" t="s">
        <v>2966</v>
      </c>
    </row>
    <row r="3781" spans="1:11" hidden="1" x14ac:dyDescent="0.25">
      <c r="A3781" s="148" t="s">
        <v>9008</v>
      </c>
      <c r="B3781" s="149" t="s">
        <v>9009</v>
      </c>
      <c r="C3781" s="150" t="s">
        <v>87</v>
      </c>
      <c r="D3781" s="150">
        <v>0</v>
      </c>
      <c r="E3781" s="151" t="s">
        <v>13</v>
      </c>
      <c r="F3781" s="152" t="str">
        <f t="shared" si="176"/>
        <v/>
      </c>
      <c r="G3781" s="153">
        <f>IF($K3781="Padrão",BDI!$B$17,IF($K3781="Diferenciado",BDI!$E$17,0))</f>
        <v>0.2039</v>
      </c>
      <c r="H3781" s="151" t="str">
        <f t="shared" si="174"/>
        <v/>
      </c>
      <c r="I3781" s="152" t="str">
        <f t="shared" si="175"/>
        <v/>
      </c>
      <c r="J3781" s="154"/>
      <c r="K3781" s="155" t="s">
        <v>2966</v>
      </c>
    </row>
    <row r="3782" spans="1:11" hidden="1" x14ac:dyDescent="0.25">
      <c r="A3782" s="148" t="s">
        <v>9010</v>
      </c>
      <c r="B3782" s="149" t="s">
        <v>9011</v>
      </c>
      <c r="C3782" s="150" t="s">
        <v>87</v>
      </c>
      <c r="D3782" s="150">
        <v>0</v>
      </c>
      <c r="E3782" s="151" t="s">
        <v>13</v>
      </c>
      <c r="F3782" s="152" t="str">
        <f t="shared" si="176"/>
        <v/>
      </c>
      <c r="G3782" s="153">
        <f>IF($K3782="Padrão",BDI!$B$17,IF($K3782="Diferenciado",BDI!$E$17,0))</f>
        <v>0.2039</v>
      </c>
      <c r="H3782" s="151" t="str">
        <f t="shared" ref="H3782:H3845" si="177">IF(ISNUMBER(E3782),ROUND(E3782*(1+G3782),2),"")</f>
        <v/>
      </c>
      <c r="I3782" s="152" t="str">
        <f t="shared" ref="I3782:I3845" si="178">IF(ISNUMBER(E3782),ROUND(H3782*D3782,2),"")</f>
        <v/>
      </c>
      <c r="J3782" s="154"/>
      <c r="K3782" s="155" t="s">
        <v>2966</v>
      </c>
    </row>
    <row r="3783" spans="1:11" hidden="1" x14ac:dyDescent="0.25">
      <c r="A3783" s="148" t="s">
        <v>9012</v>
      </c>
      <c r="B3783" s="149" t="s">
        <v>9013</v>
      </c>
      <c r="C3783" s="150" t="s">
        <v>87</v>
      </c>
      <c r="D3783" s="150">
        <v>0</v>
      </c>
      <c r="E3783" s="151" t="s">
        <v>13</v>
      </c>
      <c r="F3783" s="152" t="str">
        <f t="shared" ref="F3783:F3846" si="179">IF(ISNUMBER(E3783),D3783*E3783,"")</f>
        <v/>
      </c>
      <c r="G3783" s="153">
        <f>IF($K3783="Padrão",BDI!$B$17,IF($K3783="Diferenciado",BDI!$E$17,0))</f>
        <v>0.2039</v>
      </c>
      <c r="H3783" s="151" t="str">
        <f t="shared" si="177"/>
        <v/>
      </c>
      <c r="I3783" s="152" t="str">
        <f t="shared" si="178"/>
        <v/>
      </c>
      <c r="J3783" s="154"/>
      <c r="K3783" s="155" t="s">
        <v>2966</v>
      </c>
    </row>
    <row r="3784" spans="1:11" hidden="1" x14ac:dyDescent="0.25">
      <c r="A3784" s="148" t="s">
        <v>9014</v>
      </c>
      <c r="B3784" s="149" t="s">
        <v>9015</v>
      </c>
      <c r="C3784" s="150" t="s">
        <v>87</v>
      </c>
      <c r="D3784" s="150">
        <v>0</v>
      </c>
      <c r="E3784" s="151" t="s">
        <v>13</v>
      </c>
      <c r="F3784" s="152" t="str">
        <f t="shared" si="179"/>
        <v/>
      </c>
      <c r="G3784" s="153">
        <f>IF($K3784="Padrão",BDI!$B$17,IF($K3784="Diferenciado",BDI!$E$17,0))</f>
        <v>0.2039</v>
      </c>
      <c r="H3784" s="151" t="str">
        <f t="shared" si="177"/>
        <v/>
      </c>
      <c r="I3784" s="152" t="str">
        <f t="shared" si="178"/>
        <v/>
      </c>
      <c r="J3784" s="154"/>
      <c r="K3784" s="155" t="s">
        <v>2966</v>
      </c>
    </row>
    <row r="3785" spans="1:11" ht="25.5" hidden="1" x14ac:dyDescent="0.25">
      <c r="A3785" s="148" t="s">
        <v>9016</v>
      </c>
      <c r="B3785" s="149" t="s">
        <v>9017</v>
      </c>
      <c r="C3785" s="150" t="s">
        <v>87</v>
      </c>
      <c r="D3785" s="150">
        <v>0</v>
      </c>
      <c r="E3785" s="151" t="s">
        <v>13</v>
      </c>
      <c r="F3785" s="152" t="str">
        <f t="shared" si="179"/>
        <v/>
      </c>
      <c r="G3785" s="153">
        <f>IF($K3785="Padrão",BDI!$B$17,IF($K3785="Diferenciado",BDI!$E$17,0))</f>
        <v>0.2039</v>
      </c>
      <c r="H3785" s="151" t="str">
        <f t="shared" si="177"/>
        <v/>
      </c>
      <c r="I3785" s="152" t="str">
        <f t="shared" si="178"/>
        <v/>
      </c>
      <c r="J3785" s="154"/>
      <c r="K3785" s="155" t="s">
        <v>2966</v>
      </c>
    </row>
    <row r="3786" spans="1:11" ht="25.5" hidden="1" x14ac:dyDescent="0.25">
      <c r="A3786" s="148" t="s">
        <v>9018</v>
      </c>
      <c r="B3786" s="149" t="s">
        <v>9019</v>
      </c>
      <c r="C3786" s="150" t="s">
        <v>87</v>
      </c>
      <c r="D3786" s="150">
        <v>0</v>
      </c>
      <c r="E3786" s="151" t="s">
        <v>13</v>
      </c>
      <c r="F3786" s="152" t="str">
        <f t="shared" si="179"/>
        <v/>
      </c>
      <c r="G3786" s="153">
        <f>IF($K3786="Padrão",BDI!$B$17,IF($K3786="Diferenciado",BDI!$E$17,0))</f>
        <v>0.2039</v>
      </c>
      <c r="H3786" s="151" t="str">
        <f t="shared" si="177"/>
        <v/>
      </c>
      <c r="I3786" s="152" t="str">
        <f t="shared" si="178"/>
        <v/>
      </c>
      <c r="J3786" s="154"/>
      <c r="K3786" s="155" t="s">
        <v>2966</v>
      </c>
    </row>
    <row r="3787" spans="1:11" ht="25.5" hidden="1" x14ac:dyDescent="0.25">
      <c r="A3787" s="148" t="s">
        <v>9020</v>
      </c>
      <c r="B3787" s="149" t="s">
        <v>9021</v>
      </c>
      <c r="C3787" s="150" t="s">
        <v>461</v>
      </c>
      <c r="D3787" s="150">
        <v>0</v>
      </c>
      <c r="E3787" s="151" t="s">
        <v>13</v>
      </c>
      <c r="F3787" s="152" t="str">
        <f t="shared" si="179"/>
        <v/>
      </c>
      <c r="G3787" s="153">
        <f>IF($K3787="Padrão",BDI!$B$17,IF($K3787="Diferenciado",BDI!$E$17,0))</f>
        <v>0.2039</v>
      </c>
      <c r="H3787" s="151" t="str">
        <f t="shared" si="177"/>
        <v/>
      </c>
      <c r="I3787" s="152" t="str">
        <f t="shared" si="178"/>
        <v/>
      </c>
      <c r="J3787" s="154"/>
      <c r="K3787" s="155" t="s">
        <v>2966</v>
      </c>
    </row>
    <row r="3788" spans="1:11" hidden="1" x14ac:dyDescent="0.25">
      <c r="A3788" s="148" t="s">
        <v>9022</v>
      </c>
      <c r="B3788" s="149" t="s">
        <v>9023</v>
      </c>
      <c r="C3788" s="150" t="s">
        <v>87</v>
      </c>
      <c r="D3788" s="150">
        <v>0</v>
      </c>
      <c r="E3788" s="151" t="s">
        <v>13</v>
      </c>
      <c r="F3788" s="152" t="str">
        <f t="shared" si="179"/>
        <v/>
      </c>
      <c r="G3788" s="153">
        <f>IF($K3788="Padrão",BDI!$B$17,IF($K3788="Diferenciado",BDI!$E$17,0))</f>
        <v>0.2039</v>
      </c>
      <c r="H3788" s="151" t="str">
        <f t="shared" si="177"/>
        <v/>
      </c>
      <c r="I3788" s="152" t="str">
        <f t="shared" si="178"/>
        <v/>
      </c>
      <c r="J3788" s="154"/>
      <c r="K3788" s="155" t="s">
        <v>2966</v>
      </c>
    </row>
    <row r="3789" spans="1:11" ht="25.5" hidden="1" x14ac:dyDescent="0.25">
      <c r="A3789" s="148" t="s">
        <v>9024</v>
      </c>
      <c r="B3789" s="149" t="s">
        <v>9025</v>
      </c>
      <c r="C3789" s="150" t="s">
        <v>461</v>
      </c>
      <c r="D3789" s="150">
        <v>0</v>
      </c>
      <c r="E3789" s="151" t="s">
        <v>13</v>
      </c>
      <c r="F3789" s="152" t="str">
        <f t="shared" si="179"/>
        <v/>
      </c>
      <c r="G3789" s="153">
        <f>IF($K3789="Padrão",BDI!$B$17,IF($K3789="Diferenciado",BDI!$E$17,0))</f>
        <v>0.2039</v>
      </c>
      <c r="H3789" s="151" t="str">
        <f t="shared" si="177"/>
        <v/>
      </c>
      <c r="I3789" s="152" t="str">
        <f t="shared" si="178"/>
        <v/>
      </c>
      <c r="J3789" s="154"/>
      <c r="K3789" s="155" t="s">
        <v>2966</v>
      </c>
    </row>
    <row r="3790" spans="1:11" ht="25.5" hidden="1" x14ac:dyDescent="0.25">
      <c r="A3790" s="148" t="s">
        <v>9026</v>
      </c>
      <c r="B3790" s="149" t="s">
        <v>9027</v>
      </c>
      <c r="C3790" s="150" t="s">
        <v>461</v>
      </c>
      <c r="D3790" s="150">
        <v>0</v>
      </c>
      <c r="E3790" s="151" t="s">
        <v>13</v>
      </c>
      <c r="F3790" s="152" t="str">
        <f t="shared" si="179"/>
        <v/>
      </c>
      <c r="G3790" s="153">
        <f>IF($K3790="Padrão",BDI!$B$17,IF($K3790="Diferenciado",BDI!$E$17,0))</f>
        <v>0.2039</v>
      </c>
      <c r="H3790" s="151" t="str">
        <f t="shared" si="177"/>
        <v/>
      </c>
      <c r="I3790" s="152" t="str">
        <f t="shared" si="178"/>
        <v/>
      </c>
      <c r="J3790" s="154"/>
      <c r="K3790" s="155" t="s">
        <v>2966</v>
      </c>
    </row>
    <row r="3791" spans="1:11" hidden="1" x14ac:dyDescent="0.25">
      <c r="A3791" s="148" t="s">
        <v>9028</v>
      </c>
      <c r="B3791" s="149" t="s">
        <v>9029</v>
      </c>
      <c r="C3791" s="150" t="s">
        <v>461</v>
      </c>
      <c r="D3791" s="150">
        <v>0</v>
      </c>
      <c r="E3791" s="151" t="s">
        <v>13</v>
      </c>
      <c r="F3791" s="152" t="str">
        <f t="shared" si="179"/>
        <v/>
      </c>
      <c r="G3791" s="153">
        <f>IF($K3791="Padrão",BDI!$B$17,IF($K3791="Diferenciado",BDI!$E$17,0))</f>
        <v>0.2039</v>
      </c>
      <c r="H3791" s="151" t="str">
        <f t="shared" si="177"/>
        <v/>
      </c>
      <c r="I3791" s="152" t="str">
        <f t="shared" si="178"/>
        <v/>
      </c>
      <c r="J3791" s="154"/>
      <c r="K3791" s="155" t="s">
        <v>2966</v>
      </c>
    </row>
    <row r="3792" spans="1:11" hidden="1" x14ac:dyDescent="0.25">
      <c r="A3792" s="148" t="s">
        <v>9030</v>
      </c>
      <c r="B3792" s="149" t="s">
        <v>9031</v>
      </c>
      <c r="C3792" s="150" t="s">
        <v>461</v>
      </c>
      <c r="D3792" s="150">
        <v>0</v>
      </c>
      <c r="E3792" s="151" t="s">
        <v>13</v>
      </c>
      <c r="F3792" s="152" t="str">
        <f t="shared" si="179"/>
        <v/>
      </c>
      <c r="G3792" s="153">
        <f>IF($K3792="Padrão",BDI!$B$17,IF($K3792="Diferenciado",BDI!$E$17,0))</f>
        <v>0.2039</v>
      </c>
      <c r="H3792" s="151" t="str">
        <f t="shared" si="177"/>
        <v/>
      </c>
      <c r="I3792" s="152" t="str">
        <f t="shared" si="178"/>
        <v/>
      </c>
      <c r="J3792" s="154"/>
      <c r="K3792" s="155" t="s">
        <v>2966</v>
      </c>
    </row>
    <row r="3793" spans="1:11" hidden="1" x14ac:dyDescent="0.25">
      <c r="A3793" s="148" t="s">
        <v>9032</v>
      </c>
      <c r="B3793" s="149" t="s">
        <v>9033</v>
      </c>
      <c r="C3793" s="150" t="s">
        <v>461</v>
      </c>
      <c r="D3793" s="150">
        <v>0</v>
      </c>
      <c r="E3793" s="151" t="s">
        <v>13</v>
      </c>
      <c r="F3793" s="152" t="str">
        <f t="shared" si="179"/>
        <v/>
      </c>
      <c r="G3793" s="153">
        <f>IF($K3793="Padrão",BDI!$B$17,IF($K3793="Diferenciado",BDI!$E$17,0))</f>
        <v>0.2039</v>
      </c>
      <c r="H3793" s="151" t="str">
        <f t="shared" si="177"/>
        <v/>
      </c>
      <c r="I3793" s="152" t="str">
        <f t="shared" si="178"/>
        <v/>
      </c>
      <c r="J3793" s="154"/>
      <c r="K3793" s="155" t="s">
        <v>2966</v>
      </c>
    </row>
    <row r="3794" spans="1:11" hidden="1" x14ac:dyDescent="0.25">
      <c r="A3794" s="148" t="s">
        <v>9034</v>
      </c>
      <c r="B3794" s="149" t="s">
        <v>9035</v>
      </c>
      <c r="C3794" s="150" t="s">
        <v>461</v>
      </c>
      <c r="D3794" s="150">
        <v>0</v>
      </c>
      <c r="E3794" s="151" t="s">
        <v>13</v>
      </c>
      <c r="F3794" s="152" t="str">
        <f t="shared" si="179"/>
        <v/>
      </c>
      <c r="G3794" s="153">
        <f>IF($K3794="Padrão",BDI!$B$17,IF($K3794="Diferenciado",BDI!$E$17,0))</f>
        <v>0.2039</v>
      </c>
      <c r="H3794" s="151" t="str">
        <f t="shared" si="177"/>
        <v/>
      </c>
      <c r="I3794" s="152" t="str">
        <f t="shared" si="178"/>
        <v/>
      </c>
      <c r="J3794" s="154"/>
      <c r="K3794" s="155" t="s">
        <v>2966</v>
      </c>
    </row>
    <row r="3795" spans="1:11" hidden="1" x14ac:dyDescent="0.25">
      <c r="A3795" s="148" t="s">
        <v>9036</v>
      </c>
      <c r="B3795" s="149" t="s">
        <v>9037</v>
      </c>
      <c r="C3795" s="150" t="s">
        <v>461</v>
      </c>
      <c r="D3795" s="150">
        <v>0</v>
      </c>
      <c r="E3795" s="151" t="s">
        <v>13</v>
      </c>
      <c r="F3795" s="152" t="str">
        <f t="shared" si="179"/>
        <v/>
      </c>
      <c r="G3795" s="153">
        <f>IF($K3795="Padrão",BDI!$B$17,IF($K3795="Diferenciado",BDI!$E$17,0))</f>
        <v>0.2039</v>
      </c>
      <c r="H3795" s="151" t="str">
        <f t="shared" si="177"/>
        <v/>
      </c>
      <c r="I3795" s="152" t="str">
        <f t="shared" si="178"/>
        <v/>
      </c>
      <c r="J3795" s="154"/>
      <c r="K3795" s="155" t="s">
        <v>2966</v>
      </c>
    </row>
    <row r="3796" spans="1:11" hidden="1" x14ac:dyDescent="0.25">
      <c r="A3796" s="148" t="s">
        <v>9038</v>
      </c>
      <c r="B3796" s="149" t="s">
        <v>9039</v>
      </c>
      <c r="C3796" s="150" t="s">
        <v>461</v>
      </c>
      <c r="D3796" s="150">
        <v>0</v>
      </c>
      <c r="E3796" s="151" t="s">
        <v>13</v>
      </c>
      <c r="F3796" s="152" t="str">
        <f t="shared" si="179"/>
        <v/>
      </c>
      <c r="G3796" s="153">
        <f>IF($K3796="Padrão",BDI!$B$17,IF($K3796="Diferenciado",BDI!$E$17,0))</f>
        <v>0.2039</v>
      </c>
      <c r="H3796" s="151" t="str">
        <f t="shared" si="177"/>
        <v/>
      </c>
      <c r="I3796" s="152" t="str">
        <f t="shared" si="178"/>
        <v/>
      </c>
      <c r="J3796" s="154"/>
      <c r="K3796" s="155" t="s">
        <v>2966</v>
      </c>
    </row>
    <row r="3797" spans="1:11" hidden="1" x14ac:dyDescent="0.25">
      <c r="A3797" s="148" t="s">
        <v>9040</v>
      </c>
      <c r="B3797" s="149" t="s">
        <v>9041</v>
      </c>
      <c r="C3797" s="150" t="s">
        <v>461</v>
      </c>
      <c r="D3797" s="150">
        <v>0</v>
      </c>
      <c r="E3797" s="151" t="s">
        <v>13</v>
      </c>
      <c r="F3797" s="152" t="str">
        <f t="shared" si="179"/>
        <v/>
      </c>
      <c r="G3797" s="153">
        <f>IF($K3797="Padrão",BDI!$B$17,IF($K3797="Diferenciado",BDI!$E$17,0))</f>
        <v>0.2039</v>
      </c>
      <c r="H3797" s="151" t="str">
        <f t="shared" si="177"/>
        <v/>
      </c>
      <c r="I3797" s="152" t="str">
        <f t="shared" si="178"/>
        <v/>
      </c>
      <c r="J3797" s="154"/>
      <c r="K3797" s="155" t="s">
        <v>2966</v>
      </c>
    </row>
    <row r="3798" spans="1:11" hidden="1" x14ac:dyDescent="0.25">
      <c r="A3798" s="148" t="s">
        <v>9042</v>
      </c>
      <c r="B3798" s="149" t="s">
        <v>9043</v>
      </c>
      <c r="C3798" s="150" t="s">
        <v>461</v>
      </c>
      <c r="D3798" s="150">
        <v>0</v>
      </c>
      <c r="E3798" s="151" t="s">
        <v>13</v>
      </c>
      <c r="F3798" s="152" t="str">
        <f t="shared" si="179"/>
        <v/>
      </c>
      <c r="G3798" s="153">
        <f>IF($K3798="Padrão",BDI!$B$17,IF($K3798="Diferenciado",BDI!$E$17,0))</f>
        <v>0.2039</v>
      </c>
      <c r="H3798" s="151" t="str">
        <f t="shared" si="177"/>
        <v/>
      </c>
      <c r="I3798" s="152" t="str">
        <f t="shared" si="178"/>
        <v/>
      </c>
      <c r="J3798" s="154"/>
      <c r="K3798" s="155" t="s">
        <v>2966</v>
      </c>
    </row>
    <row r="3799" spans="1:11" hidden="1" x14ac:dyDescent="0.25">
      <c r="A3799" s="148" t="s">
        <v>9044</v>
      </c>
      <c r="B3799" s="149" t="s">
        <v>9045</v>
      </c>
      <c r="C3799" s="150" t="s">
        <v>87</v>
      </c>
      <c r="D3799" s="150">
        <v>0</v>
      </c>
      <c r="E3799" s="151" t="s">
        <v>13</v>
      </c>
      <c r="F3799" s="152" t="str">
        <f t="shared" si="179"/>
        <v/>
      </c>
      <c r="G3799" s="153">
        <f>IF($K3799="Padrão",BDI!$B$17,IF($K3799="Diferenciado",BDI!$E$17,0))</f>
        <v>0.2039</v>
      </c>
      <c r="H3799" s="151" t="str">
        <f t="shared" si="177"/>
        <v/>
      </c>
      <c r="I3799" s="152" t="str">
        <f t="shared" si="178"/>
        <v/>
      </c>
      <c r="J3799" s="154"/>
      <c r="K3799" s="155" t="s">
        <v>2966</v>
      </c>
    </row>
    <row r="3800" spans="1:11" hidden="1" x14ac:dyDescent="0.25">
      <c r="A3800" s="148" t="s">
        <v>9046</v>
      </c>
      <c r="B3800" s="149" t="s">
        <v>9047</v>
      </c>
      <c r="C3800" s="150" t="s">
        <v>87</v>
      </c>
      <c r="D3800" s="150">
        <v>0</v>
      </c>
      <c r="E3800" s="151" t="s">
        <v>13</v>
      </c>
      <c r="F3800" s="152" t="str">
        <f t="shared" si="179"/>
        <v/>
      </c>
      <c r="G3800" s="153">
        <f>IF($K3800="Padrão",BDI!$B$17,IF($K3800="Diferenciado",BDI!$E$17,0))</f>
        <v>0.2039</v>
      </c>
      <c r="H3800" s="151" t="str">
        <f t="shared" si="177"/>
        <v/>
      </c>
      <c r="I3800" s="152" t="str">
        <f t="shared" si="178"/>
        <v/>
      </c>
      <c r="J3800" s="154"/>
      <c r="K3800" s="155" t="s">
        <v>2966</v>
      </c>
    </row>
    <row r="3801" spans="1:11" hidden="1" x14ac:dyDescent="0.25">
      <c r="A3801" s="148" t="s">
        <v>9048</v>
      </c>
      <c r="B3801" s="149" t="s">
        <v>9049</v>
      </c>
      <c r="C3801" s="150" t="s">
        <v>87</v>
      </c>
      <c r="D3801" s="150">
        <v>0</v>
      </c>
      <c r="E3801" s="151" t="s">
        <v>13</v>
      </c>
      <c r="F3801" s="152" t="str">
        <f t="shared" si="179"/>
        <v/>
      </c>
      <c r="G3801" s="153">
        <f>IF($K3801="Padrão",BDI!$B$17,IF($K3801="Diferenciado",BDI!$E$17,0))</f>
        <v>0.2039</v>
      </c>
      <c r="H3801" s="151" t="str">
        <f t="shared" si="177"/>
        <v/>
      </c>
      <c r="I3801" s="152" t="str">
        <f t="shared" si="178"/>
        <v/>
      </c>
      <c r="J3801" s="154"/>
      <c r="K3801" s="155" t="s">
        <v>2966</v>
      </c>
    </row>
    <row r="3802" spans="1:11" ht="25.5" hidden="1" x14ac:dyDescent="0.25">
      <c r="A3802" s="148" t="s">
        <v>9050</v>
      </c>
      <c r="B3802" s="149" t="s">
        <v>9051</v>
      </c>
      <c r="C3802" s="150" t="s">
        <v>87</v>
      </c>
      <c r="D3802" s="150">
        <v>0</v>
      </c>
      <c r="E3802" s="151" t="s">
        <v>13</v>
      </c>
      <c r="F3802" s="152" t="str">
        <f t="shared" si="179"/>
        <v/>
      </c>
      <c r="G3802" s="153">
        <f>IF($K3802="Padrão",BDI!$B$17,IF($K3802="Diferenciado",BDI!$E$17,0))</f>
        <v>0.2039</v>
      </c>
      <c r="H3802" s="151" t="str">
        <f t="shared" si="177"/>
        <v/>
      </c>
      <c r="I3802" s="152" t="str">
        <f t="shared" si="178"/>
        <v/>
      </c>
      <c r="J3802" s="154"/>
      <c r="K3802" s="155" t="s">
        <v>2966</v>
      </c>
    </row>
    <row r="3803" spans="1:11" ht="25.5" hidden="1" x14ac:dyDescent="0.25">
      <c r="A3803" s="148" t="s">
        <v>9052</v>
      </c>
      <c r="B3803" s="149" t="s">
        <v>9053</v>
      </c>
      <c r="C3803" s="150" t="s">
        <v>87</v>
      </c>
      <c r="D3803" s="150">
        <v>0</v>
      </c>
      <c r="E3803" s="151" t="s">
        <v>13</v>
      </c>
      <c r="F3803" s="152" t="str">
        <f t="shared" si="179"/>
        <v/>
      </c>
      <c r="G3803" s="153">
        <f>IF($K3803="Padrão",BDI!$B$17,IF($K3803="Diferenciado",BDI!$E$17,0))</f>
        <v>0.2039</v>
      </c>
      <c r="H3803" s="151" t="str">
        <f t="shared" si="177"/>
        <v/>
      </c>
      <c r="I3803" s="152" t="str">
        <f t="shared" si="178"/>
        <v/>
      </c>
      <c r="J3803" s="154"/>
      <c r="K3803" s="155" t="s">
        <v>2966</v>
      </c>
    </row>
    <row r="3804" spans="1:11" ht="25.5" hidden="1" x14ac:dyDescent="0.25">
      <c r="A3804" s="148" t="s">
        <v>9054</v>
      </c>
      <c r="B3804" s="149" t="s">
        <v>9055</v>
      </c>
      <c r="C3804" s="150" t="s">
        <v>87</v>
      </c>
      <c r="D3804" s="150">
        <v>0</v>
      </c>
      <c r="E3804" s="151" t="s">
        <v>13</v>
      </c>
      <c r="F3804" s="152" t="str">
        <f t="shared" si="179"/>
        <v/>
      </c>
      <c r="G3804" s="153">
        <f>IF($K3804="Padrão",BDI!$B$17,IF($K3804="Diferenciado",BDI!$E$17,0))</f>
        <v>0.2039</v>
      </c>
      <c r="H3804" s="151" t="str">
        <f t="shared" si="177"/>
        <v/>
      </c>
      <c r="I3804" s="152" t="str">
        <f t="shared" si="178"/>
        <v/>
      </c>
      <c r="J3804" s="154"/>
      <c r="K3804" s="155" t="s">
        <v>2966</v>
      </c>
    </row>
    <row r="3805" spans="1:11" hidden="1" x14ac:dyDescent="0.25">
      <c r="A3805" s="148" t="s">
        <v>9056</v>
      </c>
      <c r="B3805" s="149" t="s">
        <v>9057</v>
      </c>
      <c r="C3805" s="150" t="s">
        <v>87</v>
      </c>
      <c r="D3805" s="150">
        <v>0</v>
      </c>
      <c r="E3805" s="151" t="s">
        <v>13</v>
      </c>
      <c r="F3805" s="152" t="str">
        <f t="shared" si="179"/>
        <v/>
      </c>
      <c r="G3805" s="153">
        <f>IF($K3805="Padrão",BDI!$B$17,IF($K3805="Diferenciado",BDI!$E$17,0))</f>
        <v>0.2039</v>
      </c>
      <c r="H3805" s="151" t="str">
        <f t="shared" si="177"/>
        <v/>
      </c>
      <c r="I3805" s="152" t="str">
        <f t="shared" si="178"/>
        <v/>
      </c>
      <c r="J3805" s="154"/>
      <c r="K3805" s="155" t="s">
        <v>2966</v>
      </c>
    </row>
    <row r="3806" spans="1:11" hidden="1" x14ac:dyDescent="0.25">
      <c r="A3806" s="148" t="s">
        <v>9058</v>
      </c>
      <c r="B3806" s="149" t="s">
        <v>9059</v>
      </c>
      <c r="C3806" s="150" t="s">
        <v>87</v>
      </c>
      <c r="D3806" s="150">
        <v>0</v>
      </c>
      <c r="E3806" s="151" t="s">
        <v>13</v>
      </c>
      <c r="F3806" s="152" t="str">
        <f t="shared" si="179"/>
        <v/>
      </c>
      <c r="G3806" s="153">
        <f>IF($K3806="Padrão",BDI!$B$17,IF($K3806="Diferenciado",BDI!$E$17,0))</f>
        <v>0.2039</v>
      </c>
      <c r="H3806" s="151" t="str">
        <f t="shared" si="177"/>
        <v/>
      </c>
      <c r="I3806" s="152" t="str">
        <f t="shared" si="178"/>
        <v/>
      </c>
      <c r="J3806" s="154"/>
      <c r="K3806" s="155" t="s">
        <v>2966</v>
      </c>
    </row>
    <row r="3807" spans="1:11" ht="25.5" hidden="1" x14ac:dyDescent="0.25">
      <c r="A3807" s="148" t="s">
        <v>9060</v>
      </c>
      <c r="B3807" s="149" t="s">
        <v>9061</v>
      </c>
      <c r="C3807" s="150" t="s">
        <v>87</v>
      </c>
      <c r="D3807" s="150">
        <v>0</v>
      </c>
      <c r="E3807" s="151" t="s">
        <v>13</v>
      </c>
      <c r="F3807" s="152" t="str">
        <f t="shared" si="179"/>
        <v/>
      </c>
      <c r="G3807" s="153">
        <f>IF($K3807="Padrão",BDI!$B$17,IF($K3807="Diferenciado",BDI!$E$17,0))</f>
        <v>0.2039</v>
      </c>
      <c r="H3807" s="151" t="str">
        <f t="shared" si="177"/>
        <v/>
      </c>
      <c r="I3807" s="152" t="str">
        <f t="shared" si="178"/>
        <v/>
      </c>
      <c r="J3807" s="154"/>
      <c r="K3807" s="155" t="s">
        <v>2966</v>
      </c>
    </row>
    <row r="3808" spans="1:11" ht="25.5" hidden="1" x14ac:dyDescent="0.25">
      <c r="A3808" s="148" t="s">
        <v>9062</v>
      </c>
      <c r="B3808" s="149" t="s">
        <v>9063</v>
      </c>
      <c r="C3808" s="150" t="s">
        <v>87</v>
      </c>
      <c r="D3808" s="150">
        <v>0</v>
      </c>
      <c r="E3808" s="151" t="s">
        <v>13</v>
      </c>
      <c r="F3808" s="152" t="str">
        <f t="shared" si="179"/>
        <v/>
      </c>
      <c r="G3808" s="153">
        <f>IF($K3808="Padrão",BDI!$B$17,IF($K3808="Diferenciado",BDI!$E$17,0))</f>
        <v>0.2039</v>
      </c>
      <c r="H3808" s="151" t="str">
        <f t="shared" si="177"/>
        <v/>
      </c>
      <c r="I3808" s="152" t="str">
        <f t="shared" si="178"/>
        <v/>
      </c>
      <c r="J3808" s="154"/>
      <c r="K3808" s="155" t="s">
        <v>2966</v>
      </c>
    </row>
    <row r="3809" spans="1:11" ht="25.5" hidden="1" x14ac:dyDescent="0.25">
      <c r="A3809" s="148" t="s">
        <v>9064</v>
      </c>
      <c r="B3809" s="149" t="s">
        <v>9065</v>
      </c>
      <c r="C3809" s="150" t="s">
        <v>87</v>
      </c>
      <c r="D3809" s="150">
        <v>0</v>
      </c>
      <c r="E3809" s="151" t="s">
        <v>13</v>
      </c>
      <c r="F3809" s="152" t="str">
        <f t="shared" si="179"/>
        <v/>
      </c>
      <c r="G3809" s="153">
        <f>IF($K3809="Padrão",BDI!$B$17,IF($K3809="Diferenciado",BDI!$E$17,0))</f>
        <v>0.2039</v>
      </c>
      <c r="H3809" s="151" t="str">
        <f t="shared" si="177"/>
        <v/>
      </c>
      <c r="I3809" s="152" t="str">
        <f t="shared" si="178"/>
        <v/>
      </c>
      <c r="J3809" s="154"/>
      <c r="K3809" s="155" t="s">
        <v>2966</v>
      </c>
    </row>
    <row r="3810" spans="1:11" ht="25.5" hidden="1" x14ac:dyDescent="0.25">
      <c r="A3810" s="148" t="s">
        <v>9066</v>
      </c>
      <c r="B3810" s="149" t="s">
        <v>9067</v>
      </c>
      <c r="C3810" s="150" t="s">
        <v>87</v>
      </c>
      <c r="D3810" s="150">
        <v>0</v>
      </c>
      <c r="E3810" s="151" t="s">
        <v>13</v>
      </c>
      <c r="F3810" s="152" t="str">
        <f t="shared" si="179"/>
        <v/>
      </c>
      <c r="G3810" s="153">
        <f>IF($K3810="Padrão",BDI!$B$17,IF($K3810="Diferenciado",BDI!$E$17,0))</f>
        <v>0.2039</v>
      </c>
      <c r="H3810" s="151" t="str">
        <f t="shared" si="177"/>
        <v/>
      </c>
      <c r="I3810" s="152" t="str">
        <f t="shared" si="178"/>
        <v/>
      </c>
      <c r="J3810" s="154"/>
      <c r="K3810" s="155" t="s">
        <v>2966</v>
      </c>
    </row>
    <row r="3811" spans="1:11" ht="25.5" hidden="1" x14ac:dyDescent="0.25">
      <c r="A3811" s="148" t="s">
        <v>9068</v>
      </c>
      <c r="B3811" s="149" t="s">
        <v>9069</v>
      </c>
      <c r="C3811" s="150" t="s">
        <v>87</v>
      </c>
      <c r="D3811" s="150">
        <v>0</v>
      </c>
      <c r="E3811" s="151" t="s">
        <v>13</v>
      </c>
      <c r="F3811" s="152" t="str">
        <f t="shared" si="179"/>
        <v/>
      </c>
      <c r="G3811" s="153">
        <f>IF($K3811="Padrão",BDI!$B$17,IF($K3811="Diferenciado",BDI!$E$17,0))</f>
        <v>0.2039</v>
      </c>
      <c r="H3811" s="151" t="str">
        <f t="shared" si="177"/>
        <v/>
      </c>
      <c r="I3811" s="152" t="str">
        <f t="shared" si="178"/>
        <v/>
      </c>
      <c r="J3811" s="154"/>
      <c r="K3811" s="155" t="s">
        <v>2966</v>
      </c>
    </row>
    <row r="3812" spans="1:11" ht="25.5" hidden="1" x14ac:dyDescent="0.25">
      <c r="A3812" s="148" t="s">
        <v>9070</v>
      </c>
      <c r="B3812" s="149" t="s">
        <v>9071</v>
      </c>
      <c r="C3812" s="150" t="s">
        <v>87</v>
      </c>
      <c r="D3812" s="150">
        <v>0</v>
      </c>
      <c r="E3812" s="151" t="s">
        <v>13</v>
      </c>
      <c r="F3812" s="152" t="str">
        <f t="shared" si="179"/>
        <v/>
      </c>
      <c r="G3812" s="153">
        <f>IF($K3812="Padrão",BDI!$B$17,IF($K3812="Diferenciado",BDI!$E$17,0))</f>
        <v>0.2039</v>
      </c>
      <c r="H3812" s="151" t="str">
        <f t="shared" si="177"/>
        <v/>
      </c>
      <c r="I3812" s="152" t="str">
        <f t="shared" si="178"/>
        <v/>
      </c>
      <c r="J3812" s="154"/>
      <c r="K3812" s="155" t="s">
        <v>2966</v>
      </c>
    </row>
    <row r="3813" spans="1:11" ht="25.5" hidden="1" x14ac:dyDescent="0.25">
      <c r="A3813" s="148" t="s">
        <v>9072</v>
      </c>
      <c r="B3813" s="149" t="s">
        <v>9073</v>
      </c>
      <c r="C3813" s="150" t="s">
        <v>87</v>
      </c>
      <c r="D3813" s="150">
        <v>0</v>
      </c>
      <c r="E3813" s="151" t="s">
        <v>13</v>
      </c>
      <c r="F3813" s="152" t="str">
        <f t="shared" si="179"/>
        <v/>
      </c>
      <c r="G3813" s="153">
        <f>IF($K3813="Padrão",BDI!$B$17,IF($K3813="Diferenciado",BDI!$E$17,0))</f>
        <v>0.2039</v>
      </c>
      <c r="H3813" s="151" t="str">
        <f t="shared" si="177"/>
        <v/>
      </c>
      <c r="I3813" s="152" t="str">
        <f t="shared" si="178"/>
        <v/>
      </c>
      <c r="J3813" s="154"/>
      <c r="K3813" s="155" t="s">
        <v>2966</v>
      </c>
    </row>
    <row r="3814" spans="1:11" ht="25.5" hidden="1" x14ac:dyDescent="0.25">
      <c r="A3814" s="148" t="s">
        <v>9074</v>
      </c>
      <c r="B3814" s="149" t="s">
        <v>9075</v>
      </c>
      <c r="C3814" s="150" t="s">
        <v>87</v>
      </c>
      <c r="D3814" s="150">
        <v>0</v>
      </c>
      <c r="E3814" s="151" t="s">
        <v>13</v>
      </c>
      <c r="F3814" s="152" t="str">
        <f t="shared" si="179"/>
        <v/>
      </c>
      <c r="G3814" s="153">
        <f>IF($K3814="Padrão",BDI!$B$17,IF($K3814="Diferenciado",BDI!$E$17,0))</f>
        <v>0.2039</v>
      </c>
      <c r="H3814" s="151" t="str">
        <f t="shared" si="177"/>
        <v/>
      </c>
      <c r="I3814" s="152" t="str">
        <f t="shared" si="178"/>
        <v/>
      </c>
      <c r="J3814" s="154"/>
      <c r="K3814" s="155" t="s">
        <v>2966</v>
      </c>
    </row>
    <row r="3815" spans="1:11" ht="25.5" hidden="1" x14ac:dyDescent="0.25">
      <c r="A3815" s="148" t="s">
        <v>9076</v>
      </c>
      <c r="B3815" s="149" t="s">
        <v>9077</v>
      </c>
      <c r="C3815" s="150" t="s">
        <v>87</v>
      </c>
      <c r="D3815" s="150">
        <v>0</v>
      </c>
      <c r="E3815" s="151" t="s">
        <v>13</v>
      </c>
      <c r="F3815" s="152" t="str">
        <f t="shared" si="179"/>
        <v/>
      </c>
      <c r="G3815" s="153">
        <f>IF($K3815="Padrão",BDI!$B$17,IF($K3815="Diferenciado",BDI!$E$17,0))</f>
        <v>0.2039</v>
      </c>
      <c r="H3815" s="151" t="str">
        <f t="shared" si="177"/>
        <v/>
      </c>
      <c r="I3815" s="152" t="str">
        <f t="shared" si="178"/>
        <v/>
      </c>
      <c r="J3815" s="154"/>
      <c r="K3815" s="155" t="s">
        <v>2966</v>
      </c>
    </row>
    <row r="3816" spans="1:11" ht="25.5" hidden="1" x14ac:dyDescent="0.25">
      <c r="A3816" s="148" t="s">
        <v>9078</v>
      </c>
      <c r="B3816" s="149" t="s">
        <v>9079</v>
      </c>
      <c r="C3816" s="150" t="s">
        <v>87</v>
      </c>
      <c r="D3816" s="150">
        <v>0</v>
      </c>
      <c r="E3816" s="151" t="s">
        <v>13</v>
      </c>
      <c r="F3816" s="152" t="str">
        <f t="shared" si="179"/>
        <v/>
      </c>
      <c r="G3816" s="153">
        <f>IF($K3816="Padrão",BDI!$B$17,IF($K3816="Diferenciado",BDI!$E$17,0))</f>
        <v>0.2039</v>
      </c>
      <c r="H3816" s="151" t="str">
        <f t="shared" si="177"/>
        <v/>
      </c>
      <c r="I3816" s="152" t="str">
        <f t="shared" si="178"/>
        <v/>
      </c>
      <c r="J3816" s="154"/>
      <c r="K3816" s="155" t="s">
        <v>2966</v>
      </c>
    </row>
    <row r="3817" spans="1:11" ht="25.5" hidden="1" x14ac:dyDescent="0.25">
      <c r="A3817" s="148" t="s">
        <v>9080</v>
      </c>
      <c r="B3817" s="149" t="s">
        <v>9081</v>
      </c>
      <c r="C3817" s="150" t="s">
        <v>87</v>
      </c>
      <c r="D3817" s="150">
        <v>0</v>
      </c>
      <c r="E3817" s="151" t="s">
        <v>13</v>
      </c>
      <c r="F3817" s="152" t="str">
        <f t="shared" si="179"/>
        <v/>
      </c>
      <c r="G3817" s="153">
        <f>IF($K3817="Padrão",BDI!$B$17,IF($K3817="Diferenciado",BDI!$E$17,0))</f>
        <v>0.2039</v>
      </c>
      <c r="H3817" s="151" t="str">
        <f t="shared" si="177"/>
        <v/>
      </c>
      <c r="I3817" s="152" t="str">
        <f t="shared" si="178"/>
        <v/>
      </c>
      <c r="J3817" s="154"/>
      <c r="K3817" s="155" t="s">
        <v>2966</v>
      </c>
    </row>
    <row r="3818" spans="1:11" ht="25.5" hidden="1" x14ac:dyDescent="0.25">
      <c r="A3818" s="148" t="s">
        <v>9082</v>
      </c>
      <c r="B3818" s="149" t="s">
        <v>9083</v>
      </c>
      <c r="C3818" s="150" t="s">
        <v>87</v>
      </c>
      <c r="D3818" s="150">
        <v>0</v>
      </c>
      <c r="E3818" s="151" t="s">
        <v>13</v>
      </c>
      <c r="F3818" s="152" t="str">
        <f t="shared" si="179"/>
        <v/>
      </c>
      <c r="G3818" s="153">
        <f>IF($K3818="Padrão",BDI!$B$17,IF($K3818="Diferenciado",BDI!$E$17,0))</f>
        <v>0.2039</v>
      </c>
      <c r="H3818" s="151" t="str">
        <f t="shared" si="177"/>
        <v/>
      </c>
      <c r="I3818" s="152" t="str">
        <f t="shared" si="178"/>
        <v/>
      </c>
      <c r="J3818" s="154"/>
      <c r="K3818" s="155" t="s">
        <v>2966</v>
      </c>
    </row>
    <row r="3819" spans="1:11" ht="25.5" hidden="1" x14ac:dyDescent="0.25">
      <c r="A3819" s="148" t="s">
        <v>9084</v>
      </c>
      <c r="B3819" s="149" t="s">
        <v>9085</v>
      </c>
      <c r="C3819" s="150" t="s">
        <v>87</v>
      </c>
      <c r="D3819" s="150">
        <v>0</v>
      </c>
      <c r="E3819" s="151" t="s">
        <v>13</v>
      </c>
      <c r="F3819" s="152" t="str">
        <f t="shared" si="179"/>
        <v/>
      </c>
      <c r="G3819" s="153">
        <f>IF($K3819="Padrão",BDI!$B$17,IF($K3819="Diferenciado",BDI!$E$17,0))</f>
        <v>0.2039</v>
      </c>
      <c r="H3819" s="151" t="str">
        <f t="shared" si="177"/>
        <v/>
      </c>
      <c r="I3819" s="152" t="str">
        <f t="shared" si="178"/>
        <v/>
      </c>
      <c r="J3819" s="154"/>
      <c r="K3819" s="155" t="s">
        <v>2966</v>
      </c>
    </row>
    <row r="3820" spans="1:11" ht="25.5" hidden="1" x14ac:dyDescent="0.25">
      <c r="A3820" s="148" t="s">
        <v>9086</v>
      </c>
      <c r="B3820" s="149" t="s">
        <v>9087</v>
      </c>
      <c r="C3820" s="150" t="s">
        <v>87</v>
      </c>
      <c r="D3820" s="150">
        <v>0</v>
      </c>
      <c r="E3820" s="151" t="s">
        <v>13</v>
      </c>
      <c r="F3820" s="152" t="str">
        <f t="shared" si="179"/>
        <v/>
      </c>
      <c r="G3820" s="153">
        <f>IF($K3820="Padrão",BDI!$B$17,IF($K3820="Diferenciado",BDI!$E$17,0))</f>
        <v>0.2039</v>
      </c>
      <c r="H3820" s="151" t="str">
        <f t="shared" si="177"/>
        <v/>
      </c>
      <c r="I3820" s="152" t="str">
        <f t="shared" si="178"/>
        <v/>
      </c>
      <c r="J3820" s="154"/>
      <c r="K3820" s="155" t="s">
        <v>2966</v>
      </c>
    </row>
    <row r="3821" spans="1:11" ht="25.5" hidden="1" x14ac:dyDescent="0.25">
      <c r="A3821" s="148" t="s">
        <v>9088</v>
      </c>
      <c r="B3821" s="149" t="s">
        <v>9089</v>
      </c>
      <c r="C3821" s="150" t="s">
        <v>87</v>
      </c>
      <c r="D3821" s="150">
        <v>0</v>
      </c>
      <c r="E3821" s="151" t="s">
        <v>13</v>
      </c>
      <c r="F3821" s="152" t="str">
        <f t="shared" si="179"/>
        <v/>
      </c>
      <c r="G3821" s="153">
        <f>IF($K3821="Padrão",BDI!$B$17,IF($K3821="Diferenciado",BDI!$E$17,0))</f>
        <v>0.2039</v>
      </c>
      <c r="H3821" s="151" t="str">
        <f t="shared" si="177"/>
        <v/>
      </c>
      <c r="I3821" s="152" t="str">
        <f t="shared" si="178"/>
        <v/>
      </c>
      <c r="J3821" s="154"/>
      <c r="K3821" s="155" t="s">
        <v>2966</v>
      </c>
    </row>
    <row r="3822" spans="1:11" ht="25.5" hidden="1" x14ac:dyDescent="0.25">
      <c r="A3822" s="148" t="s">
        <v>9090</v>
      </c>
      <c r="B3822" s="149" t="s">
        <v>9091</v>
      </c>
      <c r="C3822" s="150" t="s">
        <v>87</v>
      </c>
      <c r="D3822" s="150">
        <v>0</v>
      </c>
      <c r="E3822" s="151" t="s">
        <v>13</v>
      </c>
      <c r="F3822" s="152" t="str">
        <f t="shared" si="179"/>
        <v/>
      </c>
      <c r="G3822" s="153">
        <f>IF($K3822="Padrão",BDI!$B$17,IF($K3822="Diferenciado",BDI!$E$17,0))</f>
        <v>0.2039</v>
      </c>
      <c r="H3822" s="151" t="str">
        <f t="shared" si="177"/>
        <v/>
      </c>
      <c r="I3822" s="152" t="str">
        <f t="shared" si="178"/>
        <v/>
      </c>
      <c r="J3822" s="154"/>
      <c r="K3822" s="155" t="s">
        <v>2966</v>
      </c>
    </row>
    <row r="3823" spans="1:11" hidden="1" x14ac:dyDescent="0.25">
      <c r="A3823" s="148" t="s">
        <v>9092</v>
      </c>
      <c r="B3823" s="149" t="s">
        <v>9093</v>
      </c>
      <c r="C3823" s="150" t="s">
        <v>87</v>
      </c>
      <c r="D3823" s="150">
        <v>0</v>
      </c>
      <c r="E3823" s="151" t="s">
        <v>13</v>
      </c>
      <c r="F3823" s="152" t="str">
        <f t="shared" si="179"/>
        <v/>
      </c>
      <c r="G3823" s="153">
        <f>IF($K3823="Padrão",BDI!$B$17,IF($K3823="Diferenciado",BDI!$E$17,0))</f>
        <v>0.2039</v>
      </c>
      <c r="H3823" s="151" t="str">
        <f t="shared" si="177"/>
        <v/>
      </c>
      <c r="I3823" s="152" t="str">
        <f t="shared" si="178"/>
        <v/>
      </c>
      <c r="J3823" s="154"/>
      <c r="K3823" s="155" t="s">
        <v>2966</v>
      </c>
    </row>
    <row r="3824" spans="1:11" hidden="1" x14ac:dyDescent="0.25">
      <c r="A3824" s="148" t="s">
        <v>9094</v>
      </c>
      <c r="B3824" s="149" t="s">
        <v>9095</v>
      </c>
      <c r="C3824" s="150" t="s">
        <v>87</v>
      </c>
      <c r="D3824" s="150">
        <v>0</v>
      </c>
      <c r="E3824" s="151" t="s">
        <v>13</v>
      </c>
      <c r="F3824" s="152" t="str">
        <f t="shared" si="179"/>
        <v/>
      </c>
      <c r="G3824" s="153">
        <f>IF($K3824="Padrão",BDI!$B$17,IF($K3824="Diferenciado",BDI!$E$17,0))</f>
        <v>0.2039</v>
      </c>
      <c r="H3824" s="151" t="str">
        <f t="shared" si="177"/>
        <v/>
      </c>
      <c r="I3824" s="152" t="str">
        <f t="shared" si="178"/>
        <v/>
      </c>
      <c r="J3824" s="154"/>
      <c r="K3824" s="155" t="s">
        <v>2966</v>
      </c>
    </row>
    <row r="3825" spans="1:11" hidden="1" x14ac:dyDescent="0.25">
      <c r="A3825" s="148" t="s">
        <v>9096</v>
      </c>
      <c r="B3825" s="149" t="s">
        <v>9097</v>
      </c>
      <c r="C3825" s="150" t="s">
        <v>87</v>
      </c>
      <c r="D3825" s="150">
        <v>0</v>
      </c>
      <c r="E3825" s="151" t="s">
        <v>13</v>
      </c>
      <c r="F3825" s="152" t="str">
        <f t="shared" si="179"/>
        <v/>
      </c>
      <c r="G3825" s="153">
        <f>IF($K3825="Padrão",BDI!$B$17,IF($K3825="Diferenciado",BDI!$E$17,0))</f>
        <v>0.2039</v>
      </c>
      <c r="H3825" s="151" t="str">
        <f t="shared" si="177"/>
        <v/>
      </c>
      <c r="I3825" s="152" t="str">
        <f t="shared" si="178"/>
        <v/>
      </c>
      <c r="J3825" s="154"/>
      <c r="K3825" s="155" t="s">
        <v>2966</v>
      </c>
    </row>
    <row r="3826" spans="1:11" hidden="1" x14ac:dyDescent="0.25">
      <c r="A3826" s="148" t="s">
        <v>9098</v>
      </c>
      <c r="B3826" s="149" t="s">
        <v>9099</v>
      </c>
      <c r="C3826" s="150" t="s">
        <v>87</v>
      </c>
      <c r="D3826" s="150">
        <v>0</v>
      </c>
      <c r="E3826" s="151" t="s">
        <v>13</v>
      </c>
      <c r="F3826" s="152" t="str">
        <f t="shared" si="179"/>
        <v/>
      </c>
      <c r="G3826" s="153">
        <f>IF($K3826="Padrão",BDI!$B$17,IF($K3826="Diferenciado",BDI!$E$17,0))</f>
        <v>0.2039</v>
      </c>
      <c r="H3826" s="151" t="str">
        <f t="shared" si="177"/>
        <v/>
      </c>
      <c r="I3826" s="152" t="str">
        <f t="shared" si="178"/>
        <v/>
      </c>
      <c r="J3826" s="154"/>
      <c r="K3826" s="155" t="s">
        <v>2966</v>
      </c>
    </row>
    <row r="3827" spans="1:11" hidden="1" x14ac:dyDescent="0.25">
      <c r="A3827" s="148" t="s">
        <v>9100</v>
      </c>
      <c r="B3827" s="149" t="s">
        <v>9101</v>
      </c>
      <c r="C3827" s="150" t="s">
        <v>87</v>
      </c>
      <c r="D3827" s="150">
        <v>0</v>
      </c>
      <c r="E3827" s="151" t="s">
        <v>13</v>
      </c>
      <c r="F3827" s="152" t="str">
        <f t="shared" si="179"/>
        <v/>
      </c>
      <c r="G3827" s="153">
        <f>IF($K3827="Padrão",BDI!$B$17,IF($K3827="Diferenciado",BDI!$E$17,0))</f>
        <v>0.2039</v>
      </c>
      <c r="H3827" s="151" t="str">
        <f t="shared" si="177"/>
        <v/>
      </c>
      <c r="I3827" s="152" t="str">
        <f t="shared" si="178"/>
        <v/>
      </c>
      <c r="J3827" s="154"/>
      <c r="K3827" s="155" t="s">
        <v>2966</v>
      </c>
    </row>
    <row r="3828" spans="1:11" hidden="1" x14ac:dyDescent="0.25">
      <c r="A3828" s="148" t="s">
        <v>9102</v>
      </c>
      <c r="B3828" s="149" t="s">
        <v>9103</v>
      </c>
      <c r="C3828" s="150" t="s">
        <v>87</v>
      </c>
      <c r="D3828" s="150">
        <v>0</v>
      </c>
      <c r="E3828" s="151" t="s">
        <v>13</v>
      </c>
      <c r="F3828" s="152" t="str">
        <f t="shared" si="179"/>
        <v/>
      </c>
      <c r="G3828" s="153">
        <f>IF($K3828="Padrão",BDI!$B$17,IF($K3828="Diferenciado",BDI!$E$17,0))</f>
        <v>0.2039</v>
      </c>
      <c r="H3828" s="151" t="str">
        <f t="shared" si="177"/>
        <v/>
      </c>
      <c r="I3828" s="152" t="str">
        <f t="shared" si="178"/>
        <v/>
      </c>
      <c r="J3828" s="154"/>
      <c r="K3828" s="155" t="s">
        <v>2966</v>
      </c>
    </row>
    <row r="3829" spans="1:11" hidden="1" x14ac:dyDescent="0.25">
      <c r="A3829" s="148" t="s">
        <v>9104</v>
      </c>
      <c r="B3829" s="149" t="s">
        <v>9105</v>
      </c>
      <c r="C3829" s="150" t="s">
        <v>87</v>
      </c>
      <c r="D3829" s="150">
        <v>0</v>
      </c>
      <c r="E3829" s="151" t="s">
        <v>13</v>
      </c>
      <c r="F3829" s="152" t="str">
        <f t="shared" si="179"/>
        <v/>
      </c>
      <c r="G3829" s="153">
        <f>IF($K3829="Padrão",BDI!$B$17,IF($K3829="Diferenciado",BDI!$E$17,0))</f>
        <v>0.2039</v>
      </c>
      <c r="H3829" s="151" t="str">
        <f t="shared" si="177"/>
        <v/>
      </c>
      <c r="I3829" s="152" t="str">
        <f t="shared" si="178"/>
        <v/>
      </c>
      <c r="J3829" s="154"/>
      <c r="K3829" s="155" t="s">
        <v>2966</v>
      </c>
    </row>
    <row r="3830" spans="1:11" hidden="1" x14ac:dyDescent="0.25">
      <c r="A3830" s="148" t="s">
        <v>9106</v>
      </c>
      <c r="B3830" s="149" t="s">
        <v>9107</v>
      </c>
      <c r="C3830" s="150" t="s">
        <v>87</v>
      </c>
      <c r="D3830" s="150">
        <v>0</v>
      </c>
      <c r="E3830" s="151" t="s">
        <v>13</v>
      </c>
      <c r="F3830" s="152" t="str">
        <f t="shared" si="179"/>
        <v/>
      </c>
      <c r="G3830" s="153">
        <f>IF($K3830="Padrão",BDI!$B$17,IF($K3830="Diferenciado",BDI!$E$17,0))</f>
        <v>0.2039</v>
      </c>
      <c r="H3830" s="151" t="str">
        <f t="shared" si="177"/>
        <v/>
      </c>
      <c r="I3830" s="152" t="str">
        <f t="shared" si="178"/>
        <v/>
      </c>
      <c r="J3830" s="154"/>
      <c r="K3830" s="155" t="s">
        <v>2966</v>
      </c>
    </row>
    <row r="3831" spans="1:11" hidden="1" x14ac:dyDescent="0.25">
      <c r="A3831" s="148" t="s">
        <v>9108</v>
      </c>
      <c r="B3831" s="149" t="s">
        <v>9109</v>
      </c>
      <c r="C3831" s="150" t="s">
        <v>87</v>
      </c>
      <c r="D3831" s="150">
        <v>0</v>
      </c>
      <c r="E3831" s="151" t="s">
        <v>13</v>
      </c>
      <c r="F3831" s="152" t="str">
        <f t="shared" si="179"/>
        <v/>
      </c>
      <c r="G3831" s="153">
        <f>IF($K3831="Padrão",BDI!$B$17,IF($K3831="Diferenciado",BDI!$E$17,0))</f>
        <v>0.2039</v>
      </c>
      <c r="H3831" s="151" t="str">
        <f t="shared" si="177"/>
        <v/>
      </c>
      <c r="I3831" s="152" t="str">
        <f t="shared" si="178"/>
        <v/>
      </c>
      <c r="J3831" s="154"/>
      <c r="K3831" s="155" t="s">
        <v>2966</v>
      </c>
    </row>
    <row r="3832" spans="1:11" hidden="1" x14ac:dyDescent="0.25">
      <c r="A3832" s="148" t="s">
        <v>9110</v>
      </c>
      <c r="B3832" s="149" t="s">
        <v>9111</v>
      </c>
      <c r="C3832" s="150" t="s">
        <v>87</v>
      </c>
      <c r="D3832" s="150">
        <v>0</v>
      </c>
      <c r="E3832" s="151" t="s">
        <v>13</v>
      </c>
      <c r="F3832" s="152" t="str">
        <f t="shared" si="179"/>
        <v/>
      </c>
      <c r="G3832" s="153">
        <f>IF($K3832="Padrão",BDI!$B$17,IF($K3832="Diferenciado",BDI!$E$17,0))</f>
        <v>0.2039</v>
      </c>
      <c r="H3832" s="151" t="str">
        <f t="shared" si="177"/>
        <v/>
      </c>
      <c r="I3832" s="152" t="str">
        <f t="shared" si="178"/>
        <v/>
      </c>
      <c r="J3832" s="154"/>
      <c r="K3832" s="155" t="s">
        <v>2966</v>
      </c>
    </row>
    <row r="3833" spans="1:11" ht="25.5" hidden="1" x14ac:dyDescent="0.25">
      <c r="A3833" s="148" t="s">
        <v>9112</v>
      </c>
      <c r="B3833" s="149" t="s">
        <v>9113</v>
      </c>
      <c r="C3833" s="150" t="s">
        <v>87</v>
      </c>
      <c r="D3833" s="150">
        <v>0</v>
      </c>
      <c r="E3833" s="151" t="s">
        <v>13</v>
      </c>
      <c r="F3833" s="152" t="str">
        <f t="shared" si="179"/>
        <v/>
      </c>
      <c r="G3833" s="153">
        <f>IF($K3833="Padrão",BDI!$B$17,IF($K3833="Diferenciado",BDI!$E$17,0))</f>
        <v>0.2039</v>
      </c>
      <c r="H3833" s="151" t="str">
        <f t="shared" si="177"/>
        <v/>
      </c>
      <c r="I3833" s="152" t="str">
        <f t="shared" si="178"/>
        <v/>
      </c>
      <c r="J3833" s="154"/>
      <c r="K3833" s="155" t="s">
        <v>2966</v>
      </c>
    </row>
    <row r="3834" spans="1:11" ht="25.5" hidden="1" x14ac:dyDescent="0.25">
      <c r="A3834" s="148" t="s">
        <v>9114</v>
      </c>
      <c r="B3834" s="149" t="s">
        <v>9115</v>
      </c>
      <c r="C3834" s="150" t="s">
        <v>87</v>
      </c>
      <c r="D3834" s="150">
        <v>0</v>
      </c>
      <c r="E3834" s="151" t="s">
        <v>13</v>
      </c>
      <c r="F3834" s="152" t="str">
        <f t="shared" si="179"/>
        <v/>
      </c>
      <c r="G3834" s="153">
        <f>IF($K3834="Padrão",BDI!$B$17,IF($K3834="Diferenciado",BDI!$E$17,0))</f>
        <v>0.2039</v>
      </c>
      <c r="H3834" s="151" t="str">
        <f t="shared" si="177"/>
        <v/>
      </c>
      <c r="I3834" s="152" t="str">
        <f t="shared" si="178"/>
        <v/>
      </c>
      <c r="J3834" s="154"/>
      <c r="K3834" s="155" t="s">
        <v>2966</v>
      </c>
    </row>
    <row r="3835" spans="1:11" ht="25.5" hidden="1" x14ac:dyDescent="0.25">
      <c r="A3835" s="148" t="s">
        <v>9116</v>
      </c>
      <c r="B3835" s="149" t="s">
        <v>9117</v>
      </c>
      <c r="C3835" s="150" t="s">
        <v>87</v>
      </c>
      <c r="D3835" s="150">
        <v>0</v>
      </c>
      <c r="E3835" s="151" t="s">
        <v>13</v>
      </c>
      <c r="F3835" s="152" t="str">
        <f t="shared" si="179"/>
        <v/>
      </c>
      <c r="G3835" s="153">
        <f>IF($K3835="Padrão",BDI!$B$17,IF($K3835="Diferenciado",BDI!$E$17,0))</f>
        <v>0.2039</v>
      </c>
      <c r="H3835" s="151" t="str">
        <f t="shared" si="177"/>
        <v/>
      </c>
      <c r="I3835" s="152" t="str">
        <f t="shared" si="178"/>
        <v/>
      </c>
      <c r="J3835" s="154"/>
      <c r="K3835" s="155" t="s">
        <v>2966</v>
      </c>
    </row>
    <row r="3836" spans="1:11" ht="25.5" hidden="1" x14ac:dyDescent="0.25">
      <c r="A3836" s="148" t="s">
        <v>9118</v>
      </c>
      <c r="B3836" s="149" t="s">
        <v>9119</v>
      </c>
      <c r="C3836" s="150" t="s">
        <v>87</v>
      </c>
      <c r="D3836" s="150">
        <v>0</v>
      </c>
      <c r="E3836" s="151" t="s">
        <v>13</v>
      </c>
      <c r="F3836" s="152" t="str">
        <f t="shared" si="179"/>
        <v/>
      </c>
      <c r="G3836" s="153">
        <f>IF($K3836="Padrão",BDI!$B$17,IF($K3836="Diferenciado",BDI!$E$17,0))</f>
        <v>0.2039</v>
      </c>
      <c r="H3836" s="151" t="str">
        <f t="shared" si="177"/>
        <v/>
      </c>
      <c r="I3836" s="152" t="str">
        <f t="shared" si="178"/>
        <v/>
      </c>
      <c r="J3836" s="154"/>
      <c r="K3836" s="155" t="s">
        <v>2966</v>
      </c>
    </row>
    <row r="3837" spans="1:11" ht="25.5" hidden="1" x14ac:dyDescent="0.25">
      <c r="A3837" s="148" t="s">
        <v>9120</v>
      </c>
      <c r="B3837" s="149" t="s">
        <v>9121</v>
      </c>
      <c r="C3837" s="150" t="s">
        <v>87</v>
      </c>
      <c r="D3837" s="150">
        <v>0</v>
      </c>
      <c r="E3837" s="151" t="s">
        <v>13</v>
      </c>
      <c r="F3837" s="152" t="str">
        <f t="shared" si="179"/>
        <v/>
      </c>
      <c r="G3837" s="153">
        <f>IF($K3837="Padrão",BDI!$B$17,IF($K3837="Diferenciado",BDI!$E$17,0))</f>
        <v>0.2039</v>
      </c>
      <c r="H3837" s="151" t="str">
        <f t="shared" si="177"/>
        <v/>
      </c>
      <c r="I3837" s="152" t="str">
        <f t="shared" si="178"/>
        <v/>
      </c>
      <c r="J3837" s="154"/>
      <c r="K3837" s="155" t="s">
        <v>2966</v>
      </c>
    </row>
    <row r="3838" spans="1:11" ht="25.5" hidden="1" x14ac:dyDescent="0.25">
      <c r="A3838" s="148" t="s">
        <v>9122</v>
      </c>
      <c r="B3838" s="149" t="s">
        <v>9123</v>
      </c>
      <c r="C3838" s="150" t="s">
        <v>87</v>
      </c>
      <c r="D3838" s="150">
        <v>0</v>
      </c>
      <c r="E3838" s="151" t="s">
        <v>13</v>
      </c>
      <c r="F3838" s="152" t="str">
        <f t="shared" si="179"/>
        <v/>
      </c>
      <c r="G3838" s="153">
        <f>IF($K3838="Padrão",BDI!$B$17,IF($K3838="Diferenciado",BDI!$E$17,0))</f>
        <v>0.2039</v>
      </c>
      <c r="H3838" s="151" t="str">
        <f t="shared" si="177"/>
        <v/>
      </c>
      <c r="I3838" s="152" t="str">
        <f t="shared" si="178"/>
        <v/>
      </c>
      <c r="J3838" s="154"/>
      <c r="K3838" s="155" t="s">
        <v>2966</v>
      </c>
    </row>
    <row r="3839" spans="1:11" ht="25.5" hidden="1" x14ac:dyDescent="0.25">
      <c r="A3839" s="148" t="s">
        <v>9124</v>
      </c>
      <c r="B3839" s="149" t="s">
        <v>9125</v>
      </c>
      <c r="C3839" s="150" t="s">
        <v>87</v>
      </c>
      <c r="D3839" s="150">
        <v>0</v>
      </c>
      <c r="E3839" s="151" t="s">
        <v>13</v>
      </c>
      <c r="F3839" s="152" t="str">
        <f t="shared" si="179"/>
        <v/>
      </c>
      <c r="G3839" s="153">
        <f>IF($K3839="Padrão",BDI!$B$17,IF($K3839="Diferenciado",BDI!$E$17,0))</f>
        <v>0.2039</v>
      </c>
      <c r="H3839" s="151" t="str">
        <f t="shared" si="177"/>
        <v/>
      </c>
      <c r="I3839" s="152" t="str">
        <f t="shared" si="178"/>
        <v/>
      </c>
      <c r="J3839" s="154"/>
      <c r="K3839" s="155" t="s">
        <v>2966</v>
      </c>
    </row>
    <row r="3840" spans="1:11" ht="25.5" hidden="1" x14ac:dyDescent="0.25">
      <c r="A3840" s="148" t="s">
        <v>9126</v>
      </c>
      <c r="B3840" s="149" t="s">
        <v>9127</v>
      </c>
      <c r="C3840" s="150" t="s">
        <v>87</v>
      </c>
      <c r="D3840" s="150">
        <v>0</v>
      </c>
      <c r="E3840" s="151" t="s">
        <v>13</v>
      </c>
      <c r="F3840" s="152" t="str">
        <f t="shared" si="179"/>
        <v/>
      </c>
      <c r="G3840" s="153">
        <f>IF($K3840="Padrão",BDI!$B$17,IF($K3840="Diferenciado",BDI!$E$17,0))</f>
        <v>0.2039</v>
      </c>
      <c r="H3840" s="151" t="str">
        <f t="shared" si="177"/>
        <v/>
      </c>
      <c r="I3840" s="152" t="str">
        <f t="shared" si="178"/>
        <v/>
      </c>
      <c r="J3840" s="154"/>
      <c r="K3840" s="155" t="s">
        <v>2966</v>
      </c>
    </row>
    <row r="3841" spans="1:11" ht="25.5" hidden="1" x14ac:dyDescent="0.25">
      <c r="A3841" s="148" t="s">
        <v>9128</v>
      </c>
      <c r="B3841" s="149" t="s">
        <v>9129</v>
      </c>
      <c r="C3841" s="150" t="s">
        <v>87</v>
      </c>
      <c r="D3841" s="150">
        <v>0</v>
      </c>
      <c r="E3841" s="151" t="s">
        <v>13</v>
      </c>
      <c r="F3841" s="152" t="str">
        <f t="shared" si="179"/>
        <v/>
      </c>
      <c r="G3841" s="153">
        <f>IF($K3841="Padrão",BDI!$B$17,IF($K3841="Diferenciado",BDI!$E$17,0))</f>
        <v>0.2039</v>
      </c>
      <c r="H3841" s="151" t="str">
        <f t="shared" si="177"/>
        <v/>
      </c>
      <c r="I3841" s="152" t="str">
        <f t="shared" si="178"/>
        <v/>
      </c>
      <c r="J3841" s="154"/>
      <c r="K3841" s="155" t="s">
        <v>2966</v>
      </c>
    </row>
    <row r="3842" spans="1:11" hidden="1" x14ac:dyDescent="0.25">
      <c r="A3842" s="148" t="s">
        <v>9130</v>
      </c>
      <c r="B3842" s="149" t="s">
        <v>9131</v>
      </c>
      <c r="C3842" s="150" t="s">
        <v>87</v>
      </c>
      <c r="D3842" s="150">
        <v>0</v>
      </c>
      <c r="E3842" s="151" t="s">
        <v>13</v>
      </c>
      <c r="F3842" s="152" t="str">
        <f t="shared" si="179"/>
        <v/>
      </c>
      <c r="G3842" s="153">
        <f>IF($K3842="Padrão",BDI!$B$17,IF($K3842="Diferenciado",BDI!$E$17,0))</f>
        <v>0.2039</v>
      </c>
      <c r="H3842" s="151" t="str">
        <f t="shared" si="177"/>
        <v/>
      </c>
      <c r="I3842" s="152" t="str">
        <f t="shared" si="178"/>
        <v/>
      </c>
      <c r="J3842" s="154"/>
      <c r="K3842" s="155" t="s">
        <v>2966</v>
      </c>
    </row>
    <row r="3843" spans="1:11" hidden="1" x14ac:dyDescent="0.25">
      <c r="A3843" s="148" t="s">
        <v>9132</v>
      </c>
      <c r="B3843" s="149" t="s">
        <v>9133</v>
      </c>
      <c r="C3843" s="150" t="s">
        <v>87</v>
      </c>
      <c r="D3843" s="150">
        <v>0</v>
      </c>
      <c r="E3843" s="151" t="s">
        <v>13</v>
      </c>
      <c r="F3843" s="152" t="str">
        <f t="shared" si="179"/>
        <v/>
      </c>
      <c r="G3843" s="153">
        <f>IF($K3843="Padrão",BDI!$B$17,IF($K3843="Diferenciado",BDI!$E$17,0))</f>
        <v>0.2039</v>
      </c>
      <c r="H3843" s="151" t="str">
        <f t="shared" si="177"/>
        <v/>
      </c>
      <c r="I3843" s="152" t="str">
        <f t="shared" si="178"/>
        <v/>
      </c>
      <c r="J3843" s="154"/>
      <c r="K3843" s="155" t="s">
        <v>2966</v>
      </c>
    </row>
    <row r="3844" spans="1:11" hidden="1" x14ac:dyDescent="0.25">
      <c r="A3844" s="148" t="s">
        <v>9134</v>
      </c>
      <c r="B3844" s="149" t="s">
        <v>9135</v>
      </c>
      <c r="C3844" s="150" t="s">
        <v>87</v>
      </c>
      <c r="D3844" s="150">
        <v>0</v>
      </c>
      <c r="E3844" s="151" t="s">
        <v>13</v>
      </c>
      <c r="F3844" s="152" t="str">
        <f t="shared" si="179"/>
        <v/>
      </c>
      <c r="G3844" s="153">
        <f>IF($K3844="Padrão",BDI!$B$17,IF($K3844="Diferenciado",BDI!$E$17,0))</f>
        <v>0.2039</v>
      </c>
      <c r="H3844" s="151" t="str">
        <f t="shared" si="177"/>
        <v/>
      </c>
      <c r="I3844" s="152" t="str">
        <f t="shared" si="178"/>
        <v/>
      </c>
      <c r="J3844" s="154"/>
      <c r="K3844" s="155" t="s">
        <v>2966</v>
      </c>
    </row>
    <row r="3845" spans="1:11" ht="25.5" hidden="1" x14ac:dyDescent="0.25">
      <c r="A3845" s="148" t="s">
        <v>9136</v>
      </c>
      <c r="B3845" s="149" t="s">
        <v>9137</v>
      </c>
      <c r="C3845" s="150" t="s">
        <v>87</v>
      </c>
      <c r="D3845" s="150">
        <v>0</v>
      </c>
      <c r="E3845" s="151" t="s">
        <v>13</v>
      </c>
      <c r="F3845" s="152" t="str">
        <f t="shared" si="179"/>
        <v/>
      </c>
      <c r="G3845" s="153">
        <f>IF($K3845="Padrão",BDI!$B$17,IF($K3845="Diferenciado",BDI!$E$17,0))</f>
        <v>0.2039</v>
      </c>
      <c r="H3845" s="151" t="str">
        <f t="shared" si="177"/>
        <v/>
      </c>
      <c r="I3845" s="152" t="str">
        <f t="shared" si="178"/>
        <v/>
      </c>
      <c r="J3845" s="154"/>
      <c r="K3845" s="155" t="s">
        <v>2966</v>
      </c>
    </row>
    <row r="3846" spans="1:11" ht="25.5" hidden="1" x14ac:dyDescent="0.25">
      <c r="A3846" s="148" t="s">
        <v>9138</v>
      </c>
      <c r="B3846" s="149" t="s">
        <v>9139</v>
      </c>
      <c r="C3846" s="150" t="s">
        <v>87</v>
      </c>
      <c r="D3846" s="150">
        <v>0</v>
      </c>
      <c r="E3846" s="151" t="s">
        <v>13</v>
      </c>
      <c r="F3846" s="152" t="str">
        <f t="shared" si="179"/>
        <v/>
      </c>
      <c r="G3846" s="153">
        <f>IF($K3846="Padrão",BDI!$B$17,IF($K3846="Diferenciado",BDI!$E$17,0))</f>
        <v>0.2039</v>
      </c>
      <c r="H3846" s="151" t="str">
        <f t="shared" ref="H3846:H3909" si="180">IF(ISNUMBER(E3846),ROUND(E3846*(1+G3846),2),"")</f>
        <v/>
      </c>
      <c r="I3846" s="152" t="str">
        <f t="shared" ref="I3846:I3909" si="181">IF(ISNUMBER(E3846),ROUND(H3846*D3846,2),"")</f>
        <v/>
      </c>
      <c r="J3846" s="154"/>
      <c r="K3846" s="155" t="s">
        <v>2966</v>
      </c>
    </row>
    <row r="3847" spans="1:11" hidden="1" x14ac:dyDescent="0.25">
      <c r="A3847" s="148" t="s">
        <v>9140</v>
      </c>
      <c r="B3847" s="149" t="s">
        <v>9141</v>
      </c>
      <c r="C3847" s="150" t="s">
        <v>87</v>
      </c>
      <c r="D3847" s="150">
        <v>0</v>
      </c>
      <c r="E3847" s="151" t="s">
        <v>13</v>
      </c>
      <c r="F3847" s="152" t="str">
        <f t="shared" ref="F3847:F3910" si="182">IF(ISNUMBER(E3847),D3847*E3847,"")</f>
        <v/>
      </c>
      <c r="G3847" s="153">
        <f>IF($K3847="Padrão",BDI!$B$17,IF($K3847="Diferenciado",BDI!$E$17,0))</f>
        <v>0.2039</v>
      </c>
      <c r="H3847" s="151" t="str">
        <f t="shared" si="180"/>
        <v/>
      </c>
      <c r="I3847" s="152" t="str">
        <f t="shared" si="181"/>
        <v/>
      </c>
      <c r="J3847" s="154"/>
      <c r="K3847" s="155" t="s">
        <v>2966</v>
      </c>
    </row>
    <row r="3848" spans="1:11" hidden="1" x14ac:dyDescent="0.25">
      <c r="A3848" s="148" t="s">
        <v>9142</v>
      </c>
      <c r="B3848" s="149" t="s">
        <v>9143</v>
      </c>
      <c r="C3848" s="150" t="s">
        <v>106</v>
      </c>
      <c r="D3848" s="150">
        <v>0</v>
      </c>
      <c r="E3848" s="151" t="s">
        <v>13</v>
      </c>
      <c r="F3848" s="152" t="str">
        <f t="shared" si="182"/>
        <v/>
      </c>
      <c r="G3848" s="153">
        <f>IF($K3848="Padrão",BDI!$B$17,IF($K3848="Diferenciado",BDI!$E$17,0))</f>
        <v>0.2039</v>
      </c>
      <c r="H3848" s="151" t="str">
        <f t="shared" si="180"/>
        <v/>
      </c>
      <c r="I3848" s="152" t="str">
        <f t="shared" si="181"/>
        <v/>
      </c>
      <c r="J3848" s="154"/>
      <c r="K3848" s="155" t="s">
        <v>2966</v>
      </c>
    </row>
    <row r="3849" spans="1:11" hidden="1" x14ac:dyDescent="0.25">
      <c r="A3849" s="148" t="s">
        <v>9144</v>
      </c>
      <c r="B3849" s="149" t="s">
        <v>9145</v>
      </c>
      <c r="C3849" s="150" t="s">
        <v>106</v>
      </c>
      <c r="D3849" s="150">
        <v>0</v>
      </c>
      <c r="E3849" s="151" t="s">
        <v>13</v>
      </c>
      <c r="F3849" s="152" t="str">
        <f t="shared" si="182"/>
        <v/>
      </c>
      <c r="G3849" s="153">
        <f>IF($K3849="Padrão",BDI!$B$17,IF($K3849="Diferenciado",BDI!$E$17,0))</f>
        <v>0.2039</v>
      </c>
      <c r="H3849" s="151" t="str">
        <f t="shared" si="180"/>
        <v/>
      </c>
      <c r="I3849" s="152" t="str">
        <f t="shared" si="181"/>
        <v/>
      </c>
      <c r="J3849" s="154"/>
      <c r="K3849" s="155" t="s">
        <v>2966</v>
      </c>
    </row>
    <row r="3850" spans="1:11" ht="25.5" hidden="1" x14ac:dyDescent="0.25">
      <c r="A3850" s="148" t="s">
        <v>9146</v>
      </c>
      <c r="B3850" s="149" t="s">
        <v>9147</v>
      </c>
      <c r="C3850" s="150" t="s">
        <v>106</v>
      </c>
      <c r="D3850" s="150">
        <v>0</v>
      </c>
      <c r="E3850" s="151" t="s">
        <v>13</v>
      </c>
      <c r="F3850" s="152" t="str">
        <f t="shared" si="182"/>
        <v/>
      </c>
      <c r="G3850" s="153">
        <f>IF($K3850="Padrão",BDI!$B$17,IF($K3850="Diferenciado",BDI!$E$17,0))</f>
        <v>0.2039</v>
      </c>
      <c r="H3850" s="151" t="str">
        <f t="shared" si="180"/>
        <v/>
      </c>
      <c r="I3850" s="152" t="str">
        <f t="shared" si="181"/>
        <v/>
      </c>
      <c r="J3850" s="154"/>
      <c r="K3850" s="155" t="s">
        <v>2966</v>
      </c>
    </row>
    <row r="3851" spans="1:11" ht="25.5" hidden="1" x14ac:dyDescent="0.25">
      <c r="A3851" s="148" t="s">
        <v>9148</v>
      </c>
      <c r="B3851" s="149" t="s">
        <v>9149</v>
      </c>
      <c r="C3851" s="150" t="s">
        <v>461</v>
      </c>
      <c r="D3851" s="150">
        <v>0</v>
      </c>
      <c r="E3851" s="151" t="s">
        <v>13</v>
      </c>
      <c r="F3851" s="152" t="str">
        <f t="shared" si="182"/>
        <v/>
      </c>
      <c r="G3851" s="153">
        <f>IF($K3851="Padrão",BDI!$B$17,IF($K3851="Diferenciado",BDI!$E$17,0))</f>
        <v>0.2039</v>
      </c>
      <c r="H3851" s="151" t="str">
        <f t="shared" si="180"/>
        <v/>
      </c>
      <c r="I3851" s="152" t="str">
        <f t="shared" si="181"/>
        <v/>
      </c>
      <c r="J3851" s="154"/>
      <c r="K3851" s="155" t="s">
        <v>2966</v>
      </c>
    </row>
    <row r="3852" spans="1:11" ht="25.5" hidden="1" x14ac:dyDescent="0.25">
      <c r="A3852" s="148" t="s">
        <v>9150</v>
      </c>
      <c r="B3852" s="149" t="s">
        <v>9151</v>
      </c>
      <c r="C3852" s="150" t="s">
        <v>461</v>
      </c>
      <c r="D3852" s="150">
        <v>0</v>
      </c>
      <c r="E3852" s="151" t="s">
        <v>13</v>
      </c>
      <c r="F3852" s="152" t="str">
        <f t="shared" si="182"/>
        <v/>
      </c>
      <c r="G3852" s="153">
        <f>IF($K3852="Padrão",BDI!$B$17,IF($K3852="Diferenciado",BDI!$E$17,0))</f>
        <v>0.2039</v>
      </c>
      <c r="H3852" s="151" t="str">
        <f t="shared" si="180"/>
        <v/>
      </c>
      <c r="I3852" s="152" t="str">
        <f t="shared" si="181"/>
        <v/>
      </c>
      <c r="J3852" s="154"/>
      <c r="K3852" s="155" t="s">
        <v>2966</v>
      </c>
    </row>
    <row r="3853" spans="1:11" ht="25.5" hidden="1" x14ac:dyDescent="0.25">
      <c r="A3853" s="148" t="s">
        <v>9152</v>
      </c>
      <c r="B3853" s="149" t="s">
        <v>9153</v>
      </c>
      <c r="C3853" s="150" t="s">
        <v>461</v>
      </c>
      <c r="D3853" s="150">
        <v>0</v>
      </c>
      <c r="E3853" s="151" t="s">
        <v>13</v>
      </c>
      <c r="F3853" s="152" t="str">
        <f t="shared" si="182"/>
        <v/>
      </c>
      <c r="G3853" s="153">
        <f>IF($K3853="Padrão",BDI!$B$17,IF($K3853="Diferenciado",BDI!$E$17,0))</f>
        <v>0.2039</v>
      </c>
      <c r="H3853" s="151" t="str">
        <f t="shared" si="180"/>
        <v/>
      </c>
      <c r="I3853" s="152" t="str">
        <f t="shared" si="181"/>
        <v/>
      </c>
      <c r="J3853" s="154"/>
      <c r="K3853" s="155" t="s">
        <v>2966</v>
      </c>
    </row>
    <row r="3854" spans="1:11" ht="25.5" hidden="1" x14ac:dyDescent="0.25">
      <c r="A3854" s="148" t="s">
        <v>9154</v>
      </c>
      <c r="B3854" s="149" t="s">
        <v>9155</v>
      </c>
      <c r="C3854" s="150" t="s">
        <v>461</v>
      </c>
      <c r="D3854" s="150">
        <v>0</v>
      </c>
      <c r="E3854" s="151" t="s">
        <v>13</v>
      </c>
      <c r="F3854" s="152" t="str">
        <f t="shared" si="182"/>
        <v/>
      </c>
      <c r="G3854" s="153">
        <f>IF($K3854="Padrão",BDI!$B$17,IF($K3854="Diferenciado",BDI!$E$17,0))</f>
        <v>0.2039</v>
      </c>
      <c r="H3854" s="151" t="str">
        <f t="shared" si="180"/>
        <v/>
      </c>
      <c r="I3854" s="152" t="str">
        <f t="shared" si="181"/>
        <v/>
      </c>
      <c r="J3854" s="154"/>
      <c r="K3854" s="155" t="s">
        <v>2966</v>
      </c>
    </row>
    <row r="3855" spans="1:11" ht="25.5" hidden="1" x14ac:dyDescent="0.25">
      <c r="A3855" s="148" t="s">
        <v>9156</v>
      </c>
      <c r="B3855" s="149" t="s">
        <v>9157</v>
      </c>
      <c r="C3855" s="150" t="s">
        <v>461</v>
      </c>
      <c r="D3855" s="150">
        <v>0</v>
      </c>
      <c r="E3855" s="151" t="s">
        <v>13</v>
      </c>
      <c r="F3855" s="152" t="str">
        <f t="shared" si="182"/>
        <v/>
      </c>
      <c r="G3855" s="153">
        <f>IF($K3855="Padrão",BDI!$B$17,IF($K3855="Diferenciado",BDI!$E$17,0))</f>
        <v>0.2039</v>
      </c>
      <c r="H3855" s="151" t="str">
        <f t="shared" si="180"/>
        <v/>
      </c>
      <c r="I3855" s="152" t="str">
        <f t="shared" si="181"/>
        <v/>
      </c>
      <c r="J3855" s="154"/>
      <c r="K3855" s="155" t="s">
        <v>2966</v>
      </c>
    </row>
    <row r="3856" spans="1:11" hidden="1" x14ac:dyDescent="0.25">
      <c r="A3856" s="148" t="s">
        <v>9158</v>
      </c>
      <c r="B3856" s="149" t="s">
        <v>9159</v>
      </c>
      <c r="C3856" s="150" t="s">
        <v>87</v>
      </c>
      <c r="D3856" s="150">
        <v>0</v>
      </c>
      <c r="E3856" s="151" t="s">
        <v>13</v>
      </c>
      <c r="F3856" s="152" t="str">
        <f t="shared" si="182"/>
        <v/>
      </c>
      <c r="G3856" s="153">
        <f>IF($K3856="Padrão",BDI!$B$17,IF($K3856="Diferenciado",BDI!$E$17,0))</f>
        <v>0.2039</v>
      </c>
      <c r="H3856" s="151" t="str">
        <f t="shared" si="180"/>
        <v/>
      </c>
      <c r="I3856" s="152" t="str">
        <f t="shared" si="181"/>
        <v/>
      </c>
      <c r="J3856" s="154"/>
      <c r="K3856" s="155" t="s">
        <v>2966</v>
      </c>
    </row>
    <row r="3857" spans="1:11" hidden="1" x14ac:dyDescent="0.25">
      <c r="A3857" s="148" t="s">
        <v>9160</v>
      </c>
      <c r="B3857" s="149" t="s">
        <v>9161</v>
      </c>
      <c r="C3857" s="150" t="s">
        <v>87</v>
      </c>
      <c r="D3857" s="150">
        <v>0</v>
      </c>
      <c r="E3857" s="151" t="s">
        <v>13</v>
      </c>
      <c r="F3857" s="152" t="str">
        <f t="shared" si="182"/>
        <v/>
      </c>
      <c r="G3857" s="153">
        <f>IF($K3857="Padrão",BDI!$B$17,IF($K3857="Diferenciado",BDI!$E$17,0))</f>
        <v>0.2039</v>
      </c>
      <c r="H3857" s="151" t="str">
        <f t="shared" si="180"/>
        <v/>
      </c>
      <c r="I3857" s="152" t="str">
        <f t="shared" si="181"/>
        <v/>
      </c>
      <c r="J3857" s="154"/>
      <c r="K3857" s="155" t="s">
        <v>2966</v>
      </c>
    </row>
    <row r="3858" spans="1:11" hidden="1" x14ac:dyDescent="0.25">
      <c r="A3858" s="148" t="s">
        <v>9162</v>
      </c>
      <c r="B3858" s="149" t="s">
        <v>9163</v>
      </c>
      <c r="C3858" s="150" t="s">
        <v>87</v>
      </c>
      <c r="D3858" s="150">
        <v>0</v>
      </c>
      <c r="E3858" s="151" t="s">
        <v>13</v>
      </c>
      <c r="F3858" s="152" t="str">
        <f t="shared" si="182"/>
        <v/>
      </c>
      <c r="G3858" s="153">
        <f>IF($K3858="Padrão",BDI!$B$17,IF($K3858="Diferenciado",BDI!$E$17,0))</f>
        <v>0.2039</v>
      </c>
      <c r="H3858" s="151" t="str">
        <f t="shared" si="180"/>
        <v/>
      </c>
      <c r="I3858" s="152" t="str">
        <f t="shared" si="181"/>
        <v/>
      </c>
      <c r="J3858" s="154"/>
      <c r="K3858" s="155" t="s">
        <v>2966</v>
      </c>
    </row>
    <row r="3859" spans="1:11" hidden="1" x14ac:dyDescent="0.25">
      <c r="A3859" s="148" t="s">
        <v>9164</v>
      </c>
      <c r="B3859" s="149" t="s">
        <v>9165</v>
      </c>
      <c r="C3859" s="150" t="s">
        <v>87</v>
      </c>
      <c r="D3859" s="150">
        <v>0</v>
      </c>
      <c r="E3859" s="151" t="s">
        <v>13</v>
      </c>
      <c r="F3859" s="152" t="str">
        <f t="shared" si="182"/>
        <v/>
      </c>
      <c r="G3859" s="153">
        <f>IF($K3859="Padrão",BDI!$B$17,IF($K3859="Diferenciado",BDI!$E$17,0))</f>
        <v>0.2039</v>
      </c>
      <c r="H3859" s="151" t="str">
        <f t="shared" si="180"/>
        <v/>
      </c>
      <c r="I3859" s="152" t="str">
        <f t="shared" si="181"/>
        <v/>
      </c>
      <c r="J3859" s="154"/>
      <c r="K3859" s="155" t="s">
        <v>2966</v>
      </c>
    </row>
    <row r="3860" spans="1:11" hidden="1" x14ac:dyDescent="0.25">
      <c r="A3860" s="148" t="s">
        <v>9166</v>
      </c>
      <c r="B3860" s="149" t="s">
        <v>9167</v>
      </c>
      <c r="C3860" s="150" t="s">
        <v>87</v>
      </c>
      <c r="D3860" s="150">
        <v>0</v>
      </c>
      <c r="E3860" s="151" t="s">
        <v>13</v>
      </c>
      <c r="F3860" s="152" t="str">
        <f t="shared" si="182"/>
        <v/>
      </c>
      <c r="G3860" s="153">
        <f>IF($K3860="Padrão",BDI!$B$17,IF($K3860="Diferenciado",BDI!$E$17,0))</f>
        <v>0.2039</v>
      </c>
      <c r="H3860" s="151" t="str">
        <f t="shared" si="180"/>
        <v/>
      </c>
      <c r="I3860" s="152" t="str">
        <f t="shared" si="181"/>
        <v/>
      </c>
      <c r="J3860" s="154"/>
      <c r="K3860" s="155" t="s">
        <v>2966</v>
      </c>
    </row>
    <row r="3861" spans="1:11" hidden="1" x14ac:dyDescent="0.25">
      <c r="A3861" s="148" t="s">
        <v>9168</v>
      </c>
      <c r="B3861" s="149" t="s">
        <v>9169</v>
      </c>
      <c r="C3861" s="150" t="s">
        <v>87</v>
      </c>
      <c r="D3861" s="150">
        <v>0</v>
      </c>
      <c r="E3861" s="151" t="s">
        <v>13</v>
      </c>
      <c r="F3861" s="152" t="str">
        <f t="shared" si="182"/>
        <v/>
      </c>
      <c r="G3861" s="153">
        <f>IF($K3861="Padrão",BDI!$B$17,IF($K3861="Diferenciado",BDI!$E$17,0))</f>
        <v>0.2039</v>
      </c>
      <c r="H3861" s="151" t="str">
        <f t="shared" si="180"/>
        <v/>
      </c>
      <c r="I3861" s="152" t="str">
        <f t="shared" si="181"/>
        <v/>
      </c>
      <c r="J3861" s="154"/>
      <c r="K3861" s="155" t="s">
        <v>2966</v>
      </c>
    </row>
    <row r="3862" spans="1:11" hidden="1" x14ac:dyDescent="0.25">
      <c r="A3862" s="148" t="s">
        <v>9170</v>
      </c>
      <c r="B3862" s="149" t="s">
        <v>9171</v>
      </c>
      <c r="C3862" s="150" t="s">
        <v>87</v>
      </c>
      <c r="D3862" s="150">
        <v>0</v>
      </c>
      <c r="E3862" s="151" t="s">
        <v>13</v>
      </c>
      <c r="F3862" s="152" t="str">
        <f t="shared" si="182"/>
        <v/>
      </c>
      <c r="G3862" s="153">
        <f>IF($K3862="Padrão",BDI!$B$17,IF($K3862="Diferenciado",BDI!$E$17,0))</f>
        <v>0.2039</v>
      </c>
      <c r="H3862" s="151" t="str">
        <f t="shared" si="180"/>
        <v/>
      </c>
      <c r="I3862" s="152" t="str">
        <f t="shared" si="181"/>
        <v/>
      </c>
      <c r="J3862" s="154"/>
      <c r="K3862" s="155" t="s">
        <v>2966</v>
      </c>
    </row>
    <row r="3863" spans="1:11" hidden="1" x14ac:dyDescent="0.25">
      <c r="A3863" s="148" t="s">
        <v>9172</v>
      </c>
      <c r="B3863" s="149" t="s">
        <v>9173</v>
      </c>
      <c r="C3863" s="150" t="s">
        <v>87</v>
      </c>
      <c r="D3863" s="150">
        <v>0</v>
      </c>
      <c r="E3863" s="151" t="s">
        <v>13</v>
      </c>
      <c r="F3863" s="152" t="str">
        <f t="shared" si="182"/>
        <v/>
      </c>
      <c r="G3863" s="153">
        <f>IF($K3863="Padrão",BDI!$B$17,IF($K3863="Diferenciado",BDI!$E$17,0))</f>
        <v>0.2039</v>
      </c>
      <c r="H3863" s="151" t="str">
        <f t="shared" si="180"/>
        <v/>
      </c>
      <c r="I3863" s="152" t="str">
        <f t="shared" si="181"/>
        <v/>
      </c>
      <c r="J3863" s="154"/>
      <c r="K3863" s="155" t="s">
        <v>2966</v>
      </c>
    </row>
    <row r="3864" spans="1:11" hidden="1" x14ac:dyDescent="0.25">
      <c r="A3864" s="148" t="s">
        <v>9174</v>
      </c>
      <c r="B3864" s="149" t="s">
        <v>9175</v>
      </c>
      <c r="C3864" s="150" t="s">
        <v>87</v>
      </c>
      <c r="D3864" s="150">
        <v>0</v>
      </c>
      <c r="E3864" s="151" t="s">
        <v>13</v>
      </c>
      <c r="F3864" s="152" t="str">
        <f t="shared" si="182"/>
        <v/>
      </c>
      <c r="G3864" s="153">
        <f>IF($K3864="Padrão",BDI!$B$17,IF($K3864="Diferenciado",BDI!$E$17,0))</f>
        <v>0.2039</v>
      </c>
      <c r="H3864" s="151" t="str">
        <f t="shared" si="180"/>
        <v/>
      </c>
      <c r="I3864" s="152" t="str">
        <f t="shared" si="181"/>
        <v/>
      </c>
      <c r="J3864" s="154"/>
      <c r="K3864" s="155" t="s">
        <v>2966</v>
      </c>
    </row>
    <row r="3865" spans="1:11" hidden="1" x14ac:dyDescent="0.25">
      <c r="A3865" s="148" t="s">
        <v>9176</v>
      </c>
      <c r="B3865" s="149" t="s">
        <v>9177</v>
      </c>
      <c r="C3865" s="150" t="s">
        <v>87</v>
      </c>
      <c r="D3865" s="150">
        <v>0</v>
      </c>
      <c r="E3865" s="151" t="s">
        <v>13</v>
      </c>
      <c r="F3865" s="152" t="str">
        <f t="shared" si="182"/>
        <v/>
      </c>
      <c r="G3865" s="153">
        <f>IF($K3865="Padrão",BDI!$B$17,IF($K3865="Diferenciado",BDI!$E$17,0))</f>
        <v>0.2039</v>
      </c>
      <c r="H3865" s="151" t="str">
        <f t="shared" si="180"/>
        <v/>
      </c>
      <c r="I3865" s="152" t="str">
        <f t="shared" si="181"/>
        <v/>
      </c>
      <c r="J3865" s="154"/>
      <c r="K3865" s="155" t="s">
        <v>2966</v>
      </c>
    </row>
    <row r="3866" spans="1:11" hidden="1" x14ac:dyDescent="0.25">
      <c r="A3866" s="148" t="s">
        <v>9178</v>
      </c>
      <c r="B3866" s="149" t="s">
        <v>9179</v>
      </c>
      <c r="C3866" s="150" t="s">
        <v>87</v>
      </c>
      <c r="D3866" s="150">
        <v>0</v>
      </c>
      <c r="E3866" s="151" t="s">
        <v>13</v>
      </c>
      <c r="F3866" s="152" t="str">
        <f t="shared" si="182"/>
        <v/>
      </c>
      <c r="G3866" s="153">
        <f>IF($K3866="Padrão",BDI!$B$17,IF($K3866="Diferenciado",BDI!$E$17,0))</f>
        <v>0.2039</v>
      </c>
      <c r="H3866" s="151" t="str">
        <f t="shared" si="180"/>
        <v/>
      </c>
      <c r="I3866" s="152" t="str">
        <f t="shared" si="181"/>
        <v/>
      </c>
      <c r="J3866" s="154"/>
      <c r="K3866" s="155" t="s">
        <v>2966</v>
      </c>
    </row>
    <row r="3867" spans="1:11" hidden="1" x14ac:dyDescent="0.25">
      <c r="A3867" s="148" t="s">
        <v>2161</v>
      </c>
      <c r="B3867" s="149" t="s">
        <v>9180</v>
      </c>
      <c r="C3867" s="150" t="s">
        <v>87</v>
      </c>
      <c r="D3867" s="150">
        <v>0</v>
      </c>
      <c r="E3867" s="151">
        <f ca="1">OFFSET(INDEX(Composições!A:H,MATCH(Orçamentária!A3867,Composições!A:A,0),8),2,0)</f>
        <v>46.987000000000002</v>
      </c>
      <c r="F3867" s="152">
        <f t="shared" ca="1" si="182"/>
        <v>0</v>
      </c>
      <c r="G3867" s="153">
        <f>IF($K3867="Padrão",BDI!$B$17,IF($K3867="Diferenciado",BDI!$E$17,0))</f>
        <v>0.2039</v>
      </c>
      <c r="H3867" s="151">
        <f t="shared" ca="1" si="180"/>
        <v>56.57</v>
      </c>
      <c r="I3867" s="152">
        <f t="shared" ca="1" si="181"/>
        <v>0</v>
      </c>
      <c r="J3867" s="154"/>
      <c r="K3867" s="155" t="s">
        <v>2966</v>
      </c>
    </row>
    <row r="3868" spans="1:11" hidden="1" x14ac:dyDescent="0.25">
      <c r="A3868" s="148" t="s">
        <v>2162</v>
      </c>
      <c r="B3868" s="149" t="s">
        <v>9181</v>
      </c>
      <c r="C3868" s="150" t="s">
        <v>87</v>
      </c>
      <c r="D3868" s="150">
        <v>0</v>
      </c>
      <c r="E3868" s="151">
        <f ca="1">OFFSET(INDEX(Composições!A:H,MATCH(Orçamentária!A3868,Composições!A:A,0),8),2,0)</f>
        <v>54.225999999999999</v>
      </c>
      <c r="F3868" s="152">
        <f t="shared" ca="1" si="182"/>
        <v>0</v>
      </c>
      <c r="G3868" s="153">
        <f>IF($K3868="Padrão",BDI!$B$17,IF($K3868="Diferenciado",BDI!$E$17,0))</f>
        <v>0.2039</v>
      </c>
      <c r="H3868" s="151">
        <f t="shared" ca="1" si="180"/>
        <v>65.28</v>
      </c>
      <c r="I3868" s="152">
        <f t="shared" ca="1" si="181"/>
        <v>0</v>
      </c>
      <c r="J3868" s="154"/>
      <c r="K3868" s="155" t="s">
        <v>2966</v>
      </c>
    </row>
    <row r="3869" spans="1:11" hidden="1" x14ac:dyDescent="0.25">
      <c r="A3869" s="148" t="s">
        <v>2163</v>
      </c>
      <c r="B3869" s="149" t="s">
        <v>9182</v>
      </c>
      <c r="C3869" s="150" t="s">
        <v>87</v>
      </c>
      <c r="D3869" s="150">
        <v>0</v>
      </c>
      <c r="E3869" s="151">
        <f ca="1">OFFSET(INDEX(Composições!A:H,MATCH(Orçamentária!A3869,Composições!A:A,0),8),2,0)</f>
        <v>73.216499999999996</v>
      </c>
      <c r="F3869" s="152">
        <f t="shared" ca="1" si="182"/>
        <v>0</v>
      </c>
      <c r="G3869" s="153">
        <f>IF($K3869="Padrão",BDI!$B$17,IF($K3869="Diferenciado",BDI!$E$17,0))</f>
        <v>0.2039</v>
      </c>
      <c r="H3869" s="151">
        <f t="shared" ca="1" si="180"/>
        <v>88.15</v>
      </c>
      <c r="I3869" s="152">
        <f t="shared" ca="1" si="181"/>
        <v>0</v>
      </c>
      <c r="J3869" s="154"/>
      <c r="K3869" s="155" t="s">
        <v>2966</v>
      </c>
    </row>
    <row r="3870" spans="1:11" hidden="1" x14ac:dyDescent="0.25">
      <c r="A3870" s="148" t="s">
        <v>2164</v>
      </c>
      <c r="B3870" s="149" t="s">
        <v>9183</v>
      </c>
      <c r="C3870" s="150" t="s">
        <v>87</v>
      </c>
      <c r="D3870" s="150">
        <v>0</v>
      </c>
      <c r="E3870" s="151">
        <f ca="1">OFFSET(INDEX(Composições!A:H,MATCH(Orçamentária!A3870,Composições!A:A,0),8),2,0)</f>
        <v>109.12649999999999</v>
      </c>
      <c r="F3870" s="152">
        <f t="shared" ca="1" si="182"/>
        <v>0</v>
      </c>
      <c r="G3870" s="153">
        <f>IF($K3870="Padrão",BDI!$B$17,IF($K3870="Diferenciado",BDI!$E$17,0))</f>
        <v>0.2039</v>
      </c>
      <c r="H3870" s="151">
        <f t="shared" ca="1" si="180"/>
        <v>131.38</v>
      </c>
      <c r="I3870" s="152">
        <f t="shared" ca="1" si="181"/>
        <v>0</v>
      </c>
      <c r="J3870" s="154"/>
      <c r="K3870" s="155" t="s">
        <v>2966</v>
      </c>
    </row>
    <row r="3871" spans="1:11" hidden="1" x14ac:dyDescent="0.25">
      <c r="A3871" s="148" t="s">
        <v>2165</v>
      </c>
      <c r="B3871" s="149" t="s">
        <v>9184</v>
      </c>
      <c r="C3871" s="150" t="s">
        <v>87</v>
      </c>
      <c r="D3871" s="150">
        <v>0</v>
      </c>
      <c r="E3871" s="151">
        <f ca="1">OFFSET(INDEX(Composições!A:H,MATCH(Orçamentária!A3871,Composições!A:A,0),8),2,0)</f>
        <v>131.499</v>
      </c>
      <c r="F3871" s="152">
        <f t="shared" ca="1" si="182"/>
        <v>0</v>
      </c>
      <c r="G3871" s="153">
        <f>IF($K3871="Padrão",BDI!$B$17,IF($K3871="Diferenciado",BDI!$E$17,0))</f>
        <v>0.2039</v>
      </c>
      <c r="H3871" s="151">
        <f t="shared" ca="1" si="180"/>
        <v>158.31</v>
      </c>
      <c r="I3871" s="152">
        <f t="shared" ca="1" si="181"/>
        <v>0</v>
      </c>
      <c r="J3871" s="154"/>
      <c r="K3871" s="155" t="s">
        <v>2966</v>
      </c>
    </row>
    <row r="3872" spans="1:11" hidden="1" x14ac:dyDescent="0.25">
      <c r="A3872" s="148" t="s">
        <v>9185</v>
      </c>
      <c r="B3872" s="149" t="s">
        <v>9186</v>
      </c>
      <c r="C3872" s="150" t="s">
        <v>87</v>
      </c>
      <c r="D3872" s="150">
        <v>0</v>
      </c>
      <c r="E3872" s="151" t="s">
        <v>13</v>
      </c>
      <c r="F3872" s="152" t="str">
        <f t="shared" si="182"/>
        <v/>
      </c>
      <c r="G3872" s="153">
        <f>IF($K3872="Padrão",BDI!$B$17,IF($K3872="Diferenciado",BDI!$E$17,0))</f>
        <v>0.2039</v>
      </c>
      <c r="H3872" s="151" t="str">
        <f t="shared" si="180"/>
        <v/>
      </c>
      <c r="I3872" s="152" t="str">
        <f t="shared" si="181"/>
        <v/>
      </c>
      <c r="J3872" s="154"/>
      <c r="K3872" s="155" t="s">
        <v>2966</v>
      </c>
    </row>
    <row r="3873" spans="1:11" hidden="1" x14ac:dyDescent="0.25">
      <c r="A3873" s="148" t="s">
        <v>9187</v>
      </c>
      <c r="B3873" s="149" t="s">
        <v>9188</v>
      </c>
      <c r="C3873" s="150" t="s">
        <v>87</v>
      </c>
      <c r="D3873" s="150">
        <v>0</v>
      </c>
      <c r="E3873" s="151" t="s">
        <v>13</v>
      </c>
      <c r="F3873" s="152" t="str">
        <f t="shared" si="182"/>
        <v/>
      </c>
      <c r="G3873" s="153">
        <f>IF($K3873="Padrão",BDI!$B$17,IF($K3873="Diferenciado",BDI!$E$17,0))</f>
        <v>0.2039</v>
      </c>
      <c r="H3873" s="151" t="str">
        <f t="shared" si="180"/>
        <v/>
      </c>
      <c r="I3873" s="152" t="str">
        <f t="shared" si="181"/>
        <v/>
      </c>
      <c r="J3873" s="154"/>
      <c r="K3873" s="155" t="s">
        <v>2966</v>
      </c>
    </row>
    <row r="3874" spans="1:11" ht="25.5" hidden="1" x14ac:dyDescent="0.25">
      <c r="A3874" s="148" t="s">
        <v>9189</v>
      </c>
      <c r="B3874" s="149" t="s">
        <v>9190</v>
      </c>
      <c r="C3874" s="150" t="s">
        <v>87</v>
      </c>
      <c r="D3874" s="150">
        <v>0</v>
      </c>
      <c r="E3874" s="151" t="s">
        <v>13</v>
      </c>
      <c r="F3874" s="152" t="str">
        <f t="shared" si="182"/>
        <v/>
      </c>
      <c r="G3874" s="153">
        <f>IF($K3874="Padrão",BDI!$B$17,IF($K3874="Diferenciado",BDI!$E$17,0))</f>
        <v>0.2039</v>
      </c>
      <c r="H3874" s="151" t="str">
        <f t="shared" si="180"/>
        <v/>
      </c>
      <c r="I3874" s="152" t="str">
        <f t="shared" si="181"/>
        <v/>
      </c>
      <c r="J3874" s="154"/>
      <c r="K3874" s="155" t="s">
        <v>2966</v>
      </c>
    </row>
    <row r="3875" spans="1:11" ht="25.5" hidden="1" x14ac:dyDescent="0.25">
      <c r="A3875" s="148" t="s">
        <v>9191</v>
      </c>
      <c r="B3875" s="149" t="s">
        <v>9192</v>
      </c>
      <c r="C3875" s="150" t="s">
        <v>87</v>
      </c>
      <c r="D3875" s="150">
        <v>0</v>
      </c>
      <c r="E3875" s="151" t="s">
        <v>13</v>
      </c>
      <c r="F3875" s="152" t="str">
        <f t="shared" si="182"/>
        <v/>
      </c>
      <c r="G3875" s="153">
        <f>IF($K3875="Padrão",BDI!$B$17,IF($K3875="Diferenciado",BDI!$E$17,0))</f>
        <v>0.2039</v>
      </c>
      <c r="H3875" s="151" t="str">
        <f t="shared" si="180"/>
        <v/>
      </c>
      <c r="I3875" s="152" t="str">
        <f t="shared" si="181"/>
        <v/>
      </c>
      <c r="J3875" s="154"/>
      <c r="K3875" s="155" t="s">
        <v>2966</v>
      </c>
    </row>
    <row r="3876" spans="1:11" hidden="1" x14ac:dyDescent="0.25">
      <c r="A3876" s="148" t="s">
        <v>9193</v>
      </c>
      <c r="B3876" s="149" t="s">
        <v>9194</v>
      </c>
      <c r="C3876" s="150" t="s">
        <v>87</v>
      </c>
      <c r="D3876" s="150">
        <v>0</v>
      </c>
      <c r="E3876" s="151" t="s">
        <v>13</v>
      </c>
      <c r="F3876" s="152" t="str">
        <f t="shared" si="182"/>
        <v/>
      </c>
      <c r="G3876" s="153">
        <f>IF($K3876="Padrão",BDI!$B$17,IF($K3876="Diferenciado",BDI!$E$17,0))</f>
        <v>0.2039</v>
      </c>
      <c r="H3876" s="151" t="str">
        <f t="shared" si="180"/>
        <v/>
      </c>
      <c r="I3876" s="152" t="str">
        <f t="shared" si="181"/>
        <v/>
      </c>
      <c r="J3876" s="154"/>
      <c r="K3876" s="155" t="s">
        <v>2966</v>
      </c>
    </row>
    <row r="3877" spans="1:11" hidden="1" x14ac:dyDescent="0.25">
      <c r="A3877" s="148" t="s">
        <v>9195</v>
      </c>
      <c r="B3877" s="149" t="s">
        <v>9196</v>
      </c>
      <c r="C3877" s="150" t="s">
        <v>87</v>
      </c>
      <c r="D3877" s="150">
        <v>0</v>
      </c>
      <c r="E3877" s="151" t="s">
        <v>13</v>
      </c>
      <c r="F3877" s="152" t="str">
        <f t="shared" si="182"/>
        <v/>
      </c>
      <c r="G3877" s="153">
        <f>IF($K3877="Padrão",BDI!$B$17,IF($K3877="Diferenciado",BDI!$E$17,0))</f>
        <v>0.2039</v>
      </c>
      <c r="H3877" s="151" t="str">
        <f t="shared" si="180"/>
        <v/>
      </c>
      <c r="I3877" s="152" t="str">
        <f t="shared" si="181"/>
        <v/>
      </c>
      <c r="J3877" s="154"/>
      <c r="K3877" s="155" t="s">
        <v>2966</v>
      </c>
    </row>
    <row r="3878" spans="1:11" hidden="1" x14ac:dyDescent="0.25">
      <c r="A3878" s="148" t="s">
        <v>9197</v>
      </c>
      <c r="B3878" s="149" t="s">
        <v>9198</v>
      </c>
      <c r="C3878" s="150" t="s">
        <v>87</v>
      </c>
      <c r="D3878" s="150">
        <v>0</v>
      </c>
      <c r="E3878" s="151" t="s">
        <v>13</v>
      </c>
      <c r="F3878" s="152" t="str">
        <f t="shared" si="182"/>
        <v/>
      </c>
      <c r="G3878" s="153">
        <f>IF($K3878="Padrão",BDI!$B$17,IF($K3878="Diferenciado",BDI!$E$17,0))</f>
        <v>0.2039</v>
      </c>
      <c r="H3878" s="151" t="str">
        <f t="shared" si="180"/>
        <v/>
      </c>
      <c r="I3878" s="152" t="str">
        <f t="shared" si="181"/>
        <v/>
      </c>
      <c r="J3878" s="154"/>
      <c r="K3878" s="155" t="s">
        <v>2966</v>
      </c>
    </row>
    <row r="3879" spans="1:11" hidden="1" x14ac:dyDescent="0.25">
      <c r="A3879" s="148" t="s">
        <v>9199</v>
      </c>
      <c r="B3879" s="149" t="s">
        <v>9200</v>
      </c>
      <c r="C3879" s="150" t="s">
        <v>87</v>
      </c>
      <c r="D3879" s="150">
        <v>0</v>
      </c>
      <c r="E3879" s="151" t="s">
        <v>13</v>
      </c>
      <c r="F3879" s="152" t="str">
        <f t="shared" si="182"/>
        <v/>
      </c>
      <c r="G3879" s="153">
        <f>IF($K3879="Padrão",BDI!$B$17,IF($K3879="Diferenciado",BDI!$E$17,0))</f>
        <v>0.2039</v>
      </c>
      <c r="H3879" s="151" t="str">
        <f t="shared" si="180"/>
        <v/>
      </c>
      <c r="I3879" s="152" t="str">
        <f t="shared" si="181"/>
        <v/>
      </c>
      <c r="J3879" s="154"/>
      <c r="K3879" s="155" t="s">
        <v>2966</v>
      </c>
    </row>
    <row r="3880" spans="1:11" hidden="1" x14ac:dyDescent="0.25">
      <c r="A3880" s="148" t="s">
        <v>9201</v>
      </c>
      <c r="B3880" s="149" t="s">
        <v>9202</v>
      </c>
      <c r="C3880" s="150" t="s">
        <v>87</v>
      </c>
      <c r="D3880" s="150">
        <v>0</v>
      </c>
      <c r="E3880" s="151" t="s">
        <v>13</v>
      </c>
      <c r="F3880" s="152" t="str">
        <f t="shared" si="182"/>
        <v/>
      </c>
      <c r="G3880" s="153">
        <f>IF($K3880="Padrão",BDI!$B$17,IF($K3880="Diferenciado",BDI!$E$17,0))</f>
        <v>0.2039</v>
      </c>
      <c r="H3880" s="151" t="str">
        <f t="shared" si="180"/>
        <v/>
      </c>
      <c r="I3880" s="152" t="str">
        <f t="shared" si="181"/>
        <v/>
      </c>
      <c r="J3880" s="154"/>
      <c r="K3880" s="155" t="s">
        <v>2966</v>
      </c>
    </row>
    <row r="3881" spans="1:11" hidden="1" x14ac:dyDescent="0.25">
      <c r="A3881" s="148" t="s">
        <v>9203</v>
      </c>
      <c r="B3881" s="149" t="s">
        <v>9204</v>
      </c>
      <c r="C3881" s="150" t="s">
        <v>87</v>
      </c>
      <c r="D3881" s="150">
        <v>0</v>
      </c>
      <c r="E3881" s="151" t="s">
        <v>13</v>
      </c>
      <c r="F3881" s="152" t="str">
        <f t="shared" si="182"/>
        <v/>
      </c>
      <c r="G3881" s="153">
        <f>IF($K3881="Padrão",BDI!$B$17,IF($K3881="Diferenciado",BDI!$E$17,0))</f>
        <v>0.2039</v>
      </c>
      <c r="H3881" s="151" t="str">
        <f t="shared" si="180"/>
        <v/>
      </c>
      <c r="I3881" s="152" t="str">
        <f t="shared" si="181"/>
        <v/>
      </c>
      <c r="J3881" s="154"/>
      <c r="K3881" s="155" t="s">
        <v>2966</v>
      </c>
    </row>
    <row r="3882" spans="1:11" hidden="1" x14ac:dyDescent="0.25">
      <c r="A3882" s="148" t="s">
        <v>9205</v>
      </c>
      <c r="B3882" s="149" t="s">
        <v>9206</v>
      </c>
      <c r="C3882" s="150" t="s">
        <v>87</v>
      </c>
      <c r="D3882" s="150">
        <v>0</v>
      </c>
      <c r="E3882" s="151" t="s">
        <v>13</v>
      </c>
      <c r="F3882" s="152" t="str">
        <f t="shared" si="182"/>
        <v/>
      </c>
      <c r="G3882" s="153">
        <f>IF($K3882="Padrão",BDI!$B$17,IF($K3882="Diferenciado",BDI!$E$17,0))</f>
        <v>0.2039</v>
      </c>
      <c r="H3882" s="151" t="str">
        <f t="shared" si="180"/>
        <v/>
      </c>
      <c r="I3882" s="152" t="str">
        <f t="shared" si="181"/>
        <v/>
      </c>
      <c r="J3882" s="154"/>
      <c r="K3882" s="155" t="s">
        <v>2966</v>
      </c>
    </row>
    <row r="3883" spans="1:11" hidden="1" x14ac:dyDescent="0.25">
      <c r="A3883" s="148" t="s">
        <v>9207</v>
      </c>
      <c r="B3883" s="149" t="s">
        <v>9208</v>
      </c>
      <c r="C3883" s="150" t="s">
        <v>87</v>
      </c>
      <c r="D3883" s="150">
        <v>0</v>
      </c>
      <c r="E3883" s="151" t="s">
        <v>13</v>
      </c>
      <c r="F3883" s="152" t="str">
        <f t="shared" si="182"/>
        <v/>
      </c>
      <c r="G3883" s="153">
        <f>IF($K3883="Padrão",BDI!$B$17,IF($K3883="Diferenciado",BDI!$E$17,0))</f>
        <v>0.2039</v>
      </c>
      <c r="H3883" s="151" t="str">
        <f t="shared" si="180"/>
        <v/>
      </c>
      <c r="I3883" s="152" t="str">
        <f t="shared" si="181"/>
        <v/>
      </c>
      <c r="J3883" s="154"/>
      <c r="K3883" s="155" t="s">
        <v>2966</v>
      </c>
    </row>
    <row r="3884" spans="1:11" hidden="1" x14ac:dyDescent="0.25">
      <c r="A3884" s="148" t="s">
        <v>9209</v>
      </c>
      <c r="B3884" s="149" t="s">
        <v>9210</v>
      </c>
      <c r="C3884" s="150" t="s">
        <v>87</v>
      </c>
      <c r="D3884" s="150">
        <v>0</v>
      </c>
      <c r="E3884" s="151" t="s">
        <v>13</v>
      </c>
      <c r="F3884" s="152" t="str">
        <f t="shared" si="182"/>
        <v/>
      </c>
      <c r="G3884" s="153">
        <f>IF($K3884="Padrão",BDI!$B$17,IF($K3884="Diferenciado",BDI!$E$17,0))</f>
        <v>0.2039</v>
      </c>
      <c r="H3884" s="151" t="str">
        <f t="shared" si="180"/>
        <v/>
      </c>
      <c r="I3884" s="152" t="str">
        <f t="shared" si="181"/>
        <v/>
      </c>
      <c r="J3884" s="154"/>
      <c r="K3884" s="155" t="s">
        <v>2966</v>
      </c>
    </row>
    <row r="3885" spans="1:11" hidden="1" x14ac:dyDescent="0.25">
      <c r="A3885" s="148" t="s">
        <v>9211</v>
      </c>
      <c r="B3885" s="149" t="s">
        <v>9212</v>
      </c>
      <c r="C3885" s="150" t="s">
        <v>87</v>
      </c>
      <c r="D3885" s="150">
        <v>0</v>
      </c>
      <c r="E3885" s="151" t="s">
        <v>13</v>
      </c>
      <c r="F3885" s="152" t="str">
        <f t="shared" si="182"/>
        <v/>
      </c>
      <c r="G3885" s="153">
        <f>IF($K3885="Padrão",BDI!$B$17,IF($K3885="Diferenciado",BDI!$E$17,0))</f>
        <v>0.2039</v>
      </c>
      <c r="H3885" s="151" t="str">
        <f t="shared" si="180"/>
        <v/>
      </c>
      <c r="I3885" s="152" t="str">
        <f t="shared" si="181"/>
        <v/>
      </c>
      <c r="J3885" s="154"/>
      <c r="K3885" s="155" t="s">
        <v>2966</v>
      </c>
    </row>
    <row r="3886" spans="1:11" hidden="1" x14ac:dyDescent="0.25">
      <c r="A3886" s="148" t="s">
        <v>9213</v>
      </c>
      <c r="B3886" s="149" t="s">
        <v>9214</v>
      </c>
      <c r="C3886" s="150" t="s">
        <v>87</v>
      </c>
      <c r="D3886" s="150">
        <v>0</v>
      </c>
      <c r="E3886" s="151" t="s">
        <v>13</v>
      </c>
      <c r="F3886" s="152" t="str">
        <f t="shared" si="182"/>
        <v/>
      </c>
      <c r="G3886" s="153">
        <f>IF($K3886="Padrão",BDI!$B$17,IF($K3886="Diferenciado",BDI!$E$17,0))</f>
        <v>0.2039</v>
      </c>
      <c r="H3886" s="151" t="str">
        <f t="shared" si="180"/>
        <v/>
      </c>
      <c r="I3886" s="152" t="str">
        <f t="shared" si="181"/>
        <v/>
      </c>
      <c r="J3886" s="154"/>
      <c r="K3886" s="155" t="s">
        <v>2966</v>
      </c>
    </row>
    <row r="3887" spans="1:11" hidden="1" x14ac:dyDescent="0.25">
      <c r="A3887" s="148" t="s">
        <v>9215</v>
      </c>
      <c r="B3887" s="149" t="s">
        <v>9216</v>
      </c>
      <c r="C3887" s="150" t="s">
        <v>87</v>
      </c>
      <c r="D3887" s="150">
        <v>0</v>
      </c>
      <c r="E3887" s="151" t="s">
        <v>13</v>
      </c>
      <c r="F3887" s="152" t="str">
        <f t="shared" si="182"/>
        <v/>
      </c>
      <c r="G3887" s="153">
        <f>IF($K3887="Padrão",BDI!$B$17,IF($K3887="Diferenciado",BDI!$E$17,0))</f>
        <v>0.2039</v>
      </c>
      <c r="H3887" s="151" t="str">
        <f t="shared" si="180"/>
        <v/>
      </c>
      <c r="I3887" s="152" t="str">
        <f t="shared" si="181"/>
        <v/>
      </c>
      <c r="J3887" s="154"/>
      <c r="K3887" s="155" t="s">
        <v>2966</v>
      </c>
    </row>
    <row r="3888" spans="1:11" hidden="1" x14ac:dyDescent="0.25">
      <c r="A3888" s="148" t="s">
        <v>9217</v>
      </c>
      <c r="B3888" s="149" t="s">
        <v>9218</v>
      </c>
      <c r="C3888" s="150" t="s">
        <v>87</v>
      </c>
      <c r="D3888" s="150">
        <v>0</v>
      </c>
      <c r="E3888" s="151" t="s">
        <v>13</v>
      </c>
      <c r="F3888" s="152" t="str">
        <f t="shared" si="182"/>
        <v/>
      </c>
      <c r="G3888" s="153">
        <f>IF($K3888="Padrão",BDI!$B$17,IF($K3888="Diferenciado",BDI!$E$17,0))</f>
        <v>0.2039</v>
      </c>
      <c r="H3888" s="151" t="str">
        <f t="shared" si="180"/>
        <v/>
      </c>
      <c r="I3888" s="152" t="str">
        <f t="shared" si="181"/>
        <v/>
      </c>
      <c r="J3888" s="154"/>
      <c r="K3888" s="155" t="s">
        <v>2966</v>
      </c>
    </row>
    <row r="3889" spans="1:11" hidden="1" x14ac:dyDescent="0.25">
      <c r="A3889" s="148" t="s">
        <v>9219</v>
      </c>
      <c r="B3889" s="149" t="s">
        <v>9220</v>
      </c>
      <c r="C3889" s="150" t="s">
        <v>87</v>
      </c>
      <c r="D3889" s="150">
        <v>0</v>
      </c>
      <c r="E3889" s="151" t="s">
        <v>13</v>
      </c>
      <c r="F3889" s="152" t="str">
        <f t="shared" si="182"/>
        <v/>
      </c>
      <c r="G3889" s="153">
        <f>IF($K3889="Padrão",BDI!$B$17,IF($K3889="Diferenciado",BDI!$E$17,0))</f>
        <v>0.2039</v>
      </c>
      <c r="H3889" s="151" t="str">
        <f t="shared" si="180"/>
        <v/>
      </c>
      <c r="I3889" s="152" t="str">
        <f t="shared" si="181"/>
        <v/>
      </c>
      <c r="J3889" s="154"/>
      <c r="K3889" s="155" t="s">
        <v>2966</v>
      </c>
    </row>
    <row r="3890" spans="1:11" hidden="1" x14ac:dyDescent="0.25">
      <c r="A3890" s="148" t="s">
        <v>9221</v>
      </c>
      <c r="B3890" s="149" t="s">
        <v>9222</v>
      </c>
      <c r="C3890" s="150" t="s">
        <v>87</v>
      </c>
      <c r="D3890" s="150">
        <v>0</v>
      </c>
      <c r="E3890" s="151" t="s">
        <v>13</v>
      </c>
      <c r="F3890" s="152" t="str">
        <f t="shared" si="182"/>
        <v/>
      </c>
      <c r="G3890" s="153">
        <f>IF($K3890="Padrão",BDI!$B$17,IF($K3890="Diferenciado",BDI!$E$17,0))</f>
        <v>0.2039</v>
      </c>
      <c r="H3890" s="151" t="str">
        <f t="shared" si="180"/>
        <v/>
      </c>
      <c r="I3890" s="152" t="str">
        <f t="shared" si="181"/>
        <v/>
      </c>
      <c r="J3890" s="154"/>
      <c r="K3890" s="155" t="s">
        <v>2966</v>
      </c>
    </row>
    <row r="3891" spans="1:11" hidden="1" x14ac:dyDescent="0.25">
      <c r="A3891" s="148" t="s">
        <v>9223</v>
      </c>
      <c r="B3891" s="149" t="s">
        <v>9224</v>
      </c>
      <c r="C3891" s="150" t="s">
        <v>87</v>
      </c>
      <c r="D3891" s="150">
        <v>0</v>
      </c>
      <c r="E3891" s="151" t="s">
        <v>13</v>
      </c>
      <c r="F3891" s="152" t="str">
        <f t="shared" si="182"/>
        <v/>
      </c>
      <c r="G3891" s="153">
        <f>IF($K3891="Padrão",BDI!$B$17,IF($K3891="Diferenciado",BDI!$E$17,0))</f>
        <v>0.2039</v>
      </c>
      <c r="H3891" s="151" t="str">
        <f t="shared" si="180"/>
        <v/>
      </c>
      <c r="I3891" s="152" t="str">
        <f t="shared" si="181"/>
        <v/>
      </c>
      <c r="J3891" s="154"/>
      <c r="K3891" s="155" t="s">
        <v>2966</v>
      </c>
    </row>
    <row r="3892" spans="1:11" hidden="1" x14ac:dyDescent="0.25">
      <c r="A3892" s="148" t="s">
        <v>9225</v>
      </c>
      <c r="B3892" s="149" t="s">
        <v>9226</v>
      </c>
      <c r="C3892" s="150" t="s">
        <v>87</v>
      </c>
      <c r="D3892" s="150">
        <v>0</v>
      </c>
      <c r="E3892" s="151" t="s">
        <v>13</v>
      </c>
      <c r="F3892" s="152" t="str">
        <f t="shared" si="182"/>
        <v/>
      </c>
      <c r="G3892" s="153">
        <f>IF($K3892="Padrão",BDI!$B$17,IF($K3892="Diferenciado",BDI!$E$17,0))</f>
        <v>0.2039</v>
      </c>
      <c r="H3892" s="151" t="str">
        <f t="shared" si="180"/>
        <v/>
      </c>
      <c r="I3892" s="152" t="str">
        <f t="shared" si="181"/>
        <v/>
      </c>
      <c r="J3892" s="154"/>
      <c r="K3892" s="155" t="s">
        <v>2966</v>
      </c>
    </row>
    <row r="3893" spans="1:11" hidden="1" x14ac:dyDescent="0.25">
      <c r="A3893" s="148" t="s">
        <v>9227</v>
      </c>
      <c r="B3893" s="149" t="s">
        <v>9228</v>
      </c>
      <c r="C3893" s="150" t="s">
        <v>87</v>
      </c>
      <c r="D3893" s="150">
        <v>0</v>
      </c>
      <c r="E3893" s="151" t="s">
        <v>13</v>
      </c>
      <c r="F3893" s="152" t="str">
        <f t="shared" si="182"/>
        <v/>
      </c>
      <c r="G3893" s="153">
        <f>IF($K3893="Padrão",BDI!$B$17,IF($K3893="Diferenciado",BDI!$E$17,0))</f>
        <v>0.2039</v>
      </c>
      <c r="H3893" s="151" t="str">
        <f t="shared" si="180"/>
        <v/>
      </c>
      <c r="I3893" s="152" t="str">
        <f t="shared" si="181"/>
        <v/>
      </c>
      <c r="J3893" s="154"/>
      <c r="K3893" s="155" t="s">
        <v>2966</v>
      </c>
    </row>
    <row r="3894" spans="1:11" hidden="1" x14ac:dyDescent="0.25">
      <c r="A3894" s="148" t="s">
        <v>9229</v>
      </c>
      <c r="B3894" s="149" t="s">
        <v>9230</v>
      </c>
      <c r="C3894" s="150" t="s">
        <v>87</v>
      </c>
      <c r="D3894" s="150">
        <v>0</v>
      </c>
      <c r="E3894" s="151" t="s">
        <v>13</v>
      </c>
      <c r="F3894" s="152" t="str">
        <f t="shared" si="182"/>
        <v/>
      </c>
      <c r="G3894" s="153">
        <f>IF($K3894="Padrão",BDI!$B$17,IF($K3894="Diferenciado",BDI!$E$17,0))</f>
        <v>0.2039</v>
      </c>
      <c r="H3894" s="151" t="str">
        <f t="shared" si="180"/>
        <v/>
      </c>
      <c r="I3894" s="152" t="str">
        <f t="shared" si="181"/>
        <v/>
      </c>
      <c r="J3894" s="154"/>
      <c r="K3894" s="155" t="s">
        <v>2966</v>
      </c>
    </row>
    <row r="3895" spans="1:11" hidden="1" x14ac:dyDescent="0.25">
      <c r="A3895" s="148" t="s">
        <v>9231</v>
      </c>
      <c r="B3895" s="149" t="s">
        <v>9232</v>
      </c>
      <c r="C3895" s="150" t="s">
        <v>87</v>
      </c>
      <c r="D3895" s="150">
        <v>0</v>
      </c>
      <c r="E3895" s="151" t="s">
        <v>13</v>
      </c>
      <c r="F3895" s="152" t="str">
        <f t="shared" si="182"/>
        <v/>
      </c>
      <c r="G3895" s="153">
        <f>IF($K3895="Padrão",BDI!$B$17,IF($K3895="Diferenciado",BDI!$E$17,0))</f>
        <v>0.2039</v>
      </c>
      <c r="H3895" s="151" t="str">
        <f t="shared" si="180"/>
        <v/>
      </c>
      <c r="I3895" s="152" t="str">
        <f t="shared" si="181"/>
        <v/>
      </c>
      <c r="J3895" s="154"/>
      <c r="K3895" s="155" t="s">
        <v>2966</v>
      </c>
    </row>
    <row r="3896" spans="1:11" hidden="1" x14ac:dyDescent="0.25">
      <c r="A3896" s="148" t="s">
        <v>9233</v>
      </c>
      <c r="B3896" s="149" t="s">
        <v>9234</v>
      </c>
      <c r="C3896" s="150" t="s">
        <v>18</v>
      </c>
      <c r="D3896" s="150">
        <v>0</v>
      </c>
      <c r="E3896" s="151" t="s">
        <v>13</v>
      </c>
      <c r="F3896" s="152" t="str">
        <f t="shared" si="182"/>
        <v/>
      </c>
      <c r="G3896" s="153">
        <f>IF($K3896="Padrão",BDI!$B$17,IF($K3896="Diferenciado",BDI!$E$17,0))</f>
        <v>0.2039</v>
      </c>
      <c r="H3896" s="151" t="str">
        <f t="shared" si="180"/>
        <v/>
      </c>
      <c r="I3896" s="152" t="str">
        <f t="shared" si="181"/>
        <v/>
      </c>
      <c r="J3896" s="154"/>
      <c r="K3896" s="155" t="s">
        <v>2966</v>
      </c>
    </row>
    <row r="3897" spans="1:11" hidden="1" x14ac:dyDescent="0.25">
      <c r="A3897" s="148" t="s">
        <v>9235</v>
      </c>
      <c r="B3897" s="149" t="s">
        <v>9236</v>
      </c>
      <c r="C3897" s="150" t="s">
        <v>87</v>
      </c>
      <c r="D3897" s="150">
        <v>0</v>
      </c>
      <c r="E3897" s="151" t="s">
        <v>13</v>
      </c>
      <c r="F3897" s="152" t="str">
        <f t="shared" si="182"/>
        <v/>
      </c>
      <c r="G3897" s="153">
        <f>IF($K3897="Padrão",BDI!$B$17,IF($K3897="Diferenciado",BDI!$E$17,0))</f>
        <v>0.2039</v>
      </c>
      <c r="H3897" s="151" t="str">
        <f t="shared" si="180"/>
        <v/>
      </c>
      <c r="I3897" s="152" t="str">
        <f t="shared" si="181"/>
        <v/>
      </c>
      <c r="J3897" s="154"/>
      <c r="K3897" s="155" t="s">
        <v>2966</v>
      </c>
    </row>
    <row r="3898" spans="1:11" hidden="1" x14ac:dyDescent="0.25">
      <c r="A3898" s="148" t="s">
        <v>9237</v>
      </c>
      <c r="B3898" s="149" t="s">
        <v>9238</v>
      </c>
      <c r="C3898" s="150" t="s">
        <v>18</v>
      </c>
      <c r="D3898" s="150">
        <v>0</v>
      </c>
      <c r="E3898" s="151" t="s">
        <v>13</v>
      </c>
      <c r="F3898" s="152" t="str">
        <f t="shared" si="182"/>
        <v/>
      </c>
      <c r="G3898" s="153">
        <f>IF($K3898="Padrão",BDI!$B$17,IF($K3898="Diferenciado",BDI!$E$17,0))</f>
        <v>0.2039</v>
      </c>
      <c r="H3898" s="151" t="str">
        <f t="shared" si="180"/>
        <v/>
      </c>
      <c r="I3898" s="152" t="str">
        <f t="shared" si="181"/>
        <v/>
      </c>
      <c r="J3898" s="154"/>
      <c r="K3898" s="155" t="s">
        <v>2966</v>
      </c>
    </row>
    <row r="3899" spans="1:11" hidden="1" x14ac:dyDescent="0.25">
      <c r="A3899" s="148" t="s">
        <v>9239</v>
      </c>
      <c r="B3899" s="149" t="s">
        <v>9240</v>
      </c>
      <c r="C3899" s="150" t="s">
        <v>87</v>
      </c>
      <c r="D3899" s="150">
        <v>0</v>
      </c>
      <c r="E3899" s="151" t="s">
        <v>13</v>
      </c>
      <c r="F3899" s="152" t="str">
        <f t="shared" si="182"/>
        <v/>
      </c>
      <c r="G3899" s="153">
        <f>IF($K3899="Padrão",BDI!$B$17,IF($K3899="Diferenciado",BDI!$E$17,0))</f>
        <v>0.2039</v>
      </c>
      <c r="H3899" s="151" t="str">
        <f t="shared" si="180"/>
        <v/>
      </c>
      <c r="I3899" s="152" t="str">
        <f t="shared" si="181"/>
        <v/>
      </c>
      <c r="J3899" s="154"/>
      <c r="K3899" s="155" t="s">
        <v>2966</v>
      </c>
    </row>
    <row r="3900" spans="1:11" hidden="1" x14ac:dyDescent="0.25">
      <c r="A3900" s="148" t="s">
        <v>9241</v>
      </c>
      <c r="B3900" s="149" t="s">
        <v>9242</v>
      </c>
      <c r="C3900" s="150" t="s">
        <v>87</v>
      </c>
      <c r="D3900" s="150">
        <v>0</v>
      </c>
      <c r="E3900" s="151" t="s">
        <v>13</v>
      </c>
      <c r="F3900" s="152" t="str">
        <f t="shared" si="182"/>
        <v/>
      </c>
      <c r="G3900" s="153">
        <f>IF($K3900="Padrão",BDI!$B$17,IF($K3900="Diferenciado",BDI!$E$17,0))</f>
        <v>0.2039</v>
      </c>
      <c r="H3900" s="151" t="str">
        <f t="shared" si="180"/>
        <v/>
      </c>
      <c r="I3900" s="152" t="str">
        <f t="shared" si="181"/>
        <v/>
      </c>
      <c r="J3900" s="154"/>
      <c r="K3900" s="155" t="s">
        <v>2966</v>
      </c>
    </row>
    <row r="3901" spans="1:11" hidden="1" x14ac:dyDescent="0.25">
      <c r="A3901" s="148" t="s">
        <v>9243</v>
      </c>
      <c r="B3901" s="149" t="s">
        <v>9244</v>
      </c>
      <c r="C3901" s="150" t="s">
        <v>106</v>
      </c>
      <c r="D3901" s="150">
        <v>0</v>
      </c>
      <c r="E3901" s="151" t="s">
        <v>13</v>
      </c>
      <c r="F3901" s="152" t="str">
        <f t="shared" si="182"/>
        <v/>
      </c>
      <c r="G3901" s="153">
        <f>IF($K3901="Padrão",BDI!$B$17,IF($K3901="Diferenciado",BDI!$E$17,0))</f>
        <v>0.2039</v>
      </c>
      <c r="H3901" s="151" t="str">
        <f t="shared" si="180"/>
        <v/>
      </c>
      <c r="I3901" s="152" t="str">
        <f t="shared" si="181"/>
        <v/>
      </c>
      <c r="J3901" s="154"/>
      <c r="K3901" s="155" t="s">
        <v>2966</v>
      </c>
    </row>
    <row r="3902" spans="1:11" hidden="1" x14ac:dyDescent="0.25">
      <c r="A3902" s="148" t="s">
        <v>9245</v>
      </c>
      <c r="B3902" s="149" t="s">
        <v>9246</v>
      </c>
      <c r="C3902" s="150" t="s">
        <v>106</v>
      </c>
      <c r="D3902" s="150">
        <v>0</v>
      </c>
      <c r="E3902" s="151" t="s">
        <v>13</v>
      </c>
      <c r="F3902" s="152" t="str">
        <f t="shared" si="182"/>
        <v/>
      </c>
      <c r="G3902" s="153">
        <f>IF($K3902="Padrão",BDI!$B$17,IF($K3902="Diferenciado",BDI!$E$17,0))</f>
        <v>0.2039</v>
      </c>
      <c r="H3902" s="151" t="str">
        <f t="shared" si="180"/>
        <v/>
      </c>
      <c r="I3902" s="152" t="str">
        <f t="shared" si="181"/>
        <v/>
      </c>
      <c r="J3902" s="154"/>
      <c r="K3902" s="155" t="s">
        <v>2966</v>
      </c>
    </row>
    <row r="3903" spans="1:11" hidden="1" x14ac:dyDescent="0.25">
      <c r="A3903" s="148" t="s">
        <v>9247</v>
      </c>
      <c r="B3903" s="149" t="s">
        <v>9248</v>
      </c>
      <c r="C3903" s="150" t="s">
        <v>87</v>
      </c>
      <c r="D3903" s="150">
        <v>0</v>
      </c>
      <c r="E3903" s="151" t="s">
        <v>13</v>
      </c>
      <c r="F3903" s="152" t="str">
        <f t="shared" si="182"/>
        <v/>
      </c>
      <c r="G3903" s="153">
        <f>IF($K3903="Padrão",BDI!$B$17,IF($K3903="Diferenciado",BDI!$E$17,0))</f>
        <v>0.2039</v>
      </c>
      <c r="H3903" s="151" t="str">
        <f t="shared" si="180"/>
        <v/>
      </c>
      <c r="I3903" s="152" t="str">
        <f t="shared" si="181"/>
        <v/>
      </c>
      <c r="J3903" s="154"/>
      <c r="K3903" s="155" t="s">
        <v>2966</v>
      </c>
    </row>
    <row r="3904" spans="1:11" hidden="1" x14ac:dyDescent="0.25">
      <c r="A3904" s="148" t="s">
        <v>9249</v>
      </c>
      <c r="B3904" s="149" t="s">
        <v>9250</v>
      </c>
      <c r="C3904" s="150" t="s">
        <v>87</v>
      </c>
      <c r="D3904" s="150">
        <v>0</v>
      </c>
      <c r="E3904" s="151" t="s">
        <v>13</v>
      </c>
      <c r="F3904" s="152" t="str">
        <f t="shared" si="182"/>
        <v/>
      </c>
      <c r="G3904" s="153">
        <f>IF($K3904="Padrão",BDI!$B$17,IF($K3904="Diferenciado",BDI!$E$17,0))</f>
        <v>0.2039</v>
      </c>
      <c r="H3904" s="151" t="str">
        <f t="shared" si="180"/>
        <v/>
      </c>
      <c r="I3904" s="152" t="str">
        <f t="shared" si="181"/>
        <v/>
      </c>
      <c r="J3904" s="154"/>
      <c r="K3904" s="155" t="s">
        <v>2966</v>
      </c>
    </row>
    <row r="3905" spans="1:11" ht="25.5" hidden="1" x14ac:dyDescent="0.25">
      <c r="A3905" s="148" t="s">
        <v>9251</v>
      </c>
      <c r="B3905" s="149" t="s">
        <v>9252</v>
      </c>
      <c r="C3905" s="150" t="s">
        <v>87</v>
      </c>
      <c r="D3905" s="150">
        <v>0</v>
      </c>
      <c r="E3905" s="151" t="s">
        <v>13</v>
      </c>
      <c r="F3905" s="152" t="str">
        <f t="shared" si="182"/>
        <v/>
      </c>
      <c r="G3905" s="153">
        <f>IF($K3905="Padrão",BDI!$B$17,IF($K3905="Diferenciado",BDI!$E$17,0))</f>
        <v>0.2039</v>
      </c>
      <c r="H3905" s="151" t="str">
        <f t="shared" si="180"/>
        <v/>
      </c>
      <c r="I3905" s="152" t="str">
        <f t="shared" si="181"/>
        <v/>
      </c>
      <c r="J3905" s="154"/>
      <c r="K3905" s="155" t="s">
        <v>2966</v>
      </c>
    </row>
    <row r="3906" spans="1:11" ht="25.5" hidden="1" x14ac:dyDescent="0.25">
      <c r="A3906" s="148" t="s">
        <v>9253</v>
      </c>
      <c r="B3906" s="149" t="s">
        <v>9254</v>
      </c>
      <c r="C3906" s="150" t="s">
        <v>87</v>
      </c>
      <c r="D3906" s="150">
        <v>0</v>
      </c>
      <c r="E3906" s="151" t="s">
        <v>13</v>
      </c>
      <c r="F3906" s="152" t="str">
        <f t="shared" si="182"/>
        <v/>
      </c>
      <c r="G3906" s="153">
        <f>IF($K3906="Padrão",BDI!$B$17,IF($K3906="Diferenciado",BDI!$E$17,0))</f>
        <v>0.2039</v>
      </c>
      <c r="H3906" s="151" t="str">
        <f t="shared" si="180"/>
        <v/>
      </c>
      <c r="I3906" s="152" t="str">
        <f t="shared" si="181"/>
        <v/>
      </c>
      <c r="J3906" s="154"/>
      <c r="K3906" s="155" t="s">
        <v>2966</v>
      </c>
    </row>
    <row r="3907" spans="1:11" hidden="1" x14ac:dyDescent="0.25">
      <c r="A3907" s="148" t="s">
        <v>9255</v>
      </c>
      <c r="B3907" s="149" t="s">
        <v>9256</v>
      </c>
      <c r="C3907" s="150" t="s">
        <v>87</v>
      </c>
      <c r="D3907" s="150">
        <v>0</v>
      </c>
      <c r="E3907" s="151" t="s">
        <v>13</v>
      </c>
      <c r="F3907" s="152" t="str">
        <f t="shared" si="182"/>
        <v/>
      </c>
      <c r="G3907" s="153">
        <f>IF($K3907="Padrão",BDI!$B$17,IF($K3907="Diferenciado",BDI!$E$17,0))</f>
        <v>0.2039</v>
      </c>
      <c r="H3907" s="151" t="str">
        <f t="shared" si="180"/>
        <v/>
      </c>
      <c r="I3907" s="152" t="str">
        <f t="shared" si="181"/>
        <v/>
      </c>
      <c r="J3907" s="154"/>
      <c r="K3907" s="155" t="s">
        <v>2966</v>
      </c>
    </row>
    <row r="3908" spans="1:11" hidden="1" x14ac:dyDescent="0.25">
      <c r="A3908" s="148" t="s">
        <v>9257</v>
      </c>
      <c r="B3908" s="149" t="s">
        <v>9258</v>
      </c>
      <c r="C3908" s="150" t="s">
        <v>87</v>
      </c>
      <c r="D3908" s="150">
        <v>0</v>
      </c>
      <c r="E3908" s="151" t="s">
        <v>13</v>
      </c>
      <c r="F3908" s="152" t="str">
        <f t="shared" si="182"/>
        <v/>
      </c>
      <c r="G3908" s="153">
        <f>IF($K3908="Padrão",BDI!$B$17,IF($K3908="Diferenciado",BDI!$E$17,0))</f>
        <v>0.2039</v>
      </c>
      <c r="H3908" s="151" t="str">
        <f t="shared" si="180"/>
        <v/>
      </c>
      <c r="I3908" s="152" t="str">
        <f t="shared" si="181"/>
        <v/>
      </c>
      <c r="J3908" s="154"/>
      <c r="K3908" s="155" t="s">
        <v>2966</v>
      </c>
    </row>
    <row r="3909" spans="1:11" hidden="1" x14ac:dyDescent="0.25">
      <c r="A3909" s="148" t="s">
        <v>9259</v>
      </c>
      <c r="B3909" s="149" t="s">
        <v>9260</v>
      </c>
      <c r="C3909" s="150" t="s">
        <v>87</v>
      </c>
      <c r="D3909" s="150">
        <v>0</v>
      </c>
      <c r="E3909" s="151" t="s">
        <v>13</v>
      </c>
      <c r="F3909" s="152" t="str">
        <f t="shared" si="182"/>
        <v/>
      </c>
      <c r="G3909" s="153">
        <f>IF($K3909="Padrão",BDI!$B$17,IF($K3909="Diferenciado",BDI!$E$17,0))</f>
        <v>0.2039</v>
      </c>
      <c r="H3909" s="151" t="str">
        <f t="shared" si="180"/>
        <v/>
      </c>
      <c r="I3909" s="152" t="str">
        <f t="shared" si="181"/>
        <v/>
      </c>
      <c r="J3909" s="154"/>
      <c r="K3909" s="155" t="s">
        <v>2966</v>
      </c>
    </row>
    <row r="3910" spans="1:11" hidden="1" x14ac:dyDescent="0.25">
      <c r="A3910" s="148" t="s">
        <v>9261</v>
      </c>
      <c r="B3910" s="149" t="s">
        <v>9262</v>
      </c>
      <c r="C3910" s="150" t="s">
        <v>87</v>
      </c>
      <c r="D3910" s="150">
        <v>0</v>
      </c>
      <c r="E3910" s="151" t="s">
        <v>13</v>
      </c>
      <c r="F3910" s="152" t="str">
        <f t="shared" si="182"/>
        <v/>
      </c>
      <c r="G3910" s="153">
        <f>IF($K3910="Padrão",BDI!$B$17,IF($K3910="Diferenciado",BDI!$E$17,0))</f>
        <v>0.2039</v>
      </c>
      <c r="H3910" s="151" t="str">
        <f t="shared" ref="H3910:H3973" si="183">IF(ISNUMBER(E3910),ROUND(E3910*(1+G3910),2),"")</f>
        <v/>
      </c>
      <c r="I3910" s="152" t="str">
        <f t="shared" ref="I3910:I3973" si="184">IF(ISNUMBER(E3910),ROUND(H3910*D3910,2),"")</f>
        <v/>
      </c>
      <c r="J3910" s="154"/>
      <c r="K3910" s="155" t="s">
        <v>2966</v>
      </c>
    </row>
    <row r="3911" spans="1:11" hidden="1" x14ac:dyDescent="0.25">
      <c r="A3911" s="148" t="s">
        <v>9263</v>
      </c>
      <c r="B3911" s="149" t="s">
        <v>9264</v>
      </c>
      <c r="C3911" s="150" t="s">
        <v>87</v>
      </c>
      <c r="D3911" s="150">
        <v>0</v>
      </c>
      <c r="E3911" s="151" t="s">
        <v>13</v>
      </c>
      <c r="F3911" s="152" t="str">
        <f t="shared" ref="F3911:F3974" si="185">IF(ISNUMBER(E3911),D3911*E3911,"")</f>
        <v/>
      </c>
      <c r="G3911" s="153">
        <f>IF($K3911="Padrão",BDI!$B$17,IF($K3911="Diferenciado",BDI!$E$17,0))</f>
        <v>0.2039</v>
      </c>
      <c r="H3911" s="151" t="str">
        <f t="shared" si="183"/>
        <v/>
      </c>
      <c r="I3911" s="152" t="str">
        <f t="shared" si="184"/>
        <v/>
      </c>
      <c r="J3911" s="154"/>
      <c r="K3911" s="155" t="s">
        <v>2966</v>
      </c>
    </row>
    <row r="3912" spans="1:11" hidden="1" x14ac:dyDescent="0.25">
      <c r="A3912" s="148" t="s">
        <v>9265</v>
      </c>
      <c r="B3912" s="149" t="s">
        <v>9266</v>
      </c>
      <c r="C3912" s="150" t="s">
        <v>87</v>
      </c>
      <c r="D3912" s="150">
        <v>0</v>
      </c>
      <c r="E3912" s="151" t="s">
        <v>13</v>
      </c>
      <c r="F3912" s="152" t="str">
        <f t="shared" si="185"/>
        <v/>
      </c>
      <c r="G3912" s="153">
        <f>IF($K3912="Padrão",BDI!$B$17,IF($K3912="Diferenciado",BDI!$E$17,0))</f>
        <v>0.2039</v>
      </c>
      <c r="H3912" s="151" t="str">
        <f t="shared" si="183"/>
        <v/>
      </c>
      <c r="I3912" s="152" t="str">
        <f t="shared" si="184"/>
        <v/>
      </c>
      <c r="J3912" s="154"/>
      <c r="K3912" s="155" t="s">
        <v>2966</v>
      </c>
    </row>
    <row r="3913" spans="1:11" hidden="1" x14ac:dyDescent="0.25">
      <c r="A3913" s="148" t="s">
        <v>2166</v>
      </c>
      <c r="B3913" s="149" t="s">
        <v>2167</v>
      </c>
      <c r="C3913" s="150" t="s">
        <v>87</v>
      </c>
      <c r="D3913" s="150">
        <v>0</v>
      </c>
      <c r="E3913" s="151">
        <f ca="1">OFFSET(INDEX(Composições!A:H,MATCH(Orçamentária!A3913,Composições!A:A,0),8),2,0)</f>
        <v>39.939518100000001</v>
      </c>
      <c r="F3913" s="152">
        <f t="shared" ca="1" si="185"/>
        <v>0</v>
      </c>
      <c r="G3913" s="153">
        <f>IF($K3913="Padrão",BDI!$B$17,IF($K3913="Diferenciado",BDI!$E$17,0))</f>
        <v>0.2039</v>
      </c>
      <c r="H3913" s="151">
        <f t="shared" ca="1" si="183"/>
        <v>48.08</v>
      </c>
      <c r="I3913" s="152">
        <f t="shared" ca="1" si="184"/>
        <v>0</v>
      </c>
      <c r="J3913" s="154"/>
      <c r="K3913" s="155" t="s">
        <v>2966</v>
      </c>
    </row>
    <row r="3914" spans="1:11" hidden="1" x14ac:dyDescent="0.25">
      <c r="A3914" s="148" t="s">
        <v>9267</v>
      </c>
      <c r="B3914" s="149" t="s">
        <v>9268</v>
      </c>
      <c r="C3914" s="150" t="s">
        <v>87</v>
      </c>
      <c r="D3914" s="150">
        <v>0</v>
      </c>
      <c r="E3914" s="151" t="s">
        <v>13</v>
      </c>
      <c r="F3914" s="152" t="str">
        <f t="shared" si="185"/>
        <v/>
      </c>
      <c r="G3914" s="153">
        <f>IF($K3914="Padrão",BDI!$B$17,IF($K3914="Diferenciado",BDI!$E$17,0))</f>
        <v>0.2039</v>
      </c>
      <c r="H3914" s="151" t="str">
        <f t="shared" si="183"/>
        <v/>
      </c>
      <c r="I3914" s="152" t="str">
        <f t="shared" si="184"/>
        <v/>
      </c>
      <c r="J3914" s="154"/>
      <c r="K3914" s="155" t="s">
        <v>2966</v>
      </c>
    </row>
    <row r="3915" spans="1:11" hidden="1" x14ac:dyDescent="0.25">
      <c r="A3915" s="148" t="s">
        <v>9269</v>
      </c>
      <c r="B3915" s="149" t="s">
        <v>9270</v>
      </c>
      <c r="C3915" s="150" t="s">
        <v>87</v>
      </c>
      <c r="D3915" s="150">
        <v>0</v>
      </c>
      <c r="E3915" s="151" t="s">
        <v>13</v>
      </c>
      <c r="F3915" s="152" t="str">
        <f t="shared" si="185"/>
        <v/>
      </c>
      <c r="G3915" s="153">
        <f>IF($K3915="Padrão",BDI!$B$17,IF($K3915="Diferenciado",BDI!$E$17,0))</f>
        <v>0.2039</v>
      </c>
      <c r="H3915" s="151" t="str">
        <f t="shared" si="183"/>
        <v/>
      </c>
      <c r="I3915" s="152" t="str">
        <f t="shared" si="184"/>
        <v/>
      </c>
      <c r="J3915" s="154"/>
      <c r="K3915" s="155" t="s">
        <v>2966</v>
      </c>
    </row>
    <row r="3916" spans="1:11" hidden="1" x14ac:dyDescent="0.25">
      <c r="A3916" s="148" t="s">
        <v>9271</v>
      </c>
      <c r="B3916" s="149" t="s">
        <v>9272</v>
      </c>
      <c r="C3916" s="150" t="s">
        <v>87</v>
      </c>
      <c r="D3916" s="150">
        <v>0</v>
      </c>
      <c r="E3916" s="151" t="s">
        <v>13</v>
      </c>
      <c r="F3916" s="152" t="str">
        <f t="shared" si="185"/>
        <v/>
      </c>
      <c r="G3916" s="153">
        <f>IF($K3916="Padrão",BDI!$B$17,IF($K3916="Diferenciado",BDI!$E$17,0))</f>
        <v>0.2039</v>
      </c>
      <c r="H3916" s="151" t="str">
        <f t="shared" si="183"/>
        <v/>
      </c>
      <c r="I3916" s="152" t="str">
        <f t="shared" si="184"/>
        <v/>
      </c>
      <c r="J3916" s="154"/>
      <c r="K3916" s="155" t="s">
        <v>2966</v>
      </c>
    </row>
    <row r="3917" spans="1:11" hidden="1" x14ac:dyDescent="0.25">
      <c r="A3917" s="148" t="s">
        <v>9273</v>
      </c>
      <c r="B3917" s="149" t="s">
        <v>9274</v>
      </c>
      <c r="C3917" s="150" t="s">
        <v>87</v>
      </c>
      <c r="D3917" s="150">
        <v>0</v>
      </c>
      <c r="E3917" s="151" t="s">
        <v>13</v>
      </c>
      <c r="F3917" s="152" t="str">
        <f t="shared" si="185"/>
        <v/>
      </c>
      <c r="G3917" s="153">
        <f>IF($K3917="Padrão",BDI!$B$17,IF($K3917="Diferenciado",BDI!$E$17,0))</f>
        <v>0.2039</v>
      </c>
      <c r="H3917" s="151" t="str">
        <f t="shared" si="183"/>
        <v/>
      </c>
      <c r="I3917" s="152" t="str">
        <f t="shared" si="184"/>
        <v/>
      </c>
      <c r="J3917" s="154"/>
      <c r="K3917" s="155" t="s">
        <v>2966</v>
      </c>
    </row>
    <row r="3918" spans="1:11" ht="25.5" hidden="1" x14ac:dyDescent="0.25">
      <c r="A3918" s="148" t="s">
        <v>9275</v>
      </c>
      <c r="B3918" s="149" t="s">
        <v>9276</v>
      </c>
      <c r="C3918" s="150" t="s">
        <v>87</v>
      </c>
      <c r="D3918" s="150">
        <v>0</v>
      </c>
      <c r="E3918" s="151" t="s">
        <v>13</v>
      </c>
      <c r="F3918" s="152" t="str">
        <f t="shared" si="185"/>
        <v/>
      </c>
      <c r="G3918" s="153">
        <f>IF($K3918="Padrão",BDI!$B$17,IF($K3918="Diferenciado",BDI!$E$17,0))</f>
        <v>0.2039</v>
      </c>
      <c r="H3918" s="151" t="str">
        <f t="shared" si="183"/>
        <v/>
      </c>
      <c r="I3918" s="152" t="str">
        <f t="shared" si="184"/>
        <v/>
      </c>
      <c r="J3918" s="154"/>
      <c r="K3918" s="155" t="s">
        <v>2966</v>
      </c>
    </row>
    <row r="3919" spans="1:11" ht="25.5" hidden="1" x14ac:dyDescent="0.25">
      <c r="A3919" s="148" t="s">
        <v>9277</v>
      </c>
      <c r="B3919" s="149" t="s">
        <v>9278</v>
      </c>
      <c r="C3919" s="150" t="s">
        <v>87</v>
      </c>
      <c r="D3919" s="150">
        <v>0</v>
      </c>
      <c r="E3919" s="151" t="s">
        <v>13</v>
      </c>
      <c r="F3919" s="152" t="str">
        <f t="shared" si="185"/>
        <v/>
      </c>
      <c r="G3919" s="153">
        <f>IF($K3919="Padrão",BDI!$B$17,IF($K3919="Diferenciado",BDI!$E$17,0))</f>
        <v>0.2039</v>
      </c>
      <c r="H3919" s="151" t="str">
        <f t="shared" si="183"/>
        <v/>
      </c>
      <c r="I3919" s="152" t="str">
        <f t="shared" si="184"/>
        <v/>
      </c>
      <c r="J3919" s="154"/>
      <c r="K3919" s="155" t="s">
        <v>2966</v>
      </c>
    </row>
    <row r="3920" spans="1:11" ht="25.5" hidden="1" x14ac:dyDescent="0.25">
      <c r="A3920" s="148" t="s">
        <v>9279</v>
      </c>
      <c r="B3920" s="149" t="s">
        <v>9280</v>
      </c>
      <c r="C3920" s="150" t="s">
        <v>87</v>
      </c>
      <c r="D3920" s="150">
        <v>0</v>
      </c>
      <c r="E3920" s="151" t="s">
        <v>13</v>
      </c>
      <c r="F3920" s="152" t="str">
        <f t="shared" si="185"/>
        <v/>
      </c>
      <c r="G3920" s="153">
        <f>IF($K3920="Padrão",BDI!$B$17,IF($K3920="Diferenciado",BDI!$E$17,0))</f>
        <v>0.2039</v>
      </c>
      <c r="H3920" s="151" t="str">
        <f t="shared" si="183"/>
        <v/>
      </c>
      <c r="I3920" s="152" t="str">
        <f t="shared" si="184"/>
        <v/>
      </c>
      <c r="J3920" s="154"/>
      <c r="K3920" s="155" t="s">
        <v>2966</v>
      </c>
    </row>
    <row r="3921" spans="1:11" ht="25.5" hidden="1" x14ac:dyDescent="0.25">
      <c r="A3921" s="148" t="s">
        <v>9281</v>
      </c>
      <c r="B3921" s="149" t="s">
        <v>9282</v>
      </c>
      <c r="C3921" s="150" t="s">
        <v>87</v>
      </c>
      <c r="D3921" s="150">
        <v>0</v>
      </c>
      <c r="E3921" s="151" t="s">
        <v>13</v>
      </c>
      <c r="F3921" s="152" t="str">
        <f t="shared" si="185"/>
        <v/>
      </c>
      <c r="G3921" s="153">
        <f>IF($K3921="Padrão",BDI!$B$17,IF($K3921="Diferenciado",BDI!$E$17,0))</f>
        <v>0.2039</v>
      </c>
      <c r="H3921" s="151" t="str">
        <f t="shared" si="183"/>
        <v/>
      </c>
      <c r="I3921" s="152" t="str">
        <f t="shared" si="184"/>
        <v/>
      </c>
      <c r="J3921" s="154"/>
      <c r="K3921" s="155" t="s">
        <v>2966</v>
      </c>
    </row>
    <row r="3922" spans="1:11" ht="25.5" hidden="1" x14ac:dyDescent="0.25">
      <c r="A3922" s="148" t="s">
        <v>9283</v>
      </c>
      <c r="B3922" s="149" t="s">
        <v>9284</v>
      </c>
      <c r="C3922" s="150" t="s">
        <v>87</v>
      </c>
      <c r="D3922" s="150">
        <v>0</v>
      </c>
      <c r="E3922" s="151" t="s">
        <v>13</v>
      </c>
      <c r="F3922" s="152" t="str">
        <f t="shared" si="185"/>
        <v/>
      </c>
      <c r="G3922" s="153">
        <f>IF($K3922="Padrão",BDI!$B$17,IF($K3922="Diferenciado",BDI!$E$17,0))</f>
        <v>0.2039</v>
      </c>
      <c r="H3922" s="151" t="str">
        <f t="shared" si="183"/>
        <v/>
      </c>
      <c r="I3922" s="152" t="str">
        <f t="shared" si="184"/>
        <v/>
      </c>
      <c r="J3922" s="154"/>
      <c r="K3922" s="155" t="s">
        <v>2966</v>
      </c>
    </row>
    <row r="3923" spans="1:11" hidden="1" x14ac:dyDescent="0.25">
      <c r="A3923" s="148" t="s">
        <v>9285</v>
      </c>
      <c r="B3923" s="149" t="s">
        <v>9286</v>
      </c>
      <c r="C3923" s="150" t="s">
        <v>87</v>
      </c>
      <c r="D3923" s="150">
        <v>0</v>
      </c>
      <c r="E3923" s="151" t="s">
        <v>13</v>
      </c>
      <c r="F3923" s="152" t="str">
        <f t="shared" si="185"/>
        <v/>
      </c>
      <c r="G3923" s="153">
        <f>IF($K3923="Padrão",BDI!$B$17,IF($K3923="Diferenciado",BDI!$E$17,0))</f>
        <v>0.2039</v>
      </c>
      <c r="H3923" s="151" t="str">
        <f t="shared" si="183"/>
        <v/>
      </c>
      <c r="I3923" s="152" t="str">
        <f t="shared" si="184"/>
        <v/>
      </c>
      <c r="J3923" s="154"/>
      <c r="K3923" s="155" t="s">
        <v>2966</v>
      </c>
    </row>
    <row r="3924" spans="1:11" ht="25.5" hidden="1" x14ac:dyDescent="0.25">
      <c r="A3924" s="148" t="s">
        <v>9287</v>
      </c>
      <c r="B3924" s="149" t="s">
        <v>9288</v>
      </c>
      <c r="C3924" s="150" t="s">
        <v>87</v>
      </c>
      <c r="D3924" s="150">
        <v>0</v>
      </c>
      <c r="E3924" s="151" t="s">
        <v>13</v>
      </c>
      <c r="F3924" s="152" t="str">
        <f t="shared" si="185"/>
        <v/>
      </c>
      <c r="G3924" s="153">
        <f>IF($K3924="Padrão",BDI!$B$17,IF($K3924="Diferenciado",BDI!$E$17,0))</f>
        <v>0.2039</v>
      </c>
      <c r="H3924" s="151" t="str">
        <f t="shared" si="183"/>
        <v/>
      </c>
      <c r="I3924" s="152" t="str">
        <f t="shared" si="184"/>
        <v/>
      </c>
      <c r="J3924" s="154"/>
      <c r="K3924" s="155" t="s">
        <v>2966</v>
      </c>
    </row>
    <row r="3925" spans="1:11" ht="25.5" hidden="1" x14ac:dyDescent="0.25">
      <c r="A3925" s="148" t="s">
        <v>9289</v>
      </c>
      <c r="B3925" s="149" t="s">
        <v>9290</v>
      </c>
      <c r="C3925" s="150" t="s">
        <v>87</v>
      </c>
      <c r="D3925" s="150">
        <v>0</v>
      </c>
      <c r="E3925" s="151" t="s">
        <v>13</v>
      </c>
      <c r="F3925" s="152" t="str">
        <f t="shared" si="185"/>
        <v/>
      </c>
      <c r="G3925" s="153">
        <f>IF($K3925="Padrão",BDI!$B$17,IF($K3925="Diferenciado",BDI!$E$17,0))</f>
        <v>0.2039</v>
      </c>
      <c r="H3925" s="151" t="str">
        <f t="shared" si="183"/>
        <v/>
      </c>
      <c r="I3925" s="152" t="str">
        <f t="shared" si="184"/>
        <v/>
      </c>
      <c r="J3925" s="154"/>
      <c r="K3925" s="155" t="s">
        <v>2966</v>
      </c>
    </row>
    <row r="3926" spans="1:11" hidden="1" x14ac:dyDescent="0.25">
      <c r="A3926" s="148" t="s">
        <v>9291</v>
      </c>
      <c r="B3926" s="149" t="s">
        <v>9292</v>
      </c>
      <c r="C3926" s="150" t="s">
        <v>87</v>
      </c>
      <c r="D3926" s="150">
        <v>0</v>
      </c>
      <c r="E3926" s="151" t="s">
        <v>13</v>
      </c>
      <c r="F3926" s="152" t="str">
        <f t="shared" si="185"/>
        <v/>
      </c>
      <c r="G3926" s="153">
        <f>IF($K3926="Padrão",BDI!$B$17,IF($K3926="Diferenciado",BDI!$E$17,0))</f>
        <v>0.2039</v>
      </c>
      <c r="H3926" s="151" t="str">
        <f t="shared" si="183"/>
        <v/>
      </c>
      <c r="I3926" s="152" t="str">
        <f t="shared" si="184"/>
        <v/>
      </c>
      <c r="J3926" s="154"/>
      <c r="K3926" s="155" t="s">
        <v>2966</v>
      </c>
    </row>
    <row r="3927" spans="1:11" hidden="1" x14ac:dyDescent="0.25">
      <c r="A3927" s="148" t="s">
        <v>2168</v>
      </c>
      <c r="B3927" s="149" t="s">
        <v>9293</v>
      </c>
      <c r="C3927" s="150" t="s">
        <v>106</v>
      </c>
      <c r="D3927" s="150">
        <v>0</v>
      </c>
      <c r="E3927" s="151">
        <f ca="1">OFFSET(INDEX(Composições!A:H,MATCH(Orçamentária!A3927,Composições!A:A,0),8),2,0)</f>
        <v>39.576999999999998</v>
      </c>
      <c r="F3927" s="152">
        <f t="shared" ca="1" si="185"/>
        <v>0</v>
      </c>
      <c r="G3927" s="153">
        <f>IF($K3927="Padrão",BDI!$B$17,IF($K3927="Diferenciado",BDI!$E$17,0))</f>
        <v>0.2039</v>
      </c>
      <c r="H3927" s="151">
        <f t="shared" ca="1" si="183"/>
        <v>47.65</v>
      </c>
      <c r="I3927" s="152">
        <f t="shared" ca="1" si="184"/>
        <v>0</v>
      </c>
      <c r="J3927" s="154"/>
      <c r="K3927" s="155" t="s">
        <v>2966</v>
      </c>
    </row>
    <row r="3928" spans="1:11" hidden="1" x14ac:dyDescent="0.25">
      <c r="A3928" s="148" t="s">
        <v>2169</v>
      </c>
      <c r="B3928" s="149" t="s">
        <v>9294</v>
      </c>
      <c r="C3928" s="150" t="s">
        <v>87</v>
      </c>
      <c r="D3928" s="150">
        <v>0</v>
      </c>
      <c r="E3928" s="151">
        <f ca="1">OFFSET(INDEX(Composições!A:H,MATCH(Orçamentária!A3928,Composições!A:A,0),8),2,0)</f>
        <v>9.5949999999999989</v>
      </c>
      <c r="F3928" s="152">
        <f t="shared" ca="1" si="185"/>
        <v>0</v>
      </c>
      <c r="G3928" s="153">
        <f>IF($K3928="Padrão",BDI!$B$17,IF($K3928="Diferenciado",BDI!$E$17,0))</f>
        <v>0.2039</v>
      </c>
      <c r="H3928" s="151">
        <f t="shared" ca="1" si="183"/>
        <v>11.55</v>
      </c>
      <c r="I3928" s="152">
        <f t="shared" ca="1" si="184"/>
        <v>0</v>
      </c>
      <c r="J3928" s="154"/>
      <c r="K3928" s="155" t="s">
        <v>2966</v>
      </c>
    </row>
    <row r="3929" spans="1:11" hidden="1" x14ac:dyDescent="0.25">
      <c r="A3929" s="148" t="s">
        <v>2170</v>
      </c>
      <c r="B3929" s="149" t="s">
        <v>9295</v>
      </c>
      <c r="C3929" s="150" t="s">
        <v>87</v>
      </c>
      <c r="D3929" s="150">
        <v>0</v>
      </c>
      <c r="E3929" s="151">
        <f ca="1">OFFSET(INDEX(Composições!A:H,MATCH(Orçamentária!A3929,Composições!A:A,0),8),2,0)</f>
        <v>24.044499999999999</v>
      </c>
      <c r="F3929" s="152">
        <f t="shared" ca="1" si="185"/>
        <v>0</v>
      </c>
      <c r="G3929" s="153">
        <f>IF($K3929="Padrão",BDI!$B$17,IF($K3929="Diferenciado",BDI!$E$17,0))</f>
        <v>0.2039</v>
      </c>
      <c r="H3929" s="151">
        <f t="shared" ca="1" si="183"/>
        <v>28.95</v>
      </c>
      <c r="I3929" s="152">
        <f t="shared" ca="1" si="184"/>
        <v>0</v>
      </c>
      <c r="J3929" s="154"/>
      <c r="K3929" s="155" t="s">
        <v>2966</v>
      </c>
    </row>
    <row r="3930" spans="1:11" hidden="1" x14ac:dyDescent="0.25">
      <c r="A3930" s="148" t="s">
        <v>2171</v>
      </c>
      <c r="B3930" s="149" t="s">
        <v>9296</v>
      </c>
      <c r="C3930" s="150" t="s">
        <v>87</v>
      </c>
      <c r="D3930" s="150">
        <v>0</v>
      </c>
      <c r="E3930" s="151">
        <f ca="1">OFFSET(INDEX(Composições!A:H,MATCH(Orçamentária!A3930,Composições!A:A,0),8),2,0)</f>
        <v>5.5954999999999995</v>
      </c>
      <c r="F3930" s="152">
        <f t="shared" ca="1" si="185"/>
        <v>0</v>
      </c>
      <c r="G3930" s="153">
        <f>IF($K3930="Padrão",BDI!$B$17,IF($K3930="Diferenciado",BDI!$E$17,0))</f>
        <v>0.2039</v>
      </c>
      <c r="H3930" s="151">
        <f t="shared" ca="1" si="183"/>
        <v>6.74</v>
      </c>
      <c r="I3930" s="152">
        <f t="shared" ca="1" si="184"/>
        <v>0</v>
      </c>
      <c r="J3930" s="154"/>
      <c r="K3930" s="155" t="s">
        <v>2966</v>
      </c>
    </row>
    <row r="3931" spans="1:11" hidden="1" x14ac:dyDescent="0.25">
      <c r="A3931" s="148" t="s">
        <v>2172</v>
      </c>
      <c r="B3931" s="149" t="s">
        <v>9297</v>
      </c>
      <c r="C3931" s="150" t="s">
        <v>87</v>
      </c>
      <c r="D3931" s="150">
        <v>0</v>
      </c>
      <c r="E3931" s="151">
        <f ca="1">OFFSET(INDEX(Composições!A:H,MATCH(Orçamentária!A3931,Composições!A:A,0),8),2,0)</f>
        <v>5.9944999999999995</v>
      </c>
      <c r="F3931" s="152">
        <f t="shared" ca="1" si="185"/>
        <v>0</v>
      </c>
      <c r="G3931" s="153">
        <f>IF($K3931="Padrão",BDI!$B$17,IF($K3931="Diferenciado",BDI!$E$17,0))</f>
        <v>0.2039</v>
      </c>
      <c r="H3931" s="151">
        <f t="shared" ca="1" si="183"/>
        <v>7.22</v>
      </c>
      <c r="I3931" s="152">
        <f t="shared" ca="1" si="184"/>
        <v>0</v>
      </c>
      <c r="J3931" s="154"/>
      <c r="K3931" s="155" t="s">
        <v>2966</v>
      </c>
    </row>
    <row r="3932" spans="1:11" hidden="1" x14ac:dyDescent="0.25">
      <c r="A3932" s="148" t="s">
        <v>2173</v>
      </c>
      <c r="B3932" s="149" t="s">
        <v>9298</v>
      </c>
      <c r="C3932" s="150" t="s">
        <v>87</v>
      </c>
      <c r="D3932" s="150">
        <v>0</v>
      </c>
      <c r="E3932" s="151">
        <f ca="1">OFFSET(INDEX(Composições!A:H,MATCH(Orçamentária!A3932,Composições!A:A,0),8),2,0)</f>
        <v>5.3484999999999996</v>
      </c>
      <c r="F3932" s="152">
        <f t="shared" ca="1" si="185"/>
        <v>0</v>
      </c>
      <c r="G3932" s="153">
        <f>IF($K3932="Padrão",BDI!$B$17,IF($K3932="Diferenciado",BDI!$E$17,0))</f>
        <v>0.2039</v>
      </c>
      <c r="H3932" s="151">
        <f t="shared" ca="1" si="183"/>
        <v>6.44</v>
      </c>
      <c r="I3932" s="152">
        <f t="shared" ca="1" si="184"/>
        <v>0</v>
      </c>
      <c r="J3932" s="154"/>
      <c r="K3932" s="155" t="s">
        <v>2966</v>
      </c>
    </row>
    <row r="3933" spans="1:11" hidden="1" x14ac:dyDescent="0.25">
      <c r="A3933" s="148" t="s">
        <v>2174</v>
      </c>
      <c r="B3933" s="149" t="s">
        <v>9299</v>
      </c>
      <c r="C3933" s="150" t="s">
        <v>87</v>
      </c>
      <c r="D3933" s="150">
        <v>0</v>
      </c>
      <c r="E3933" s="151">
        <f ca="1">OFFSET(INDEX(Composições!A:H,MATCH(Orçamentária!A3933,Composições!A:A,0),8),2,0)</f>
        <v>9.3290000000000006</v>
      </c>
      <c r="F3933" s="152">
        <f t="shared" ca="1" si="185"/>
        <v>0</v>
      </c>
      <c r="G3933" s="153">
        <f>IF($K3933="Padrão",BDI!$B$17,IF($K3933="Diferenciado",BDI!$E$17,0))</f>
        <v>0.2039</v>
      </c>
      <c r="H3933" s="151">
        <f t="shared" ca="1" si="183"/>
        <v>11.23</v>
      </c>
      <c r="I3933" s="152">
        <f t="shared" ca="1" si="184"/>
        <v>0</v>
      </c>
      <c r="J3933" s="154"/>
      <c r="K3933" s="155" t="s">
        <v>2966</v>
      </c>
    </row>
    <row r="3934" spans="1:11" hidden="1" x14ac:dyDescent="0.25">
      <c r="A3934" s="148" t="s">
        <v>2175</v>
      </c>
      <c r="B3934" s="149" t="s">
        <v>9300</v>
      </c>
      <c r="C3934" s="150" t="s">
        <v>87</v>
      </c>
      <c r="D3934" s="150">
        <v>0</v>
      </c>
      <c r="E3934" s="151">
        <f ca="1">OFFSET(INDEX(Composições!A:H,MATCH(Orçamentária!A3934,Composições!A:A,0),8),2,0)</f>
        <v>4.0754999999999999</v>
      </c>
      <c r="F3934" s="152">
        <f t="shared" ca="1" si="185"/>
        <v>0</v>
      </c>
      <c r="G3934" s="153">
        <f>IF($K3934="Padrão",BDI!$B$17,IF($K3934="Diferenciado",BDI!$E$17,0))</f>
        <v>0.2039</v>
      </c>
      <c r="H3934" s="151">
        <f t="shared" ca="1" si="183"/>
        <v>4.91</v>
      </c>
      <c r="I3934" s="152">
        <f t="shared" ca="1" si="184"/>
        <v>0</v>
      </c>
      <c r="J3934" s="154"/>
      <c r="K3934" s="155" t="s">
        <v>2966</v>
      </c>
    </row>
    <row r="3935" spans="1:11" hidden="1" x14ac:dyDescent="0.25">
      <c r="A3935" s="148" t="s">
        <v>9301</v>
      </c>
      <c r="B3935" s="149" t="s">
        <v>9302</v>
      </c>
      <c r="C3935" s="150" t="s">
        <v>87</v>
      </c>
      <c r="D3935" s="150">
        <v>0</v>
      </c>
      <c r="E3935" s="151" t="s">
        <v>13</v>
      </c>
      <c r="F3935" s="152" t="str">
        <f t="shared" si="185"/>
        <v/>
      </c>
      <c r="G3935" s="153">
        <f>IF($K3935="Padrão",BDI!$B$17,IF($K3935="Diferenciado",BDI!$E$17,0))</f>
        <v>0.2039</v>
      </c>
      <c r="H3935" s="151" t="str">
        <f t="shared" si="183"/>
        <v/>
      </c>
      <c r="I3935" s="152" t="str">
        <f t="shared" si="184"/>
        <v/>
      </c>
      <c r="J3935" s="154"/>
      <c r="K3935" s="155" t="s">
        <v>2966</v>
      </c>
    </row>
    <row r="3936" spans="1:11" hidden="1" x14ac:dyDescent="0.25">
      <c r="A3936" s="148" t="s">
        <v>2176</v>
      </c>
      <c r="B3936" s="149" t="s">
        <v>9303</v>
      </c>
      <c r="C3936" s="150" t="s">
        <v>106</v>
      </c>
      <c r="D3936" s="150">
        <v>0</v>
      </c>
      <c r="E3936" s="151">
        <f ca="1">OFFSET(INDEX(Composições!A:H,MATCH(Orçamentária!A3936,Composições!A:A,0),8),2,0)</f>
        <v>53.997999999999998</v>
      </c>
      <c r="F3936" s="152">
        <f t="shared" ca="1" si="185"/>
        <v>0</v>
      </c>
      <c r="G3936" s="153">
        <f>IF($K3936="Padrão",BDI!$B$17,IF($K3936="Diferenciado",BDI!$E$17,0))</f>
        <v>0.2039</v>
      </c>
      <c r="H3936" s="151">
        <f t="shared" ca="1" si="183"/>
        <v>65.010000000000005</v>
      </c>
      <c r="I3936" s="152">
        <f t="shared" ca="1" si="184"/>
        <v>0</v>
      </c>
      <c r="J3936" s="154"/>
      <c r="K3936" s="155" t="s">
        <v>2966</v>
      </c>
    </row>
    <row r="3937" spans="1:11" hidden="1" x14ac:dyDescent="0.25">
      <c r="A3937" s="148" t="s">
        <v>2177</v>
      </c>
      <c r="B3937" s="149" t="s">
        <v>9304</v>
      </c>
      <c r="C3937" s="150" t="s">
        <v>87</v>
      </c>
      <c r="D3937" s="150">
        <v>0</v>
      </c>
      <c r="E3937" s="151">
        <f ca="1">OFFSET(INDEX(Composições!A:H,MATCH(Orçamentária!A3937,Composições!A:A,0),8),2,0)</f>
        <v>11.4855</v>
      </c>
      <c r="F3937" s="152">
        <f t="shared" ca="1" si="185"/>
        <v>0</v>
      </c>
      <c r="G3937" s="153">
        <f>IF($K3937="Padrão",BDI!$B$17,IF($K3937="Diferenciado",BDI!$E$17,0))</f>
        <v>0.2039</v>
      </c>
      <c r="H3937" s="151">
        <f t="shared" ca="1" si="183"/>
        <v>13.83</v>
      </c>
      <c r="I3937" s="152">
        <f t="shared" ca="1" si="184"/>
        <v>0</v>
      </c>
      <c r="J3937" s="154"/>
      <c r="K3937" s="155" t="s">
        <v>2966</v>
      </c>
    </row>
    <row r="3938" spans="1:11" hidden="1" x14ac:dyDescent="0.25">
      <c r="A3938" s="148" t="s">
        <v>2178</v>
      </c>
      <c r="B3938" s="149" t="s">
        <v>9305</v>
      </c>
      <c r="C3938" s="150" t="s">
        <v>87</v>
      </c>
      <c r="D3938" s="150">
        <v>0</v>
      </c>
      <c r="E3938" s="151">
        <f ca="1">OFFSET(INDEX(Composições!A:H,MATCH(Orçamentária!A3938,Composições!A:A,0),8),2,0)</f>
        <v>31.844000000000001</v>
      </c>
      <c r="F3938" s="152">
        <f t="shared" ca="1" si="185"/>
        <v>0</v>
      </c>
      <c r="G3938" s="153">
        <f>IF($K3938="Padrão",BDI!$B$17,IF($K3938="Diferenciado",BDI!$E$17,0))</f>
        <v>0.2039</v>
      </c>
      <c r="H3938" s="151">
        <f t="shared" ca="1" si="183"/>
        <v>38.340000000000003</v>
      </c>
      <c r="I3938" s="152">
        <f t="shared" ca="1" si="184"/>
        <v>0</v>
      </c>
      <c r="J3938" s="154"/>
      <c r="K3938" s="155" t="s">
        <v>2966</v>
      </c>
    </row>
    <row r="3939" spans="1:11" hidden="1" x14ac:dyDescent="0.25">
      <c r="A3939" s="148" t="s">
        <v>2179</v>
      </c>
      <c r="B3939" s="149" t="s">
        <v>9306</v>
      </c>
      <c r="C3939" s="150" t="s">
        <v>87</v>
      </c>
      <c r="D3939" s="150">
        <v>0</v>
      </c>
      <c r="E3939" s="151">
        <f ca="1">OFFSET(INDEX(Composições!A:H,MATCH(Orçamentária!A3939,Composições!A:A,0),8),2,0)</f>
        <v>7.7519999999999998</v>
      </c>
      <c r="F3939" s="152">
        <f t="shared" ca="1" si="185"/>
        <v>0</v>
      </c>
      <c r="G3939" s="153">
        <f>IF($K3939="Padrão",BDI!$B$17,IF($K3939="Diferenciado",BDI!$E$17,0))</f>
        <v>0.2039</v>
      </c>
      <c r="H3939" s="151">
        <f t="shared" ca="1" si="183"/>
        <v>9.33</v>
      </c>
      <c r="I3939" s="152">
        <f t="shared" ca="1" si="184"/>
        <v>0</v>
      </c>
      <c r="J3939" s="154"/>
      <c r="K3939" s="155" t="s">
        <v>2966</v>
      </c>
    </row>
    <row r="3940" spans="1:11" hidden="1" x14ac:dyDescent="0.25">
      <c r="A3940" s="148" t="s">
        <v>2180</v>
      </c>
      <c r="B3940" s="149" t="s">
        <v>9307</v>
      </c>
      <c r="C3940" s="150" t="s">
        <v>87</v>
      </c>
      <c r="D3940" s="150">
        <v>0</v>
      </c>
      <c r="E3940" s="151">
        <f ca="1">OFFSET(INDEX(Composições!A:H,MATCH(Orçamentária!A3940,Composições!A:A,0),8),2,0)</f>
        <v>8.160499999999999</v>
      </c>
      <c r="F3940" s="152">
        <f t="shared" ca="1" si="185"/>
        <v>0</v>
      </c>
      <c r="G3940" s="153">
        <f>IF($K3940="Padrão",BDI!$B$17,IF($K3940="Diferenciado",BDI!$E$17,0))</f>
        <v>0.2039</v>
      </c>
      <c r="H3940" s="151">
        <f t="shared" ca="1" si="183"/>
        <v>9.82</v>
      </c>
      <c r="I3940" s="152">
        <f t="shared" ca="1" si="184"/>
        <v>0</v>
      </c>
      <c r="J3940" s="154"/>
      <c r="K3940" s="155" t="s">
        <v>2966</v>
      </c>
    </row>
    <row r="3941" spans="1:11" hidden="1" x14ac:dyDescent="0.25">
      <c r="A3941" s="148" t="s">
        <v>2181</v>
      </c>
      <c r="B3941" s="149" t="s">
        <v>9308</v>
      </c>
      <c r="C3941" s="150" t="s">
        <v>87</v>
      </c>
      <c r="D3941" s="150">
        <v>0</v>
      </c>
      <c r="E3941" s="151">
        <f ca="1">OFFSET(INDEX(Composições!A:H,MATCH(Orçamentária!A3941,Composições!A:A,0),8),2,0)</f>
        <v>6.9159999999999995</v>
      </c>
      <c r="F3941" s="152">
        <f t="shared" ca="1" si="185"/>
        <v>0</v>
      </c>
      <c r="G3941" s="153">
        <f>IF($K3941="Padrão",BDI!$B$17,IF($K3941="Diferenciado",BDI!$E$17,0))</f>
        <v>0.2039</v>
      </c>
      <c r="H3941" s="151">
        <f t="shared" ca="1" si="183"/>
        <v>8.33</v>
      </c>
      <c r="I3941" s="152">
        <f t="shared" ca="1" si="184"/>
        <v>0</v>
      </c>
      <c r="J3941" s="154"/>
      <c r="K3941" s="155" t="s">
        <v>2966</v>
      </c>
    </row>
    <row r="3942" spans="1:11" hidden="1" x14ac:dyDescent="0.25">
      <c r="A3942" s="148" t="s">
        <v>2182</v>
      </c>
      <c r="B3942" s="149" t="s">
        <v>9309</v>
      </c>
      <c r="C3942" s="150" t="s">
        <v>87</v>
      </c>
      <c r="D3942" s="150">
        <v>0</v>
      </c>
      <c r="E3942" s="151">
        <f ca="1">OFFSET(INDEX(Composições!A:H,MATCH(Orçamentária!A3942,Composições!A:A,0),8),2,0)</f>
        <v>13.2905</v>
      </c>
      <c r="F3942" s="152">
        <f t="shared" ca="1" si="185"/>
        <v>0</v>
      </c>
      <c r="G3942" s="153">
        <f>IF($K3942="Padrão",BDI!$B$17,IF($K3942="Diferenciado",BDI!$E$17,0))</f>
        <v>0.2039</v>
      </c>
      <c r="H3942" s="151">
        <f t="shared" ca="1" si="183"/>
        <v>16</v>
      </c>
      <c r="I3942" s="152">
        <f t="shared" ca="1" si="184"/>
        <v>0</v>
      </c>
      <c r="J3942" s="154"/>
      <c r="K3942" s="155" t="s">
        <v>2966</v>
      </c>
    </row>
    <row r="3943" spans="1:11" hidden="1" x14ac:dyDescent="0.25">
      <c r="A3943" s="148" t="s">
        <v>2183</v>
      </c>
      <c r="B3943" s="149" t="s">
        <v>9310</v>
      </c>
      <c r="C3943" s="150" t="s">
        <v>87</v>
      </c>
      <c r="D3943" s="150">
        <v>0</v>
      </c>
      <c r="E3943" s="151">
        <f ca="1">OFFSET(INDEX(Composições!A:H,MATCH(Orçamentária!A3943,Composições!A:A,0),8),2,0)</f>
        <v>5.519499999999999</v>
      </c>
      <c r="F3943" s="152">
        <f t="shared" ca="1" si="185"/>
        <v>0</v>
      </c>
      <c r="G3943" s="153">
        <f>IF($K3943="Padrão",BDI!$B$17,IF($K3943="Diferenciado",BDI!$E$17,0))</f>
        <v>0.2039</v>
      </c>
      <c r="H3943" s="151">
        <f t="shared" ca="1" si="183"/>
        <v>6.64</v>
      </c>
      <c r="I3943" s="152">
        <f t="shared" ca="1" si="184"/>
        <v>0</v>
      </c>
      <c r="J3943" s="154"/>
      <c r="K3943" s="155" t="s">
        <v>2966</v>
      </c>
    </row>
    <row r="3944" spans="1:11" hidden="1" x14ac:dyDescent="0.25">
      <c r="A3944" s="148" t="s">
        <v>9311</v>
      </c>
      <c r="B3944" s="149" t="s">
        <v>9312</v>
      </c>
      <c r="C3944" s="150" t="s">
        <v>87</v>
      </c>
      <c r="D3944" s="150">
        <v>0</v>
      </c>
      <c r="E3944" s="151" t="s">
        <v>13</v>
      </c>
      <c r="F3944" s="152" t="str">
        <f t="shared" si="185"/>
        <v/>
      </c>
      <c r="G3944" s="153">
        <f>IF($K3944="Padrão",BDI!$B$17,IF($K3944="Diferenciado",BDI!$E$17,0))</f>
        <v>0.2039</v>
      </c>
      <c r="H3944" s="151" t="str">
        <f t="shared" si="183"/>
        <v/>
      </c>
      <c r="I3944" s="152" t="str">
        <f t="shared" si="184"/>
        <v/>
      </c>
      <c r="J3944" s="154"/>
      <c r="K3944" s="155" t="s">
        <v>2966</v>
      </c>
    </row>
    <row r="3945" spans="1:11" hidden="1" x14ac:dyDescent="0.25">
      <c r="A3945" s="148" t="s">
        <v>2184</v>
      </c>
      <c r="B3945" s="149" t="s">
        <v>9313</v>
      </c>
      <c r="C3945" s="150" t="s">
        <v>87</v>
      </c>
      <c r="D3945" s="150">
        <v>0</v>
      </c>
      <c r="E3945" s="151">
        <f ca="1">OFFSET(INDEX(Composições!A:H,MATCH(Orçamentária!A3945,Composições!A:A,0),8),2,0)</f>
        <v>6.84</v>
      </c>
      <c r="F3945" s="152">
        <f t="shared" ca="1" si="185"/>
        <v>0</v>
      </c>
      <c r="G3945" s="153">
        <f>IF($K3945="Padrão",BDI!$B$17,IF($K3945="Diferenciado",BDI!$E$17,0))</f>
        <v>0.2039</v>
      </c>
      <c r="H3945" s="151">
        <f t="shared" ca="1" si="183"/>
        <v>8.23</v>
      </c>
      <c r="I3945" s="152">
        <f t="shared" ca="1" si="184"/>
        <v>0</v>
      </c>
      <c r="J3945" s="154"/>
      <c r="K3945" s="155" t="s">
        <v>2966</v>
      </c>
    </row>
    <row r="3946" spans="1:11" hidden="1" x14ac:dyDescent="0.25">
      <c r="A3946" s="148" t="s">
        <v>2185</v>
      </c>
      <c r="B3946" s="149" t="s">
        <v>9314</v>
      </c>
      <c r="C3946" s="150" t="s">
        <v>87</v>
      </c>
      <c r="D3946" s="150">
        <v>0</v>
      </c>
      <c r="E3946" s="151">
        <f ca="1">OFFSET(INDEX(Composições!A:H,MATCH(Orçamentária!A3946,Composições!A:A,0),8),2,0)</f>
        <v>9.4809999999999999</v>
      </c>
      <c r="F3946" s="152">
        <f t="shared" ca="1" si="185"/>
        <v>0</v>
      </c>
      <c r="G3946" s="153">
        <f>IF($K3946="Padrão",BDI!$B$17,IF($K3946="Diferenciado",BDI!$E$17,0))</f>
        <v>0.2039</v>
      </c>
      <c r="H3946" s="151">
        <f t="shared" ca="1" si="183"/>
        <v>11.41</v>
      </c>
      <c r="I3946" s="152">
        <f t="shared" ca="1" si="184"/>
        <v>0</v>
      </c>
      <c r="J3946" s="154"/>
      <c r="K3946" s="155" t="s">
        <v>2966</v>
      </c>
    </row>
    <row r="3947" spans="1:11" hidden="1" x14ac:dyDescent="0.25">
      <c r="A3947" s="148" t="s">
        <v>2186</v>
      </c>
      <c r="B3947" s="149" t="s">
        <v>9315</v>
      </c>
      <c r="C3947" s="150" t="s">
        <v>87</v>
      </c>
      <c r="D3947" s="150">
        <v>0</v>
      </c>
      <c r="E3947" s="151">
        <f ca="1">OFFSET(INDEX(Composições!A:H,MATCH(Orçamentária!A3947,Composições!A:A,0),8),2,0)</f>
        <v>8.8824999999999985</v>
      </c>
      <c r="F3947" s="152">
        <f t="shared" ca="1" si="185"/>
        <v>0</v>
      </c>
      <c r="G3947" s="153">
        <f>IF($K3947="Padrão",BDI!$B$17,IF($K3947="Diferenciado",BDI!$E$17,0))</f>
        <v>0.2039</v>
      </c>
      <c r="H3947" s="151">
        <f t="shared" ca="1" si="183"/>
        <v>10.69</v>
      </c>
      <c r="I3947" s="152">
        <f t="shared" ca="1" si="184"/>
        <v>0</v>
      </c>
      <c r="J3947" s="154"/>
      <c r="K3947" s="155" t="s">
        <v>2966</v>
      </c>
    </row>
    <row r="3948" spans="1:11" hidden="1" x14ac:dyDescent="0.25">
      <c r="A3948" s="148" t="s">
        <v>2187</v>
      </c>
      <c r="B3948" s="149" t="s">
        <v>9316</v>
      </c>
      <c r="C3948" s="150" t="s">
        <v>106</v>
      </c>
      <c r="D3948" s="150">
        <v>0</v>
      </c>
      <c r="E3948" s="151">
        <f ca="1">OFFSET(INDEX(Composições!A:H,MATCH(Orçamentária!A3948,Composições!A:A,0),8),2,0)</f>
        <v>60.771499999999996</v>
      </c>
      <c r="F3948" s="152">
        <f t="shared" ca="1" si="185"/>
        <v>0</v>
      </c>
      <c r="G3948" s="153">
        <f>IF($K3948="Padrão",BDI!$B$17,IF($K3948="Diferenciado",BDI!$E$17,0))</f>
        <v>0.2039</v>
      </c>
      <c r="H3948" s="151">
        <f t="shared" ca="1" si="183"/>
        <v>73.16</v>
      </c>
      <c r="I3948" s="152">
        <f t="shared" ca="1" si="184"/>
        <v>0</v>
      </c>
      <c r="J3948" s="154"/>
      <c r="K3948" s="155" t="s">
        <v>2966</v>
      </c>
    </row>
    <row r="3949" spans="1:11" hidden="1" x14ac:dyDescent="0.25">
      <c r="A3949" s="148" t="s">
        <v>2188</v>
      </c>
      <c r="B3949" s="149" t="s">
        <v>9317</v>
      </c>
      <c r="C3949" s="150" t="s">
        <v>87</v>
      </c>
      <c r="D3949" s="150">
        <v>0</v>
      </c>
      <c r="E3949" s="151">
        <f ca="1">OFFSET(INDEX(Composições!A:H,MATCH(Orçamentária!A3949,Composições!A:A,0),8),2,0)</f>
        <v>20.605499999999999</v>
      </c>
      <c r="F3949" s="152">
        <f t="shared" ca="1" si="185"/>
        <v>0</v>
      </c>
      <c r="G3949" s="153">
        <f>IF($K3949="Padrão",BDI!$B$17,IF($K3949="Diferenciado",BDI!$E$17,0))</f>
        <v>0.2039</v>
      </c>
      <c r="H3949" s="151">
        <f t="shared" ca="1" si="183"/>
        <v>24.81</v>
      </c>
      <c r="I3949" s="152">
        <f t="shared" ca="1" si="184"/>
        <v>0</v>
      </c>
      <c r="J3949" s="154"/>
      <c r="K3949" s="155" t="s">
        <v>2966</v>
      </c>
    </row>
    <row r="3950" spans="1:11" hidden="1" x14ac:dyDescent="0.25">
      <c r="A3950" s="148" t="s">
        <v>2189</v>
      </c>
      <c r="B3950" s="149" t="s">
        <v>9318</v>
      </c>
      <c r="C3950" s="150" t="s">
        <v>87</v>
      </c>
      <c r="D3950" s="150">
        <v>0</v>
      </c>
      <c r="E3950" s="151">
        <f ca="1">OFFSET(INDEX(Composições!A:H,MATCH(Orçamentária!A3950,Composições!A:A,0),8),2,0)</f>
        <v>32.936500000000002</v>
      </c>
      <c r="F3950" s="152">
        <f t="shared" ca="1" si="185"/>
        <v>0</v>
      </c>
      <c r="G3950" s="153">
        <f>IF($K3950="Padrão",BDI!$B$17,IF($K3950="Diferenciado",BDI!$E$17,0))</f>
        <v>0.2039</v>
      </c>
      <c r="H3950" s="151">
        <f t="shared" ca="1" si="183"/>
        <v>39.65</v>
      </c>
      <c r="I3950" s="152">
        <f t="shared" ca="1" si="184"/>
        <v>0</v>
      </c>
      <c r="J3950" s="154"/>
      <c r="K3950" s="155" t="s">
        <v>2966</v>
      </c>
    </row>
    <row r="3951" spans="1:11" hidden="1" x14ac:dyDescent="0.25">
      <c r="A3951" s="148" t="s">
        <v>2190</v>
      </c>
      <c r="B3951" s="149" t="s">
        <v>9319</v>
      </c>
      <c r="C3951" s="150" t="s">
        <v>87</v>
      </c>
      <c r="D3951" s="150">
        <v>0</v>
      </c>
      <c r="E3951" s="151">
        <f ca="1">OFFSET(INDEX(Composições!A:H,MATCH(Orçamentária!A3951,Composições!A:A,0),8),2,0)</f>
        <v>11.4475</v>
      </c>
      <c r="F3951" s="152">
        <f t="shared" ca="1" si="185"/>
        <v>0</v>
      </c>
      <c r="G3951" s="153">
        <f>IF($K3951="Padrão",BDI!$B$17,IF($K3951="Diferenciado",BDI!$E$17,0))</f>
        <v>0.2039</v>
      </c>
      <c r="H3951" s="151">
        <f t="shared" ca="1" si="183"/>
        <v>13.78</v>
      </c>
      <c r="I3951" s="152">
        <f t="shared" ca="1" si="184"/>
        <v>0</v>
      </c>
      <c r="J3951" s="154"/>
      <c r="K3951" s="155" t="s">
        <v>2966</v>
      </c>
    </row>
    <row r="3952" spans="1:11" hidden="1" x14ac:dyDescent="0.25">
      <c r="A3952" s="148" t="s">
        <v>2191</v>
      </c>
      <c r="B3952" s="149" t="s">
        <v>9320</v>
      </c>
      <c r="C3952" s="150" t="s">
        <v>87</v>
      </c>
      <c r="D3952" s="150">
        <v>0</v>
      </c>
      <c r="E3952" s="151">
        <f ca="1">OFFSET(INDEX(Composições!A:H,MATCH(Orçamentária!A3952,Composições!A:A,0),8),2,0)</f>
        <v>13.2715</v>
      </c>
      <c r="F3952" s="152">
        <f t="shared" ca="1" si="185"/>
        <v>0</v>
      </c>
      <c r="G3952" s="153">
        <f>IF($K3952="Padrão",BDI!$B$17,IF($K3952="Diferenciado",BDI!$E$17,0))</f>
        <v>0.2039</v>
      </c>
      <c r="H3952" s="151">
        <f t="shared" ca="1" si="183"/>
        <v>15.98</v>
      </c>
      <c r="I3952" s="152">
        <f t="shared" ca="1" si="184"/>
        <v>0</v>
      </c>
      <c r="J3952" s="154"/>
      <c r="K3952" s="155" t="s">
        <v>2966</v>
      </c>
    </row>
    <row r="3953" spans="1:11" hidden="1" x14ac:dyDescent="0.25">
      <c r="A3953" s="148" t="s">
        <v>2192</v>
      </c>
      <c r="B3953" s="149" t="s">
        <v>9321</v>
      </c>
      <c r="C3953" s="150" t="s">
        <v>87</v>
      </c>
      <c r="D3953" s="150">
        <v>0</v>
      </c>
      <c r="E3953" s="151">
        <f ca="1">OFFSET(INDEX(Composições!A:H,MATCH(Orçamentária!A3953,Composições!A:A,0),8),2,0)</f>
        <v>10.079499999999999</v>
      </c>
      <c r="F3953" s="152">
        <f t="shared" ca="1" si="185"/>
        <v>0</v>
      </c>
      <c r="G3953" s="153">
        <f>IF($K3953="Padrão",BDI!$B$17,IF($K3953="Diferenciado",BDI!$E$17,0))</f>
        <v>0.2039</v>
      </c>
      <c r="H3953" s="151">
        <f t="shared" ca="1" si="183"/>
        <v>12.13</v>
      </c>
      <c r="I3953" s="152">
        <f t="shared" ca="1" si="184"/>
        <v>0</v>
      </c>
      <c r="J3953" s="154"/>
      <c r="K3953" s="155" t="s">
        <v>2966</v>
      </c>
    </row>
    <row r="3954" spans="1:11" hidden="1" x14ac:dyDescent="0.25">
      <c r="A3954" s="148" t="s">
        <v>2193</v>
      </c>
      <c r="B3954" s="149" t="s">
        <v>9322</v>
      </c>
      <c r="C3954" s="150" t="s">
        <v>87</v>
      </c>
      <c r="D3954" s="150">
        <v>0</v>
      </c>
      <c r="E3954" s="151">
        <f ca="1">OFFSET(INDEX(Composições!A:H,MATCH(Orçamentária!A3954,Composições!A:A,0),8),2,0)</f>
        <v>21.393999999999998</v>
      </c>
      <c r="F3954" s="152">
        <f t="shared" ca="1" si="185"/>
        <v>0</v>
      </c>
      <c r="G3954" s="153">
        <f>IF($K3954="Padrão",BDI!$B$17,IF($K3954="Diferenciado",BDI!$E$17,0))</f>
        <v>0.2039</v>
      </c>
      <c r="H3954" s="151">
        <f t="shared" ca="1" si="183"/>
        <v>25.76</v>
      </c>
      <c r="I3954" s="152">
        <f t="shared" ca="1" si="184"/>
        <v>0</v>
      </c>
      <c r="J3954" s="154"/>
      <c r="K3954" s="155" t="s">
        <v>2966</v>
      </c>
    </row>
    <row r="3955" spans="1:11" hidden="1" x14ac:dyDescent="0.25">
      <c r="A3955" s="148" t="s">
        <v>2194</v>
      </c>
      <c r="B3955" s="149" t="s">
        <v>9323</v>
      </c>
      <c r="C3955" s="150" t="s">
        <v>87</v>
      </c>
      <c r="D3955" s="150">
        <v>0</v>
      </c>
      <c r="E3955" s="151">
        <f ca="1">OFFSET(INDEX(Composições!A:H,MATCH(Orçamentária!A3955,Composições!A:A,0),8),2,0)</f>
        <v>7.6665000000000001</v>
      </c>
      <c r="F3955" s="152">
        <f t="shared" ca="1" si="185"/>
        <v>0</v>
      </c>
      <c r="G3955" s="153">
        <f>IF($K3955="Padrão",BDI!$B$17,IF($K3955="Diferenciado",BDI!$E$17,0))</f>
        <v>0.2039</v>
      </c>
      <c r="H3955" s="151">
        <f t="shared" ca="1" si="183"/>
        <v>9.23</v>
      </c>
      <c r="I3955" s="152">
        <f t="shared" ca="1" si="184"/>
        <v>0</v>
      </c>
      <c r="J3955" s="154"/>
      <c r="K3955" s="155" t="s">
        <v>2966</v>
      </c>
    </row>
    <row r="3956" spans="1:11" hidden="1" x14ac:dyDescent="0.25">
      <c r="A3956" s="148" t="s">
        <v>9324</v>
      </c>
      <c r="B3956" s="149" t="s">
        <v>9325</v>
      </c>
      <c r="C3956" s="150" t="s">
        <v>87</v>
      </c>
      <c r="D3956" s="150">
        <v>0</v>
      </c>
      <c r="E3956" s="151" t="s">
        <v>13</v>
      </c>
      <c r="F3956" s="152" t="str">
        <f t="shared" si="185"/>
        <v/>
      </c>
      <c r="G3956" s="153">
        <f>IF($K3956="Padrão",BDI!$B$17,IF($K3956="Diferenciado",BDI!$E$17,0))</f>
        <v>0.2039</v>
      </c>
      <c r="H3956" s="151" t="str">
        <f t="shared" si="183"/>
        <v/>
      </c>
      <c r="I3956" s="152" t="str">
        <f t="shared" si="184"/>
        <v/>
      </c>
      <c r="J3956" s="154"/>
      <c r="K3956" s="155" t="s">
        <v>2966</v>
      </c>
    </row>
    <row r="3957" spans="1:11" hidden="1" x14ac:dyDescent="0.25">
      <c r="A3957" s="148" t="s">
        <v>2195</v>
      </c>
      <c r="B3957" s="149" t="s">
        <v>9326</v>
      </c>
      <c r="C3957" s="150" t="s">
        <v>87</v>
      </c>
      <c r="D3957" s="150">
        <v>0</v>
      </c>
      <c r="E3957" s="151">
        <f ca="1">OFFSET(INDEX(Composições!A:H,MATCH(Orçamentária!A3957,Composições!A:A,0),8),2,0)</f>
        <v>9.9085000000000001</v>
      </c>
      <c r="F3957" s="152">
        <f t="shared" ca="1" si="185"/>
        <v>0</v>
      </c>
      <c r="G3957" s="153">
        <f>IF($K3957="Padrão",BDI!$B$17,IF($K3957="Diferenciado",BDI!$E$17,0))</f>
        <v>0.2039</v>
      </c>
      <c r="H3957" s="151">
        <f t="shared" ca="1" si="183"/>
        <v>11.93</v>
      </c>
      <c r="I3957" s="152">
        <f t="shared" ca="1" si="184"/>
        <v>0</v>
      </c>
      <c r="J3957" s="154"/>
      <c r="K3957" s="155" t="s">
        <v>2966</v>
      </c>
    </row>
    <row r="3958" spans="1:11" hidden="1" x14ac:dyDescent="0.25">
      <c r="A3958" s="148" t="s">
        <v>2196</v>
      </c>
      <c r="B3958" s="149" t="s">
        <v>9327</v>
      </c>
      <c r="C3958" s="150" t="s">
        <v>87</v>
      </c>
      <c r="D3958" s="150">
        <v>0</v>
      </c>
      <c r="E3958" s="151">
        <f ca="1">OFFSET(INDEX(Composições!A:H,MATCH(Orçamentária!A3958,Composições!A:A,0),8),2,0)</f>
        <v>13.375999999999999</v>
      </c>
      <c r="F3958" s="152">
        <f t="shared" ca="1" si="185"/>
        <v>0</v>
      </c>
      <c r="G3958" s="153">
        <f>IF($K3958="Padrão",BDI!$B$17,IF($K3958="Diferenciado",BDI!$E$17,0))</f>
        <v>0.2039</v>
      </c>
      <c r="H3958" s="151">
        <f t="shared" ca="1" si="183"/>
        <v>16.100000000000001</v>
      </c>
      <c r="I3958" s="152">
        <f t="shared" ca="1" si="184"/>
        <v>0</v>
      </c>
      <c r="J3958" s="154"/>
      <c r="K3958" s="155" t="s">
        <v>2966</v>
      </c>
    </row>
    <row r="3959" spans="1:11" hidden="1" x14ac:dyDescent="0.25">
      <c r="A3959" s="148" t="s">
        <v>2197</v>
      </c>
      <c r="B3959" s="149" t="s">
        <v>9328</v>
      </c>
      <c r="C3959" s="150" t="s">
        <v>87</v>
      </c>
      <c r="D3959" s="150">
        <v>0</v>
      </c>
      <c r="E3959" s="151">
        <f ca="1">OFFSET(INDEX(Composições!A:H,MATCH(Orçamentária!A3959,Composições!A:A,0),8),2,0)</f>
        <v>13.936499999999999</v>
      </c>
      <c r="F3959" s="152">
        <f t="shared" ca="1" si="185"/>
        <v>0</v>
      </c>
      <c r="G3959" s="153">
        <f>IF($K3959="Padrão",BDI!$B$17,IF($K3959="Diferenciado",BDI!$E$17,0))</f>
        <v>0.2039</v>
      </c>
      <c r="H3959" s="151">
        <f t="shared" ca="1" si="183"/>
        <v>16.78</v>
      </c>
      <c r="I3959" s="152">
        <f t="shared" ca="1" si="184"/>
        <v>0</v>
      </c>
      <c r="J3959" s="154"/>
      <c r="K3959" s="155" t="s">
        <v>2966</v>
      </c>
    </row>
    <row r="3960" spans="1:11" hidden="1" x14ac:dyDescent="0.25">
      <c r="A3960" s="148" t="s">
        <v>2198</v>
      </c>
      <c r="B3960" s="149" t="s">
        <v>9329</v>
      </c>
      <c r="C3960" s="150" t="s">
        <v>106</v>
      </c>
      <c r="D3960" s="150">
        <v>0</v>
      </c>
      <c r="E3960" s="151">
        <f ca="1">OFFSET(INDEX(Composições!A:H,MATCH(Orçamentária!A3960,Composições!A:A,0),8),2,0)</f>
        <v>81.433999999999997</v>
      </c>
      <c r="F3960" s="152">
        <f t="shared" ca="1" si="185"/>
        <v>0</v>
      </c>
      <c r="G3960" s="153">
        <f>IF($K3960="Padrão",BDI!$B$17,IF($K3960="Diferenciado",BDI!$E$17,0))</f>
        <v>0.2039</v>
      </c>
      <c r="H3960" s="151">
        <f t="shared" ca="1" si="183"/>
        <v>98.04</v>
      </c>
      <c r="I3960" s="152">
        <f t="shared" ca="1" si="184"/>
        <v>0</v>
      </c>
      <c r="J3960" s="154"/>
      <c r="K3960" s="155" t="s">
        <v>2966</v>
      </c>
    </row>
    <row r="3961" spans="1:11" hidden="1" x14ac:dyDescent="0.25">
      <c r="A3961" s="148" t="s">
        <v>2199</v>
      </c>
      <c r="B3961" s="149" t="s">
        <v>9330</v>
      </c>
      <c r="C3961" s="150" t="s">
        <v>87</v>
      </c>
      <c r="D3961" s="150">
        <v>0</v>
      </c>
      <c r="E3961" s="151">
        <f ca="1">OFFSET(INDEX(Composições!A:H,MATCH(Orçamentária!A3961,Composições!A:A,0),8),2,0)</f>
        <v>33.116999999999997</v>
      </c>
      <c r="F3961" s="152">
        <f t="shared" ca="1" si="185"/>
        <v>0</v>
      </c>
      <c r="G3961" s="153">
        <f>IF($K3961="Padrão",BDI!$B$17,IF($K3961="Diferenciado",BDI!$E$17,0))</f>
        <v>0.2039</v>
      </c>
      <c r="H3961" s="151">
        <f t="shared" ca="1" si="183"/>
        <v>39.869999999999997</v>
      </c>
      <c r="I3961" s="152">
        <f t="shared" ca="1" si="184"/>
        <v>0</v>
      </c>
      <c r="J3961" s="154"/>
      <c r="K3961" s="155" t="s">
        <v>2966</v>
      </c>
    </row>
    <row r="3962" spans="1:11" hidden="1" x14ac:dyDescent="0.25">
      <c r="A3962" s="148" t="s">
        <v>2200</v>
      </c>
      <c r="B3962" s="149" t="s">
        <v>9331</v>
      </c>
      <c r="C3962" s="150" t="s">
        <v>87</v>
      </c>
      <c r="D3962" s="150">
        <v>0</v>
      </c>
      <c r="E3962" s="151">
        <f ca="1">OFFSET(INDEX(Composições!A:H,MATCH(Orçamentária!A3962,Composições!A:A,0),8),2,0)</f>
        <v>55.109499999999997</v>
      </c>
      <c r="F3962" s="152">
        <f t="shared" ca="1" si="185"/>
        <v>0</v>
      </c>
      <c r="G3962" s="153">
        <f>IF($K3962="Padrão",BDI!$B$17,IF($K3962="Diferenciado",BDI!$E$17,0))</f>
        <v>0.2039</v>
      </c>
      <c r="H3962" s="151">
        <f t="shared" ca="1" si="183"/>
        <v>66.349999999999994</v>
      </c>
      <c r="I3962" s="152">
        <f t="shared" ca="1" si="184"/>
        <v>0</v>
      </c>
      <c r="J3962" s="154"/>
      <c r="K3962" s="155" t="s">
        <v>2966</v>
      </c>
    </row>
    <row r="3963" spans="1:11" hidden="1" x14ac:dyDescent="0.25">
      <c r="A3963" s="148" t="s">
        <v>2201</v>
      </c>
      <c r="B3963" s="149" t="s">
        <v>9332</v>
      </c>
      <c r="C3963" s="150" t="s">
        <v>87</v>
      </c>
      <c r="D3963" s="150">
        <v>0</v>
      </c>
      <c r="E3963" s="151">
        <f ca="1">OFFSET(INDEX(Composições!A:H,MATCH(Orçamentária!A3963,Composições!A:A,0),8),2,0)</f>
        <v>16.852999999999998</v>
      </c>
      <c r="F3963" s="152">
        <f t="shared" ca="1" si="185"/>
        <v>0</v>
      </c>
      <c r="G3963" s="153">
        <f>IF($K3963="Padrão",BDI!$B$17,IF($K3963="Diferenciado",BDI!$E$17,0))</f>
        <v>0.2039</v>
      </c>
      <c r="H3963" s="151">
        <f t="shared" ca="1" si="183"/>
        <v>20.29</v>
      </c>
      <c r="I3963" s="152">
        <f t="shared" ca="1" si="184"/>
        <v>0</v>
      </c>
      <c r="J3963" s="154"/>
      <c r="K3963" s="155" t="s">
        <v>2966</v>
      </c>
    </row>
    <row r="3964" spans="1:11" hidden="1" x14ac:dyDescent="0.25">
      <c r="A3964" s="148" t="s">
        <v>2202</v>
      </c>
      <c r="B3964" s="149" t="s">
        <v>9333</v>
      </c>
      <c r="C3964" s="150" t="s">
        <v>87</v>
      </c>
      <c r="D3964" s="150">
        <v>0</v>
      </c>
      <c r="E3964" s="151">
        <f ca="1">OFFSET(INDEX(Composições!A:H,MATCH(Orçamentária!A3964,Composições!A:A,0),8),2,0)</f>
        <v>18.5535</v>
      </c>
      <c r="F3964" s="152">
        <f t="shared" ca="1" si="185"/>
        <v>0</v>
      </c>
      <c r="G3964" s="153">
        <f>IF($K3964="Padrão",BDI!$B$17,IF($K3964="Diferenciado",BDI!$E$17,0))</f>
        <v>0.2039</v>
      </c>
      <c r="H3964" s="151">
        <f t="shared" ca="1" si="183"/>
        <v>22.34</v>
      </c>
      <c r="I3964" s="152">
        <f t="shared" ca="1" si="184"/>
        <v>0</v>
      </c>
      <c r="J3964" s="154"/>
      <c r="K3964" s="155" t="s">
        <v>2966</v>
      </c>
    </row>
    <row r="3965" spans="1:11" hidden="1" x14ac:dyDescent="0.25">
      <c r="A3965" s="148" t="s">
        <v>2203</v>
      </c>
      <c r="B3965" s="149" t="s">
        <v>9334</v>
      </c>
      <c r="C3965" s="150" t="s">
        <v>87</v>
      </c>
      <c r="D3965" s="150">
        <v>0</v>
      </c>
      <c r="E3965" s="151">
        <f ca="1">OFFSET(INDEX(Composições!A:H,MATCH(Orçamentária!A3965,Composições!A:A,0),8),2,0)</f>
        <v>15.389999999999999</v>
      </c>
      <c r="F3965" s="152">
        <f t="shared" ca="1" si="185"/>
        <v>0</v>
      </c>
      <c r="G3965" s="153">
        <f>IF($K3965="Padrão",BDI!$B$17,IF($K3965="Diferenciado",BDI!$E$17,0))</f>
        <v>0.2039</v>
      </c>
      <c r="H3965" s="151">
        <f t="shared" ca="1" si="183"/>
        <v>18.53</v>
      </c>
      <c r="I3965" s="152">
        <f t="shared" ca="1" si="184"/>
        <v>0</v>
      </c>
      <c r="J3965" s="154"/>
      <c r="K3965" s="155" t="s">
        <v>2966</v>
      </c>
    </row>
    <row r="3966" spans="1:11" hidden="1" x14ac:dyDescent="0.25">
      <c r="A3966" s="148" t="s">
        <v>2204</v>
      </c>
      <c r="B3966" s="149" t="s">
        <v>9335</v>
      </c>
      <c r="C3966" s="150" t="s">
        <v>87</v>
      </c>
      <c r="D3966" s="150">
        <v>0</v>
      </c>
      <c r="E3966" s="151">
        <f ca="1">OFFSET(INDEX(Composições!A:H,MATCH(Orçamentária!A3966,Composições!A:A,0),8),2,0)</f>
        <v>32.737000000000002</v>
      </c>
      <c r="F3966" s="152">
        <f t="shared" ca="1" si="185"/>
        <v>0</v>
      </c>
      <c r="G3966" s="153">
        <f>IF($K3966="Padrão",BDI!$B$17,IF($K3966="Diferenciado",BDI!$E$17,0))</f>
        <v>0.2039</v>
      </c>
      <c r="H3966" s="151">
        <f t="shared" ca="1" si="183"/>
        <v>39.409999999999997</v>
      </c>
      <c r="I3966" s="152">
        <f t="shared" ca="1" si="184"/>
        <v>0</v>
      </c>
      <c r="J3966" s="154"/>
      <c r="K3966" s="155" t="s">
        <v>2966</v>
      </c>
    </row>
    <row r="3967" spans="1:11" hidden="1" x14ac:dyDescent="0.25">
      <c r="A3967" s="148" t="s">
        <v>2205</v>
      </c>
      <c r="B3967" s="149" t="s">
        <v>9336</v>
      </c>
      <c r="C3967" s="150" t="s">
        <v>87</v>
      </c>
      <c r="D3967" s="150">
        <v>0</v>
      </c>
      <c r="E3967" s="151">
        <f ca="1">OFFSET(INDEX(Composições!A:H,MATCH(Orçamentária!A3967,Composições!A:A,0),8),2,0)</f>
        <v>11.979499999999998</v>
      </c>
      <c r="F3967" s="152">
        <f t="shared" ca="1" si="185"/>
        <v>0</v>
      </c>
      <c r="G3967" s="153">
        <f>IF($K3967="Padrão",BDI!$B$17,IF($K3967="Diferenciado",BDI!$E$17,0))</f>
        <v>0.2039</v>
      </c>
      <c r="H3967" s="151">
        <f t="shared" ca="1" si="183"/>
        <v>14.42</v>
      </c>
      <c r="I3967" s="152">
        <f t="shared" ca="1" si="184"/>
        <v>0</v>
      </c>
      <c r="J3967" s="154"/>
      <c r="K3967" s="155" t="s">
        <v>2966</v>
      </c>
    </row>
    <row r="3968" spans="1:11" hidden="1" x14ac:dyDescent="0.25">
      <c r="A3968" s="148" t="s">
        <v>9337</v>
      </c>
      <c r="B3968" s="149" t="s">
        <v>9338</v>
      </c>
      <c r="C3968" s="150" t="s">
        <v>87</v>
      </c>
      <c r="D3968" s="150">
        <v>0</v>
      </c>
      <c r="E3968" s="151" t="s">
        <v>13</v>
      </c>
      <c r="F3968" s="152" t="str">
        <f t="shared" si="185"/>
        <v/>
      </c>
      <c r="G3968" s="153">
        <f>IF($K3968="Padrão",BDI!$B$17,IF($K3968="Diferenciado",BDI!$E$17,0))</f>
        <v>0.2039</v>
      </c>
      <c r="H3968" s="151" t="str">
        <f t="shared" si="183"/>
        <v/>
      </c>
      <c r="I3968" s="152" t="str">
        <f t="shared" si="184"/>
        <v/>
      </c>
      <c r="J3968" s="154"/>
      <c r="K3968" s="155" t="s">
        <v>2966</v>
      </c>
    </row>
    <row r="3969" spans="1:11" hidden="1" x14ac:dyDescent="0.25">
      <c r="A3969" s="148" t="s">
        <v>2206</v>
      </c>
      <c r="B3969" s="149" t="s">
        <v>9339</v>
      </c>
      <c r="C3969" s="150" t="s">
        <v>87</v>
      </c>
      <c r="D3969" s="150">
        <v>0</v>
      </c>
      <c r="E3969" s="151">
        <f ca="1">OFFSET(INDEX(Composições!A:H,MATCH(Orçamentária!A3969,Composições!A:A,0),8),2,0)</f>
        <v>16.102499999999999</v>
      </c>
      <c r="F3969" s="152">
        <f t="shared" ca="1" si="185"/>
        <v>0</v>
      </c>
      <c r="G3969" s="153">
        <f>IF($K3969="Padrão",BDI!$B$17,IF($K3969="Diferenciado",BDI!$E$17,0))</f>
        <v>0.2039</v>
      </c>
      <c r="H3969" s="151">
        <f t="shared" ca="1" si="183"/>
        <v>19.39</v>
      </c>
      <c r="I3969" s="152">
        <f t="shared" ca="1" si="184"/>
        <v>0</v>
      </c>
      <c r="J3969" s="154"/>
      <c r="K3969" s="155" t="s">
        <v>2966</v>
      </c>
    </row>
    <row r="3970" spans="1:11" hidden="1" x14ac:dyDescent="0.25">
      <c r="A3970" s="148" t="s">
        <v>2207</v>
      </c>
      <c r="B3970" s="149" t="s">
        <v>9340</v>
      </c>
      <c r="C3970" s="150" t="s">
        <v>87</v>
      </c>
      <c r="D3970" s="150">
        <v>0</v>
      </c>
      <c r="E3970" s="151">
        <f ca="1">OFFSET(INDEX(Composições!A:H,MATCH(Orçamentária!A3970,Composições!A:A,0),8),2,0)</f>
        <v>19.9025</v>
      </c>
      <c r="F3970" s="152">
        <f t="shared" ca="1" si="185"/>
        <v>0</v>
      </c>
      <c r="G3970" s="153">
        <f>IF($K3970="Padrão",BDI!$B$17,IF($K3970="Diferenciado",BDI!$E$17,0))</f>
        <v>0.2039</v>
      </c>
      <c r="H3970" s="151">
        <f t="shared" ca="1" si="183"/>
        <v>23.96</v>
      </c>
      <c r="I3970" s="152">
        <f t="shared" ca="1" si="184"/>
        <v>0</v>
      </c>
      <c r="J3970" s="154"/>
      <c r="K3970" s="155" t="s">
        <v>2966</v>
      </c>
    </row>
    <row r="3971" spans="1:11" hidden="1" x14ac:dyDescent="0.25">
      <c r="A3971" s="148" t="s">
        <v>2208</v>
      </c>
      <c r="B3971" s="149" t="s">
        <v>9341</v>
      </c>
      <c r="C3971" s="150" t="s">
        <v>87</v>
      </c>
      <c r="D3971" s="150">
        <v>0</v>
      </c>
      <c r="E3971" s="151">
        <f ca="1">OFFSET(INDEX(Composições!A:H,MATCH(Orçamentária!A3971,Composições!A:A,0),8),2,0)</f>
        <v>23.094499999999996</v>
      </c>
      <c r="F3971" s="152">
        <f t="shared" ca="1" si="185"/>
        <v>0</v>
      </c>
      <c r="G3971" s="153">
        <f>IF($K3971="Padrão",BDI!$B$17,IF($K3971="Diferenciado",BDI!$E$17,0))</f>
        <v>0.2039</v>
      </c>
      <c r="H3971" s="151">
        <f t="shared" ca="1" si="183"/>
        <v>27.8</v>
      </c>
      <c r="I3971" s="152">
        <f t="shared" ca="1" si="184"/>
        <v>0</v>
      </c>
      <c r="J3971" s="154"/>
      <c r="K3971" s="155" t="s">
        <v>2966</v>
      </c>
    </row>
    <row r="3972" spans="1:11" hidden="1" x14ac:dyDescent="0.25">
      <c r="A3972" s="148" t="s">
        <v>2209</v>
      </c>
      <c r="B3972" s="149" t="s">
        <v>9342</v>
      </c>
      <c r="C3972" s="150" t="s">
        <v>87</v>
      </c>
      <c r="D3972" s="150">
        <v>0</v>
      </c>
      <c r="E3972" s="151">
        <f ca="1">OFFSET(INDEX(Composições!A:H,MATCH(Orçamentária!A3972,Composições!A:A,0),8),2,0)</f>
        <v>15.750999999999998</v>
      </c>
      <c r="F3972" s="152">
        <f t="shared" ca="1" si="185"/>
        <v>0</v>
      </c>
      <c r="G3972" s="153">
        <f>IF($K3972="Padrão",BDI!$B$17,IF($K3972="Diferenciado",BDI!$E$17,0))</f>
        <v>0.2039</v>
      </c>
      <c r="H3972" s="151">
        <f t="shared" ca="1" si="183"/>
        <v>18.96</v>
      </c>
      <c r="I3972" s="152">
        <f t="shared" ca="1" si="184"/>
        <v>0</v>
      </c>
      <c r="J3972" s="154"/>
      <c r="K3972" s="155" t="s">
        <v>2966</v>
      </c>
    </row>
    <row r="3973" spans="1:11" hidden="1" x14ac:dyDescent="0.25">
      <c r="A3973" s="148" t="s">
        <v>2210</v>
      </c>
      <c r="B3973" s="149" t="s">
        <v>9343</v>
      </c>
      <c r="C3973" s="150" t="s">
        <v>87</v>
      </c>
      <c r="D3973" s="150">
        <v>0</v>
      </c>
      <c r="E3973" s="151">
        <f ca="1">OFFSET(INDEX(Composições!A:H,MATCH(Orçamentária!A3973,Composições!A:A,0),8),2,0)</f>
        <v>19.911999999999999</v>
      </c>
      <c r="F3973" s="152">
        <f t="shared" ca="1" si="185"/>
        <v>0</v>
      </c>
      <c r="G3973" s="153">
        <f>IF($K3973="Padrão",BDI!$B$17,IF($K3973="Diferenciado",BDI!$E$17,0))</f>
        <v>0.2039</v>
      </c>
      <c r="H3973" s="151">
        <f t="shared" ca="1" si="183"/>
        <v>23.97</v>
      </c>
      <c r="I3973" s="152">
        <f t="shared" ca="1" si="184"/>
        <v>0</v>
      </c>
      <c r="J3973" s="154"/>
      <c r="K3973" s="155" t="s">
        <v>2966</v>
      </c>
    </row>
    <row r="3974" spans="1:11" hidden="1" x14ac:dyDescent="0.25">
      <c r="A3974" s="148" t="s">
        <v>2211</v>
      </c>
      <c r="B3974" s="149" t="s">
        <v>9344</v>
      </c>
      <c r="C3974" s="150" t="s">
        <v>87</v>
      </c>
      <c r="D3974" s="150">
        <v>0</v>
      </c>
      <c r="E3974" s="151">
        <f ca="1">OFFSET(INDEX(Composições!A:H,MATCH(Orçamentária!A3974,Composições!A:A,0),8),2,0)</f>
        <v>23.094499999999996</v>
      </c>
      <c r="F3974" s="152">
        <f t="shared" ca="1" si="185"/>
        <v>0</v>
      </c>
      <c r="G3974" s="153">
        <f>IF($K3974="Padrão",BDI!$B$17,IF($K3974="Diferenciado",BDI!$E$17,0))</f>
        <v>0.2039</v>
      </c>
      <c r="H3974" s="151">
        <f t="shared" ref="H3974:H4037" ca="1" si="186">IF(ISNUMBER(E3974),ROUND(E3974*(1+G3974),2),"")</f>
        <v>27.8</v>
      </c>
      <c r="I3974" s="152">
        <f t="shared" ref="I3974:I4037" ca="1" si="187">IF(ISNUMBER(E3974),ROUND(H3974*D3974,2),"")</f>
        <v>0</v>
      </c>
      <c r="J3974" s="154"/>
      <c r="K3974" s="155" t="s">
        <v>2966</v>
      </c>
    </row>
    <row r="3975" spans="1:11" hidden="1" x14ac:dyDescent="0.25">
      <c r="A3975" s="148" t="s">
        <v>2212</v>
      </c>
      <c r="B3975" s="149" t="s">
        <v>9345</v>
      </c>
      <c r="C3975" s="150" t="s">
        <v>106</v>
      </c>
      <c r="D3975" s="150">
        <v>0</v>
      </c>
      <c r="E3975" s="151">
        <f ca="1">OFFSET(INDEX(Composições!A:H,MATCH(Orçamentária!A3975,Composições!A:A,0),8),2,0)</f>
        <v>88.739499999999992</v>
      </c>
      <c r="F3975" s="152">
        <f t="shared" ref="F3975:F4038" ca="1" si="188">IF(ISNUMBER(E3975),D3975*E3975,"")</f>
        <v>0</v>
      </c>
      <c r="G3975" s="153">
        <f>IF($K3975="Padrão",BDI!$B$17,IF($K3975="Diferenciado",BDI!$E$17,0))</f>
        <v>0.2039</v>
      </c>
      <c r="H3975" s="151">
        <f t="shared" ca="1" si="186"/>
        <v>106.83</v>
      </c>
      <c r="I3975" s="152">
        <f t="shared" ca="1" si="187"/>
        <v>0</v>
      </c>
      <c r="J3975" s="154"/>
      <c r="K3975" s="155" t="s">
        <v>2966</v>
      </c>
    </row>
    <row r="3976" spans="1:11" hidden="1" x14ac:dyDescent="0.25">
      <c r="A3976" s="148" t="s">
        <v>2213</v>
      </c>
      <c r="B3976" s="149" t="s">
        <v>9346</v>
      </c>
      <c r="C3976" s="150" t="s">
        <v>87</v>
      </c>
      <c r="D3976" s="150">
        <v>0</v>
      </c>
      <c r="E3976" s="151">
        <f ca="1">OFFSET(INDEX(Composições!A:H,MATCH(Orçamentária!A3976,Composições!A:A,0),8),2,0)</f>
        <v>40.1755</v>
      </c>
      <c r="F3976" s="152">
        <f t="shared" ca="1" si="188"/>
        <v>0</v>
      </c>
      <c r="G3976" s="153">
        <f>IF($K3976="Padrão",BDI!$B$17,IF($K3976="Diferenciado",BDI!$E$17,0))</f>
        <v>0.2039</v>
      </c>
      <c r="H3976" s="151">
        <f t="shared" ca="1" si="186"/>
        <v>48.37</v>
      </c>
      <c r="I3976" s="152">
        <f t="shared" ca="1" si="187"/>
        <v>0</v>
      </c>
      <c r="J3976" s="154"/>
      <c r="K3976" s="155" t="s">
        <v>2966</v>
      </c>
    </row>
    <row r="3977" spans="1:11" hidden="1" x14ac:dyDescent="0.25">
      <c r="A3977" s="148" t="s">
        <v>2214</v>
      </c>
      <c r="B3977" s="149" t="s">
        <v>9347</v>
      </c>
      <c r="C3977" s="150" t="s">
        <v>87</v>
      </c>
      <c r="D3977" s="150">
        <v>0</v>
      </c>
      <c r="E3977" s="151">
        <f ca="1">OFFSET(INDEX(Composições!A:H,MATCH(Orçamentária!A3977,Composições!A:A,0),8),2,0)</f>
        <v>68.59</v>
      </c>
      <c r="F3977" s="152">
        <f t="shared" ca="1" si="188"/>
        <v>0</v>
      </c>
      <c r="G3977" s="153">
        <f>IF($K3977="Padrão",BDI!$B$17,IF($K3977="Diferenciado",BDI!$E$17,0))</f>
        <v>0.2039</v>
      </c>
      <c r="H3977" s="151">
        <f t="shared" ca="1" si="186"/>
        <v>82.58</v>
      </c>
      <c r="I3977" s="152">
        <f t="shared" ca="1" si="187"/>
        <v>0</v>
      </c>
      <c r="J3977" s="154"/>
      <c r="K3977" s="155" t="s">
        <v>2966</v>
      </c>
    </row>
    <row r="3978" spans="1:11" hidden="1" x14ac:dyDescent="0.25">
      <c r="A3978" s="148" t="s">
        <v>2215</v>
      </c>
      <c r="B3978" s="149" t="s">
        <v>9348</v>
      </c>
      <c r="C3978" s="150" t="s">
        <v>87</v>
      </c>
      <c r="D3978" s="150">
        <v>0</v>
      </c>
      <c r="E3978" s="151">
        <f ca="1">OFFSET(INDEX(Composições!A:H,MATCH(Orçamentária!A3978,Composições!A:A,0),8),2,0)</f>
        <v>22.381999999999998</v>
      </c>
      <c r="F3978" s="152">
        <f t="shared" ca="1" si="188"/>
        <v>0</v>
      </c>
      <c r="G3978" s="153">
        <f>IF($K3978="Padrão",BDI!$B$17,IF($K3978="Diferenciado",BDI!$E$17,0))</f>
        <v>0.2039</v>
      </c>
      <c r="H3978" s="151">
        <f t="shared" ca="1" si="186"/>
        <v>26.95</v>
      </c>
      <c r="I3978" s="152">
        <f t="shared" ca="1" si="187"/>
        <v>0</v>
      </c>
      <c r="J3978" s="154"/>
      <c r="K3978" s="155" t="s">
        <v>2966</v>
      </c>
    </row>
    <row r="3979" spans="1:11" hidden="1" x14ac:dyDescent="0.25">
      <c r="A3979" s="148" t="s">
        <v>2216</v>
      </c>
      <c r="B3979" s="149" t="s">
        <v>9349</v>
      </c>
      <c r="C3979" s="150" t="s">
        <v>87</v>
      </c>
      <c r="D3979" s="150">
        <v>0</v>
      </c>
      <c r="E3979" s="151">
        <f ca="1">OFFSET(INDEX(Composições!A:H,MATCH(Orçamentária!A3979,Composições!A:A,0),8),2,0)</f>
        <v>22.714499999999997</v>
      </c>
      <c r="F3979" s="152">
        <f t="shared" ca="1" si="188"/>
        <v>0</v>
      </c>
      <c r="G3979" s="153">
        <f>IF($K3979="Padrão",BDI!$B$17,IF($K3979="Diferenciado",BDI!$E$17,0))</f>
        <v>0.2039</v>
      </c>
      <c r="H3979" s="151">
        <f t="shared" ca="1" si="186"/>
        <v>27.35</v>
      </c>
      <c r="I3979" s="152">
        <f t="shared" ca="1" si="187"/>
        <v>0</v>
      </c>
      <c r="J3979" s="154"/>
      <c r="K3979" s="155" t="s">
        <v>2966</v>
      </c>
    </row>
    <row r="3980" spans="1:11" hidden="1" x14ac:dyDescent="0.25">
      <c r="A3980" s="148" t="s">
        <v>2217</v>
      </c>
      <c r="B3980" s="149" t="s">
        <v>9350</v>
      </c>
      <c r="C3980" s="150" t="s">
        <v>87</v>
      </c>
      <c r="D3980" s="150">
        <v>0</v>
      </c>
      <c r="E3980" s="151">
        <f ca="1">OFFSET(INDEX(Composições!A:H,MATCH(Orçamentária!A3980,Composições!A:A,0),8),2,0)</f>
        <v>19</v>
      </c>
      <c r="F3980" s="152">
        <f t="shared" ca="1" si="188"/>
        <v>0</v>
      </c>
      <c r="G3980" s="153">
        <f>IF($K3980="Padrão",BDI!$B$17,IF($K3980="Diferenciado",BDI!$E$17,0))</f>
        <v>0.2039</v>
      </c>
      <c r="H3980" s="151">
        <f t="shared" ca="1" si="186"/>
        <v>22.87</v>
      </c>
      <c r="I3980" s="152">
        <f t="shared" ca="1" si="187"/>
        <v>0</v>
      </c>
      <c r="J3980" s="154"/>
      <c r="K3980" s="155" t="s">
        <v>2966</v>
      </c>
    </row>
    <row r="3981" spans="1:11" hidden="1" x14ac:dyDescent="0.25">
      <c r="A3981" s="148" t="s">
        <v>2218</v>
      </c>
      <c r="B3981" s="149" t="s">
        <v>9351</v>
      </c>
      <c r="C3981" s="150" t="s">
        <v>87</v>
      </c>
      <c r="D3981" s="150">
        <v>0</v>
      </c>
      <c r="E3981" s="151">
        <f ca="1">OFFSET(INDEX(Composições!A:H,MATCH(Orçamentária!A3981,Composições!A:A,0),8),2,0)</f>
        <v>41.476999999999997</v>
      </c>
      <c r="F3981" s="152">
        <f t="shared" ca="1" si="188"/>
        <v>0</v>
      </c>
      <c r="G3981" s="153">
        <f>IF($K3981="Padrão",BDI!$B$17,IF($K3981="Diferenciado",BDI!$E$17,0))</f>
        <v>0.2039</v>
      </c>
      <c r="H3981" s="151">
        <f t="shared" ca="1" si="186"/>
        <v>49.93</v>
      </c>
      <c r="I3981" s="152">
        <f t="shared" ca="1" si="187"/>
        <v>0</v>
      </c>
      <c r="J3981" s="154"/>
      <c r="K3981" s="155" t="s">
        <v>2966</v>
      </c>
    </row>
    <row r="3982" spans="1:11" hidden="1" x14ac:dyDescent="0.25">
      <c r="A3982" s="148" t="s">
        <v>2219</v>
      </c>
      <c r="B3982" s="149" t="s">
        <v>9352</v>
      </c>
      <c r="C3982" s="150" t="s">
        <v>87</v>
      </c>
      <c r="D3982" s="150">
        <v>0</v>
      </c>
      <c r="E3982" s="151">
        <f ca="1">OFFSET(INDEX(Composições!A:H,MATCH(Orçamentária!A3982,Composições!A:A,0),8),2,0)</f>
        <v>13.964999999999998</v>
      </c>
      <c r="F3982" s="152">
        <f t="shared" ca="1" si="188"/>
        <v>0</v>
      </c>
      <c r="G3982" s="153">
        <f>IF($K3982="Padrão",BDI!$B$17,IF($K3982="Diferenciado",BDI!$E$17,0))</f>
        <v>0.2039</v>
      </c>
      <c r="H3982" s="151">
        <f t="shared" ca="1" si="186"/>
        <v>16.809999999999999</v>
      </c>
      <c r="I3982" s="152">
        <f t="shared" ca="1" si="187"/>
        <v>0</v>
      </c>
      <c r="J3982" s="154"/>
      <c r="K3982" s="155" t="s">
        <v>2966</v>
      </c>
    </row>
    <row r="3983" spans="1:11" hidden="1" x14ac:dyDescent="0.25">
      <c r="A3983" s="148" t="s">
        <v>9353</v>
      </c>
      <c r="B3983" s="149" t="s">
        <v>9354</v>
      </c>
      <c r="C3983" s="150" t="s">
        <v>87</v>
      </c>
      <c r="D3983" s="150">
        <v>0</v>
      </c>
      <c r="E3983" s="151" t="s">
        <v>13</v>
      </c>
      <c r="F3983" s="152" t="str">
        <f t="shared" si="188"/>
        <v/>
      </c>
      <c r="G3983" s="153">
        <f>IF($K3983="Padrão",BDI!$B$17,IF($K3983="Diferenciado",BDI!$E$17,0))</f>
        <v>0.2039</v>
      </c>
      <c r="H3983" s="151" t="str">
        <f t="shared" si="186"/>
        <v/>
      </c>
      <c r="I3983" s="152" t="str">
        <f t="shared" si="187"/>
        <v/>
      </c>
      <c r="J3983" s="154"/>
      <c r="K3983" s="155" t="s">
        <v>2966</v>
      </c>
    </row>
    <row r="3984" spans="1:11" hidden="1" x14ac:dyDescent="0.25">
      <c r="A3984" s="148" t="s">
        <v>2220</v>
      </c>
      <c r="B3984" s="149" t="s">
        <v>9355</v>
      </c>
      <c r="C3984" s="150" t="s">
        <v>87</v>
      </c>
      <c r="D3984" s="150">
        <v>0</v>
      </c>
      <c r="E3984" s="151">
        <f ca="1">OFFSET(INDEX(Composições!A:H,MATCH(Orçamentária!A3984,Composições!A:A,0),8),2,0)</f>
        <v>20.500999999999998</v>
      </c>
      <c r="F3984" s="152">
        <f t="shared" ca="1" si="188"/>
        <v>0</v>
      </c>
      <c r="G3984" s="153">
        <f>IF($K3984="Padrão",BDI!$B$17,IF($K3984="Diferenciado",BDI!$E$17,0))</f>
        <v>0.2039</v>
      </c>
      <c r="H3984" s="151">
        <f t="shared" ca="1" si="186"/>
        <v>24.68</v>
      </c>
      <c r="I3984" s="152">
        <f t="shared" ca="1" si="187"/>
        <v>0</v>
      </c>
      <c r="J3984" s="154"/>
      <c r="K3984" s="155" t="s">
        <v>2966</v>
      </c>
    </row>
    <row r="3985" spans="1:11" hidden="1" x14ac:dyDescent="0.25">
      <c r="A3985" s="148" t="s">
        <v>2221</v>
      </c>
      <c r="B3985" s="149" t="s">
        <v>9356</v>
      </c>
      <c r="C3985" s="150" t="s">
        <v>87</v>
      </c>
      <c r="D3985" s="150">
        <v>0</v>
      </c>
      <c r="E3985" s="151">
        <f ca="1">OFFSET(INDEX(Composições!A:H,MATCH(Orçamentária!A3985,Composições!A:A,0),8),2,0)</f>
        <v>24.1205</v>
      </c>
      <c r="F3985" s="152">
        <f t="shared" ca="1" si="188"/>
        <v>0</v>
      </c>
      <c r="G3985" s="153">
        <f>IF($K3985="Padrão",BDI!$B$17,IF($K3985="Diferenciado",BDI!$E$17,0))</f>
        <v>0.2039</v>
      </c>
      <c r="H3985" s="151">
        <f t="shared" ca="1" si="186"/>
        <v>29.04</v>
      </c>
      <c r="I3985" s="152">
        <f t="shared" ca="1" si="187"/>
        <v>0</v>
      </c>
      <c r="J3985" s="154"/>
      <c r="K3985" s="155" t="s">
        <v>2966</v>
      </c>
    </row>
    <row r="3986" spans="1:11" hidden="1" x14ac:dyDescent="0.25">
      <c r="A3986" s="148" t="s">
        <v>2222</v>
      </c>
      <c r="B3986" s="149" t="s">
        <v>9357</v>
      </c>
      <c r="C3986" s="150" t="s">
        <v>87</v>
      </c>
      <c r="D3986" s="150">
        <v>0</v>
      </c>
      <c r="E3986" s="151">
        <f ca="1">OFFSET(INDEX(Composições!A:H,MATCH(Orçamentária!A3986,Composições!A:A,0),8),2,0)</f>
        <v>29.554499999999997</v>
      </c>
      <c r="F3986" s="152">
        <f t="shared" ca="1" si="188"/>
        <v>0</v>
      </c>
      <c r="G3986" s="153">
        <f>IF($K3986="Padrão",BDI!$B$17,IF($K3986="Diferenciado",BDI!$E$17,0))</f>
        <v>0.2039</v>
      </c>
      <c r="H3986" s="151">
        <f t="shared" ca="1" si="186"/>
        <v>35.58</v>
      </c>
      <c r="I3986" s="152">
        <f t="shared" ca="1" si="187"/>
        <v>0</v>
      </c>
      <c r="J3986" s="154"/>
      <c r="K3986" s="155" t="s">
        <v>2966</v>
      </c>
    </row>
    <row r="3987" spans="1:11" hidden="1" x14ac:dyDescent="0.25">
      <c r="A3987" s="148" t="s">
        <v>2223</v>
      </c>
      <c r="B3987" s="149" t="s">
        <v>9358</v>
      </c>
      <c r="C3987" s="150" t="s">
        <v>106</v>
      </c>
      <c r="D3987" s="150">
        <v>0</v>
      </c>
      <c r="E3987" s="151">
        <f ca="1">OFFSET(INDEX(Composições!A:H,MATCH(Orçamentária!A3987,Composições!A:A,0),8),2,0)</f>
        <v>108.89849999999998</v>
      </c>
      <c r="F3987" s="152">
        <f t="shared" ca="1" si="188"/>
        <v>0</v>
      </c>
      <c r="G3987" s="153">
        <f>IF($K3987="Padrão",BDI!$B$17,IF($K3987="Diferenciado",BDI!$E$17,0))</f>
        <v>0.2039</v>
      </c>
      <c r="H3987" s="151">
        <f t="shared" ca="1" si="186"/>
        <v>131.1</v>
      </c>
      <c r="I3987" s="152">
        <f t="shared" ca="1" si="187"/>
        <v>0</v>
      </c>
      <c r="J3987" s="154"/>
      <c r="K3987" s="155" t="s">
        <v>2966</v>
      </c>
    </row>
    <row r="3988" spans="1:11" hidden="1" x14ac:dyDescent="0.25">
      <c r="A3988" s="148" t="s">
        <v>2224</v>
      </c>
      <c r="B3988" s="149" t="s">
        <v>9359</v>
      </c>
      <c r="C3988" s="150" t="s">
        <v>87</v>
      </c>
      <c r="D3988" s="150">
        <v>0</v>
      </c>
      <c r="E3988" s="151">
        <f ca="1">OFFSET(INDEX(Composições!A:H,MATCH(Orçamentária!A3988,Composições!A:A,0),8),2,0)</f>
        <v>49.409499999999994</v>
      </c>
      <c r="F3988" s="152">
        <f t="shared" ca="1" si="188"/>
        <v>0</v>
      </c>
      <c r="G3988" s="153">
        <f>IF($K3988="Padrão",BDI!$B$17,IF($K3988="Diferenciado",BDI!$E$17,0))</f>
        <v>0.2039</v>
      </c>
      <c r="H3988" s="151">
        <f t="shared" ca="1" si="186"/>
        <v>59.48</v>
      </c>
      <c r="I3988" s="152">
        <f t="shared" ca="1" si="187"/>
        <v>0</v>
      </c>
      <c r="J3988" s="154"/>
      <c r="K3988" s="155" t="s">
        <v>2966</v>
      </c>
    </row>
    <row r="3989" spans="1:11" hidden="1" x14ac:dyDescent="0.25">
      <c r="A3989" s="148" t="s">
        <v>2225</v>
      </c>
      <c r="B3989" s="149" t="s">
        <v>9360</v>
      </c>
      <c r="C3989" s="150" t="s">
        <v>87</v>
      </c>
      <c r="D3989" s="150">
        <v>0</v>
      </c>
      <c r="E3989" s="151">
        <f ca="1">OFFSET(INDEX(Composições!A:H,MATCH(Orçamentária!A3989,Composições!A:A,0),8),2,0)</f>
        <v>100.86149999999999</v>
      </c>
      <c r="F3989" s="152">
        <f t="shared" ca="1" si="188"/>
        <v>0</v>
      </c>
      <c r="G3989" s="153">
        <f>IF($K3989="Padrão",BDI!$B$17,IF($K3989="Diferenciado",BDI!$E$17,0))</f>
        <v>0.2039</v>
      </c>
      <c r="H3989" s="151">
        <f t="shared" ca="1" si="186"/>
        <v>121.43</v>
      </c>
      <c r="I3989" s="152">
        <f t="shared" ca="1" si="187"/>
        <v>0</v>
      </c>
      <c r="J3989" s="154"/>
      <c r="K3989" s="155" t="s">
        <v>2966</v>
      </c>
    </row>
    <row r="3990" spans="1:11" hidden="1" x14ac:dyDescent="0.25">
      <c r="A3990" s="148" t="s">
        <v>2226</v>
      </c>
      <c r="B3990" s="149" t="s">
        <v>9361</v>
      </c>
      <c r="C3990" s="150" t="s">
        <v>87</v>
      </c>
      <c r="D3990" s="150">
        <v>0</v>
      </c>
      <c r="E3990" s="151">
        <f ca="1">OFFSET(INDEX(Composições!A:H,MATCH(Orçamentária!A3990,Composições!A:A,0),8),2,0)</f>
        <v>34.808</v>
      </c>
      <c r="F3990" s="152">
        <f t="shared" ca="1" si="188"/>
        <v>0</v>
      </c>
      <c r="G3990" s="153">
        <f>IF($K3990="Padrão",BDI!$B$17,IF($K3990="Diferenciado",BDI!$E$17,0))</f>
        <v>0.2039</v>
      </c>
      <c r="H3990" s="151">
        <f t="shared" ca="1" si="186"/>
        <v>41.91</v>
      </c>
      <c r="I3990" s="152">
        <f t="shared" ca="1" si="187"/>
        <v>0</v>
      </c>
      <c r="J3990" s="154"/>
      <c r="K3990" s="155" t="s">
        <v>2966</v>
      </c>
    </row>
    <row r="3991" spans="1:11" hidden="1" x14ac:dyDescent="0.25">
      <c r="A3991" s="148" t="s">
        <v>2227</v>
      </c>
      <c r="B3991" s="149" t="s">
        <v>9362</v>
      </c>
      <c r="C3991" s="150" t="s">
        <v>87</v>
      </c>
      <c r="D3991" s="150">
        <v>0</v>
      </c>
      <c r="E3991" s="151">
        <f ca="1">OFFSET(INDEX(Composições!A:H,MATCH(Orçamentária!A3991,Composições!A:A,0),8),2,0)</f>
        <v>34.779499999999999</v>
      </c>
      <c r="F3991" s="152">
        <f t="shared" ca="1" si="188"/>
        <v>0</v>
      </c>
      <c r="G3991" s="153">
        <f>IF($K3991="Padrão",BDI!$B$17,IF($K3991="Diferenciado",BDI!$E$17,0))</f>
        <v>0.2039</v>
      </c>
      <c r="H3991" s="151">
        <f t="shared" ca="1" si="186"/>
        <v>41.87</v>
      </c>
      <c r="I3991" s="152">
        <f t="shared" ca="1" si="187"/>
        <v>0</v>
      </c>
      <c r="J3991" s="154"/>
      <c r="K3991" s="155" t="s">
        <v>2966</v>
      </c>
    </row>
    <row r="3992" spans="1:11" hidden="1" x14ac:dyDescent="0.25">
      <c r="A3992" s="148" t="s">
        <v>2228</v>
      </c>
      <c r="B3992" s="149" t="s">
        <v>9363</v>
      </c>
      <c r="C3992" s="150" t="s">
        <v>87</v>
      </c>
      <c r="D3992" s="150">
        <v>0</v>
      </c>
      <c r="E3992" s="151">
        <f ca="1">OFFSET(INDEX(Composições!A:H,MATCH(Orçamentária!A3992,Composições!A:A,0),8),2,0)</f>
        <v>27.445499999999999</v>
      </c>
      <c r="F3992" s="152">
        <f t="shared" ca="1" si="188"/>
        <v>0</v>
      </c>
      <c r="G3992" s="153">
        <f>IF($K3992="Padrão",BDI!$B$17,IF($K3992="Diferenciado",BDI!$E$17,0))</f>
        <v>0.2039</v>
      </c>
      <c r="H3992" s="151">
        <f t="shared" ca="1" si="186"/>
        <v>33.04</v>
      </c>
      <c r="I3992" s="152">
        <f t="shared" ca="1" si="187"/>
        <v>0</v>
      </c>
      <c r="J3992" s="154"/>
      <c r="K3992" s="155" t="s">
        <v>2966</v>
      </c>
    </row>
    <row r="3993" spans="1:11" hidden="1" x14ac:dyDescent="0.25">
      <c r="A3993" s="148" t="s">
        <v>2229</v>
      </c>
      <c r="B3993" s="149" t="s">
        <v>9364</v>
      </c>
      <c r="C3993" s="150" t="s">
        <v>87</v>
      </c>
      <c r="D3993" s="150">
        <v>0</v>
      </c>
      <c r="E3993" s="151">
        <f ca="1">OFFSET(INDEX(Composições!A:H,MATCH(Orçamentária!A3993,Composições!A:A,0),8),2,0)</f>
        <v>65.692499999999995</v>
      </c>
      <c r="F3993" s="152">
        <f t="shared" ca="1" si="188"/>
        <v>0</v>
      </c>
      <c r="G3993" s="153">
        <f>IF($K3993="Padrão",BDI!$B$17,IF($K3993="Diferenciado",BDI!$E$17,0))</f>
        <v>0.2039</v>
      </c>
      <c r="H3993" s="151">
        <f t="shared" ca="1" si="186"/>
        <v>79.09</v>
      </c>
      <c r="I3993" s="152">
        <f t="shared" ca="1" si="187"/>
        <v>0</v>
      </c>
      <c r="J3993" s="154"/>
      <c r="K3993" s="155" t="s">
        <v>2966</v>
      </c>
    </row>
    <row r="3994" spans="1:11" hidden="1" x14ac:dyDescent="0.25">
      <c r="A3994" s="148" t="s">
        <v>2230</v>
      </c>
      <c r="B3994" s="149" t="s">
        <v>9365</v>
      </c>
      <c r="C3994" s="150" t="s">
        <v>87</v>
      </c>
      <c r="D3994" s="150">
        <v>0</v>
      </c>
      <c r="E3994" s="151">
        <f ca="1">OFFSET(INDEX(Composições!A:H,MATCH(Orçamentária!A3994,Composições!A:A,0),8),2,0)</f>
        <v>20.6435</v>
      </c>
      <c r="F3994" s="152">
        <f t="shared" ca="1" si="188"/>
        <v>0</v>
      </c>
      <c r="G3994" s="153">
        <f>IF($K3994="Padrão",BDI!$B$17,IF($K3994="Diferenciado",BDI!$E$17,0))</f>
        <v>0.2039</v>
      </c>
      <c r="H3994" s="151">
        <f t="shared" ca="1" si="186"/>
        <v>24.85</v>
      </c>
      <c r="I3994" s="152">
        <f t="shared" ca="1" si="187"/>
        <v>0</v>
      </c>
      <c r="J3994" s="154"/>
      <c r="K3994" s="155" t="s">
        <v>2966</v>
      </c>
    </row>
    <row r="3995" spans="1:11" hidden="1" x14ac:dyDescent="0.25">
      <c r="A3995" s="148" t="s">
        <v>2231</v>
      </c>
      <c r="B3995" s="149" t="s">
        <v>9366</v>
      </c>
      <c r="C3995" s="150" t="s">
        <v>106</v>
      </c>
      <c r="D3995" s="150">
        <v>0</v>
      </c>
      <c r="E3995" s="151">
        <f ca="1">OFFSET(INDEX(Composições!A:H,MATCH(Orçamentária!A3995,Composições!A:A,0),8),2,0)</f>
        <v>176.434</v>
      </c>
      <c r="F3995" s="152">
        <f t="shared" ca="1" si="188"/>
        <v>0</v>
      </c>
      <c r="G3995" s="153">
        <f>IF($K3995="Padrão",BDI!$B$17,IF($K3995="Diferenciado",BDI!$E$17,0))</f>
        <v>0.2039</v>
      </c>
      <c r="H3995" s="151">
        <f t="shared" ca="1" si="186"/>
        <v>212.41</v>
      </c>
      <c r="I3995" s="152">
        <f t="shared" ca="1" si="187"/>
        <v>0</v>
      </c>
      <c r="J3995" s="154"/>
      <c r="K3995" s="155" t="s">
        <v>2966</v>
      </c>
    </row>
    <row r="3996" spans="1:11" hidden="1" x14ac:dyDescent="0.25">
      <c r="A3996" s="148" t="s">
        <v>2232</v>
      </c>
      <c r="B3996" s="149" t="s">
        <v>9367</v>
      </c>
      <c r="C3996" s="150" t="s">
        <v>87</v>
      </c>
      <c r="D3996" s="150">
        <v>0</v>
      </c>
      <c r="E3996" s="151">
        <f ca="1">OFFSET(INDEX(Composições!A:H,MATCH(Orçamentária!A3996,Composições!A:A,0),8),2,0)</f>
        <v>117.26799999999999</v>
      </c>
      <c r="F3996" s="152">
        <f t="shared" ca="1" si="188"/>
        <v>0</v>
      </c>
      <c r="G3996" s="153">
        <f>IF($K3996="Padrão",BDI!$B$17,IF($K3996="Diferenciado",BDI!$E$17,0))</f>
        <v>0.2039</v>
      </c>
      <c r="H3996" s="151">
        <f t="shared" ca="1" si="186"/>
        <v>141.18</v>
      </c>
      <c r="I3996" s="152">
        <f t="shared" ca="1" si="187"/>
        <v>0</v>
      </c>
      <c r="J3996" s="154"/>
      <c r="K3996" s="155" t="s">
        <v>2966</v>
      </c>
    </row>
    <row r="3997" spans="1:11" hidden="1" x14ac:dyDescent="0.25">
      <c r="A3997" s="148" t="s">
        <v>2233</v>
      </c>
      <c r="B3997" s="149" t="s">
        <v>9368</v>
      </c>
      <c r="C3997" s="150" t="s">
        <v>87</v>
      </c>
      <c r="D3997" s="150">
        <v>0</v>
      </c>
      <c r="E3997" s="151">
        <f ca="1">OFFSET(INDEX(Composições!A:H,MATCH(Orçamentária!A3997,Composições!A:A,0),8),2,0)</f>
        <v>166.87699999999998</v>
      </c>
      <c r="F3997" s="152">
        <f t="shared" ca="1" si="188"/>
        <v>0</v>
      </c>
      <c r="G3997" s="153">
        <f>IF($K3997="Padrão",BDI!$B$17,IF($K3997="Diferenciado",BDI!$E$17,0))</f>
        <v>0.2039</v>
      </c>
      <c r="H3997" s="151">
        <f t="shared" ca="1" si="186"/>
        <v>200.9</v>
      </c>
      <c r="I3997" s="152">
        <f t="shared" ca="1" si="187"/>
        <v>0</v>
      </c>
      <c r="J3997" s="154"/>
      <c r="K3997" s="155" t="s">
        <v>2966</v>
      </c>
    </row>
    <row r="3998" spans="1:11" hidden="1" x14ac:dyDescent="0.25">
      <c r="A3998" s="148" t="s">
        <v>2234</v>
      </c>
      <c r="B3998" s="149" t="s">
        <v>9369</v>
      </c>
      <c r="C3998" s="150" t="s">
        <v>87</v>
      </c>
      <c r="D3998" s="150">
        <v>0</v>
      </c>
      <c r="E3998" s="151">
        <f ca="1">OFFSET(INDEX(Composições!A:H,MATCH(Orçamentária!A3998,Composições!A:A,0),8),2,0)</f>
        <v>53.275999999999996</v>
      </c>
      <c r="F3998" s="152">
        <f t="shared" ca="1" si="188"/>
        <v>0</v>
      </c>
      <c r="G3998" s="153">
        <f>IF($K3998="Padrão",BDI!$B$17,IF($K3998="Diferenciado",BDI!$E$17,0))</f>
        <v>0.2039</v>
      </c>
      <c r="H3998" s="151">
        <f t="shared" ca="1" si="186"/>
        <v>64.14</v>
      </c>
      <c r="I3998" s="152">
        <f t="shared" ca="1" si="187"/>
        <v>0</v>
      </c>
      <c r="J3998" s="154"/>
      <c r="K3998" s="155" t="s">
        <v>2966</v>
      </c>
    </row>
    <row r="3999" spans="1:11" hidden="1" x14ac:dyDescent="0.25">
      <c r="A3999" s="148" t="s">
        <v>2235</v>
      </c>
      <c r="B3999" s="149" t="s">
        <v>9370</v>
      </c>
      <c r="C3999" s="150" t="s">
        <v>87</v>
      </c>
      <c r="D3999" s="150">
        <v>0</v>
      </c>
      <c r="E3999" s="151">
        <f ca="1">OFFSET(INDEX(Composições!A:H,MATCH(Orçamentária!A3999,Composições!A:A,0),8),2,0)</f>
        <v>63.450500000000005</v>
      </c>
      <c r="F3999" s="152">
        <f t="shared" ca="1" si="188"/>
        <v>0</v>
      </c>
      <c r="G3999" s="153">
        <f>IF($K3999="Padrão",BDI!$B$17,IF($K3999="Diferenciado",BDI!$E$17,0))</f>
        <v>0.2039</v>
      </c>
      <c r="H3999" s="151">
        <f t="shared" ca="1" si="186"/>
        <v>76.39</v>
      </c>
      <c r="I3999" s="152">
        <f t="shared" ca="1" si="187"/>
        <v>0</v>
      </c>
      <c r="J3999" s="154"/>
      <c r="K3999" s="155" t="s">
        <v>2966</v>
      </c>
    </row>
    <row r="4000" spans="1:11" hidden="1" x14ac:dyDescent="0.25">
      <c r="A4000" s="148" t="s">
        <v>2236</v>
      </c>
      <c r="B4000" s="149" t="s">
        <v>9371</v>
      </c>
      <c r="C4000" s="150" t="s">
        <v>87</v>
      </c>
      <c r="D4000" s="150">
        <v>0</v>
      </c>
      <c r="E4000" s="151">
        <f ca="1">OFFSET(INDEX(Composições!A:H,MATCH(Orçamentária!A4000,Composições!A:A,0),8),2,0)</f>
        <v>49.494999999999997</v>
      </c>
      <c r="F4000" s="152">
        <f t="shared" ca="1" si="188"/>
        <v>0</v>
      </c>
      <c r="G4000" s="153">
        <f>IF($K4000="Padrão",BDI!$B$17,IF($K4000="Diferenciado",BDI!$E$17,0))</f>
        <v>0.2039</v>
      </c>
      <c r="H4000" s="151">
        <f t="shared" ca="1" si="186"/>
        <v>59.59</v>
      </c>
      <c r="I4000" s="152">
        <f t="shared" ca="1" si="187"/>
        <v>0</v>
      </c>
      <c r="J4000" s="154"/>
      <c r="K4000" s="155" t="s">
        <v>2966</v>
      </c>
    </row>
    <row r="4001" spans="1:11" hidden="1" x14ac:dyDescent="0.25">
      <c r="A4001" s="148" t="s">
        <v>2237</v>
      </c>
      <c r="B4001" s="149" t="s">
        <v>9372</v>
      </c>
      <c r="C4001" s="150" t="s">
        <v>87</v>
      </c>
      <c r="D4001" s="150">
        <v>0</v>
      </c>
      <c r="E4001" s="151">
        <f ca="1">OFFSET(INDEX(Composições!A:H,MATCH(Orçamentária!A4001,Composições!A:A,0),8),2,0)</f>
        <v>124.735</v>
      </c>
      <c r="F4001" s="152">
        <f t="shared" ca="1" si="188"/>
        <v>0</v>
      </c>
      <c r="G4001" s="153">
        <f>IF($K4001="Padrão",BDI!$B$17,IF($K4001="Diferenciado",BDI!$E$17,0))</f>
        <v>0.2039</v>
      </c>
      <c r="H4001" s="151">
        <f t="shared" ca="1" si="186"/>
        <v>150.16999999999999</v>
      </c>
      <c r="I4001" s="152">
        <f t="shared" ca="1" si="187"/>
        <v>0</v>
      </c>
      <c r="J4001" s="154"/>
      <c r="K4001" s="155" t="s">
        <v>2966</v>
      </c>
    </row>
    <row r="4002" spans="1:11" hidden="1" x14ac:dyDescent="0.25">
      <c r="A4002" s="148" t="s">
        <v>2238</v>
      </c>
      <c r="B4002" s="149" t="s">
        <v>9373</v>
      </c>
      <c r="C4002" s="150" t="s">
        <v>87</v>
      </c>
      <c r="D4002" s="150">
        <v>0</v>
      </c>
      <c r="E4002" s="151">
        <f ca="1">OFFSET(INDEX(Composições!A:H,MATCH(Orçamentária!A4002,Composições!A:A,0),8),2,0)</f>
        <v>41.286999999999999</v>
      </c>
      <c r="F4002" s="152">
        <f t="shared" ca="1" si="188"/>
        <v>0</v>
      </c>
      <c r="G4002" s="153">
        <f>IF($K4002="Padrão",BDI!$B$17,IF($K4002="Diferenciado",BDI!$E$17,0))</f>
        <v>0.2039</v>
      </c>
      <c r="H4002" s="151">
        <f t="shared" ca="1" si="186"/>
        <v>49.71</v>
      </c>
      <c r="I4002" s="152">
        <f t="shared" ca="1" si="187"/>
        <v>0</v>
      </c>
      <c r="J4002" s="154"/>
      <c r="K4002" s="155" t="s">
        <v>2966</v>
      </c>
    </row>
    <row r="4003" spans="1:11" hidden="1" x14ac:dyDescent="0.25">
      <c r="A4003" s="148" t="s">
        <v>2239</v>
      </c>
      <c r="B4003" s="149" t="s">
        <v>9374</v>
      </c>
      <c r="C4003" s="150" t="s">
        <v>106</v>
      </c>
      <c r="D4003" s="150">
        <v>0</v>
      </c>
      <c r="E4003" s="151">
        <f ca="1">OFFSET(INDEX(Composições!A:H,MATCH(Orçamentária!A4003,Composições!A:A,0),8),2,0)</f>
        <v>222.13849999999999</v>
      </c>
      <c r="F4003" s="152">
        <f t="shared" ca="1" si="188"/>
        <v>0</v>
      </c>
      <c r="G4003" s="153">
        <f>IF($K4003="Padrão",BDI!$B$17,IF($K4003="Diferenciado",BDI!$E$17,0))</f>
        <v>0.2039</v>
      </c>
      <c r="H4003" s="151">
        <f t="shared" ca="1" si="186"/>
        <v>267.43</v>
      </c>
      <c r="I4003" s="152">
        <f t="shared" ca="1" si="187"/>
        <v>0</v>
      </c>
      <c r="J4003" s="154"/>
      <c r="K4003" s="155" t="s">
        <v>2966</v>
      </c>
    </row>
    <row r="4004" spans="1:11" hidden="1" x14ac:dyDescent="0.25">
      <c r="A4004" s="148" t="s">
        <v>9375</v>
      </c>
      <c r="B4004" s="149" t="s">
        <v>9376</v>
      </c>
      <c r="C4004" s="150" t="s">
        <v>87</v>
      </c>
      <c r="D4004" s="150">
        <v>0</v>
      </c>
      <c r="E4004" s="151" t="s">
        <v>13</v>
      </c>
      <c r="F4004" s="152" t="str">
        <f t="shared" si="188"/>
        <v/>
      </c>
      <c r="G4004" s="153">
        <f>IF($K4004="Padrão",BDI!$B$17,IF($K4004="Diferenciado",BDI!$E$17,0))</f>
        <v>0.2039</v>
      </c>
      <c r="H4004" s="151" t="str">
        <f t="shared" si="186"/>
        <v/>
      </c>
      <c r="I4004" s="152" t="str">
        <f t="shared" si="187"/>
        <v/>
      </c>
      <c r="J4004" s="154"/>
      <c r="K4004" s="155" t="s">
        <v>2966</v>
      </c>
    </row>
    <row r="4005" spans="1:11" hidden="1" x14ac:dyDescent="0.25">
      <c r="A4005" s="148" t="s">
        <v>9377</v>
      </c>
      <c r="B4005" s="149" t="s">
        <v>9378</v>
      </c>
      <c r="C4005" s="150" t="s">
        <v>87</v>
      </c>
      <c r="D4005" s="150">
        <v>0</v>
      </c>
      <c r="E4005" s="151" t="s">
        <v>13</v>
      </c>
      <c r="F4005" s="152" t="str">
        <f t="shared" si="188"/>
        <v/>
      </c>
      <c r="G4005" s="153">
        <f>IF($K4005="Padrão",BDI!$B$17,IF($K4005="Diferenciado",BDI!$E$17,0))</f>
        <v>0.2039</v>
      </c>
      <c r="H4005" s="151" t="str">
        <f t="shared" si="186"/>
        <v/>
      </c>
      <c r="I4005" s="152" t="str">
        <f t="shared" si="187"/>
        <v/>
      </c>
      <c r="J4005" s="154"/>
      <c r="K4005" s="155" t="s">
        <v>2966</v>
      </c>
    </row>
    <row r="4006" spans="1:11" hidden="1" x14ac:dyDescent="0.25">
      <c r="A4006" s="148" t="s">
        <v>9379</v>
      </c>
      <c r="B4006" s="149" t="s">
        <v>9380</v>
      </c>
      <c r="C4006" s="150" t="s">
        <v>87</v>
      </c>
      <c r="D4006" s="150">
        <v>0</v>
      </c>
      <c r="E4006" s="151" t="s">
        <v>13</v>
      </c>
      <c r="F4006" s="152" t="str">
        <f t="shared" si="188"/>
        <v/>
      </c>
      <c r="G4006" s="153">
        <f>IF($K4006="Padrão",BDI!$B$17,IF($K4006="Diferenciado",BDI!$E$17,0))</f>
        <v>0.2039</v>
      </c>
      <c r="H4006" s="151" t="str">
        <f t="shared" si="186"/>
        <v/>
      </c>
      <c r="I4006" s="152" t="str">
        <f t="shared" si="187"/>
        <v/>
      </c>
      <c r="J4006" s="154"/>
      <c r="K4006" s="155" t="s">
        <v>2966</v>
      </c>
    </row>
    <row r="4007" spans="1:11" hidden="1" x14ac:dyDescent="0.25">
      <c r="A4007" s="148" t="s">
        <v>9381</v>
      </c>
      <c r="B4007" s="149" t="s">
        <v>9382</v>
      </c>
      <c r="C4007" s="150" t="s">
        <v>87</v>
      </c>
      <c r="D4007" s="150">
        <v>0</v>
      </c>
      <c r="E4007" s="151" t="s">
        <v>13</v>
      </c>
      <c r="F4007" s="152" t="str">
        <f t="shared" si="188"/>
        <v/>
      </c>
      <c r="G4007" s="153">
        <f>IF($K4007="Padrão",BDI!$B$17,IF($K4007="Diferenciado",BDI!$E$17,0))</f>
        <v>0.2039</v>
      </c>
      <c r="H4007" s="151" t="str">
        <f t="shared" si="186"/>
        <v/>
      </c>
      <c r="I4007" s="152" t="str">
        <f t="shared" si="187"/>
        <v/>
      </c>
      <c r="J4007" s="154"/>
      <c r="K4007" s="155" t="s">
        <v>2966</v>
      </c>
    </row>
    <row r="4008" spans="1:11" hidden="1" x14ac:dyDescent="0.25">
      <c r="A4008" s="148" t="s">
        <v>9383</v>
      </c>
      <c r="B4008" s="149" t="s">
        <v>9384</v>
      </c>
      <c r="C4008" s="150" t="s">
        <v>87</v>
      </c>
      <c r="D4008" s="150">
        <v>0</v>
      </c>
      <c r="E4008" s="151" t="s">
        <v>13</v>
      </c>
      <c r="F4008" s="152" t="str">
        <f t="shared" si="188"/>
        <v/>
      </c>
      <c r="G4008" s="153">
        <f>IF($K4008="Padrão",BDI!$B$17,IF($K4008="Diferenciado",BDI!$E$17,0))</f>
        <v>0.2039</v>
      </c>
      <c r="H4008" s="151" t="str">
        <f t="shared" si="186"/>
        <v/>
      </c>
      <c r="I4008" s="152" t="str">
        <f t="shared" si="187"/>
        <v/>
      </c>
      <c r="J4008" s="154"/>
      <c r="K4008" s="155" t="s">
        <v>2966</v>
      </c>
    </row>
    <row r="4009" spans="1:11" hidden="1" x14ac:dyDescent="0.25">
      <c r="A4009" s="148" t="s">
        <v>9385</v>
      </c>
      <c r="B4009" s="149" t="s">
        <v>9386</v>
      </c>
      <c r="C4009" s="150" t="s">
        <v>106</v>
      </c>
      <c r="D4009" s="150">
        <v>0</v>
      </c>
      <c r="E4009" s="151" t="s">
        <v>13</v>
      </c>
      <c r="F4009" s="152" t="str">
        <f t="shared" si="188"/>
        <v/>
      </c>
      <c r="G4009" s="153">
        <f>IF($K4009="Padrão",BDI!$B$17,IF($K4009="Diferenciado",BDI!$E$17,0))</f>
        <v>0.2039</v>
      </c>
      <c r="H4009" s="151" t="str">
        <f t="shared" si="186"/>
        <v/>
      </c>
      <c r="I4009" s="152" t="str">
        <f t="shared" si="187"/>
        <v/>
      </c>
      <c r="J4009" s="154"/>
      <c r="K4009" s="155" t="s">
        <v>2966</v>
      </c>
    </row>
    <row r="4010" spans="1:11" hidden="1" x14ac:dyDescent="0.25">
      <c r="A4010" s="148" t="s">
        <v>9387</v>
      </c>
      <c r="B4010" s="149" t="s">
        <v>9388</v>
      </c>
      <c r="C4010" s="150" t="s">
        <v>87</v>
      </c>
      <c r="D4010" s="150">
        <v>0</v>
      </c>
      <c r="E4010" s="151" t="s">
        <v>13</v>
      </c>
      <c r="F4010" s="152" t="str">
        <f t="shared" si="188"/>
        <v/>
      </c>
      <c r="G4010" s="153">
        <f>IF($K4010="Padrão",BDI!$B$17,IF($K4010="Diferenciado",BDI!$E$17,0))</f>
        <v>0.2039</v>
      </c>
      <c r="H4010" s="151" t="str">
        <f t="shared" si="186"/>
        <v/>
      </c>
      <c r="I4010" s="152" t="str">
        <f t="shared" si="187"/>
        <v/>
      </c>
      <c r="J4010" s="154"/>
      <c r="K4010" s="155" t="s">
        <v>2966</v>
      </c>
    </row>
    <row r="4011" spans="1:11" hidden="1" x14ac:dyDescent="0.25">
      <c r="A4011" s="148" t="s">
        <v>9389</v>
      </c>
      <c r="B4011" s="149" t="s">
        <v>9390</v>
      </c>
      <c r="C4011" s="150" t="s">
        <v>87</v>
      </c>
      <c r="D4011" s="150">
        <v>0</v>
      </c>
      <c r="E4011" s="151" t="s">
        <v>13</v>
      </c>
      <c r="F4011" s="152" t="str">
        <f t="shared" si="188"/>
        <v/>
      </c>
      <c r="G4011" s="153">
        <f>IF($K4011="Padrão",BDI!$B$17,IF($K4011="Diferenciado",BDI!$E$17,0))</f>
        <v>0.2039</v>
      </c>
      <c r="H4011" s="151" t="str">
        <f t="shared" si="186"/>
        <v/>
      </c>
      <c r="I4011" s="152" t="str">
        <f t="shared" si="187"/>
        <v/>
      </c>
      <c r="J4011" s="154"/>
      <c r="K4011" s="155" t="s">
        <v>2966</v>
      </c>
    </row>
    <row r="4012" spans="1:11" hidden="1" x14ac:dyDescent="0.25">
      <c r="A4012" s="148" t="s">
        <v>9391</v>
      </c>
      <c r="B4012" s="149" t="s">
        <v>9392</v>
      </c>
      <c r="C4012" s="150" t="s">
        <v>87</v>
      </c>
      <c r="D4012" s="150">
        <v>0</v>
      </c>
      <c r="E4012" s="151" t="s">
        <v>13</v>
      </c>
      <c r="F4012" s="152" t="str">
        <f t="shared" si="188"/>
        <v/>
      </c>
      <c r="G4012" s="153">
        <f>IF($K4012="Padrão",BDI!$B$17,IF($K4012="Diferenciado",BDI!$E$17,0))</f>
        <v>0.2039</v>
      </c>
      <c r="H4012" s="151" t="str">
        <f t="shared" si="186"/>
        <v/>
      </c>
      <c r="I4012" s="152" t="str">
        <f t="shared" si="187"/>
        <v/>
      </c>
      <c r="J4012" s="154"/>
      <c r="K4012" s="155" t="s">
        <v>2966</v>
      </c>
    </row>
    <row r="4013" spans="1:11" hidden="1" x14ac:dyDescent="0.25">
      <c r="A4013" s="148" t="s">
        <v>9393</v>
      </c>
      <c r="B4013" s="149" t="s">
        <v>9394</v>
      </c>
      <c r="C4013" s="150" t="s">
        <v>87</v>
      </c>
      <c r="D4013" s="150">
        <v>0</v>
      </c>
      <c r="E4013" s="151" t="s">
        <v>13</v>
      </c>
      <c r="F4013" s="152" t="str">
        <f t="shared" si="188"/>
        <v/>
      </c>
      <c r="G4013" s="153">
        <f>IF($K4013="Padrão",BDI!$B$17,IF($K4013="Diferenciado",BDI!$E$17,0))</f>
        <v>0.2039</v>
      </c>
      <c r="H4013" s="151" t="str">
        <f t="shared" si="186"/>
        <v/>
      </c>
      <c r="I4013" s="152" t="str">
        <f t="shared" si="187"/>
        <v/>
      </c>
      <c r="J4013" s="154"/>
      <c r="K4013" s="155" t="s">
        <v>2966</v>
      </c>
    </row>
    <row r="4014" spans="1:11" hidden="1" x14ac:dyDescent="0.25">
      <c r="A4014" s="148" t="s">
        <v>9395</v>
      </c>
      <c r="B4014" s="149" t="s">
        <v>9396</v>
      </c>
      <c r="C4014" s="150" t="s">
        <v>87</v>
      </c>
      <c r="D4014" s="150">
        <v>0</v>
      </c>
      <c r="E4014" s="151" t="s">
        <v>13</v>
      </c>
      <c r="F4014" s="152" t="str">
        <f t="shared" si="188"/>
        <v/>
      </c>
      <c r="G4014" s="153">
        <f>IF($K4014="Padrão",BDI!$B$17,IF($K4014="Diferenciado",BDI!$E$17,0))</f>
        <v>0.2039</v>
      </c>
      <c r="H4014" s="151" t="str">
        <f t="shared" si="186"/>
        <v/>
      </c>
      <c r="I4014" s="152" t="str">
        <f t="shared" si="187"/>
        <v/>
      </c>
      <c r="J4014" s="154"/>
      <c r="K4014" s="155" t="s">
        <v>2966</v>
      </c>
    </row>
    <row r="4015" spans="1:11" hidden="1" x14ac:dyDescent="0.25">
      <c r="A4015" s="148" t="s">
        <v>2240</v>
      </c>
      <c r="B4015" s="149" t="s">
        <v>9397</v>
      </c>
      <c r="C4015" s="150" t="s">
        <v>106</v>
      </c>
      <c r="D4015" s="150">
        <v>0</v>
      </c>
      <c r="E4015" s="151">
        <f ca="1">OFFSET(INDEX(Composições!A:H,MATCH(Orçamentária!A4015,Composições!A:A,0),8),2,0)</f>
        <v>323.209</v>
      </c>
      <c r="F4015" s="152">
        <f t="shared" ca="1" si="188"/>
        <v>0</v>
      </c>
      <c r="G4015" s="153">
        <f>IF($K4015="Padrão",BDI!$B$17,IF($K4015="Diferenciado",BDI!$E$17,0))</f>
        <v>0.2039</v>
      </c>
      <c r="H4015" s="151">
        <f t="shared" ca="1" si="186"/>
        <v>389.11</v>
      </c>
      <c r="I4015" s="152">
        <f t="shared" ca="1" si="187"/>
        <v>0</v>
      </c>
      <c r="J4015" s="154"/>
      <c r="K4015" s="155" t="s">
        <v>2966</v>
      </c>
    </row>
    <row r="4016" spans="1:11" hidden="1" x14ac:dyDescent="0.25">
      <c r="A4016" s="148" t="s">
        <v>9398</v>
      </c>
      <c r="B4016" s="149" t="s">
        <v>9399</v>
      </c>
      <c r="C4016" s="150" t="s">
        <v>87</v>
      </c>
      <c r="D4016" s="150">
        <v>0</v>
      </c>
      <c r="E4016" s="151" t="s">
        <v>13</v>
      </c>
      <c r="F4016" s="152" t="str">
        <f t="shared" si="188"/>
        <v/>
      </c>
      <c r="G4016" s="153">
        <f>IF($K4016="Padrão",BDI!$B$17,IF($K4016="Diferenciado",BDI!$E$17,0))</f>
        <v>0.2039</v>
      </c>
      <c r="H4016" s="151" t="str">
        <f t="shared" si="186"/>
        <v/>
      </c>
      <c r="I4016" s="152" t="str">
        <f t="shared" si="187"/>
        <v/>
      </c>
      <c r="J4016" s="154"/>
      <c r="K4016" s="155" t="s">
        <v>2966</v>
      </c>
    </row>
    <row r="4017" spans="1:11" hidden="1" x14ac:dyDescent="0.25">
      <c r="A4017" s="148" t="s">
        <v>9400</v>
      </c>
      <c r="B4017" s="149" t="s">
        <v>9401</v>
      </c>
      <c r="C4017" s="150" t="s">
        <v>87</v>
      </c>
      <c r="D4017" s="150">
        <v>0</v>
      </c>
      <c r="E4017" s="151" t="s">
        <v>13</v>
      </c>
      <c r="F4017" s="152" t="str">
        <f t="shared" si="188"/>
        <v/>
      </c>
      <c r="G4017" s="153">
        <f>IF($K4017="Padrão",BDI!$B$17,IF($K4017="Diferenciado",BDI!$E$17,0))</f>
        <v>0.2039</v>
      </c>
      <c r="H4017" s="151" t="str">
        <f t="shared" si="186"/>
        <v/>
      </c>
      <c r="I4017" s="152" t="str">
        <f t="shared" si="187"/>
        <v/>
      </c>
      <c r="J4017" s="154"/>
      <c r="K4017" s="155" t="s">
        <v>2966</v>
      </c>
    </row>
    <row r="4018" spans="1:11" hidden="1" x14ac:dyDescent="0.25">
      <c r="A4018" s="148" t="s">
        <v>9402</v>
      </c>
      <c r="B4018" s="149" t="s">
        <v>9403</v>
      </c>
      <c r="C4018" s="150" t="s">
        <v>87</v>
      </c>
      <c r="D4018" s="150">
        <v>0</v>
      </c>
      <c r="E4018" s="151" t="s">
        <v>13</v>
      </c>
      <c r="F4018" s="152" t="str">
        <f t="shared" si="188"/>
        <v/>
      </c>
      <c r="G4018" s="153">
        <f>IF($K4018="Padrão",BDI!$B$17,IF($K4018="Diferenciado",BDI!$E$17,0))</f>
        <v>0.2039</v>
      </c>
      <c r="H4018" s="151" t="str">
        <f t="shared" si="186"/>
        <v/>
      </c>
      <c r="I4018" s="152" t="str">
        <f t="shared" si="187"/>
        <v/>
      </c>
      <c r="J4018" s="154"/>
      <c r="K4018" s="155" t="s">
        <v>2966</v>
      </c>
    </row>
    <row r="4019" spans="1:11" hidden="1" x14ac:dyDescent="0.25">
      <c r="A4019" s="148" t="s">
        <v>9404</v>
      </c>
      <c r="B4019" s="149" t="s">
        <v>9405</v>
      </c>
      <c r="C4019" s="150" t="s">
        <v>87</v>
      </c>
      <c r="D4019" s="150">
        <v>0</v>
      </c>
      <c r="E4019" s="151" t="s">
        <v>13</v>
      </c>
      <c r="F4019" s="152" t="str">
        <f t="shared" si="188"/>
        <v/>
      </c>
      <c r="G4019" s="153">
        <f>IF($K4019="Padrão",BDI!$B$17,IF($K4019="Diferenciado",BDI!$E$17,0))</f>
        <v>0.2039</v>
      </c>
      <c r="H4019" s="151" t="str">
        <f t="shared" si="186"/>
        <v/>
      </c>
      <c r="I4019" s="152" t="str">
        <f t="shared" si="187"/>
        <v/>
      </c>
      <c r="J4019" s="154"/>
      <c r="K4019" s="155" t="s">
        <v>2966</v>
      </c>
    </row>
    <row r="4020" spans="1:11" hidden="1" x14ac:dyDescent="0.25">
      <c r="A4020" s="148" t="s">
        <v>9406</v>
      </c>
      <c r="B4020" s="149" t="s">
        <v>9407</v>
      </c>
      <c r="C4020" s="150" t="s">
        <v>87</v>
      </c>
      <c r="D4020" s="150">
        <v>0</v>
      </c>
      <c r="E4020" s="151" t="s">
        <v>13</v>
      </c>
      <c r="F4020" s="152" t="str">
        <f t="shared" si="188"/>
        <v/>
      </c>
      <c r="G4020" s="153">
        <f>IF($K4020="Padrão",BDI!$B$17,IF($K4020="Diferenciado",BDI!$E$17,0))</f>
        <v>0.2039</v>
      </c>
      <c r="H4020" s="151" t="str">
        <f t="shared" si="186"/>
        <v/>
      </c>
      <c r="I4020" s="152" t="str">
        <f t="shared" si="187"/>
        <v/>
      </c>
      <c r="J4020" s="154"/>
      <c r="K4020" s="155" t="s">
        <v>2966</v>
      </c>
    </row>
    <row r="4021" spans="1:11" hidden="1" x14ac:dyDescent="0.25">
      <c r="A4021" s="148" t="s">
        <v>2241</v>
      </c>
      <c r="B4021" s="149" t="s">
        <v>9408</v>
      </c>
      <c r="C4021" s="150" t="s">
        <v>106</v>
      </c>
      <c r="D4021" s="150">
        <v>0</v>
      </c>
      <c r="E4021" s="151">
        <f ca="1">OFFSET(INDEX(Composições!A:H,MATCH(Orçamentária!A4021,Composições!A:A,0),8),2,0)</f>
        <v>506.99599999999992</v>
      </c>
      <c r="F4021" s="152">
        <f t="shared" ca="1" si="188"/>
        <v>0</v>
      </c>
      <c r="G4021" s="153">
        <f>IF($K4021="Padrão",BDI!$B$17,IF($K4021="Diferenciado",BDI!$E$17,0))</f>
        <v>0.2039</v>
      </c>
      <c r="H4021" s="151">
        <f t="shared" ca="1" si="186"/>
        <v>610.37</v>
      </c>
      <c r="I4021" s="152">
        <f t="shared" ca="1" si="187"/>
        <v>0</v>
      </c>
      <c r="J4021" s="154"/>
      <c r="K4021" s="155" t="s">
        <v>2966</v>
      </c>
    </row>
    <row r="4022" spans="1:11" hidden="1" x14ac:dyDescent="0.25">
      <c r="A4022" s="148" t="s">
        <v>9409</v>
      </c>
      <c r="B4022" s="149" t="s">
        <v>9410</v>
      </c>
      <c r="C4022" s="150" t="s">
        <v>87</v>
      </c>
      <c r="D4022" s="150">
        <v>0</v>
      </c>
      <c r="E4022" s="151" t="s">
        <v>13</v>
      </c>
      <c r="F4022" s="152" t="str">
        <f t="shared" si="188"/>
        <v/>
      </c>
      <c r="G4022" s="153">
        <f>IF($K4022="Padrão",BDI!$B$17,IF($K4022="Diferenciado",BDI!$E$17,0))</f>
        <v>0.2039</v>
      </c>
      <c r="H4022" s="151" t="str">
        <f t="shared" si="186"/>
        <v/>
      </c>
      <c r="I4022" s="152" t="str">
        <f t="shared" si="187"/>
        <v/>
      </c>
      <c r="J4022" s="154"/>
      <c r="K4022" s="155" t="s">
        <v>2966</v>
      </c>
    </row>
    <row r="4023" spans="1:11" hidden="1" x14ac:dyDescent="0.25">
      <c r="A4023" s="148" t="s">
        <v>9411</v>
      </c>
      <c r="B4023" s="149" t="s">
        <v>9412</v>
      </c>
      <c r="C4023" s="150" t="s">
        <v>87</v>
      </c>
      <c r="D4023" s="150">
        <v>0</v>
      </c>
      <c r="E4023" s="151" t="s">
        <v>13</v>
      </c>
      <c r="F4023" s="152" t="str">
        <f t="shared" si="188"/>
        <v/>
      </c>
      <c r="G4023" s="153">
        <f>IF($K4023="Padrão",BDI!$B$17,IF($K4023="Diferenciado",BDI!$E$17,0))</f>
        <v>0.2039</v>
      </c>
      <c r="H4023" s="151" t="str">
        <f t="shared" si="186"/>
        <v/>
      </c>
      <c r="I4023" s="152" t="str">
        <f t="shared" si="187"/>
        <v/>
      </c>
      <c r="J4023" s="154"/>
      <c r="K4023" s="155" t="s">
        <v>2966</v>
      </c>
    </row>
    <row r="4024" spans="1:11" hidden="1" x14ac:dyDescent="0.25">
      <c r="A4024" s="148" t="s">
        <v>9413</v>
      </c>
      <c r="B4024" s="149" t="s">
        <v>9414</v>
      </c>
      <c r="C4024" s="150" t="s">
        <v>87</v>
      </c>
      <c r="D4024" s="150">
        <v>0</v>
      </c>
      <c r="E4024" s="151" t="s">
        <v>13</v>
      </c>
      <c r="F4024" s="152" t="str">
        <f t="shared" si="188"/>
        <v/>
      </c>
      <c r="G4024" s="153">
        <f>IF($K4024="Padrão",BDI!$B$17,IF($K4024="Diferenciado",BDI!$E$17,0))</f>
        <v>0.2039</v>
      </c>
      <c r="H4024" s="151" t="str">
        <f t="shared" si="186"/>
        <v/>
      </c>
      <c r="I4024" s="152" t="str">
        <f t="shared" si="187"/>
        <v/>
      </c>
      <c r="J4024" s="154"/>
      <c r="K4024" s="155" t="s">
        <v>2966</v>
      </c>
    </row>
    <row r="4025" spans="1:11" hidden="1" x14ac:dyDescent="0.25">
      <c r="A4025" s="148" t="s">
        <v>9415</v>
      </c>
      <c r="B4025" s="149" t="s">
        <v>9416</v>
      </c>
      <c r="C4025" s="150" t="s">
        <v>87</v>
      </c>
      <c r="D4025" s="150">
        <v>0</v>
      </c>
      <c r="E4025" s="151" t="s">
        <v>13</v>
      </c>
      <c r="F4025" s="152" t="str">
        <f t="shared" si="188"/>
        <v/>
      </c>
      <c r="G4025" s="153">
        <f>IF($K4025="Padrão",BDI!$B$17,IF($K4025="Diferenciado",BDI!$E$17,0))</f>
        <v>0.2039</v>
      </c>
      <c r="H4025" s="151" t="str">
        <f t="shared" si="186"/>
        <v/>
      </c>
      <c r="I4025" s="152" t="str">
        <f t="shared" si="187"/>
        <v/>
      </c>
      <c r="J4025" s="154"/>
      <c r="K4025" s="155" t="s">
        <v>2966</v>
      </c>
    </row>
    <row r="4026" spans="1:11" hidden="1" x14ac:dyDescent="0.25">
      <c r="A4026" s="148" t="s">
        <v>9417</v>
      </c>
      <c r="B4026" s="149" t="s">
        <v>9418</v>
      </c>
      <c r="C4026" s="150" t="s">
        <v>87</v>
      </c>
      <c r="D4026" s="150">
        <v>0</v>
      </c>
      <c r="E4026" s="151" t="s">
        <v>13</v>
      </c>
      <c r="F4026" s="152" t="str">
        <f t="shared" si="188"/>
        <v/>
      </c>
      <c r="G4026" s="153">
        <f>IF($K4026="Padrão",BDI!$B$17,IF($K4026="Diferenciado",BDI!$E$17,0))</f>
        <v>0.2039</v>
      </c>
      <c r="H4026" s="151" t="str">
        <f t="shared" si="186"/>
        <v/>
      </c>
      <c r="I4026" s="152" t="str">
        <f t="shared" si="187"/>
        <v/>
      </c>
      <c r="J4026" s="154"/>
      <c r="K4026" s="155" t="s">
        <v>2966</v>
      </c>
    </row>
    <row r="4027" spans="1:11" hidden="1" x14ac:dyDescent="0.25">
      <c r="A4027" s="148" t="s">
        <v>9419</v>
      </c>
      <c r="B4027" s="149" t="s">
        <v>9420</v>
      </c>
      <c r="C4027" s="150" t="s">
        <v>87</v>
      </c>
      <c r="D4027" s="150">
        <v>0</v>
      </c>
      <c r="E4027" s="151" t="s">
        <v>13</v>
      </c>
      <c r="F4027" s="152" t="str">
        <f t="shared" si="188"/>
        <v/>
      </c>
      <c r="G4027" s="153">
        <f>IF($K4027="Padrão",BDI!$B$17,IF($K4027="Diferenciado",BDI!$E$17,0))</f>
        <v>0.2039</v>
      </c>
      <c r="H4027" s="151" t="str">
        <f t="shared" si="186"/>
        <v/>
      </c>
      <c r="I4027" s="152" t="str">
        <f t="shared" si="187"/>
        <v/>
      </c>
      <c r="J4027" s="154"/>
      <c r="K4027" s="155" t="s">
        <v>2966</v>
      </c>
    </row>
    <row r="4028" spans="1:11" hidden="1" x14ac:dyDescent="0.25">
      <c r="A4028" s="148" t="s">
        <v>2242</v>
      </c>
      <c r="B4028" s="149" t="s">
        <v>9421</v>
      </c>
      <c r="C4028" s="150" t="s">
        <v>106</v>
      </c>
      <c r="D4028" s="150">
        <v>0</v>
      </c>
      <c r="E4028" s="151">
        <f ca="1">OFFSET(INDEX(Composições!A:H,MATCH(Orçamentária!A4028,Composições!A:A,0),8),2,0)</f>
        <v>570.71249999999998</v>
      </c>
      <c r="F4028" s="152">
        <f t="shared" ca="1" si="188"/>
        <v>0</v>
      </c>
      <c r="G4028" s="153">
        <f>IF($K4028="Padrão",BDI!$B$17,IF($K4028="Diferenciado",BDI!$E$17,0))</f>
        <v>0.2039</v>
      </c>
      <c r="H4028" s="151">
        <f t="shared" ca="1" si="186"/>
        <v>687.08</v>
      </c>
      <c r="I4028" s="152">
        <f t="shared" ca="1" si="187"/>
        <v>0</v>
      </c>
      <c r="J4028" s="154"/>
      <c r="K4028" s="155" t="s">
        <v>2966</v>
      </c>
    </row>
    <row r="4029" spans="1:11" hidden="1" x14ac:dyDescent="0.25">
      <c r="A4029" s="148" t="s">
        <v>9422</v>
      </c>
      <c r="B4029" s="149" t="s">
        <v>9423</v>
      </c>
      <c r="C4029" s="150" t="s">
        <v>87</v>
      </c>
      <c r="D4029" s="150">
        <v>0</v>
      </c>
      <c r="E4029" s="151" t="s">
        <v>13</v>
      </c>
      <c r="F4029" s="152" t="str">
        <f t="shared" si="188"/>
        <v/>
      </c>
      <c r="G4029" s="153">
        <f>IF($K4029="Padrão",BDI!$B$17,IF($K4029="Diferenciado",BDI!$E$17,0))</f>
        <v>0.2039</v>
      </c>
      <c r="H4029" s="151" t="str">
        <f t="shared" si="186"/>
        <v/>
      </c>
      <c r="I4029" s="152" t="str">
        <f t="shared" si="187"/>
        <v/>
      </c>
      <c r="J4029" s="154"/>
      <c r="K4029" s="155" t="s">
        <v>2966</v>
      </c>
    </row>
    <row r="4030" spans="1:11" hidden="1" x14ac:dyDescent="0.25">
      <c r="A4030" s="148" t="s">
        <v>9424</v>
      </c>
      <c r="B4030" s="149" t="s">
        <v>9425</v>
      </c>
      <c r="C4030" s="150" t="s">
        <v>87</v>
      </c>
      <c r="D4030" s="150">
        <v>0</v>
      </c>
      <c r="E4030" s="151" t="s">
        <v>13</v>
      </c>
      <c r="F4030" s="152" t="str">
        <f t="shared" si="188"/>
        <v/>
      </c>
      <c r="G4030" s="153">
        <f>IF($K4030="Padrão",BDI!$B$17,IF($K4030="Diferenciado",BDI!$E$17,0))</f>
        <v>0.2039</v>
      </c>
      <c r="H4030" s="151" t="str">
        <f t="shared" si="186"/>
        <v/>
      </c>
      <c r="I4030" s="152" t="str">
        <f t="shared" si="187"/>
        <v/>
      </c>
      <c r="J4030" s="154"/>
      <c r="K4030" s="155" t="s">
        <v>2966</v>
      </c>
    </row>
    <row r="4031" spans="1:11" hidden="1" x14ac:dyDescent="0.25">
      <c r="A4031" s="148" t="s">
        <v>9426</v>
      </c>
      <c r="B4031" s="149" t="s">
        <v>9427</v>
      </c>
      <c r="C4031" s="150" t="s">
        <v>87</v>
      </c>
      <c r="D4031" s="150">
        <v>0</v>
      </c>
      <c r="E4031" s="151" t="s">
        <v>13</v>
      </c>
      <c r="F4031" s="152" t="str">
        <f t="shared" si="188"/>
        <v/>
      </c>
      <c r="G4031" s="153">
        <f>IF($K4031="Padrão",BDI!$B$17,IF($K4031="Diferenciado",BDI!$E$17,0))</f>
        <v>0.2039</v>
      </c>
      <c r="H4031" s="151" t="str">
        <f t="shared" si="186"/>
        <v/>
      </c>
      <c r="I4031" s="152" t="str">
        <f t="shared" si="187"/>
        <v/>
      </c>
      <c r="J4031" s="154"/>
      <c r="K4031" s="155" t="s">
        <v>2966</v>
      </c>
    </row>
    <row r="4032" spans="1:11" hidden="1" x14ac:dyDescent="0.25">
      <c r="A4032" s="148" t="s">
        <v>9428</v>
      </c>
      <c r="B4032" s="149" t="s">
        <v>9429</v>
      </c>
      <c r="C4032" s="150" t="s">
        <v>87</v>
      </c>
      <c r="D4032" s="150">
        <v>0</v>
      </c>
      <c r="E4032" s="151" t="s">
        <v>13</v>
      </c>
      <c r="F4032" s="152" t="str">
        <f t="shared" si="188"/>
        <v/>
      </c>
      <c r="G4032" s="153">
        <f>IF($K4032="Padrão",BDI!$B$17,IF($K4032="Diferenciado",BDI!$E$17,0))</f>
        <v>0.2039</v>
      </c>
      <c r="H4032" s="151" t="str">
        <f t="shared" si="186"/>
        <v/>
      </c>
      <c r="I4032" s="152" t="str">
        <f t="shared" si="187"/>
        <v/>
      </c>
      <c r="J4032" s="154"/>
      <c r="K4032" s="155" t="s">
        <v>2966</v>
      </c>
    </row>
    <row r="4033" spans="1:11" hidden="1" x14ac:dyDescent="0.25">
      <c r="A4033" s="148" t="s">
        <v>9430</v>
      </c>
      <c r="B4033" s="149" t="s">
        <v>9431</v>
      </c>
      <c r="C4033" s="150" t="s">
        <v>87</v>
      </c>
      <c r="D4033" s="150">
        <v>0</v>
      </c>
      <c r="E4033" s="151" t="s">
        <v>13</v>
      </c>
      <c r="F4033" s="152" t="str">
        <f t="shared" si="188"/>
        <v/>
      </c>
      <c r="G4033" s="153">
        <f>IF($K4033="Padrão",BDI!$B$17,IF($K4033="Diferenciado",BDI!$E$17,0))</f>
        <v>0.2039</v>
      </c>
      <c r="H4033" s="151" t="str">
        <f t="shared" si="186"/>
        <v/>
      </c>
      <c r="I4033" s="152" t="str">
        <f t="shared" si="187"/>
        <v/>
      </c>
      <c r="J4033" s="154"/>
      <c r="K4033" s="155" t="s">
        <v>2966</v>
      </c>
    </row>
    <row r="4034" spans="1:11" hidden="1" x14ac:dyDescent="0.25">
      <c r="A4034" s="148" t="s">
        <v>2243</v>
      </c>
      <c r="B4034" s="149" t="s">
        <v>9432</v>
      </c>
      <c r="C4034" s="150" t="s">
        <v>106</v>
      </c>
      <c r="D4034" s="150">
        <v>0</v>
      </c>
      <c r="E4034" s="151">
        <f ca="1">OFFSET(INDEX(Composições!A:H,MATCH(Orçamentária!A4034,Composições!A:A,0),8),2,0)</f>
        <v>859.30349999999999</v>
      </c>
      <c r="F4034" s="152">
        <f t="shared" ca="1" si="188"/>
        <v>0</v>
      </c>
      <c r="G4034" s="153">
        <f>IF($K4034="Padrão",BDI!$B$17,IF($K4034="Diferenciado",BDI!$E$17,0))</f>
        <v>0.2039</v>
      </c>
      <c r="H4034" s="151">
        <f t="shared" ca="1" si="186"/>
        <v>1034.52</v>
      </c>
      <c r="I4034" s="152">
        <f t="shared" ca="1" si="187"/>
        <v>0</v>
      </c>
      <c r="J4034" s="154"/>
      <c r="K4034" s="155" t="s">
        <v>2966</v>
      </c>
    </row>
    <row r="4035" spans="1:11" hidden="1" x14ac:dyDescent="0.25">
      <c r="A4035" s="148" t="s">
        <v>9433</v>
      </c>
      <c r="B4035" s="149" t="s">
        <v>9434</v>
      </c>
      <c r="C4035" s="150" t="s">
        <v>87</v>
      </c>
      <c r="D4035" s="150">
        <v>0</v>
      </c>
      <c r="E4035" s="151" t="s">
        <v>13</v>
      </c>
      <c r="F4035" s="152" t="str">
        <f t="shared" si="188"/>
        <v/>
      </c>
      <c r="G4035" s="153">
        <f>IF($K4035="Padrão",BDI!$B$17,IF($K4035="Diferenciado",BDI!$E$17,0))</f>
        <v>0.2039</v>
      </c>
      <c r="H4035" s="151" t="str">
        <f t="shared" si="186"/>
        <v/>
      </c>
      <c r="I4035" s="152" t="str">
        <f t="shared" si="187"/>
        <v/>
      </c>
      <c r="J4035" s="154"/>
      <c r="K4035" s="155" t="s">
        <v>2966</v>
      </c>
    </row>
    <row r="4036" spans="1:11" hidden="1" x14ac:dyDescent="0.25">
      <c r="A4036" s="148" t="s">
        <v>9435</v>
      </c>
      <c r="B4036" s="149" t="s">
        <v>9436</v>
      </c>
      <c r="C4036" s="150" t="s">
        <v>87</v>
      </c>
      <c r="D4036" s="150">
        <v>0</v>
      </c>
      <c r="E4036" s="151" t="s">
        <v>13</v>
      </c>
      <c r="F4036" s="152" t="str">
        <f t="shared" si="188"/>
        <v/>
      </c>
      <c r="G4036" s="153">
        <f>IF($K4036="Padrão",BDI!$B$17,IF($K4036="Diferenciado",BDI!$E$17,0))</f>
        <v>0.2039</v>
      </c>
      <c r="H4036" s="151" t="str">
        <f t="shared" si="186"/>
        <v/>
      </c>
      <c r="I4036" s="152" t="str">
        <f t="shared" si="187"/>
        <v/>
      </c>
      <c r="J4036" s="154"/>
      <c r="K4036" s="155" t="s">
        <v>2966</v>
      </c>
    </row>
    <row r="4037" spans="1:11" hidden="1" x14ac:dyDescent="0.25">
      <c r="A4037" s="148" t="s">
        <v>9437</v>
      </c>
      <c r="B4037" s="149" t="s">
        <v>9438</v>
      </c>
      <c r="C4037" s="150" t="s">
        <v>87</v>
      </c>
      <c r="D4037" s="150">
        <v>0</v>
      </c>
      <c r="E4037" s="151" t="s">
        <v>13</v>
      </c>
      <c r="F4037" s="152" t="str">
        <f t="shared" si="188"/>
        <v/>
      </c>
      <c r="G4037" s="153">
        <f>IF($K4037="Padrão",BDI!$B$17,IF($K4037="Diferenciado",BDI!$E$17,0))</f>
        <v>0.2039</v>
      </c>
      <c r="H4037" s="151" t="str">
        <f t="shared" si="186"/>
        <v/>
      </c>
      <c r="I4037" s="152" t="str">
        <f t="shared" si="187"/>
        <v/>
      </c>
      <c r="J4037" s="154"/>
      <c r="K4037" s="155" t="s">
        <v>2966</v>
      </c>
    </row>
    <row r="4038" spans="1:11" hidden="1" x14ac:dyDescent="0.25">
      <c r="A4038" s="148" t="s">
        <v>9439</v>
      </c>
      <c r="B4038" s="149" t="s">
        <v>9440</v>
      </c>
      <c r="C4038" s="150" t="s">
        <v>87</v>
      </c>
      <c r="D4038" s="150">
        <v>0</v>
      </c>
      <c r="E4038" s="151" t="s">
        <v>13</v>
      </c>
      <c r="F4038" s="152" t="str">
        <f t="shared" si="188"/>
        <v/>
      </c>
      <c r="G4038" s="153">
        <f>IF($K4038="Padrão",BDI!$B$17,IF($K4038="Diferenciado",BDI!$E$17,0))</f>
        <v>0.2039</v>
      </c>
      <c r="H4038" s="151" t="str">
        <f t="shared" ref="H4038:H4101" si="189">IF(ISNUMBER(E4038),ROUND(E4038*(1+G4038),2),"")</f>
        <v/>
      </c>
      <c r="I4038" s="152" t="str">
        <f t="shared" ref="I4038:I4101" si="190">IF(ISNUMBER(E4038),ROUND(H4038*D4038,2),"")</f>
        <v/>
      </c>
      <c r="J4038" s="154"/>
      <c r="K4038" s="155" t="s">
        <v>2966</v>
      </c>
    </row>
    <row r="4039" spans="1:11" hidden="1" x14ac:dyDescent="0.25">
      <c r="A4039" s="148" t="s">
        <v>9441</v>
      </c>
      <c r="B4039" s="149" t="s">
        <v>9442</v>
      </c>
      <c r="C4039" s="150" t="s">
        <v>87</v>
      </c>
      <c r="D4039" s="150">
        <v>0</v>
      </c>
      <c r="E4039" s="151" t="s">
        <v>13</v>
      </c>
      <c r="F4039" s="152" t="str">
        <f t="shared" ref="F4039:F4102" si="191">IF(ISNUMBER(E4039),D4039*E4039,"")</f>
        <v/>
      </c>
      <c r="G4039" s="153">
        <f>IF($K4039="Padrão",BDI!$B$17,IF($K4039="Diferenciado",BDI!$E$17,0))</f>
        <v>0.2039</v>
      </c>
      <c r="H4039" s="151" t="str">
        <f t="shared" si="189"/>
        <v/>
      </c>
      <c r="I4039" s="152" t="str">
        <f t="shared" si="190"/>
        <v/>
      </c>
      <c r="J4039" s="154"/>
      <c r="K4039" s="155" t="s">
        <v>2966</v>
      </c>
    </row>
    <row r="4040" spans="1:11" hidden="1" x14ac:dyDescent="0.25">
      <c r="A4040" s="148" t="s">
        <v>9443</v>
      </c>
      <c r="B4040" s="149" t="s">
        <v>9444</v>
      </c>
      <c r="C4040" s="150" t="s">
        <v>87</v>
      </c>
      <c r="D4040" s="150">
        <v>0</v>
      </c>
      <c r="E4040" s="151" t="s">
        <v>13</v>
      </c>
      <c r="F4040" s="152" t="str">
        <f t="shared" si="191"/>
        <v/>
      </c>
      <c r="G4040" s="153">
        <f>IF($K4040="Padrão",BDI!$B$17,IF($K4040="Diferenciado",BDI!$E$17,0))</f>
        <v>0.2039</v>
      </c>
      <c r="H4040" s="151" t="str">
        <f t="shared" si="189"/>
        <v/>
      </c>
      <c r="I4040" s="152" t="str">
        <f t="shared" si="190"/>
        <v/>
      </c>
      <c r="J4040" s="154"/>
      <c r="K4040" s="155" t="s">
        <v>2966</v>
      </c>
    </row>
    <row r="4041" spans="1:11" hidden="1" x14ac:dyDescent="0.25">
      <c r="A4041" s="148" t="s">
        <v>2244</v>
      </c>
      <c r="B4041" s="149" t="s">
        <v>9445</v>
      </c>
      <c r="C4041" s="150" t="s">
        <v>106</v>
      </c>
      <c r="D4041" s="150">
        <v>0</v>
      </c>
      <c r="E4041" s="151">
        <f ca="1">OFFSET(INDEX(Composições!A:H,MATCH(Orçamentária!A4041,Composições!A:A,0),8),2,0)</f>
        <v>4.1040000000000001</v>
      </c>
      <c r="F4041" s="152">
        <f t="shared" ca="1" si="191"/>
        <v>0</v>
      </c>
      <c r="G4041" s="153">
        <f>IF($K4041="Padrão",BDI!$B$17,IF($K4041="Diferenciado",BDI!$E$17,0))</f>
        <v>0.2039</v>
      </c>
      <c r="H4041" s="151">
        <f t="shared" ca="1" si="189"/>
        <v>4.9400000000000004</v>
      </c>
      <c r="I4041" s="152">
        <f t="shared" ca="1" si="190"/>
        <v>0</v>
      </c>
      <c r="J4041" s="154"/>
      <c r="K4041" s="155" t="s">
        <v>2966</v>
      </c>
    </row>
    <row r="4042" spans="1:11" hidden="1" x14ac:dyDescent="0.25">
      <c r="A4042" s="148" t="s">
        <v>2245</v>
      </c>
      <c r="B4042" s="149" t="s">
        <v>9446</v>
      </c>
      <c r="C4042" s="150" t="s">
        <v>87</v>
      </c>
      <c r="D4042" s="150">
        <v>0</v>
      </c>
      <c r="E4042" s="151">
        <f ca="1">OFFSET(INDEX(Composições!A:H,MATCH(Orçamentária!A4042,Composições!A:A,0),8),2,0)</f>
        <v>2.7075</v>
      </c>
      <c r="F4042" s="152">
        <f t="shared" ca="1" si="191"/>
        <v>0</v>
      </c>
      <c r="G4042" s="153">
        <f>IF($K4042="Padrão",BDI!$B$17,IF($K4042="Diferenciado",BDI!$E$17,0))</f>
        <v>0.2039</v>
      </c>
      <c r="H4042" s="151">
        <f t="shared" ca="1" si="189"/>
        <v>3.26</v>
      </c>
      <c r="I4042" s="152">
        <f t="shared" ca="1" si="190"/>
        <v>0</v>
      </c>
      <c r="J4042" s="154"/>
      <c r="K4042" s="155" t="s">
        <v>2966</v>
      </c>
    </row>
    <row r="4043" spans="1:11" hidden="1" x14ac:dyDescent="0.25">
      <c r="A4043" s="148" t="s">
        <v>2246</v>
      </c>
      <c r="B4043" s="149" t="s">
        <v>9447</v>
      </c>
      <c r="C4043" s="150" t="s">
        <v>87</v>
      </c>
      <c r="D4043" s="150">
        <v>0</v>
      </c>
      <c r="E4043" s="151">
        <f ca="1">OFFSET(INDEX(Composições!A:H,MATCH(Orçamentária!A4043,Composições!A:A,0),8),2,0)</f>
        <v>2.052</v>
      </c>
      <c r="F4043" s="152">
        <f t="shared" ca="1" si="191"/>
        <v>0</v>
      </c>
      <c r="G4043" s="153">
        <f>IF($K4043="Padrão",BDI!$B$17,IF($K4043="Diferenciado",BDI!$E$17,0))</f>
        <v>0.2039</v>
      </c>
      <c r="H4043" s="151">
        <f t="shared" ca="1" si="189"/>
        <v>2.4700000000000002</v>
      </c>
      <c r="I4043" s="152">
        <f t="shared" ca="1" si="190"/>
        <v>0</v>
      </c>
      <c r="J4043" s="154"/>
      <c r="K4043" s="155" t="s">
        <v>2966</v>
      </c>
    </row>
    <row r="4044" spans="1:11" hidden="1" x14ac:dyDescent="0.25">
      <c r="A4044" s="148" t="s">
        <v>2247</v>
      </c>
      <c r="B4044" s="149" t="s">
        <v>9448</v>
      </c>
      <c r="C4044" s="150" t="s">
        <v>87</v>
      </c>
      <c r="D4044" s="150">
        <v>0</v>
      </c>
      <c r="E4044" s="151">
        <f ca="1">OFFSET(INDEX(Composições!A:H,MATCH(Orçamentária!A4044,Composições!A:A,0),8),2,0)</f>
        <v>12.292999999999999</v>
      </c>
      <c r="F4044" s="152">
        <f t="shared" ca="1" si="191"/>
        <v>0</v>
      </c>
      <c r="G4044" s="153">
        <f>IF($K4044="Padrão",BDI!$B$17,IF($K4044="Diferenciado",BDI!$E$17,0))</f>
        <v>0.2039</v>
      </c>
      <c r="H4044" s="151">
        <f t="shared" ca="1" si="189"/>
        <v>14.8</v>
      </c>
      <c r="I4044" s="152">
        <f t="shared" ca="1" si="190"/>
        <v>0</v>
      </c>
      <c r="J4044" s="154"/>
      <c r="K4044" s="155" t="s">
        <v>2966</v>
      </c>
    </row>
    <row r="4045" spans="1:11" hidden="1" x14ac:dyDescent="0.25">
      <c r="A4045" s="148" t="s">
        <v>2248</v>
      </c>
      <c r="B4045" s="149" t="s">
        <v>9449</v>
      </c>
      <c r="C4045" s="150" t="s">
        <v>106</v>
      </c>
      <c r="D4045" s="150">
        <v>0</v>
      </c>
      <c r="E4045" s="151">
        <f ca="1">OFFSET(INDEX(Composições!A:H,MATCH(Orçamentária!A4045,Composições!A:A,0),8),2,0)</f>
        <v>10.003499999999999</v>
      </c>
      <c r="F4045" s="152">
        <f t="shared" ca="1" si="191"/>
        <v>0</v>
      </c>
      <c r="G4045" s="153">
        <f>IF($K4045="Padrão",BDI!$B$17,IF($K4045="Diferenciado",BDI!$E$17,0))</f>
        <v>0.2039</v>
      </c>
      <c r="H4045" s="151">
        <f t="shared" ca="1" si="189"/>
        <v>12.04</v>
      </c>
      <c r="I4045" s="152">
        <f t="shared" ca="1" si="190"/>
        <v>0</v>
      </c>
      <c r="J4045" s="154"/>
      <c r="K4045" s="155" t="s">
        <v>2966</v>
      </c>
    </row>
    <row r="4046" spans="1:11" hidden="1" x14ac:dyDescent="0.25">
      <c r="A4046" s="148" t="s">
        <v>2249</v>
      </c>
      <c r="B4046" s="149" t="s">
        <v>9450</v>
      </c>
      <c r="C4046" s="150" t="s">
        <v>87</v>
      </c>
      <c r="D4046" s="150">
        <v>0</v>
      </c>
      <c r="E4046" s="151">
        <f ca="1">OFFSET(INDEX(Composições!A:H,MATCH(Orçamentária!A4046,Composições!A:A,0),8),2,0)</f>
        <v>14.259499999999999</v>
      </c>
      <c r="F4046" s="152">
        <f t="shared" ca="1" si="191"/>
        <v>0</v>
      </c>
      <c r="G4046" s="153">
        <f>IF($K4046="Padrão",BDI!$B$17,IF($K4046="Diferenciado",BDI!$E$17,0))</f>
        <v>0.2039</v>
      </c>
      <c r="H4046" s="151">
        <f t="shared" ca="1" si="189"/>
        <v>17.170000000000002</v>
      </c>
      <c r="I4046" s="152">
        <f t="shared" ca="1" si="190"/>
        <v>0</v>
      </c>
      <c r="J4046" s="154"/>
      <c r="K4046" s="155" t="s">
        <v>2966</v>
      </c>
    </row>
    <row r="4047" spans="1:11" hidden="1" x14ac:dyDescent="0.25">
      <c r="A4047" s="148" t="s">
        <v>2250</v>
      </c>
      <c r="B4047" s="149" t="s">
        <v>9451</v>
      </c>
      <c r="C4047" s="150" t="s">
        <v>87</v>
      </c>
      <c r="D4047" s="150">
        <v>0</v>
      </c>
      <c r="E4047" s="151">
        <f ca="1">OFFSET(INDEX(Composições!A:H,MATCH(Orçamentária!A4047,Composições!A:A,0),8),2,0)</f>
        <v>5.0255000000000001</v>
      </c>
      <c r="F4047" s="152">
        <f t="shared" ca="1" si="191"/>
        <v>0</v>
      </c>
      <c r="G4047" s="153">
        <f>IF($K4047="Padrão",BDI!$B$17,IF($K4047="Diferenciado",BDI!$E$17,0))</f>
        <v>0.2039</v>
      </c>
      <c r="H4047" s="151">
        <f t="shared" ca="1" si="189"/>
        <v>6.05</v>
      </c>
      <c r="I4047" s="152">
        <f t="shared" ca="1" si="190"/>
        <v>0</v>
      </c>
      <c r="J4047" s="154"/>
      <c r="K4047" s="155" t="s">
        <v>2966</v>
      </c>
    </row>
    <row r="4048" spans="1:11" hidden="1" x14ac:dyDescent="0.25">
      <c r="A4048" s="148" t="s">
        <v>2251</v>
      </c>
      <c r="B4048" s="149" t="s">
        <v>9452</v>
      </c>
      <c r="C4048" s="150" t="s">
        <v>87</v>
      </c>
      <c r="D4048" s="150">
        <v>0</v>
      </c>
      <c r="E4048" s="151">
        <f ca="1">OFFSET(INDEX(Composições!A:H,MATCH(Orçamentária!A4048,Composições!A:A,0),8),2,0)</f>
        <v>14.297499999999999</v>
      </c>
      <c r="F4048" s="152">
        <f t="shared" ca="1" si="191"/>
        <v>0</v>
      </c>
      <c r="G4048" s="153">
        <f>IF($K4048="Padrão",BDI!$B$17,IF($K4048="Diferenciado",BDI!$E$17,0))</f>
        <v>0.2039</v>
      </c>
      <c r="H4048" s="151">
        <f t="shared" ca="1" si="189"/>
        <v>17.21</v>
      </c>
      <c r="I4048" s="152">
        <f t="shared" ca="1" si="190"/>
        <v>0</v>
      </c>
      <c r="J4048" s="154"/>
      <c r="K4048" s="155" t="s">
        <v>2966</v>
      </c>
    </row>
    <row r="4049" spans="1:11" hidden="1" x14ac:dyDescent="0.25">
      <c r="A4049" s="148" t="s">
        <v>2252</v>
      </c>
      <c r="B4049" s="149" t="s">
        <v>9453</v>
      </c>
      <c r="C4049" s="150" t="s">
        <v>87</v>
      </c>
      <c r="D4049" s="150">
        <v>0</v>
      </c>
      <c r="E4049" s="151">
        <f ca="1">OFFSET(INDEX(Composições!A:H,MATCH(Orçamentária!A4049,Composições!A:A,0),8),2,0)</f>
        <v>1.0640000000000001</v>
      </c>
      <c r="F4049" s="152">
        <f t="shared" ca="1" si="191"/>
        <v>0</v>
      </c>
      <c r="G4049" s="153">
        <f>IF($K4049="Padrão",BDI!$B$17,IF($K4049="Diferenciado",BDI!$E$17,0))</f>
        <v>0.2039</v>
      </c>
      <c r="H4049" s="151">
        <f t="shared" ca="1" si="189"/>
        <v>1.28</v>
      </c>
      <c r="I4049" s="152">
        <f t="shared" ca="1" si="190"/>
        <v>0</v>
      </c>
      <c r="J4049" s="154"/>
      <c r="K4049" s="155" t="s">
        <v>2966</v>
      </c>
    </row>
    <row r="4050" spans="1:11" hidden="1" x14ac:dyDescent="0.25">
      <c r="A4050" s="148" t="s">
        <v>2253</v>
      </c>
      <c r="B4050" s="149" t="s">
        <v>9454</v>
      </c>
      <c r="C4050" s="150" t="s">
        <v>106</v>
      </c>
      <c r="D4050" s="150">
        <v>0</v>
      </c>
      <c r="E4050" s="151">
        <f ca="1">OFFSET(INDEX(Composições!A:H,MATCH(Orçamentária!A4050,Composições!A:A,0),8),2,0)</f>
        <v>31.264499999999995</v>
      </c>
      <c r="F4050" s="152">
        <f t="shared" ca="1" si="191"/>
        <v>0</v>
      </c>
      <c r="G4050" s="153">
        <f>IF($K4050="Padrão",BDI!$B$17,IF($K4050="Diferenciado",BDI!$E$17,0))</f>
        <v>0.2039</v>
      </c>
      <c r="H4050" s="151">
        <f t="shared" ca="1" si="189"/>
        <v>37.64</v>
      </c>
      <c r="I4050" s="152">
        <f t="shared" ca="1" si="190"/>
        <v>0</v>
      </c>
      <c r="J4050" s="154"/>
      <c r="K4050" s="155" t="s">
        <v>2966</v>
      </c>
    </row>
    <row r="4051" spans="1:11" hidden="1" x14ac:dyDescent="0.25">
      <c r="A4051" s="148" t="s">
        <v>9455</v>
      </c>
      <c r="B4051" s="149" t="s">
        <v>9456</v>
      </c>
      <c r="C4051" s="150" t="s">
        <v>87</v>
      </c>
      <c r="D4051" s="150">
        <v>0</v>
      </c>
      <c r="E4051" s="151" t="s">
        <v>13</v>
      </c>
      <c r="F4051" s="152" t="str">
        <f t="shared" si="191"/>
        <v/>
      </c>
      <c r="G4051" s="153">
        <f>IF($K4051="Padrão",BDI!$B$17,IF($K4051="Diferenciado",BDI!$E$17,0))</f>
        <v>0.2039</v>
      </c>
      <c r="H4051" s="151" t="str">
        <f t="shared" si="189"/>
        <v/>
      </c>
      <c r="I4051" s="152" t="str">
        <f t="shared" si="190"/>
        <v/>
      </c>
      <c r="J4051" s="154"/>
      <c r="K4051" s="155" t="s">
        <v>2966</v>
      </c>
    </row>
    <row r="4052" spans="1:11" hidden="1" x14ac:dyDescent="0.25">
      <c r="A4052" s="148" t="s">
        <v>9457</v>
      </c>
      <c r="B4052" s="149" t="s">
        <v>9458</v>
      </c>
      <c r="C4052" s="150" t="s">
        <v>87</v>
      </c>
      <c r="D4052" s="150">
        <v>0</v>
      </c>
      <c r="E4052" s="151" t="s">
        <v>13</v>
      </c>
      <c r="F4052" s="152" t="str">
        <f t="shared" si="191"/>
        <v/>
      </c>
      <c r="G4052" s="153">
        <f>IF($K4052="Padrão",BDI!$B$17,IF($K4052="Diferenciado",BDI!$E$17,0))</f>
        <v>0.2039</v>
      </c>
      <c r="H4052" s="151" t="str">
        <f t="shared" si="189"/>
        <v/>
      </c>
      <c r="I4052" s="152" t="str">
        <f t="shared" si="190"/>
        <v/>
      </c>
      <c r="J4052" s="154"/>
      <c r="K4052" s="155" t="s">
        <v>2966</v>
      </c>
    </row>
    <row r="4053" spans="1:11" hidden="1" x14ac:dyDescent="0.25">
      <c r="A4053" s="148" t="s">
        <v>2254</v>
      </c>
      <c r="B4053" s="149" t="s">
        <v>9459</v>
      </c>
      <c r="C4053" s="150" t="s">
        <v>106</v>
      </c>
      <c r="D4053" s="150">
        <v>0</v>
      </c>
      <c r="E4053" s="151">
        <f ca="1">OFFSET(INDEX(Composições!A:H,MATCH(Orçamentária!A4053,Composições!A:A,0),8),2,0)</f>
        <v>48.098500000000001</v>
      </c>
      <c r="F4053" s="152">
        <f t="shared" ca="1" si="191"/>
        <v>0</v>
      </c>
      <c r="G4053" s="153">
        <f>IF($K4053="Padrão",BDI!$B$17,IF($K4053="Diferenciado",BDI!$E$17,0))</f>
        <v>0.2039</v>
      </c>
      <c r="H4053" s="151">
        <f t="shared" ca="1" si="189"/>
        <v>57.91</v>
      </c>
      <c r="I4053" s="152">
        <f t="shared" ca="1" si="190"/>
        <v>0</v>
      </c>
      <c r="J4053" s="154"/>
      <c r="K4053" s="155" t="s">
        <v>2966</v>
      </c>
    </row>
    <row r="4054" spans="1:11" hidden="1" x14ac:dyDescent="0.25">
      <c r="A4054" s="148" t="s">
        <v>9460</v>
      </c>
      <c r="B4054" s="149" t="s">
        <v>9461</v>
      </c>
      <c r="C4054" s="150" t="s">
        <v>87</v>
      </c>
      <c r="D4054" s="150">
        <v>0</v>
      </c>
      <c r="E4054" s="151" t="s">
        <v>13</v>
      </c>
      <c r="F4054" s="152" t="str">
        <f t="shared" si="191"/>
        <v/>
      </c>
      <c r="G4054" s="153">
        <f>IF($K4054="Padrão",BDI!$B$17,IF($K4054="Diferenciado",BDI!$E$17,0))</f>
        <v>0.2039</v>
      </c>
      <c r="H4054" s="151" t="str">
        <f t="shared" si="189"/>
        <v/>
      </c>
      <c r="I4054" s="152" t="str">
        <f t="shared" si="190"/>
        <v/>
      </c>
      <c r="J4054" s="154"/>
      <c r="K4054" s="155" t="s">
        <v>2966</v>
      </c>
    </row>
    <row r="4055" spans="1:11" hidden="1" x14ac:dyDescent="0.25">
      <c r="A4055" s="148" t="s">
        <v>9462</v>
      </c>
      <c r="B4055" s="149" t="s">
        <v>9463</v>
      </c>
      <c r="C4055" s="150" t="s">
        <v>87</v>
      </c>
      <c r="D4055" s="150">
        <v>0</v>
      </c>
      <c r="E4055" s="151" t="s">
        <v>13</v>
      </c>
      <c r="F4055" s="152" t="str">
        <f t="shared" si="191"/>
        <v/>
      </c>
      <c r="G4055" s="153">
        <f>IF($K4055="Padrão",BDI!$B$17,IF($K4055="Diferenciado",BDI!$E$17,0))</f>
        <v>0.2039</v>
      </c>
      <c r="H4055" s="151" t="str">
        <f t="shared" si="189"/>
        <v/>
      </c>
      <c r="I4055" s="152" t="str">
        <f t="shared" si="190"/>
        <v/>
      </c>
      <c r="J4055" s="154"/>
      <c r="K4055" s="155" t="s">
        <v>2966</v>
      </c>
    </row>
    <row r="4056" spans="1:11" hidden="1" x14ac:dyDescent="0.25">
      <c r="A4056" s="148" t="s">
        <v>2255</v>
      </c>
      <c r="B4056" s="149" t="s">
        <v>9464</v>
      </c>
      <c r="C4056" s="150" t="s">
        <v>106</v>
      </c>
      <c r="D4056" s="150">
        <v>0</v>
      </c>
      <c r="E4056" s="151">
        <f ca="1">OFFSET(INDEX(Composições!A:H,MATCH(Orçamentária!A4056,Composições!A:A,0),8),2,0)</f>
        <v>65.236499999999992</v>
      </c>
      <c r="F4056" s="152">
        <f t="shared" ca="1" si="191"/>
        <v>0</v>
      </c>
      <c r="G4056" s="153">
        <f>IF($K4056="Padrão",BDI!$B$17,IF($K4056="Diferenciado",BDI!$E$17,0))</f>
        <v>0.2039</v>
      </c>
      <c r="H4056" s="151">
        <f t="shared" ca="1" si="189"/>
        <v>78.540000000000006</v>
      </c>
      <c r="I4056" s="152">
        <f t="shared" ca="1" si="190"/>
        <v>0</v>
      </c>
      <c r="J4056" s="154"/>
      <c r="K4056" s="155" t="s">
        <v>2966</v>
      </c>
    </row>
    <row r="4057" spans="1:11" hidden="1" x14ac:dyDescent="0.25">
      <c r="A4057" s="148" t="s">
        <v>2256</v>
      </c>
      <c r="B4057" s="149" t="s">
        <v>9465</v>
      </c>
      <c r="C4057" s="150" t="s">
        <v>87</v>
      </c>
      <c r="D4057" s="150">
        <v>0</v>
      </c>
      <c r="E4057" s="151">
        <f ca="1">OFFSET(INDEX(Composições!A:H,MATCH(Orçamentária!A4057,Composições!A:A,0),8),2,0)</f>
        <v>8.3219999999999992</v>
      </c>
      <c r="F4057" s="152">
        <f t="shared" ca="1" si="191"/>
        <v>0</v>
      </c>
      <c r="G4057" s="153">
        <f>IF($K4057="Padrão",BDI!$B$17,IF($K4057="Diferenciado",BDI!$E$17,0))</f>
        <v>0.2039</v>
      </c>
      <c r="H4057" s="151">
        <f t="shared" ca="1" si="189"/>
        <v>10.02</v>
      </c>
      <c r="I4057" s="152">
        <f t="shared" ca="1" si="190"/>
        <v>0</v>
      </c>
      <c r="J4057" s="154"/>
      <c r="K4057" s="155" t="s">
        <v>2966</v>
      </c>
    </row>
    <row r="4058" spans="1:11" hidden="1" x14ac:dyDescent="0.25">
      <c r="A4058" s="148" t="s">
        <v>2257</v>
      </c>
      <c r="B4058" s="149" t="s">
        <v>9466</v>
      </c>
      <c r="C4058" s="150" t="s">
        <v>87</v>
      </c>
      <c r="D4058" s="150">
        <v>0</v>
      </c>
      <c r="E4058" s="151">
        <f ca="1">OFFSET(INDEX(Composições!A:H,MATCH(Orçamentária!A4058,Composições!A:A,0),8),2,0)</f>
        <v>4.6265000000000001</v>
      </c>
      <c r="F4058" s="152">
        <f t="shared" ca="1" si="191"/>
        <v>0</v>
      </c>
      <c r="G4058" s="153">
        <f>IF($K4058="Padrão",BDI!$B$17,IF($K4058="Diferenciado",BDI!$E$17,0))</f>
        <v>0.2039</v>
      </c>
      <c r="H4058" s="151">
        <f t="shared" ca="1" si="189"/>
        <v>5.57</v>
      </c>
      <c r="I4058" s="152">
        <f t="shared" ca="1" si="190"/>
        <v>0</v>
      </c>
      <c r="J4058" s="154"/>
      <c r="K4058" s="155" t="s">
        <v>2966</v>
      </c>
    </row>
    <row r="4059" spans="1:11" hidden="1" x14ac:dyDescent="0.25">
      <c r="A4059" s="148" t="s">
        <v>2258</v>
      </c>
      <c r="B4059" s="149" t="s">
        <v>9467</v>
      </c>
      <c r="C4059" s="150" t="s">
        <v>106</v>
      </c>
      <c r="D4059" s="150">
        <v>0</v>
      </c>
      <c r="E4059" s="151">
        <f ca="1">OFFSET(INDEX(Composições!A:H,MATCH(Orçamentária!A4059,Composições!A:A,0),8),2,0)</f>
        <v>81.139499999999998</v>
      </c>
      <c r="F4059" s="152">
        <f t="shared" ca="1" si="191"/>
        <v>0</v>
      </c>
      <c r="G4059" s="153">
        <f>IF($K4059="Padrão",BDI!$B$17,IF($K4059="Diferenciado",BDI!$E$17,0))</f>
        <v>0.2039</v>
      </c>
      <c r="H4059" s="151">
        <f t="shared" ca="1" si="189"/>
        <v>97.68</v>
      </c>
      <c r="I4059" s="152">
        <f t="shared" ca="1" si="190"/>
        <v>0</v>
      </c>
      <c r="J4059" s="154"/>
      <c r="K4059" s="155" t="s">
        <v>2966</v>
      </c>
    </row>
    <row r="4060" spans="1:11" hidden="1" x14ac:dyDescent="0.25">
      <c r="A4060" s="148" t="s">
        <v>9468</v>
      </c>
      <c r="B4060" s="149" t="s">
        <v>9469</v>
      </c>
      <c r="C4060" s="150" t="s">
        <v>87</v>
      </c>
      <c r="D4060" s="150">
        <v>0</v>
      </c>
      <c r="E4060" s="151" t="s">
        <v>13</v>
      </c>
      <c r="F4060" s="152" t="str">
        <f t="shared" si="191"/>
        <v/>
      </c>
      <c r="G4060" s="153">
        <f>IF($K4060="Padrão",BDI!$B$17,IF($K4060="Diferenciado",BDI!$E$17,0))</f>
        <v>0.2039</v>
      </c>
      <c r="H4060" s="151" t="str">
        <f t="shared" si="189"/>
        <v/>
      </c>
      <c r="I4060" s="152" t="str">
        <f t="shared" si="190"/>
        <v/>
      </c>
      <c r="J4060" s="154"/>
      <c r="K4060" s="155" t="s">
        <v>2966</v>
      </c>
    </row>
    <row r="4061" spans="1:11" hidden="1" x14ac:dyDescent="0.25">
      <c r="A4061" s="148" t="s">
        <v>9470</v>
      </c>
      <c r="B4061" s="149" t="s">
        <v>9471</v>
      </c>
      <c r="C4061" s="150" t="s">
        <v>87</v>
      </c>
      <c r="D4061" s="150">
        <v>0</v>
      </c>
      <c r="E4061" s="151" t="s">
        <v>13</v>
      </c>
      <c r="F4061" s="152" t="str">
        <f t="shared" si="191"/>
        <v/>
      </c>
      <c r="G4061" s="153">
        <f>IF($K4061="Padrão",BDI!$B$17,IF($K4061="Diferenciado",BDI!$E$17,0))</f>
        <v>0.2039</v>
      </c>
      <c r="H4061" s="151" t="str">
        <f t="shared" si="189"/>
        <v/>
      </c>
      <c r="I4061" s="152" t="str">
        <f t="shared" si="190"/>
        <v/>
      </c>
      <c r="J4061" s="154"/>
      <c r="K4061" s="155" t="s">
        <v>2966</v>
      </c>
    </row>
    <row r="4062" spans="1:11" hidden="1" x14ac:dyDescent="0.25">
      <c r="A4062" s="148" t="s">
        <v>2259</v>
      </c>
      <c r="B4062" s="149" t="s">
        <v>9472</v>
      </c>
      <c r="C4062" s="150" t="s">
        <v>106</v>
      </c>
      <c r="D4062" s="150">
        <v>0</v>
      </c>
      <c r="E4062" s="151">
        <f ca="1">OFFSET(INDEX(Composições!A:H,MATCH(Orçamentária!A4062,Composições!A:A,0),8),2,0)</f>
        <v>98.134999999999991</v>
      </c>
      <c r="F4062" s="152">
        <f t="shared" ca="1" si="191"/>
        <v>0</v>
      </c>
      <c r="G4062" s="153">
        <f>IF($K4062="Padrão",BDI!$B$17,IF($K4062="Diferenciado",BDI!$E$17,0))</f>
        <v>0.2039</v>
      </c>
      <c r="H4062" s="151">
        <f t="shared" ca="1" si="189"/>
        <v>118.14</v>
      </c>
      <c r="I4062" s="152">
        <f t="shared" ca="1" si="190"/>
        <v>0</v>
      </c>
      <c r="J4062" s="154"/>
      <c r="K4062" s="155" t="s">
        <v>2966</v>
      </c>
    </row>
    <row r="4063" spans="1:11" hidden="1" x14ac:dyDescent="0.25">
      <c r="A4063" s="148" t="s">
        <v>2260</v>
      </c>
      <c r="B4063" s="149" t="s">
        <v>9473</v>
      </c>
      <c r="C4063" s="150" t="s">
        <v>87</v>
      </c>
      <c r="D4063" s="150">
        <v>0</v>
      </c>
      <c r="E4063" s="151">
        <f ca="1">OFFSET(INDEX(Composições!A:H,MATCH(Orçamentária!A4063,Composições!A:A,0),8),2,0)</f>
        <v>18.772000000000002</v>
      </c>
      <c r="F4063" s="152">
        <f t="shared" ca="1" si="191"/>
        <v>0</v>
      </c>
      <c r="G4063" s="153">
        <f>IF($K4063="Padrão",BDI!$B$17,IF($K4063="Diferenciado",BDI!$E$17,0))</f>
        <v>0.2039</v>
      </c>
      <c r="H4063" s="151">
        <f t="shared" ca="1" si="189"/>
        <v>22.6</v>
      </c>
      <c r="I4063" s="152">
        <f t="shared" ca="1" si="190"/>
        <v>0</v>
      </c>
      <c r="J4063" s="154"/>
      <c r="K4063" s="155" t="s">
        <v>2966</v>
      </c>
    </row>
    <row r="4064" spans="1:11" hidden="1" x14ac:dyDescent="0.25">
      <c r="A4064" s="148" t="s">
        <v>2261</v>
      </c>
      <c r="B4064" s="149" t="s">
        <v>9474</v>
      </c>
      <c r="C4064" s="150" t="s">
        <v>87</v>
      </c>
      <c r="D4064" s="150">
        <v>0</v>
      </c>
      <c r="E4064" s="151">
        <f ca="1">OFFSET(INDEX(Composições!A:H,MATCH(Orçamentária!A4064,Composições!A:A,0),8),2,0)</f>
        <v>8.8919999999999995</v>
      </c>
      <c r="F4064" s="152">
        <f t="shared" ca="1" si="191"/>
        <v>0</v>
      </c>
      <c r="G4064" s="153">
        <f>IF($K4064="Padrão",BDI!$B$17,IF($K4064="Diferenciado",BDI!$E$17,0))</f>
        <v>0.2039</v>
      </c>
      <c r="H4064" s="151">
        <f t="shared" ca="1" si="189"/>
        <v>10.71</v>
      </c>
      <c r="I4064" s="152">
        <f t="shared" ca="1" si="190"/>
        <v>0</v>
      </c>
      <c r="J4064" s="154"/>
      <c r="K4064" s="155" t="s">
        <v>2966</v>
      </c>
    </row>
    <row r="4065" spans="1:11" hidden="1" x14ac:dyDescent="0.25">
      <c r="A4065" s="148" t="s">
        <v>9475</v>
      </c>
      <c r="B4065" s="149" t="s">
        <v>9476</v>
      </c>
      <c r="C4065" s="150" t="s">
        <v>106</v>
      </c>
      <c r="D4065" s="150">
        <v>0</v>
      </c>
      <c r="E4065" s="151" t="s">
        <v>13</v>
      </c>
      <c r="F4065" s="152" t="str">
        <f t="shared" si="191"/>
        <v/>
      </c>
      <c r="G4065" s="153">
        <f>IF($K4065="Padrão",BDI!$B$17,IF($K4065="Diferenciado",BDI!$E$17,0))</f>
        <v>0.2039</v>
      </c>
      <c r="H4065" s="151" t="str">
        <f t="shared" si="189"/>
        <v/>
      </c>
      <c r="I4065" s="152" t="str">
        <f t="shared" si="190"/>
        <v/>
      </c>
      <c r="J4065" s="154"/>
      <c r="K4065" s="155" t="s">
        <v>2966</v>
      </c>
    </row>
    <row r="4066" spans="1:11" hidden="1" x14ac:dyDescent="0.25">
      <c r="A4066" s="148" t="s">
        <v>9477</v>
      </c>
      <c r="B4066" s="149" t="s">
        <v>9478</v>
      </c>
      <c r="C4066" s="150" t="s">
        <v>87</v>
      </c>
      <c r="D4066" s="150">
        <v>0</v>
      </c>
      <c r="E4066" s="151" t="s">
        <v>13</v>
      </c>
      <c r="F4066" s="152" t="str">
        <f t="shared" si="191"/>
        <v/>
      </c>
      <c r="G4066" s="153">
        <f>IF($K4066="Padrão",BDI!$B$17,IF($K4066="Diferenciado",BDI!$E$17,0))</f>
        <v>0.2039</v>
      </c>
      <c r="H4066" s="151" t="str">
        <f t="shared" si="189"/>
        <v/>
      </c>
      <c r="I4066" s="152" t="str">
        <f t="shared" si="190"/>
        <v/>
      </c>
      <c r="J4066" s="154"/>
      <c r="K4066" s="155" t="s">
        <v>2966</v>
      </c>
    </row>
    <row r="4067" spans="1:11" hidden="1" x14ac:dyDescent="0.25">
      <c r="A4067" s="148" t="s">
        <v>9479</v>
      </c>
      <c r="B4067" s="149" t="s">
        <v>9480</v>
      </c>
      <c r="C4067" s="150" t="s">
        <v>87</v>
      </c>
      <c r="D4067" s="150">
        <v>0</v>
      </c>
      <c r="E4067" s="151" t="s">
        <v>13</v>
      </c>
      <c r="F4067" s="152" t="str">
        <f t="shared" si="191"/>
        <v/>
      </c>
      <c r="G4067" s="153">
        <f>IF($K4067="Padrão",BDI!$B$17,IF($K4067="Diferenciado",BDI!$E$17,0))</f>
        <v>0.2039</v>
      </c>
      <c r="H4067" s="151" t="str">
        <f t="shared" si="189"/>
        <v/>
      </c>
      <c r="I4067" s="152" t="str">
        <f t="shared" si="190"/>
        <v/>
      </c>
      <c r="J4067" s="154"/>
      <c r="K4067" s="155" t="s">
        <v>2966</v>
      </c>
    </row>
    <row r="4068" spans="1:11" hidden="1" x14ac:dyDescent="0.25">
      <c r="A4068" s="148" t="s">
        <v>9481</v>
      </c>
      <c r="B4068" s="149" t="s">
        <v>9482</v>
      </c>
      <c r="C4068" s="150" t="s">
        <v>87</v>
      </c>
      <c r="D4068" s="150">
        <v>0</v>
      </c>
      <c r="E4068" s="151" t="s">
        <v>13</v>
      </c>
      <c r="F4068" s="152" t="str">
        <f t="shared" si="191"/>
        <v/>
      </c>
      <c r="G4068" s="153">
        <f>IF($K4068="Padrão",BDI!$B$17,IF($K4068="Diferenciado",BDI!$E$17,0))</f>
        <v>0.2039</v>
      </c>
      <c r="H4068" s="151" t="str">
        <f t="shared" si="189"/>
        <v/>
      </c>
      <c r="I4068" s="152" t="str">
        <f t="shared" si="190"/>
        <v/>
      </c>
      <c r="J4068" s="154"/>
      <c r="K4068" s="155" t="s">
        <v>2966</v>
      </c>
    </row>
    <row r="4069" spans="1:11" hidden="1" x14ac:dyDescent="0.25">
      <c r="A4069" s="148" t="s">
        <v>2262</v>
      </c>
      <c r="B4069" s="149" t="s">
        <v>9483</v>
      </c>
      <c r="C4069" s="150" t="s">
        <v>106</v>
      </c>
      <c r="D4069" s="150">
        <v>0</v>
      </c>
      <c r="E4069" s="151">
        <f ca="1">OFFSET(INDEX(Composições!A:H,MATCH(Orçamentária!A4069,Composições!A:A,0),8),2,0)</f>
        <v>157.79499999999999</v>
      </c>
      <c r="F4069" s="152">
        <f t="shared" ca="1" si="191"/>
        <v>0</v>
      </c>
      <c r="G4069" s="153">
        <f>IF($K4069="Padrão",BDI!$B$17,IF($K4069="Diferenciado",BDI!$E$17,0))</f>
        <v>0.2039</v>
      </c>
      <c r="H4069" s="151">
        <f t="shared" ca="1" si="189"/>
        <v>189.97</v>
      </c>
      <c r="I4069" s="152">
        <f t="shared" ca="1" si="190"/>
        <v>0</v>
      </c>
      <c r="J4069" s="154"/>
      <c r="K4069" s="155" t="s">
        <v>2966</v>
      </c>
    </row>
    <row r="4070" spans="1:11" hidden="1" x14ac:dyDescent="0.25">
      <c r="A4070" s="148" t="s">
        <v>2263</v>
      </c>
      <c r="B4070" s="149" t="s">
        <v>9484</v>
      </c>
      <c r="C4070" s="150" t="s">
        <v>87</v>
      </c>
      <c r="D4070" s="150">
        <v>0</v>
      </c>
      <c r="E4070" s="151">
        <f ca="1">OFFSET(INDEX(Composições!A:H,MATCH(Orçamentária!A4070,Composições!A:A,0),8),2,0)</f>
        <v>32.242999999999995</v>
      </c>
      <c r="F4070" s="152">
        <f t="shared" ca="1" si="191"/>
        <v>0</v>
      </c>
      <c r="G4070" s="153">
        <f>IF($K4070="Padrão",BDI!$B$17,IF($K4070="Diferenciado",BDI!$E$17,0))</f>
        <v>0.2039</v>
      </c>
      <c r="H4070" s="151">
        <f t="shared" ca="1" si="189"/>
        <v>38.82</v>
      </c>
      <c r="I4070" s="152">
        <f t="shared" ca="1" si="190"/>
        <v>0</v>
      </c>
      <c r="J4070" s="154"/>
      <c r="K4070" s="155" t="s">
        <v>2966</v>
      </c>
    </row>
    <row r="4071" spans="1:11" hidden="1" x14ac:dyDescent="0.25">
      <c r="A4071" s="148" t="s">
        <v>2264</v>
      </c>
      <c r="B4071" s="149" t="s">
        <v>9485</v>
      </c>
      <c r="C4071" s="150" t="s">
        <v>87</v>
      </c>
      <c r="D4071" s="150">
        <v>0</v>
      </c>
      <c r="E4071" s="151">
        <f ca="1">OFFSET(INDEX(Composições!A:H,MATCH(Orçamentária!A4071,Composições!A:A,0),8),2,0)</f>
        <v>17.841000000000001</v>
      </c>
      <c r="F4071" s="152">
        <f t="shared" ca="1" si="191"/>
        <v>0</v>
      </c>
      <c r="G4071" s="153">
        <f>IF($K4071="Padrão",BDI!$B$17,IF($K4071="Diferenciado",BDI!$E$17,0))</f>
        <v>0.2039</v>
      </c>
      <c r="H4071" s="151">
        <f t="shared" ca="1" si="189"/>
        <v>21.48</v>
      </c>
      <c r="I4071" s="152">
        <f t="shared" ca="1" si="190"/>
        <v>0</v>
      </c>
      <c r="J4071" s="154"/>
      <c r="K4071" s="155" t="s">
        <v>2966</v>
      </c>
    </row>
    <row r="4072" spans="1:11" hidden="1" x14ac:dyDescent="0.25">
      <c r="A4072" s="148" t="s">
        <v>9486</v>
      </c>
      <c r="B4072" s="149" t="s">
        <v>9487</v>
      </c>
      <c r="C4072" s="150" t="s">
        <v>106</v>
      </c>
      <c r="D4072" s="150">
        <v>0</v>
      </c>
      <c r="E4072" s="151" t="s">
        <v>13</v>
      </c>
      <c r="F4072" s="152" t="str">
        <f t="shared" si="191"/>
        <v/>
      </c>
      <c r="G4072" s="153">
        <f>IF($K4072="Padrão",BDI!$B$17,IF($K4072="Diferenciado",BDI!$E$17,0))</f>
        <v>0.2039</v>
      </c>
      <c r="H4072" s="151" t="str">
        <f t="shared" si="189"/>
        <v/>
      </c>
      <c r="I4072" s="152" t="str">
        <f t="shared" si="190"/>
        <v/>
      </c>
      <c r="J4072" s="154"/>
      <c r="K4072" s="155" t="s">
        <v>2966</v>
      </c>
    </row>
    <row r="4073" spans="1:11" hidden="1" x14ac:dyDescent="0.25">
      <c r="A4073" s="148" t="s">
        <v>9488</v>
      </c>
      <c r="B4073" s="149" t="s">
        <v>9489</v>
      </c>
      <c r="C4073" s="150" t="s">
        <v>87</v>
      </c>
      <c r="D4073" s="150">
        <v>0</v>
      </c>
      <c r="E4073" s="151" t="s">
        <v>13</v>
      </c>
      <c r="F4073" s="152" t="str">
        <f t="shared" si="191"/>
        <v/>
      </c>
      <c r="G4073" s="153">
        <f>IF($K4073="Padrão",BDI!$B$17,IF($K4073="Diferenciado",BDI!$E$17,0))</f>
        <v>0.2039</v>
      </c>
      <c r="H4073" s="151" t="str">
        <f t="shared" si="189"/>
        <v/>
      </c>
      <c r="I4073" s="152" t="str">
        <f t="shared" si="190"/>
        <v/>
      </c>
      <c r="J4073" s="154"/>
      <c r="K4073" s="155" t="s">
        <v>2966</v>
      </c>
    </row>
    <row r="4074" spans="1:11" hidden="1" x14ac:dyDescent="0.25">
      <c r="A4074" s="148" t="s">
        <v>9490</v>
      </c>
      <c r="B4074" s="149" t="s">
        <v>9491</v>
      </c>
      <c r="C4074" s="150" t="s">
        <v>87</v>
      </c>
      <c r="D4074" s="150">
        <v>0</v>
      </c>
      <c r="E4074" s="151" t="s">
        <v>13</v>
      </c>
      <c r="F4074" s="152" t="str">
        <f t="shared" si="191"/>
        <v/>
      </c>
      <c r="G4074" s="153">
        <f>IF($K4074="Padrão",BDI!$B$17,IF($K4074="Diferenciado",BDI!$E$17,0))</f>
        <v>0.2039</v>
      </c>
      <c r="H4074" s="151" t="str">
        <f t="shared" si="189"/>
        <v/>
      </c>
      <c r="I4074" s="152" t="str">
        <f t="shared" si="190"/>
        <v/>
      </c>
      <c r="J4074" s="154"/>
      <c r="K4074" s="155" t="s">
        <v>2966</v>
      </c>
    </row>
    <row r="4075" spans="1:11" hidden="1" x14ac:dyDescent="0.25">
      <c r="A4075" s="148" t="s">
        <v>9492</v>
      </c>
      <c r="B4075" s="149" t="s">
        <v>9493</v>
      </c>
      <c r="C4075" s="150" t="s">
        <v>106</v>
      </c>
      <c r="D4075" s="150">
        <v>0</v>
      </c>
      <c r="E4075" s="151" t="s">
        <v>13</v>
      </c>
      <c r="F4075" s="152" t="str">
        <f t="shared" si="191"/>
        <v/>
      </c>
      <c r="G4075" s="153">
        <f>IF($K4075="Padrão",BDI!$B$17,IF($K4075="Diferenciado",BDI!$E$17,0))</f>
        <v>0.2039</v>
      </c>
      <c r="H4075" s="151" t="str">
        <f t="shared" si="189"/>
        <v/>
      </c>
      <c r="I4075" s="152" t="str">
        <f t="shared" si="190"/>
        <v/>
      </c>
      <c r="J4075" s="154"/>
      <c r="K4075" s="155" t="s">
        <v>2966</v>
      </c>
    </row>
    <row r="4076" spans="1:11" hidden="1" x14ac:dyDescent="0.25">
      <c r="A4076" s="148" t="s">
        <v>2265</v>
      </c>
      <c r="B4076" s="149" t="s">
        <v>9494</v>
      </c>
      <c r="C4076" s="150" t="s">
        <v>87</v>
      </c>
      <c r="D4076" s="150">
        <v>0</v>
      </c>
      <c r="E4076" s="151">
        <f ca="1">OFFSET(INDEX(Composições!A:H,MATCH(Orçamentária!A4076,Composições!A:A,0),8),2,0)</f>
        <v>63.374499999999991</v>
      </c>
      <c r="F4076" s="152">
        <f t="shared" ca="1" si="191"/>
        <v>0</v>
      </c>
      <c r="G4076" s="153">
        <f>IF($K4076="Padrão",BDI!$B$17,IF($K4076="Diferenciado",BDI!$E$17,0))</f>
        <v>0.2039</v>
      </c>
      <c r="H4076" s="151">
        <f t="shared" ca="1" si="189"/>
        <v>76.3</v>
      </c>
      <c r="I4076" s="152">
        <f t="shared" ca="1" si="190"/>
        <v>0</v>
      </c>
      <c r="J4076" s="154"/>
      <c r="K4076" s="155" t="s">
        <v>2966</v>
      </c>
    </row>
    <row r="4077" spans="1:11" hidden="1" x14ac:dyDescent="0.25">
      <c r="A4077" s="148" t="s">
        <v>2266</v>
      </c>
      <c r="B4077" s="149" t="s">
        <v>9495</v>
      </c>
      <c r="C4077" s="150" t="s">
        <v>87</v>
      </c>
      <c r="D4077" s="150">
        <v>0</v>
      </c>
      <c r="E4077" s="151">
        <f ca="1">OFFSET(INDEX(Composições!A:H,MATCH(Orçamentária!A4077,Composições!A:A,0),8),2,0)</f>
        <v>39.367999999999995</v>
      </c>
      <c r="F4077" s="152">
        <f t="shared" ca="1" si="191"/>
        <v>0</v>
      </c>
      <c r="G4077" s="153">
        <f>IF($K4077="Padrão",BDI!$B$17,IF($K4077="Diferenciado",BDI!$E$17,0))</f>
        <v>0.2039</v>
      </c>
      <c r="H4077" s="151">
        <f t="shared" ca="1" si="189"/>
        <v>47.4</v>
      </c>
      <c r="I4077" s="152">
        <f t="shared" ca="1" si="190"/>
        <v>0</v>
      </c>
      <c r="J4077" s="154"/>
      <c r="K4077" s="155" t="s">
        <v>2966</v>
      </c>
    </row>
    <row r="4078" spans="1:11" hidden="1" x14ac:dyDescent="0.25">
      <c r="A4078" s="148" t="s">
        <v>9496</v>
      </c>
      <c r="B4078" s="149" t="s">
        <v>9497</v>
      </c>
      <c r="C4078" s="150" t="s">
        <v>106</v>
      </c>
      <c r="D4078" s="150">
        <v>0</v>
      </c>
      <c r="E4078" s="151" t="s">
        <v>13</v>
      </c>
      <c r="F4078" s="152" t="str">
        <f t="shared" si="191"/>
        <v/>
      </c>
      <c r="G4078" s="153">
        <f>IF($K4078="Padrão",BDI!$B$17,IF($K4078="Diferenciado",BDI!$E$17,0))</f>
        <v>0.2039</v>
      </c>
      <c r="H4078" s="151" t="str">
        <f t="shared" si="189"/>
        <v/>
      </c>
      <c r="I4078" s="152" t="str">
        <f t="shared" si="190"/>
        <v/>
      </c>
      <c r="J4078" s="154"/>
      <c r="K4078" s="155" t="s">
        <v>2966</v>
      </c>
    </row>
    <row r="4079" spans="1:11" hidden="1" x14ac:dyDescent="0.25">
      <c r="A4079" s="148" t="s">
        <v>2267</v>
      </c>
      <c r="B4079" s="149" t="s">
        <v>9498</v>
      </c>
      <c r="C4079" s="150" t="s">
        <v>87</v>
      </c>
      <c r="D4079" s="150">
        <v>0</v>
      </c>
      <c r="E4079" s="151">
        <f ca="1">OFFSET(INDEX(Composições!A:H,MATCH(Orçamentária!A4079,Composições!A:A,0),8),2,0)</f>
        <v>97.260999999999996</v>
      </c>
      <c r="F4079" s="152">
        <f t="shared" ca="1" si="191"/>
        <v>0</v>
      </c>
      <c r="G4079" s="153">
        <f>IF($K4079="Padrão",BDI!$B$17,IF($K4079="Diferenciado",BDI!$E$17,0))</f>
        <v>0.2039</v>
      </c>
      <c r="H4079" s="151">
        <f t="shared" ca="1" si="189"/>
        <v>117.09</v>
      </c>
      <c r="I4079" s="152">
        <f t="shared" ca="1" si="190"/>
        <v>0</v>
      </c>
      <c r="J4079" s="154"/>
      <c r="K4079" s="155" t="s">
        <v>2966</v>
      </c>
    </row>
    <row r="4080" spans="1:11" hidden="1" x14ac:dyDescent="0.25">
      <c r="A4080" s="148" t="s">
        <v>2268</v>
      </c>
      <c r="B4080" s="149" t="s">
        <v>9499</v>
      </c>
      <c r="C4080" s="150" t="s">
        <v>87</v>
      </c>
      <c r="D4080" s="150">
        <v>0</v>
      </c>
      <c r="E4080" s="151">
        <f ca="1">OFFSET(INDEX(Composições!A:H,MATCH(Orçamentária!A4080,Composições!A:A,0),8),2,0)</f>
        <v>49.932000000000002</v>
      </c>
      <c r="F4080" s="152">
        <f t="shared" ca="1" si="191"/>
        <v>0</v>
      </c>
      <c r="G4080" s="153">
        <f>IF($K4080="Padrão",BDI!$B$17,IF($K4080="Diferenciado",BDI!$E$17,0))</f>
        <v>0.2039</v>
      </c>
      <c r="H4080" s="151">
        <f t="shared" ca="1" si="189"/>
        <v>60.11</v>
      </c>
      <c r="I4080" s="152">
        <f t="shared" ca="1" si="190"/>
        <v>0</v>
      </c>
      <c r="J4080" s="154"/>
      <c r="K4080" s="155" t="s">
        <v>2966</v>
      </c>
    </row>
    <row r="4081" spans="1:11" ht="25.5" hidden="1" x14ac:dyDescent="0.25">
      <c r="A4081" s="148" t="s">
        <v>9500</v>
      </c>
      <c r="B4081" s="149" t="s">
        <v>9501</v>
      </c>
      <c r="C4081" s="150" t="s">
        <v>106</v>
      </c>
      <c r="D4081" s="150">
        <v>0</v>
      </c>
      <c r="E4081" s="151" t="s">
        <v>13</v>
      </c>
      <c r="F4081" s="152" t="str">
        <f t="shared" si="191"/>
        <v/>
      </c>
      <c r="G4081" s="153">
        <f>IF($K4081="Padrão",BDI!$B$17,IF($K4081="Diferenciado",BDI!$E$17,0))</f>
        <v>0.2039</v>
      </c>
      <c r="H4081" s="151" t="str">
        <f t="shared" si="189"/>
        <v/>
      </c>
      <c r="I4081" s="152" t="str">
        <f t="shared" si="190"/>
        <v/>
      </c>
      <c r="J4081" s="154"/>
      <c r="K4081" s="155" t="s">
        <v>2966</v>
      </c>
    </row>
    <row r="4082" spans="1:11" ht="25.5" hidden="1" x14ac:dyDescent="0.25">
      <c r="A4082" s="148" t="s">
        <v>9502</v>
      </c>
      <c r="B4082" s="149" t="s">
        <v>9503</v>
      </c>
      <c r="C4082" s="150" t="s">
        <v>106</v>
      </c>
      <c r="D4082" s="150">
        <v>0</v>
      </c>
      <c r="E4082" s="151" t="s">
        <v>13</v>
      </c>
      <c r="F4082" s="152" t="str">
        <f t="shared" si="191"/>
        <v/>
      </c>
      <c r="G4082" s="153">
        <f>IF($K4082="Padrão",BDI!$B$17,IF($K4082="Diferenciado",BDI!$E$17,0))</f>
        <v>0.2039</v>
      </c>
      <c r="H4082" s="151" t="str">
        <f t="shared" si="189"/>
        <v/>
      </c>
      <c r="I4082" s="152" t="str">
        <f t="shared" si="190"/>
        <v/>
      </c>
      <c r="J4082" s="154"/>
      <c r="K4082" s="155" t="s">
        <v>2966</v>
      </c>
    </row>
    <row r="4083" spans="1:11" ht="25.5" hidden="1" x14ac:dyDescent="0.25">
      <c r="A4083" s="148" t="s">
        <v>9504</v>
      </c>
      <c r="B4083" s="149" t="s">
        <v>9505</v>
      </c>
      <c r="C4083" s="150" t="s">
        <v>106</v>
      </c>
      <c r="D4083" s="150">
        <v>0</v>
      </c>
      <c r="E4083" s="151" t="s">
        <v>13</v>
      </c>
      <c r="F4083" s="152" t="str">
        <f t="shared" si="191"/>
        <v/>
      </c>
      <c r="G4083" s="153">
        <f>IF($K4083="Padrão",BDI!$B$17,IF($K4083="Diferenciado",BDI!$E$17,0))</f>
        <v>0.2039</v>
      </c>
      <c r="H4083" s="151" t="str">
        <f t="shared" si="189"/>
        <v/>
      </c>
      <c r="I4083" s="152" t="str">
        <f t="shared" si="190"/>
        <v/>
      </c>
      <c r="J4083" s="154"/>
      <c r="K4083" s="155" t="s">
        <v>2966</v>
      </c>
    </row>
    <row r="4084" spans="1:11" ht="25.5" hidden="1" x14ac:dyDescent="0.25">
      <c r="A4084" s="148" t="s">
        <v>9506</v>
      </c>
      <c r="B4084" s="149" t="s">
        <v>9507</v>
      </c>
      <c r="C4084" s="150" t="s">
        <v>106</v>
      </c>
      <c r="D4084" s="150">
        <v>0</v>
      </c>
      <c r="E4084" s="151" t="s">
        <v>13</v>
      </c>
      <c r="F4084" s="152" t="str">
        <f t="shared" si="191"/>
        <v/>
      </c>
      <c r="G4084" s="153">
        <f>IF($K4084="Padrão",BDI!$B$17,IF($K4084="Diferenciado",BDI!$E$17,0))</f>
        <v>0.2039</v>
      </c>
      <c r="H4084" s="151" t="str">
        <f t="shared" si="189"/>
        <v/>
      </c>
      <c r="I4084" s="152" t="str">
        <f t="shared" si="190"/>
        <v/>
      </c>
      <c r="J4084" s="154"/>
      <c r="K4084" s="155" t="s">
        <v>2966</v>
      </c>
    </row>
    <row r="4085" spans="1:11" ht="25.5" hidden="1" x14ac:dyDescent="0.25">
      <c r="A4085" s="148" t="s">
        <v>9508</v>
      </c>
      <c r="B4085" s="149" t="s">
        <v>9509</v>
      </c>
      <c r="C4085" s="150" t="s">
        <v>106</v>
      </c>
      <c r="D4085" s="150">
        <v>0</v>
      </c>
      <c r="E4085" s="151" t="s">
        <v>13</v>
      </c>
      <c r="F4085" s="152" t="str">
        <f t="shared" si="191"/>
        <v/>
      </c>
      <c r="G4085" s="153">
        <f>IF($K4085="Padrão",BDI!$B$17,IF($K4085="Diferenciado",BDI!$E$17,0))</f>
        <v>0.2039</v>
      </c>
      <c r="H4085" s="151" t="str">
        <f t="shared" si="189"/>
        <v/>
      </c>
      <c r="I4085" s="152" t="str">
        <f t="shared" si="190"/>
        <v/>
      </c>
      <c r="J4085" s="154"/>
      <c r="K4085" s="155" t="s">
        <v>2966</v>
      </c>
    </row>
    <row r="4086" spans="1:11" ht="38.25" hidden="1" x14ac:dyDescent="0.25">
      <c r="A4086" s="148" t="s">
        <v>9510</v>
      </c>
      <c r="B4086" s="149" t="s">
        <v>9511</v>
      </c>
      <c r="C4086" s="150" t="s">
        <v>106</v>
      </c>
      <c r="D4086" s="150">
        <v>0</v>
      </c>
      <c r="E4086" s="151" t="s">
        <v>13</v>
      </c>
      <c r="F4086" s="152" t="str">
        <f t="shared" si="191"/>
        <v/>
      </c>
      <c r="G4086" s="153">
        <f>IF($K4086="Padrão",BDI!$B$17,IF($K4086="Diferenciado",BDI!$E$17,0))</f>
        <v>0.2039</v>
      </c>
      <c r="H4086" s="151" t="str">
        <f t="shared" si="189"/>
        <v/>
      </c>
      <c r="I4086" s="152" t="str">
        <f t="shared" si="190"/>
        <v/>
      </c>
      <c r="J4086" s="154"/>
      <c r="K4086" s="155" t="s">
        <v>2966</v>
      </c>
    </row>
    <row r="4087" spans="1:11" ht="25.5" hidden="1" x14ac:dyDescent="0.25">
      <c r="A4087" s="148" t="s">
        <v>9512</v>
      </c>
      <c r="B4087" s="149" t="s">
        <v>9513</v>
      </c>
      <c r="C4087" s="150" t="s">
        <v>106</v>
      </c>
      <c r="D4087" s="150">
        <v>0</v>
      </c>
      <c r="E4087" s="151" t="s">
        <v>13</v>
      </c>
      <c r="F4087" s="152" t="str">
        <f t="shared" si="191"/>
        <v/>
      </c>
      <c r="G4087" s="153">
        <f>IF($K4087="Padrão",BDI!$B$17,IF($K4087="Diferenciado",BDI!$E$17,0))</f>
        <v>0.2039</v>
      </c>
      <c r="H4087" s="151" t="str">
        <f t="shared" si="189"/>
        <v/>
      </c>
      <c r="I4087" s="152" t="str">
        <f t="shared" si="190"/>
        <v/>
      </c>
      <c r="J4087" s="154"/>
      <c r="K4087" s="155" t="s">
        <v>2966</v>
      </c>
    </row>
    <row r="4088" spans="1:11" ht="38.25" hidden="1" x14ac:dyDescent="0.25">
      <c r="A4088" s="148" t="s">
        <v>9514</v>
      </c>
      <c r="B4088" s="149" t="s">
        <v>9515</v>
      </c>
      <c r="C4088" s="150" t="s">
        <v>106</v>
      </c>
      <c r="D4088" s="150">
        <v>0</v>
      </c>
      <c r="E4088" s="151" t="s">
        <v>13</v>
      </c>
      <c r="F4088" s="152" t="str">
        <f t="shared" si="191"/>
        <v/>
      </c>
      <c r="G4088" s="153">
        <f>IF($K4088="Padrão",BDI!$B$17,IF($K4088="Diferenciado",BDI!$E$17,0))</f>
        <v>0.2039</v>
      </c>
      <c r="H4088" s="151" t="str">
        <f t="shared" si="189"/>
        <v/>
      </c>
      <c r="I4088" s="152" t="str">
        <f t="shared" si="190"/>
        <v/>
      </c>
      <c r="J4088" s="154"/>
      <c r="K4088" s="155" t="s">
        <v>2966</v>
      </c>
    </row>
    <row r="4089" spans="1:11" ht="38.25" hidden="1" x14ac:dyDescent="0.25">
      <c r="A4089" s="148" t="s">
        <v>9516</v>
      </c>
      <c r="B4089" s="149" t="s">
        <v>9517</v>
      </c>
      <c r="C4089" s="150" t="s">
        <v>106</v>
      </c>
      <c r="D4089" s="150">
        <v>0</v>
      </c>
      <c r="E4089" s="151" t="s">
        <v>13</v>
      </c>
      <c r="F4089" s="152" t="str">
        <f t="shared" si="191"/>
        <v/>
      </c>
      <c r="G4089" s="153">
        <f>IF($K4089="Padrão",BDI!$B$17,IF($K4089="Diferenciado",BDI!$E$17,0))</f>
        <v>0.2039</v>
      </c>
      <c r="H4089" s="151" t="str">
        <f t="shared" si="189"/>
        <v/>
      </c>
      <c r="I4089" s="152" t="str">
        <f t="shared" si="190"/>
        <v/>
      </c>
      <c r="J4089" s="154"/>
      <c r="K4089" s="155" t="s">
        <v>2966</v>
      </c>
    </row>
    <row r="4090" spans="1:11" ht="38.25" hidden="1" x14ac:dyDescent="0.25">
      <c r="A4090" s="148" t="s">
        <v>9518</v>
      </c>
      <c r="B4090" s="149" t="s">
        <v>9519</v>
      </c>
      <c r="C4090" s="150" t="s">
        <v>106</v>
      </c>
      <c r="D4090" s="150">
        <v>0</v>
      </c>
      <c r="E4090" s="151" t="s">
        <v>13</v>
      </c>
      <c r="F4090" s="152" t="str">
        <f t="shared" si="191"/>
        <v/>
      </c>
      <c r="G4090" s="153">
        <f>IF($K4090="Padrão",BDI!$B$17,IF($K4090="Diferenciado",BDI!$E$17,0))</f>
        <v>0.2039</v>
      </c>
      <c r="H4090" s="151" t="str">
        <f t="shared" si="189"/>
        <v/>
      </c>
      <c r="I4090" s="152" t="str">
        <f t="shared" si="190"/>
        <v/>
      </c>
      <c r="J4090" s="154"/>
      <c r="K4090" s="155" t="s">
        <v>2966</v>
      </c>
    </row>
    <row r="4091" spans="1:11" ht="25.5" hidden="1" x14ac:dyDescent="0.25">
      <c r="A4091" s="148" t="s">
        <v>9520</v>
      </c>
      <c r="B4091" s="149" t="s">
        <v>9521</v>
      </c>
      <c r="C4091" s="150" t="s">
        <v>106</v>
      </c>
      <c r="D4091" s="150">
        <v>0</v>
      </c>
      <c r="E4091" s="151" t="s">
        <v>13</v>
      </c>
      <c r="F4091" s="152" t="str">
        <f t="shared" si="191"/>
        <v/>
      </c>
      <c r="G4091" s="153">
        <f>IF($K4091="Padrão",BDI!$B$17,IF($K4091="Diferenciado",BDI!$E$17,0))</f>
        <v>0.2039</v>
      </c>
      <c r="H4091" s="151" t="str">
        <f t="shared" si="189"/>
        <v/>
      </c>
      <c r="I4091" s="152" t="str">
        <f t="shared" si="190"/>
        <v/>
      </c>
      <c r="J4091" s="154"/>
      <c r="K4091" s="155" t="s">
        <v>2966</v>
      </c>
    </row>
    <row r="4092" spans="1:11" ht="25.5" hidden="1" x14ac:dyDescent="0.25">
      <c r="A4092" s="148" t="s">
        <v>9522</v>
      </c>
      <c r="B4092" s="149" t="s">
        <v>9523</v>
      </c>
      <c r="C4092" s="150" t="s">
        <v>106</v>
      </c>
      <c r="D4092" s="150">
        <v>0</v>
      </c>
      <c r="E4092" s="151" t="s">
        <v>13</v>
      </c>
      <c r="F4092" s="152" t="str">
        <f t="shared" si="191"/>
        <v/>
      </c>
      <c r="G4092" s="153">
        <f>IF($K4092="Padrão",BDI!$B$17,IF($K4092="Diferenciado",BDI!$E$17,0))</f>
        <v>0.2039</v>
      </c>
      <c r="H4092" s="151" t="str">
        <f t="shared" si="189"/>
        <v/>
      </c>
      <c r="I4092" s="152" t="str">
        <f t="shared" si="190"/>
        <v/>
      </c>
      <c r="J4092" s="154"/>
      <c r="K4092" s="155" t="s">
        <v>2966</v>
      </c>
    </row>
    <row r="4093" spans="1:11" ht="25.5" hidden="1" x14ac:dyDescent="0.25">
      <c r="A4093" s="148" t="s">
        <v>9524</v>
      </c>
      <c r="B4093" s="149" t="s">
        <v>9525</v>
      </c>
      <c r="C4093" s="150" t="s">
        <v>106</v>
      </c>
      <c r="D4093" s="150">
        <v>0</v>
      </c>
      <c r="E4093" s="151" t="s">
        <v>13</v>
      </c>
      <c r="F4093" s="152" t="str">
        <f t="shared" si="191"/>
        <v/>
      </c>
      <c r="G4093" s="153">
        <f>IF($K4093="Padrão",BDI!$B$17,IF($K4093="Diferenciado",BDI!$E$17,0))</f>
        <v>0.2039</v>
      </c>
      <c r="H4093" s="151" t="str">
        <f t="shared" si="189"/>
        <v/>
      </c>
      <c r="I4093" s="152" t="str">
        <f t="shared" si="190"/>
        <v/>
      </c>
      <c r="J4093" s="154"/>
      <c r="K4093" s="155" t="s">
        <v>2966</v>
      </c>
    </row>
    <row r="4094" spans="1:11" ht="25.5" hidden="1" x14ac:dyDescent="0.25">
      <c r="A4094" s="148" t="s">
        <v>9526</v>
      </c>
      <c r="B4094" s="149" t="s">
        <v>9527</v>
      </c>
      <c r="C4094" s="150" t="s">
        <v>106</v>
      </c>
      <c r="D4094" s="150">
        <v>0</v>
      </c>
      <c r="E4094" s="151" t="s">
        <v>13</v>
      </c>
      <c r="F4094" s="152" t="str">
        <f t="shared" si="191"/>
        <v/>
      </c>
      <c r="G4094" s="153">
        <f>IF($K4094="Padrão",BDI!$B$17,IF($K4094="Diferenciado",BDI!$E$17,0))</f>
        <v>0.2039</v>
      </c>
      <c r="H4094" s="151" t="str">
        <f t="shared" si="189"/>
        <v/>
      </c>
      <c r="I4094" s="152" t="str">
        <f t="shared" si="190"/>
        <v/>
      </c>
      <c r="J4094" s="154"/>
      <c r="K4094" s="155" t="s">
        <v>2966</v>
      </c>
    </row>
    <row r="4095" spans="1:11" ht="25.5" hidden="1" x14ac:dyDescent="0.25">
      <c r="A4095" s="148" t="s">
        <v>9528</v>
      </c>
      <c r="B4095" s="149" t="s">
        <v>9529</v>
      </c>
      <c r="C4095" s="150" t="s">
        <v>106</v>
      </c>
      <c r="D4095" s="150">
        <v>0</v>
      </c>
      <c r="E4095" s="151" t="s">
        <v>13</v>
      </c>
      <c r="F4095" s="152" t="str">
        <f t="shared" si="191"/>
        <v/>
      </c>
      <c r="G4095" s="153">
        <f>IF($K4095="Padrão",BDI!$B$17,IF($K4095="Diferenciado",BDI!$E$17,0))</f>
        <v>0.2039</v>
      </c>
      <c r="H4095" s="151" t="str">
        <f t="shared" si="189"/>
        <v/>
      </c>
      <c r="I4095" s="152" t="str">
        <f t="shared" si="190"/>
        <v/>
      </c>
      <c r="J4095" s="154"/>
      <c r="K4095" s="155" t="s">
        <v>2966</v>
      </c>
    </row>
    <row r="4096" spans="1:11" ht="25.5" hidden="1" x14ac:dyDescent="0.25">
      <c r="A4096" s="148" t="s">
        <v>9530</v>
      </c>
      <c r="B4096" s="149" t="s">
        <v>9531</v>
      </c>
      <c r="C4096" s="150" t="s">
        <v>106</v>
      </c>
      <c r="D4096" s="150">
        <v>0</v>
      </c>
      <c r="E4096" s="151" t="s">
        <v>13</v>
      </c>
      <c r="F4096" s="152" t="str">
        <f t="shared" si="191"/>
        <v/>
      </c>
      <c r="G4096" s="153">
        <f>IF($K4096="Padrão",BDI!$B$17,IF($K4096="Diferenciado",BDI!$E$17,0))</f>
        <v>0.2039</v>
      </c>
      <c r="H4096" s="151" t="str">
        <f t="shared" si="189"/>
        <v/>
      </c>
      <c r="I4096" s="152" t="str">
        <f t="shared" si="190"/>
        <v/>
      </c>
      <c r="J4096" s="154"/>
      <c r="K4096" s="155" t="s">
        <v>2966</v>
      </c>
    </row>
    <row r="4097" spans="1:11" ht="25.5" hidden="1" x14ac:dyDescent="0.25">
      <c r="A4097" s="148" t="s">
        <v>9532</v>
      </c>
      <c r="B4097" s="149" t="s">
        <v>9533</v>
      </c>
      <c r="C4097" s="150" t="s">
        <v>106</v>
      </c>
      <c r="D4097" s="150">
        <v>0</v>
      </c>
      <c r="E4097" s="151" t="s">
        <v>13</v>
      </c>
      <c r="F4097" s="152" t="str">
        <f t="shared" si="191"/>
        <v/>
      </c>
      <c r="G4097" s="153">
        <f>IF($K4097="Padrão",BDI!$B$17,IF($K4097="Diferenciado",BDI!$E$17,0))</f>
        <v>0.2039</v>
      </c>
      <c r="H4097" s="151" t="str">
        <f t="shared" si="189"/>
        <v/>
      </c>
      <c r="I4097" s="152" t="str">
        <f t="shared" si="190"/>
        <v/>
      </c>
      <c r="J4097" s="154"/>
      <c r="K4097" s="155" t="s">
        <v>2966</v>
      </c>
    </row>
    <row r="4098" spans="1:11" ht="25.5" hidden="1" x14ac:dyDescent="0.25">
      <c r="A4098" s="148" t="s">
        <v>9534</v>
      </c>
      <c r="B4098" s="149" t="s">
        <v>9535</v>
      </c>
      <c r="C4098" s="150" t="s">
        <v>106</v>
      </c>
      <c r="D4098" s="150">
        <v>0</v>
      </c>
      <c r="E4098" s="151" t="s">
        <v>13</v>
      </c>
      <c r="F4098" s="152" t="str">
        <f t="shared" si="191"/>
        <v/>
      </c>
      <c r="G4098" s="153">
        <f>IF($K4098="Padrão",BDI!$B$17,IF($K4098="Diferenciado",BDI!$E$17,0))</f>
        <v>0.2039</v>
      </c>
      <c r="H4098" s="151" t="str">
        <f t="shared" si="189"/>
        <v/>
      </c>
      <c r="I4098" s="152" t="str">
        <f t="shared" si="190"/>
        <v/>
      </c>
      <c r="J4098" s="154"/>
      <c r="K4098" s="155" t="s">
        <v>2966</v>
      </c>
    </row>
    <row r="4099" spans="1:11" hidden="1" x14ac:dyDescent="0.25">
      <c r="A4099" s="148" t="s">
        <v>9536</v>
      </c>
      <c r="B4099" s="149" t="s">
        <v>9537</v>
      </c>
      <c r="C4099" s="150" t="s">
        <v>68</v>
      </c>
      <c r="D4099" s="150">
        <v>0</v>
      </c>
      <c r="E4099" s="151" t="s">
        <v>13</v>
      </c>
      <c r="F4099" s="152" t="str">
        <f t="shared" si="191"/>
        <v/>
      </c>
      <c r="G4099" s="153">
        <f>IF($K4099="Padrão",BDI!$B$17,IF($K4099="Diferenciado",BDI!$E$17,0))</f>
        <v>0.2039</v>
      </c>
      <c r="H4099" s="151" t="str">
        <f t="shared" si="189"/>
        <v/>
      </c>
      <c r="I4099" s="152" t="str">
        <f t="shared" si="190"/>
        <v/>
      </c>
      <c r="J4099" s="154"/>
      <c r="K4099" s="155" t="s">
        <v>2966</v>
      </c>
    </row>
    <row r="4100" spans="1:11" hidden="1" x14ac:dyDescent="0.25">
      <c r="A4100" s="148" t="s">
        <v>9538</v>
      </c>
      <c r="B4100" s="149" t="s">
        <v>9539</v>
      </c>
      <c r="C4100" s="150" t="s">
        <v>68</v>
      </c>
      <c r="D4100" s="150">
        <v>0</v>
      </c>
      <c r="E4100" s="151" t="s">
        <v>13</v>
      </c>
      <c r="F4100" s="152" t="str">
        <f t="shared" si="191"/>
        <v/>
      </c>
      <c r="G4100" s="153">
        <f>IF($K4100="Padrão",BDI!$B$17,IF($K4100="Diferenciado",BDI!$E$17,0))</f>
        <v>0.2039</v>
      </c>
      <c r="H4100" s="151" t="str">
        <f t="shared" si="189"/>
        <v/>
      </c>
      <c r="I4100" s="152" t="str">
        <f t="shared" si="190"/>
        <v/>
      </c>
      <c r="J4100" s="154"/>
      <c r="K4100" s="155" t="s">
        <v>2966</v>
      </c>
    </row>
    <row r="4101" spans="1:11" hidden="1" x14ac:dyDescent="0.25">
      <c r="A4101" s="148" t="s">
        <v>9540</v>
      </c>
      <c r="B4101" s="149" t="s">
        <v>9541</v>
      </c>
      <c r="C4101" s="150" t="s">
        <v>68</v>
      </c>
      <c r="D4101" s="150">
        <v>0</v>
      </c>
      <c r="E4101" s="151" t="s">
        <v>13</v>
      </c>
      <c r="F4101" s="152" t="str">
        <f t="shared" si="191"/>
        <v/>
      </c>
      <c r="G4101" s="153">
        <f>IF($K4101="Padrão",BDI!$B$17,IF($K4101="Diferenciado",BDI!$E$17,0))</f>
        <v>0.2039</v>
      </c>
      <c r="H4101" s="151" t="str">
        <f t="shared" si="189"/>
        <v/>
      </c>
      <c r="I4101" s="152" t="str">
        <f t="shared" si="190"/>
        <v/>
      </c>
      <c r="J4101" s="154"/>
      <c r="K4101" s="155" t="s">
        <v>2966</v>
      </c>
    </row>
    <row r="4102" spans="1:11" hidden="1" x14ac:dyDescent="0.25">
      <c r="A4102" s="148" t="s">
        <v>2269</v>
      </c>
      <c r="B4102" s="149" t="s">
        <v>9542</v>
      </c>
      <c r="C4102" s="150" t="s">
        <v>72</v>
      </c>
      <c r="D4102" s="150">
        <v>0</v>
      </c>
      <c r="E4102" s="151">
        <f ca="1">OFFSET(INDEX(Composições!A:H,MATCH(Orçamentária!A4102,Composições!A:A,0),8),2,0)</f>
        <v>10.459499999999998</v>
      </c>
      <c r="F4102" s="152">
        <f t="shared" ca="1" si="191"/>
        <v>0</v>
      </c>
      <c r="G4102" s="153">
        <f>IF($K4102="Padrão",BDI!$B$17,IF($K4102="Diferenciado",BDI!$E$17,0))</f>
        <v>0.2039</v>
      </c>
      <c r="H4102" s="151">
        <f t="shared" ref="H4102:H4165" ca="1" si="192">IF(ISNUMBER(E4102),ROUND(E4102*(1+G4102),2),"")</f>
        <v>12.59</v>
      </c>
      <c r="I4102" s="152">
        <f t="shared" ref="I4102:I4165" ca="1" si="193">IF(ISNUMBER(E4102),ROUND(H4102*D4102,2),"")</f>
        <v>0</v>
      </c>
      <c r="J4102" s="154"/>
      <c r="K4102" s="155" t="s">
        <v>2966</v>
      </c>
    </row>
    <row r="4103" spans="1:11" hidden="1" x14ac:dyDescent="0.25">
      <c r="A4103" s="148" t="s">
        <v>9543</v>
      </c>
      <c r="B4103" s="149" t="s">
        <v>9544</v>
      </c>
      <c r="C4103" s="150" t="s">
        <v>106</v>
      </c>
      <c r="D4103" s="150">
        <v>0</v>
      </c>
      <c r="E4103" s="151" t="s">
        <v>13</v>
      </c>
      <c r="F4103" s="152" t="str">
        <f t="shared" ref="F4103:F4166" si="194">IF(ISNUMBER(E4103),D4103*E4103,"")</f>
        <v/>
      </c>
      <c r="G4103" s="153">
        <f>IF($K4103="Padrão",BDI!$B$17,IF($K4103="Diferenciado",BDI!$E$17,0))</f>
        <v>0.2039</v>
      </c>
      <c r="H4103" s="151" t="str">
        <f t="shared" si="192"/>
        <v/>
      </c>
      <c r="I4103" s="152" t="str">
        <f t="shared" si="193"/>
        <v/>
      </c>
      <c r="J4103" s="154"/>
      <c r="K4103" s="155" t="s">
        <v>2966</v>
      </c>
    </row>
    <row r="4104" spans="1:11" hidden="1" x14ac:dyDescent="0.25">
      <c r="A4104" s="148" t="s">
        <v>9545</v>
      </c>
      <c r="B4104" s="149" t="s">
        <v>9546</v>
      </c>
      <c r="C4104" s="150" t="s">
        <v>106</v>
      </c>
      <c r="D4104" s="150">
        <v>0</v>
      </c>
      <c r="E4104" s="151" t="s">
        <v>13</v>
      </c>
      <c r="F4104" s="152" t="str">
        <f t="shared" si="194"/>
        <v/>
      </c>
      <c r="G4104" s="153">
        <f>IF($K4104="Padrão",BDI!$B$17,IF($K4104="Diferenciado",BDI!$E$17,0))</f>
        <v>0.2039</v>
      </c>
      <c r="H4104" s="151" t="str">
        <f t="shared" si="192"/>
        <v/>
      </c>
      <c r="I4104" s="152" t="str">
        <f t="shared" si="193"/>
        <v/>
      </c>
      <c r="J4104" s="154"/>
      <c r="K4104" s="155" t="s">
        <v>2966</v>
      </c>
    </row>
    <row r="4105" spans="1:11" hidden="1" x14ac:dyDescent="0.25">
      <c r="A4105" s="148" t="s">
        <v>9547</v>
      </c>
      <c r="B4105" s="149" t="s">
        <v>9548</v>
      </c>
      <c r="C4105" s="150" t="s">
        <v>72</v>
      </c>
      <c r="D4105" s="150">
        <v>0</v>
      </c>
      <c r="E4105" s="151" t="s">
        <v>13</v>
      </c>
      <c r="F4105" s="152" t="str">
        <f t="shared" si="194"/>
        <v/>
      </c>
      <c r="G4105" s="153">
        <f>IF($K4105="Padrão",BDI!$B$17,IF($K4105="Diferenciado",BDI!$E$17,0))</f>
        <v>0.2039</v>
      </c>
      <c r="H4105" s="151" t="str">
        <f t="shared" si="192"/>
        <v/>
      </c>
      <c r="I4105" s="152" t="str">
        <f t="shared" si="193"/>
        <v/>
      </c>
      <c r="J4105" s="154"/>
      <c r="K4105" s="155" t="s">
        <v>2966</v>
      </c>
    </row>
    <row r="4106" spans="1:11" hidden="1" x14ac:dyDescent="0.25">
      <c r="A4106" s="148" t="s">
        <v>9549</v>
      </c>
      <c r="B4106" s="149" t="s">
        <v>9550</v>
      </c>
      <c r="C4106" s="150" t="s">
        <v>72</v>
      </c>
      <c r="D4106" s="150">
        <v>0</v>
      </c>
      <c r="E4106" s="151" t="s">
        <v>13</v>
      </c>
      <c r="F4106" s="152" t="str">
        <f t="shared" si="194"/>
        <v/>
      </c>
      <c r="G4106" s="153">
        <f>IF($K4106="Padrão",BDI!$B$17,IF($K4106="Diferenciado",BDI!$E$17,0))</f>
        <v>0.2039</v>
      </c>
      <c r="H4106" s="151" t="str">
        <f t="shared" si="192"/>
        <v/>
      </c>
      <c r="I4106" s="152" t="str">
        <f t="shared" si="193"/>
        <v/>
      </c>
      <c r="J4106" s="154"/>
      <c r="K4106" s="155" t="s">
        <v>2966</v>
      </c>
    </row>
    <row r="4107" spans="1:11" hidden="1" x14ac:dyDescent="0.25">
      <c r="A4107" s="148" t="s">
        <v>9551</v>
      </c>
      <c r="B4107" s="149" t="s">
        <v>9552</v>
      </c>
      <c r="C4107" s="150" t="s">
        <v>70</v>
      </c>
      <c r="D4107" s="150">
        <v>0</v>
      </c>
      <c r="E4107" s="151" t="s">
        <v>13</v>
      </c>
      <c r="F4107" s="152" t="str">
        <f t="shared" si="194"/>
        <v/>
      </c>
      <c r="G4107" s="153">
        <f>IF($K4107="Padrão",BDI!$B$17,IF($K4107="Diferenciado",BDI!$E$17,0))</f>
        <v>0.2039</v>
      </c>
      <c r="H4107" s="151" t="str">
        <f t="shared" si="192"/>
        <v/>
      </c>
      <c r="I4107" s="152" t="str">
        <f t="shared" si="193"/>
        <v/>
      </c>
      <c r="J4107" s="154"/>
      <c r="K4107" s="155" t="s">
        <v>2966</v>
      </c>
    </row>
    <row r="4108" spans="1:11" hidden="1" x14ac:dyDescent="0.25">
      <c r="A4108" s="148" t="s">
        <v>9553</v>
      </c>
      <c r="B4108" s="149" t="s">
        <v>9554</v>
      </c>
      <c r="C4108" s="150" t="s">
        <v>70</v>
      </c>
      <c r="D4108" s="150">
        <v>0</v>
      </c>
      <c r="E4108" s="151" t="s">
        <v>13</v>
      </c>
      <c r="F4108" s="152" t="str">
        <f t="shared" si="194"/>
        <v/>
      </c>
      <c r="G4108" s="153">
        <f>IF($K4108="Padrão",BDI!$B$17,IF($K4108="Diferenciado",BDI!$E$17,0))</f>
        <v>0.2039</v>
      </c>
      <c r="H4108" s="151" t="str">
        <f t="shared" si="192"/>
        <v/>
      </c>
      <c r="I4108" s="152" t="str">
        <f t="shared" si="193"/>
        <v/>
      </c>
      <c r="J4108" s="154"/>
      <c r="K4108" s="155" t="s">
        <v>2966</v>
      </c>
    </row>
    <row r="4109" spans="1:11" hidden="1" x14ac:dyDescent="0.25">
      <c r="A4109" s="148" t="s">
        <v>9555</v>
      </c>
      <c r="B4109" s="149" t="s">
        <v>9556</v>
      </c>
      <c r="C4109" s="150" t="s">
        <v>70</v>
      </c>
      <c r="D4109" s="150">
        <v>0</v>
      </c>
      <c r="E4109" s="151" t="s">
        <v>13</v>
      </c>
      <c r="F4109" s="152" t="str">
        <f t="shared" si="194"/>
        <v/>
      </c>
      <c r="G4109" s="153">
        <f>IF($K4109="Padrão",BDI!$B$17,IF($K4109="Diferenciado",BDI!$E$17,0))</f>
        <v>0.2039</v>
      </c>
      <c r="H4109" s="151" t="str">
        <f t="shared" si="192"/>
        <v/>
      </c>
      <c r="I4109" s="152" t="str">
        <f t="shared" si="193"/>
        <v/>
      </c>
      <c r="J4109" s="154"/>
      <c r="K4109" s="155" t="s">
        <v>2966</v>
      </c>
    </row>
    <row r="4110" spans="1:11" hidden="1" x14ac:dyDescent="0.25">
      <c r="A4110" s="148" t="s">
        <v>9557</v>
      </c>
      <c r="B4110" s="149" t="s">
        <v>9558</v>
      </c>
      <c r="C4110" s="150" t="s">
        <v>70</v>
      </c>
      <c r="D4110" s="150">
        <v>0</v>
      </c>
      <c r="E4110" s="151" t="s">
        <v>13</v>
      </c>
      <c r="F4110" s="152" t="str">
        <f t="shared" si="194"/>
        <v/>
      </c>
      <c r="G4110" s="153">
        <f>IF($K4110="Padrão",BDI!$B$17,IF($K4110="Diferenciado",BDI!$E$17,0))</f>
        <v>0.2039</v>
      </c>
      <c r="H4110" s="151" t="str">
        <f t="shared" si="192"/>
        <v/>
      </c>
      <c r="I4110" s="152" t="str">
        <f t="shared" si="193"/>
        <v/>
      </c>
      <c r="J4110" s="154"/>
      <c r="K4110" s="155" t="s">
        <v>2966</v>
      </c>
    </row>
    <row r="4111" spans="1:11" ht="25.5" hidden="1" x14ac:dyDescent="0.25">
      <c r="A4111" s="148" t="s">
        <v>9559</v>
      </c>
      <c r="B4111" s="149" t="s">
        <v>9560</v>
      </c>
      <c r="C4111" s="150" t="s">
        <v>70</v>
      </c>
      <c r="D4111" s="150">
        <v>0</v>
      </c>
      <c r="E4111" s="151" t="s">
        <v>13</v>
      </c>
      <c r="F4111" s="152" t="str">
        <f t="shared" si="194"/>
        <v/>
      </c>
      <c r="G4111" s="153">
        <f>IF($K4111="Padrão",BDI!$B$17,IF($K4111="Diferenciado",BDI!$E$17,0))</f>
        <v>0.2039</v>
      </c>
      <c r="H4111" s="151" t="str">
        <f t="shared" si="192"/>
        <v/>
      </c>
      <c r="I4111" s="152" t="str">
        <f t="shared" si="193"/>
        <v/>
      </c>
      <c r="J4111" s="154"/>
      <c r="K4111" s="155" t="s">
        <v>2966</v>
      </c>
    </row>
    <row r="4112" spans="1:11" hidden="1" x14ac:dyDescent="0.25">
      <c r="A4112" s="148" t="s">
        <v>9561</v>
      </c>
      <c r="B4112" s="149" t="s">
        <v>9562</v>
      </c>
      <c r="C4112" s="150" t="s">
        <v>70</v>
      </c>
      <c r="D4112" s="150">
        <v>0</v>
      </c>
      <c r="E4112" s="151" t="s">
        <v>13</v>
      </c>
      <c r="F4112" s="152" t="str">
        <f t="shared" si="194"/>
        <v/>
      </c>
      <c r="G4112" s="153">
        <f>IF($K4112="Padrão",BDI!$B$17,IF($K4112="Diferenciado",BDI!$E$17,0))</f>
        <v>0.2039</v>
      </c>
      <c r="H4112" s="151" t="str">
        <f t="shared" si="192"/>
        <v/>
      </c>
      <c r="I4112" s="152" t="str">
        <f t="shared" si="193"/>
        <v/>
      </c>
      <c r="J4112" s="154"/>
      <c r="K4112" s="155" t="s">
        <v>2966</v>
      </c>
    </row>
    <row r="4113" spans="1:11" hidden="1" x14ac:dyDescent="0.25">
      <c r="A4113" s="148" t="s">
        <v>9563</v>
      </c>
      <c r="B4113" s="149" t="s">
        <v>9564</v>
      </c>
      <c r="C4113" s="150" t="s">
        <v>18</v>
      </c>
      <c r="D4113" s="150">
        <v>0</v>
      </c>
      <c r="E4113" s="151" t="s">
        <v>13</v>
      </c>
      <c r="F4113" s="152" t="str">
        <f t="shared" si="194"/>
        <v/>
      </c>
      <c r="G4113" s="153">
        <f>IF($K4113="Padrão",BDI!$B$17,IF($K4113="Diferenciado",BDI!$E$17,0))</f>
        <v>0.2039</v>
      </c>
      <c r="H4113" s="151" t="str">
        <f t="shared" si="192"/>
        <v/>
      </c>
      <c r="I4113" s="152" t="str">
        <f t="shared" si="193"/>
        <v/>
      </c>
      <c r="J4113" s="154"/>
      <c r="K4113" s="155" t="s">
        <v>2966</v>
      </c>
    </row>
    <row r="4114" spans="1:11" hidden="1" x14ac:dyDescent="0.25">
      <c r="A4114" s="148" t="s">
        <v>9565</v>
      </c>
      <c r="B4114" s="149" t="s">
        <v>9566</v>
      </c>
      <c r="C4114" s="150" t="s">
        <v>18</v>
      </c>
      <c r="D4114" s="150">
        <v>0</v>
      </c>
      <c r="E4114" s="151" t="s">
        <v>13</v>
      </c>
      <c r="F4114" s="152" t="str">
        <f t="shared" si="194"/>
        <v/>
      </c>
      <c r="G4114" s="153">
        <f>IF($K4114="Padrão",BDI!$B$17,IF($K4114="Diferenciado",BDI!$E$17,0))</f>
        <v>0.2039</v>
      </c>
      <c r="H4114" s="151" t="str">
        <f t="shared" si="192"/>
        <v/>
      </c>
      <c r="I4114" s="152" t="str">
        <f t="shared" si="193"/>
        <v/>
      </c>
      <c r="J4114" s="154"/>
      <c r="K4114" s="155" t="s">
        <v>2966</v>
      </c>
    </row>
    <row r="4115" spans="1:11" hidden="1" x14ac:dyDescent="0.25">
      <c r="A4115" s="148" t="s">
        <v>9567</v>
      </c>
      <c r="B4115" s="149" t="s">
        <v>9568</v>
      </c>
      <c r="C4115" s="150" t="s">
        <v>18</v>
      </c>
      <c r="D4115" s="150">
        <v>0</v>
      </c>
      <c r="E4115" s="151" t="s">
        <v>13</v>
      </c>
      <c r="F4115" s="152" t="str">
        <f t="shared" si="194"/>
        <v/>
      </c>
      <c r="G4115" s="153">
        <f>IF($K4115="Padrão",BDI!$B$17,IF($K4115="Diferenciado",BDI!$E$17,0))</f>
        <v>0.2039</v>
      </c>
      <c r="H4115" s="151" t="str">
        <f t="shared" si="192"/>
        <v/>
      </c>
      <c r="I4115" s="152" t="str">
        <f t="shared" si="193"/>
        <v/>
      </c>
      <c r="J4115" s="154"/>
      <c r="K4115" s="155" t="s">
        <v>2966</v>
      </c>
    </row>
    <row r="4116" spans="1:11" hidden="1" x14ac:dyDescent="0.25">
      <c r="A4116" s="148" t="s">
        <v>9569</v>
      </c>
      <c r="B4116" s="149" t="s">
        <v>9570</v>
      </c>
      <c r="C4116" s="150" t="s">
        <v>18</v>
      </c>
      <c r="D4116" s="150">
        <v>0</v>
      </c>
      <c r="E4116" s="151" t="s">
        <v>13</v>
      </c>
      <c r="F4116" s="152" t="str">
        <f t="shared" si="194"/>
        <v/>
      </c>
      <c r="G4116" s="153">
        <f>IF($K4116="Padrão",BDI!$B$17,IF($K4116="Diferenciado",BDI!$E$17,0))</f>
        <v>0.2039</v>
      </c>
      <c r="H4116" s="151" t="str">
        <f t="shared" si="192"/>
        <v/>
      </c>
      <c r="I4116" s="152" t="str">
        <f t="shared" si="193"/>
        <v/>
      </c>
      <c r="J4116" s="154"/>
      <c r="K4116" s="155" t="s">
        <v>2966</v>
      </c>
    </row>
    <row r="4117" spans="1:11" hidden="1" x14ac:dyDescent="0.25">
      <c r="A4117" s="148" t="s">
        <v>9571</v>
      </c>
      <c r="B4117" s="149" t="s">
        <v>9572</v>
      </c>
      <c r="C4117" s="150" t="s">
        <v>18</v>
      </c>
      <c r="D4117" s="150">
        <v>0</v>
      </c>
      <c r="E4117" s="151" t="s">
        <v>13</v>
      </c>
      <c r="F4117" s="152" t="str">
        <f t="shared" si="194"/>
        <v/>
      </c>
      <c r="G4117" s="153">
        <f>IF($K4117="Padrão",BDI!$B$17,IF($K4117="Diferenciado",BDI!$E$17,0))</f>
        <v>0.2039</v>
      </c>
      <c r="H4117" s="151" t="str">
        <f t="shared" si="192"/>
        <v/>
      </c>
      <c r="I4117" s="152" t="str">
        <f t="shared" si="193"/>
        <v/>
      </c>
      <c r="J4117" s="154"/>
      <c r="K4117" s="155" t="s">
        <v>2966</v>
      </c>
    </row>
    <row r="4118" spans="1:11" hidden="1" x14ac:dyDescent="0.25">
      <c r="A4118" s="148" t="s">
        <v>9573</v>
      </c>
      <c r="B4118" s="149" t="s">
        <v>9574</v>
      </c>
      <c r="C4118" s="150" t="s">
        <v>18</v>
      </c>
      <c r="D4118" s="150">
        <v>0</v>
      </c>
      <c r="E4118" s="151" t="s">
        <v>13</v>
      </c>
      <c r="F4118" s="152" t="str">
        <f t="shared" si="194"/>
        <v/>
      </c>
      <c r="G4118" s="153">
        <f>IF($K4118="Padrão",BDI!$B$17,IF($K4118="Diferenciado",BDI!$E$17,0))</f>
        <v>0.2039</v>
      </c>
      <c r="H4118" s="151" t="str">
        <f t="shared" si="192"/>
        <v/>
      </c>
      <c r="I4118" s="152" t="str">
        <f t="shared" si="193"/>
        <v/>
      </c>
      <c r="J4118" s="154"/>
      <c r="K4118" s="155" t="s">
        <v>2966</v>
      </c>
    </row>
    <row r="4119" spans="1:11" hidden="1" x14ac:dyDescent="0.25">
      <c r="A4119" s="148" t="s">
        <v>9575</v>
      </c>
      <c r="B4119" s="149" t="s">
        <v>9576</v>
      </c>
      <c r="C4119" s="150" t="s">
        <v>18</v>
      </c>
      <c r="D4119" s="150">
        <v>0</v>
      </c>
      <c r="E4119" s="151" t="s">
        <v>13</v>
      </c>
      <c r="F4119" s="152" t="str">
        <f t="shared" si="194"/>
        <v/>
      </c>
      <c r="G4119" s="153">
        <f>IF($K4119="Padrão",BDI!$B$17,IF($K4119="Diferenciado",BDI!$E$17,0))</f>
        <v>0.2039</v>
      </c>
      <c r="H4119" s="151" t="str">
        <f t="shared" si="192"/>
        <v/>
      </c>
      <c r="I4119" s="152" t="str">
        <f t="shared" si="193"/>
        <v/>
      </c>
      <c r="J4119" s="154"/>
      <c r="K4119" s="155" t="s">
        <v>2966</v>
      </c>
    </row>
    <row r="4120" spans="1:11" hidden="1" x14ac:dyDescent="0.25">
      <c r="A4120" s="148" t="s">
        <v>9577</v>
      </c>
      <c r="B4120" s="149" t="s">
        <v>9578</v>
      </c>
      <c r="C4120" s="150" t="s">
        <v>18</v>
      </c>
      <c r="D4120" s="150">
        <v>0</v>
      </c>
      <c r="E4120" s="151" t="s">
        <v>13</v>
      </c>
      <c r="F4120" s="152" t="str">
        <f t="shared" si="194"/>
        <v/>
      </c>
      <c r="G4120" s="153">
        <f>IF($K4120="Padrão",BDI!$B$17,IF($K4120="Diferenciado",BDI!$E$17,0))</f>
        <v>0.2039</v>
      </c>
      <c r="H4120" s="151" t="str">
        <f t="shared" si="192"/>
        <v/>
      </c>
      <c r="I4120" s="152" t="str">
        <f t="shared" si="193"/>
        <v/>
      </c>
      <c r="J4120" s="154"/>
      <c r="K4120" s="155" t="s">
        <v>2966</v>
      </c>
    </row>
    <row r="4121" spans="1:11" hidden="1" x14ac:dyDescent="0.25">
      <c r="A4121" s="148" t="s">
        <v>9579</v>
      </c>
      <c r="B4121" s="149" t="s">
        <v>9580</v>
      </c>
      <c r="C4121" s="150" t="s">
        <v>18</v>
      </c>
      <c r="D4121" s="150">
        <v>0</v>
      </c>
      <c r="E4121" s="151" t="s">
        <v>13</v>
      </c>
      <c r="F4121" s="152" t="str">
        <f t="shared" si="194"/>
        <v/>
      </c>
      <c r="G4121" s="153">
        <f>IF($K4121="Padrão",BDI!$B$17,IF($K4121="Diferenciado",BDI!$E$17,0))</f>
        <v>0.2039</v>
      </c>
      <c r="H4121" s="151" t="str">
        <f t="shared" si="192"/>
        <v/>
      </c>
      <c r="I4121" s="152" t="str">
        <f t="shared" si="193"/>
        <v/>
      </c>
      <c r="J4121" s="154"/>
      <c r="K4121" s="155" t="s">
        <v>2966</v>
      </c>
    </row>
    <row r="4122" spans="1:11" hidden="1" x14ac:dyDescent="0.25">
      <c r="A4122" s="148" t="s">
        <v>9581</v>
      </c>
      <c r="B4122" s="149" t="s">
        <v>9582</v>
      </c>
      <c r="C4122" s="150" t="s">
        <v>18</v>
      </c>
      <c r="D4122" s="150">
        <v>0</v>
      </c>
      <c r="E4122" s="151" t="s">
        <v>13</v>
      </c>
      <c r="F4122" s="152" t="str">
        <f t="shared" si="194"/>
        <v/>
      </c>
      <c r="G4122" s="153">
        <f>IF($K4122="Padrão",BDI!$B$17,IF($K4122="Diferenciado",BDI!$E$17,0))</f>
        <v>0.2039</v>
      </c>
      <c r="H4122" s="151" t="str">
        <f t="shared" si="192"/>
        <v/>
      </c>
      <c r="I4122" s="152" t="str">
        <f t="shared" si="193"/>
        <v/>
      </c>
      <c r="J4122" s="154"/>
      <c r="K4122" s="155" t="s">
        <v>2966</v>
      </c>
    </row>
    <row r="4123" spans="1:11" hidden="1" x14ac:dyDescent="0.25">
      <c r="A4123" s="148" t="s">
        <v>9583</v>
      </c>
      <c r="B4123" s="149" t="s">
        <v>9584</v>
      </c>
      <c r="C4123" s="150" t="s">
        <v>18</v>
      </c>
      <c r="D4123" s="150">
        <v>0</v>
      </c>
      <c r="E4123" s="151" t="s">
        <v>13</v>
      </c>
      <c r="F4123" s="152" t="str">
        <f t="shared" si="194"/>
        <v/>
      </c>
      <c r="G4123" s="153">
        <f>IF($K4123="Padrão",BDI!$B$17,IF($K4123="Diferenciado",BDI!$E$17,0))</f>
        <v>0.2039</v>
      </c>
      <c r="H4123" s="151" t="str">
        <f t="shared" si="192"/>
        <v/>
      </c>
      <c r="I4123" s="152" t="str">
        <f t="shared" si="193"/>
        <v/>
      </c>
      <c r="J4123" s="154"/>
      <c r="K4123" s="155" t="s">
        <v>2966</v>
      </c>
    </row>
    <row r="4124" spans="1:11" hidden="1" x14ac:dyDescent="0.25">
      <c r="A4124" s="148" t="s">
        <v>9585</v>
      </c>
      <c r="B4124" s="149" t="s">
        <v>9586</v>
      </c>
      <c r="C4124" s="150" t="s">
        <v>18</v>
      </c>
      <c r="D4124" s="150">
        <v>0</v>
      </c>
      <c r="E4124" s="151" t="s">
        <v>13</v>
      </c>
      <c r="F4124" s="152" t="str">
        <f t="shared" si="194"/>
        <v/>
      </c>
      <c r="G4124" s="153">
        <f>IF($K4124="Padrão",BDI!$B$17,IF($K4124="Diferenciado",BDI!$E$17,0))</f>
        <v>0.2039</v>
      </c>
      <c r="H4124" s="151" t="str">
        <f t="shared" si="192"/>
        <v/>
      </c>
      <c r="I4124" s="152" t="str">
        <f t="shared" si="193"/>
        <v/>
      </c>
      <c r="J4124" s="154"/>
      <c r="K4124" s="155" t="s">
        <v>2966</v>
      </c>
    </row>
    <row r="4125" spans="1:11" hidden="1" x14ac:dyDescent="0.25">
      <c r="A4125" s="148" t="s">
        <v>9587</v>
      </c>
      <c r="B4125" s="149" t="s">
        <v>9588</v>
      </c>
      <c r="C4125" s="150" t="s">
        <v>461</v>
      </c>
      <c r="D4125" s="150">
        <v>0</v>
      </c>
      <c r="E4125" s="151" t="s">
        <v>13</v>
      </c>
      <c r="F4125" s="152" t="str">
        <f t="shared" si="194"/>
        <v/>
      </c>
      <c r="G4125" s="153">
        <f>IF($K4125="Padrão",BDI!$B$17,IF($K4125="Diferenciado",BDI!$E$17,0))</f>
        <v>0.2039</v>
      </c>
      <c r="H4125" s="151" t="str">
        <f t="shared" si="192"/>
        <v/>
      </c>
      <c r="I4125" s="152" t="str">
        <f t="shared" si="193"/>
        <v/>
      </c>
      <c r="J4125" s="154"/>
      <c r="K4125" s="155" t="s">
        <v>2966</v>
      </c>
    </row>
    <row r="4126" spans="1:11" hidden="1" x14ac:dyDescent="0.25">
      <c r="A4126" s="148" t="s">
        <v>9589</v>
      </c>
      <c r="B4126" s="149" t="s">
        <v>9590</v>
      </c>
      <c r="C4126" s="150" t="s">
        <v>461</v>
      </c>
      <c r="D4126" s="150">
        <v>0</v>
      </c>
      <c r="E4126" s="151" t="s">
        <v>13</v>
      </c>
      <c r="F4126" s="152" t="str">
        <f t="shared" si="194"/>
        <v/>
      </c>
      <c r="G4126" s="153">
        <f>IF($K4126="Padrão",BDI!$B$17,IF($K4126="Diferenciado",BDI!$E$17,0))</f>
        <v>0.2039</v>
      </c>
      <c r="H4126" s="151" t="str">
        <f t="shared" si="192"/>
        <v/>
      </c>
      <c r="I4126" s="152" t="str">
        <f t="shared" si="193"/>
        <v/>
      </c>
      <c r="J4126" s="154"/>
      <c r="K4126" s="155" t="s">
        <v>2966</v>
      </c>
    </row>
    <row r="4127" spans="1:11" hidden="1" x14ac:dyDescent="0.25">
      <c r="A4127" s="148" t="s">
        <v>9591</v>
      </c>
      <c r="B4127" s="149" t="s">
        <v>9592</v>
      </c>
      <c r="C4127" s="150" t="s">
        <v>461</v>
      </c>
      <c r="D4127" s="150">
        <v>0</v>
      </c>
      <c r="E4127" s="151" t="s">
        <v>13</v>
      </c>
      <c r="F4127" s="152" t="str">
        <f t="shared" si="194"/>
        <v/>
      </c>
      <c r="G4127" s="153">
        <f>IF($K4127="Padrão",BDI!$B$17,IF($K4127="Diferenciado",BDI!$E$17,0))</f>
        <v>0.2039</v>
      </c>
      <c r="H4127" s="151" t="str">
        <f t="shared" si="192"/>
        <v/>
      </c>
      <c r="I4127" s="152" t="str">
        <f t="shared" si="193"/>
        <v/>
      </c>
      <c r="J4127" s="154"/>
      <c r="K4127" s="155" t="s">
        <v>2966</v>
      </c>
    </row>
    <row r="4128" spans="1:11" hidden="1" x14ac:dyDescent="0.25">
      <c r="A4128" s="148" t="s">
        <v>9593</v>
      </c>
      <c r="B4128" s="149" t="s">
        <v>9594</v>
      </c>
      <c r="C4128" s="150" t="s">
        <v>18</v>
      </c>
      <c r="D4128" s="150">
        <v>0</v>
      </c>
      <c r="E4128" s="151" t="s">
        <v>13</v>
      </c>
      <c r="F4128" s="152" t="str">
        <f t="shared" si="194"/>
        <v/>
      </c>
      <c r="G4128" s="153">
        <f>IF($K4128="Padrão",BDI!$B$17,IF($K4128="Diferenciado",BDI!$E$17,0))</f>
        <v>0.2039</v>
      </c>
      <c r="H4128" s="151" t="str">
        <f t="shared" si="192"/>
        <v/>
      </c>
      <c r="I4128" s="152" t="str">
        <f t="shared" si="193"/>
        <v/>
      </c>
      <c r="J4128" s="154"/>
      <c r="K4128" s="155" t="s">
        <v>2966</v>
      </c>
    </row>
    <row r="4129" spans="1:11" hidden="1" x14ac:dyDescent="0.25">
      <c r="A4129" s="148" t="s">
        <v>9595</v>
      </c>
      <c r="B4129" s="149" t="s">
        <v>9596</v>
      </c>
      <c r="C4129" s="150" t="s">
        <v>18</v>
      </c>
      <c r="D4129" s="150">
        <v>0</v>
      </c>
      <c r="E4129" s="151" t="s">
        <v>13</v>
      </c>
      <c r="F4129" s="152" t="str">
        <f t="shared" si="194"/>
        <v/>
      </c>
      <c r="G4129" s="153">
        <f>IF($K4129="Padrão",BDI!$B$17,IF($K4129="Diferenciado",BDI!$E$17,0))</f>
        <v>0.2039</v>
      </c>
      <c r="H4129" s="151" t="str">
        <f t="shared" si="192"/>
        <v/>
      </c>
      <c r="I4129" s="152" t="str">
        <f t="shared" si="193"/>
        <v/>
      </c>
      <c r="J4129" s="154"/>
      <c r="K4129" s="155" t="s">
        <v>2966</v>
      </c>
    </row>
    <row r="4130" spans="1:11" hidden="1" x14ac:dyDescent="0.25">
      <c r="A4130" s="148" t="s">
        <v>9597</v>
      </c>
      <c r="B4130" s="149" t="s">
        <v>9598</v>
      </c>
      <c r="C4130" s="150" t="s">
        <v>18</v>
      </c>
      <c r="D4130" s="150">
        <v>0</v>
      </c>
      <c r="E4130" s="151" t="s">
        <v>13</v>
      </c>
      <c r="F4130" s="152" t="str">
        <f t="shared" si="194"/>
        <v/>
      </c>
      <c r="G4130" s="153">
        <f>IF($K4130="Padrão",BDI!$B$17,IF($K4130="Diferenciado",BDI!$E$17,0))</f>
        <v>0.2039</v>
      </c>
      <c r="H4130" s="151" t="str">
        <f t="shared" si="192"/>
        <v/>
      </c>
      <c r="I4130" s="152" t="str">
        <f t="shared" si="193"/>
        <v/>
      </c>
      <c r="J4130" s="154"/>
      <c r="K4130" s="155" t="s">
        <v>2966</v>
      </c>
    </row>
    <row r="4131" spans="1:11" hidden="1" x14ac:dyDescent="0.25">
      <c r="A4131" s="148" t="s">
        <v>9599</v>
      </c>
      <c r="B4131" s="149" t="s">
        <v>9600</v>
      </c>
      <c r="C4131" s="150" t="s">
        <v>18</v>
      </c>
      <c r="D4131" s="150">
        <v>0</v>
      </c>
      <c r="E4131" s="151" t="s">
        <v>13</v>
      </c>
      <c r="F4131" s="152" t="str">
        <f t="shared" si="194"/>
        <v/>
      </c>
      <c r="G4131" s="153">
        <f>IF($K4131="Padrão",BDI!$B$17,IF($K4131="Diferenciado",BDI!$E$17,0))</f>
        <v>0.2039</v>
      </c>
      <c r="H4131" s="151" t="str">
        <f t="shared" si="192"/>
        <v/>
      </c>
      <c r="I4131" s="152" t="str">
        <f t="shared" si="193"/>
        <v/>
      </c>
      <c r="J4131" s="154"/>
      <c r="K4131" s="155" t="s">
        <v>2966</v>
      </c>
    </row>
    <row r="4132" spans="1:11" hidden="1" x14ac:dyDescent="0.25">
      <c r="A4132" s="148" t="s">
        <v>9601</v>
      </c>
      <c r="B4132" s="149" t="s">
        <v>9602</v>
      </c>
      <c r="C4132" s="150" t="s">
        <v>18</v>
      </c>
      <c r="D4132" s="150">
        <v>0</v>
      </c>
      <c r="E4132" s="151" t="s">
        <v>13</v>
      </c>
      <c r="F4132" s="152" t="str">
        <f t="shared" si="194"/>
        <v/>
      </c>
      <c r="G4132" s="153">
        <f>IF($K4132="Padrão",BDI!$B$17,IF($K4132="Diferenciado",BDI!$E$17,0))</f>
        <v>0.2039</v>
      </c>
      <c r="H4132" s="151" t="str">
        <f t="shared" si="192"/>
        <v/>
      </c>
      <c r="I4132" s="152" t="str">
        <f t="shared" si="193"/>
        <v/>
      </c>
      <c r="J4132" s="154"/>
      <c r="K4132" s="155" t="s">
        <v>2966</v>
      </c>
    </row>
    <row r="4133" spans="1:11" hidden="1" x14ac:dyDescent="0.25">
      <c r="A4133" s="148" t="s">
        <v>9603</v>
      </c>
      <c r="B4133" s="149" t="s">
        <v>9604</v>
      </c>
      <c r="C4133" s="150" t="s">
        <v>461</v>
      </c>
      <c r="D4133" s="150">
        <v>0</v>
      </c>
      <c r="E4133" s="151" t="s">
        <v>13</v>
      </c>
      <c r="F4133" s="152" t="str">
        <f t="shared" si="194"/>
        <v/>
      </c>
      <c r="G4133" s="153">
        <f>IF($K4133="Padrão",BDI!$B$17,IF($K4133="Diferenciado",BDI!$E$17,0))</f>
        <v>0.2039</v>
      </c>
      <c r="H4133" s="151" t="str">
        <f t="shared" si="192"/>
        <v/>
      </c>
      <c r="I4133" s="152" t="str">
        <f t="shared" si="193"/>
        <v/>
      </c>
      <c r="J4133" s="154"/>
      <c r="K4133" s="155" t="s">
        <v>2966</v>
      </c>
    </row>
    <row r="4134" spans="1:11" hidden="1" x14ac:dyDescent="0.25">
      <c r="A4134" s="148" t="s">
        <v>9605</v>
      </c>
      <c r="B4134" s="149" t="s">
        <v>9606</v>
      </c>
      <c r="C4134" s="150" t="s">
        <v>18</v>
      </c>
      <c r="D4134" s="150">
        <v>0</v>
      </c>
      <c r="E4134" s="151" t="s">
        <v>13</v>
      </c>
      <c r="F4134" s="152" t="str">
        <f t="shared" si="194"/>
        <v/>
      </c>
      <c r="G4134" s="153">
        <f>IF($K4134="Padrão",BDI!$B$17,IF($K4134="Diferenciado",BDI!$E$17,0))</f>
        <v>0.2039</v>
      </c>
      <c r="H4134" s="151" t="str">
        <f t="shared" si="192"/>
        <v/>
      </c>
      <c r="I4134" s="152" t="str">
        <f t="shared" si="193"/>
        <v/>
      </c>
      <c r="J4134" s="154"/>
      <c r="K4134" s="155" t="s">
        <v>2966</v>
      </c>
    </row>
    <row r="4135" spans="1:11" hidden="1" x14ac:dyDescent="0.25">
      <c r="A4135" s="148" t="s">
        <v>9607</v>
      </c>
      <c r="B4135" s="149" t="s">
        <v>9608</v>
      </c>
      <c r="C4135" s="150" t="s">
        <v>18</v>
      </c>
      <c r="D4135" s="150">
        <v>0</v>
      </c>
      <c r="E4135" s="151" t="s">
        <v>13</v>
      </c>
      <c r="F4135" s="152" t="str">
        <f t="shared" si="194"/>
        <v/>
      </c>
      <c r="G4135" s="153">
        <f>IF($K4135="Padrão",BDI!$B$17,IF($K4135="Diferenciado",BDI!$E$17,0))</f>
        <v>0.2039</v>
      </c>
      <c r="H4135" s="151" t="str">
        <f t="shared" si="192"/>
        <v/>
      </c>
      <c r="I4135" s="152" t="str">
        <f t="shared" si="193"/>
        <v/>
      </c>
      <c r="J4135" s="154"/>
      <c r="K4135" s="155" t="s">
        <v>2966</v>
      </c>
    </row>
    <row r="4136" spans="1:11" hidden="1" x14ac:dyDescent="0.25">
      <c r="A4136" s="148" t="s">
        <v>9609</v>
      </c>
      <c r="B4136" s="149" t="s">
        <v>9610</v>
      </c>
      <c r="C4136" s="150" t="s">
        <v>18</v>
      </c>
      <c r="D4136" s="150">
        <v>0</v>
      </c>
      <c r="E4136" s="151" t="s">
        <v>13</v>
      </c>
      <c r="F4136" s="152" t="str">
        <f t="shared" si="194"/>
        <v/>
      </c>
      <c r="G4136" s="153">
        <f>IF($K4136="Padrão",BDI!$B$17,IF($K4136="Diferenciado",BDI!$E$17,0))</f>
        <v>0.2039</v>
      </c>
      <c r="H4136" s="151" t="str">
        <f t="shared" si="192"/>
        <v/>
      </c>
      <c r="I4136" s="152" t="str">
        <f t="shared" si="193"/>
        <v/>
      </c>
      <c r="J4136" s="154"/>
      <c r="K4136" s="155" t="s">
        <v>2966</v>
      </c>
    </row>
    <row r="4137" spans="1:11" hidden="1" x14ac:dyDescent="0.25">
      <c r="A4137" s="148" t="s">
        <v>9611</v>
      </c>
      <c r="B4137" s="149" t="s">
        <v>9612</v>
      </c>
      <c r="C4137" s="150" t="s">
        <v>18</v>
      </c>
      <c r="D4137" s="150">
        <v>0</v>
      </c>
      <c r="E4137" s="151" t="s">
        <v>13</v>
      </c>
      <c r="F4137" s="152" t="str">
        <f t="shared" si="194"/>
        <v/>
      </c>
      <c r="G4137" s="153">
        <f>IF($K4137="Padrão",BDI!$B$17,IF($K4137="Diferenciado",BDI!$E$17,0))</f>
        <v>0.2039</v>
      </c>
      <c r="H4137" s="151" t="str">
        <f t="shared" si="192"/>
        <v/>
      </c>
      <c r="I4137" s="152" t="str">
        <f t="shared" si="193"/>
        <v/>
      </c>
      <c r="J4137" s="154"/>
      <c r="K4137" s="155" t="s">
        <v>2966</v>
      </c>
    </row>
    <row r="4138" spans="1:11" hidden="1" x14ac:dyDescent="0.25">
      <c r="A4138" s="148" t="s">
        <v>9613</v>
      </c>
      <c r="B4138" s="149" t="s">
        <v>9614</v>
      </c>
      <c r="C4138" s="150" t="s">
        <v>18</v>
      </c>
      <c r="D4138" s="150">
        <v>0</v>
      </c>
      <c r="E4138" s="151" t="s">
        <v>13</v>
      </c>
      <c r="F4138" s="152" t="str">
        <f t="shared" si="194"/>
        <v/>
      </c>
      <c r="G4138" s="153">
        <f>IF($K4138="Padrão",BDI!$B$17,IF($K4138="Diferenciado",BDI!$E$17,0))</f>
        <v>0.2039</v>
      </c>
      <c r="H4138" s="151" t="str">
        <f t="shared" si="192"/>
        <v/>
      </c>
      <c r="I4138" s="152" t="str">
        <f t="shared" si="193"/>
        <v/>
      </c>
      <c r="J4138" s="154"/>
      <c r="K4138" s="155" t="s">
        <v>2966</v>
      </c>
    </row>
    <row r="4139" spans="1:11" hidden="1" x14ac:dyDescent="0.25">
      <c r="A4139" s="148" t="s">
        <v>9615</v>
      </c>
      <c r="B4139" s="149" t="s">
        <v>9616</v>
      </c>
      <c r="C4139" s="150" t="s">
        <v>18</v>
      </c>
      <c r="D4139" s="150">
        <v>0</v>
      </c>
      <c r="E4139" s="151" t="s">
        <v>13</v>
      </c>
      <c r="F4139" s="152" t="str">
        <f t="shared" si="194"/>
        <v/>
      </c>
      <c r="G4139" s="153">
        <f>IF($K4139="Padrão",BDI!$B$17,IF($K4139="Diferenciado",BDI!$E$17,0))</f>
        <v>0.2039</v>
      </c>
      <c r="H4139" s="151" t="str">
        <f t="shared" si="192"/>
        <v/>
      </c>
      <c r="I4139" s="152" t="str">
        <f t="shared" si="193"/>
        <v/>
      </c>
      <c r="J4139" s="154"/>
      <c r="K4139" s="155" t="s">
        <v>2966</v>
      </c>
    </row>
    <row r="4140" spans="1:11" hidden="1" x14ac:dyDescent="0.25">
      <c r="A4140" s="148" t="s">
        <v>9617</v>
      </c>
      <c r="B4140" s="149" t="s">
        <v>9618</v>
      </c>
      <c r="C4140" s="150" t="s">
        <v>18</v>
      </c>
      <c r="D4140" s="150">
        <v>0</v>
      </c>
      <c r="E4140" s="151" t="s">
        <v>13</v>
      </c>
      <c r="F4140" s="152" t="str">
        <f t="shared" si="194"/>
        <v/>
      </c>
      <c r="G4140" s="153">
        <f>IF($K4140="Padrão",BDI!$B$17,IF($K4140="Diferenciado",BDI!$E$17,0))</f>
        <v>0.2039</v>
      </c>
      <c r="H4140" s="151" t="str">
        <f t="shared" si="192"/>
        <v/>
      </c>
      <c r="I4140" s="152" t="str">
        <f t="shared" si="193"/>
        <v/>
      </c>
      <c r="J4140" s="154"/>
      <c r="K4140" s="155" t="s">
        <v>2966</v>
      </c>
    </row>
    <row r="4141" spans="1:11" hidden="1" x14ac:dyDescent="0.25">
      <c r="A4141" s="148" t="s">
        <v>9619</v>
      </c>
      <c r="B4141" s="149" t="s">
        <v>9620</v>
      </c>
      <c r="C4141" s="150" t="s">
        <v>18</v>
      </c>
      <c r="D4141" s="150">
        <v>0</v>
      </c>
      <c r="E4141" s="151" t="s">
        <v>13</v>
      </c>
      <c r="F4141" s="152" t="str">
        <f t="shared" si="194"/>
        <v/>
      </c>
      <c r="G4141" s="153">
        <f>IF($K4141="Padrão",BDI!$B$17,IF($K4141="Diferenciado",BDI!$E$17,0))</f>
        <v>0.2039</v>
      </c>
      <c r="H4141" s="151" t="str">
        <f t="shared" si="192"/>
        <v/>
      </c>
      <c r="I4141" s="152" t="str">
        <f t="shared" si="193"/>
        <v/>
      </c>
      <c r="J4141" s="154"/>
      <c r="K4141" s="155" t="s">
        <v>2966</v>
      </c>
    </row>
    <row r="4142" spans="1:11" hidden="1" x14ac:dyDescent="0.25">
      <c r="A4142" s="148" t="s">
        <v>9621</v>
      </c>
      <c r="B4142" s="149" t="s">
        <v>9622</v>
      </c>
      <c r="C4142" s="150" t="s">
        <v>18</v>
      </c>
      <c r="D4142" s="150">
        <v>0</v>
      </c>
      <c r="E4142" s="151" t="s">
        <v>13</v>
      </c>
      <c r="F4142" s="152" t="str">
        <f t="shared" si="194"/>
        <v/>
      </c>
      <c r="G4142" s="153">
        <f>IF($K4142="Padrão",BDI!$B$17,IF($K4142="Diferenciado",BDI!$E$17,0))</f>
        <v>0.2039</v>
      </c>
      <c r="H4142" s="151" t="str">
        <f t="shared" si="192"/>
        <v/>
      </c>
      <c r="I4142" s="152" t="str">
        <f t="shared" si="193"/>
        <v/>
      </c>
      <c r="J4142" s="154"/>
      <c r="K4142" s="155" t="s">
        <v>2966</v>
      </c>
    </row>
    <row r="4143" spans="1:11" hidden="1" x14ac:dyDescent="0.25">
      <c r="A4143" s="148" t="s">
        <v>9623</v>
      </c>
      <c r="B4143" s="149" t="s">
        <v>9624</v>
      </c>
      <c r="C4143" s="150" t="s">
        <v>18</v>
      </c>
      <c r="D4143" s="150">
        <v>0</v>
      </c>
      <c r="E4143" s="151" t="s">
        <v>13</v>
      </c>
      <c r="F4143" s="152" t="str">
        <f t="shared" si="194"/>
        <v/>
      </c>
      <c r="G4143" s="153">
        <f>IF($K4143="Padrão",BDI!$B$17,IF($K4143="Diferenciado",BDI!$E$17,0))</f>
        <v>0.2039</v>
      </c>
      <c r="H4143" s="151" t="str">
        <f t="shared" si="192"/>
        <v/>
      </c>
      <c r="I4143" s="152" t="str">
        <f t="shared" si="193"/>
        <v/>
      </c>
      <c r="J4143" s="154"/>
      <c r="K4143" s="155" t="s">
        <v>2966</v>
      </c>
    </row>
    <row r="4144" spans="1:11" hidden="1" x14ac:dyDescent="0.25">
      <c r="A4144" s="148" t="s">
        <v>9625</v>
      </c>
      <c r="B4144" s="149" t="s">
        <v>9626</v>
      </c>
      <c r="C4144" s="150" t="s">
        <v>18</v>
      </c>
      <c r="D4144" s="150">
        <v>0</v>
      </c>
      <c r="E4144" s="151" t="s">
        <v>13</v>
      </c>
      <c r="F4144" s="152" t="str">
        <f t="shared" si="194"/>
        <v/>
      </c>
      <c r="G4144" s="153">
        <f>IF($K4144="Padrão",BDI!$B$17,IF($K4144="Diferenciado",BDI!$E$17,0))</f>
        <v>0.2039</v>
      </c>
      <c r="H4144" s="151" t="str">
        <f t="shared" si="192"/>
        <v/>
      </c>
      <c r="I4144" s="152" t="str">
        <f t="shared" si="193"/>
        <v/>
      </c>
      <c r="J4144" s="154"/>
      <c r="K4144" s="155" t="s">
        <v>2966</v>
      </c>
    </row>
    <row r="4145" spans="1:11" hidden="1" x14ac:dyDescent="0.25">
      <c r="A4145" s="148" t="s">
        <v>9627</v>
      </c>
      <c r="B4145" s="149" t="s">
        <v>9628</v>
      </c>
      <c r="C4145" s="150" t="s">
        <v>18</v>
      </c>
      <c r="D4145" s="150">
        <v>0</v>
      </c>
      <c r="E4145" s="151" t="s">
        <v>13</v>
      </c>
      <c r="F4145" s="152" t="str">
        <f t="shared" si="194"/>
        <v/>
      </c>
      <c r="G4145" s="153">
        <f>IF($K4145="Padrão",BDI!$B$17,IF($K4145="Diferenciado",BDI!$E$17,0))</f>
        <v>0.2039</v>
      </c>
      <c r="H4145" s="151" t="str">
        <f t="shared" si="192"/>
        <v/>
      </c>
      <c r="I4145" s="152" t="str">
        <f t="shared" si="193"/>
        <v/>
      </c>
      <c r="J4145" s="154"/>
      <c r="K4145" s="155" t="s">
        <v>2966</v>
      </c>
    </row>
    <row r="4146" spans="1:11" hidden="1" x14ac:dyDescent="0.25">
      <c r="A4146" s="148" t="s">
        <v>9629</v>
      </c>
      <c r="B4146" s="149" t="s">
        <v>9630</v>
      </c>
      <c r="C4146" s="150" t="s">
        <v>18</v>
      </c>
      <c r="D4146" s="150">
        <v>0</v>
      </c>
      <c r="E4146" s="151" t="s">
        <v>13</v>
      </c>
      <c r="F4146" s="152" t="str">
        <f t="shared" si="194"/>
        <v/>
      </c>
      <c r="G4146" s="153">
        <f>IF($K4146="Padrão",BDI!$B$17,IF($K4146="Diferenciado",BDI!$E$17,0))</f>
        <v>0.2039</v>
      </c>
      <c r="H4146" s="151" t="str">
        <f t="shared" si="192"/>
        <v/>
      </c>
      <c r="I4146" s="152" t="str">
        <f t="shared" si="193"/>
        <v/>
      </c>
      <c r="J4146" s="154"/>
      <c r="K4146" s="155" t="s">
        <v>2966</v>
      </c>
    </row>
    <row r="4147" spans="1:11" hidden="1" x14ac:dyDescent="0.25">
      <c r="A4147" s="148" t="s">
        <v>9631</v>
      </c>
      <c r="B4147" s="149" t="s">
        <v>9632</v>
      </c>
      <c r="C4147" s="150" t="s">
        <v>18</v>
      </c>
      <c r="D4147" s="150">
        <v>0</v>
      </c>
      <c r="E4147" s="151" t="s">
        <v>13</v>
      </c>
      <c r="F4147" s="152" t="str">
        <f t="shared" si="194"/>
        <v/>
      </c>
      <c r="G4147" s="153">
        <f>IF($K4147="Padrão",BDI!$B$17,IF($K4147="Diferenciado",BDI!$E$17,0))</f>
        <v>0.2039</v>
      </c>
      <c r="H4147" s="151" t="str">
        <f t="shared" si="192"/>
        <v/>
      </c>
      <c r="I4147" s="152" t="str">
        <f t="shared" si="193"/>
        <v/>
      </c>
      <c r="J4147" s="154"/>
      <c r="K4147" s="155" t="s">
        <v>2966</v>
      </c>
    </row>
    <row r="4148" spans="1:11" hidden="1" x14ac:dyDescent="0.25">
      <c r="A4148" s="148" t="s">
        <v>9633</v>
      </c>
      <c r="B4148" s="149" t="s">
        <v>9634</v>
      </c>
      <c r="C4148" s="150" t="s">
        <v>18</v>
      </c>
      <c r="D4148" s="150">
        <v>0</v>
      </c>
      <c r="E4148" s="151" t="s">
        <v>13</v>
      </c>
      <c r="F4148" s="152" t="str">
        <f t="shared" si="194"/>
        <v/>
      </c>
      <c r="G4148" s="153">
        <f>IF($K4148="Padrão",BDI!$B$17,IF($K4148="Diferenciado",BDI!$E$17,0))</f>
        <v>0.2039</v>
      </c>
      <c r="H4148" s="151" t="str">
        <f t="shared" si="192"/>
        <v/>
      </c>
      <c r="I4148" s="152" t="str">
        <f t="shared" si="193"/>
        <v/>
      </c>
      <c r="J4148" s="154"/>
      <c r="K4148" s="155" t="s">
        <v>2966</v>
      </c>
    </row>
    <row r="4149" spans="1:11" hidden="1" x14ac:dyDescent="0.25">
      <c r="A4149" s="148" t="s">
        <v>9635</v>
      </c>
      <c r="B4149" s="149" t="s">
        <v>9636</v>
      </c>
      <c r="C4149" s="150" t="s">
        <v>18</v>
      </c>
      <c r="D4149" s="150">
        <v>0</v>
      </c>
      <c r="E4149" s="151" t="s">
        <v>13</v>
      </c>
      <c r="F4149" s="152" t="str">
        <f t="shared" si="194"/>
        <v/>
      </c>
      <c r="G4149" s="153">
        <f>IF($K4149="Padrão",BDI!$B$17,IF($K4149="Diferenciado",BDI!$E$17,0))</f>
        <v>0.2039</v>
      </c>
      <c r="H4149" s="151" t="str">
        <f t="shared" si="192"/>
        <v/>
      </c>
      <c r="I4149" s="152" t="str">
        <f t="shared" si="193"/>
        <v/>
      </c>
      <c r="J4149" s="154"/>
      <c r="K4149" s="155" t="s">
        <v>2966</v>
      </c>
    </row>
    <row r="4150" spans="1:11" hidden="1" x14ac:dyDescent="0.25">
      <c r="A4150" s="148" t="s">
        <v>9637</v>
      </c>
      <c r="B4150" s="149" t="s">
        <v>9638</v>
      </c>
      <c r="C4150" s="150" t="s">
        <v>18</v>
      </c>
      <c r="D4150" s="150">
        <v>0</v>
      </c>
      <c r="E4150" s="151" t="s">
        <v>13</v>
      </c>
      <c r="F4150" s="152" t="str">
        <f t="shared" si="194"/>
        <v/>
      </c>
      <c r="G4150" s="153">
        <f>IF($K4150="Padrão",BDI!$B$17,IF($K4150="Diferenciado",BDI!$E$17,0))</f>
        <v>0.2039</v>
      </c>
      <c r="H4150" s="151" t="str">
        <f t="shared" si="192"/>
        <v/>
      </c>
      <c r="I4150" s="152" t="str">
        <f t="shared" si="193"/>
        <v/>
      </c>
      <c r="J4150" s="154"/>
      <c r="K4150" s="155" t="s">
        <v>2966</v>
      </c>
    </row>
    <row r="4151" spans="1:11" hidden="1" x14ac:dyDescent="0.25">
      <c r="A4151" s="148" t="s">
        <v>9639</v>
      </c>
      <c r="B4151" s="149" t="s">
        <v>9640</v>
      </c>
      <c r="C4151" s="150" t="s">
        <v>18</v>
      </c>
      <c r="D4151" s="150">
        <v>0</v>
      </c>
      <c r="E4151" s="151" t="s">
        <v>13</v>
      </c>
      <c r="F4151" s="152" t="str">
        <f t="shared" si="194"/>
        <v/>
      </c>
      <c r="G4151" s="153">
        <f>IF($K4151="Padrão",BDI!$B$17,IF($K4151="Diferenciado",BDI!$E$17,0))</f>
        <v>0.2039</v>
      </c>
      <c r="H4151" s="151" t="str">
        <f t="shared" si="192"/>
        <v/>
      </c>
      <c r="I4151" s="152" t="str">
        <f t="shared" si="193"/>
        <v/>
      </c>
      <c r="J4151" s="154"/>
      <c r="K4151" s="155" t="s">
        <v>2966</v>
      </c>
    </row>
    <row r="4152" spans="1:11" hidden="1" x14ac:dyDescent="0.25">
      <c r="A4152" s="148" t="s">
        <v>9641</v>
      </c>
      <c r="B4152" s="149" t="s">
        <v>9642</v>
      </c>
      <c r="C4152" s="150" t="s">
        <v>461</v>
      </c>
      <c r="D4152" s="150">
        <v>0</v>
      </c>
      <c r="E4152" s="151" t="s">
        <v>13</v>
      </c>
      <c r="F4152" s="152" t="str">
        <f t="shared" si="194"/>
        <v/>
      </c>
      <c r="G4152" s="153">
        <f>IF($K4152="Padrão",BDI!$B$17,IF($K4152="Diferenciado",BDI!$E$17,0))</f>
        <v>0.2039</v>
      </c>
      <c r="H4152" s="151" t="str">
        <f t="shared" si="192"/>
        <v/>
      </c>
      <c r="I4152" s="152" t="str">
        <f t="shared" si="193"/>
        <v/>
      </c>
      <c r="J4152" s="154"/>
      <c r="K4152" s="155" t="s">
        <v>2966</v>
      </c>
    </row>
    <row r="4153" spans="1:11" hidden="1" x14ac:dyDescent="0.25">
      <c r="A4153" s="148" t="s">
        <v>9643</v>
      </c>
      <c r="B4153" s="149" t="s">
        <v>9644</v>
      </c>
      <c r="C4153" s="150" t="s">
        <v>461</v>
      </c>
      <c r="D4153" s="150">
        <v>0</v>
      </c>
      <c r="E4153" s="151" t="s">
        <v>13</v>
      </c>
      <c r="F4153" s="152" t="str">
        <f t="shared" si="194"/>
        <v/>
      </c>
      <c r="G4153" s="153">
        <f>IF($K4153="Padrão",BDI!$B$17,IF($K4153="Diferenciado",BDI!$E$17,0))</f>
        <v>0.2039</v>
      </c>
      <c r="H4153" s="151" t="str">
        <f t="shared" si="192"/>
        <v/>
      </c>
      <c r="I4153" s="152" t="str">
        <f t="shared" si="193"/>
        <v/>
      </c>
      <c r="J4153" s="154"/>
      <c r="K4153" s="155" t="s">
        <v>2966</v>
      </c>
    </row>
    <row r="4154" spans="1:11" hidden="1" x14ac:dyDescent="0.25">
      <c r="A4154" s="148" t="s">
        <v>9645</v>
      </c>
      <c r="B4154" s="149" t="s">
        <v>9646</v>
      </c>
      <c r="C4154" s="150" t="s">
        <v>461</v>
      </c>
      <c r="D4154" s="150">
        <v>0</v>
      </c>
      <c r="E4154" s="151" t="s">
        <v>13</v>
      </c>
      <c r="F4154" s="152" t="str">
        <f t="shared" si="194"/>
        <v/>
      </c>
      <c r="G4154" s="153">
        <f>IF($K4154="Padrão",BDI!$B$17,IF($K4154="Diferenciado",BDI!$E$17,0))</f>
        <v>0.2039</v>
      </c>
      <c r="H4154" s="151" t="str">
        <f t="shared" si="192"/>
        <v/>
      </c>
      <c r="I4154" s="152" t="str">
        <f t="shared" si="193"/>
        <v/>
      </c>
      <c r="J4154" s="154"/>
      <c r="K4154" s="155" t="s">
        <v>2966</v>
      </c>
    </row>
    <row r="4155" spans="1:11" hidden="1" x14ac:dyDescent="0.25">
      <c r="A4155" s="148" t="s">
        <v>9647</v>
      </c>
      <c r="B4155" s="149" t="s">
        <v>9648</v>
      </c>
      <c r="C4155" s="150" t="s">
        <v>18</v>
      </c>
      <c r="D4155" s="150">
        <v>0</v>
      </c>
      <c r="E4155" s="151" t="s">
        <v>13</v>
      </c>
      <c r="F4155" s="152" t="str">
        <f t="shared" si="194"/>
        <v/>
      </c>
      <c r="G4155" s="153">
        <f>IF($K4155="Padrão",BDI!$B$17,IF($K4155="Diferenciado",BDI!$E$17,0))</f>
        <v>0.2039</v>
      </c>
      <c r="H4155" s="151" t="str">
        <f t="shared" si="192"/>
        <v/>
      </c>
      <c r="I4155" s="152" t="str">
        <f t="shared" si="193"/>
        <v/>
      </c>
      <c r="J4155" s="154"/>
      <c r="K4155" s="155" t="s">
        <v>2966</v>
      </c>
    </row>
    <row r="4156" spans="1:11" hidden="1" x14ac:dyDescent="0.25">
      <c r="A4156" s="148" t="s">
        <v>9649</v>
      </c>
      <c r="B4156" s="149" t="s">
        <v>9650</v>
      </c>
      <c r="C4156" s="150" t="s">
        <v>18</v>
      </c>
      <c r="D4156" s="150">
        <v>0</v>
      </c>
      <c r="E4156" s="151" t="s">
        <v>13</v>
      </c>
      <c r="F4156" s="152" t="str">
        <f t="shared" si="194"/>
        <v/>
      </c>
      <c r="G4156" s="153">
        <f>IF($K4156="Padrão",BDI!$B$17,IF($K4156="Diferenciado",BDI!$E$17,0))</f>
        <v>0.2039</v>
      </c>
      <c r="H4156" s="151" t="str">
        <f t="shared" si="192"/>
        <v/>
      </c>
      <c r="I4156" s="152" t="str">
        <f t="shared" si="193"/>
        <v/>
      </c>
      <c r="J4156" s="154"/>
      <c r="K4156" s="155" t="s">
        <v>2966</v>
      </c>
    </row>
    <row r="4157" spans="1:11" hidden="1" x14ac:dyDescent="0.25">
      <c r="A4157" s="148" t="s">
        <v>9651</v>
      </c>
      <c r="B4157" s="149" t="s">
        <v>9652</v>
      </c>
      <c r="C4157" s="150" t="s">
        <v>18</v>
      </c>
      <c r="D4157" s="150">
        <v>0</v>
      </c>
      <c r="E4157" s="151" t="s">
        <v>13</v>
      </c>
      <c r="F4157" s="152" t="str">
        <f t="shared" si="194"/>
        <v/>
      </c>
      <c r="G4157" s="153">
        <f>IF($K4157="Padrão",BDI!$B$17,IF($K4157="Diferenciado",BDI!$E$17,0))</f>
        <v>0.2039</v>
      </c>
      <c r="H4157" s="151" t="str">
        <f t="shared" si="192"/>
        <v/>
      </c>
      <c r="I4157" s="152" t="str">
        <f t="shared" si="193"/>
        <v/>
      </c>
      <c r="J4157" s="154"/>
      <c r="K4157" s="155" t="s">
        <v>2966</v>
      </c>
    </row>
    <row r="4158" spans="1:11" hidden="1" x14ac:dyDescent="0.25">
      <c r="A4158" s="148" t="s">
        <v>9653</v>
      </c>
      <c r="B4158" s="149" t="s">
        <v>9654</v>
      </c>
      <c r="C4158" s="150" t="s">
        <v>18</v>
      </c>
      <c r="D4158" s="150">
        <v>0</v>
      </c>
      <c r="E4158" s="151" t="s">
        <v>13</v>
      </c>
      <c r="F4158" s="152" t="str">
        <f t="shared" si="194"/>
        <v/>
      </c>
      <c r="G4158" s="153">
        <f>IF($K4158="Padrão",BDI!$B$17,IF($K4158="Diferenciado",BDI!$E$17,0))</f>
        <v>0.2039</v>
      </c>
      <c r="H4158" s="151" t="str">
        <f t="shared" si="192"/>
        <v/>
      </c>
      <c r="I4158" s="152" t="str">
        <f t="shared" si="193"/>
        <v/>
      </c>
      <c r="J4158" s="154"/>
      <c r="K4158" s="155" t="s">
        <v>2966</v>
      </c>
    </row>
    <row r="4159" spans="1:11" hidden="1" x14ac:dyDescent="0.25">
      <c r="A4159" s="148" t="s">
        <v>9655</v>
      </c>
      <c r="B4159" s="149" t="s">
        <v>9656</v>
      </c>
      <c r="C4159" s="150" t="s">
        <v>18</v>
      </c>
      <c r="D4159" s="150">
        <v>0</v>
      </c>
      <c r="E4159" s="151" t="s">
        <v>13</v>
      </c>
      <c r="F4159" s="152" t="str">
        <f t="shared" si="194"/>
        <v/>
      </c>
      <c r="G4159" s="153">
        <f>IF($K4159="Padrão",BDI!$B$17,IF($K4159="Diferenciado",BDI!$E$17,0))</f>
        <v>0.2039</v>
      </c>
      <c r="H4159" s="151" t="str">
        <f t="shared" si="192"/>
        <v/>
      </c>
      <c r="I4159" s="152" t="str">
        <f t="shared" si="193"/>
        <v/>
      </c>
      <c r="J4159" s="154"/>
      <c r="K4159" s="155" t="s">
        <v>2966</v>
      </c>
    </row>
    <row r="4160" spans="1:11" hidden="1" x14ac:dyDescent="0.25">
      <c r="A4160" s="148" t="s">
        <v>9657</v>
      </c>
      <c r="B4160" s="149" t="s">
        <v>9658</v>
      </c>
      <c r="C4160" s="150" t="s">
        <v>18</v>
      </c>
      <c r="D4160" s="150">
        <v>0</v>
      </c>
      <c r="E4160" s="151" t="s">
        <v>13</v>
      </c>
      <c r="F4160" s="152" t="str">
        <f t="shared" si="194"/>
        <v/>
      </c>
      <c r="G4160" s="153">
        <f>IF($K4160="Padrão",BDI!$B$17,IF($K4160="Diferenciado",BDI!$E$17,0))</f>
        <v>0.2039</v>
      </c>
      <c r="H4160" s="151" t="str">
        <f t="shared" si="192"/>
        <v/>
      </c>
      <c r="I4160" s="152" t="str">
        <f t="shared" si="193"/>
        <v/>
      </c>
      <c r="J4160" s="154"/>
      <c r="K4160" s="155" t="s">
        <v>2966</v>
      </c>
    </row>
    <row r="4161" spans="1:11" hidden="1" x14ac:dyDescent="0.25">
      <c r="A4161" s="148" t="s">
        <v>9659</v>
      </c>
      <c r="B4161" s="149" t="s">
        <v>9660</v>
      </c>
      <c r="C4161" s="150" t="s">
        <v>18</v>
      </c>
      <c r="D4161" s="150">
        <v>0</v>
      </c>
      <c r="E4161" s="151" t="s">
        <v>13</v>
      </c>
      <c r="F4161" s="152" t="str">
        <f t="shared" si="194"/>
        <v/>
      </c>
      <c r="G4161" s="153">
        <f>IF($K4161="Padrão",BDI!$B$17,IF($K4161="Diferenciado",BDI!$E$17,0))</f>
        <v>0.2039</v>
      </c>
      <c r="H4161" s="151" t="str">
        <f t="shared" si="192"/>
        <v/>
      </c>
      <c r="I4161" s="152" t="str">
        <f t="shared" si="193"/>
        <v/>
      </c>
      <c r="J4161" s="154"/>
      <c r="K4161" s="155" t="s">
        <v>2966</v>
      </c>
    </row>
    <row r="4162" spans="1:11" hidden="1" x14ac:dyDescent="0.25">
      <c r="A4162" s="148" t="s">
        <v>9661</v>
      </c>
      <c r="B4162" s="149" t="s">
        <v>9662</v>
      </c>
      <c r="C4162" s="150" t="s">
        <v>18</v>
      </c>
      <c r="D4162" s="150">
        <v>0</v>
      </c>
      <c r="E4162" s="151" t="s">
        <v>13</v>
      </c>
      <c r="F4162" s="152" t="str">
        <f t="shared" si="194"/>
        <v/>
      </c>
      <c r="G4162" s="153">
        <f>IF($K4162="Padrão",BDI!$B$17,IF($K4162="Diferenciado",BDI!$E$17,0))</f>
        <v>0.2039</v>
      </c>
      <c r="H4162" s="151" t="str">
        <f t="shared" si="192"/>
        <v/>
      </c>
      <c r="I4162" s="152" t="str">
        <f t="shared" si="193"/>
        <v/>
      </c>
      <c r="J4162" s="154"/>
      <c r="K4162" s="155" t="s">
        <v>2966</v>
      </c>
    </row>
    <row r="4163" spans="1:11" hidden="1" x14ac:dyDescent="0.25">
      <c r="A4163" s="148" t="s">
        <v>9663</v>
      </c>
      <c r="B4163" s="149" t="s">
        <v>9664</v>
      </c>
      <c r="C4163" s="150" t="s">
        <v>18</v>
      </c>
      <c r="D4163" s="150">
        <v>0</v>
      </c>
      <c r="E4163" s="151" t="s">
        <v>13</v>
      </c>
      <c r="F4163" s="152" t="str">
        <f t="shared" si="194"/>
        <v/>
      </c>
      <c r="G4163" s="153">
        <f>IF($K4163="Padrão",BDI!$B$17,IF($K4163="Diferenciado",BDI!$E$17,0))</f>
        <v>0.2039</v>
      </c>
      <c r="H4163" s="151" t="str">
        <f t="shared" si="192"/>
        <v/>
      </c>
      <c r="I4163" s="152" t="str">
        <f t="shared" si="193"/>
        <v/>
      </c>
      <c r="J4163" s="154"/>
      <c r="K4163" s="155" t="s">
        <v>2966</v>
      </c>
    </row>
    <row r="4164" spans="1:11" hidden="1" x14ac:dyDescent="0.25">
      <c r="A4164" s="148" t="s">
        <v>9665</v>
      </c>
      <c r="B4164" s="149" t="s">
        <v>9666</v>
      </c>
      <c r="C4164" s="150" t="s">
        <v>18</v>
      </c>
      <c r="D4164" s="150">
        <v>0</v>
      </c>
      <c r="E4164" s="151" t="s">
        <v>13</v>
      </c>
      <c r="F4164" s="152" t="str">
        <f t="shared" si="194"/>
        <v/>
      </c>
      <c r="G4164" s="153">
        <f>IF($K4164="Padrão",BDI!$B$17,IF($K4164="Diferenciado",BDI!$E$17,0))</f>
        <v>0.2039</v>
      </c>
      <c r="H4164" s="151" t="str">
        <f t="shared" si="192"/>
        <v/>
      </c>
      <c r="I4164" s="152" t="str">
        <f t="shared" si="193"/>
        <v/>
      </c>
      <c r="J4164" s="154"/>
      <c r="K4164" s="155" t="s">
        <v>2966</v>
      </c>
    </row>
    <row r="4165" spans="1:11" hidden="1" x14ac:dyDescent="0.25">
      <c r="A4165" s="148" t="s">
        <v>9667</v>
      </c>
      <c r="B4165" s="149" t="s">
        <v>9668</v>
      </c>
      <c r="C4165" s="150" t="s">
        <v>18</v>
      </c>
      <c r="D4165" s="150">
        <v>0</v>
      </c>
      <c r="E4165" s="151" t="s">
        <v>13</v>
      </c>
      <c r="F4165" s="152" t="str">
        <f t="shared" si="194"/>
        <v/>
      </c>
      <c r="G4165" s="153">
        <f>IF($K4165="Padrão",BDI!$B$17,IF($K4165="Diferenciado",BDI!$E$17,0))</f>
        <v>0.2039</v>
      </c>
      <c r="H4165" s="151" t="str">
        <f t="shared" si="192"/>
        <v/>
      </c>
      <c r="I4165" s="152" t="str">
        <f t="shared" si="193"/>
        <v/>
      </c>
      <c r="J4165" s="154"/>
      <c r="K4165" s="155" t="s">
        <v>2966</v>
      </c>
    </row>
    <row r="4166" spans="1:11" hidden="1" x14ac:dyDescent="0.25">
      <c r="A4166" s="148" t="s">
        <v>9669</v>
      </c>
      <c r="B4166" s="149" t="s">
        <v>9670</v>
      </c>
      <c r="C4166" s="150" t="s">
        <v>18</v>
      </c>
      <c r="D4166" s="150">
        <v>0</v>
      </c>
      <c r="E4166" s="151" t="s">
        <v>13</v>
      </c>
      <c r="F4166" s="152" t="str">
        <f t="shared" si="194"/>
        <v/>
      </c>
      <c r="G4166" s="153">
        <f>IF($K4166="Padrão",BDI!$B$17,IF($K4166="Diferenciado",BDI!$E$17,0))</f>
        <v>0.2039</v>
      </c>
      <c r="H4166" s="151" t="str">
        <f t="shared" ref="H4166:H4229" si="195">IF(ISNUMBER(E4166),ROUND(E4166*(1+G4166),2),"")</f>
        <v/>
      </c>
      <c r="I4166" s="152" t="str">
        <f t="shared" ref="I4166:I4229" si="196">IF(ISNUMBER(E4166),ROUND(H4166*D4166,2),"")</f>
        <v/>
      </c>
      <c r="J4166" s="154"/>
      <c r="K4166" s="155" t="s">
        <v>2966</v>
      </c>
    </row>
    <row r="4167" spans="1:11" hidden="1" x14ac:dyDescent="0.25">
      <c r="A4167" s="148" t="s">
        <v>9671</v>
      </c>
      <c r="B4167" s="149" t="s">
        <v>9672</v>
      </c>
      <c r="C4167" s="150" t="s">
        <v>18</v>
      </c>
      <c r="D4167" s="150">
        <v>0</v>
      </c>
      <c r="E4167" s="151" t="s">
        <v>13</v>
      </c>
      <c r="F4167" s="152" t="str">
        <f t="shared" ref="F4167:F4230" si="197">IF(ISNUMBER(E4167),D4167*E4167,"")</f>
        <v/>
      </c>
      <c r="G4167" s="153">
        <f>IF($K4167="Padrão",BDI!$B$17,IF($K4167="Diferenciado",BDI!$E$17,0))</f>
        <v>0.2039</v>
      </c>
      <c r="H4167" s="151" t="str">
        <f t="shared" si="195"/>
        <v/>
      </c>
      <c r="I4167" s="152" t="str">
        <f t="shared" si="196"/>
        <v/>
      </c>
      <c r="J4167" s="154"/>
      <c r="K4167" s="155" t="s">
        <v>2966</v>
      </c>
    </row>
    <row r="4168" spans="1:11" hidden="1" x14ac:dyDescent="0.25">
      <c r="A4168" s="148" t="s">
        <v>9673</v>
      </c>
      <c r="B4168" s="149" t="s">
        <v>9674</v>
      </c>
      <c r="C4168" s="150" t="s">
        <v>18</v>
      </c>
      <c r="D4168" s="150">
        <v>0</v>
      </c>
      <c r="E4168" s="151" t="s">
        <v>13</v>
      </c>
      <c r="F4168" s="152" t="str">
        <f t="shared" si="197"/>
        <v/>
      </c>
      <c r="G4168" s="153">
        <f>IF($K4168="Padrão",BDI!$B$17,IF($K4168="Diferenciado",BDI!$E$17,0))</f>
        <v>0.2039</v>
      </c>
      <c r="H4168" s="151" t="str">
        <f t="shared" si="195"/>
        <v/>
      </c>
      <c r="I4168" s="152" t="str">
        <f t="shared" si="196"/>
        <v/>
      </c>
      <c r="J4168" s="154"/>
      <c r="K4168" s="155" t="s">
        <v>2966</v>
      </c>
    </row>
    <row r="4169" spans="1:11" hidden="1" x14ac:dyDescent="0.25">
      <c r="A4169" s="148" t="s">
        <v>9675</v>
      </c>
      <c r="B4169" s="149" t="s">
        <v>9676</v>
      </c>
      <c r="C4169" s="150" t="s">
        <v>18</v>
      </c>
      <c r="D4169" s="150">
        <v>0</v>
      </c>
      <c r="E4169" s="151" t="s">
        <v>13</v>
      </c>
      <c r="F4169" s="152" t="str">
        <f t="shared" si="197"/>
        <v/>
      </c>
      <c r="G4169" s="153">
        <f>IF($K4169="Padrão",BDI!$B$17,IF($K4169="Diferenciado",BDI!$E$17,0))</f>
        <v>0.2039</v>
      </c>
      <c r="H4169" s="151" t="str">
        <f t="shared" si="195"/>
        <v/>
      </c>
      <c r="I4169" s="152" t="str">
        <f t="shared" si="196"/>
        <v/>
      </c>
      <c r="J4169" s="154"/>
      <c r="K4169" s="155" t="s">
        <v>2966</v>
      </c>
    </row>
    <row r="4170" spans="1:11" hidden="1" x14ac:dyDescent="0.25">
      <c r="A4170" s="148" t="s">
        <v>9677</v>
      </c>
      <c r="B4170" s="149" t="s">
        <v>9678</v>
      </c>
      <c r="C4170" s="150" t="s">
        <v>461</v>
      </c>
      <c r="D4170" s="150">
        <v>0</v>
      </c>
      <c r="E4170" s="151" t="s">
        <v>13</v>
      </c>
      <c r="F4170" s="152" t="str">
        <f t="shared" si="197"/>
        <v/>
      </c>
      <c r="G4170" s="153">
        <f>IF($K4170="Padrão",BDI!$B$17,IF($K4170="Diferenciado",BDI!$E$17,0))</f>
        <v>0.2039</v>
      </c>
      <c r="H4170" s="151" t="str">
        <f t="shared" si="195"/>
        <v/>
      </c>
      <c r="I4170" s="152" t="str">
        <f t="shared" si="196"/>
        <v/>
      </c>
      <c r="J4170" s="154"/>
      <c r="K4170" s="155" t="s">
        <v>2966</v>
      </c>
    </row>
    <row r="4171" spans="1:11" hidden="1" x14ac:dyDescent="0.25">
      <c r="A4171" s="148" t="s">
        <v>9679</v>
      </c>
      <c r="B4171" s="149" t="s">
        <v>9680</v>
      </c>
      <c r="C4171" s="150" t="s">
        <v>18</v>
      </c>
      <c r="D4171" s="150">
        <v>0</v>
      </c>
      <c r="E4171" s="151" t="s">
        <v>13</v>
      </c>
      <c r="F4171" s="152" t="str">
        <f t="shared" si="197"/>
        <v/>
      </c>
      <c r="G4171" s="153">
        <f>IF($K4171="Padrão",BDI!$B$17,IF($K4171="Diferenciado",BDI!$E$17,0))</f>
        <v>0.2039</v>
      </c>
      <c r="H4171" s="151" t="str">
        <f t="shared" si="195"/>
        <v/>
      </c>
      <c r="I4171" s="152" t="str">
        <f t="shared" si="196"/>
        <v/>
      </c>
      <c r="J4171" s="154"/>
      <c r="K4171" s="155" t="s">
        <v>2966</v>
      </c>
    </row>
    <row r="4172" spans="1:11" hidden="1" x14ac:dyDescent="0.25">
      <c r="A4172" s="148" t="s">
        <v>9681</v>
      </c>
      <c r="B4172" s="149" t="s">
        <v>9682</v>
      </c>
      <c r="C4172" s="150" t="s">
        <v>18</v>
      </c>
      <c r="D4172" s="150">
        <v>0</v>
      </c>
      <c r="E4172" s="151" t="s">
        <v>13</v>
      </c>
      <c r="F4172" s="152" t="str">
        <f t="shared" si="197"/>
        <v/>
      </c>
      <c r="G4172" s="153">
        <f>IF($K4172="Padrão",BDI!$B$17,IF($K4172="Diferenciado",BDI!$E$17,0))</f>
        <v>0.2039</v>
      </c>
      <c r="H4172" s="151" t="str">
        <f t="shared" si="195"/>
        <v/>
      </c>
      <c r="I4172" s="152" t="str">
        <f t="shared" si="196"/>
        <v/>
      </c>
      <c r="J4172" s="154"/>
      <c r="K4172" s="155" t="s">
        <v>2966</v>
      </c>
    </row>
    <row r="4173" spans="1:11" hidden="1" x14ac:dyDescent="0.25">
      <c r="A4173" s="148" t="s">
        <v>9683</v>
      </c>
      <c r="B4173" s="149" t="s">
        <v>9684</v>
      </c>
      <c r="C4173" s="150" t="s">
        <v>18</v>
      </c>
      <c r="D4173" s="150">
        <v>0</v>
      </c>
      <c r="E4173" s="151" t="s">
        <v>13</v>
      </c>
      <c r="F4173" s="152" t="str">
        <f t="shared" si="197"/>
        <v/>
      </c>
      <c r="G4173" s="153">
        <f>IF($K4173="Padrão",BDI!$B$17,IF($K4173="Diferenciado",BDI!$E$17,0))</f>
        <v>0.2039</v>
      </c>
      <c r="H4173" s="151" t="str">
        <f t="shared" si="195"/>
        <v/>
      </c>
      <c r="I4173" s="152" t="str">
        <f t="shared" si="196"/>
        <v/>
      </c>
      <c r="J4173" s="154"/>
      <c r="K4173" s="155" t="s">
        <v>2966</v>
      </c>
    </row>
    <row r="4174" spans="1:11" hidden="1" x14ac:dyDescent="0.25">
      <c r="A4174" s="148" t="s">
        <v>9685</v>
      </c>
      <c r="B4174" s="149" t="s">
        <v>9686</v>
      </c>
      <c r="C4174" s="150" t="s">
        <v>18</v>
      </c>
      <c r="D4174" s="150">
        <v>0</v>
      </c>
      <c r="E4174" s="151" t="s">
        <v>13</v>
      </c>
      <c r="F4174" s="152" t="str">
        <f t="shared" si="197"/>
        <v/>
      </c>
      <c r="G4174" s="153">
        <f>IF($K4174="Padrão",BDI!$B$17,IF($K4174="Diferenciado",BDI!$E$17,0))</f>
        <v>0.2039</v>
      </c>
      <c r="H4174" s="151" t="str">
        <f t="shared" si="195"/>
        <v/>
      </c>
      <c r="I4174" s="152" t="str">
        <f t="shared" si="196"/>
        <v/>
      </c>
      <c r="J4174" s="154"/>
      <c r="K4174" s="155" t="s">
        <v>2966</v>
      </c>
    </row>
    <row r="4175" spans="1:11" hidden="1" x14ac:dyDescent="0.25">
      <c r="A4175" s="148" t="s">
        <v>9687</v>
      </c>
      <c r="B4175" s="149" t="s">
        <v>9688</v>
      </c>
      <c r="C4175" s="150" t="s">
        <v>18</v>
      </c>
      <c r="D4175" s="150">
        <v>0</v>
      </c>
      <c r="E4175" s="151" t="s">
        <v>13</v>
      </c>
      <c r="F4175" s="152" t="str">
        <f t="shared" si="197"/>
        <v/>
      </c>
      <c r="G4175" s="153">
        <f>IF($K4175="Padrão",BDI!$B$17,IF($K4175="Diferenciado",BDI!$E$17,0))</f>
        <v>0.2039</v>
      </c>
      <c r="H4175" s="151" t="str">
        <f t="shared" si="195"/>
        <v/>
      </c>
      <c r="I4175" s="152" t="str">
        <f t="shared" si="196"/>
        <v/>
      </c>
      <c r="J4175" s="154"/>
      <c r="K4175" s="155" t="s">
        <v>2966</v>
      </c>
    </row>
    <row r="4176" spans="1:11" hidden="1" x14ac:dyDescent="0.25">
      <c r="A4176" s="148" t="s">
        <v>9689</v>
      </c>
      <c r="B4176" s="149" t="s">
        <v>9690</v>
      </c>
      <c r="C4176" s="150" t="s">
        <v>18</v>
      </c>
      <c r="D4176" s="150">
        <v>0</v>
      </c>
      <c r="E4176" s="151" t="s">
        <v>13</v>
      </c>
      <c r="F4176" s="152" t="str">
        <f t="shared" si="197"/>
        <v/>
      </c>
      <c r="G4176" s="153">
        <f>IF($K4176="Padrão",BDI!$B$17,IF($K4176="Diferenciado",BDI!$E$17,0))</f>
        <v>0.2039</v>
      </c>
      <c r="H4176" s="151" t="str">
        <f t="shared" si="195"/>
        <v/>
      </c>
      <c r="I4176" s="152" t="str">
        <f t="shared" si="196"/>
        <v/>
      </c>
      <c r="J4176" s="154"/>
      <c r="K4176" s="155" t="s">
        <v>2966</v>
      </c>
    </row>
    <row r="4177" spans="1:11" hidden="1" x14ac:dyDescent="0.25">
      <c r="A4177" s="148" t="s">
        <v>9691</v>
      </c>
      <c r="B4177" s="149" t="s">
        <v>9692</v>
      </c>
      <c r="C4177" s="150" t="s">
        <v>461</v>
      </c>
      <c r="D4177" s="150">
        <v>0</v>
      </c>
      <c r="E4177" s="151" t="s">
        <v>13</v>
      </c>
      <c r="F4177" s="152" t="str">
        <f t="shared" si="197"/>
        <v/>
      </c>
      <c r="G4177" s="153">
        <f>IF($K4177="Padrão",BDI!$B$17,IF($K4177="Diferenciado",BDI!$E$17,0))</f>
        <v>0.2039</v>
      </c>
      <c r="H4177" s="151" t="str">
        <f t="shared" si="195"/>
        <v/>
      </c>
      <c r="I4177" s="152" t="str">
        <f t="shared" si="196"/>
        <v/>
      </c>
      <c r="J4177" s="154"/>
      <c r="K4177" s="155" t="s">
        <v>2966</v>
      </c>
    </row>
    <row r="4178" spans="1:11" hidden="1" x14ac:dyDescent="0.25">
      <c r="A4178" s="148" t="s">
        <v>9693</v>
      </c>
      <c r="B4178" s="149" t="s">
        <v>9694</v>
      </c>
      <c r="C4178" s="150" t="s">
        <v>18</v>
      </c>
      <c r="D4178" s="150">
        <v>0</v>
      </c>
      <c r="E4178" s="151" t="s">
        <v>13</v>
      </c>
      <c r="F4178" s="152" t="str">
        <f t="shared" si="197"/>
        <v/>
      </c>
      <c r="G4178" s="153">
        <f>IF($K4178="Padrão",BDI!$B$17,IF($K4178="Diferenciado",BDI!$E$17,0))</f>
        <v>0.2039</v>
      </c>
      <c r="H4178" s="151" t="str">
        <f t="shared" si="195"/>
        <v/>
      </c>
      <c r="I4178" s="152" t="str">
        <f t="shared" si="196"/>
        <v/>
      </c>
      <c r="J4178" s="154"/>
      <c r="K4178" s="155" t="s">
        <v>2966</v>
      </c>
    </row>
    <row r="4179" spans="1:11" hidden="1" x14ac:dyDescent="0.25">
      <c r="A4179" s="148" t="s">
        <v>9695</v>
      </c>
      <c r="B4179" s="149" t="s">
        <v>9696</v>
      </c>
      <c r="C4179" s="150" t="s">
        <v>18</v>
      </c>
      <c r="D4179" s="150">
        <v>0</v>
      </c>
      <c r="E4179" s="151" t="s">
        <v>13</v>
      </c>
      <c r="F4179" s="152" t="str">
        <f t="shared" si="197"/>
        <v/>
      </c>
      <c r="G4179" s="153">
        <f>IF($K4179="Padrão",BDI!$B$17,IF($K4179="Diferenciado",BDI!$E$17,0))</f>
        <v>0.2039</v>
      </c>
      <c r="H4179" s="151" t="str">
        <f t="shared" si="195"/>
        <v/>
      </c>
      <c r="I4179" s="152" t="str">
        <f t="shared" si="196"/>
        <v/>
      </c>
      <c r="J4179" s="154"/>
      <c r="K4179" s="155" t="s">
        <v>2966</v>
      </c>
    </row>
    <row r="4180" spans="1:11" hidden="1" x14ac:dyDescent="0.25">
      <c r="A4180" s="148" t="s">
        <v>9697</v>
      </c>
      <c r="B4180" s="149" t="s">
        <v>9698</v>
      </c>
      <c r="C4180" s="150" t="s">
        <v>18</v>
      </c>
      <c r="D4180" s="150">
        <v>0</v>
      </c>
      <c r="E4180" s="151" t="s">
        <v>13</v>
      </c>
      <c r="F4180" s="152" t="str">
        <f t="shared" si="197"/>
        <v/>
      </c>
      <c r="G4180" s="153">
        <f>IF($K4180="Padrão",BDI!$B$17,IF($K4180="Diferenciado",BDI!$E$17,0))</f>
        <v>0.2039</v>
      </c>
      <c r="H4180" s="151" t="str">
        <f t="shared" si="195"/>
        <v/>
      </c>
      <c r="I4180" s="152" t="str">
        <f t="shared" si="196"/>
        <v/>
      </c>
      <c r="J4180" s="154"/>
      <c r="K4180" s="155" t="s">
        <v>2966</v>
      </c>
    </row>
    <row r="4181" spans="1:11" hidden="1" x14ac:dyDescent="0.25">
      <c r="A4181" s="148" t="s">
        <v>9699</v>
      </c>
      <c r="B4181" s="149" t="s">
        <v>9700</v>
      </c>
      <c r="C4181" s="150" t="s">
        <v>18</v>
      </c>
      <c r="D4181" s="150">
        <v>0</v>
      </c>
      <c r="E4181" s="151" t="s">
        <v>13</v>
      </c>
      <c r="F4181" s="152" t="str">
        <f t="shared" si="197"/>
        <v/>
      </c>
      <c r="G4181" s="153">
        <f>IF($K4181="Padrão",BDI!$B$17,IF($K4181="Diferenciado",BDI!$E$17,0))</f>
        <v>0.2039</v>
      </c>
      <c r="H4181" s="151" t="str">
        <f t="shared" si="195"/>
        <v/>
      </c>
      <c r="I4181" s="152" t="str">
        <f t="shared" si="196"/>
        <v/>
      </c>
      <c r="J4181" s="154"/>
      <c r="K4181" s="155" t="s">
        <v>2966</v>
      </c>
    </row>
    <row r="4182" spans="1:11" hidden="1" x14ac:dyDescent="0.25">
      <c r="A4182" s="148" t="s">
        <v>9701</v>
      </c>
      <c r="B4182" s="149" t="s">
        <v>9702</v>
      </c>
      <c r="C4182" s="150" t="s">
        <v>18</v>
      </c>
      <c r="D4182" s="150">
        <v>0</v>
      </c>
      <c r="E4182" s="151" t="s">
        <v>13</v>
      </c>
      <c r="F4182" s="152" t="str">
        <f t="shared" si="197"/>
        <v/>
      </c>
      <c r="G4182" s="153">
        <f>IF($K4182="Padrão",BDI!$B$17,IF($K4182="Diferenciado",BDI!$E$17,0))</f>
        <v>0.2039</v>
      </c>
      <c r="H4182" s="151" t="str">
        <f t="shared" si="195"/>
        <v/>
      </c>
      <c r="I4182" s="152" t="str">
        <f t="shared" si="196"/>
        <v/>
      </c>
      <c r="J4182" s="154"/>
      <c r="K4182" s="155" t="s">
        <v>2966</v>
      </c>
    </row>
    <row r="4183" spans="1:11" hidden="1" x14ac:dyDescent="0.25">
      <c r="A4183" s="148" t="s">
        <v>9703</v>
      </c>
      <c r="B4183" s="149" t="s">
        <v>9704</v>
      </c>
      <c r="C4183" s="150" t="s">
        <v>18</v>
      </c>
      <c r="D4183" s="150">
        <v>0</v>
      </c>
      <c r="E4183" s="151" t="s">
        <v>13</v>
      </c>
      <c r="F4183" s="152" t="str">
        <f t="shared" si="197"/>
        <v/>
      </c>
      <c r="G4183" s="153">
        <f>IF($K4183="Padrão",BDI!$B$17,IF($K4183="Diferenciado",BDI!$E$17,0))</f>
        <v>0.2039</v>
      </c>
      <c r="H4183" s="151" t="str">
        <f t="shared" si="195"/>
        <v/>
      </c>
      <c r="I4183" s="152" t="str">
        <f t="shared" si="196"/>
        <v/>
      </c>
      <c r="J4183" s="154"/>
      <c r="K4183" s="155" t="s">
        <v>2966</v>
      </c>
    </row>
    <row r="4184" spans="1:11" hidden="1" x14ac:dyDescent="0.25">
      <c r="A4184" s="148" t="s">
        <v>9705</v>
      </c>
      <c r="B4184" s="149" t="s">
        <v>9706</v>
      </c>
      <c r="C4184" s="150" t="s">
        <v>18</v>
      </c>
      <c r="D4184" s="150">
        <v>0</v>
      </c>
      <c r="E4184" s="151" t="s">
        <v>13</v>
      </c>
      <c r="F4184" s="152" t="str">
        <f t="shared" si="197"/>
        <v/>
      </c>
      <c r="G4184" s="153">
        <f>IF($K4184="Padrão",BDI!$B$17,IF($K4184="Diferenciado",BDI!$E$17,0))</f>
        <v>0.2039</v>
      </c>
      <c r="H4184" s="151" t="str">
        <f t="shared" si="195"/>
        <v/>
      </c>
      <c r="I4184" s="152" t="str">
        <f t="shared" si="196"/>
        <v/>
      </c>
      <c r="J4184" s="154"/>
      <c r="K4184" s="155" t="s">
        <v>2966</v>
      </c>
    </row>
    <row r="4185" spans="1:11" hidden="1" x14ac:dyDescent="0.25">
      <c r="A4185" s="148" t="s">
        <v>9707</v>
      </c>
      <c r="B4185" s="149" t="s">
        <v>9708</v>
      </c>
      <c r="C4185" s="150" t="s">
        <v>18</v>
      </c>
      <c r="D4185" s="150">
        <v>0</v>
      </c>
      <c r="E4185" s="151" t="s">
        <v>13</v>
      </c>
      <c r="F4185" s="152" t="str">
        <f t="shared" si="197"/>
        <v/>
      </c>
      <c r="G4185" s="153">
        <f>IF($K4185="Padrão",BDI!$B$17,IF($K4185="Diferenciado",BDI!$E$17,0))</f>
        <v>0.2039</v>
      </c>
      <c r="H4185" s="151" t="str">
        <f t="shared" si="195"/>
        <v/>
      </c>
      <c r="I4185" s="152" t="str">
        <f t="shared" si="196"/>
        <v/>
      </c>
      <c r="J4185" s="154"/>
      <c r="K4185" s="155" t="s">
        <v>2966</v>
      </c>
    </row>
    <row r="4186" spans="1:11" hidden="1" x14ac:dyDescent="0.25">
      <c r="A4186" s="148" t="s">
        <v>9709</v>
      </c>
      <c r="B4186" s="149" t="s">
        <v>9710</v>
      </c>
      <c r="C4186" s="150" t="s">
        <v>18</v>
      </c>
      <c r="D4186" s="150">
        <v>0</v>
      </c>
      <c r="E4186" s="151" t="s">
        <v>13</v>
      </c>
      <c r="F4186" s="152" t="str">
        <f t="shared" si="197"/>
        <v/>
      </c>
      <c r="G4186" s="153">
        <f>IF($K4186="Padrão",BDI!$B$17,IF($K4186="Diferenciado",BDI!$E$17,0))</f>
        <v>0.2039</v>
      </c>
      <c r="H4186" s="151" t="str">
        <f t="shared" si="195"/>
        <v/>
      </c>
      <c r="I4186" s="152" t="str">
        <f t="shared" si="196"/>
        <v/>
      </c>
      <c r="J4186" s="154"/>
      <c r="K4186" s="155" t="s">
        <v>2966</v>
      </c>
    </row>
    <row r="4187" spans="1:11" hidden="1" x14ac:dyDescent="0.25">
      <c r="A4187" s="148" t="s">
        <v>9711</v>
      </c>
      <c r="B4187" s="149" t="s">
        <v>9712</v>
      </c>
      <c r="C4187" s="150" t="s">
        <v>18</v>
      </c>
      <c r="D4187" s="150">
        <v>0</v>
      </c>
      <c r="E4187" s="151" t="s">
        <v>13</v>
      </c>
      <c r="F4187" s="152" t="str">
        <f t="shared" si="197"/>
        <v/>
      </c>
      <c r="G4187" s="153">
        <f>IF($K4187="Padrão",BDI!$B$17,IF($K4187="Diferenciado",BDI!$E$17,0))</f>
        <v>0.2039</v>
      </c>
      <c r="H4187" s="151" t="str">
        <f t="shared" si="195"/>
        <v/>
      </c>
      <c r="I4187" s="152" t="str">
        <f t="shared" si="196"/>
        <v/>
      </c>
      <c r="J4187" s="154"/>
      <c r="K4187" s="155" t="s">
        <v>2966</v>
      </c>
    </row>
    <row r="4188" spans="1:11" hidden="1" x14ac:dyDescent="0.25">
      <c r="A4188" s="148" t="s">
        <v>9713</v>
      </c>
      <c r="B4188" s="149" t="s">
        <v>9714</v>
      </c>
      <c r="C4188" s="150" t="s">
        <v>18</v>
      </c>
      <c r="D4188" s="150">
        <v>0</v>
      </c>
      <c r="E4188" s="151" t="s">
        <v>13</v>
      </c>
      <c r="F4188" s="152" t="str">
        <f t="shared" si="197"/>
        <v/>
      </c>
      <c r="G4188" s="153">
        <f>IF($K4188="Padrão",BDI!$B$17,IF($K4188="Diferenciado",BDI!$E$17,0))</f>
        <v>0.2039</v>
      </c>
      <c r="H4188" s="151" t="str">
        <f t="shared" si="195"/>
        <v/>
      </c>
      <c r="I4188" s="152" t="str">
        <f t="shared" si="196"/>
        <v/>
      </c>
      <c r="J4188" s="154"/>
      <c r="K4188" s="155" t="s">
        <v>2966</v>
      </c>
    </row>
    <row r="4189" spans="1:11" hidden="1" x14ac:dyDescent="0.25">
      <c r="A4189" s="148" t="s">
        <v>9715</v>
      </c>
      <c r="B4189" s="149" t="s">
        <v>9716</v>
      </c>
      <c r="C4189" s="150" t="s">
        <v>18</v>
      </c>
      <c r="D4189" s="150">
        <v>0</v>
      </c>
      <c r="E4189" s="151" t="s">
        <v>13</v>
      </c>
      <c r="F4189" s="152" t="str">
        <f t="shared" si="197"/>
        <v/>
      </c>
      <c r="G4189" s="153">
        <f>IF($K4189="Padrão",BDI!$B$17,IF($K4189="Diferenciado",BDI!$E$17,0))</f>
        <v>0.2039</v>
      </c>
      <c r="H4189" s="151" t="str">
        <f t="shared" si="195"/>
        <v/>
      </c>
      <c r="I4189" s="152" t="str">
        <f t="shared" si="196"/>
        <v/>
      </c>
      <c r="J4189" s="154"/>
      <c r="K4189" s="155" t="s">
        <v>2966</v>
      </c>
    </row>
    <row r="4190" spans="1:11" hidden="1" x14ac:dyDescent="0.25">
      <c r="A4190" s="148" t="s">
        <v>9717</v>
      </c>
      <c r="B4190" s="149" t="s">
        <v>9718</v>
      </c>
      <c r="C4190" s="150" t="s">
        <v>18</v>
      </c>
      <c r="D4190" s="150">
        <v>0</v>
      </c>
      <c r="E4190" s="151" t="s">
        <v>13</v>
      </c>
      <c r="F4190" s="152" t="str">
        <f t="shared" si="197"/>
        <v/>
      </c>
      <c r="G4190" s="153">
        <f>IF($K4190="Padrão",BDI!$B$17,IF($K4190="Diferenciado",BDI!$E$17,0))</f>
        <v>0.2039</v>
      </c>
      <c r="H4190" s="151" t="str">
        <f t="shared" si="195"/>
        <v/>
      </c>
      <c r="I4190" s="152" t="str">
        <f t="shared" si="196"/>
        <v/>
      </c>
      <c r="J4190" s="154"/>
      <c r="K4190" s="155" t="s">
        <v>2966</v>
      </c>
    </row>
    <row r="4191" spans="1:11" hidden="1" x14ac:dyDescent="0.25">
      <c r="A4191" s="148" t="s">
        <v>9719</v>
      </c>
      <c r="B4191" s="149" t="s">
        <v>9720</v>
      </c>
      <c r="C4191" s="150" t="s">
        <v>18</v>
      </c>
      <c r="D4191" s="150">
        <v>0</v>
      </c>
      <c r="E4191" s="151" t="s">
        <v>13</v>
      </c>
      <c r="F4191" s="152" t="str">
        <f t="shared" si="197"/>
        <v/>
      </c>
      <c r="G4191" s="153">
        <f>IF($K4191="Padrão",BDI!$B$17,IF($K4191="Diferenciado",BDI!$E$17,0))</f>
        <v>0.2039</v>
      </c>
      <c r="H4191" s="151" t="str">
        <f t="shared" si="195"/>
        <v/>
      </c>
      <c r="I4191" s="152" t="str">
        <f t="shared" si="196"/>
        <v/>
      </c>
      <c r="J4191" s="154"/>
      <c r="K4191" s="155" t="s">
        <v>2966</v>
      </c>
    </row>
    <row r="4192" spans="1:11" hidden="1" x14ac:dyDescent="0.25">
      <c r="A4192" s="148" t="s">
        <v>9721</v>
      </c>
      <c r="B4192" s="149" t="s">
        <v>9722</v>
      </c>
      <c r="C4192" s="150" t="s">
        <v>18</v>
      </c>
      <c r="D4192" s="150">
        <v>0</v>
      </c>
      <c r="E4192" s="151" t="s">
        <v>13</v>
      </c>
      <c r="F4192" s="152" t="str">
        <f t="shared" si="197"/>
        <v/>
      </c>
      <c r="G4192" s="153">
        <f>IF($K4192="Padrão",BDI!$B$17,IF($K4192="Diferenciado",BDI!$E$17,0))</f>
        <v>0.2039</v>
      </c>
      <c r="H4192" s="151" t="str">
        <f t="shared" si="195"/>
        <v/>
      </c>
      <c r="I4192" s="152" t="str">
        <f t="shared" si="196"/>
        <v/>
      </c>
      <c r="J4192" s="154"/>
      <c r="K4192" s="155" t="s">
        <v>2966</v>
      </c>
    </row>
    <row r="4193" spans="1:11" hidden="1" x14ac:dyDescent="0.25">
      <c r="A4193" s="148" t="s">
        <v>9723</v>
      </c>
      <c r="B4193" s="149" t="s">
        <v>9724</v>
      </c>
      <c r="C4193" s="150" t="s">
        <v>18</v>
      </c>
      <c r="D4193" s="150">
        <v>0</v>
      </c>
      <c r="E4193" s="151" t="s">
        <v>13</v>
      </c>
      <c r="F4193" s="152" t="str">
        <f t="shared" si="197"/>
        <v/>
      </c>
      <c r="G4193" s="153">
        <f>IF($K4193="Padrão",BDI!$B$17,IF($K4193="Diferenciado",BDI!$E$17,0))</f>
        <v>0.2039</v>
      </c>
      <c r="H4193" s="151" t="str">
        <f t="shared" si="195"/>
        <v/>
      </c>
      <c r="I4193" s="152" t="str">
        <f t="shared" si="196"/>
        <v/>
      </c>
      <c r="J4193" s="154"/>
      <c r="K4193" s="155" t="s">
        <v>2966</v>
      </c>
    </row>
    <row r="4194" spans="1:11" hidden="1" x14ac:dyDescent="0.25">
      <c r="A4194" s="148" t="s">
        <v>9725</v>
      </c>
      <c r="B4194" s="149" t="s">
        <v>9726</v>
      </c>
      <c r="C4194" s="150" t="s">
        <v>18</v>
      </c>
      <c r="D4194" s="150">
        <v>0</v>
      </c>
      <c r="E4194" s="151" t="s">
        <v>13</v>
      </c>
      <c r="F4194" s="152" t="str">
        <f t="shared" si="197"/>
        <v/>
      </c>
      <c r="G4194" s="153">
        <f>IF($K4194="Padrão",BDI!$B$17,IF($K4194="Diferenciado",BDI!$E$17,0))</f>
        <v>0.2039</v>
      </c>
      <c r="H4194" s="151" t="str">
        <f t="shared" si="195"/>
        <v/>
      </c>
      <c r="I4194" s="152" t="str">
        <f t="shared" si="196"/>
        <v/>
      </c>
      <c r="J4194" s="154"/>
      <c r="K4194" s="155" t="s">
        <v>2966</v>
      </c>
    </row>
    <row r="4195" spans="1:11" hidden="1" x14ac:dyDescent="0.25">
      <c r="A4195" s="148" t="s">
        <v>9727</v>
      </c>
      <c r="B4195" s="149" t="s">
        <v>9728</v>
      </c>
      <c r="C4195" s="150" t="s">
        <v>18</v>
      </c>
      <c r="D4195" s="150">
        <v>0</v>
      </c>
      <c r="E4195" s="151" t="s">
        <v>13</v>
      </c>
      <c r="F4195" s="152" t="str">
        <f t="shared" si="197"/>
        <v/>
      </c>
      <c r="G4195" s="153">
        <f>IF($K4195="Padrão",BDI!$B$17,IF($K4195="Diferenciado",BDI!$E$17,0))</f>
        <v>0.2039</v>
      </c>
      <c r="H4195" s="151" t="str">
        <f t="shared" si="195"/>
        <v/>
      </c>
      <c r="I4195" s="152" t="str">
        <f t="shared" si="196"/>
        <v/>
      </c>
      <c r="J4195" s="154"/>
      <c r="K4195" s="155" t="s">
        <v>2966</v>
      </c>
    </row>
    <row r="4196" spans="1:11" hidden="1" x14ac:dyDescent="0.25">
      <c r="A4196" s="148" t="s">
        <v>9729</v>
      </c>
      <c r="B4196" s="149" t="s">
        <v>9730</v>
      </c>
      <c r="C4196" s="150" t="s">
        <v>18</v>
      </c>
      <c r="D4196" s="150">
        <v>0</v>
      </c>
      <c r="E4196" s="151" t="s">
        <v>13</v>
      </c>
      <c r="F4196" s="152" t="str">
        <f t="shared" si="197"/>
        <v/>
      </c>
      <c r="G4196" s="153">
        <f>IF($K4196="Padrão",BDI!$B$17,IF($K4196="Diferenciado",BDI!$E$17,0))</f>
        <v>0.2039</v>
      </c>
      <c r="H4196" s="151" t="str">
        <f t="shared" si="195"/>
        <v/>
      </c>
      <c r="I4196" s="152" t="str">
        <f t="shared" si="196"/>
        <v/>
      </c>
      <c r="J4196" s="154"/>
      <c r="K4196" s="155" t="s">
        <v>2966</v>
      </c>
    </row>
    <row r="4197" spans="1:11" hidden="1" x14ac:dyDescent="0.25">
      <c r="A4197" s="148" t="s">
        <v>9731</v>
      </c>
      <c r="B4197" s="149" t="s">
        <v>9732</v>
      </c>
      <c r="C4197" s="150" t="s">
        <v>18</v>
      </c>
      <c r="D4197" s="150">
        <v>0</v>
      </c>
      <c r="E4197" s="151" t="s">
        <v>13</v>
      </c>
      <c r="F4197" s="152" t="str">
        <f t="shared" si="197"/>
        <v/>
      </c>
      <c r="G4197" s="153">
        <f>IF($K4197="Padrão",BDI!$B$17,IF($K4197="Diferenciado",BDI!$E$17,0))</f>
        <v>0.2039</v>
      </c>
      <c r="H4197" s="151" t="str">
        <f t="shared" si="195"/>
        <v/>
      </c>
      <c r="I4197" s="152" t="str">
        <f t="shared" si="196"/>
        <v/>
      </c>
      <c r="J4197" s="154"/>
      <c r="K4197" s="155" t="s">
        <v>2966</v>
      </c>
    </row>
    <row r="4198" spans="1:11" hidden="1" x14ac:dyDescent="0.25">
      <c r="A4198" s="148" t="s">
        <v>9733</v>
      </c>
      <c r="B4198" s="149" t="s">
        <v>9734</v>
      </c>
      <c r="C4198" s="150" t="s">
        <v>18</v>
      </c>
      <c r="D4198" s="150">
        <v>0</v>
      </c>
      <c r="E4198" s="151" t="s">
        <v>13</v>
      </c>
      <c r="F4198" s="152" t="str">
        <f t="shared" si="197"/>
        <v/>
      </c>
      <c r="G4198" s="153">
        <f>IF($K4198="Padrão",BDI!$B$17,IF($K4198="Diferenciado",BDI!$E$17,0))</f>
        <v>0.2039</v>
      </c>
      <c r="H4198" s="151" t="str">
        <f t="shared" si="195"/>
        <v/>
      </c>
      <c r="I4198" s="152" t="str">
        <f t="shared" si="196"/>
        <v/>
      </c>
      <c r="J4198" s="154"/>
      <c r="K4198" s="155" t="s">
        <v>2966</v>
      </c>
    </row>
    <row r="4199" spans="1:11" hidden="1" x14ac:dyDescent="0.25">
      <c r="A4199" s="148" t="s">
        <v>9735</v>
      </c>
      <c r="B4199" s="149" t="s">
        <v>9736</v>
      </c>
      <c r="C4199" s="150" t="s">
        <v>18</v>
      </c>
      <c r="D4199" s="150">
        <v>0</v>
      </c>
      <c r="E4199" s="151" t="s">
        <v>13</v>
      </c>
      <c r="F4199" s="152" t="str">
        <f t="shared" si="197"/>
        <v/>
      </c>
      <c r="G4199" s="153">
        <f>IF($K4199="Padrão",BDI!$B$17,IF($K4199="Diferenciado",BDI!$E$17,0))</f>
        <v>0.2039</v>
      </c>
      <c r="H4199" s="151" t="str">
        <f t="shared" si="195"/>
        <v/>
      </c>
      <c r="I4199" s="152" t="str">
        <f t="shared" si="196"/>
        <v/>
      </c>
      <c r="J4199" s="154"/>
      <c r="K4199" s="155" t="s">
        <v>2966</v>
      </c>
    </row>
    <row r="4200" spans="1:11" hidden="1" x14ac:dyDescent="0.25">
      <c r="A4200" s="148" t="s">
        <v>9737</v>
      </c>
      <c r="B4200" s="149" t="s">
        <v>9738</v>
      </c>
      <c r="C4200" s="150" t="s">
        <v>3474</v>
      </c>
      <c r="D4200" s="150">
        <v>0</v>
      </c>
      <c r="E4200" s="151" t="s">
        <v>13</v>
      </c>
      <c r="F4200" s="152" t="str">
        <f t="shared" si="197"/>
        <v/>
      </c>
      <c r="G4200" s="153">
        <f>IF($K4200="Padrão",BDI!$B$17,IF($K4200="Diferenciado",BDI!$E$17,0))</f>
        <v>0.2039</v>
      </c>
      <c r="H4200" s="151" t="str">
        <f t="shared" si="195"/>
        <v/>
      </c>
      <c r="I4200" s="152" t="str">
        <f t="shared" si="196"/>
        <v/>
      </c>
      <c r="J4200" s="154"/>
      <c r="K4200" s="155" t="s">
        <v>2966</v>
      </c>
    </row>
    <row r="4201" spans="1:11" hidden="1" x14ac:dyDescent="0.25">
      <c r="A4201" s="148" t="s">
        <v>9739</v>
      </c>
      <c r="B4201" s="149" t="s">
        <v>9740</v>
      </c>
      <c r="C4201" s="150" t="s">
        <v>3474</v>
      </c>
      <c r="D4201" s="150">
        <v>0</v>
      </c>
      <c r="E4201" s="151" t="s">
        <v>13</v>
      </c>
      <c r="F4201" s="152" t="str">
        <f t="shared" si="197"/>
        <v/>
      </c>
      <c r="G4201" s="153">
        <f>IF($K4201="Padrão",BDI!$B$17,IF($K4201="Diferenciado",BDI!$E$17,0))</f>
        <v>0.2039</v>
      </c>
      <c r="H4201" s="151" t="str">
        <f t="shared" si="195"/>
        <v/>
      </c>
      <c r="I4201" s="152" t="str">
        <f t="shared" si="196"/>
        <v/>
      </c>
      <c r="J4201" s="154"/>
      <c r="K4201" s="155" t="s">
        <v>2966</v>
      </c>
    </row>
    <row r="4202" spans="1:11" hidden="1" x14ac:dyDescent="0.25">
      <c r="A4202" s="148" t="s">
        <v>9741</v>
      </c>
      <c r="B4202" s="149" t="s">
        <v>9742</v>
      </c>
      <c r="C4202" s="150" t="s">
        <v>3474</v>
      </c>
      <c r="D4202" s="150">
        <v>0</v>
      </c>
      <c r="E4202" s="151" t="s">
        <v>13</v>
      </c>
      <c r="F4202" s="152" t="str">
        <f t="shared" si="197"/>
        <v/>
      </c>
      <c r="G4202" s="153">
        <f>IF($K4202="Padrão",BDI!$B$17,IF($K4202="Diferenciado",BDI!$E$17,0))</f>
        <v>0.2039</v>
      </c>
      <c r="H4202" s="151" t="str">
        <f t="shared" si="195"/>
        <v/>
      </c>
      <c r="I4202" s="152" t="str">
        <f t="shared" si="196"/>
        <v/>
      </c>
      <c r="J4202" s="154"/>
      <c r="K4202" s="155" t="s">
        <v>2966</v>
      </c>
    </row>
    <row r="4203" spans="1:11" hidden="1" x14ac:dyDescent="0.25">
      <c r="A4203" s="148" t="s">
        <v>9743</v>
      </c>
      <c r="B4203" s="149" t="s">
        <v>9744</v>
      </c>
      <c r="C4203" s="150" t="s">
        <v>3474</v>
      </c>
      <c r="D4203" s="150">
        <v>0</v>
      </c>
      <c r="E4203" s="151" t="s">
        <v>13</v>
      </c>
      <c r="F4203" s="152" t="str">
        <f t="shared" si="197"/>
        <v/>
      </c>
      <c r="G4203" s="153">
        <f>IF($K4203="Padrão",BDI!$B$17,IF($K4203="Diferenciado",BDI!$E$17,0))</f>
        <v>0.2039</v>
      </c>
      <c r="H4203" s="151" t="str">
        <f t="shared" si="195"/>
        <v/>
      </c>
      <c r="I4203" s="152" t="str">
        <f t="shared" si="196"/>
        <v/>
      </c>
      <c r="J4203" s="154"/>
      <c r="K4203" s="155" t="s">
        <v>2966</v>
      </c>
    </row>
    <row r="4204" spans="1:11" hidden="1" x14ac:dyDescent="0.25">
      <c r="A4204" s="148" t="s">
        <v>9745</v>
      </c>
      <c r="B4204" s="149" t="s">
        <v>9746</v>
      </c>
      <c r="C4204" s="150" t="s">
        <v>3474</v>
      </c>
      <c r="D4204" s="150">
        <v>0</v>
      </c>
      <c r="E4204" s="151" t="s">
        <v>13</v>
      </c>
      <c r="F4204" s="152" t="str">
        <f t="shared" si="197"/>
        <v/>
      </c>
      <c r="G4204" s="153">
        <f>IF($K4204="Padrão",BDI!$B$17,IF($K4204="Diferenciado",BDI!$E$17,0))</f>
        <v>0.2039</v>
      </c>
      <c r="H4204" s="151" t="str">
        <f t="shared" si="195"/>
        <v/>
      </c>
      <c r="I4204" s="152" t="str">
        <f t="shared" si="196"/>
        <v/>
      </c>
      <c r="J4204" s="154"/>
      <c r="K4204" s="155" t="s">
        <v>2966</v>
      </c>
    </row>
    <row r="4205" spans="1:11" hidden="1" x14ac:dyDescent="0.25">
      <c r="A4205" s="148" t="s">
        <v>9747</v>
      </c>
      <c r="B4205" s="149" t="s">
        <v>9748</v>
      </c>
      <c r="C4205" s="150" t="s">
        <v>3474</v>
      </c>
      <c r="D4205" s="150">
        <v>0</v>
      </c>
      <c r="E4205" s="151" t="s">
        <v>13</v>
      </c>
      <c r="F4205" s="152" t="str">
        <f t="shared" si="197"/>
        <v/>
      </c>
      <c r="G4205" s="153">
        <f>IF($K4205="Padrão",BDI!$B$17,IF($K4205="Diferenciado",BDI!$E$17,0))</f>
        <v>0.2039</v>
      </c>
      <c r="H4205" s="151" t="str">
        <f t="shared" si="195"/>
        <v/>
      </c>
      <c r="I4205" s="152" t="str">
        <f t="shared" si="196"/>
        <v/>
      </c>
      <c r="J4205" s="154"/>
      <c r="K4205" s="155" t="s">
        <v>2966</v>
      </c>
    </row>
    <row r="4206" spans="1:11" hidden="1" x14ac:dyDescent="0.25">
      <c r="A4206" s="148" t="s">
        <v>9749</v>
      </c>
      <c r="B4206" s="149" t="s">
        <v>9750</v>
      </c>
      <c r="C4206" s="150" t="s">
        <v>18</v>
      </c>
      <c r="D4206" s="150">
        <v>0</v>
      </c>
      <c r="E4206" s="151" t="s">
        <v>13</v>
      </c>
      <c r="F4206" s="152" t="str">
        <f t="shared" si="197"/>
        <v/>
      </c>
      <c r="G4206" s="153">
        <f>IF($K4206="Padrão",BDI!$B$17,IF($K4206="Diferenciado",BDI!$E$17,0))</f>
        <v>0.2039</v>
      </c>
      <c r="H4206" s="151" t="str">
        <f t="shared" si="195"/>
        <v/>
      </c>
      <c r="I4206" s="152" t="str">
        <f t="shared" si="196"/>
        <v/>
      </c>
      <c r="J4206" s="154"/>
      <c r="K4206" s="155" t="s">
        <v>2966</v>
      </c>
    </row>
    <row r="4207" spans="1:11" ht="25.5" hidden="1" x14ac:dyDescent="0.25">
      <c r="A4207" s="148" t="s">
        <v>9751</v>
      </c>
      <c r="B4207" s="149" t="s">
        <v>9752</v>
      </c>
      <c r="C4207" s="150" t="s">
        <v>87</v>
      </c>
      <c r="D4207" s="150">
        <v>0</v>
      </c>
      <c r="E4207" s="151" t="s">
        <v>13</v>
      </c>
      <c r="F4207" s="152" t="str">
        <f t="shared" si="197"/>
        <v/>
      </c>
      <c r="G4207" s="153">
        <f>IF($K4207="Padrão",BDI!$B$17,IF($K4207="Diferenciado",BDI!$E$17,0))</f>
        <v>0.2039</v>
      </c>
      <c r="H4207" s="151" t="str">
        <f t="shared" si="195"/>
        <v/>
      </c>
      <c r="I4207" s="152" t="str">
        <f t="shared" si="196"/>
        <v/>
      </c>
      <c r="J4207" s="154"/>
      <c r="K4207" s="155" t="s">
        <v>2966</v>
      </c>
    </row>
    <row r="4208" spans="1:11" hidden="1" x14ac:dyDescent="0.25">
      <c r="A4208" s="148" t="s">
        <v>9753</v>
      </c>
      <c r="B4208" s="149" t="s">
        <v>9754</v>
      </c>
      <c r="C4208" s="150" t="s">
        <v>87</v>
      </c>
      <c r="D4208" s="150">
        <v>0</v>
      </c>
      <c r="E4208" s="151" t="s">
        <v>13</v>
      </c>
      <c r="F4208" s="152" t="str">
        <f t="shared" si="197"/>
        <v/>
      </c>
      <c r="G4208" s="153">
        <f>IF($K4208="Padrão",BDI!$B$17,IF($K4208="Diferenciado",BDI!$E$17,0))</f>
        <v>0.2039</v>
      </c>
      <c r="H4208" s="151" t="str">
        <f t="shared" si="195"/>
        <v/>
      </c>
      <c r="I4208" s="152" t="str">
        <f t="shared" si="196"/>
        <v/>
      </c>
      <c r="J4208" s="154"/>
      <c r="K4208" s="155" t="s">
        <v>2966</v>
      </c>
    </row>
    <row r="4209" spans="1:11" ht="25.5" hidden="1" x14ac:dyDescent="0.25">
      <c r="A4209" s="148" t="s">
        <v>9755</v>
      </c>
      <c r="B4209" s="149" t="s">
        <v>9756</v>
      </c>
      <c r="C4209" s="150" t="s">
        <v>18</v>
      </c>
      <c r="D4209" s="150">
        <v>0</v>
      </c>
      <c r="E4209" s="151" t="s">
        <v>13</v>
      </c>
      <c r="F4209" s="152" t="str">
        <f t="shared" si="197"/>
        <v/>
      </c>
      <c r="G4209" s="153">
        <f>IF($K4209="Padrão",BDI!$B$17,IF($K4209="Diferenciado",BDI!$E$17,0))</f>
        <v>0.2039</v>
      </c>
      <c r="H4209" s="151" t="str">
        <f t="shared" si="195"/>
        <v/>
      </c>
      <c r="I4209" s="152" t="str">
        <f t="shared" si="196"/>
        <v/>
      </c>
      <c r="J4209" s="154"/>
      <c r="K4209" s="155" t="s">
        <v>2966</v>
      </c>
    </row>
    <row r="4210" spans="1:11" hidden="1" x14ac:dyDescent="0.25">
      <c r="A4210" s="148" t="s">
        <v>9757</v>
      </c>
      <c r="B4210" s="149" t="s">
        <v>9758</v>
      </c>
      <c r="C4210" s="150" t="s">
        <v>18</v>
      </c>
      <c r="D4210" s="150">
        <v>0</v>
      </c>
      <c r="E4210" s="151" t="s">
        <v>13</v>
      </c>
      <c r="F4210" s="152" t="str">
        <f t="shared" si="197"/>
        <v/>
      </c>
      <c r="G4210" s="153">
        <f>IF($K4210="Padrão",BDI!$B$17,IF($K4210="Diferenciado",BDI!$E$17,0))</f>
        <v>0.2039</v>
      </c>
      <c r="H4210" s="151" t="str">
        <f t="shared" si="195"/>
        <v/>
      </c>
      <c r="I4210" s="152" t="str">
        <f t="shared" si="196"/>
        <v/>
      </c>
      <c r="J4210" s="154"/>
      <c r="K4210" s="155" t="s">
        <v>2966</v>
      </c>
    </row>
    <row r="4211" spans="1:11" hidden="1" x14ac:dyDescent="0.25">
      <c r="A4211" s="148" t="s">
        <v>9759</v>
      </c>
      <c r="B4211" s="149" t="s">
        <v>9760</v>
      </c>
      <c r="C4211" s="150" t="s">
        <v>18</v>
      </c>
      <c r="D4211" s="150">
        <v>0</v>
      </c>
      <c r="E4211" s="151" t="s">
        <v>13</v>
      </c>
      <c r="F4211" s="152" t="str">
        <f t="shared" si="197"/>
        <v/>
      </c>
      <c r="G4211" s="153">
        <f>IF($K4211="Padrão",BDI!$B$17,IF($K4211="Diferenciado",BDI!$E$17,0))</f>
        <v>0.2039</v>
      </c>
      <c r="H4211" s="151" t="str">
        <f t="shared" si="195"/>
        <v/>
      </c>
      <c r="I4211" s="152" t="str">
        <f t="shared" si="196"/>
        <v/>
      </c>
      <c r="J4211" s="154"/>
      <c r="K4211" s="155" t="s">
        <v>2966</v>
      </c>
    </row>
    <row r="4212" spans="1:11" hidden="1" x14ac:dyDescent="0.25">
      <c r="A4212" s="148" t="s">
        <v>9761</v>
      </c>
      <c r="B4212" s="149" t="s">
        <v>9762</v>
      </c>
      <c r="C4212" s="150" t="s">
        <v>18</v>
      </c>
      <c r="D4212" s="150">
        <v>0</v>
      </c>
      <c r="E4212" s="151" t="s">
        <v>13</v>
      </c>
      <c r="F4212" s="152" t="str">
        <f t="shared" si="197"/>
        <v/>
      </c>
      <c r="G4212" s="153">
        <f>IF($K4212="Padrão",BDI!$B$17,IF($K4212="Diferenciado",BDI!$E$17,0))</f>
        <v>0.2039</v>
      </c>
      <c r="H4212" s="151" t="str">
        <f t="shared" si="195"/>
        <v/>
      </c>
      <c r="I4212" s="152" t="str">
        <f t="shared" si="196"/>
        <v/>
      </c>
      <c r="J4212" s="154"/>
      <c r="K4212" s="155" t="s">
        <v>2966</v>
      </c>
    </row>
    <row r="4213" spans="1:11" hidden="1" x14ac:dyDescent="0.25">
      <c r="A4213" s="148" t="s">
        <v>9763</v>
      </c>
      <c r="B4213" s="149" t="s">
        <v>9764</v>
      </c>
      <c r="C4213" s="150" t="s">
        <v>18</v>
      </c>
      <c r="D4213" s="150">
        <v>0</v>
      </c>
      <c r="E4213" s="151" t="s">
        <v>13</v>
      </c>
      <c r="F4213" s="152" t="str">
        <f t="shared" si="197"/>
        <v/>
      </c>
      <c r="G4213" s="153">
        <f>IF($K4213="Padrão",BDI!$B$17,IF($K4213="Diferenciado",BDI!$E$17,0))</f>
        <v>0.2039</v>
      </c>
      <c r="H4213" s="151" t="str">
        <f t="shared" si="195"/>
        <v/>
      </c>
      <c r="I4213" s="152" t="str">
        <f t="shared" si="196"/>
        <v/>
      </c>
      <c r="J4213" s="154"/>
      <c r="K4213" s="155" t="s">
        <v>2966</v>
      </c>
    </row>
    <row r="4214" spans="1:11" ht="25.5" hidden="1" x14ac:dyDescent="0.25">
      <c r="A4214" s="148" t="s">
        <v>9765</v>
      </c>
      <c r="B4214" s="149" t="s">
        <v>9766</v>
      </c>
      <c r="C4214" s="150" t="s">
        <v>18</v>
      </c>
      <c r="D4214" s="150">
        <v>0</v>
      </c>
      <c r="E4214" s="151" t="s">
        <v>13</v>
      </c>
      <c r="F4214" s="152" t="str">
        <f t="shared" si="197"/>
        <v/>
      </c>
      <c r="G4214" s="153">
        <f>IF($K4214="Padrão",BDI!$B$17,IF($K4214="Diferenciado",BDI!$E$17,0))</f>
        <v>0.2039</v>
      </c>
      <c r="H4214" s="151" t="str">
        <f t="shared" si="195"/>
        <v/>
      </c>
      <c r="I4214" s="152" t="str">
        <f t="shared" si="196"/>
        <v/>
      </c>
      <c r="J4214" s="154"/>
      <c r="K4214" s="155" t="s">
        <v>2966</v>
      </c>
    </row>
    <row r="4215" spans="1:11" ht="25.5" hidden="1" x14ac:dyDescent="0.25">
      <c r="A4215" s="148" t="s">
        <v>9767</v>
      </c>
      <c r="B4215" s="149" t="s">
        <v>9768</v>
      </c>
      <c r="C4215" s="150" t="s">
        <v>18</v>
      </c>
      <c r="D4215" s="150">
        <v>0</v>
      </c>
      <c r="E4215" s="151" t="s">
        <v>13</v>
      </c>
      <c r="F4215" s="152" t="str">
        <f t="shared" si="197"/>
        <v/>
      </c>
      <c r="G4215" s="153">
        <f>IF($K4215="Padrão",BDI!$B$17,IF($K4215="Diferenciado",BDI!$E$17,0))</f>
        <v>0.2039</v>
      </c>
      <c r="H4215" s="151" t="str">
        <f t="shared" si="195"/>
        <v/>
      </c>
      <c r="I4215" s="152" t="str">
        <f t="shared" si="196"/>
        <v/>
      </c>
      <c r="J4215" s="154"/>
      <c r="K4215" s="155" t="s">
        <v>2966</v>
      </c>
    </row>
    <row r="4216" spans="1:11" hidden="1" x14ac:dyDescent="0.25">
      <c r="A4216" s="148" t="s">
        <v>2270</v>
      </c>
      <c r="B4216" s="149" t="s">
        <v>9769</v>
      </c>
      <c r="C4216" s="150" t="s">
        <v>18</v>
      </c>
      <c r="D4216" s="150">
        <v>0</v>
      </c>
      <c r="E4216" s="151">
        <f ca="1">OFFSET(INDEX(Composições!A:H,MATCH(Orçamentária!A4216,Composições!A:A,0),8),2,0)</f>
        <v>209.43194980000001</v>
      </c>
      <c r="F4216" s="152">
        <f t="shared" ca="1" si="197"/>
        <v>0</v>
      </c>
      <c r="G4216" s="153">
        <f>IF($K4216="Padrão",BDI!$B$17,IF($K4216="Diferenciado",BDI!$E$17,0))</f>
        <v>0.2039</v>
      </c>
      <c r="H4216" s="151">
        <f t="shared" ca="1" si="195"/>
        <v>252.14</v>
      </c>
      <c r="I4216" s="152">
        <f t="shared" ca="1" si="196"/>
        <v>0</v>
      </c>
      <c r="J4216" s="154"/>
      <c r="K4216" s="155" t="s">
        <v>2966</v>
      </c>
    </row>
    <row r="4217" spans="1:11" hidden="1" x14ac:dyDescent="0.25">
      <c r="A4217" s="148" t="s">
        <v>2272</v>
      </c>
      <c r="B4217" s="149" t="s">
        <v>9770</v>
      </c>
      <c r="C4217" s="150" t="s">
        <v>18</v>
      </c>
      <c r="D4217" s="150">
        <v>0</v>
      </c>
      <c r="E4217" s="151">
        <f ca="1">OFFSET(INDEX(Composições!A:H,MATCH(Orçamentária!A4217,Composições!A:A,0),8),2,0)</f>
        <v>209.43194980000001</v>
      </c>
      <c r="F4217" s="152">
        <f t="shared" ca="1" si="197"/>
        <v>0</v>
      </c>
      <c r="G4217" s="153">
        <f>IF($K4217="Padrão",BDI!$B$17,IF($K4217="Diferenciado",BDI!$E$17,0))</f>
        <v>0.2039</v>
      </c>
      <c r="H4217" s="151">
        <f t="shared" ca="1" si="195"/>
        <v>252.14</v>
      </c>
      <c r="I4217" s="152">
        <f t="shared" ca="1" si="196"/>
        <v>0</v>
      </c>
      <c r="J4217" s="154"/>
      <c r="K4217" s="155" t="s">
        <v>2966</v>
      </c>
    </row>
    <row r="4218" spans="1:11" hidden="1" x14ac:dyDescent="0.25">
      <c r="A4218" s="148" t="s">
        <v>2274</v>
      </c>
      <c r="B4218" s="149" t="s">
        <v>9771</v>
      </c>
      <c r="C4218" s="150" t="s">
        <v>18</v>
      </c>
      <c r="D4218" s="150">
        <v>0</v>
      </c>
      <c r="E4218" s="151">
        <f ca="1">OFFSET(INDEX(Composições!A:H,MATCH(Orçamentária!A4218,Composições!A:A,0),8),2,0)</f>
        <v>209.43194980000001</v>
      </c>
      <c r="F4218" s="152">
        <f t="shared" ca="1" si="197"/>
        <v>0</v>
      </c>
      <c r="G4218" s="153">
        <f>IF($K4218="Padrão",BDI!$B$17,IF($K4218="Diferenciado",BDI!$E$17,0))</f>
        <v>0.2039</v>
      </c>
      <c r="H4218" s="151">
        <f t="shared" ca="1" si="195"/>
        <v>252.14</v>
      </c>
      <c r="I4218" s="152">
        <f t="shared" ca="1" si="196"/>
        <v>0</v>
      </c>
      <c r="J4218" s="154"/>
      <c r="K4218" s="155" t="s">
        <v>2966</v>
      </c>
    </row>
    <row r="4219" spans="1:11" hidden="1" x14ac:dyDescent="0.25">
      <c r="A4219" s="148" t="s">
        <v>9772</v>
      </c>
      <c r="B4219" s="149" t="s">
        <v>9773</v>
      </c>
      <c r="C4219" s="150" t="s">
        <v>18</v>
      </c>
      <c r="D4219" s="150">
        <v>0</v>
      </c>
      <c r="E4219" s="151" t="s">
        <v>13</v>
      </c>
      <c r="F4219" s="152" t="str">
        <f t="shared" si="197"/>
        <v/>
      </c>
      <c r="G4219" s="153">
        <f>IF($K4219="Padrão",BDI!$B$17,IF($K4219="Diferenciado",BDI!$E$17,0))</f>
        <v>0.2039</v>
      </c>
      <c r="H4219" s="151" t="str">
        <f t="shared" si="195"/>
        <v/>
      </c>
      <c r="I4219" s="152" t="str">
        <f t="shared" si="196"/>
        <v/>
      </c>
      <c r="J4219" s="154"/>
      <c r="K4219" s="155" t="s">
        <v>2966</v>
      </c>
    </row>
    <row r="4220" spans="1:11" ht="25.5" hidden="1" x14ac:dyDescent="0.25">
      <c r="A4220" s="148" t="s">
        <v>2276</v>
      </c>
      <c r="B4220" s="149" t="s">
        <v>2277</v>
      </c>
      <c r="C4220" s="150" t="s">
        <v>18</v>
      </c>
      <c r="D4220" s="150">
        <v>0</v>
      </c>
      <c r="E4220" s="151">
        <f ca="1">OFFSET(INDEX(Composições!A:H,MATCH(Orçamentária!A4220,Composições!A:A,0),8),2,0)</f>
        <v>307.13872399999997</v>
      </c>
      <c r="F4220" s="152">
        <f t="shared" ca="1" si="197"/>
        <v>0</v>
      </c>
      <c r="G4220" s="153">
        <f>IF($K4220="Padrão",BDI!$B$17,IF($K4220="Diferenciado",BDI!$E$17,0))</f>
        <v>0.2039</v>
      </c>
      <c r="H4220" s="151">
        <f t="shared" ca="1" si="195"/>
        <v>369.76</v>
      </c>
      <c r="I4220" s="152">
        <f t="shared" ca="1" si="196"/>
        <v>0</v>
      </c>
      <c r="J4220" s="154"/>
      <c r="K4220" s="155" t="s">
        <v>2966</v>
      </c>
    </row>
    <row r="4221" spans="1:11" ht="25.5" hidden="1" x14ac:dyDescent="0.25">
      <c r="A4221" s="148" t="s">
        <v>2278</v>
      </c>
      <c r="B4221" s="149" t="s">
        <v>2279</v>
      </c>
      <c r="C4221" s="150" t="s">
        <v>18</v>
      </c>
      <c r="D4221" s="150">
        <v>0</v>
      </c>
      <c r="E4221" s="151">
        <f ca="1">OFFSET(INDEX(Composições!A:H,MATCH(Orçamentária!A4221,Composições!A:A,0),8),2,0)</f>
        <v>329.37287074999995</v>
      </c>
      <c r="F4221" s="152">
        <f t="shared" ca="1" si="197"/>
        <v>0</v>
      </c>
      <c r="G4221" s="153">
        <f>IF($K4221="Padrão",BDI!$B$17,IF($K4221="Diferenciado",BDI!$E$17,0))</f>
        <v>0.2039</v>
      </c>
      <c r="H4221" s="151">
        <f t="shared" ca="1" si="195"/>
        <v>396.53</v>
      </c>
      <c r="I4221" s="152">
        <f t="shared" ca="1" si="196"/>
        <v>0</v>
      </c>
      <c r="J4221" s="154"/>
      <c r="K4221" s="155" t="s">
        <v>2966</v>
      </c>
    </row>
    <row r="4222" spans="1:11" hidden="1" x14ac:dyDescent="0.25">
      <c r="A4222" s="148" t="s">
        <v>2280</v>
      </c>
      <c r="B4222" s="149" t="s">
        <v>9774</v>
      </c>
      <c r="C4222" s="150" t="s">
        <v>18</v>
      </c>
      <c r="D4222" s="150">
        <v>0</v>
      </c>
      <c r="E4222" s="151">
        <f ca="1">OFFSET(INDEX(Composições!A:H,MATCH(Orçamentária!A4222,Composições!A:A,0),8),2,0)</f>
        <v>120.55500000000001</v>
      </c>
      <c r="F4222" s="152">
        <f t="shared" ca="1" si="197"/>
        <v>0</v>
      </c>
      <c r="G4222" s="153">
        <f>IF($K4222="Padrão",BDI!$B$17,IF($K4222="Diferenciado",BDI!$E$17,0))</f>
        <v>0.2039</v>
      </c>
      <c r="H4222" s="151">
        <f t="shared" ca="1" si="195"/>
        <v>145.13999999999999</v>
      </c>
      <c r="I4222" s="152">
        <f t="shared" ca="1" si="196"/>
        <v>0</v>
      </c>
      <c r="J4222" s="154"/>
      <c r="K4222" s="155" t="s">
        <v>2966</v>
      </c>
    </row>
    <row r="4223" spans="1:11" hidden="1" x14ac:dyDescent="0.25">
      <c r="A4223" s="148" t="s">
        <v>9775</v>
      </c>
      <c r="B4223" s="149" t="s">
        <v>9776</v>
      </c>
      <c r="C4223" s="150" t="s">
        <v>18</v>
      </c>
      <c r="D4223" s="150">
        <v>0</v>
      </c>
      <c r="E4223" s="151" t="s">
        <v>13</v>
      </c>
      <c r="F4223" s="152" t="str">
        <f t="shared" si="197"/>
        <v/>
      </c>
      <c r="G4223" s="153">
        <f>IF($K4223="Padrão",BDI!$B$17,IF($K4223="Diferenciado",BDI!$E$17,0))</f>
        <v>0.2039</v>
      </c>
      <c r="H4223" s="151" t="str">
        <f t="shared" si="195"/>
        <v/>
      </c>
      <c r="I4223" s="152" t="str">
        <f t="shared" si="196"/>
        <v/>
      </c>
      <c r="J4223" s="154"/>
      <c r="K4223" s="155" t="s">
        <v>2966</v>
      </c>
    </row>
    <row r="4224" spans="1:11" hidden="1" x14ac:dyDescent="0.25">
      <c r="A4224" s="148" t="s">
        <v>2281</v>
      </c>
      <c r="B4224" s="149" t="s">
        <v>9777</v>
      </c>
      <c r="C4224" s="150" t="s">
        <v>18</v>
      </c>
      <c r="D4224" s="150">
        <v>0</v>
      </c>
      <c r="E4224" s="151">
        <f ca="1">OFFSET(INDEX(Composições!A:H,MATCH(Orçamentária!A4224,Composições!A:A,0),8),2,0)</f>
        <v>129.38999999999999</v>
      </c>
      <c r="F4224" s="152">
        <f t="shared" ca="1" si="197"/>
        <v>0</v>
      </c>
      <c r="G4224" s="153">
        <f>IF($K4224="Padrão",BDI!$B$17,IF($K4224="Diferenciado",BDI!$E$17,0))</f>
        <v>0.2039</v>
      </c>
      <c r="H4224" s="151">
        <f t="shared" ca="1" si="195"/>
        <v>155.77000000000001</v>
      </c>
      <c r="I4224" s="152">
        <f t="shared" ca="1" si="196"/>
        <v>0</v>
      </c>
      <c r="J4224" s="154"/>
      <c r="K4224" s="155" t="s">
        <v>2966</v>
      </c>
    </row>
    <row r="4225" spans="1:11" hidden="1" x14ac:dyDescent="0.25">
      <c r="A4225" s="148" t="s">
        <v>2283</v>
      </c>
      <c r="B4225" s="149" t="s">
        <v>9778</v>
      </c>
      <c r="C4225" s="150" t="s">
        <v>106</v>
      </c>
      <c r="D4225" s="150">
        <v>0</v>
      </c>
      <c r="E4225" s="151">
        <f ca="1">OFFSET(INDEX(Composições!A:H,MATCH(Orçamentária!A4225,Composições!A:A,0),8),2,0)</f>
        <v>4.3044500000000001</v>
      </c>
      <c r="F4225" s="152">
        <f t="shared" ca="1" si="197"/>
        <v>0</v>
      </c>
      <c r="G4225" s="153">
        <f>IF($K4225="Padrão",BDI!$B$17,IF($K4225="Diferenciado",BDI!$E$17,0))</f>
        <v>0.2039</v>
      </c>
      <c r="H4225" s="151">
        <f t="shared" ca="1" si="195"/>
        <v>5.18</v>
      </c>
      <c r="I4225" s="152">
        <f t="shared" ca="1" si="196"/>
        <v>0</v>
      </c>
      <c r="J4225" s="154"/>
      <c r="K4225" s="155" t="s">
        <v>2966</v>
      </c>
    </row>
    <row r="4226" spans="1:11" hidden="1" x14ac:dyDescent="0.25">
      <c r="A4226" s="148" t="s">
        <v>2285</v>
      </c>
      <c r="B4226" s="149" t="s">
        <v>9779</v>
      </c>
      <c r="C4226" s="150" t="s">
        <v>106</v>
      </c>
      <c r="D4226" s="150">
        <v>0</v>
      </c>
      <c r="E4226" s="151">
        <f ca="1">OFFSET(INDEX(Composições!A:H,MATCH(Orçamentária!A4226,Composições!A:A,0),8),2,0)</f>
        <v>50.934648999999993</v>
      </c>
      <c r="F4226" s="152">
        <f t="shared" ca="1" si="197"/>
        <v>0</v>
      </c>
      <c r="G4226" s="153">
        <f>IF($K4226="Padrão",BDI!$B$17,IF($K4226="Diferenciado",BDI!$E$17,0))</f>
        <v>0.2039</v>
      </c>
      <c r="H4226" s="151">
        <f t="shared" ca="1" si="195"/>
        <v>61.32</v>
      </c>
      <c r="I4226" s="152">
        <f t="shared" ca="1" si="196"/>
        <v>0</v>
      </c>
      <c r="J4226" s="154"/>
      <c r="K4226" s="155" t="s">
        <v>2966</v>
      </c>
    </row>
    <row r="4227" spans="1:11" hidden="1" x14ac:dyDescent="0.25">
      <c r="A4227" s="148" t="s">
        <v>2286</v>
      </c>
      <c r="B4227" s="149" t="s">
        <v>9780</v>
      </c>
      <c r="C4227" s="150" t="s">
        <v>106</v>
      </c>
      <c r="D4227" s="150">
        <v>0</v>
      </c>
      <c r="E4227" s="151">
        <f ca="1">OFFSET(INDEX(Composições!A:H,MATCH(Orçamentária!A4227,Composições!A:A,0),8),2,0)</f>
        <v>121.75444149999997</v>
      </c>
      <c r="F4227" s="152">
        <f t="shared" ca="1" si="197"/>
        <v>0</v>
      </c>
      <c r="G4227" s="153">
        <f>IF($K4227="Padrão",BDI!$B$17,IF($K4227="Diferenciado",BDI!$E$17,0))</f>
        <v>0.2039</v>
      </c>
      <c r="H4227" s="151">
        <f t="shared" ca="1" si="195"/>
        <v>146.58000000000001</v>
      </c>
      <c r="I4227" s="152">
        <f t="shared" ca="1" si="196"/>
        <v>0</v>
      </c>
      <c r="J4227" s="154"/>
      <c r="K4227" s="155" t="s">
        <v>2966</v>
      </c>
    </row>
    <row r="4228" spans="1:11" hidden="1" x14ac:dyDescent="0.25">
      <c r="A4228" s="148" t="s">
        <v>2287</v>
      </c>
      <c r="B4228" s="149" t="s">
        <v>9781</v>
      </c>
      <c r="C4228" s="150" t="s">
        <v>106</v>
      </c>
      <c r="D4228" s="150">
        <v>0</v>
      </c>
      <c r="E4228" s="151">
        <f ca="1">OFFSET(INDEX(Composições!A:H,MATCH(Orçamentária!A4228,Composições!A:A,0),8),2,0)</f>
        <v>241.99347149999997</v>
      </c>
      <c r="F4228" s="152">
        <f t="shared" ca="1" si="197"/>
        <v>0</v>
      </c>
      <c r="G4228" s="153">
        <f>IF($K4228="Padrão",BDI!$B$17,IF($K4228="Diferenciado",BDI!$E$17,0))</f>
        <v>0.2039</v>
      </c>
      <c r="H4228" s="151">
        <f t="shared" ca="1" si="195"/>
        <v>291.33999999999997</v>
      </c>
      <c r="I4228" s="152">
        <f t="shared" ca="1" si="196"/>
        <v>0</v>
      </c>
      <c r="J4228" s="154"/>
      <c r="K4228" s="155" t="s">
        <v>2966</v>
      </c>
    </row>
    <row r="4229" spans="1:11" hidden="1" x14ac:dyDescent="0.25">
      <c r="A4229" s="148" t="s">
        <v>2288</v>
      </c>
      <c r="B4229" s="149" t="s">
        <v>9782</v>
      </c>
      <c r="C4229" s="150" t="s">
        <v>87</v>
      </c>
      <c r="D4229" s="150">
        <v>0</v>
      </c>
      <c r="E4229" s="151">
        <f ca="1">OFFSET(INDEX(Composições!A:H,MATCH(Orçamentária!A4229,Composições!A:A,0),8),2,0)</f>
        <v>10.581574999999999</v>
      </c>
      <c r="F4229" s="152">
        <f t="shared" ca="1" si="197"/>
        <v>0</v>
      </c>
      <c r="G4229" s="153">
        <f>IF($K4229="Padrão",BDI!$B$17,IF($K4229="Diferenciado",BDI!$E$17,0))</f>
        <v>0.2039</v>
      </c>
      <c r="H4229" s="151">
        <f t="shared" ca="1" si="195"/>
        <v>12.74</v>
      </c>
      <c r="I4229" s="152">
        <f t="shared" ca="1" si="196"/>
        <v>0</v>
      </c>
      <c r="J4229" s="154"/>
      <c r="K4229" s="155" t="s">
        <v>2966</v>
      </c>
    </row>
    <row r="4230" spans="1:11" hidden="1" x14ac:dyDescent="0.25">
      <c r="A4230" s="148" t="s">
        <v>2291</v>
      </c>
      <c r="B4230" s="149" t="s">
        <v>9783</v>
      </c>
      <c r="C4230" s="150" t="s">
        <v>106</v>
      </c>
      <c r="D4230" s="150">
        <v>0</v>
      </c>
      <c r="E4230" s="151">
        <f ca="1">OFFSET(INDEX(Composições!A:H,MATCH(Orçamentária!A4230,Composições!A:A,0),8),2,0)</f>
        <v>2.5766165999999999</v>
      </c>
      <c r="F4230" s="152">
        <f t="shared" ca="1" si="197"/>
        <v>0</v>
      </c>
      <c r="G4230" s="153">
        <f>IF($K4230="Padrão",BDI!$B$17,IF($K4230="Diferenciado",BDI!$E$17,0))</f>
        <v>0.2039</v>
      </c>
      <c r="H4230" s="151">
        <f t="shared" ref="H4230:H4293" ca="1" si="198">IF(ISNUMBER(E4230),ROUND(E4230*(1+G4230),2),"")</f>
        <v>3.1</v>
      </c>
      <c r="I4230" s="152">
        <f t="shared" ref="I4230:I4293" ca="1" si="199">IF(ISNUMBER(E4230),ROUND(H4230*D4230,2),"")</f>
        <v>0</v>
      </c>
      <c r="J4230" s="154"/>
      <c r="K4230" s="155" t="s">
        <v>2966</v>
      </c>
    </row>
    <row r="4231" spans="1:11" hidden="1" x14ac:dyDescent="0.25">
      <c r="A4231" s="148" t="s">
        <v>2293</v>
      </c>
      <c r="B4231" s="149" t="s">
        <v>9784</v>
      </c>
      <c r="C4231" s="150" t="s">
        <v>106</v>
      </c>
      <c r="D4231" s="150">
        <v>0</v>
      </c>
      <c r="E4231" s="151">
        <f ca="1">OFFSET(INDEX(Composições!A:H,MATCH(Orçamentária!A4231,Composições!A:A,0),8),2,0)</f>
        <v>2.5766165999999999</v>
      </c>
      <c r="F4231" s="152">
        <f t="shared" ref="F4231:F4294" ca="1" si="200">IF(ISNUMBER(E4231),D4231*E4231,"")</f>
        <v>0</v>
      </c>
      <c r="G4231" s="153">
        <f>IF($K4231="Padrão",BDI!$B$17,IF($K4231="Diferenciado",BDI!$E$17,0))</f>
        <v>0.2039</v>
      </c>
      <c r="H4231" s="151">
        <f t="shared" ca="1" si="198"/>
        <v>3.1</v>
      </c>
      <c r="I4231" s="152">
        <f t="shared" ca="1" si="199"/>
        <v>0</v>
      </c>
      <c r="J4231" s="154"/>
      <c r="K4231" s="155" t="s">
        <v>2966</v>
      </c>
    </row>
    <row r="4232" spans="1:11" hidden="1" x14ac:dyDescent="0.25">
      <c r="A4232" s="148" t="s">
        <v>2295</v>
      </c>
      <c r="B4232" s="149" t="s">
        <v>9785</v>
      </c>
      <c r="C4232" s="150" t="s">
        <v>18</v>
      </c>
      <c r="D4232" s="150">
        <v>0</v>
      </c>
      <c r="E4232" s="151">
        <f ca="1">OFFSET(INDEX(Composições!A:H,MATCH(Orçamentária!A4232,Composições!A:A,0),8),2,0)</f>
        <v>4.0320223000000004</v>
      </c>
      <c r="F4232" s="152">
        <f t="shared" ca="1" si="200"/>
        <v>0</v>
      </c>
      <c r="G4232" s="153">
        <f>IF($K4232="Padrão",BDI!$B$17,IF($K4232="Diferenciado",BDI!$E$17,0))</f>
        <v>0.2039</v>
      </c>
      <c r="H4232" s="151">
        <f t="shared" ca="1" si="198"/>
        <v>4.8499999999999996</v>
      </c>
      <c r="I4232" s="152">
        <f t="shared" ca="1" si="199"/>
        <v>0</v>
      </c>
      <c r="J4232" s="154"/>
      <c r="K4232" s="155" t="s">
        <v>2966</v>
      </c>
    </row>
    <row r="4233" spans="1:11" hidden="1" x14ac:dyDescent="0.25">
      <c r="A4233" s="148" t="s">
        <v>2297</v>
      </c>
      <c r="B4233" s="149" t="s">
        <v>9786</v>
      </c>
      <c r="C4233" s="150" t="s">
        <v>18</v>
      </c>
      <c r="D4233" s="150">
        <v>0</v>
      </c>
      <c r="E4233" s="151">
        <f ca="1">OFFSET(INDEX(Composições!A:H,MATCH(Orçamentária!A4233,Composições!A:A,0),8),2,0)</f>
        <v>4.0320223000000004</v>
      </c>
      <c r="F4233" s="152">
        <f t="shared" ca="1" si="200"/>
        <v>0</v>
      </c>
      <c r="G4233" s="153">
        <f>IF($K4233="Padrão",BDI!$B$17,IF($K4233="Diferenciado",BDI!$E$17,0))</f>
        <v>0.2039</v>
      </c>
      <c r="H4233" s="151">
        <f t="shared" ca="1" si="198"/>
        <v>4.8499999999999996</v>
      </c>
      <c r="I4233" s="152">
        <f t="shared" ca="1" si="199"/>
        <v>0</v>
      </c>
      <c r="J4233" s="154"/>
      <c r="K4233" s="155" t="s">
        <v>2966</v>
      </c>
    </row>
    <row r="4234" spans="1:11" hidden="1" x14ac:dyDescent="0.25">
      <c r="A4234" s="148" t="s">
        <v>2299</v>
      </c>
      <c r="B4234" s="149" t="s">
        <v>9787</v>
      </c>
      <c r="C4234" s="150" t="s">
        <v>18</v>
      </c>
      <c r="D4234" s="150">
        <v>0</v>
      </c>
      <c r="E4234" s="151">
        <f ca="1">OFFSET(INDEX(Composições!A:H,MATCH(Orçamentária!A4234,Composições!A:A,0),8),2,0)</f>
        <v>18.824360200000001</v>
      </c>
      <c r="F4234" s="152">
        <f t="shared" ca="1" si="200"/>
        <v>0</v>
      </c>
      <c r="G4234" s="153">
        <f>IF($K4234="Padrão",BDI!$B$17,IF($K4234="Diferenciado",BDI!$E$17,0))</f>
        <v>0.2039</v>
      </c>
      <c r="H4234" s="151">
        <f t="shared" ca="1" si="198"/>
        <v>22.66</v>
      </c>
      <c r="I4234" s="152">
        <f t="shared" ca="1" si="199"/>
        <v>0</v>
      </c>
      <c r="J4234" s="154"/>
      <c r="K4234" s="155" t="s">
        <v>2966</v>
      </c>
    </row>
    <row r="4235" spans="1:11" hidden="1" x14ac:dyDescent="0.25">
      <c r="A4235" s="148" t="s">
        <v>2300</v>
      </c>
      <c r="B4235" s="149" t="s">
        <v>9788</v>
      </c>
      <c r="C4235" s="150" t="s">
        <v>18</v>
      </c>
      <c r="D4235" s="150">
        <v>0</v>
      </c>
      <c r="E4235" s="151">
        <f ca="1">OFFSET(INDEX(Composições!A:H,MATCH(Orçamentária!A4235,Composições!A:A,0),8),2,0)</f>
        <v>4.0320223000000004</v>
      </c>
      <c r="F4235" s="152">
        <f t="shared" ca="1" si="200"/>
        <v>0</v>
      </c>
      <c r="G4235" s="153">
        <f>IF($K4235="Padrão",BDI!$B$17,IF($K4235="Diferenciado",BDI!$E$17,0))</f>
        <v>0.2039</v>
      </c>
      <c r="H4235" s="151">
        <f t="shared" ca="1" si="198"/>
        <v>4.8499999999999996</v>
      </c>
      <c r="I4235" s="152">
        <f t="shared" ca="1" si="199"/>
        <v>0</v>
      </c>
      <c r="J4235" s="154"/>
      <c r="K4235" s="155" t="s">
        <v>2966</v>
      </c>
    </row>
    <row r="4236" spans="1:11" hidden="1" x14ac:dyDescent="0.25">
      <c r="A4236" s="148" t="s">
        <v>2302</v>
      </c>
      <c r="B4236" s="149" t="s">
        <v>9789</v>
      </c>
      <c r="C4236" s="150" t="s">
        <v>18</v>
      </c>
      <c r="D4236" s="150">
        <v>0</v>
      </c>
      <c r="E4236" s="151">
        <f ca="1">OFFSET(INDEX(Composições!A:H,MATCH(Orçamentária!A4236,Composições!A:A,0),8),2,0)</f>
        <v>4.0320223000000004</v>
      </c>
      <c r="F4236" s="152">
        <f t="shared" ca="1" si="200"/>
        <v>0</v>
      </c>
      <c r="G4236" s="153">
        <f>IF($K4236="Padrão",BDI!$B$17,IF($K4236="Diferenciado",BDI!$E$17,0))</f>
        <v>0.2039</v>
      </c>
      <c r="H4236" s="151">
        <f t="shared" ca="1" si="198"/>
        <v>4.8499999999999996</v>
      </c>
      <c r="I4236" s="152">
        <f t="shared" ca="1" si="199"/>
        <v>0</v>
      </c>
      <c r="J4236" s="154"/>
      <c r="K4236" s="155" t="s">
        <v>2966</v>
      </c>
    </row>
    <row r="4237" spans="1:11" hidden="1" x14ac:dyDescent="0.25">
      <c r="A4237" s="148" t="s">
        <v>2304</v>
      </c>
      <c r="B4237" s="149" t="s">
        <v>9790</v>
      </c>
      <c r="C4237" s="150" t="s">
        <v>18</v>
      </c>
      <c r="D4237" s="150">
        <v>0</v>
      </c>
      <c r="E4237" s="151">
        <f ca="1">OFFSET(INDEX(Composições!A:H,MATCH(Orçamentária!A4237,Composições!A:A,0),8),2,0)</f>
        <v>18.824360200000001</v>
      </c>
      <c r="F4237" s="152">
        <f t="shared" ca="1" si="200"/>
        <v>0</v>
      </c>
      <c r="G4237" s="153">
        <f>IF($K4237="Padrão",BDI!$B$17,IF($K4237="Diferenciado",BDI!$E$17,0))</f>
        <v>0.2039</v>
      </c>
      <c r="H4237" s="151">
        <f t="shared" ca="1" si="198"/>
        <v>22.66</v>
      </c>
      <c r="I4237" s="152">
        <f t="shared" ca="1" si="199"/>
        <v>0</v>
      </c>
      <c r="J4237" s="154"/>
      <c r="K4237" s="155" t="s">
        <v>2966</v>
      </c>
    </row>
    <row r="4238" spans="1:11" hidden="1" x14ac:dyDescent="0.25">
      <c r="A4238" s="148" t="s">
        <v>2306</v>
      </c>
      <c r="B4238" s="149" t="s">
        <v>9791</v>
      </c>
      <c r="C4238" s="150" t="s">
        <v>18</v>
      </c>
      <c r="D4238" s="150">
        <v>0</v>
      </c>
      <c r="E4238" s="151">
        <f ca="1">OFFSET(INDEX(Composições!A:H,MATCH(Orçamentária!A4238,Composições!A:A,0),8),2,0)</f>
        <v>4.0320223000000004</v>
      </c>
      <c r="F4238" s="152">
        <f t="shared" ca="1" si="200"/>
        <v>0</v>
      </c>
      <c r="G4238" s="153">
        <f>IF($K4238="Padrão",BDI!$B$17,IF($K4238="Diferenciado",BDI!$E$17,0))</f>
        <v>0.2039</v>
      </c>
      <c r="H4238" s="151">
        <f t="shared" ca="1" si="198"/>
        <v>4.8499999999999996</v>
      </c>
      <c r="I4238" s="152">
        <f t="shared" ca="1" si="199"/>
        <v>0</v>
      </c>
      <c r="J4238" s="154"/>
      <c r="K4238" s="155" t="s">
        <v>2966</v>
      </c>
    </row>
    <row r="4239" spans="1:11" hidden="1" x14ac:dyDescent="0.25">
      <c r="A4239" s="148" t="s">
        <v>2308</v>
      </c>
      <c r="B4239" s="149" t="s">
        <v>9792</v>
      </c>
      <c r="C4239" s="150" t="s">
        <v>18</v>
      </c>
      <c r="D4239" s="150">
        <v>0</v>
      </c>
      <c r="E4239" s="151">
        <f ca="1">OFFSET(INDEX(Composições!A:H,MATCH(Orçamentária!A4239,Composições!A:A,0),8),2,0)</f>
        <v>5843.41</v>
      </c>
      <c r="F4239" s="152">
        <f t="shared" ca="1" si="200"/>
        <v>0</v>
      </c>
      <c r="G4239" s="153">
        <f>IF($K4239="Padrão",BDI!$B$17,IF($K4239="Diferenciado",BDI!$E$17,0))</f>
        <v>0.2039</v>
      </c>
      <c r="H4239" s="151">
        <f t="shared" ca="1" si="198"/>
        <v>7034.88</v>
      </c>
      <c r="I4239" s="152">
        <f t="shared" ca="1" si="199"/>
        <v>0</v>
      </c>
      <c r="J4239" s="154"/>
      <c r="K4239" s="155" t="s">
        <v>2966</v>
      </c>
    </row>
    <row r="4240" spans="1:11" hidden="1" x14ac:dyDescent="0.25">
      <c r="A4240" s="148" t="s">
        <v>2309</v>
      </c>
      <c r="B4240" s="149" t="s">
        <v>9793</v>
      </c>
      <c r="C4240" s="150" t="s">
        <v>18</v>
      </c>
      <c r="D4240" s="150">
        <v>0</v>
      </c>
      <c r="E4240" s="151">
        <f ca="1">OFFSET(INDEX(Composições!A:H,MATCH(Orçamentária!A4240,Composições!A:A,0),8),2,0)</f>
        <v>221.5923602</v>
      </c>
      <c r="F4240" s="152">
        <f t="shared" ca="1" si="200"/>
        <v>0</v>
      </c>
      <c r="G4240" s="153">
        <f>IF($K4240="Padrão",BDI!$B$17,IF($K4240="Diferenciado",BDI!$E$17,0))</f>
        <v>0.2039</v>
      </c>
      <c r="H4240" s="151">
        <f t="shared" ca="1" si="198"/>
        <v>266.77999999999997</v>
      </c>
      <c r="I4240" s="152">
        <f t="shared" ca="1" si="199"/>
        <v>0</v>
      </c>
      <c r="J4240" s="154"/>
      <c r="K4240" s="155" t="s">
        <v>2966</v>
      </c>
    </row>
    <row r="4241" spans="1:11" hidden="1" x14ac:dyDescent="0.25">
      <c r="A4241" s="148" t="s">
        <v>2310</v>
      </c>
      <c r="B4241" s="149" t="s">
        <v>9794</v>
      </c>
      <c r="C4241" s="150" t="s">
        <v>18</v>
      </c>
      <c r="D4241" s="150">
        <v>0</v>
      </c>
      <c r="E4241" s="151">
        <f ca="1">OFFSET(INDEX(Composições!A:H,MATCH(Orçamentária!A4241,Composições!A:A,0),8),2,0)</f>
        <v>18.824360200000001</v>
      </c>
      <c r="F4241" s="152">
        <f t="shared" ca="1" si="200"/>
        <v>0</v>
      </c>
      <c r="G4241" s="153">
        <f>IF($K4241="Padrão",BDI!$B$17,IF($K4241="Diferenciado",BDI!$E$17,0))</f>
        <v>0.2039</v>
      </c>
      <c r="H4241" s="151">
        <f t="shared" ca="1" si="198"/>
        <v>22.66</v>
      </c>
      <c r="I4241" s="152">
        <f t="shared" ca="1" si="199"/>
        <v>0</v>
      </c>
      <c r="J4241" s="154"/>
      <c r="K4241" s="155" t="s">
        <v>2966</v>
      </c>
    </row>
    <row r="4242" spans="1:11" hidden="1" x14ac:dyDescent="0.25">
      <c r="A4242" s="148" t="s">
        <v>2312</v>
      </c>
      <c r="B4242" s="149" t="s">
        <v>9795</v>
      </c>
      <c r="C4242" s="150" t="s">
        <v>18</v>
      </c>
      <c r="D4242" s="150">
        <v>0</v>
      </c>
      <c r="E4242" s="151">
        <f ca="1">OFFSET(INDEX(Composições!A:H,MATCH(Orçamentária!A4242,Composições!A:A,0),8),2,0)</f>
        <v>18.824360200000001</v>
      </c>
      <c r="F4242" s="152">
        <f t="shared" ca="1" si="200"/>
        <v>0</v>
      </c>
      <c r="G4242" s="153">
        <f>IF($K4242="Padrão",BDI!$B$17,IF($K4242="Diferenciado",BDI!$E$17,0))</f>
        <v>0.2039</v>
      </c>
      <c r="H4242" s="151">
        <f t="shared" ca="1" si="198"/>
        <v>22.66</v>
      </c>
      <c r="I4242" s="152">
        <f t="shared" ca="1" si="199"/>
        <v>0</v>
      </c>
      <c r="J4242" s="154"/>
      <c r="K4242" s="155" t="s">
        <v>2966</v>
      </c>
    </row>
    <row r="4243" spans="1:11" hidden="1" x14ac:dyDescent="0.25">
      <c r="A4243" s="148" t="s">
        <v>2314</v>
      </c>
      <c r="B4243" s="149" t="s">
        <v>9796</v>
      </c>
      <c r="C4243" s="150" t="s">
        <v>18</v>
      </c>
      <c r="D4243" s="150">
        <v>0</v>
      </c>
      <c r="E4243" s="151">
        <f ca="1">OFFSET(INDEX(Composições!A:H,MATCH(Orçamentária!A4243,Composições!A:A,0),8),2,0)</f>
        <v>44.592999999999996</v>
      </c>
      <c r="F4243" s="152">
        <f t="shared" ca="1" si="200"/>
        <v>0</v>
      </c>
      <c r="G4243" s="153">
        <f>IF($K4243="Padrão",BDI!$B$17,IF($K4243="Diferenciado",BDI!$E$17,0))</f>
        <v>0.2039</v>
      </c>
      <c r="H4243" s="151">
        <f t="shared" ca="1" si="198"/>
        <v>53.69</v>
      </c>
      <c r="I4243" s="152">
        <f t="shared" ca="1" si="199"/>
        <v>0</v>
      </c>
      <c r="J4243" s="154"/>
      <c r="K4243" s="155" t="s">
        <v>2966</v>
      </c>
    </row>
    <row r="4244" spans="1:11" hidden="1" x14ac:dyDescent="0.25">
      <c r="A4244" s="148" t="s">
        <v>2315</v>
      </c>
      <c r="B4244" s="149" t="s">
        <v>9797</v>
      </c>
      <c r="C4244" s="150" t="s">
        <v>18</v>
      </c>
      <c r="D4244" s="150">
        <v>0</v>
      </c>
      <c r="E4244" s="151">
        <f ca="1">OFFSET(INDEX(Composições!A:H,MATCH(Orçamentária!A4244,Composições!A:A,0),8),2,0)</f>
        <v>73.796000000000006</v>
      </c>
      <c r="F4244" s="152">
        <f t="shared" ca="1" si="200"/>
        <v>0</v>
      </c>
      <c r="G4244" s="153">
        <f>IF($K4244="Padrão",BDI!$B$17,IF($K4244="Diferenciado",BDI!$E$17,0))</f>
        <v>0.2039</v>
      </c>
      <c r="H4244" s="151">
        <f t="shared" ca="1" si="198"/>
        <v>88.84</v>
      </c>
      <c r="I4244" s="152">
        <f t="shared" ca="1" si="199"/>
        <v>0</v>
      </c>
      <c r="J4244" s="154"/>
      <c r="K4244" s="155" t="s">
        <v>2966</v>
      </c>
    </row>
    <row r="4245" spans="1:11" hidden="1" x14ac:dyDescent="0.25">
      <c r="A4245" s="148" t="s">
        <v>9798</v>
      </c>
      <c r="B4245" s="149" t="s">
        <v>9799</v>
      </c>
      <c r="C4245" s="150" t="s">
        <v>18</v>
      </c>
      <c r="D4245" s="150">
        <v>0</v>
      </c>
      <c r="E4245" s="151" t="s">
        <v>13</v>
      </c>
      <c r="F4245" s="152" t="str">
        <f t="shared" si="200"/>
        <v/>
      </c>
      <c r="G4245" s="153">
        <f>IF($K4245="Padrão",BDI!$B$17,IF($K4245="Diferenciado",BDI!$E$17,0))</f>
        <v>0.2039</v>
      </c>
      <c r="H4245" s="151" t="str">
        <f t="shared" si="198"/>
        <v/>
      </c>
      <c r="I4245" s="152" t="str">
        <f t="shared" si="199"/>
        <v/>
      </c>
      <c r="J4245" s="154"/>
      <c r="K4245" s="155" t="s">
        <v>2966</v>
      </c>
    </row>
    <row r="4246" spans="1:11" hidden="1" x14ac:dyDescent="0.25">
      <c r="A4246" s="148" t="s">
        <v>9800</v>
      </c>
      <c r="B4246" s="149" t="s">
        <v>9801</v>
      </c>
      <c r="C4246" s="150" t="s">
        <v>18</v>
      </c>
      <c r="D4246" s="150">
        <v>0</v>
      </c>
      <c r="E4246" s="151" t="s">
        <v>13</v>
      </c>
      <c r="F4246" s="152" t="str">
        <f t="shared" si="200"/>
        <v/>
      </c>
      <c r="G4246" s="153">
        <f>IF($K4246="Padrão",BDI!$B$17,IF($K4246="Diferenciado",BDI!$E$17,0))</f>
        <v>0.2039</v>
      </c>
      <c r="H4246" s="151" t="str">
        <f t="shared" si="198"/>
        <v/>
      </c>
      <c r="I4246" s="152" t="str">
        <f t="shared" si="199"/>
        <v/>
      </c>
      <c r="J4246" s="154"/>
      <c r="K4246" s="155" t="s">
        <v>2966</v>
      </c>
    </row>
    <row r="4247" spans="1:11" hidden="1" x14ac:dyDescent="0.25">
      <c r="A4247" s="148" t="s">
        <v>9802</v>
      </c>
      <c r="B4247" s="149" t="s">
        <v>9803</v>
      </c>
      <c r="C4247" s="150" t="s">
        <v>68</v>
      </c>
      <c r="D4247" s="150">
        <v>0</v>
      </c>
      <c r="E4247" s="151" t="s">
        <v>13</v>
      </c>
      <c r="F4247" s="152" t="str">
        <f t="shared" si="200"/>
        <v/>
      </c>
      <c r="G4247" s="153">
        <f>IF($K4247="Padrão",BDI!$B$17,IF($K4247="Diferenciado",BDI!$E$17,0))</f>
        <v>0.2039</v>
      </c>
      <c r="H4247" s="151" t="str">
        <f t="shared" si="198"/>
        <v/>
      </c>
      <c r="I4247" s="152" t="str">
        <f t="shared" si="199"/>
        <v/>
      </c>
      <c r="J4247" s="154"/>
      <c r="K4247" s="155" t="s">
        <v>2966</v>
      </c>
    </row>
    <row r="4248" spans="1:11" hidden="1" x14ac:dyDescent="0.25">
      <c r="A4248" s="148" t="s">
        <v>9804</v>
      </c>
      <c r="B4248" s="149" t="s">
        <v>9805</v>
      </c>
      <c r="C4248" s="150" t="s">
        <v>106</v>
      </c>
      <c r="D4248" s="150">
        <v>0</v>
      </c>
      <c r="E4248" s="151" t="s">
        <v>13</v>
      </c>
      <c r="F4248" s="152" t="str">
        <f t="shared" si="200"/>
        <v/>
      </c>
      <c r="G4248" s="153">
        <f>IF($K4248="Padrão",BDI!$B$17,IF($K4248="Diferenciado",BDI!$E$17,0))</f>
        <v>0.2039</v>
      </c>
      <c r="H4248" s="151" t="str">
        <f t="shared" si="198"/>
        <v/>
      </c>
      <c r="I4248" s="152" t="str">
        <f t="shared" si="199"/>
        <v/>
      </c>
      <c r="J4248" s="154"/>
      <c r="K4248" s="155" t="s">
        <v>2966</v>
      </c>
    </row>
    <row r="4249" spans="1:11" hidden="1" x14ac:dyDescent="0.25">
      <c r="A4249" s="148" t="s">
        <v>9806</v>
      </c>
      <c r="B4249" s="149" t="s">
        <v>9807</v>
      </c>
      <c r="C4249" s="150" t="s">
        <v>106</v>
      </c>
      <c r="D4249" s="150">
        <v>0</v>
      </c>
      <c r="E4249" s="151" t="s">
        <v>13</v>
      </c>
      <c r="F4249" s="152" t="str">
        <f t="shared" si="200"/>
        <v/>
      </c>
      <c r="G4249" s="153">
        <f>IF($K4249="Padrão",BDI!$B$17,IF($K4249="Diferenciado",BDI!$E$17,0))</f>
        <v>0.2039</v>
      </c>
      <c r="H4249" s="151" t="str">
        <f t="shared" si="198"/>
        <v/>
      </c>
      <c r="I4249" s="152" t="str">
        <f t="shared" si="199"/>
        <v/>
      </c>
      <c r="J4249" s="154"/>
      <c r="K4249" s="155" t="s">
        <v>2966</v>
      </c>
    </row>
    <row r="4250" spans="1:11" hidden="1" x14ac:dyDescent="0.25">
      <c r="A4250" s="148" t="s">
        <v>9808</v>
      </c>
      <c r="B4250" s="149" t="s">
        <v>9809</v>
      </c>
      <c r="C4250" s="150" t="s">
        <v>68</v>
      </c>
      <c r="D4250" s="150">
        <v>0</v>
      </c>
      <c r="E4250" s="151" t="s">
        <v>13</v>
      </c>
      <c r="F4250" s="152" t="str">
        <f t="shared" si="200"/>
        <v/>
      </c>
      <c r="G4250" s="153">
        <f>IF($K4250="Padrão",BDI!$B$17,IF($K4250="Diferenciado",BDI!$E$17,0))</f>
        <v>0.2039</v>
      </c>
      <c r="H4250" s="151" t="str">
        <f t="shared" si="198"/>
        <v/>
      </c>
      <c r="I4250" s="152" t="str">
        <f t="shared" si="199"/>
        <v/>
      </c>
      <c r="J4250" s="154"/>
      <c r="K4250" s="155" t="s">
        <v>2966</v>
      </c>
    </row>
    <row r="4251" spans="1:11" hidden="1" x14ac:dyDescent="0.25">
      <c r="A4251" s="148" t="s">
        <v>2316</v>
      </c>
      <c r="B4251" s="149" t="s">
        <v>9810</v>
      </c>
      <c r="C4251" s="150" t="s">
        <v>68</v>
      </c>
      <c r="D4251" s="150">
        <v>0</v>
      </c>
      <c r="E4251" s="151">
        <f ca="1">OFFSET(INDEX(Composições!A:H,MATCH(Orçamentária!A4251,Composições!A:A,0),8),2,0)</f>
        <v>263.73225500000001</v>
      </c>
      <c r="F4251" s="152">
        <f t="shared" ca="1" si="200"/>
        <v>0</v>
      </c>
      <c r="G4251" s="153">
        <f>IF($K4251="Padrão",BDI!$B$17,IF($K4251="Diferenciado",BDI!$E$17,0))</f>
        <v>0.2039</v>
      </c>
      <c r="H4251" s="151">
        <f t="shared" ca="1" si="198"/>
        <v>317.51</v>
      </c>
      <c r="I4251" s="152">
        <f t="shared" ca="1" si="199"/>
        <v>0</v>
      </c>
      <c r="J4251" s="154"/>
      <c r="K4251" s="155" t="s">
        <v>2966</v>
      </c>
    </row>
    <row r="4252" spans="1:11" hidden="1" x14ac:dyDescent="0.25">
      <c r="A4252" s="148" t="s">
        <v>2323</v>
      </c>
      <c r="B4252" s="149" t="s">
        <v>9811</v>
      </c>
      <c r="C4252" s="150" t="s">
        <v>68</v>
      </c>
      <c r="D4252" s="150">
        <v>0</v>
      </c>
      <c r="E4252" s="151">
        <f ca="1">OFFSET(INDEX(Composições!A:H,MATCH(Orçamentária!A4252,Composições!A:A,0),8),2,0)</f>
        <v>339.59030392149504</v>
      </c>
      <c r="F4252" s="152">
        <f t="shared" ca="1" si="200"/>
        <v>0</v>
      </c>
      <c r="G4252" s="153">
        <f>IF($K4252="Padrão",BDI!$B$17,IF($K4252="Diferenciado",BDI!$E$17,0))</f>
        <v>0.2039</v>
      </c>
      <c r="H4252" s="151">
        <f t="shared" ca="1" si="198"/>
        <v>408.83</v>
      </c>
      <c r="I4252" s="152">
        <f t="shared" ca="1" si="199"/>
        <v>0</v>
      </c>
      <c r="J4252" s="154"/>
      <c r="K4252" s="155" t="s">
        <v>2966</v>
      </c>
    </row>
    <row r="4253" spans="1:11" hidden="1" x14ac:dyDescent="0.25">
      <c r="A4253" s="148" t="s">
        <v>2324</v>
      </c>
      <c r="B4253" s="149" t="s">
        <v>9812</v>
      </c>
      <c r="C4253" s="150" t="s">
        <v>68</v>
      </c>
      <c r="D4253" s="150">
        <v>0</v>
      </c>
      <c r="E4253" s="151">
        <f ca="1">OFFSET(INDEX(Composições!A:H,MATCH(Orçamentária!A4253,Composições!A:A,0),8),2,0)</f>
        <v>66.587856000000002</v>
      </c>
      <c r="F4253" s="152">
        <f t="shared" ca="1" si="200"/>
        <v>0</v>
      </c>
      <c r="G4253" s="153">
        <f>IF($K4253="Padrão",BDI!$B$17,IF($K4253="Diferenciado",BDI!$E$17,0))</f>
        <v>0.2039</v>
      </c>
      <c r="H4253" s="151">
        <f t="shared" ca="1" si="198"/>
        <v>80.17</v>
      </c>
      <c r="I4253" s="152">
        <f t="shared" ca="1" si="199"/>
        <v>0</v>
      </c>
      <c r="J4253" s="154"/>
      <c r="K4253" s="155" t="s">
        <v>2966</v>
      </c>
    </row>
    <row r="4254" spans="1:11" hidden="1" x14ac:dyDescent="0.25">
      <c r="A4254" s="148" t="s">
        <v>2326</v>
      </c>
      <c r="B4254" s="149" t="s">
        <v>9813</v>
      </c>
      <c r="C4254" s="150" t="s">
        <v>72</v>
      </c>
      <c r="D4254" s="150">
        <v>0</v>
      </c>
      <c r="E4254" s="151">
        <f ca="1">OFFSET(INDEX(Composições!A:H,MATCH(Orçamentária!A4254,Composições!A:A,0),8),2,0)</f>
        <v>24.713608956309013</v>
      </c>
      <c r="F4254" s="152">
        <f t="shared" ca="1" si="200"/>
        <v>0</v>
      </c>
      <c r="G4254" s="153">
        <f>IF($K4254="Padrão",BDI!$B$17,IF($K4254="Diferenciado",BDI!$E$17,0))</f>
        <v>0.2039</v>
      </c>
      <c r="H4254" s="151">
        <f t="shared" ca="1" si="198"/>
        <v>29.75</v>
      </c>
      <c r="I4254" s="152">
        <f t="shared" ca="1" si="199"/>
        <v>0</v>
      </c>
      <c r="J4254" s="154"/>
      <c r="K4254" s="155" t="s">
        <v>2966</v>
      </c>
    </row>
    <row r="4255" spans="1:11" hidden="1" x14ac:dyDescent="0.25">
      <c r="A4255" s="148" t="s">
        <v>2327</v>
      </c>
      <c r="B4255" s="149" t="s">
        <v>9814</v>
      </c>
      <c r="C4255" s="150" t="s">
        <v>18</v>
      </c>
      <c r="D4255" s="150">
        <v>0</v>
      </c>
      <c r="E4255" s="151">
        <f ca="1">OFFSET(INDEX(Composições!A:H,MATCH(Orçamentária!A4255,Composições!A:A,0),8),2,0)</f>
        <v>1454.0197830000002</v>
      </c>
      <c r="F4255" s="152">
        <f t="shared" ca="1" si="200"/>
        <v>0</v>
      </c>
      <c r="G4255" s="153">
        <f>IF($K4255="Padrão",BDI!$B$17,IF($K4255="Diferenciado",BDI!$E$17,0))</f>
        <v>0.2039</v>
      </c>
      <c r="H4255" s="151">
        <f t="shared" ca="1" si="198"/>
        <v>1750.49</v>
      </c>
      <c r="I4255" s="152">
        <f t="shared" ca="1" si="199"/>
        <v>0</v>
      </c>
      <c r="J4255" s="154"/>
      <c r="K4255" s="155" t="s">
        <v>2966</v>
      </c>
    </row>
    <row r="4256" spans="1:11" hidden="1" x14ac:dyDescent="0.25">
      <c r="A4256" s="148" t="s">
        <v>2328</v>
      </c>
      <c r="B4256" s="149" t="s">
        <v>9815</v>
      </c>
      <c r="C4256" s="150" t="s">
        <v>18</v>
      </c>
      <c r="D4256" s="150">
        <v>0</v>
      </c>
      <c r="E4256" s="151">
        <f ca="1">OFFSET(INDEX(Composições!A:H,MATCH(Orçamentária!A4256,Composições!A:A,0),8),2,0)</f>
        <v>1013.47158905</v>
      </c>
      <c r="F4256" s="152">
        <f t="shared" ca="1" si="200"/>
        <v>0</v>
      </c>
      <c r="G4256" s="153">
        <f>IF($K4256="Padrão",BDI!$B$17,IF($K4256="Diferenciado",BDI!$E$17,0))</f>
        <v>0.2039</v>
      </c>
      <c r="H4256" s="151">
        <f t="shared" ca="1" si="198"/>
        <v>1220.1199999999999</v>
      </c>
      <c r="I4256" s="152">
        <f t="shared" ca="1" si="199"/>
        <v>0</v>
      </c>
      <c r="J4256" s="154"/>
      <c r="K4256" s="155" t="s">
        <v>2966</v>
      </c>
    </row>
    <row r="4257" spans="1:11" hidden="1" x14ac:dyDescent="0.25">
      <c r="A4257" s="148" t="s">
        <v>2329</v>
      </c>
      <c r="B4257" s="149" t="s">
        <v>9816</v>
      </c>
      <c r="C4257" s="150" t="s">
        <v>18</v>
      </c>
      <c r="D4257" s="150">
        <v>0</v>
      </c>
      <c r="E4257" s="151">
        <f ca="1">OFFSET(INDEX(Composições!A:H,MATCH(Orçamentária!A4257,Composições!A:A,0),8),2,0)</f>
        <v>436.78354724999997</v>
      </c>
      <c r="F4257" s="152">
        <f t="shared" ca="1" si="200"/>
        <v>0</v>
      </c>
      <c r="G4257" s="153">
        <f>IF($K4257="Padrão",BDI!$B$17,IF($K4257="Diferenciado",BDI!$E$17,0))</f>
        <v>0.2039</v>
      </c>
      <c r="H4257" s="151">
        <f t="shared" ca="1" si="198"/>
        <v>525.84</v>
      </c>
      <c r="I4257" s="152">
        <f t="shared" ca="1" si="199"/>
        <v>0</v>
      </c>
      <c r="J4257" s="154"/>
      <c r="K4257" s="155" t="s">
        <v>2966</v>
      </c>
    </row>
    <row r="4258" spans="1:11" hidden="1" x14ac:dyDescent="0.25">
      <c r="A4258" s="148" t="s">
        <v>2331</v>
      </c>
      <c r="B4258" s="149" t="s">
        <v>9817</v>
      </c>
      <c r="C4258" s="150" t="s">
        <v>68</v>
      </c>
      <c r="D4258" s="150">
        <v>0</v>
      </c>
      <c r="E4258" s="151">
        <f ca="1">OFFSET(INDEX(Composições!A:H,MATCH(Orçamentária!A4258,Composições!A:A,0),8),2,0)</f>
        <v>422.80934966666661</v>
      </c>
      <c r="F4258" s="152">
        <f t="shared" ca="1" si="200"/>
        <v>0</v>
      </c>
      <c r="G4258" s="153">
        <f>IF($K4258="Padrão",BDI!$B$17,IF($K4258="Diferenciado",BDI!$E$17,0))</f>
        <v>0.2039</v>
      </c>
      <c r="H4258" s="151">
        <f t="shared" ca="1" si="198"/>
        <v>509.02</v>
      </c>
      <c r="I4258" s="152">
        <f t="shared" ca="1" si="199"/>
        <v>0</v>
      </c>
      <c r="J4258" s="154"/>
      <c r="K4258" s="155" t="s">
        <v>2966</v>
      </c>
    </row>
    <row r="4259" spans="1:11" hidden="1" x14ac:dyDescent="0.25">
      <c r="A4259" s="148" t="s">
        <v>2332</v>
      </c>
      <c r="B4259" s="149" t="s">
        <v>9818</v>
      </c>
      <c r="C4259" s="150" t="s">
        <v>68</v>
      </c>
      <c r="D4259" s="150">
        <v>0</v>
      </c>
      <c r="E4259" s="151">
        <f ca="1">OFFSET(INDEX(Composições!A:H,MATCH(Orçamentária!A4259,Composições!A:A,0),8),2,0)</f>
        <v>381.9922545</v>
      </c>
      <c r="F4259" s="152">
        <f t="shared" ca="1" si="200"/>
        <v>0</v>
      </c>
      <c r="G4259" s="153">
        <f>IF($K4259="Padrão",BDI!$B$17,IF($K4259="Diferenciado",BDI!$E$17,0))</f>
        <v>0.2039</v>
      </c>
      <c r="H4259" s="151">
        <f t="shared" ca="1" si="198"/>
        <v>459.88</v>
      </c>
      <c r="I4259" s="152">
        <f t="shared" ca="1" si="199"/>
        <v>0</v>
      </c>
      <c r="J4259" s="154"/>
      <c r="K4259" s="155" t="s">
        <v>2966</v>
      </c>
    </row>
    <row r="4260" spans="1:11" hidden="1" x14ac:dyDescent="0.25">
      <c r="A4260" s="148" t="s">
        <v>2333</v>
      </c>
      <c r="B4260" s="149" t="s">
        <v>9819</v>
      </c>
      <c r="C4260" s="150" t="s">
        <v>68</v>
      </c>
      <c r="D4260" s="150">
        <v>0</v>
      </c>
      <c r="E4260" s="151">
        <f ca="1">OFFSET(INDEX(Composições!A:H,MATCH(Orçamentária!A4260,Composições!A:A,0),8),2,0)</f>
        <v>409.82089899999994</v>
      </c>
      <c r="F4260" s="152">
        <f t="shared" ca="1" si="200"/>
        <v>0</v>
      </c>
      <c r="G4260" s="153">
        <f>IF($K4260="Padrão",BDI!$B$17,IF($K4260="Diferenciado",BDI!$E$17,0))</f>
        <v>0.2039</v>
      </c>
      <c r="H4260" s="151">
        <f t="shared" ca="1" si="198"/>
        <v>493.38</v>
      </c>
      <c r="I4260" s="152">
        <f t="shared" ca="1" si="199"/>
        <v>0</v>
      </c>
      <c r="J4260" s="154"/>
      <c r="K4260" s="155" t="s">
        <v>2966</v>
      </c>
    </row>
    <row r="4261" spans="1:11" hidden="1" x14ac:dyDescent="0.25">
      <c r="A4261" s="148" t="s">
        <v>2334</v>
      </c>
      <c r="B4261" s="149" t="s">
        <v>9820</v>
      </c>
      <c r="C4261" s="150" t="s">
        <v>68</v>
      </c>
      <c r="D4261" s="150">
        <v>0</v>
      </c>
      <c r="E4261" s="151">
        <f ca="1">OFFSET(INDEX(Composições!A:H,MATCH(Orçamentária!A4261,Composições!A:A,0),8),2,0)</f>
        <v>409.82089899999994</v>
      </c>
      <c r="F4261" s="152">
        <f t="shared" ca="1" si="200"/>
        <v>0</v>
      </c>
      <c r="G4261" s="153">
        <f>IF($K4261="Padrão",BDI!$B$17,IF($K4261="Diferenciado",BDI!$E$17,0))</f>
        <v>0.2039</v>
      </c>
      <c r="H4261" s="151">
        <f t="shared" ca="1" si="198"/>
        <v>493.38</v>
      </c>
      <c r="I4261" s="152">
        <f t="shared" ca="1" si="199"/>
        <v>0</v>
      </c>
      <c r="J4261" s="154"/>
      <c r="K4261" s="155" t="s">
        <v>2966</v>
      </c>
    </row>
    <row r="4262" spans="1:11" hidden="1" x14ac:dyDescent="0.25">
      <c r="A4262" s="148" t="s">
        <v>2335</v>
      </c>
      <c r="B4262" s="149" t="s">
        <v>9821</v>
      </c>
      <c r="C4262" s="150" t="s">
        <v>68</v>
      </c>
      <c r="D4262" s="150">
        <v>0</v>
      </c>
      <c r="E4262" s="151">
        <f ca="1">OFFSET(INDEX(Composições!A:H,MATCH(Orçamentária!A4262,Composições!A:A,0),8),2,0)</f>
        <v>409.82089899999994</v>
      </c>
      <c r="F4262" s="152">
        <f t="shared" ca="1" si="200"/>
        <v>0</v>
      </c>
      <c r="G4262" s="153">
        <f>IF($K4262="Padrão",BDI!$B$17,IF($K4262="Diferenciado",BDI!$E$17,0))</f>
        <v>0.2039</v>
      </c>
      <c r="H4262" s="151">
        <f t="shared" ca="1" si="198"/>
        <v>493.38</v>
      </c>
      <c r="I4262" s="152">
        <f t="shared" ca="1" si="199"/>
        <v>0</v>
      </c>
      <c r="J4262" s="154"/>
      <c r="K4262" s="155" t="s">
        <v>2966</v>
      </c>
    </row>
    <row r="4263" spans="1:11" hidden="1" x14ac:dyDescent="0.25">
      <c r="A4263" s="148" t="s">
        <v>9822</v>
      </c>
      <c r="B4263" s="149" t="s">
        <v>9823</v>
      </c>
      <c r="C4263" s="150" t="s">
        <v>18</v>
      </c>
      <c r="D4263" s="150">
        <v>0</v>
      </c>
      <c r="E4263" s="151" t="s">
        <v>13</v>
      </c>
      <c r="F4263" s="152" t="str">
        <f t="shared" si="200"/>
        <v/>
      </c>
      <c r="G4263" s="153">
        <f>IF($K4263="Padrão",BDI!$B$17,IF($K4263="Diferenciado",BDI!$E$17,0))</f>
        <v>0.2039</v>
      </c>
      <c r="H4263" s="151" t="str">
        <f t="shared" si="198"/>
        <v/>
      </c>
      <c r="I4263" s="152" t="str">
        <f t="shared" si="199"/>
        <v/>
      </c>
      <c r="J4263" s="154"/>
      <c r="K4263" s="155" t="s">
        <v>2966</v>
      </c>
    </row>
    <row r="4264" spans="1:11" hidden="1" x14ac:dyDescent="0.25">
      <c r="A4264" s="148" t="s">
        <v>9824</v>
      </c>
      <c r="B4264" s="149" t="s">
        <v>9825</v>
      </c>
      <c r="C4264" s="150" t="s">
        <v>18</v>
      </c>
      <c r="D4264" s="150">
        <v>0</v>
      </c>
      <c r="E4264" s="151" t="s">
        <v>13</v>
      </c>
      <c r="F4264" s="152" t="str">
        <f t="shared" si="200"/>
        <v/>
      </c>
      <c r="G4264" s="153">
        <f>IF($K4264="Padrão",BDI!$B$17,IF($K4264="Diferenciado",BDI!$E$17,0))</f>
        <v>0.2039</v>
      </c>
      <c r="H4264" s="151" t="str">
        <f t="shared" si="198"/>
        <v/>
      </c>
      <c r="I4264" s="152" t="str">
        <f t="shared" si="199"/>
        <v/>
      </c>
      <c r="J4264" s="154"/>
      <c r="K4264" s="155" t="s">
        <v>2966</v>
      </c>
    </row>
    <row r="4265" spans="1:11" hidden="1" x14ac:dyDescent="0.25">
      <c r="A4265" s="148" t="s">
        <v>2336</v>
      </c>
      <c r="B4265" s="149" t="s">
        <v>9826</v>
      </c>
      <c r="C4265" s="150" t="s">
        <v>18</v>
      </c>
      <c r="D4265" s="150">
        <v>0</v>
      </c>
      <c r="E4265" s="151">
        <f ca="1">OFFSET(INDEX(Composições!A:H,MATCH(Orçamentária!A4265,Composições!A:A,0),8),2,0)</f>
        <v>1292.6119738127156</v>
      </c>
      <c r="F4265" s="152">
        <f t="shared" ca="1" si="200"/>
        <v>0</v>
      </c>
      <c r="G4265" s="153">
        <f>IF($K4265="Padrão",BDI!$B$17,IF($K4265="Diferenciado",BDI!$E$17,0))</f>
        <v>0.2039</v>
      </c>
      <c r="H4265" s="151">
        <f t="shared" ca="1" si="198"/>
        <v>1556.18</v>
      </c>
      <c r="I4265" s="152">
        <f t="shared" ca="1" si="199"/>
        <v>0</v>
      </c>
      <c r="J4265" s="154"/>
      <c r="K4265" s="155" t="s">
        <v>2966</v>
      </c>
    </row>
    <row r="4266" spans="1:11" hidden="1" x14ac:dyDescent="0.25">
      <c r="A4266" s="148" t="s">
        <v>2337</v>
      </c>
      <c r="B4266" s="149" t="s">
        <v>9827</v>
      </c>
      <c r="C4266" s="150" t="s">
        <v>106</v>
      </c>
      <c r="D4266" s="150">
        <v>0</v>
      </c>
      <c r="E4266" s="151">
        <f ca="1">OFFSET(INDEX(Composições!A:H,MATCH(Orçamentária!A4266,Composições!A:A,0),8),2,0)</f>
        <v>52.00417135</v>
      </c>
      <c r="F4266" s="152">
        <f t="shared" ca="1" si="200"/>
        <v>0</v>
      </c>
      <c r="G4266" s="153">
        <f>IF($K4266="Padrão",BDI!$B$17,IF($K4266="Diferenciado",BDI!$E$17,0))</f>
        <v>0.2039</v>
      </c>
      <c r="H4266" s="151">
        <f t="shared" ca="1" si="198"/>
        <v>62.61</v>
      </c>
      <c r="I4266" s="152">
        <f t="shared" ca="1" si="199"/>
        <v>0</v>
      </c>
      <c r="J4266" s="154"/>
      <c r="K4266" s="155" t="s">
        <v>2966</v>
      </c>
    </row>
    <row r="4267" spans="1:11" hidden="1" x14ac:dyDescent="0.25">
      <c r="A4267" s="148" t="s">
        <v>2338</v>
      </c>
      <c r="B4267" s="149" t="s">
        <v>9828</v>
      </c>
      <c r="C4267" s="150" t="s">
        <v>106</v>
      </c>
      <c r="D4267" s="150">
        <v>0</v>
      </c>
      <c r="E4267" s="151">
        <f ca="1">OFFSET(INDEX(Composições!A:H,MATCH(Orçamentária!A4267,Composições!A:A,0),8),2,0)</f>
        <v>110.35374039999999</v>
      </c>
      <c r="F4267" s="152">
        <f t="shared" ca="1" si="200"/>
        <v>0</v>
      </c>
      <c r="G4267" s="153">
        <f>IF($K4267="Padrão",BDI!$B$17,IF($K4267="Diferenciado",BDI!$E$17,0))</f>
        <v>0.2039</v>
      </c>
      <c r="H4267" s="151">
        <f t="shared" ca="1" si="198"/>
        <v>132.85</v>
      </c>
      <c r="I4267" s="152">
        <f t="shared" ca="1" si="199"/>
        <v>0</v>
      </c>
      <c r="J4267" s="154"/>
      <c r="K4267" s="155" t="s">
        <v>2966</v>
      </c>
    </row>
    <row r="4268" spans="1:11" hidden="1" x14ac:dyDescent="0.25">
      <c r="A4268" s="148" t="s">
        <v>2339</v>
      </c>
      <c r="B4268" s="149" t="s">
        <v>9829</v>
      </c>
      <c r="C4268" s="150" t="s">
        <v>18</v>
      </c>
      <c r="D4268" s="150">
        <v>0</v>
      </c>
      <c r="E4268" s="151">
        <f ca="1">OFFSET(INDEX(Composições!A:H,MATCH(Orçamentária!A4268,Composições!A:A,0),8),2,0)</f>
        <v>694.24251809999998</v>
      </c>
      <c r="F4268" s="152">
        <f t="shared" ca="1" si="200"/>
        <v>0</v>
      </c>
      <c r="G4268" s="153">
        <f>IF($K4268="Padrão",BDI!$B$17,IF($K4268="Diferenciado",BDI!$E$17,0))</f>
        <v>0.2039</v>
      </c>
      <c r="H4268" s="151">
        <f t="shared" ca="1" si="198"/>
        <v>835.8</v>
      </c>
      <c r="I4268" s="152">
        <f t="shared" ca="1" si="199"/>
        <v>0</v>
      </c>
      <c r="J4268" s="154"/>
      <c r="K4268" s="155" t="s">
        <v>2966</v>
      </c>
    </row>
    <row r="4269" spans="1:11" hidden="1" x14ac:dyDescent="0.25">
      <c r="A4269" s="148" t="s">
        <v>2340</v>
      </c>
      <c r="B4269" s="149" t="s">
        <v>9830</v>
      </c>
      <c r="C4269" s="150" t="s">
        <v>18</v>
      </c>
      <c r="D4269" s="150">
        <v>0</v>
      </c>
      <c r="E4269" s="151">
        <f ca="1">OFFSET(INDEX(Composições!A:H,MATCH(Orçamentária!A4269,Composições!A:A,0),8),2,0)</f>
        <v>284.53450949999996</v>
      </c>
      <c r="F4269" s="152">
        <f t="shared" ca="1" si="200"/>
        <v>0</v>
      </c>
      <c r="G4269" s="153">
        <f>IF($K4269="Padrão",BDI!$B$17,IF($K4269="Diferenciado",BDI!$E$17,0))</f>
        <v>0.2039</v>
      </c>
      <c r="H4269" s="151">
        <f t="shared" ca="1" si="198"/>
        <v>342.55</v>
      </c>
      <c r="I4269" s="152">
        <f t="shared" ca="1" si="199"/>
        <v>0</v>
      </c>
      <c r="J4269" s="154"/>
      <c r="K4269" s="155" t="s">
        <v>2966</v>
      </c>
    </row>
    <row r="4270" spans="1:11" hidden="1" x14ac:dyDescent="0.25">
      <c r="A4270" s="148" t="s">
        <v>2341</v>
      </c>
      <c r="B4270" s="149" t="s">
        <v>9831</v>
      </c>
      <c r="C4270" s="150" t="s">
        <v>106</v>
      </c>
      <c r="D4270" s="150">
        <v>0</v>
      </c>
      <c r="E4270" s="151">
        <f ca="1">OFFSET(INDEX(Composições!A:H,MATCH(Orçamentária!A4270,Composições!A:A,0),8),2,0)</f>
        <v>39.429268464000003</v>
      </c>
      <c r="F4270" s="152">
        <f t="shared" ca="1" si="200"/>
        <v>0</v>
      </c>
      <c r="G4270" s="153">
        <f>IF($K4270="Padrão",BDI!$B$17,IF($K4270="Diferenciado",BDI!$E$17,0))</f>
        <v>0.2039</v>
      </c>
      <c r="H4270" s="151">
        <f t="shared" ca="1" si="198"/>
        <v>47.47</v>
      </c>
      <c r="I4270" s="152">
        <f t="shared" ca="1" si="199"/>
        <v>0</v>
      </c>
      <c r="J4270" s="154"/>
      <c r="K4270" s="155" t="s">
        <v>2966</v>
      </c>
    </row>
    <row r="4271" spans="1:11" hidden="1" x14ac:dyDescent="0.25">
      <c r="A4271" s="148" t="s">
        <v>9832</v>
      </c>
      <c r="B4271" s="149" t="s">
        <v>9833</v>
      </c>
      <c r="C4271" s="150" t="s">
        <v>18</v>
      </c>
      <c r="D4271" s="150">
        <v>0</v>
      </c>
      <c r="E4271" s="151" t="s">
        <v>13</v>
      </c>
      <c r="F4271" s="152" t="str">
        <f t="shared" si="200"/>
        <v/>
      </c>
      <c r="G4271" s="153">
        <f>IF($K4271="Padrão",BDI!$B$17,IF($K4271="Diferenciado",BDI!$E$17,0))</f>
        <v>0.2039</v>
      </c>
      <c r="H4271" s="151" t="str">
        <f t="shared" si="198"/>
        <v/>
      </c>
      <c r="I4271" s="152" t="str">
        <f t="shared" si="199"/>
        <v/>
      </c>
      <c r="J4271" s="154"/>
      <c r="K4271" s="155" t="s">
        <v>2966</v>
      </c>
    </row>
    <row r="4272" spans="1:11" ht="25.5" hidden="1" x14ac:dyDescent="0.25">
      <c r="A4272" s="148" t="s">
        <v>2343</v>
      </c>
      <c r="B4272" s="149" t="s">
        <v>2344</v>
      </c>
      <c r="C4272" s="150" t="s">
        <v>18</v>
      </c>
      <c r="D4272" s="150">
        <v>0</v>
      </c>
      <c r="E4272" s="151">
        <f ca="1">OFFSET(INDEX(Composições!A:H,MATCH(Orçamentária!A4272,Composições!A:A,0),8),2,0)</f>
        <v>0</v>
      </c>
      <c r="F4272" s="152">
        <f t="shared" ca="1" si="200"/>
        <v>0</v>
      </c>
      <c r="G4272" s="153">
        <f>IF($K4272="Padrão",BDI!$B$17,IF($K4272="Diferenciado",BDI!$E$17,0))</f>
        <v>0.2039</v>
      </c>
      <c r="H4272" s="151">
        <f t="shared" ca="1" si="198"/>
        <v>0</v>
      </c>
      <c r="I4272" s="152">
        <f t="shared" ca="1" si="199"/>
        <v>0</v>
      </c>
      <c r="J4272" s="154"/>
      <c r="K4272" s="155" t="s">
        <v>2966</v>
      </c>
    </row>
    <row r="4273" spans="1:11" hidden="1" x14ac:dyDescent="0.25">
      <c r="A4273" s="148" t="s">
        <v>2345</v>
      </c>
      <c r="B4273" s="149" t="s">
        <v>2346</v>
      </c>
      <c r="C4273" s="150" t="s">
        <v>18</v>
      </c>
      <c r="D4273" s="150">
        <v>0</v>
      </c>
      <c r="E4273" s="151">
        <f ca="1">OFFSET(INDEX(Composições!A:H,MATCH(Orçamentária!A4273,Composições!A:A,0),8),2,0)</f>
        <v>0</v>
      </c>
      <c r="F4273" s="152">
        <f t="shared" ca="1" si="200"/>
        <v>0</v>
      </c>
      <c r="G4273" s="153">
        <f>IF($K4273="Padrão",BDI!$B$17,IF($K4273="Diferenciado",BDI!$E$17,0))</f>
        <v>0.2039</v>
      </c>
      <c r="H4273" s="151">
        <f t="shared" ca="1" si="198"/>
        <v>0</v>
      </c>
      <c r="I4273" s="152">
        <f t="shared" ca="1" si="199"/>
        <v>0</v>
      </c>
      <c r="J4273" s="154"/>
      <c r="K4273" s="155" t="s">
        <v>2966</v>
      </c>
    </row>
    <row r="4274" spans="1:11" hidden="1" x14ac:dyDescent="0.25">
      <c r="A4274" s="148" t="s">
        <v>9834</v>
      </c>
      <c r="B4274" s="149" t="s">
        <v>9835</v>
      </c>
      <c r="C4274" s="150" t="s">
        <v>18</v>
      </c>
      <c r="D4274" s="150">
        <v>0</v>
      </c>
      <c r="E4274" s="151" t="s">
        <v>13</v>
      </c>
      <c r="F4274" s="152" t="str">
        <f t="shared" si="200"/>
        <v/>
      </c>
      <c r="G4274" s="153">
        <f>IF($K4274="Padrão",BDI!$B$17,IF($K4274="Diferenciado",BDI!$E$17,0))</f>
        <v>0.2039</v>
      </c>
      <c r="H4274" s="151" t="str">
        <f t="shared" si="198"/>
        <v/>
      </c>
      <c r="I4274" s="152" t="str">
        <f t="shared" si="199"/>
        <v/>
      </c>
      <c r="J4274" s="154"/>
      <c r="K4274" s="155" t="s">
        <v>2966</v>
      </c>
    </row>
    <row r="4275" spans="1:11" hidden="1" x14ac:dyDescent="0.25">
      <c r="A4275" s="148" t="s">
        <v>2347</v>
      </c>
      <c r="B4275" s="149" t="s">
        <v>9836</v>
      </c>
      <c r="C4275" s="150" t="s">
        <v>18</v>
      </c>
      <c r="D4275" s="150">
        <v>0</v>
      </c>
      <c r="E4275" s="151">
        <f ca="1">OFFSET(INDEX(Composições!A:H,MATCH(Orçamentária!A4275,Composições!A:A,0),8),2,0)</f>
        <v>238.393</v>
      </c>
      <c r="F4275" s="152">
        <f t="shared" ca="1" si="200"/>
        <v>0</v>
      </c>
      <c r="G4275" s="153">
        <f>IF($K4275="Padrão",BDI!$B$17,IF($K4275="Diferenciado",BDI!$E$17,0))</f>
        <v>0.2039</v>
      </c>
      <c r="H4275" s="151">
        <f t="shared" ca="1" si="198"/>
        <v>287</v>
      </c>
      <c r="I4275" s="152">
        <f t="shared" ca="1" si="199"/>
        <v>0</v>
      </c>
      <c r="J4275" s="154"/>
      <c r="K4275" s="155" t="s">
        <v>2966</v>
      </c>
    </row>
    <row r="4276" spans="1:11" hidden="1" x14ac:dyDescent="0.25">
      <c r="A4276" s="148" t="s">
        <v>9837</v>
      </c>
      <c r="B4276" s="149" t="s">
        <v>9838</v>
      </c>
      <c r="C4276" s="150" t="s">
        <v>18</v>
      </c>
      <c r="D4276" s="150">
        <v>0</v>
      </c>
      <c r="E4276" s="151" t="s">
        <v>13</v>
      </c>
      <c r="F4276" s="152" t="str">
        <f t="shared" si="200"/>
        <v/>
      </c>
      <c r="G4276" s="153">
        <f>IF($K4276="Padrão",BDI!$B$17,IF($K4276="Diferenciado",BDI!$E$17,0))</f>
        <v>0.2039</v>
      </c>
      <c r="H4276" s="151" t="str">
        <f t="shared" si="198"/>
        <v/>
      </c>
      <c r="I4276" s="152" t="str">
        <f t="shared" si="199"/>
        <v/>
      </c>
      <c r="J4276" s="154"/>
      <c r="K4276" s="155" t="s">
        <v>2966</v>
      </c>
    </row>
    <row r="4277" spans="1:11" hidden="1" x14ac:dyDescent="0.25">
      <c r="A4277" s="148" t="s">
        <v>9839</v>
      </c>
      <c r="B4277" s="149" t="s">
        <v>9840</v>
      </c>
      <c r="C4277" s="150" t="s">
        <v>18</v>
      </c>
      <c r="D4277" s="150">
        <v>0</v>
      </c>
      <c r="E4277" s="151" t="s">
        <v>13</v>
      </c>
      <c r="F4277" s="152" t="str">
        <f t="shared" si="200"/>
        <v/>
      </c>
      <c r="G4277" s="153">
        <f>IF($K4277="Padrão",BDI!$B$17,IF($K4277="Diferenciado",BDI!$E$17,0))</f>
        <v>0.2039</v>
      </c>
      <c r="H4277" s="151" t="str">
        <f t="shared" si="198"/>
        <v/>
      </c>
      <c r="I4277" s="152" t="str">
        <f t="shared" si="199"/>
        <v/>
      </c>
      <c r="J4277" s="154"/>
      <c r="K4277" s="155" t="s">
        <v>2966</v>
      </c>
    </row>
    <row r="4278" spans="1:11" hidden="1" x14ac:dyDescent="0.25">
      <c r="A4278" s="148" t="s">
        <v>2348</v>
      </c>
      <c r="B4278" s="149" t="s">
        <v>9841</v>
      </c>
      <c r="C4278" s="150" t="s">
        <v>18</v>
      </c>
      <c r="D4278" s="150">
        <v>0</v>
      </c>
      <c r="E4278" s="151">
        <f ca="1">OFFSET(INDEX(Composições!A:H,MATCH(Orçamentária!A4278,Composições!A:A,0),8),2,0)</f>
        <v>29.269499999999997</v>
      </c>
      <c r="F4278" s="152">
        <f t="shared" ca="1" si="200"/>
        <v>0</v>
      </c>
      <c r="G4278" s="153">
        <f>IF($K4278="Padrão",BDI!$B$17,IF($K4278="Diferenciado",BDI!$E$17,0))</f>
        <v>0.2039</v>
      </c>
      <c r="H4278" s="151">
        <f t="shared" ca="1" si="198"/>
        <v>35.24</v>
      </c>
      <c r="I4278" s="152">
        <f t="shared" ca="1" si="199"/>
        <v>0</v>
      </c>
      <c r="J4278" s="154"/>
      <c r="K4278" s="155" t="s">
        <v>2966</v>
      </c>
    </row>
    <row r="4279" spans="1:11" hidden="1" x14ac:dyDescent="0.25">
      <c r="A4279" s="148" t="s">
        <v>2349</v>
      </c>
      <c r="B4279" s="149" t="s">
        <v>9842</v>
      </c>
      <c r="C4279" s="150" t="s">
        <v>18</v>
      </c>
      <c r="D4279" s="150">
        <v>0</v>
      </c>
      <c r="E4279" s="151">
        <f ca="1">OFFSET(INDEX(Composições!A:H,MATCH(Orçamentária!A4279,Composições!A:A,0),8),2,0)</f>
        <v>17.366</v>
      </c>
      <c r="F4279" s="152">
        <f t="shared" ca="1" si="200"/>
        <v>0</v>
      </c>
      <c r="G4279" s="153">
        <f>IF($K4279="Padrão",BDI!$B$17,IF($K4279="Diferenciado",BDI!$E$17,0))</f>
        <v>0.2039</v>
      </c>
      <c r="H4279" s="151">
        <f t="shared" ca="1" si="198"/>
        <v>20.91</v>
      </c>
      <c r="I4279" s="152">
        <f t="shared" ca="1" si="199"/>
        <v>0</v>
      </c>
      <c r="J4279" s="154"/>
      <c r="K4279" s="155" t="s">
        <v>2966</v>
      </c>
    </row>
    <row r="4280" spans="1:11" hidden="1" x14ac:dyDescent="0.25">
      <c r="A4280" s="148" t="s">
        <v>2350</v>
      </c>
      <c r="B4280" s="149" t="s">
        <v>9843</v>
      </c>
      <c r="C4280" s="150" t="s">
        <v>18</v>
      </c>
      <c r="D4280" s="150">
        <v>0</v>
      </c>
      <c r="E4280" s="151">
        <f ca="1">OFFSET(INDEX(Composições!A:H,MATCH(Orçamentária!A4280,Composições!A:A,0),8),2,0)</f>
        <v>56.144999999999996</v>
      </c>
      <c r="F4280" s="152">
        <f t="shared" ca="1" si="200"/>
        <v>0</v>
      </c>
      <c r="G4280" s="153">
        <f>IF($K4280="Padrão",BDI!$B$17,IF($K4280="Diferenciado",BDI!$E$17,0))</f>
        <v>0.2039</v>
      </c>
      <c r="H4280" s="151">
        <f t="shared" ca="1" si="198"/>
        <v>67.59</v>
      </c>
      <c r="I4280" s="152">
        <f t="shared" ca="1" si="199"/>
        <v>0</v>
      </c>
      <c r="J4280" s="154"/>
      <c r="K4280" s="155" t="s">
        <v>2966</v>
      </c>
    </row>
    <row r="4281" spans="1:11" hidden="1" x14ac:dyDescent="0.25">
      <c r="A4281" s="148" t="s">
        <v>2351</v>
      </c>
      <c r="B4281" s="149" t="s">
        <v>9844</v>
      </c>
      <c r="C4281" s="150" t="s">
        <v>18</v>
      </c>
      <c r="D4281" s="150">
        <v>0</v>
      </c>
      <c r="E4281" s="151">
        <f ca="1">OFFSET(INDEX(Composições!A:H,MATCH(Orçamentária!A4281,Composições!A:A,0),8),2,0)</f>
        <v>0.90249999999999997</v>
      </c>
      <c r="F4281" s="152">
        <f t="shared" ca="1" si="200"/>
        <v>0</v>
      </c>
      <c r="G4281" s="153">
        <f>IF($K4281="Padrão",BDI!$B$17,IF($K4281="Diferenciado",BDI!$E$17,0))</f>
        <v>0.2039</v>
      </c>
      <c r="H4281" s="151">
        <f t="shared" ca="1" si="198"/>
        <v>1.0900000000000001</v>
      </c>
      <c r="I4281" s="152">
        <f t="shared" ca="1" si="199"/>
        <v>0</v>
      </c>
      <c r="J4281" s="154"/>
      <c r="K4281" s="155" t="s">
        <v>2966</v>
      </c>
    </row>
    <row r="4282" spans="1:11" hidden="1" x14ac:dyDescent="0.25">
      <c r="A4282" s="148" t="s">
        <v>2352</v>
      </c>
      <c r="B4282" s="149" t="s">
        <v>9845</v>
      </c>
      <c r="C4282" s="150" t="s">
        <v>18</v>
      </c>
      <c r="D4282" s="150">
        <v>0</v>
      </c>
      <c r="E4282" s="151">
        <f ca="1">OFFSET(INDEX(Composições!A:H,MATCH(Orçamentária!A4282,Composições!A:A,0),8),2,0)</f>
        <v>6.9444999999999997</v>
      </c>
      <c r="F4282" s="152">
        <f t="shared" ca="1" si="200"/>
        <v>0</v>
      </c>
      <c r="G4282" s="153">
        <f>IF($K4282="Padrão",BDI!$B$17,IF($K4282="Diferenciado",BDI!$E$17,0))</f>
        <v>0.2039</v>
      </c>
      <c r="H4282" s="151">
        <f t="shared" ca="1" si="198"/>
        <v>8.36</v>
      </c>
      <c r="I4282" s="152">
        <f t="shared" ca="1" si="199"/>
        <v>0</v>
      </c>
      <c r="J4282" s="154"/>
      <c r="K4282" s="155" t="s">
        <v>2966</v>
      </c>
    </row>
    <row r="4283" spans="1:11" hidden="1" x14ac:dyDescent="0.25">
      <c r="A4283" s="148" t="s">
        <v>2353</v>
      </c>
      <c r="B4283" s="149" t="s">
        <v>9846</v>
      </c>
      <c r="C4283" s="150" t="s">
        <v>18</v>
      </c>
      <c r="D4283" s="150">
        <v>0</v>
      </c>
      <c r="E4283" s="151">
        <f ca="1">OFFSET(INDEX(Composições!A:H,MATCH(Orçamentária!A4283,Composições!A:A,0),8),2,0)</f>
        <v>4.0659999999999998</v>
      </c>
      <c r="F4283" s="152">
        <f t="shared" ca="1" si="200"/>
        <v>0</v>
      </c>
      <c r="G4283" s="153">
        <f>IF($K4283="Padrão",BDI!$B$17,IF($K4283="Diferenciado",BDI!$E$17,0))</f>
        <v>0.2039</v>
      </c>
      <c r="H4283" s="151">
        <f t="shared" ca="1" si="198"/>
        <v>4.9000000000000004</v>
      </c>
      <c r="I4283" s="152">
        <f t="shared" ca="1" si="199"/>
        <v>0</v>
      </c>
      <c r="J4283" s="154"/>
      <c r="K4283" s="155" t="s">
        <v>2966</v>
      </c>
    </row>
    <row r="4284" spans="1:11" hidden="1" x14ac:dyDescent="0.25">
      <c r="A4284" s="148" t="s">
        <v>2354</v>
      </c>
      <c r="B4284" s="149" t="s">
        <v>9847</v>
      </c>
      <c r="C4284" s="150" t="s">
        <v>18</v>
      </c>
      <c r="D4284" s="150">
        <v>0</v>
      </c>
      <c r="E4284" s="151">
        <f ca="1">OFFSET(INDEX(Composições!A:H,MATCH(Orçamentária!A4284,Composições!A:A,0),8),2,0)</f>
        <v>11.362</v>
      </c>
      <c r="F4284" s="152">
        <f t="shared" ca="1" si="200"/>
        <v>0</v>
      </c>
      <c r="G4284" s="153">
        <f>IF($K4284="Padrão",BDI!$B$17,IF($K4284="Diferenciado",BDI!$E$17,0))</f>
        <v>0.2039</v>
      </c>
      <c r="H4284" s="151">
        <f t="shared" ca="1" si="198"/>
        <v>13.68</v>
      </c>
      <c r="I4284" s="152">
        <f t="shared" ca="1" si="199"/>
        <v>0</v>
      </c>
      <c r="J4284" s="154"/>
      <c r="K4284" s="155" t="s">
        <v>2966</v>
      </c>
    </row>
    <row r="4285" spans="1:11" hidden="1" x14ac:dyDescent="0.25">
      <c r="A4285" s="148" t="s">
        <v>2355</v>
      </c>
      <c r="B4285" s="149" t="s">
        <v>9848</v>
      </c>
      <c r="C4285" s="150" t="s">
        <v>18</v>
      </c>
      <c r="D4285" s="150">
        <v>0</v>
      </c>
      <c r="E4285" s="151">
        <f ca="1">OFFSET(INDEX(Composições!A:H,MATCH(Orçamentária!A4285,Composições!A:A,0),8),2,0)</f>
        <v>21.070999999999998</v>
      </c>
      <c r="F4285" s="152">
        <f t="shared" ca="1" si="200"/>
        <v>0</v>
      </c>
      <c r="G4285" s="153">
        <f>IF($K4285="Padrão",BDI!$B$17,IF($K4285="Diferenciado",BDI!$E$17,0))</f>
        <v>0.2039</v>
      </c>
      <c r="H4285" s="151">
        <f t="shared" ca="1" si="198"/>
        <v>25.37</v>
      </c>
      <c r="I4285" s="152">
        <f t="shared" ca="1" si="199"/>
        <v>0</v>
      </c>
      <c r="J4285" s="154"/>
      <c r="K4285" s="155" t="s">
        <v>2966</v>
      </c>
    </row>
    <row r="4286" spans="1:11" ht="25.5" hidden="1" x14ac:dyDescent="0.25">
      <c r="A4286" s="148" t="s">
        <v>2356</v>
      </c>
      <c r="B4286" s="149" t="s">
        <v>2357</v>
      </c>
      <c r="C4286" s="150" t="s">
        <v>18</v>
      </c>
      <c r="D4286" s="150">
        <v>0</v>
      </c>
      <c r="E4286" s="151">
        <f ca="1">OFFSET(INDEX(Composições!A:H,MATCH(Orçamentária!A4286,Composições!A:A,0),8),2,0)</f>
        <v>0</v>
      </c>
      <c r="F4286" s="152">
        <f t="shared" ca="1" si="200"/>
        <v>0</v>
      </c>
      <c r="G4286" s="153">
        <f>IF($K4286="Padrão",BDI!$B$17,IF($K4286="Diferenciado",BDI!$E$17,0))</f>
        <v>0.2039</v>
      </c>
      <c r="H4286" s="151">
        <f t="shared" ca="1" si="198"/>
        <v>0</v>
      </c>
      <c r="I4286" s="152">
        <f t="shared" ca="1" si="199"/>
        <v>0</v>
      </c>
      <c r="J4286" s="154"/>
      <c r="K4286" s="155" t="s">
        <v>2966</v>
      </c>
    </row>
    <row r="4287" spans="1:11" ht="25.5" hidden="1" x14ac:dyDescent="0.25">
      <c r="A4287" s="148" t="s">
        <v>2358</v>
      </c>
      <c r="B4287" s="149" t="s">
        <v>2359</v>
      </c>
      <c r="C4287" s="150" t="s">
        <v>18</v>
      </c>
      <c r="D4287" s="150">
        <v>0</v>
      </c>
      <c r="E4287" s="151">
        <f ca="1">OFFSET(INDEX(Composições!A:H,MATCH(Orçamentária!A4287,Composições!A:A,0),8),2,0)</f>
        <v>0</v>
      </c>
      <c r="F4287" s="152">
        <f t="shared" ca="1" si="200"/>
        <v>0</v>
      </c>
      <c r="G4287" s="153">
        <f>IF($K4287="Padrão",BDI!$B$17,IF($K4287="Diferenciado",BDI!$E$17,0))</f>
        <v>0.2039</v>
      </c>
      <c r="H4287" s="151">
        <f t="shared" ca="1" si="198"/>
        <v>0</v>
      </c>
      <c r="I4287" s="152">
        <f t="shared" ca="1" si="199"/>
        <v>0</v>
      </c>
      <c r="J4287" s="154"/>
      <c r="K4287" s="155" t="s">
        <v>2966</v>
      </c>
    </row>
    <row r="4288" spans="1:11" hidden="1" x14ac:dyDescent="0.25">
      <c r="A4288" s="148" t="s">
        <v>2360</v>
      </c>
      <c r="B4288" s="149" t="s">
        <v>9849</v>
      </c>
      <c r="C4288" s="150" t="s">
        <v>18</v>
      </c>
      <c r="D4288" s="150">
        <v>0</v>
      </c>
      <c r="E4288" s="151">
        <f ca="1">OFFSET(INDEX(Composições!A:H,MATCH(Orçamentária!A4288,Composições!A:A,0),8),2,0)</f>
        <v>0</v>
      </c>
      <c r="F4288" s="152">
        <f t="shared" ca="1" si="200"/>
        <v>0</v>
      </c>
      <c r="G4288" s="153">
        <f>IF($K4288="Padrão",BDI!$B$17,IF($K4288="Diferenciado",BDI!$E$17,0))</f>
        <v>0.2039</v>
      </c>
      <c r="H4288" s="151">
        <f t="shared" ca="1" si="198"/>
        <v>0</v>
      </c>
      <c r="I4288" s="152">
        <f t="shared" ca="1" si="199"/>
        <v>0</v>
      </c>
      <c r="J4288" s="154"/>
      <c r="K4288" s="155" t="s">
        <v>2966</v>
      </c>
    </row>
    <row r="4289" spans="1:11" hidden="1" x14ac:dyDescent="0.25">
      <c r="A4289" s="148" t="s">
        <v>2362</v>
      </c>
      <c r="B4289" s="149" t="s">
        <v>9850</v>
      </c>
      <c r="C4289" s="150" t="s">
        <v>18</v>
      </c>
      <c r="D4289" s="150">
        <v>0</v>
      </c>
      <c r="E4289" s="151">
        <f ca="1">OFFSET(INDEX(Composições!A:H,MATCH(Orçamentária!A4289,Composições!A:A,0),8),2,0)</f>
        <v>34.551499999999997</v>
      </c>
      <c r="F4289" s="152">
        <f t="shared" ca="1" si="200"/>
        <v>0</v>
      </c>
      <c r="G4289" s="153">
        <f>IF($K4289="Padrão",BDI!$B$17,IF($K4289="Diferenciado",BDI!$E$17,0))</f>
        <v>0.2039</v>
      </c>
      <c r="H4289" s="151">
        <f t="shared" ca="1" si="198"/>
        <v>41.6</v>
      </c>
      <c r="I4289" s="152">
        <f t="shared" ca="1" si="199"/>
        <v>0</v>
      </c>
      <c r="J4289" s="154"/>
      <c r="K4289" s="155" t="s">
        <v>2966</v>
      </c>
    </row>
    <row r="4290" spans="1:11" hidden="1" x14ac:dyDescent="0.25">
      <c r="A4290" s="148" t="s">
        <v>2363</v>
      </c>
      <c r="B4290" s="149" t="s">
        <v>9851</v>
      </c>
      <c r="C4290" s="150" t="s">
        <v>18</v>
      </c>
      <c r="D4290" s="150">
        <v>0</v>
      </c>
      <c r="E4290" s="151">
        <f ca="1">OFFSET(INDEX(Composições!A:H,MATCH(Orçamentária!A4290,Composições!A:A,0),8),2,0)</f>
        <v>16.7105</v>
      </c>
      <c r="F4290" s="152">
        <f t="shared" ca="1" si="200"/>
        <v>0</v>
      </c>
      <c r="G4290" s="153">
        <f>IF($K4290="Padrão",BDI!$B$17,IF($K4290="Diferenciado",BDI!$E$17,0))</f>
        <v>0.2039</v>
      </c>
      <c r="H4290" s="151">
        <f t="shared" ca="1" si="198"/>
        <v>20.12</v>
      </c>
      <c r="I4290" s="152">
        <f t="shared" ca="1" si="199"/>
        <v>0</v>
      </c>
      <c r="J4290" s="154"/>
      <c r="K4290" s="155" t="s">
        <v>2966</v>
      </c>
    </row>
    <row r="4291" spans="1:11" hidden="1" x14ac:dyDescent="0.25">
      <c r="A4291" s="148" t="s">
        <v>2364</v>
      </c>
      <c r="B4291" s="149" t="s">
        <v>9852</v>
      </c>
      <c r="C4291" s="150" t="s">
        <v>18</v>
      </c>
      <c r="D4291" s="150">
        <v>0</v>
      </c>
      <c r="E4291" s="151">
        <f ca="1">OFFSET(INDEX(Composições!A:H,MATCH(Orçamentária!A4291,Composições!A:A,0),8),2,0)</f>
        <v>6.0514999999999999</v>
      </c>
      <c r="F4291" s="152">
        <f t="shared" ca="1" si="200"/>
        <v>0</v>
      </c>
      <c r="G4291" s="153">
        <f>IF($K4291="Padrão",BDI!$B$17,IF($K4291="Diferenciado",BDI!$E$17,0))</f>
        <v>0.2039</v>
      </c>
      <c r="H4291" s="151">
        <f t="shared" ca="1" si="198"/>
        <v>7.29</v>
      </c>
      <c r="I4291" s="152">
        <f t="shared" ca="1" si="199"/>
        <v>0</v>
      </c>
      <c r="J4291" s="154"/>
      <c r="K4291" s="155" t="s">
        <v>2966</v>
      </c>
    </row>
    <row r="4292" spans="1:11" hidden="1" x14ac:dyDescent="0.25">
      <c r="A4292" s="148" t="s">
        <v>2365</v>
      </c>
      <c r="B4292" s="149" t="s">
        <v>9853</v>
      </c>
      <c r="C4292" s="150" t="s">
        <v>18</v>
      </c>
      <c r="D4292" s="150">
        <v>0</v>
      </c>
      <c r="E4292" s="151">
        <f ca="1">OFFSET(INDEX(Composições!A:H,MATCH(Orçamentária!A4292,Composições!A:A,0),8),2,0)</f>
        <v>10.355</v>
      </c>
      <c r="F4292" s="152">
        <f t="shared" ca="1" si="200"/>
        <v>0</v>
      </c>
      <c r="G4292" s="153">
        <f>IF($K4292="Padrão",BDI!$B$17,IF($K4292="Diferenciado",BDI!$E$17,0))</f>
        <v>0.2039</v>
      </c>
      <c r="H4292" s="151">
        <f t="shared" ca="1" si="198"/>
        <v>12.47</v>
      </c>
      <c r="I4292" s="152">
        <f t="shared" ca="1" si="199"/>
        <v>0</v>
      </c>
      <c r="J4292" s="154"/>
      <c r="K4292" s="155" t="s">
        <v>2966</v>
      </c>
    </row>
    <row r="4293" spans="1:11" hidden="1" x14ac:dyDescent="0.25">
      <c r="A4293" s="148" t="s">
        <v>2366</v>
      </c>
      <c r="B4293" s="149" t="s">
        <v>9854</v>
      </c>
      <c r="C4293" s="150" t="s">
        <v>18</v>
      </c>
      <c r="D4293" s="150">
        <v>0</v>
      </c>
      <c r="E4293" s="151">
        <f ca="1">OFFSET(INDEX(Composições!A:H,MATCH(Orçamentária!A4293,Composições!A:A,0),8),2,0)</f>
        <v>4.9874999999999998</v>
      </c>
      <c r="F4293" s="152">
        <f t="shared" ca="1" si="200"/>
        <v>0</v>
      </c>
      <c r="G4293" s="153">
        <f>IF($K4293="Padrão",BDI!$B$17,IF($K4293="Diferenciado",BDI!$E$17,0))</f>
        <v>0.2039</v>
      </c>
      <c r="H4293" s="151">
        <f t="shared" ca="1" si="198"/>
        <v>6</v>
      </c>
      <c r="I4293" s="152">
        <f t="shared" ca="1" si="199"/>
        <v>0</v>
      </c>
      <c r="J4293" s="154"/>
      <c r="K4293" s="155" t="s">
        <v>2966</v>
      </c>
    </row>
    <row r="4294" spans="1:11" hidden="1" x14ac:dyDescent="0.25">
      <c r="A4294" s="148" t="s">
        <v>2367</v>
      </c>
      <c r="B4294" s="149" t="s">
        <v>9855</v>
      </c>
      <c r="C4294" s="150" t="s">
        <v>18</v>
      </c>
      <c r="D4294" s="150">
        <v>0</v>
      </c>
      <c r="E4294" s="151">
        <f ca="1">OFFSET(INDEX(Composições!A:H,MATCH(Orçamentária!A4294,Composições!A:A,0),8),2,0)</f>
        <v>2.7359999999999998</v>
      </c>
      <c r="F4294" s="152">
        <f t="shared" ca="1" si="200"/>
        <v>0</v>
      </c>
      <c r="G4294" s="153">
        <f>IF($K4294="Padrão",BDI!$B$17,IF($K4294="Diferenciado",BDI!$E$17,0))</f>
        <v>0.2039</v>
      </c>
      <c r="H4294" s="151">
        <f t="shared" ref="H4294:H4357" ca="1" si="201">IF(ISNUMBER(E4294),ROUND(E4294*(1+G4294),2),"")</f>
        <v>3.29</v>
      </c>
      <c r="I4294" s="152">
        <f t="shared" ref="I4294:I4357" ca="1" si="202">IF(ISNUMBER(E4294),ROUND(H4294*D4294,2),"")</f>
        <v>0</v>
      </c>
      <c r="J4294" s="154"/>
      <c r="K4294" s="155" t="s">
        <v>2966</v>
      </c>
    </row>
    <row r="4295" spans="1:11" hidden="1" x14ac:dyDescent="0.25">
      <c r="A4295" s="148" t="s">
        <v>2368</v>
      </c>
      <c r="B4295" s="149" t="s">
        <v>9856</v>
      </c>
      <c r="C4295" s="150" t="s">
        <v>18</v>
      </c>
      <c r="D4295" s="150">
        <v>0</v>
      </c>
      <c r="E4295" s="151">
        <f ca="1">OFFSET(INDEX(Composições!A:H,MATCH(Orçamentária!A4295,Composições!A:A,0),8),2,0)</f>
        <v>7.2675000000000001</v>
      </c>
      <c r="F4295" s="152">
        <f t="shared" ref="F4295:F4358" ca="1" si="203">IF(ISNUMBER(E4295),D4295*E4295,"")</f>
        <v>0</v>
      </c>
      <c r="G4295" s="153">
        <f>IF($K4295="Padrão",BDI!$B$17,IF($K4295="Diferenciado",BDI!$E$17,0))</f>
        <v>0.2039</v>
      </c>
      <c r="H4295" s="151">
        <f t="shared" ca="1" si="201"/>
        <v>8.75</v>
      </c>
      <c r="I4295" s="152">
        <f t="shared" ca="1" si="202"/>
        <v>0</v>
      </c>
      <c r="J4295" s="154"/>
      <c r="K4295" s="155" t="s">
        <v>2966</v>
      </c>
    </row>
    <row r="4296" spans="1:11" hidden="1" x14ac:dyDescent="0.25">
      <c r="A4296" s="148" t="s">
        <v>2369</v>
      </c>
      <c r="B4296" s="149" t="s">
        <v>9857</v>
      </c>
      <c r="C4296" s="150" t="s">
        <v>18</v>
      </c>
      <c r="D4296" s="150">
        <v>0</v>
      </c>
      <c r="E4296" s="151">
        <f ca="1">OFFSET(INDEX(Composições!A:H,MATCH(Orçamentária!A4296,Composições!A:A,0),8),2,0)</f>
        <v>0.85499999999999998</v>
      </c>
      <c r="F4296" s="152">
        <f t="shared" ca="1" si="203"/>
        <v>0</v>
      </c>
      <c r="G4296" s="153">
        <f>IF($K4296="Padrão",BDI!$B$17,IF($K4296="Diferenciado",BDI!$E$17,0))</f>
        <v>0.2039</v>
      </c>
      <c r="H4296" s="151">
        <f t="shared" ca="1" si="201"/>
        <v>1.03</v>
      </c>
      <c r="I4296" s="152">
        <f t="shared" ca="1" si="202"/>
        <v>0</v>
      </c>
      <c r="J4296" s="154"/>
      <c r="K4296" s="155" t="s">
        <v>2966</v>
      </c>
    </row>
    <row r="4297" spans="1:11" hidden="1" x14ac:dyDescent="0.25">
      <c r="A4297" s="148" t="s">
        <v>2370</v>
      </c>
      <c r="B4297" s="149" t="s">
        <v>9858</v>
      </c>
      <c r="C4297" s="150" t="s">
        <v>18</v>
      </c>
      <c r="D4297" s="150">
        <v>0</v>
      </c>
      <c r="E4297" s="151">
        <f ca="1">OFFSET(INDEX(Composições!A:H,MATCH(Orçamentária!A4297,Composições!A:A,0),8),2,0)</f>
        <v>1.1875</v>
      </c>
      <c r="F4297" s="152">
        <f t="shared" ca="1" si="203"/>
        <v>0</v>
      </c>
      <c r="G4297" s="153">
        <f>IF($K4297="Padrão",BDI!$B$17,IF($K4297="Diferenciado",BDI!$E$17,0))</f>
        <v>0.2039</v>
      </c>
      <c r="H4297" s="151">
        <f t="shared" ca="1" si="201"/>
        <v>1.43</v>
      </c>
      <c r="I4297" s="152">
        <f t="shared" ca="1" si="202"/>
        <v>0</v>
      </c>
      <c r="J4297" s="154"/>
      <c r="K4297" s="155" t="s">
        <v>2966</v>
      </c>
    </row>
    <row r="4298" spans="1:11" hidden="1" x14ac:dyDescent="0.25">
      <c r="A4298" s="148" t="s">
        <v>2371</v>
      </c>
      <c r="B4298" s="149" t="s">
        <v>9859</v>
      </c>
      <c r="C4298" s="150" t="s">
        <v>18</v>
      </c>
      <c r="D4298" s="150">
        <v>0</v>
      </c>
      <c r="E4298" s="151">
        <f ca="1">OFFSET(INDEX(Composições!A:H,MATCH(Orçamentária!A4298,Composições!A:A,0),8),2,0)</f>
        <v>2.2039999999999997</v>
      </c>
      <c r="F4298" s="152">
        <f t="shared" ca="1" si="203"/>
        <v>0</v>
      </c>
      <c r="G4298" s="153">
        <f>IF($K4298="Padrão",BDI!$B$17,IF($K4298="Diferenciado",BDI!$E$17,0))</f>
        <v>0.2039</v>
      </c>
      <c r="H4298" s="151">
        <f t="shared" ca="1" si="201"/>
        <v>2.65</v>
      </c>
      <c r="I4298" s="152">
        <f t="shared" ca="1" si="202"/>
        <v>0</v>
      </c>
      <c r="J4298" s="154"/>
      <c r="K4298" s="155" t="s">
        <v>2966</v>
      </c>
    </row>
    <row r="4299" spans="1:11" hidden="1" x14ac:dyDescent="0.25">
      <c r="A4299" s="148" t="s">
        <v>2372</v>
      </c>
      <c r="B4299" s="149" t="s">
        <v>9860</v>
      </c>
      <c r="C4299" s="150" t="s">
        <v>18</v>
      </c>
      <c r="D4299" s="150">
        <v>0</v>
      </c>
      <c r="E4299" s="151">
        <f ca="1">OFFSET(INDEX(Composições!A:H,MATCH(Orçamentária!A4299,Composições!A:A,0),8),2,0)</f>
        <v>14.259499999999999</v>
      </c>
      <c r="F4299" s="152">
        <f t="shared" ca="1" si="203"/>
        <v>0</v>
      </c>
      <c r="G4299" s="153">
        <f>IF($K4299="Padrão",BDI!$B$17,IF($K4299="Diferenciado",BDI!$E$17,0))</f>
        <v>0.2039</v>
      </c>
      <c r="H4299" s="151">
        <f t="shared" ca="1" si="201"/>
        <v>17.170000000000002</v>
      </c>
      <c r="I4299" s="152">
        <f t="shared" ca="1" si="202"/>
        <v>0</v>
      </c>
      <c r="J4299" s="154"/>
      <c r="K4299" s="155" t="s">
        <v>2966</v>
      </c>
    </row>
    <row r="4300" spans="1:11" hidden="1" x14ac:dyDescent="0.25">
      <c r="A4300" s="148" t="s">
        <v>2373</v>
      </c>
      <c r="B4300" s="149" t="s">
        <v>9861</v>
      </c>
      <c r="C4300" s="150" t="s">
        <v>18</v>
      </c>
      <c r="D4300" s="150">
        <v>0</v>
      </c>
      <c r="E4300" s="151">
        <f ca="1">OFFSET(INDEX(Composições!A:H,MATCH(Orçamentária!A4300,Composições!A:A,0),8),2,0)</f>
        <v>5.7664999999999997</v>
      </c>
      <c r="F4300" s="152">
        <f t="shared" ca="1" si="203"/>
        <v>0</v>
      </c>
      <c r="G4300" s="153">
        <f>IF($K4300="Padrão",BDI!$B$17,IF($K4300="Diferenciado",BDI!$E$17,0))</f>
        <v>0.2039</v>
      </c>
      <c r="H4300" s="151">
        <f t="shared" ca="1" si="201"/>
        <v>6.94</v>
      </c>
      <c r="I4300" s="152">
        <f t="shared" ca="1" si="202"/>
        <v>0</v>
      </c>
      <c r="J4300" s="154"/>
      <c r="K4300" s="155" t="s">
        <v>2966</v>
      </c>
    </row>
    <row r="4301" spans="1:11" hidden="1" x14ac:dyDescent="0.25">
      <c r="A4301" s="148" t="s">
        <v>2374</v>
      </c>
      <c r="B4301" s="149" t="s">
        <v>9862</v>
      </c>
      <c r="C4301" s="150" t="s">
        <v>18</v>
      </c>
      <c r="D4301" s="150">
        <v>0</v>
      </c>
      <c r="E4301" s="151">
        <f ca="1">OFFSET(INDEX(Composições!A:H,MATCH(Orçamentária!A4301,Composições!A:A,0),8),2,0)</f>
        <v>3.4674999999999998</v>
      </c>
      <c r="F4301" s="152">
        <f t="shared" ca="1" si="203"/>
        <v>0</v>
      </c>
      <c r="G4301" s="153">
        <f>IF($K4301="Padrão",BDI!$B$17,IF($K4301="Diferenciado",BDI!$E$17,0))</f>
        <v>0.2039</v>
      </c>
      <c r="H4301" s="151">
        <f t="shared" ca="1" si="201"/>
        <v>4.17</v>
      </c>
      <c r="I4301" s="152">
        <f t="shared" ca="1" si="202"/>
        <v>0</v>
      </c>
      <c r="J4301" s="154"/>
      <c r="K4301" s="155" t="s">
        <v>2966</v>
      </c>
    </row>
    <row r="4302" spans="1:11" hidden="1" x14ac:dyDescent="0.25">
      <c r="A4302" s="148" t="s">
        <v>2375</v>
      </c>
      <c r="B4302" s="149" t="s">
        <v>9863</v>
      </c>
      <c r="C4302" s="150" t="s">
        <v>18</v>
      </c>
      <c r="D4302" s="150">
        <v>0</v>
      </c>
      <c r="E4302" s="151">
        <f ca="1">OFFSET(INDEX(Composições!A:H,MATCH(Orçamentária!A4302,Composições!A:A,0),8),2,0)</f>
        <v>6.9444999999999997</v>
      </c>
      <c r="F4302" s="152">
        <f t="shared" ca="1" si="203"/>
        <v>0</v>
      </c>
      <c r="G4302" s="153">
        <f>IF($K4302="Padrão",BDI!$B$17,IF($K4302="Diferenciado",BDI!$E$17,0))</f>
        <v>0.2039</v>
      </c>
      <c r="H4302" s="151">
        <f t="shared" ca="1" si="201"/>
        <v>8.36</v>
      </c>
      <c r="I4302" s="152">
        <f t="shared" ca="1" si="202"/>
        <v>0</v>
      </c>
      <c r="J4302" s="154"/>
      <c r="K4302" s="155" t="s">
        <v>2966</v>
      </c>
    </row>
    <row r="4303" spans="1:11" hidden="1" x14ac:dyDescent="0.25">
      <c r="A4303" s="148" t="s">
        <v>2376</v>
      </c>
      <c r="B4303" s="149" t="s">
        <v>9864</v>
      </c>
      <c r="C4303" s="150" t="s">
        <v>18</v>
      </c>
      <c r="D4303" s="150">
        <v>0</v>
      </c>
      <c r="E4303" s="151">
        <f ca="1">OFFSET(INDEX(Composições!A:H,MATCH(Orçamentária!A4303,Composições!A:A,0),8),2,0)</f>
        <v>13.651499999999999</v>
      </c>
      <c r="F4303" s="152">
        <f t="shared" ca="1" si="203"/>
        <v>0</v>
      </c>
      <c r="G4303" s="153">
        <f>IF($K4303="Padrão",BDI!$B$17,IF($K4303="Diferenciado",BDI!$E$17,0))</f>
        <v>0.2039</v>
      </c>
      <c r="H4303" s="151">
        <f t="shared" ca="1" si="201"/>
        <v>16.440000000000001</v>
      </c>
      <c r="I4303" s="152">
        <f t="shared" ca="1" si="202"/>
        <v>0</v>
      </c>
      <c r="J4303" s="154"/>
      <c r="K4303" s="155" t="s">
        <v>2966</v>
      </c>
    </row>
    <row r="4304" spans="1:11" hidden="1" x14ac:dyDescent="0.25">
      <c r="A4304" s="148" t="s">
        <v>2377</v>
      </c>
      <c r="B4304" s="149" t="s">
        <v>9865</v>
      </c>
      <c r="C4304" s="150" t="s">
        <v>18</v>
      </c>
      <c r="D4304" s="150">
        <v>0</v>
      </c>
      <c r="E4304" s="151">
        <f ca="1">OFFSET(INDEX(Composições!A:H,MATCH(Orçamentária!A4304,Composições!A:A,0),8),2,0)</f>
        <v>4.2844999999999995</v>
      </c>
      <c r="F4304" s="152">
        <f t="shared" ca="1" si="203"/>
        <v>0</v>
      </c>
      <c r="G4304" s="153">
        <f>IF($K4304="Padrão",BDI!$B$17,IF($K4304="Diferenciado",BDI!$E$17,0))</f>
        <v>0.2039</v>
      </c>
      <c r="H4304" s="151">
        <f t="shared" ca="1" si="201"/>
        <v>5.16</v>
      </c>
      <c r="I4304" s="152">
        <f t="shared" ca="1" si="202"/>
        <v>0</v>
      </c>
      <c r="J4304" s="154"/>
      <c r="K4304" s="155" t="s">
        <v>2966</v>
      </c>
    </row>
    <row r="4305" spans="1:11" hidden="1" x14ac:dyDescent="0.25">
      <c r="A4305" s="148" t="s">
        <v>2378</v>
      </c>
      <c r="B4305" s="149" t="s">
        <v>9866</v>
      </c>
      <c r="C4305" s="150" t="s">
        <v>18</v>
      </c>
      <c r="D4305" s="150">
        <v>0</v>
      </c>
      <c r="E4305" s="151">
        <f ca="1">OFFSET(INDEX(Composições!A:H,MATCH(Orçamentária!A4305,Composições!A:A,0),8),2,0)</f>
        <v>7.4574999999999996</v>
      </c>
      <c r="F4305" s="152">
        <f t="shared" ca="1" si="203"/>
        <v>0</v>
      </c>
      <c r="G4305" s="153">
        <f>IF($K4305="Padrão",BDI!$B$17,IF($K4305="Diferenciado",BDI!$E$17,0))</f>
        <v>0.2039</v>
      </c>
      <c r="H4305" s="151">
        <f t="shared" ca="1" si="201"/>
        <v>8.98</v>
      </c>
      <c r="I4305" s="152">
        <f t="shared" ca="1" si="202"/>
        <v>0</v>
      </c>
      <c r="J4305" s="154"/>
      <c r="K4305" s="155" t="s">
        <v>2966</v>
      </c>
    </row>
    <row r="4306" spans="1:11" hidden="1" x14ac:dyDescent="0.25">
      <c r="A4306" s="148" t="s">
        <v>2379</v>
      </c>
      <c r="B4306" s="149" t="s">
        <v>9867</v>
      </c>
      <c r="C4306" s="150" t="s">
        <v>18</v>
      </c>
      <c r="D4306" s="150">
        <v>0</v>
      </c>
      <c r="E4306" s="151">
        <f ca="1">OFFSET(INDEX(Composições!A:H,MATCH(Orçamentária!A4306,Composições!A:A,0),8),2,0)</f>
        <v>16.510999999999999</v>
      </c>
      <c r="F4306" s="152">
        <f t="shared" ca="1" si="203"/>
        <v>0</v>
      </c>
      <c r="G4306" s="153">
        <f>IF($K4306="Padrão",BDI!$B$17,IF($K4306="Diferenciado",BDI!$E$17,0))</f>
        <v>0.2039</v>
      </c>
      <c r="H4306" s="151">
        <f t="shared" ca="1" si="201"/>
        <v>19.88</v>
      </c>
      <c r="I4306" s="152">
        <f t="shared" ca="1" si="202"/>
        <v>0</v>
      </c>
      <c r="J4306" s="154"/>
      <c r="K4306" s="155" t="s">
        <v>2966</v>
      </c>
    </row>
    <row r="4307" spans="1:11" hidden="1" x14ac:dyDescent="0.25">
      <c r="A4307" s="148" t="s">
        <v>2380</v>
      </c>
      <c r="B4307" s="149" t="s">
        <v>9868</v>
      </c>
      <c r="C4307" s="150" t="s">
        <v>18</v>
      </c>
      <c r="D4307" s="150">
        <v>0</v>
      </c>
      <c r="E4307" s="151">
        <f ca="1">OFFSET(INDEX(Composições!A:H,MATCH(Orçamentária!A4307,Composições!A:A,0),8),2,0)</f>
        <v>158.94450000000001</v>
      </c>
      <c r="F4307" s="152">
        <f t="shared" ca="1" si="203"/>
        <v>0</v>
      </c>
      <c r="G4307" s="153">
        <f>IF($K4307="Padrão",BDI!$B$17,IF($K4307="Diferenciado",BDI!$E$17,0))</f>
        <v>0.2039</v>
      </c>
      <c r="H4307" s="151">
        <f t="shared" ca="1" si="201"/>
        <v>191.35</v>
      </c>
      <c r="I4307" s="152">
        <f t="shared" ca="1" si="202"/>
        <v>0</v>
      </c>
      <c r="J4307" s="154"/>
      <c r="K4307" s="155" t="s">
        <v>2966</v>
      </c>
    </row>
    <row r="4308" spans="1:11" hidden="1" x14ac:dyDescent="0.25">
      <c r="A4308" s="148" t="s">
        <v>2381</v>
      </c>
      <c r="B4308" s="149" t="s">
        <v>9869</v>
      </c>
      <c r="C4308" s="150" t="s">
        <v>18</v>
      </c>
      <c r="D4308" s="150">
        <v>0</v>
      </c>
      <c r="E4308" s="151">
        <f ca="1">OFFSET(INDEX(Composições!A:H,MATCH(Orçamentária!A4308,Composições!A:A,0),8),2,0)</f>
        <v>0</v>
      </c>
      <c r="F4308" s="152">
        <f t="shared" ca="1" si="203"/>
        <v>0</v>
      </c>
      <c r="G4308" s="153">
        <f>IF($K4308="Padrão",BDI!$B$17,IF($K4308="Diferenciado",BDI!$E$17,0))</f>
        <v>0.2039</v>
      </c>
      <c r="H4308" s="151">
        <f t="shared" ca="1" si="201"/>
        <v>0</v>
      </c>
      <c r="I4308" s="152">
        <f t="shared" ca="1" si="202"/>
        <v>0</v>
      </c>
      <c r="J4308" s="154"/>
      <c r="K4308" s="155" t="s">
        <v>2966</v>
      </c>
    </row>
    <row r="4309" spans="1:11" hidden="1" x14ac:dyDescent="0.25">
      <c r="A4309" s="148" t="s">
        <v>2383</v>
      </c>
      <c r="B4309" s="149" t="s">
        <v>9870</v>
      </c>
      <c r="C4309" s="150" t="s">
        <v>18</v>
      </c>
      <c r="D4309" s="150">
        <v>0</v>
      </c>
      <c r="E4309" s="151">
        <f ca="1">OFFSET(INDEX(Composições!A:H,MATCH(Orçamentária!A4309,Composições!A:A,0),8),2,0)</f>
        <v>2.831</v>
      </c>
      <c r="F4309" s="152">
        <f t="shared" ca="1" si="203"/>
        <v>0</v>
      </c>
      <c r="G4309" s="153">
        <f>IF($K4309="Padrão",BDI!$B$17,IF($K4309="Diferenciado",BDI!$E$17,0))</f>
        <v>0.2039</v>
      </c>
      <c r="H4309" s="151">
        <f t="shared" ca="1" si="201"/>
        <v>3.41</v>
      </c>
      <c r="I4309" s="152">
        <f t="shared" ca="1" si="202"/>
        <v>0</v>
      </c>
      <c r="J4309" s="154"/>
      <c r="K4309" s="155" t="s">
        <v>2966</v>
      </c>
    </row>
    <row r="4310" spans="1:11" hidden="1" x14ac:dyDescent="0.25">
      <c r="A4310" s="148" t="s">
        <v>2384</v>
      </c>
      <c r="B4310" s="149" t="s">
        <v>9871</v>
      </c>
      <c r="C4310" s="150" t="s">
        <v>18</v>
      </c>
      <c r="D4310" s="150">
        <v>0</v>
      </c>
      <c r="E4310" s="151">
        <f ca="1">OFFSET(INDEX(Composições!A:H,MATCH(Orçamentária!A4310,Composições!A:A,0),8),2,0)</f>
        <v>14.297499999999999</v>
      </c>
      <c r="F4310" s="152">
        <f t="shared" ca="1" si="203"/>
        <v>0</v>
      </c>
      <c r="G4310" s="153">
        <f>IF($K4310="Padrão",BDI!$B$17,IF($K4310="Diferenciado",BDI!$E$17,0))</f>
        <v>0.2039</v>
      </c>
      <c r="H4310" s="151">
        <f t="shared" ca="1" si="201"/>
        <v>17.21</v>
      </c>
      <c r="I4310" s="152">
        <f t="shared" ca="1" si="202"/>
        <v>0</v>
      </c>
      <c r="J4310" s="154"/>
      <c r="K4310" s="155" t="s">
        <v>2966</v>
      </c>
    </row>
    <row r="4311" spans="1:11" hidden="1" x14ac:dyDescent="0.25">
      <c r="A4311" s="148" t="s">
        <v>2385</v>
      </c>
      <c r="B4311" s="149" t="s">
        <v>9872</v>
      </c>
      <c r="C4311" s="150" t="s">
        <v>18</v>
      </c>
      <c r="D4311" s="150">
        <v>0</v>
      </c>
      <c r="E4311" s="151">
        <f ca="1">OFFSET(INDEX(Composições!A:H,MATCH(Orçamentária!A4311,Composições!A:A,0),8),2,0)</f>
        <v>7.4005000000000001</v>
      </c>
      <c r="F4311" s="152">
        <f t="shared" ca="1" si="203"/>
        <v>0</v>
      </c>
      <c r="G4311" s="153">
        <f>IF($K4311="Padrão",BDI!$B$17,IF($K4311="Diferenciado",BDI!$E$17,0))</f>
        <v>0.2039</v>
      </c>
      <c r="H4311" s="151">
        <f t="shared" ca="1" si="201"/>
        <v>8.91</v>
      </c>
      <c r="I4311" s="152">
        <f t="shared" ca="1" si="202"/>
        <v>0</v>
      </c>
      <c r="J4311" s="154"/>
      <c r="K4311" s="155" t="s">
        <v>2966</v>
      </c>
    </row>
    <row r="4312" spans="1:11" ht="25.5" hidden="1" x14ac:dyDescent="0.25">
      <c r="A4312" s="148" t="s">
        <v>2386</v>
      </c>
      <c r="B4312" s="149" t="s">
        <v>2387</v>
      </c>
      <c r="C4312" s="150" t="s">
        <v>18</v>
      </c>
      <c r="D4312" s="150">
        <v>0</v>
      </c>
      <c r="E4312" s="151">
        <f ca="1">OFFSET(INDEX(Composições!A:H,MATCH(Orçamentária!A4312,Composições!A:A,0),8),2,0)</f>
        <v>0</v>
      </c>
      <c r="F4312" s="152">
        <f t="shared" ca="1" si="203"/>
        <v>0</v>
      </c>
      <c r="G4312" s="153">
        <f>IF($K4312="Padrão",BDI!$B$17,IF($K4312="Diferenciado",BDI!$E$17,0))</f>
        <v>0.2039</v>
      </c>
      <c r="H4312" s="151">
        <f t="shared" ca="1" si="201"/>
        <v>0</v>
      </c>
      <c r="I4312" s="152">
        <f t="shared" ca="1" si="202"/>
        <v>0</v>
      </c>
      <c r="J4312" s="154"/>
      <c r="K4312" s="155" t="s">
        <v>2966</v>
      </c>
    </row>
    <row r="4313" spans="1:11" ht="25.5" hidden="1" x14ac:dyDescent="0.25">
      <c r="A4313" s="148" t="s">
        <v>2388</v>
      </c>
      <c r="B4313" s="149" t="s">
        <v>2389</v>
      </c>
      <c r="C4313" s="150" t="s">
        <v>18</v>
      </c>
      <c r="D4313" s="150">
        <v>0</v>
      </c>
      <c r="E4313" s="151">
        <f ca="1">OFFSET(INDEX(Composições!A:H,MATCH(Orçamentária!A4313,Composições!A:A,0),8),2,0)</f>
        <v>0</v>
      </c>
      <c r="F4313" s="152">
        <f t="shared" ca="1" si="203"/>
        <v>0</v>
      </c>
      <c r="G4313" s="153">
        <f>IF($K4313="Padrão",BDI!$B$17,IF($K4313="Diferenciado",BDI!$E$17,0))</f>
        <v>0.2039</v>
      </c>
      <c r="H4313" s="151">
        <f t="shared" ca="1" si="201"/>
        <v>0</v>
      </c>
      <c r="I4313" s="152">
        <f t="shared" ca="1" si="202"/>
        <v>0</v>
      </c>
      <c r="J4313" s="154"/>
      <c r="K4313" s="155" t="s">
        <v>2966</v>
      </c>
    </row>
    <row r="4314" spans="1:11" ht="25.5" hidden="1" x14ac:dyDescent="0.25">
      <c r="A4314" s="148" t="s">
        <v>2390</v>
      </c>
      <c r="B4314" s="149" t="s">
        <v>2391</v>
      </c>
      <c r="C4314" s="150" t="s">
        <v>18</v>
      </c>
      <c r="D4314" s="150">
        <v>0</v>
      </c>
      <c r="E4314" s="151">
        <f ca="1">OFFSET(INDEX(Composições!A:H,MATCH(Orçamentária!A4314,Composições!A:A,0),8),2,0)</f>
        <v>0</v>
      </c>
      <c r="F4314" s="152">
        <f t="shared" ca="1" si="203"/>
        <v>0</v>
      </c>
      <c r="G4314" s="153">
        <f>IF($K4314="Padrão",BDI!$B$17,IF($K4314="Diferenciado",BDI!$E$17,0))</f>
        <v>0.2039</v>
      </c>
      <c r="H4314" s="151">
        <f t="shared" ca="1" si="201"/>
        <v>0</v>
      </c>
      <c r="I4314" s="152">
        <f t="shared" ca="1" si="202"/>
        <v>0</v>
      </c>
      <c r="J4314" s="154"/>
      <c r="K4314" s="155" t="s">
        <v>2966</v>
      </c>
    </row>
    <row r="4315" spans="1:11" ht="25.5" hidden="1" x14ac:dyDescent="0.25">
      <c r="A4315" s="148" t="s">
        <v>2392</v>
      </c>
      <c r="B4315" s="149" t="s">
        <v>2393</v>
      </c>
      <c r="C4315" s="150" t="s">
        <v>18</v>
      </c>
      <c r="D4315" s="150">
        <v>0</v>
      </c>
      <c r="E4315" s="151">
        <f ca="1">OFFSET(INDEX(Composições!A:H,MATCH(Orçamentária!A4315,Composições!A:A,0),8),2,0)</f>
        <v>0</v>
      </c>
      <c r="F4315" s="152">
        <f t="shared" ca="1" si="203"/>
        <v>0</v>
      </c>
      <c r="G4315" s="153">
        <f>IF($K4315="Padrão",BDI!$B$17,IF($K4315="Diferenciado",BDI!$E$17,0))</f>
        <v>0.2039</v>
      </c>
      <c r="H4315" s="151">
        <f t="shared" ca="1" si="201"/>
        <v>0</v>
      </c>
      <c r="I4315" s="152">
        <f t="shared" ca="1" si="202"/>
        <v>0</v>
      </c>
      <c r="J4315" s="154"/>
      <c r="K4315" s="155" t="s">
        <v>2966</v>
      </c>
    </row>
    <row r="4316" spans="1:11" hidden="1" x14ac:dyDescent="0.25">
      <c r="A4316" s="148" t="s">
        <v>2394</v>
      </c>
      <c r="B4316" s="149" t="s">
        <v>9873</v>
      </c>
      <c r="C4316" s="150" t="s">
        <v>18</v>
      </c>
      <c r="D4316" s="150">
        <v>0</v>
      </c>
      <c r="E4316" s="151">
        <f ca="1">OFFSET(INDEX(Composições!A:H,MATCH(Orçamentária!A4316,Composições!A:A,0),8),2,0)</f>
        <v>8.4834999999999994</v>
      </c>
      <c r="F4316" s="152">
        <f t="shared" ca="1" si="203"/>
        <v>0</v>
      </c>
      <c r="G4316" s="153">
        <f>IF($K4316="Padrão",BDI!$B$17,IF($K4316="Diferenciado",BDI!$E$17,0))</f>
        <v>0.2039</v>
      </c>
      <c r="H4316" s="151">
        <f t="shared" ca="1" si="201"/>
        <v>10.210000000000001</v>
      </c>
      <c r="I4316" s="152">
        <f t="shared" ca="1" si="202"/>
        <v>0</v>
      </c>
      <c r="J4316" s="154"/>
      <c r="K4316" s="155" t="s">
        <v>2966</v>
      </c>
    </row>
    <row r="4317" spans="1:11" hidden="1" x14ac:dyDescent="0.25">
      <c r="A4317" s="148" t="s">
        <v>2395</v>
      </c>
      <c r="B4317" s="149" t="s">
        <v>9874</v>
      </c>
      <c r="C4317" s="150" t="s">
        <v>18</v>
      </c>
      <c r="D4317" s="150">
        <v>0</v>
      </c>
      <c r="E4317" s="151">
        <f ca="1">OFFSET(INDEX(Composições!A:H,MATCH(Orçamentária!A4317,Composições!A:A,0),8),2,0)</f>
        <v>0</v>
      </c>
      <c r="F4317" s="152">
        <f t="shared" ca="1" si="203"/>
        <v>0</v>
      </c>
      <c r="G4317" s="153">
        <f>IF($K4317="Padrão",BDI!$B$17,IF($K4317="Diferenciado",BDI!$E$17,0))</f>
        <v>0.2039</v>
      </c>
      <c r="H4317" s="151">
        <f t="shared" ca="1" si="201"/>
        <v>0</v>
      </c>
      <c r="I4317" s="152">
        <f t="shared" ca="1" si="202"/>
        <v>0</v>
      </c>
      <c r="J4317" s="154"/>
      <c r="K4317" s="155" t="s">
        <v>2966</v>
      </c>
    </row>
    <row r="4318" spans="1:11" hidden="1" x14ac:dyDescent="0.25">
      <c r="A4318" s="148" t="s">
        <v>2397</v>
      </c>
      <c r="B4318" s="149" t="s">
        <v>9875</v>
      </c>
      <c r="C4318" s="150" t="s">
        <v>18</v>
      </c>
      <c r="D4318" s="150">
        <v>0</v>
      </c>
      <c r="E4318" s="151">
        <f ca="1">OFFSET(INDEX(Composições!A:H,MATCH(Orçamentária!A4318,Composições!A:A,0),8),2,0)</f>
        <v>0</v>
      </c>
      <c r="F4318" s="152">
        <f t="shared" ca="1" si="203"/>
        <v>0</v>
      </c>
      <c r="G4318" s="153">
        <f>IF($K4318="Padrão",BDI!$B$17,IF($K4318="Diferenciado",BDI!$E$17,0))</f>
        <v>0.2039</v>
      </c>
      <c r="H4318" s="151">
        <f t="shared" ca="1" si="201"/>
        <v>0</v>
      </c>
      <c r="I4318" s="152">
        <f t="shared" ca="1" si="202"/>
        <v>0</v>
      </c>
      <c r="J4318" s="154"/>
      <c r="K4318" s="155" t="s">
        <v>2966</v>
      </c>
    </row>
    <row r="4319" spans="1:11" hidden="1" x14ac:dyDescent="0.25">
      <c r="A4319" s="148" t="s">
        <v>2399</v>
      </c>
      <c r="B4319" s="149" t="s">
        <v>9876</v>
      </c>
      <c r="C4319" s="150" t="s">
        <v>18</v>
      </c>
      <c r="D4319" s="150">
        <v>0</v>
      </c>
      <c r="E4319" s="151">
        <f ca="1">OFFSET(INDEX(Composições!A:H,MATCH(Orçamentária!A4319,Composições!A:A,0),8),2,0)</f>
        <v>53.180999999999997</v>
      </c>
      <c r="F4319" s="152">
        <f t="shared" ca="1" si="203"/>
        <v>0</v>
      </c>
      <c r="G4319" s="153">
        <f>IF($K4319="Padrão",BDI!$B$17,IF($K4319="Diferenciado",BDI!$E$17,0))</f>
        <v>0.2039</v>
      </c>
      <c r="H4319" s="151">
        <f t="shared" ca="1" si="201"/>
        <v>64.02</v>
      </c>
      <c r="I4319" s="152">
        <f t="shared" ca="1" si="202"/>
        <v>0</v>
      </c>
      <c r="J4319" s="154"/>
      <c r="K4319" s="155" t="s">
        <v>2966</v>
      </c>
    </row>
    <row r="4320" spans="1:11" hidden="1" x14ac:dyDescent="0.25">
      <c r="A4320" s="148" t="s">
        <v>2400</v>
      </c>
      <c r="B4320" s="149" t="s">
        <v>9877</v>
      </c>
      <c r="C4320" s="150" t="s">
        <v>18</v>
      </c>
      <c r="D4320" s="150">
        <v>0</v>
      </c>
      <c r="E4320" s="151">
        <f ca="1">OFFSET(INDEX(Composições!A:H,MATCH(Orçamentária!A4320,Composições!A:A,0),8),2,0)</f>
        <v>2.9259999999999997</v>
      </c>
      <c r="F4320" s="152">
        <f t="shared" ca="1" si="203"/>
        <v>0</v>
      </c>
      <c r="G4320" s="153">
        <f>IF($K4320="Padrão",BDI!$B$17,IF($K4320="Diferenciado",BDI!$E$17,0))</f>
        <v>0.2039</v>
      </c>
      <c r="H4320" s="151">
        <f t="shared" ca="1" si="201"/>
        <v>3.52</v>
      </c>
      <c r="I4320" s="152">
        <f t="shared" ca="1" si="202"/>
        <v>0</v>
      </c>
      <c r="J4320" s="154"/>
      <c r="K4320" s="155" t="s">
        <v>2966</v>
      </c>
    </row>
    <row r="4321" spans="1:11" hidden="1" x14ac:dyDescent="0.25">
      <c r="A4321" s="148" t="s">
        <v>2401</v>
      </c>
      <c r="B4321" s="149" t="s">
        <v>9878</v>
      </c>
      <c r="C4321" s="150" t="s">
        <v>18</v>
      </c>
      <c r="D4321" s="150">
        <v>0</v>
      </c>
      <c r="E4321" s="151">
        <f ca="1">OFFSET(INDEX(Composições!A:H,MATCH(Orçamentária!A4321,Composições!A:A,0),8),2,0)</f>
        <v>0</v>
      </c>
      <c r="F4321" s="152">
        <f t="shared" ca="1" si="203"/>
        <v>0</v>
      </c>
      <c r="G4321" s="153">
        <f>IF($K4321="Padrão",BDI!$B$17,IF($K4321="Diferenciado",BDI!$E$17,0))</f>
        <v>0.2039</v>
      </c>
      <c r="H4321" s="151">
        <f t="shared" ca="1" si="201"/>
        <v>0</v>
      </c>
      <c r="I4321" s="152">
        <f t="shared" ca="1" si="202"/>
        <v>0</v>
      </c>
      <c r="J4321" s="154"/>
      <c r="K4321" s="155" t="s">
        <v>2966</v>
      </c>
    </row>
    <row r="4322" spans="1:11" hidden="1" x14ac:dyDescent="0.25">
      <c r="A4322" s="148" t="s">
        <v>2403</v>
      </c>
      <c r="B4322" s="149" t="s">
        <v>9879</v>
      </c>
      <c r="C4322" s="150" t="s">
        <v>18</v>
      </c>
      <c r="D4322" s="150">
        <v>0</v>
      </c>
      <c r="E4322" s="151">
        <f ca="1">OFFSET(INDEX(Composições!A:H,MATCH(Orçamentária!A4322,Composições!A:A,0),8),2,0)</f>
        <v>0</v>
      </c>
      <c r="F4322" s="152">
        <f t="shared" ca="1" si="203"/>
        <v>0</v>
      </c>
      <c r="G4322" s="153">
        <f>IF($K4322="Padrão",BDI!$B$17,IF($K4322="Diferenciado",BDI!$E$17,0))</f>
        <v>0.2039</v>
      </c>
      <c r="H4322" s="151">
        <f t="shared" ca="1" si="201"/>
        <v>0</v>
      </c>
      <c r="I4322" s="152">
        <f t="shared" ca="1" si="202"/>
        <v>0</v>
      </c>
      <c r="J4322" s="154"/>
      <c r="K4322" s="155" t="s">
        <v>2966</v>
      </c>
    </row>
    <row r="4323" spans="1:11" hidden="1" x14ac:dyDescent="0.25">
      <c r="A4323" s="148" t="s">
        <v>2405</v>
      </c>
      <c r="B4323" s="149" t="s">
        <v>9880</v>
      </c>
      <c r="C4323" s="150" t="s">
        <v>18</v>
      </c>
      <c r="D4323" s="150">
        <v>0</v>
      </c>
      <c r="E4323" s="151">
        <f ca="1">OFFSET(INDEX(Composições!A:H,MATCH(Orçamentária!A4323,Composições!A:A,0),8),2,0)</f>
        <v>0</v>
      </c>
      <c r="F4323" s="152">
        <f t="shared" ca="1" si="203"/>
        <v>0</v>
      </c>
      <c r="G4323" s="153">
        <f>IF($K4323="Padrão",BDI!$B$17,IF($K4323="Diferenciado",BDI!$E$17,0))</f>
        <v>0.2039</v>
      </c>
      <c r="H4323" s="151">
        <f t="shared" ca="1" si="201"/>
        <v>0</v>
      </c>
      <c r="I4323" s="152">
        <f t="shared" ca="1" si="202"/>
        <v>0</v>
      </c>
      <c r="J4323" s="154"/>
      <c r="K4323" s="155" t="s">
        <v>2966</v>
      </c>
    </row>
    <row r="4324" spans="1:11" hidden="1" x14ac:dyDescent="0.25">
      <c r="A4324" s="148" t="s">
        <v>2407</v>
      </c>
      <c r="B4324" s="149" t="s">
        <v>9881</v>
      </c>
      <c r="C4324" s="150" t="s">
        <v>18</v>
      </c>
      <c r="D4324" s="150">
        <v>0</v>
      </c>
      <c r="E4324" s="151">
        <f ca="1">OFFSET(INDEX(Composições!A:H,MATCH(Orçamentária!A4324,Composições!A:A,0),8),2,0)</f>
        <v>0</v>
      </c>
      <c r="F4324" s="152">
        <f t="shared" ca="1" si="203"/>
        <v>0</v>
      </c>
      <c r="G4324" s="153">
        <f>IF($K4324="Padrão",BDI!$B$17,IF($K4324="Diferenciado",BDI!$E$17,0))</f>
        <v>0.2039</v>
      </c>
      <c r="H4324" s="151">
        <f t="shared" ca="1" si="201"/>
        <v>0</v>
      </c>
      <c r="I4324" s="152">
        <f t="shared" ca="1" si="202"/>
        <v>0</v>
      </c>
      <c r="J4324" s="154"/>
      <c r="K4324" s="155" t="s">
        <v>2966</v>
      </c>
    </row>
    <row r="4325" spans="1:11" hidden="1" x14ac:dyDescent="0.25">
      <c r="A4325" s="148" t="s">
        <v>2409</v>
      </c>
      <c r="B4325" s="149" t="s">
        <v>9882</v>
      </c>
      <c r="C4325" s="150" t="s">
        <v>18</v>
      </c>
      <c r="D4325" s="150">
        <v>0</v>
      </c>
      <c r="E4325" s="151">
        <f ca="1">OFFSET(INDEX(Composições!A:H,MATCH(Orçamentária!A4325,Composições!A:A,0),8),2,0)</f>
        <v>0</v>
      </c>
      <c r="F4325" s="152">
        <f t="shared" ca="1" si="203"/>
        <v>0</v>
      </c>
      <c r="G4325" s="153">
        <f>IF($K4325="Padrão",BDI!$B$17,IF($K4325="Diferenciado",BDI!$E$17,0))</f>
        <v>0.2039</v>
      </c>
      <c r="H4325" s="151">
        <f t="shared" ca="1" si="201"/>
        <v>0</v>
      </c>
      <c r="I4325" s="152">
        <f t="shared" ca="1" si="202"/>
        <v>0</v>
      </c>
      <c r="J4325" s="154"/>
      <c r="K4325" s="155" t="s">
        <v>2966</v>
      </c>
    </row>
    <row r="4326" spans="1:11" hidden="1" x14ac:dyDescent="0.25">
      <c r="A4326" s="148" t="s">
        <v>2411</v>
      </c>
      <c r="B4326" s="149" t="s">
        <v>9883</v>
      </c>
      <c r="C4326" s="150" t="s">
        <v>18</v>
      </c>
      <c r="D4326" s="150">
        <v>0</v>
      </c>
      <c r="E4326" s="151">
        <f ca="1">OFFSET(INDEX(Composições!A:H,MATCH(Orçamentária!A4326,Composições!A:A,0),8),2,0)</f>
        <v>0</v>
      </c>
      <c r="F4326" s="152">
        <f t="shared" ca="1" si="203"/>
        <v>0</v>
      </c>
      <c r="G4326" s="153">
        <f>IF($K4326="Padrão",BDI!$B$17,IF($K4326="Diferenciado",BDI!$E$17,0))</f>
        <v>0.2039</v>
      </c>
      <c r="H4326" s="151">
        <f t="shared" ca="1" si="201"/>
        <v>0</v>
      </c>
      <c r="I4326" s="152">
        <f t="shared" ca="1" si="202"/>
        <v>0</v>
      </c>
      <c r="J4326" s="154"/>
      <c r="K4326" s="155" t="s">
        <v>2966</v>
      </c>
    </row>
    <row r="4327" spans="1:11" hidden="1" x14ac:dyDescent="0.25">
      <c r="A4327" s="148" t="s">
        <v>2413</v>
      </c>
      <c r="B4327" s="149" t="s">
        <v>2414</v>
      </c>
      <c r="C4327" s="150" t="s">
        <v>18</v>
      </c>
      <c r="D4327" s="150">
        <v>0</v>
      </c>
      <c r="E4327" s="151">
        <f ca="1">OFFSET(INDEX(Composições!A:H,MATCH(Orçamentária!A4327,Composições!A:A,0),8),2,0)</f>
        <v>0</v>
      </c>
      <c r="F4327" s="152">
        <f t="shared" ca="1" si="203"/>
        <v>0</v>
      </c>
      <c r="G4327" s="153">
        <f>IF($K4327="Padrão",BDI!$B$17,IF($K4327="Diferenciado",BDI!$E$17,0))</f>
        <v>0.2039</v>
      </c>
      <c r="H4327" s="151">
        <f t="shared" ca="1" si="201"/>
        <v>0</v>
      </c>
      <c r="I4327" s="152">
        <f t="shared" ca="1" si="202"/>
        <v>0</v>
      </c>
      <c r="J4327" s="154"/>
      <c r="K4327" s="155" t="s">
        <v>2966</v>
      </c>
    </row>
    <row r="4328" spans="1:11" hidden="1" x14ac:dyDescent="0.25">
      <c r="A4328" s="148" t="s">
        <v>2415</v>
      </c>
      <c r="B4328" s="149" t="s">
        <v>9884</v>
      </c>
      <c r="C4328" s="150" t="s">
        <v>18</v>
      </c>
      <c r="D4328" s="150">
        <v>0</v>
      </c>
      <c r="E4328" s="151">
        <f ca="1">OFFSET(INDEX(Composições!A:H,MATCH(Orçamentária!A4328,Composições!A:A,0),8),2,0)</f>
        <v>0</v>
      </c>
      <c r="F4328" s="152">
        <f t="shared" ca="1" si="203"/>
        <v>0</v>
      </c>
      <c r="G4328" s="153">
        <f>IF($K4328="Padrão",BDI!$B$17,IF($K4328="Diferenciado",BDI!$E$17,0))</f>
        <v>0.2039</v>
      </c>
      <c r="H4328" s="151">
        <f t="shared" ca="1" si="201"/>
        <v>0</v>
      </c>
      <c r="I4328" s="152">
        <f t="shared" ca="1" si="202"/>
        <v>0</v>
      </c>
      <c r="J4328" s="154"/>
      <c r="K4328" s="155" t="s">
        <v>2966</v>
      </c>
    </row>
    <row r="4329" spans="1:11" hidden="1" x14ac:dyDescent="0.25">
      <c r="A4329" s="148" t="s">
        <v>2417</v>
      </c>
      <c r="B4329" s="149" t="s">
        <v>9885</v>
      </c>
      <c r="C4329" s="150" t="s">
        <v>18</v>
      </c>
      <c r="D4329" s="150">
        <v>0</v>
      </c>
      <c r="E4329" s="151">
        <f ca="1">OFFSET(INDEX(Composições!A:H,MATCH(Orçamentária!A4329,Composições!A:A,0),8),2,0)</f>
        <v>3.7524999999999999</v>
      </c>
      <c r="F4329" s="152">
        <f t="shared" ca="1" si="203"/>
        <v>0</v>
      </c>
      <c r="G4329" s="153">
        <f>IF($K4329="Padrão",BDI!$B$17,IF($K4329="Diferenciado",BDI!$E$17,0))</f>
        <v>0.2039</v>
      </c>
      <c r="H4329" s="151">
        <f t="shared" ca="1" si="201"/>
        <v>4.5199999999999996</v>
      </c>
      <c r="I4329" s="152">
        <f t="shared" ca="1" si="202"/>
        <v>0</v>
      </c>
      <c r="J4329" s="154"/>
      <c r="K4329" s="155" t="s">
        <v>2966</v>
      </c>
    </row>
    <row r="4330" spans="1:11" hidden="1" x14ac:dyDescent="0.25">
      <c r="A4330" s="148" t="s">
        <v>2418</v>
      </c>
      <c r="B4330" s="149" t="s">
        <v>9886</v>
      </c>
      <c r="C4330" s="150" t="s">
        <v>18</v>
      </c>
      <c r="D4330" s="150">
        <v>0</v>
      </c>
      <c r="E4330" s="151">
        <f ca="1">OFFSET(INDEX(Composições!A:H,MATCH(Orçamentária!A4330,Composições!A:A,0),8),2,0)</f>
        <v>15.637</v>
      </c>
      <c r="F4330" s="152">
        <f t="shared" ca="1" si="203"/>
        <v>0</v>
      </c>
      <c r="G4330" s="153">
        <f>IF($K4330="Padrão",BDI!$B$17,IF($K4330="Diferenciado",BDI!$E$17,0))</f>
        <v>0.2039</v>
      </c>
      <c r="H4330" s="151">
        <f t="shared" ca="1" si="201"/>
        <v>18.829999999999998</v>
      </c>
      <c r="I4330" s="152">
        <f t="shared" ca="1" si="202"/>
        <v>0</v>
      </c>
      <c r="J4330" s="154"/>
      <c r="K4330" s="155" t="s">
        <v>2966</v>
      </c>
    </row>
    <row r="4331" spans="1:11" hidden="1" x14ac:dyDescent="0.25">
      <c r="A4331" s="148" t="s">
        <v>2419</v>
      </c>
      <c r="B4331" s="149" t="s">
        <v>9887</v>
      </c>
      <c r="C4331" s="150" t="s">
        <v>18</v>
      </c>
      <c r="D4331" s="150">
        <v>0</v>
      </c>
      <c r="E4331" s="151">
        <f ca="1">OFFSET(INDEX(Composições!A:H,MATCH(Orçamentária!A4331,Composições!A:A,0),8),2,0)</f>
        <v>0</v>
      </c>
      <c r="F4331" s="152">
        <f t="shared" ca="1" si="203"/>
        <v>0</v>
      </c>
      <c r="G4331" s="153">
        <f>IF($K4331="Padrão",BDI!$B$17,IF($K4331="Diferenciado",BDI!$E$17,0))</f>
        <v>0.2039</v>
      </c>
      <c r="H4331" s="151">
        <f t="shared" ca="1" si="201"/>
        <v>0</v>
      </c>
      <c r="I4331" s="152">
        <f t="shared" ca="1" si="202"/>
        <v>0</v>
      </c>
      <c r="J4331" s="154"/>
      <c r="K4331" s="155" t="s">
        <v>2966</v>
      </c>
    </row>
    <row r="4332" spans="1:11" hidden="1" x14ac:dyDescent="0.25">
      <c r="A4332" s="148" t="s">
        <v>2421</v>
      </c>
      <c r="B4332" s="149" t="s">
        <v>9888</v>
      </c>
      <c r="C4332" s="150" t="s">
        <v>18</v>
      </c>
      <c r="D4332" s="150">
        <v>0</v>
      </c>
      <c r="E4332" s="151">
        <f ca="1">OFFSET(INDEX(Composições!A:H,MATCH(Orçamentária!A4332,Composições!A:A,0),8),2,0)</f>
        <v>0</v>
      </c>
      <c r="F4332" s="152">
        <f t="shared" ca="1" si="203"/>
        <v>0</v>
      </c>
      <c r="G4332" s="153">
        <f>IF($K4332="Padrão",BDI!$B$17,IF($K4332="Diferenciado",BDI!$E$17,0))</f>
        <v>0.2039</v>
      </c>
      <c r="H4332" s="151">
        <f t="shared" ca="1" si="201"/>
        <v>0</v>
      </c>
      <c r="I4332" s="152">
        <f t="shared" ca="1" si="202"/>
        <v>0</v>
      </c>
      <c r="J4332" s="154"/>
      <c r="K4332" s="155" t="s">
        <v>2966</v>
      </c>
    </row>
    <row r="4333" spans="1:11" hidden="1" x14ac:dyDescent="0.25">
      <c r="A4333" s="148" t="s">
        <v>2423</v>
      </c>
      <c r="B4333" s="149" t="s">
        <v>9889</v>
      </c>
      <c r="C4333" s="150" t="s">
        <v>18</v>
      </c>
      <c r="D4333" s="150">
        <v>0</v>
      </c>
      <c r="E4333" s="151">
        <f ca="1">OFFSET(INDEX(Composições!A:H,MATCH(Orçamentária!A4333,Composições!A:A,0),8),2,0)</f>
        <v>4.2655000000000003</v>
      </c>
      <c r="F4333" s="152">
        <f t="shared" ca="1" si="203"/>
        <v>0</v>
      </c>
      <c r="G4333" s="153">
        <f>IF($K4333="Padrão",BDI!$B$17,IF($K4333="Diferenciado",BDI!$E$17,0))</f>
        <v>0.2039</v>
      </c>
      <c r="H4333" s="151">
        <f t="shared" ca="1" si="201"/>
        <v>5.14</v>
      </c>
      <c r="I4333" s="152">
        <f t="shared" ca="1" si="202"/>
        <v>0</v>
      </c>
      <c r="J4333" s="154"/>
      <c r="K4333" s="155" t="s">
        <v>2966</v>
      </c>
    </row>
    <row r="4334" spans="1:11" hidden="1" x14ac:dyDescent="0.25">
      <c r="A4334" s="148" t="s">
        <v>2424</v>
      </c>
      <c r="B4334" s="149" t="s">
        <v>9890</v>
      </c>
      <c r="C4334" s="150" t="s">
        <v>18</v>
      </c>
      <c r="D4334" s="150">
        <v>0</v>
      </c>
      <c r="E4334" s="151">
        <f ca="1">OFFSET(INDEX(Composições!A:H,MATCH(Orçamentária!A4334,Composições!A:A,0),8),2,0)</f>
        <v>1.71</v>
      </c>
      <c r="F4334" s="152">
        <f t="shared" ca="1" si="203"/>
        <v>0</v>
      </c>
      <c r="G4334" s="153">
        <f>IF($K4334="Padrão",BDI!$B$17,IF($K4334="Diferenciado",BDI!$E$17,0))</f>
        <v>0.2039</v>
      </c>
      <c r="H4334" s="151">
        <f t="shared" ca="1" si="201"/>
        <v>2.06</v>
      </c>
      <c r="I4334" s="152">
        <f t="shared" ca="1" si="202"/>
        <v>0</v>
      </c>
      <c r="J4334" s="154"/>
      <c r="K4334" s="155" t="s">
        <v>2966</v>
      </c>
    </row>
    <row r="4335" spans="1:11" hidden="1" x14ac:dyDescent="0.25">
      <c r="A4335" s="148" t="s">
        <v>2425</v>
      </c>
      <c r="B4335" s="149" t="s">
        <v>9891</v>
      </c>
      <c r="C4335" s="150" t="s">
        <v>18</v>
      </c>
      <c r="D4335" s="150">
        <v>0</v>
      </c>
      <c r="E4335" s="151">
        <f ca="1">OFFSET(INDEX(Composições!A:H,MATCH(Orçamentária!A4335,Composições!A:A,0),8),2,0)</f>
        <v>2.698</v>
      </c>
      <c r="F4335" s="152">
        <f t="shared" ca="1" si="203"/>
        <v>0</v>
      </c>
      <c r="G4335" s="153">
        <f>IF($K4335="Padrão",BDI!$B$17,IF($K4335="Diferenciado",BDI!$E$17,0))</f>
        <v>0.2039</v>
      </c>
      <c r="H4335" s="151">
        <f t="shared" ca="1" si="201"/>
        <v>3.25</v>
      </c>
      <c r="I4335" s="152">
        <f t="shared" ca="1" si="202"/>
        <v>0</v>
      </c>
      <c r="J4335" s="154"/>
      <c r="K4335" s="155" t="s">
        <v>2966</v>
      </c>
    </row>
    <row r="4336" spans="1:11" hidden="1" x14ac:dyDescent="0.25">
      <c r="A4336" s="148" t="s">
        <v>2426</v>
      </c>
      <c r="B4336" s="149" t="s">
        <v>9892</v>
      </c>
      <c r="C4336" s="150" t="s">
        <v>18</v>
      </c>
      <c r="D4336" s="150">
        <v>0</v>
      </c>
      <c r="E4336" s="151">
        <f ca="1">OFFSET(INDEX(Composições!A:H,MATCH(Orçamentária!A4336,Composições!A:A,0),8),2,0)</f>
        <v>0</v>
      </c>
      <c r="F4336" s="152">
        <f t="shared" ca="1" si="203"/>
        <v>0</v>
      </c>
      <c r="G4336" s="153">
        <f>IF($K4336="Padrão",BDI!$B$17,IF($K4336="Diferenciado",BDI!$E$17,0))</f>
        <v>0.2039</v>
      </c>
      <c r="H4336" s="151">
        <f t="shared" ca="1" si="201"/>
        <v>0</v>
      </c>
      <c r="I4336" s="152">
        <f t="shared" ca="1" si="202"/>
        <v>0</v>
      </c>
      <c r="J4336" s="154"/>
      <c r="K4336" s="155" t="s">
        <v>2966</v>
      </c>
    </row>
    <row r="4337" spans="1:11" hidden="1" x14ac:dyDescent="0.25">
      <c r="A4337" s="148" t="s">
        <v>2428</v>
      </c>
      <c r="B4337" s="149" t="s">
        <v>9893</v>
      </c>
      <c r="C4337" s="150" t="s">
        <v>18</v>
      </c>
      <c r="D4337" s="150">
        <v>0</v>
      </c>
      <c r="E4337" s="151">
        <f ca="1">OFFSET(INDEX(Composições!A:H,MATCH(Orçamentária!A4337,Composições!A:A,0),8),2,0)</f>
        <v>0</v>
      </c>
      <c r="F4337" s="152">
        <f t="shared" ca="1" si="203"/>
        <v>0</v>
      </c>
      <c r="G4337" s="153">
        <f>IF($K4337="Padrão",BDI!$B$17,IF($K4337="Diferenciado",BDI!$E$17,0))</f>
        <v>0.2039</v>
      </c>
      <c r="H4337" s="151">
        <f t="shared" ca="1" si="201"/>
        <v>0</v>
      </c>
      <c r="I4337" s="152">
        <f t="shared" ca="1" si="202"/>
        <v>0</v>
      </c>
      <c r="J4337" s="154"/>
      <c r="K4337" s="155" t="s">
        <v>2966</v>
      </c>
    </row>
    <row r="4338" spans="1:11" hidden="1" x14ac:dyDescent="0.25">
      <c r="A4338" s="148" t="s">
        <v>2430</v>
      </c>
      <c r="B4338" s="149" t="s">
        <v>9894</v>
      </c>
      <c r="C4338" s="150" t="s">
        <v>18</v>
      </c>
      <c r="D4338" s="150">
        <v>0</v>
      </c>
      <c r="E4338" s="151">
        <f ca="1">OFFSET(INDEX(Composições!A:H,MATCH(Orçamentária!A4338,Composições!A:A,0),8),2,0)</f>
        <v>0</v>
      </c>
      <c r="F4338" s="152">
        <f t="shared" ca="1" si="203"/>
        <v>0</v>
      </c>
      <c r="G4338" s="153">
        <f>IF($K4338="Padrão",BDI!$B$17,IF($K4338="Diferenciado",BDI!$E$17,0))</f>
        <v>0.2039</v>
      </c>
      <c r="H4338" s="151">
        <f t="shared" ca="1" si="201"/>
        <v>0</v>
      </c>
      <c r="I4338" s="152">
        <f t="shared" ca="1" si="202"/>
        <v>0</v>
      </c>
      <c r="J4338" s="154"/>
      <c r="K4338" s="155" t="s">
        <v>2966</v>
      </c>
    </row>
    <row r="4339" spans="1:11" hidden="1" x14ac:dyDescent="0.25">
      <c r="A4339" s="148" t="s">
        <v>2432</v>
      </c>
      <c r="B4339" s="149" t="s">
        <v>9895</v>
      </c>
      <c r="C4339" s="150" t="s">
        <v>18</v>
      </c>
      <c r="D4339" s="150">
        <v>0</v>
      </c>
      <c r="E4339" s="151">
        <f ca="1">OFFSET(INDEX(Composições!A:H,MATCH(Orçamentária!A4339,Composições!A:A,0),8),2,0)</f>
        <v>0</v>
      </c>
      <c r="F4339" s="152">
        <f t="shared" ca="1" si="203"/>
        <v>0</v>
      </c>
      <c r="G4339" s="153">
        <f>IF($K4339="Padrão",BDI!$B$17,IF($K4339="Diferenciado",BDI!$E$17,0))</f>
        <v>0.2039</v>
      </c>
      <c r="H4339" s="151">
        <f t="shared" ca="1" si="201"/>
        <v>0</v>
      </c>
      <c r="I4339" s="152">
        <f t="shared" ca="1" si="202"/>
        <v>0</v>
      </c>
      <c r="J4339" s="154"/>
      <c r="K4339" s="155" t="s">
        <v>2966</v>
      </c>
    </row>
    <row r="4340" spans="1:11" hidden="1" x14ac:dyDescent="0.25">
      <c r="A4340" s="148" t="s">
        <v>2434</v>
      </c>
      <c r="B4340" s="149" t="s">
        <v>9896</v>
      </c>
      <c r="C4340" s="150" t="s">
        <v>18</v>
      </c>
      <c r="D4340" s="150">
        <v>0</v>
      </c>
      <c r="E4340" s="151">
        <f ca="1">OFFSET(INDEX(Composições!A:H,MATCH(Orçamentária!A4340,Composições!A:A,0),8),2,0)</f>
        <v>0</v>
      </c>
      <c r="F4340" s="152">
        <f t="shared" ca="1" si="203"/>
        <v>0</v>
      </c>
      <c r="G4340" s="153">
        <f>IF($K4340="Padrão",BDI!$B$17,IF($K4340="Diferenciado",BDI!$E$17,0))</f>
        <v>0.2039</v>
      </c>
      <c r="H4340" s="151">
        <f t="shared" ca="1" si="201"/>
        <v>0</v>
      </c>
      <c r="I4340" s="152">
        <f t="shared" ca="1" si="202"/>
        <v>0</v>
      </c>
      <c r="J4340" s="154"/>
      <c r="K4340" s="155" t="s">
        <v>2966</v>
      </c>
    </row>
    <row r="4341" spans="1:11" hidden="1" x14ac:dyDescent="0.25">
      <c r="A4341" s="148" t="s">
        <v>2436</v>
      </c>
      <c r="B4341" s="149" t="s">
        <v>9897</v>
      </c>
      <c r="C4341" s="150" t="s">
        <v>18</v>
      </c>
      <c r="D4341" s="150">
        <v>0</v>
      </c>
      <c r="E4341" s="151">
        <f ca="1">OFFSET(INDEX(Composições!A:H,MATCH(Orçamentária!A4341,Composições!A:A,0),8),2,0)</f>
        <v>0</v>
      </c>
      <c r="F4341" s="152">
        <f t="shared" ca="1" si="203"/>
        <v>0</v>
      </c>
      <c r="G4341" s="153">
        <f>IF($K4341="Padrão",BDI!$B$17,IF($K4341="Diferenciado",BDI!$E$17,0))</f>
        <v>0.2039</v>
      </c>
      <c r="H4341" s="151">
        <f t="shared" ca="1" si="201"/>
        <v>0</v>
      </c>
      <c r="I4341" s="152">
        <f t="shared" ca="1" si="202"/>
        <v>0</v>
      </c>
      <c r="J4341" s="154"/>
      <c r="K4341" s="155" t="s">
        <v>2966</v>
      </c>
    </row>
    <row r="4342" spans="1:11" hidden="1" x14ac:dyDescent="0.25">
      <c r="A4342" s="148" t="s">
        <v>2438</v>
      </c>
      <c r="B4342" s="149" t="s">
        <v>9898</v>
      </c>
      <c r="C4342" s="150" t="s">
        <v>18</v>
      </c>
      <c r="D4342" s="150">
        <v>0</v>
      </c>
      <c r="E4342" s="151">
        <f ca="1">OFFSET(INDEX(Composições!A:H,MATCH(Orçamentária!A4342,Composições!A:A,0),8),2,0)</f>
        <v>0</v>
      </c>
      <c r="F4342" s="152">
        <f t="shared" ca="1" si="203"/>
        <v>0</v>
      </c>
      <c r="G4342" s="153">
        <f>IF($K4342="Padrão",BDI!$B$17,IF($K4342="Diferenciado",BDI!$E$17,0))</f>
        <v>0.2039</v>
      </c>
      <c r="H4342" s="151">
        <f t="shared" ca="1" si="201"/>
        <v>0</v>
      </c>
      <c r="I4342" s="152">
        <f t="shared" ca="1" si="202"/>
        <v>0</v>
      </c>
      <c r="J4342" s="154"/>
      <c r="K4342" s="155" t="s">
        <v>2966</v>
      </c>
    </row>
    <row r="4343" spans="1:11" hidden="1" x14ac:dyDescent="0.25">
      <c r="A4343" s="148" t="s">
        <v>2440</v>
      </c>
      <c r="B4343" s="149" t="s">
        <v>9899</v>
      </c>
      <c r="C4343" s="150" t="s">
        <v>18</v>
      </c>
      <c r="D4343" s="150">
        <v>0</v>
      </c>
      <c r="E4343" s="151">
        <f ca="1">OFFSET(INDEX(Composições!A:H,MATCH(Orçamentária!A4343,Composições!A:A,0),8),2,0)</f>
        <v>0</v>
      </c>
      <c r="F4343" s="152">
        <f t="shared" ca="1" si="203"/>
        <v>0</v>
      </c>
      <c r="G4343" s="153">
        <f>IF($K4343="Padrão",BDI!$B$17,IF($K4343="Diferenciado",BDI!$E$17,0))</f>
        <v>0.2039</v>
      </c>
      <c r="H4343" s="151">
        <f t="shared" ca="1" si="201"/>
        <v>0</v>
      </c>
      <c r="I4343" s="152">
        <f t="shared" ca="1" si="202"/>
        <v>0</v>
      </c>
      <c r="J4343" s="154"/>
      <c r="K4343" s="155" t="s">
        <v>2966</v>
      </c>
    </row>
    <row r="4344" spans="1:11" hidden="1" x14ac:dyDescent="0.25">
      <c r="A4344" s="148" t="s">
        <v>2442</v>
      </c>
      <c r="B4344" s="149" t="s">
        <v>9900</v>
      </c>
      <c r="C4344" s="150" t="s">
        <v>18</v>
      </c>
      <c r="D4344" s="150">
        <v>0</v>
      </c>
      <c r="E4344" s="151">
        <f ca="1">OFFSET(INDEX(Composições!A:H,MATCH(Orçamentária!A4344,Composições!A:A,0),8),2,0)</f>
        <v>0</v>
      </c>
      <c r="F4344" s="152">
        <f t="shared" ca="1" si="203"/>
        <v>0</v>
      </c>
      <c r="G4344" s="153">
        <f>IF($K4344="Padrão",BDI!$B$17,IF($K4344="Diferenciado",BDI!$E$17,0))</f>
        <v>0.2039</v>
      </c>
      <c r="H4344" s="151">
        <f t="shared" ca="1" si="201"/>
        <v>0</v>
      </c>
      <c r="I4344" s="152">
        <f t="shared" ca="1" si="202"/>
        <v>0</v>
      </c>
      <c r="J4344" s="154"/>
      <c r="K4344" s="155" t="s">
        <v>2966</v>
      </c>
    </row>
    <row r="4345" spans="1:11" hidden="1" x14ac:dyDescent="0.25">
      <c r="A4345" s="148" t="s">
        <v>2444</v>
      </c>
      <c r="B4345" s="149" t="s">
        <v>9901</v>
      </c>
      <c r="C4345" s="150" t="s">
        <v>18</v>
      </c>
      <c r="D4345" s="150">
        <v>0</v>
      </c>
      <c r="E4345" s="151">
        <f ca="1">OFFSET(INDEX(Composições!A:H,MATCH(Orçamentária!A4345,Composições!A:A,0),8),2,0)</f>
        <v>9.6519999999999992</v>
      </c>
      <c r="F4345" s="152">
        <f t="shared" ca="1" si="203"/>
        <v>0</v>
      </c>
      <c r="G4345" s="153">
        <f>IF($K4345="Padrão",BDI!$B$17,IF($K4345="Diferenciado",BDI!$E$17,0))</f>
        <v>0.2039</v>
      </c>
      <c r="H4345" s="151">
        <f t="shared" ca="1" si="201"/>
        <v>11.62</v>
      </c>
      <c r="I4345" s="152">
        <f t="shared" ca="1" si="202"/>
        <v>0</v>
      </c>
      <c r="J4345" s="154"/>
      <c r="K4345" s="155" t="s">
        <v>2966</v>
      </c>
    </row>
    <row r="4346" spans="1:11" hidden="1" x14ac:dyDescent="0.25">
      <c r="A4346" s="148" t="s">
        <v>2445</v>
      </c>
      <c r="B4346" s="149" t="s">
        <v>9902</v>
      </c>
      <c r="C4346" s="150" t="s">
        <v>18</v>
      </c>
      <c r="D4346" s="150">
        <v>0</v>
      </c>
      <c r="E4346" s="151">
        <f ca="1">OFFSET(INDEX(Composições!A:H,MATCH(Orçamentária!A4346,Composições!A:A,0),8),2,0)</f>
        <v>25.687999999999999</v>
      </c>
      <c r="F4346" s="152">
        <f t="shared" ca="1" si="203"/>
        <v>0</v>
      </c>
      <c r="G4346" s="153">
        <f>IF($K4346="Padrão",BDI!$B$17,IF($K4346="Diferenciado",BDI!$E$17,0))</f>
        <v>0.2039</v>
      </c>
      <c r="H4346" s="151">
        <f t="shared" ca="1" si="201"/>
        <v>30.93</v>
      </c>
      <c r="I4346" s="152">
        <f t="shared" ca="1" si="202"/>
        <v>0</v>
      </c>
      <c r="J4346" s="154"/>
      <c r="K4346" s="155" t="s">
        <v>2966</v>
      </c>
    </row>
    <row r="4347" spans="1:11" hidden="1" x14ac:dyDescent="0.25">
      <c r="A4347" s="148" t="s">
        <v>2446</v>
      </c>
      <c r="B4347" s="149" t="s">
        <v>9903</v>
      </c>
      <c r="C4347" s="150" t="s">
        <v>18</v>
      </c>
      <c r="D4347" s="150">
        <v>0</v>
      </c>
      <c r="E4347" s="151">
        <f ca="1">OFFSET(INDEX(Composições!A:H,MATCH(Orçamentária!A4347,Composições!A:A,0),8),2,0)</f>
        <v>12.587499999999999</v>
      </c>
      <c r="F4347" s="152">
        <f t="shared" ca="1" si="203"/>
        <v>0</v>
      </c>
      <c r="G4347" s="153">
        <f>IF($K4347="Padrão",BDI!$B$17,IF($K4347="Diferenciado",BDI!$E$17,0))</f>
        <v>0.2039</v>
      </c>
      <c r="H4347" s="151">
        <f t="shared" ca="1" si="201"/>
        <v>15.15</v>
      </c>
      <c r="I4347" s="152">
        <f t="shared" ca="1" si="202"/>
        <v>0</v>
      </c>
      <c r="J4347" s="154"/>
      <c r="K4347" s="155" t="s">
        <v>2966</v>
      </c>
    </row>
    <row r="4348" spans="1:11" hidden="1" x14ac:dyDescent="0.25">
      <c r="A4348" s="148" t="s">
        <v>2447</v>
      </c>
      <c r="B4348" s="149" t="s">
        <v>9904</v>
      </c>
      <c r="C4348" s="150" t="s">
        <v>18</v>
      </c>
      <c r="D4348" s="150">
        <v>0</v>
      </c>
      <c r="E4348" s="151">
        <f ca="1">OFFSET(INDEX(Composições!A:H,MATCH(Orçamentária!A4348,Composições!A:A,0),8),2,0)</f>
        <v>238.60199999999998</v>
      </c>
      <c r="F4348" s="152">
        <f t="shared" ca="1" si="203"/>
        <v>0</v>
      </c>
      <c r="G4348" s="153">
        <f>IF($K4348="Padrão",BDI!$B$17,IF($K4348="Diferenciado",BDI!$E$17,0))</f>
        <v>0.2039</v>
      </c>
      <c r="H4348" s="151">
        <f t="shared" ca="1" si="201"/>
        <v>287.25</v>
      </c>
      <c r="I4348" s="152">
        <f t="shared" ca="1" si="202"/>
        <v>0</v>
      </c>
      <c r="J4348" s="154"/>
      <c r="K4348" s="155" t="s">
        <v>2966</v>
      </c>
    </row>
    <row r="4349" spans="1:11" hidden="1" x14ac:dyDescent="0.25">
      <c r="A4349" s="148" t="s">
        <v>2448</v>
      </c>
      <c r="B4349" s="149" t="s">
        <v>9905</v>
      </c>
      <c r="C4349" s="150" t="s">
        <v>18</v>
      </c>
      <c r="D4349" s="150">
        <v>0</v>
      </c>
      <c r="E4349" s="151">
        <f ca="1">OFFSET(INDEX(Composições!A:H,MATCH(Orçamentária!A4349,Composições!A:A,0),8),2,0)</f>
        <v>385.80449999999996</v>
      </c>
      <c r="F4349" s="152">
        <f t="shared" ca="1" si="203"/>
        <v>0</v>
      </c>
      <c r="G4349" s="153">
        <f>IF($K4349="Padrão",BDI!$B$17,IF($K4349="Diferenciado",BDI!$E$17,0))</f>
        <v>0.2039</v>
      </c>
      <c r="H4349" s="151">
        <f t="shared" ca="1" si="201"/>
        <v>464.47</v>
      </c>
      <c r="I4349" s="152">
        <f t="shared" ca="1" si="202"/>
        <v>0</v>
      </c>
      <c r="J4349" s="154"/>
      <c r="K4349" s="155" t="s">
        <v>2966</v>
      </c>
    </row>
    <row r="4350" spans="1:11" hidden="1" x14ac:dyDescent="0.25">
      <c r="A4350" s="148" t="s">
        <v>2449</v>
      </c>
      <c r="B4350" s="149" t="s">
        <v>9906</v>
      </c>
      <c r="C4350" s="150" t="s">
        <v>18</v>
      </c>
      <c r="D4350" s="150">
        <v>0</v>
      </c>
      <c r="E4350" s="151">
        <f ca="1">OFFSET(INDEX(Composições!A:H,MATCH(Orçamentária!A4350,Composições!A:A,0),8),2,0)</f>
        <v>53.541999999999994</v>
      </c>
      <c r="F4350" s="152">
        <f t="shared" ca="1" si="203"/>
        <v>0</v>
      </c>
      <c r="G4350" s="153">
        <f>IF($K4350="Padrão",BDI!$B$17,IF($K4350="Diferenciado",BDI!$E$17,0))</f>
        <v>0.2039</v>
      </c>
      <c r="H4350" s="151">
        <f t="shared" ca="1" si="201"/>
        <v>64.459999999999994</v>
      </c>
      <c r="I4350" s="152">
        <f t="shared" ca="1" si="202"/>
        <v>0</v>
      </c>
      <c r="J4350" s="154"/>
      <c r="K4350" s="155" t="s">
        <v>2966</v>
      </c>
    </row>
    <row r="4351" spans="1:11" hidden="1" x14ac:dyDescent="0.25">
      <c r="A4351" s="148" t="s">
        <v>2450</v>
      </c>
      <c r="B4351" s="149" t="s">
        <v>9907</v>
      </c>
      <c r="C4351" s="150" t="s">
        <v>18</v>
      </c>
      <c r="D4351" s="150">
        <v>0</v>
      </c>
      <c r="E4351" s="151">
        <f ca="1">OFFSET(INDEX(Composições!A:H,MATCH(Orçamentária!A4351,Composições!A:A,0),8),2,0)</f>
        <v>87.266999999999996</v>
      </c>
      <c r="F4351" s="152">
        <f t="shared" ca="1" si="203"/>
        <v>0</v>
      </c>
      <c r="G4351" s="153">
        <f>IF($K4351="Padrão",BDI!$B$17,IF($K4351="Diferenciado",BDI!$E$17,0))</f>
        <v>0.2039</v>
      </c>
      <c r="H4351" s="151">
        <f t="shared" ca="1" si="201"/>
        <v>105.06</v>
      </c>
      <c r="I4351" s="152">
        <f t="shared" ca="1" si="202"/>
        <v>0</v>
      </c>
      <c r="J4351" s="154"/>
      <c r="K4351" s="155" t="s">
        <v>2966</v>
      </c>
    </row>
    <row r="4352" spans="1:11" hidden="1" x14ac:dyDescent="0.25">
      <c r="A4352" s="148" t="s">
        <v>2451</v>
      </c>
      <c r="B4352" s="149" t="s">
        <v>9908</v>
      </c>
      <c r="C4352" s="150" t="s">
        <v>18</v>
      </c>
      <c r="D4352" s="150">
        <v>0</v>
      </c>
      <c r="E4352" s="151">
        <f ca="1">OFFSET(INDEX(Composições!A:H,MATCH(Orçamentária!A4352,Composições!A:A,0),8),2,0)</f>
        <v>488.96500000000003</v>
      </c>
      <c r="F4352" s="152">
        <f t="shared" ca="1" si="203"/>
        <v>0</v>
      </c>
      <c r="G4352" s="153">
        <f>IF($K4352="Padrão",BDI!$B$17,IF($K4352="Diferenciado",BDI!$E$17,0))</f>
        <v>0.2039</v>
      </c>
      <c r="H4352" s="151">
        <f t="shared" ca="1" si="201"/>
        <v>588.66</v>
      </c>
      <c r="I4352" s="152">
        <f t="shared" ca="1" si="202"/>
        <v>0</v>
      </c>
      <c r="J4352" s="154"/>
      <c r="K4352" s="155" t="s">
        <v>2966</v>
      </c>
    </row>
    <row r="4353" spans="1:11" hidden="1" x14ac:dyDescent="0.25">
      <c r="A4353" s="148" t="s">
        <v>2452</v>
      </c>
      <c r="B4353" s="149" t="s">
        <v>9909</v>
      </c>
      <c r="C4353" s="150" t="s">
        <v>18</v>
      </c>
      <c r="D4353" s="150">
        <v>0</v>
      </c>
      <c r="E4353" s="151">
        <f ca="1">OFFSET(INDEX(Composições!A:H,MATCH(Orçamentária!A4353,Composições!A:A,0),8),2,0)</f>
        <v>6.8685</v>
      </c>
      <c r="F4353" s="152">
        <f t="shared" ca="1" si="203"/>
        <v>0</v>
      </c>
      <c r="G4353" s="153">
        <f>IF($K4353="Padrão",BDI!$B$17,IF($K4353="Diferenciado",BDI!$E$17,0))</f>
        <v>0.2039</v>
      </c>
      <c r="H4353" s="151">
        <f t="shared" ca="1" si="201"/>
        <v>8.27</v>
      </c>
      <c r="I4353" s="152">
        <f t="shared" ca="1" si="202"/>
        <v>0</v>
      </c>
      <c r="J4353" s="154"/>
      <c r="K4353" s="155" t="s">
        <v>2966</v>
      </c>
    </row>
    <row r="4354" spans="1:11" hidden="1" x14ac:dyDescent="0.25">
      <c r="A4354" s="148" t="s">
        <v>2453</v>
      </c>
      <c r="B4354" s="149" t="s">
        <v>9910</v>
      </c>
      <c r="C4354" s="150" t="s">
        <v>18</v>
      </c>
      <c r="D4354" s="150">
        <v>0</v>
      </c>
      <c r="E4354" s="151">
        <f ca="1">OFFSET(INDEX(Composições!A:H,MATCH(Orçamentária!A4354,Composições!A:A,0),8),2,0)</f>
        <v>12.910499999999999</v>
      </c>
      <c r="F4354" s="152">
        <f t="shared" ca="1" si="203"/>
        <v>0</v>
      </c>
      <c r="G4354" s="153">
        <f>IF($K4354="Padrão",BDI!$B$17,IF($K4354="Diferenciado",BDI!$E$17,0))</f>
        <v>0.2039</v>
      </c>
      <c r="H4354" s="151">
        <f t="shared" ca="1" si="201"/>
        <v>15.54</v>
      </c>
      <c r="I4354" s="152">
        <f t="shared" ca="1" si="202"/>
        <v>0</v>
      </c>
      <c r="J4354" s="154"/>
      <c r="K4354" s="155" t="s">
        <v>2966</v>
      </c>
    </row>
    <row r="4355" spans="1:11" hidden="1" x14ac:dyDescent="0.25">
      <c r="A4355" s="148" t="s">
        <v>2454</v>
      </c>
      <c r="B4355" s="149" t="s">
        <v>9911</v>
      </c>
      <c r="C4355" s="150" t="s">
        <v>18</v>
      </c>
      <c r="D4355" s="150">
        <v>0</v>
      </c>
      <c r="E4355" s="151">
        <f ca="1">OFFSET(INDEX(Composições!A:H,MATCH(Orçamentária!A4355,Composições!A:A,0),8),2,0)</f>
        <v>14.344999999999999</v>
      </c>
      <c r="F4355" s="152">
        <f t="shared" ca="1" si="203"/>
        <v>0</v>
      </c>
      <c r="G4355" s="153">
        <f>IF($K4355="Padrão",BDI!$B$17,IF($K4355="Diferenciado",BDI!$E$17,0))</f>
        <v>0.2039</v>
      </c>
      <c r="H4355" s="151">
        <f t="shared" ca="1" si="201"/>
        <v>17.27</v>
      </c>
      <c r="I4355" s="152">
        <f t="shared" ca="1" si="202"/>
        <v>0</v>
      </c>
      <c r="J4355" s="154"/>
      <c r="K4355" s="155" t="s">
        <v>2966</v>
      </c>
    </row>
    <row r="4356" spans="1:11" hidden="1" x14ac:dyDescent="0.25">
      <c r="A4356" s="148" t="s">
        <v>2455</v>
      </c>
      <c r="B4356" s="149" t="s">
        <v>9912</v>
      </c>
      <c r="C4356" s="150" t="s">
        <v>18</v>
      </c>
      <c r="D4356" s="150">
        <v>0</v>
      </c>
      <c r="E4356" s="151">
        <f ca="1">OFFSET(INDEX(Composições!A:H,MATCH(Orçamentária!A4356,Composições!A:A,0),8),2,0)</f>
        <v>22.2395</v>
      </c>
      <c r="F4356" s="152">
        <f t="shared" ca="1" si="203"/>
        <v>0</v>
      </c>
      <c r="G4356" s="153">
        <f>IF($K4356="Padrão",BDI!$B$17,IF($K4356="Diferenciado",BDI!$E$17,0))</f>
        <v>0.2039</v>
      </c>
      <c r="H4356" s="151">
        <f t="shared" ca="1" si="201"/>
        <v>26.77</v>
      </c>
      <c r="I4356" s="152">
        <f t="shared" ca="1" si="202"/>
        <v>0</v>
      </c>
      <c r="J4356" s="154"/>
      <c r="K4356" s="155" t="s">
        <v>2966</v>
      </c>
    </row>
    <row r="4357" spans="1:11" hidden="1" x14ac:dyDescent="0.25">
      <c r="A4357" s="148" t="s">
        <v>2456</v>
      </c>
      <c r="B4357" s="149" t="s">
        <v>9913</v>
      </c>
      <c r="C4357" s="150" t="s">
        <v>18</v>
      </c>
      <c r="D4357" s="150">
        <v>0</v>
      </c>
      <c r="E4357" s="151">
        <f ca="1">OFFSET(INDEX(Composições!A:H,MATCH(Orçamentária!A4357,Composições!A:A,0),8),2,0)</f>
        <v>54.871999999999993</v>
      </c>
      <c r="F4357" s="152">
        <f t="shared" ca="1" si="203"/>
        <v>0</v>
      </c>
      <c r="G4357" s="153">
        <f>IF($K4357="Padrão",BDI!$B$17,IF($K4357="Diferenciado",BDI!$E$17,0))</f>
        <v>0.2039</v>
      </c>
      <c r="H4357" s="151">
        <f t="shared" ca="1" si="201"/>
        <v>66.06</v>
      </c>
      <c r="I4357" s="152">
        <f t="shared" ca="1" si="202"/>
        <v>0</v>
      </c>
      <c r="J4357" s="154"/>
      <c r="K4357" s="155" t="s">
        <v>2966</v>
      </c>
    </row>
    <row r="4358" spans="1:11" ht="25.5" hidden="1" x14ac:dyDescent="0.25">
      <c r="A4358" s="148" t="s">
        <v>2457</v>
      </c>
      <c r="B4358" s="149" t="s">
        <v>9914</v>
      </c>
      <c r="C4358" s="150" t="s">
        <v>18</v>
      </c>
      <c r="D4358" s="150">
        <v>0</v>
      </c>
      <c r="E4358" s="151">
        <f ca="1">OFFSET(INDEX(Composições!A:H,MATCH(Orçamentária!A4358,Composições!A:A,0),8),2,0)</f>
        <v>0</v>
      </c>
      <c r="F4358" s="152">
        <f t="shared" ca="1" si="203"/>
        <v>0</v>
      </c>
      <c r="G4358" s="153">
        <f>IF($K4358="Padrão",BDI!$B$17,IF($K4358="Diferenciado",BDI!$E$17,0))</f>
        <v>0.2039</v>
      </c>
      <c r="H4358" s="151">
        <f t="shared" ref="H4358:H4421" ca="1" si="204">IF(ISNUMBER(E4358),ROUND(E4358*(1+G4358),2),"")</f>
        <v>0</v>
      </c>
      <c r="I4358" s="152">
        <f t="shared" ref="I4358:I4421" ca="1" si="205">IF(ISNUMBER(E4358),ROUND(H4358*D4358,2),"")</f>
        <v>0</v>
      </c>
      <c r="J4358" s="154"/>
      <c r="K4358" s="155" t="s">
        <v>2966</v>
      </c>
    </row>
    <row r="4359" spans="1:11" ht="25.5" hidden="1" x14ac:dyDescent="0.25">
      <c r="A4359" s="148" t="s">
        <v>2459</v>
      </c>
      <c r="B4359" s="149" t="s">
        <v>9915</v>
      </c>
      <c r="C4359" s="150" t="s">
        <v>18</v>
      </c>
      <c r="D4359" s="150">
        <v>0</v>
      </c>
      <c r="E4359" s="151">
        <f ca="1">OFFSET(INDEX(Composições!A:H,MATCH(Orçamentária!A4359,Composições!A:A,0),8),2,0)</f>
        <v>0</v>
      </c>
      <c r="F4359" s="152">
        <f t="shared" ref="F4359:F4422" ca="1" si="206">IF(ISNUMBER(E4359),D4359*E4359,"")</f>
        <v>0</v>
      </c>
      <c r="G4359" s="153">
        <f>IF($K4359="Padrão",BDI!$B$17,IF($K4359="Diferenciado",BDI!$E$17,0))</f>
        <v>0.2039</v>
      </c>
      <c r="H4359" s="151">
        <f t="shared" ca="1" si="204"/>
        <v>0</v>
      </c>
      <c r="I4359" s="152">
        <f t="shared" ca="1" si="205"/>
        <v>0</v>
      </c>
      <c r="J4359" s="154"/>
      <c r="K4359" s="155" t="s">
        <v>2966</v>
      </c>
    </row>
    <row r="4360" spans="1:11" ht="25.5" hidden="1" x14ac:dyDescent="0.25">
      <c r="A4360" s="148" t="s">
        <v>2461</v>
      </c>
      <c r="B4360" s="149" t="s">
        <v>9916</v>
      </c>
      <c r="C4360" s="150" t="s">
        <v>18</v>
      </c>
      <c r="D4360" s="150">
        <v>0</v>
      </c>
      <c r="E4360" s="151">
        <f ca="1">OFFSET(INDEX(Composições!A:H,MATCH(Orçamentária!A4360,Composições!A:A,0),8),2,0)</f>
        <v>0</v>
      </c>
      <c r="F4360" s="152">
        <f t="shared" ca="1" si="206"/>
        <v>0</v>
      </c>
      <c r="G4360" s="153">
        <f>IF($K4360="Padrão",BDI!$B$17,IF($K4360="Diferenciado",BDI!$E$17,0))</f>
        <v>0.2039</v>
      </c>
      <c r="H4360" s="151">
        <f t="shared" ca="1" si="204"/>
        <v>0</v>
      </c>
      <c r="I4360" s="152">
        <f t="shared" ca="1" si="205"/>
        <v>0</v>
      </c>
      <c r="J4360" s="154"/>
      <c r="K4360" s="155" t="s">
        <v>2966</v>
      </c>
    </row>
    <row r="4361" spans="1:11" hidden="1" x14ac:dyDescent="0.25">
      <c r="A4361" s="148" t="s">
        <v>2463</v>
      </c>
      <c r="B4361" s="149" t="s">
        <v>9917</v>
      </c>
      <c r="C4361" s="150" t="s">
        <v>18</v>
      </c>
      <c r="D4361" s="150">
        <v>0</v>
      </c>
      <c r="E4361" s="151">
        <f ca="1">OFFSET(INDEX(Composições!A:H,MATCH(Orçamentária!A4361,Composições!A:A,0),8),2,0)</f>
        <v>9.5379999999999985</v>
      </c>
      <c r="F4361" s="152">
        <f t="shared" ca="1" si="206"/>
        <v>0</v>
      </c>
      <c r="G4361" s="153">
        <f>IF($K4361="Padrão",BDI!$B$17,IF($K4361="Diferenciado",BDI!$E$17,0))</f>
        <v>0.2039</v>
      </c>
      <c r="H4361" s="151">
        <f t="shared" ca="1" si="204"/>
        <v>11.48</v>
      </c>
      <c r="I4361" s="152">
        <f t="shared" ca="1" si="205"/>
        <v>0</v>
      </c>
      <c r="J4361" s="154"/>
      <c r="K4361" s="155" t="s">
        <v>2966</v>
      </c>
    </row>
    <row r="4362" spans="1:11" hidden="1" x14ac:dyDescent="0.25">
      <c r="A4362" s="148" t="s">
        <v>2464</v>
      </c>
      <c r="B4362" s="149" t="s">
        <v>9918</v>
      </c>
      <c r="C4362" s="150" t="s">
        <v>18</v>
      </c>
      <c r="D4362" s="150">
        <v>0</v>
      </c>
      <c r="E4362" s="151">
        <f ca="1">OFFSET(INDEX(Composições!A:H,MATCH(Orçamentária!A4362,Composições!A:A,0),8),2,0)</f>
        <v>51.109999999999992</v>
      </c>
      <c r="F4362" s="152">
        <f t="shared" ca="1" si="206"/>
        <v>0</v>
      </c>
      <c r="G4362" s="153">
        <f>IF($K4362="Padrão",BDI!$B$17,IF($K4362="Diferenciado",BDI!$E$17,0))</f>
        <v>0.2039</v>
      </c>
      <c r="H4362" s="151">
        <f t="shared" ca="1" si="204"/>
        <v>61.53</v>
      </c>
      <c r="I4362" s="152">
        <f t="shared" ca="1" si="205"/>
        <v>0</v>
      </c>
      <c r="J4362" s="154"/>
      <c r="K4362" s="155" t="s">
        <v>2966</v>
      </c>
    </row>
    <row r="4363" spans="1:11" hidden="1" x14ac:dyDescent="0.25">
      <c r="A4363" s="148" t="s">
        <v>2465</v>
      </c>
      <c r="B4363" s="149" t="s">
        <v>9919</v>
      </c>
      <c r="C4363" s="150" t="s">
        <v>18</v>
      </c>
      <c r="D4363" s="150">
        <v>0</v>
      </c>
      <c r="E4363" s="151">
        <f ca="1">OFFSET(INDEX(Composições!A:H,MATCH(Orçamentária!A4363,Composições!A:A,0),8),2,0)</f>
        <v>62.491</v>
      </c>
      <c r="F4363" s="152">
        <f t="shared" ca="1" si="206"/>
        <v>0</v>
      </c>
      <c r="G4363" s="153">
        <f>IF($K4363="Padrão",BDI!$B$17,IF($K4363="Diferenciado",BDI!$E$17,0))</f>
        <v>0.2039</v>
      </c>
      <c r="H4363" s="151">
        <f t="shared" ca="1" si="204"/>
        <v>75.23</v>
      </c>
      <c r="I4363" s="152">
        <f t="shared" ca="1" si="205"/>
        <v>0</v>
      </c>
      <c r="J4363" s="154"/>
      <c r="K4363" s="155" t="s">
        <v>2966</v>
      </c>
    </row>
    <row r="4364" spans="1:11" hidden="1" x14ac:dyDescent="0.25">
      <c r="A4364" s="148" t="s">
        <v>2466</v>
      </c>
      <c r="B4364" s="149" t="s">
        <v>9920</v>
      </c>
      <c r="C4364" s="150" t="s">
        <v>18</v>
      </c>
      <c r="D4364" s="150">
        <v>0</v>
      </c>
      <c r="E4364" s="151">
        <f ca="1">OFFSET(INDEX(Composições!A:H,MATCH(Orçamentária!A4364,Composições!A:A,0),8),2,0)</f>
        <v>31.159999999999997</v>
      </c>
      <c r="F4364" s="152">
        <f t="shared" ca="1" si="206"/>
        <v>0</v>
      </c>
      <c r="G4364" s="153">
        <f>IF($K4364="Padrão",BDI!$B$17,IF($K4364="Diferenciado",BDI!$E$17,0))</f>
        <v>0.2039</v>
      </c>
      <c r="H4364" s="151">
        <f t="shared" ca="1" si="204"/>
        <v>37.51</v>
      </c>
      <c r="I4364" s="152">
        <f t="shared" ca="1" si="205"/>
        <v>0</v>
      </c>
      <c r="J4364" s="154"/>
      <c r="K4364" s="155" t="s">
        <v>2966</v>
      </c>
    </row>
    <row r="4365" spans="1:11" hidden="1" x14ac:dyDescent="0.25">
      <c r="A4365" s="148" t="s">
        <v>2467</v>
      </c>
      <c r="B4365" s="149" t="s">
        <v>9921</v>
      </c>
      <c r="C4365" s="150" t="s">
        <v>18</v>
      </c>
      <c r="D4365" s="150">
        <v>0</v>
      </c>
      <c r="E4365" s="151">
        <f ca="1">OFFSET(INDEX(Composições!A:H,MATCH(Orçamentária!A4365,Composições!A:A,0),8),2,0)</f>
        <v>179.04649999999998</v>
      </c>
      <c r="F4365" s="152">
        <f t="shared" ca="1" si="206"/>
        <v>0</v>
      </c>
      <c r="G4365" s="153">
        <f>IF($K4365="Padrão",BDI!$B$17,IF($K4365="Diferenciado",BDI!$E$17,0))</f>
        <v>0.2039</v>
      </c>
      <c r="H4365" s="151">
        <f t="shared" ca="1" si="204"/>
        <v>215.55</v>
      </c>
      <c r="I4365" s="152">
        <f t="shared" ca="1" si="205"/>
        <v>0</v>
      </c>
      <c r="J4365" s="154"/>
      <c r="K4365" s="155" t="s">
        <v>2966</v>
      </c>
    </row>
    <row r="4366" spans="1:11" hidden="1" x14ac:dyDescent="0.25">
      <c r="A4366" s="148" t="s">
        <v>9922</v>
      </c>
      <c r="B4366" s="149" t="s">
        <v>9923</v>
      </c>
      <c r="C4366" s="150" t="s">
        <v>18</v>
      </c>
      <c r="D4366" s="150">
        <v>0</v>
      </c>
      <c r="E4366" s="151" t="s">
        <v>13</v>
      </c>
      <c r="F4366" s="152" t="str">
        <f t="shared" si="206"/>
        <v/>
      </c>
      <c r="G4366" s="153">
        <f>IF($K4366="Padrão",BDI!$B$17,IF($K4366="Diferenciado",BDI!$E$17,0))</f>
        <v>0.2039</v>
      </c>
      <c r="H4366" s="151" t="str">
        <f t="shared" si="204"/>
        <v/>
      </c>
      <c r="I4366" s="152" t="str">
        <f t="shared" si="205"/>
        <v/>
      </c>
      <c r="J4366" s="154"/>
      <c r="K4366" s="155" t="s">
        <v>2966</v>
      </c>
    </row>
    <row r="4367" spans="1:11" hidden="1" x14ac:dyDescent="0.25">
      <c r="A4367" s="148" t="s">
        <v>9924</v>
      </c>
      <c r="B4367" s="149" t="s">
        <v>9925</v>
      </c>
      <c r="C4367" s="150" t="s">
        <v>18</v>
      </c>
      <c r="D4367" s="150">
        <v>0</v>
      </c>
      <c r="E4367" s="151" t="s">
        <v>13</v>
      </c>
      <c r="F4367" s="152" t="str">
        <f t="shared" si="206"/>
        <v/>
      </c>
      <c r="G4367" s="153">
        <f>IF($K4367="Padrão",BDI!$B$17,IF($K4367="Diferenciado",BDI!$E$17,0))</f>
        <v>0.2039</v>
      </c>
      <c r="H4367" s="151" t="str">
        <f t="shared" si="204"/>
        <v/>
      </c>
      <c r="I4367" s="152" t="str">
        <f t="shared" si="205"/>
        <v/>
      </c>
      <c r="J4367" s="154"/>
      <c r="K4367" s="155" t="s">
        <v>2966</v>
      </c>
    </row>
    <row r="4368" spans="1:11" hidden="1" x14ac:dyDescent="0.25">
      <c r="A4368" s="148" t="s">
        <v>2468</v>
      </c>
      <c r="B4368" s="149" t="s">
        <v>9926</v>
      </c>
      <c r="C4368" s="150" t="s">
        <v>18</v>
      </c>
      <c r="D4368" s="150">
        <v>0</v>
      </c>
      <c r="E4368" s="151">
        <f ca="1">OFFSET(INDEX(Composições!A:H,MATCH(Orçamentária!A4368,Composições!A:A,0),8),2,0)</f>
        <v>116.42249999999999</v>
      </c>
      <c r="F4368" s="152">
        <f t="shared" ca="1" si="206"/>
        <v>0</v>
      </c>
      <c r="G4368" s="153">
        <f>IF($K4368="Padrão",BDI!$B$17,IF($K4368="Diferenciado",BDI!$E$17,0))</f>
        <v>0.2039</v>
      </c>
      <c r="H4368" s="151">
        <f t="shared" ca="1" si="204"/>
        <v>140.16</v>
      </c>
      <c r="I4368" s="152">
        <f t="shared" ca="1" si="205"/>
        <v>0</v>
      </c>
      <c r="J4368" s="154"/>
      <c r="K4368" s="155" t="s">
        <v>2966</v>
      </c>
    </row>
    <row r="4369" spans="1:11" hidden="1" x14ac:dyDescent="0.25">
      <c r="A4369" s="148" t="s">
        <v>2469</v>
      </c>
      <c r="B4369" s="149" t="s">
        <v>9927</v>
      </c>
      <c r="C4369" s="150" t="s">
        <v>18</v>
      </c>
      <c r="D4369" s="150">
        <v>0</v>
      </c>
      <c r="E4369" s="151">
        <f ca="1">OFFSET(INDEX(Composições!A:H,MATCH(Orçamentária!A4369,Composições!A:A,0),8),2,0)</f>
        <v>151.75300000000001</v>
      </c>
      <c r="F4369" s="152">
        <f t="shared" ca="1" si="206"/>
        <v>0</v>
      </c>
      <c r="G4369" s="153">
        <f>IF($K4369="Padrão",BDI!$B$17,IF($K4369="Diferenciado",BDI!$E$17,0))</f>
        <v>0.2039</v>
      </c>
      <c r="H4369" s="151">
        <f t="shared" ca="1" si="204"/>
        <v>182.7</v>
      </c>
      <c r="I4369" s="152">
        <f t="shared" ca="1" si="205"/>
        <v>0</v>
      </c>
      <c r="J4369" s="154"/>
      <c r="K4369" s="155" t="s">
        <v>2966</v>
      </c>
    </row>
    <row r="4370" spans="1:11" hidden="1" x14ac:dyDescent="0.25">
      <c r="A4370" s="148" t="s">
        <v>9928</v>
      </c>
      <c r="B4370" s="149" t="s">
        <v>9929</v>
      </c>
      <c r="C4370" s="150" t="s">
        <v>18</v>
      </c>
      <c r="D4370" s="150">
        <v>0</v>
      </c>
      <c r="E4370" s="151" t="s">
        <v>13</v>
      </c>
      <c r="F4370" s="152" t="str">
        <f t="shared" si="206"/>
        <v/>
      </c>
      <c r="G4370" s="153">
        <f>IF($K4370="Padrão",BDI!$B$17,IF($K4370="Diferenciado",BDI!$E$17,0))</f>
        <v>0.2039</v>
      </c>
      <c r="H4370" s="151" t="str">
        <f t="shared" si="204"/>
        <v/>
      </c>
      <c r="I4370" s="152" t="str">
        <f t="shared" si="205"/>
        <v/>
      </c>
      <c r="J4370" s="154"/>
      <c r="K4370" s="155" t="s">
        <v>2966</v>
      </c>
    </row>
    <row r="4371" spans="1:11" hidden="1" x14ac:dyDescent="0.25">
      <c r="A4371" s="148" t="s">
        <v>2471</v>
      </c>
      <c r="B4371" s="149" t="s">
        <v>9930</v>
      </c>
      <c r="C4371" s="150" t="s">
        <v>18</v>
      </c>
      <c r="D4371" s="150">
        <v>0</v>
      </c>
      <c r="E4371" s="151">
        <f ca="1">OFFSET(INDEX(Composições!A:H,MATCH(Orçamentária!A4371,Composições!A:A,0),8),2,0)</f>
        <v>0</v>
      </c>
      <c r="F4371" s="152">
        <f t="shared" ca="1" si="206"/>
        <v>0</v>
      </c>
      <c r="G4371" s="153">
        <f>IF($K4371="Padrão",BDI!$B$17,IF($K4371="Diferenciado",BDI!$E$17,0))</f>
        <v>0.2039</v>
      </c>
      <c r="H4371" s="151">
        <f t="shared" ca="1" si="204"/>
        <v>0</v>
      </c>
      <c r="I4371" s="152">
        <f t="shared" ca="1" si="205"/>
        <v>0</v>
      </c>
      <c r="J4371" s="154"/>
      <c r="K4371" s="155" t="s">
        <v>2966</v>
      </c>
    </row>
    <row r="4372" spans="1:11" hidden="1" x14ac:dyDescent="0.25">
      <c r="A4372" s="148" t="s">
        <v>2470</v>
      </c>
      <c r="B4372" s="149" t="s">
        <v>9931</v>
      </c>
      <c r="C4372" s="150" t="s">
        <v>18</v>
      </c>
      <c r="D4372" s="150">
        <v>0</v>
      </c>
      <c r="E4372" s="151">
        <f ca="1">OFFSET(INDEX(Composições!A:H,MATCH(Orçamentária!A4372,Composições!A:A,0),8),2,0)</f>
        <v>14.078999999999999</v>
      </c>
      <c r="F4372" s="152">
        <f t="shared" ca="1" si="206"/>
        <v>0</v>
      </c>
      <c r="G4372" s="153">
        <f>IF($K4372="Padrão",BDI!$B$17,IF($K4372="Diferenciado",BDI!$E$17,0))</f>
        <v>0.2039</v>
      </c>
      <c r="H4372" s="151">
        <f t="shared" ca="1" si="204"/>
        <v>16.95</v>
      </c>
      <c r="I4372" s="152">
        <f t="shared" ca="1" si="205"/>
        <v>0</v>
      </c>
      <c r="J4372" s="154"/>
      <c r="K4372" s="155" t="s">
        <v>2966</v>
      </c>
    </row>
    <row r="4373" spans="1:11" hidden="1" x14ac:dyDescent="0.25">
      <c r="A4373" s="148" t="s">
        <v>2473</v>
      </c>
      <c r="B4373" s="149" t="s">
        <v>9932</v>
      </c>
      <c r="C4373" s="150" t="s">
        <v>18</v>
      </c>
      <c r="D4373" s="150">
        <v>0</v>
      </c>
      <c r="E4373" s="151">
        <f ca="1">OFFSET(INDEX(Composições!A:H,MATCH(Orçamentária!A4373,Composições!A:A,0),8),2,0)</f>
        <v>18.962</v>
      </c>
      <c r="F4373" s="152">
        <f t="shared" ca="1" si="206"/>
        <v>0</v>
      </c>
      <c r="G4373" s="153">
        <f>IF($K4373="Padrão",BDI!$B$17,IF($K4373="Diferenciado",BDI!$E$17,0))</f>
        <v>0.2039</v>
      </c>
      <c r="H4373" s="151">
        <f t="shared" ca="1" si="204"/>
        <v>22.83</v>
      </c>
      <c r="I4373" s="152">
        <f t="shared" ca="1" si="205"/>
        <v>0</v>
      </c>
      <c r="J4373" s="154"/>
      <c r="K4373" s="155" t="s">
        <v>2966</v>
      </c>
    </row>
    <row r="4374" spans="1:11" ht="25.5" hidden="1" x14ac:dyDescent="0.25">
      <c r="A4374" s="148" t="s">
        <v>2474</v>
      </c>
      <c r="B4374" s="149" t="s">
        <v>2475</v>
      </c>
      <c r="C4374" s="150" t="s">
        <v>18</v>
      </c>
      <c r="D4374" s="150">
        <v>0</v>
      </c>
      <c r="E4374" s="151">
        <f ca="1">OFFSET(INDEX(Composições!A:H,MATCH(Orçamentária!A4374,Composições!A:A,0),8),2,0)</f>
        <v>0</v>
      </c>
      <c r="F4374" s="152">
        <f t="shared" ca="1" si="206"/>
        <v>0</v>
      </c>
      <c r="G4374" s="153">
        <f>IF($K4374="Padrão",BDI!$B$17,IF($K4374="Diferenciado",BDI!$E$17,0))</f>
        <v>0.2039</v>
      </c>
      <c r="H4374" s="151">
        <f t="shared" ca="1" si="204"/>
        <v>0</v>
      </c>
      <c r="I4374" s="152">
        <f t="shared" ca="1" si="205"/>
        <v>0</v>
      </c>
      <c r="J4374" s="154"/>
      <c r="K4374" s="155" t="s">
        <v>2966</v>
      </c>
    </row>
    <row r="4375" spans="1:11" ht="25.5" hidden="1" x14ac:dyDescent="0.25">
      <c r="A4375" s="148" t="s">
        <v>2476</v>
      </c>
      <c r="B4375" s="149" t="s">
        <v>2477</v>
      </c>
      <c r="C4375" s="150" t="s">
        <v>18</v>
      </c>
      <c r="D4375" s="150">
        <v>0</v>
      </c>
      <c r="E4375" s="151">
        <f ca="1">OFFSET(INDEX(Composições!A:H,MATCH(Orçamentária!A4375,Composições!A:A,0),8),2,0)</f>
        <v>0</v>
      </c>
      <c r="F4375" s="152">
        <f t="shared" ca="1" si="206"/>
        <v>0</v>
      </c>
      <c r="G4375" s="153">
        <f>IF($K4375="Padrão",BDI!$B$17,IF($K4375="Diferenciado",BDI!$E$17,0))</f>
        <v>0.2039</v>
      </c>
      <c r="H4375" s="151">
        <f t="shared" ca="1" si="204"/>
        <v>0</v>
      </c>
      <c r="I4375" s="152">
        <f t="shared" ca="1" si="205"/>
        <v>0</v>
      </c>
      <c r="J4375" s="154"/>
      <c r="K4375" s="155" t="s">
        <v>2966</v>
      </c>
    </row>
    <row r="4376" spans="1:11" hidden="1" x14ac:dyDescent="0.25">
      <c r="A4376" s="148" t="s">
        <v>2478</v>
      </c>
      <c r="B4376" s="149" t="s">
        <v>9933</v>
      </c>
      <c r="C4376" s="150" t="s">
        <v>18</v>
      </c>
      <c r="D4376" s="150">
        <v>0</v>
      </c>
      <c r="E4376" s="151">
        <f ca="1">OFFSET(INDEX(Composições!A:H,MATCH(Orçamentária!A4376,Composições!A:A,0),8),2,0)</f>
        <v>129.95049999999998</v>
      </c>
      <c r="F4376" s="152">
        <f t="shared" ca="1" si="206"/>
        <v>0</v>
      </c>
      <c r="G4376" s="153">
        <f>IF($K4376="Padrão",BDI!$B$17,IF($K4376="Diferenciado",BDI!$E$17,0))</f>
        <v>0.2039</v>
      </c>
      <c r="H4376" s="151">
        <f t="shared" ca="1" si="204"/>
        <v>156.44999999999999</v>
      </c>
      <c r="I4376" s="152">
        <f t="shared" ca="1" si="205"/>
        <v>0</v>
      </c>
      <c r="J4376" s="154"/>
      <c r="K4376" s="155" t="s">
        <v>2966</v>
      </c>
    </row>
    <row r="4377" spans="1:11" hidden="1" x14ac:dyDescent="0.25">
      <c r="A4377" s="148" t="s">
        <v>2479</v>
      </c>
      <c r="B4377" s="149" t="s">
        <v>2480</v>
      </c>
      <c r="C4377" s="150" t="s">
        <v>18</v>
      </c>
      <c r="D4377" s="150">
        <v>0</v>
      </c>
      <c r="E4377" s="151">
        <f ca="1">OFFSET(INDEX(Composições!A:H,MATCH(Orçamentária!A4377,Composições!A:A,0),8),2,0)</f>
        <v>0</v>
      </c>
      <c r="F4377" s="152">
        <f t="shared" ca="1" si="206"/>
        <v>0</v>
      </c>
      <c r="G4377" s="153">
        <f>IF($K4377="Padrão",BDI!$B$17,IF($K4377="Diferenciado",BDI!$E$17,0))</f>
        <v>0.2039</v>
      </c>
      <c r="H4377" s="151">
        <f t="shared" ca="1" si="204"/>
        <v>0</v>
      </c>
      <c r="I4377" s="152">
        <f t="shared" ca="1" si="205"/>
        <v>0</v>
      </c>
      <c r="J4377" s="154"/>
      <c r="K4377" s="155" t="s">
        <v>2966</v>
      </c>
    </row>
    <row r="4378" spans="1:11" hidden="1" x14ac:dyDescent="0.25">
      <c r="A4378" s="148" t="s">
        <v>2481</v>
      </c>
      <c r="B4378" s="149" t="s">
        <v>9934</v>
      </c>
      <c r="C4378" s="150" t="s">
        <v>18</v>
      </c>
      <c r="D4378" s="150">
        <v>0</v>
      </c>
      <c r="E4378" s="151">
        <f ca="1">OFFSET(INDEX(Composições!A:H,MATCH(Orçamentária!A4378,Composições!A:A,0),8),2,0)</f>
        <v>71.572999999999993</v>
      </c>
      <c r="F4378" s="152">
        <f t="shared" ca="1" si="206"/>
        <v>0</v>
      </c>
      <c r="G4378" s="153">
        <f>IF($K4378="Padrão",BDI!$B$17,IF($K4378="Diferenciado",BDI!$E$17,0))</f>
        <v>0.2039</v>
      </c>
      <c r="H4378" s="151">
        <f t="shared" ca="1" si="204"/>
        <v>86.17</v>
      </c>
      <c r="I4378" s="152">
        <f t="shared" ca="1" si="205"/>
        <v>0</v>
      </c>
      <c r="J4378" s="154"/>
      <c r="K4378" s="155" t="s">
        <v>2966</v>
      </c>
    </row>
    <row r="4379" spans="1:11" hidden="1" x14ac:dyDescent="0.25">
      <c r="A4379" s="148" t="s">
        <v>2482</v>
      </c>
      <c r="B4379" s="149" t="s">
        <v>9935</v>
      </c>
      <c r="C4379" s="150" t="s">
        <v>18</v>
      </c>
      <c r="D4379" s="150">
        <v>0</v>
      </c>
      <c r="E4379" s="151">
        <f ca="1">OFFSET(INDEX(Composições!A:H,MATCH(Orçamentária!A4379,Composições!A:A,0),8),2,0)</f>
        <v>19.323</v>
      </c>
      <c r="F4379" s="152">
        <f t="shared" ca="1" si="206"/>
        <v>0</v>
      </c>
      <c r="G4379" s="153">
        <f>IF($K4379="Padrão",BDI!$B$17,IF($K4379="Diferenciado",BDI!$E$17,0))</f>
        <v>0.2039</v>
      </c>
      <c r="H4379" s="151">
        <f t="shared" ca="1" si="204"/>
        <v>23.26</v>
      </c>
      <c r="I4379" s="152">
        <f t="shared" ca="1" si="205"/>
        <v>0</v>
      </c>
      <c r="J4379" s="154"/>
      <c r="K4379" s="155" t="s">
        <v>2966</v>
      </c>
    </row>
    <row r="4380" spans="1:11" hidden="1" x14ac:dyDescent="0.25">
      <c r="A4380" s="148" t="s">
        <v>2483</v>
      </c>
      <c r="B4380" s="149" t="s">
        <v>9936</v>
      </c>
      <c r="C4380" s="150" t="s">
        <v>18</v>
      </c>
      <c r="D4380" s="150">
        <v>0</v>
      </c>
      <c r="E4380" s="151">
        <f ca="1">OFFSET(INDEX(Composições!A:H,MATCH(Orçamentária!A4380,Composições!A:A,0),8),2,0)</f>
        <v>5.1869999999999994</v>
      </c>
      <c r="F4380" s="152">
        <f t="shared" ca="1" si="206"/>
        <v>0</v>
      </c>
      <c r="G4380" s="153">
        <f>IF($K4380="Padrão",BDI!$B$17,IF($K4380="Diferenciado",BDI!$E$17,0))</f>
        <v>0.2039</v>
      </c>
      <c r="H4380" s="151">
        <f t="shared" ca="1" si="204"/>
        <v>6.24</v>
      </c>
      <c r="I4380" s="152">
        <f t="shared" ca="1" si="205"/>
        <v>0</v>
      </c>
      <c r="J4380" s="154"/>
      <c r="K4380" s="155" t="s">
        <v>2966</v>
      </c>
    </row>
    <row r="4381" spans="1:11" hidden="1" x14ac:dyDescent="0.25">
      <c r="A4381" s="148" t="s">
        <v>2484</v>
      </c>
      <c r="B4381" s="149" t="s">
        <v>9937</v>
      </c>
      <c r="C4381" s="150" t="s">
        <v>18</v>
      </c>
      <c r="D4381" s="150">
        <v>0</v>
      </c>
      <c r="E4381" s="151">
        <f ca="1">OFFSET(INDEX(Composições!A:H,MATCH(Orçamentária!A4381,Composições!A:A,0),8),2,0)</f>
        <v>11.875</v>
      </c>
      <c r="F4381" s="152">
        <f t="shared" ca="1" si="206"/>
        <v>0</v>
      </c>
      <c r="G4381" s="153">
        <f>IF($K4381="Padrão",BDI!$B$17,IF($K4381="Diferenciado",BDI!$E$17,0))</f>
        <v>0.2039</v>
      </c>
      <c r="H4381" s="151">
        <f t="shared" ca="1" si="204"/>
        <v>14.3</v>
      </c>
      <c r="I4381" s="152">
        <f t="shared" ca="1" si="205"/>
        <v>0</v>
      </c>
      <c r="J4381" s="154"/>
      <c r="K4381" s="155" t="s">
        <v>2966</v>
      </c>
    </row>
    <row r="4382" spans="1:11" hidden="1" x14ac:dyDescent="0.25">
      <c r="A4382" s="148" t="s">
        <v>2485</v>
      </c>
      <c r="B4382" s="149" t="s">
        <v>9938</v>
      </c>
      <c r="C4382" s="150" t="s">
        <v>18</v>
      </c>
      <c r="D4382" s="150">
        <v>0</v>
      </c>
      <c r="E4382" s="151">
        <f ca="1">OFFSET(INDEX(Composições!A:H,MATCH(Orçamentária!A4382,Composições!A:A,0),8),2,0)</f>
        <v>24.775999999999996</v>
      </c>
      <c r="F4382" s="152">
        <f t="shared" ca="1" si="206"/>
        <v>0</v>
      </c>
      <c r="G4382" s="153">
        <f>IF($K4382="Padrão",BDI!$B$17,IF($K4382="Diferenciado",BDI!$E$17,0))</f>
        <v>0.2039</v>
      </c>
      <c r="H4382" s="151">
        <f t="shared" ca="1" si="204"/>
        <v>29.83</v>
      </c>
      <c r="I4382" s="152">
        <f t="shared" ca="1" si="205"/>
        <v>0</v>
      </c>
      <c r="J4382" s="154"/>
      <c r="K4382" s="155" t="s">
        <v>2966</v>
      </c>
    </row>
    <row r="4383" spans="1:11" hidden="1" x14ac:dyDescent="0.25">
      <c r="A4383" s="148" t="s">
        <v>2486</v>
      </c>
      <c r="B4383" s="149" t="s">
        <v>9939</v>
      </c>
      <c r="C4383" s="150" t="s">
        <v>18</v>
      </c>
      <c r="D4383" s="150">
        <v>0</v>
      </c>
      <c r="E4383" s="151">
        <f ca="1">OFFSET(INDEX(Composições!A:H,MATCH(Orçamentária!A4383,Composições!A:A,0),8),2,0)</f>
        <v>24.0825</v>
      </c>
      <c r="F4383" s="152">
        <f t="shared" ca="1" si="206"/>
        <v>0</v>
      </c>
      <c r="G4383" s="153">
        <f>IF($K4383="Padrão",BDI!$B$17,IF($K4383="Diferenciado",BDI!$E$17,0))</f>
        <v>0.2039</v>
      </c>
      <c r="H4383" s="151">
        <f t="shared" ca="1" si="204"/>
        <v>28.99</v>
      </c>
      <c r="I4383" s="152">
        <f t="shared" ca="1" si="205"/>
        <v>0</v>
      </c>
      <c r="J4383" s="154"/>
      <c r="K4383" s="155" t="s">
        <v>2966</v>
      </c>
    </row>
    <row r="4384" spans="1:11" hidden="1" x14ac:dyDescent="0.25">
      <c r="A4384" s="148" t="s">
        <v>2487</v>
      </c>
      <c r="B4384" s="149" t="s">
        <v>2488</v>
      </c>
      <c r="C4384" s="150" t="s">
        <v>18</v>
      </c>
      <c r="D4384" s="150">
        <v>0</v>
      </c>
      <c r="E4384" s="151">
        <f ca="1">OFFSET(INDEX(Composições!A:H,MATCH(Orçamentária!A4384,Composições!A:A,0),8),2,0)</f>
        <v>39.939518100000001</v>
      </c>
      <c r="F4384" s="152">
        <f t="shared" ca="1" si="206"/>
        <v>0</v>
      </c>
      <c r="G4384" s="153">
        <f>IF($K4384="Padrão",BDI!$B$17,IF($K4384="Diferenciado",BDI!$E$17,0))</f>
        <v>0.2039</v>
      </c>
      <c r="H4384" s="151">
        <f t="shared" ca="1" si="204"/>
        <v>48.08</v>
      </c>
      <c r="I4384" s="152">
        <f t="shared" ca="1" si="205"/>
        <v>0</v>
      </c>
      <c r="J4384" s="154"/>
      <c r="K4384" s="155" t="s">
        <v>2966</v>
      </c>
    </row>
    <row r="4385" spans="1:11" hidden="1" x14ac:dyDescent="0.25">
      <c r="A4385" s="148" t="s">
        <v>2489</v>
      </c>
      <c r="B4385" s="149" t="s">
        <v>9940</v>
      </c>
      <c r="C4385" s="150" t="s">
        <v>18</v>
      </c>
      <c r="D4385" s="150">
        <v>0</v>
      </c>
      <c r="E4385" s="151">
        <f ca="1">OFFSET(INDEX(Composições!A:H,MATCH(Orçamentária!A4385,Composições!A:A,0),8),2,0)</f>
        <v>9.2624999999999993</v>
      </c>
      <c r="F4385" s="152">
        <f t="shared" ca="1" si="206"/>
        <v>0</v>
      </c>
      <c r="G4385" s="153">
        <f>IF($K4385="Padrão",BDI!$B$17,IF($K4385="Diferenciado",BDI!$E$17,0))</f>
        <v>0.2039</v>
      </c>
      <c r="H4385" s="151">
        <f t="shared" ca="1" si="204"/>
        <v>11.15</v>
      </c>
      <c r="I4385" s="152">
        <f t="shared" ca="1" si="205"/>
        <v>0</v>
      </c>
      <c r="J4385" s="154"/>
      <c r="K4385" s="155" t="s">
        <v>2966</v>
      </c>
    </row>
    <row r="4386" spans="1:11" hidden="1" x14ac:dyDescent="0.25">
      <c r="A4386" s="148" t="s">
        <v>9941</v>
      </c>
      <c r="B4386" s="149" t="s">
        <v>9942</v>
      </c>
      <c r="C4386" s="150" t="s">
        <v>18</v>
      </c>
      <c r="D4386" s="150">
        <v>0</v>
      </c>
      <c r="E4386" s="151" t="s">
        <v>13</v>
      </c>
      <c r="F4386" s="152" t="str">
        <f t="shared" si="206"/>
        <v/>
      </c>
      <c r="G4386" s="153">
        <f>IF($K4386="Padrão",BDI!$B$17,IF($K4386="Diferenciado",BDI!$E$17,0))</f>
        <v>0.2039</v>
      </c>
      <c r="H4386" s="151" t="str">
        <f t="shared" si="204"/>
        <v/>
      </c>
      <c r="I4386" s="152" t="str">
        <f t="shared" si="205"/>
        <v/>
      </c>
      <c r="J4386" s="154"/>
      <c r="K4386" s="155" t="s">
        <v>2966</v>
      </c>
    </row>
    <row r="4387" spans="1:11" hidden="1" x14ac:dyDescent="0.25">
      <c r="A4387" s="148" t="s">
        <v>9943</v>
      </c>
      <c r="B4387" s="149" t="s">
        <v>9944</v>
      </c>
      <c r="C4387" s="150" t="s">
        <v>18</v>
      </c>
      <c r="D4387" s="150">
        <v>0</v>
      </c>
      <c r="E4387" s="151" t="s">
        <v>13</v>
      </c>
      <c r="F4387" s="152" t="str">
        <f t="shared" si="206"/>
        <v/>
      </c>
      <c r="G4387" s="153">
        <f>IF($K4387="Padrão",BDI!$B$17,IF($K4387="Diferenciado",BDI!$E$17,0))</f>
        <v>0.2039</v>
      </c>
      <c r="H4387" s="151" t="str">
        <f t="shared" si="204"/>
        <v/>
      </c>
      <c r="I4387" s="152" t="str">
        <f t="shared" si="205"/>
        <v/>
      </c>
      <c r="J4387" s="154"/>
      <c r="K4387" s="155" t="s">
        <v>2966</v>
      </c>
    </row>
    <row r="4388" spans="1:11" hidden="1" x14ac:dyDescent="0.25">
      <c r="A4388" s="148" t="s">
        <v>2490</v>
      </c>
      <c r="B4388" s="149" t="s">
        <v>2491</v>
      </c>
      <c r="C4388" s="150" t="s">
        <v>18</v>
      </c>
      <c r="D4388" s="150">
        <v>0</v>
      </c>
      <c r="E4388" s="151">
        <f ca="1">OFFSET(INDEX(Composições!A:H,MATCH(Orçamentária!A4388,Composições!A:A,0),8),2,0)</f>
        <v>0</v>
      </c>
      <c r="F4388" s="152">
        <f t="shared" ca="1" si="206"/>
        <v>0</v>
      </c>
      <c r="G4388" s="153">
        <f>IF($K4388="Padrão",BDI!$B$17,IF($K4388="Diferenciado",BDI!$E$17,0))</f>
        <v>0.2039</v>
      </c>
      <c r="H4388" s="151">
        <f t="shared" ca="1" si="204"/>
        <v>0</v>
      </c>
      <c r="I4388" s="152">
        <f t="shared" ca="1" si="205"/>
        <v>0</v>
      </c>
      <c r="J4388" s="154"/>
      <c r="K4388" s="155" t="s">
        <v>2966</v>
      </c>
    </row>
    <row r="4389" spans="1:11" ht="25.5" hidden="1" x14ac:dyDescent="0.25">
      <c r="A4389" s="148" t="s">
        <v>9945</v>
      </c>
      <c r="B4389" s="149" t="s">
        <v>9946</v>
      </c>
      <c r="C4389" s="150" t="s">
        <v>18</v>
      </c>
      <c r="D4389" s="150">
        <v>0</v>
      </c>
      <c r="E4389" s="151" t="s">
        <v>13</v>
      </c>
      <c r="F4389" s="152" t="str">
        <f t="shared" si="206"/>
        <v/>
      </c>
      <c r="G4389" s="153">
        <f>IF($K4389="Padrão",BDI!$B$17,IF($K4389="Diferenciado",BDI!$E$17,0))</f>
        <v>0.2039</v>
      </c>
      <c r="H4389" s="151" t="str">
        <f t="shared" si="204"/>
        <v/>
      </c>
      <c r="I4389" s="152" t="str">
        <f t="shared" si="205"/>
        <v/>
      </c>
      <c r="J4389" s="154"/>
      <c r="K4389" s="155" t="s">
        <v>2966</v>
      </c>
    </row>
    <row r="4390" spans="1:11" hidden="1" x14ac:dyDescent="0.25">
      <c r="A4390" s="148" t="s">
        <v>2492</v>
      </c>
      <c r="B4390" s="149" t="s">
        <v>9947</v>
      </c>
      <c r="C4390" s="150" t="s">
        <v>18</v>
      </c>
      <c r="D4390" s="150">
        <v>0</v>
      </c>
      <c r="E4390" s="151">
        <f ca="1">OFFSET(INDEX(Composições!A:H,MATCH(Orçamentária!A4390,Composições!A:A,0),8),2,0)</f>
        <v>156.33199999999999</v>
      </c>
      <c r="F4390" s="152">
        <f t="shared" ca="1" si="206"/>
        <v>0</v>
      </c>
      <c r="G4390" s="153">
        <f>IF($K4390="Padrão",BDI!$B$17,IF($K4390="Diferenciado",BDI!$E$17,0))</f>
        <v>0.2039</v>
      </c>
      <c r="H4390" s="151">
        <f t="shared" ca="1" si="204"/>
        <v>188.21</v>
      </c>
      <c r="I4390" s="152">
        <f t="shared" ca="1" si="205"/>
        <v>0</v>
      </c>
      <c r="J4390" s="154"/>
      <c r="K4390" s="155" t="s">
        <v>2966</v>
      </c>
    </row>
    <row r="4391" spans="1:11" hidden="1" x14ac:dyDescent="0.25">
      <c r="A4391" s="148" t="s">
        <v>2493</v>
      </c>
      <c r="B4391" s="149" t="s">
        <v>9948</v>
      </c>
      <c r="C4391" s="150" t="s">
        <v>18</v>
      </c>
      <c r="D4391" s="150">
        <v>0</v>
      </c>
      <c r="E4391" s="151">
        <f ca="1">OFFSET(INDEX(Composições!A:H,MATCH(Orçamentária!A4391,Composições!A:A,0),8),2,0)</f>
        <v>146.49950000000001</v>
      </c>
      <c r="F4391" s="152">
        <f t="shared" ca="1" si="206"/>
        <v>0</v>
      </c>
      <c r="G4391" s="153">
        <f>IF($K4391="Padrão",BDI!$B$17,IF($K4391="Diferenciado",BDI!$E$17,0))</f>
        <v>0.2039</v>
      </c>
      <c r="H4391" s="151">
        <f t="shared" ca="1" si="204"/>
        <v>176.37</v>
      </c>
      <c r="I4391" s="152">
        <f t="shared" ca="1" si="205"/>
        <v>0</v>
      </c>
      <c r="J4391" s="154"/>
      <c r="K4391" s="155" t="s">
        <v>2966</v>
      </c>
    </row>
    <row r="4392" spans="1:11" hidden="1" x14ac:dyDescent="0.25">
      <c r="A4392" s="148" t="s">
        <v>2494</v>
      </c>
      <c r="B4392" s="149" t="s">
        <v>9949</v>
      </c>
      <c r="C4392" s="150" t="s">
        <v>18</v>
      </c>
      <c r="D4392" s="150">
        <v>0</v>
      </c>
      <c r="E4392" s="151">
        <f ca="1">OFFSET(INDEX(Composições!A:H,MATCH(Orçamentária!A4392,Composições!A:A,0),8),2,0)</f>
        <v>423.17749999999995</v>
      </c>
      <c r="F4392" s="152">
        <f t="shared" ca="1" si="206"/>
        <v>0</v>
      </c>
      <c r="G4392" s="153">
        <f>IF($K4392="Padrão",BDI!$B$17,IF($K4392="Diferenciado",BDI!$E$17,0))</f>
        <v>0.2039</v>
      </c>
      <c r="H4392" s="151">
        <f t="shared" ca="1" si="204"/>
        <v>509.46</v>
      </c>
      <c r="I4392" s="152">
        <f t="shared" ca="1" si="205"/>
        <v>0</v>
      </c>
      <c r="J4392" s="154"/>
      <c r="K4392" s="155" t="s">
        <v>2966</v>
      </c>
    </row>
    <row r="4393" spans="1:11" hidden="1" x14ac:dyDescent="0.25">
      <c r="A4393" s="148" t="s">
        <v>2495</v>
      </c>
      <c r="B4393" s="149" t="s">
        <v>9950</v>
      </c>
      <c r="C4393" s="150" t="s">
        <v>18</v>
      </c>
      <c r="D4393" s="150">
        <v>0</v>
      </c>
      <c r="E4393" s="151">
        <f ca="1">OFFSET(INDEX(Composições!A:H,MATCH(Orçamentária!A4393,Composições!A:A,0),8),2,0)</f>
        <v>83.457499999999996</v>
      </c>
      <c r="F4393" s="152">
        <f t="shared" ca="1" si="206"/>
        <v>0</v>
      </c>
      <c r="G4393" s="153">
        <f>IF($K4393="Padrão",BDI!$B$17,IF($K4393="Diferenciado",BDI!$E$17,0))</f>
        <v>0.2039</v>
      </c>
      <c r="H4393" s="151">
        <f t="shared" ca="1" si="204"/>
        <v>100.47</v>
      </c>
      <c r="I4393" s="152">
        <f t="shared" ca="1" si="205"/>
        <v>0</v>
      </c>
      <c r="J4393" s="154"/>
      <c r="K4393" s="155" t="s">
        <v>2966</v>
      </c>
    </row>
    <row r="4394" spans="1:11" hidden="1" x14ac:dyDescent="0.25">
      <c r="A4394" s="148" t="s">
        <v>2496</v>
      </c>
      <c r="B4394" s="149" t="s">
        <v>9951</v>
      </c>
      <c r="C4394" s="150" t="s">
        <v>18</v>
      </c>
      <c r="D4394" s="150">
        <v>0</v>
      </c>
      <c r="E4394" s="151">
        <f ca="1">OFFSET(INDEX(Composições!A:H,MATCH(Orçamentária!A4394,Composições!A:A,0),8),2,0)</f>
        <v>580.12699999999995</v>
      </c>
      <c r="F4394" s="152">
        <f t="shared" ca="1" si="206"/>
        <v>0</v>
      </c>
      <c r="G4394" s="153">
        <f>IF($K4394="Padrão",BDI!$B$17,IF($K4394="Diferenciado",BDI!$E$17,0))</f>
        <v>0.2039</v>
      </c>
      <c r="H4394" s="151">
        <f t="shared" ca="1" si="204"/>
        <v>698.41</v>
      </c>
      <c r="I4394" s="152">
        <f t="shared" ca="1" si="205"/>
        <v>0</v>
      </c>
      <c r="J4394" s="154"/>
      <c r="K4394" s="155" t="s">
        <v>2966</v>
      </c>
    </row>
    <row r="4395" spans="1:11" hidden="1" x14ac:dyDescent="0.25">
      <c r="A4395" s="148" t="s">
        <v>2497</v>
      </c>
      <c r="B4395" s="149" t="s">
        <v>9952</v>
      </c>
      <c r="C4395" s="150" t="s">
        <v>18</v>
      </c>
      <c r="D4395" s="150">
        <v>0</v>
      </c>
      <c r="E4395" s="151">
        <f ca="1">OFFSET(INDEX(Composições!A:H,MATCH(Orçamentária!A4395,Composições!A:A,0),8),2,0)</f>
        <v>303.31599999999997</v>
      </c>
      <c r="F4395" s="152">
        <f t="shared" ca="1" si="206"/>
        <v>0</v>
      </c>
      <c r="G4395" s="153">
        <f>IF($K4395="Padrão",BDI!$B$17,IF($K4395="Diferenciado",BDI!$E$17,0))</f>
        <v>0.2039</v>
      </c>
      <c r="H4395" s="151">
        <f t="shared" ca="1" si="204"/>
        <v>365.16</v>
      </c>
      <c r="I4395" s="152">
        <f t="shared" ca="1" si="205"/>
        <v>0</v>
      </c>
      <c r="J4395" s="154"/>
      <c r="K4395" s="155" t="s">
        <v>2966</v>
      </c>
    </row>
    <row r="4396" spans="1:11" hidden="1" x14ac:dyDescent="0.25">
      <c r="A4396" s="148" t="s">
        <v>2498</v>
      </c>
      <c r="B4396" s="149" t="s">
        <v>9953</v>
      </c>
      <c r="C4396" s="150" t="s">
        <v>18</v>
      </c>
      <c r="D4396" s="150">
        <v>0</v>
      </c>
      <c r="E4396" s="151">
        <f ca="1">OFFSET(INDEX(Composições!A:H,MATCH(Orçamentária!A4396,Composições!A:A,0),8),2,0)</f>
        <v>271.41499999999996</v>
      </c>
      <c r="F4396" s="152">
        <f t="shared" ca="1" si="206"/>
        <v>0</v>
      </c>
      <c r="G4396" s="153">
        <f>IF($K4396="Padrão",BDI!$B$17,IF($K4396="Diferenciado",BDI!$E$17,0))</f>
        <v>0.2039</v>
      </c>
      <c r="H4396" s="151">
        <f t="shared" ca="1" si="204"/>
        <v>326.76</v>
      </c>
      <c r="I4396" s="152">
        <f t="shared" ca="1" si="205"/>
        <v>0</v>
      </c>
      <c r="J4396" s="154"/>
      <c r="K4396" s="155" t="s">
        <v>2966</v>
      </c>
    </row>
    <row r="4397" spans="1:11" hidden="1" x14ac:dyDescent="0.25">
      <c r="A4397" s="148" t="s">
        <v>2499</v>
      </c>
      <c r="B4397" s="149" t="s">
        <v>9954</v>
      </c>
      <c r="C4397" s="150" t="s">
        <v>18</v>
      </c>
      <c r="D4397" s="150">
        <v>0</v>
      </c>
      <c r="E4397" s="151">
        <f ca="1">OFFSET(INDEX(Composições!A:H,MATCH(Orçamentária!A4397,Composições!A:A,0),8),2,0)</f>
        <v>110.06699999999999</v>
      </c>
      <c r="F4397" s="152">
        <f t="shared" ca="1" si="206"/>
        <v>0</v>
      </c>
      <c r="G4397" s="153">
        <f>IF($K4397="Padrão",BDI!$B$17,IF($K4397="Diferenciado",BDI!$E$17,0))</f>
        <v>0.2039</v>
      </c>
      <c r="H4397" s="151">
        <f t="shared" ca="1" si="204"/>
        <v>132.51</v>
      </c>
      <c r="I4397" s="152">
        <f t="shared" ca="1" si="205"/>
        <v>0</v>
      </c>
      <c r="J4397" s="154"/>
      <c r="K4397" s="155" t="s">
        <v>2966</v>
      </c>
    </row>
    <row r="4398" spans="1:11" hidden="1" x14ac:dyDescent="0.25">
      <c r="A4398" s="148" t="s">
        <v>2500</v>
      </c>
      <c r="B4398" s="149" t="s">
        <v>9955</v>
      </c>
      <c r="C4398" s="150" t="s">
        <v>18</v>
      </c>
      <c r="D4398" s="150">
        <v>0</v>
      </c>
      <c r="E4398" s="151">
        <f ca="1">OFFSET(INDEX(Composições!A:H,MATCH(Orçamentária!A4398,Composições!A:A,0),8),2,0)</f>
        <v>181.298</v>
      </c>
      <c r="F4398" s="152">
        <f t="shared" ca="1" si="206"/>
        <v>0</v>
      </c>
      <c r="G4398" s="153">
        <f>IF($K4398="Padrão",BDI!$B$17,IF($K4398="Diferenciado",BDI!$E$17,0))</f>
        <v>0.2039</v>
      </c>
      <c r="H4398" s="151">
        <f t="shared" ca="1" si="204"/>
        <v>218.26</v>
      </c>
      <c r="I4398" s="152">
        <f t="shared" ca="1" si="205"/>
        <v>0</v>
      </c>
      <c r="J4398" s="154"/>
      <c r="K4398" s="155" t="s">
        <v>2966</v>
      </c>
    </row>
    <row r="4399" spans="1:11" hidden="1" x14ac:dyDescent="0.25">
      <c r="A4399" s="148" t="s">
        <v>2501</v>
      </c>
      <c r="B4399" s="149" t="s">
        <v>9956</v>
      </c>
      <c r="C4399" s="150" t="s">
        <v>18</v>
      </c>
      <c r="D4399" s="150">
        <v>0</v>
      </c>
      <c r="E4399" s="151">
        <f ca="1">OFFSET(INDEX(Composições!A:H,MATCH(Orçamentária!A4399,Composições!A:A,0),8),2,0)</f>
        <v>607.69599999999991</v>
      </c>
      <c r="F4399" s="152">
        <f t="shared" ca="1" si="206"/>
        <v>0</v>
      </c>
      <c r="G4399" s="153">
        <f>IF($K4399="Padrão",BDI!$B$17,IF($K4399="Diferenciado",BDI!$E$17,0))</f>
        <v>0.2039</v>
      </c>
      <c r="H4399" s="151">
        <f t="shared" ca="1" si="204"/>
        <v>731.61</v>
      </c>
      <c r="I4399" s="152">
        <f t="shared" ca="1" si="205"/>
        <v>0</v>
      </c>
      <c r="J4399" s="154"/>
      <c r="K4399" s="155" t="s">
        <v>2966</v>
      </c>
    </row>
    <row r="4400" spans="1:11" hidden="1" x14ac:dyDescent="0.25">
      <c r="A4400" s="148" t="s">
        <v>2502</v>
      </c>
      <c r="B4400" s="149" t="s">
        <v>9957</v>
      </c>
      <c r="C4400" s="150" t="s">
        <v>18</v>
      </c>
      <c r="D4400" s="150">
        <v>0</v>
      </c>
      <c r="E4400" s="151">
        <f ca="1">OFFSET(INDEX(Composições!A:H,MATCH(Orçamentária!A4400,Composições!A:A,0),8),2,0)</f>
        <v>839.36299999999994</v>
      </c>
      <c r="F4400" s="152">
        <f t="shared" ca="1" si="206"/>
        <v>0</v>
      </c>
      <c r="G4400" s="153">
        <f>IF($K4400="Padrão",BDI!$B$17,IF($K4400="Diferenciado",BDI!$E$17,0))</f>
        <v>0.2039</v>
      </c>
      <c r="H4400" s="151">
        <f t="shared" ca="1" si="204"/>
        <v>1010.51</v>
      </c>
      <c r="I4400" s="152">
        <f t="shared" ca="1" si="205"/>
        <v>0</v>
      </c>
      <c r="J4400" s="154"/>
      <c r="K4400" s="155" t="s">
        <v>2966</v>
      </c>
    </row>
    <row r="4401" spans="1:11" hidden="1" x14ac:dyDescent="0.25">
      <c r="A4401" s="148" t="s">
        <v>2503</v>
      </c>
      <c r="B4401" s="149" t="s">
        <v>9958</v>
      </c>
      <c r="C4401" s="150" t="s">
        <v>18</v>
      </c>
      <c r="D4401" s="150">
        <v>0</v>
      </c>
      <c r="E4401" s="151">
        <f ca="1">OFFSET(INDEX(Composições!A:H,MATCH(Orçamentária!A4401,Composições!A:A,0),8),2,0)</f>
        <v>1301.8514999999998</v>
      </c>
      <c r="F4401" s="152">
        <f t="shared" ca="1" si="206"/>
        <v>0</v>
      </c>
      <c r="G4401" s="153">
        <f>IF($K4401="Padrão",BDI!$B$17,IF($K4401="Diferenciado",BDI!$E$17,0))</f>
        <v>0.2039</v>
      </c>
      <c r="H4401" s="151">
        <f t="shared" ca="1" si="204"/>
        <v>1567.3</v>
      </c>
      <c r="I4401" s="152">
        <f t="shared" ca="1" si="205"/>
        <v>0</v>
      </c>
      <c r="J4401" s="154"/>
      <c r="K4401" s="155" t="s">
        <v>2966</v>
      </c>
    </row>
    <row r="4402" spans="1:11" hidden="1" x14ac:dyDescent="0.25">
      <c r="A4402" s="148" t="s">
        <v>2504</v>
      </c>
      <c r="B4402" s="149" t="s">
        <v>9959</v>
      </c>
      <c r="C4402" s="150" t="s">
        <v>18</v>
      </c>
      <c r="D4402" s="150">
        <v>0</v>
      </c>
      <c r="E4402" s="151">
        <f ca="1">OFFSET(INDEX(Composições!A:H,MATCH(Orçamentária!A4402,Composições!A:A,0),8),2,0)</f>
        <v>161.48099999999999</v>
      </c>
      <c r="F4402" s="152">
        <f t="shared" ca="1" si="206"/>
        <v>0</v>
      </c>
      <c r="G4402" s="153">
        <f>IF($K4402="Padrão",BDI!$B$17,IF($K4402="Diferenciado",BDI!$E$17,0))</f>
        <v>0.2039</v>
      </c>
      <c r="H4402" s="151">
        <f t="shared" ca="1" si="204"/>
        <v>194.41</v>
      </c>
      <c r="I4402" s="152">
        <f t="shared" ca="1" si="205"/>
        <v>0</v>
      </c>
      <c r="J4402" s="154"/>
      <c r="K4402" s="155" t="s">
        <v>2966</v>
      </c>
    </row>
    <row r="4403" spans="1:11" hidden="1" x14ac:dyDescent="0.25">
      <c r="A4403" s="148" t="s">
        <v>2505</v>
      </c>
      <c r="B4403" s="149" t="s">
        <v>9960</v>
      </c>
      <c r="C4403" s="150" t="s">
        <v>18</v>
      </c>
      <c r="D4403" s="150">
        <v>0</v>
      </c>
      <c r="E4403" s="151">
        <f ca="1">OFFSET(INDEX(Composições!A:H,MATCH(Orçamentária!A4403,Composições!A:A,0),8),2,0)</f>
        <v>140.16299999999998</v>
      </c>
      <c r="F4403" s="152">
        <f t="shared" ca="1" si="206"/>
        <v>0</v>
      </c>
      <c r="G4403" s="153">
        <f>IF($K4403="Padrão",BDI!$B$17,IF($K4403="Diferenciado",BDI!$E$17,0))</f>
        <v>0.2039</v>
      </c>
      <c r="H4403" s="151">
        <f t="shared" ca="1" si="204"/>
        <v>168.74</v>
      </c>
      <c r="I4403" s="152">
        <f t="shared" ca="1" si="205"/>
        <v>0</v>
      </c>
      <c r="J4403" s="154"/>
      <c r="K4403" s="155" t="s">
        <v>2966</v>
      </c>
    </row>
    <row r="4404" spans="1:11" hidden="1" x14ac:dyDescent="0.25">
      <c r="A4404" s="148" t="s">
        <v>2506</v>
      </c>
      <c r="B4404" s="149" t="s">
        <v>9961</v>
      </c>
      <c r="C4404" s="150" t="s">
        <v>18</v>
      </c>
      <c r="D4404" s="150">
        <v>0</v>
      </c>
      <c r="E4404" s="151">
        <f ca="1">OFFSET(INDEX(Composições!A:H,MATCH(Orçamentária!A4404,Composições!A:A,0),8),2,0)</f>
        <v>80.132499999999993</v>
      </c>
      <c r="F4404" s="152">
        <f t="shared" ca="1" si="206"/>
        <v>0</v>
      </c>
      <c r="G4404" s="153">
        <f>IF($K4404="Padrão",BDI!$B$17,IF($K4404="Diferenciado",BDI!$E$17,0))</f>
        <v>0.2039</v>
      </c>
      <c r="H4404" s="151">
        <f t="shared" ca="1" si="204"/>
        <v>96.47</v>
      </c>
      <c r="I4404" s="152">
        <f t="shared" ca="1" si="205"/>
        <v>0</v>
      </c>
      <c r="J4404" s="154"/>
      <c r="K4404" s="155" t="s">
        <v>2966</v>
      </c>
    </row>
    <row r="4405" spans="1:11" hidden="1" x14ac:dyDescent="0.25">
      <c r="A4405" s="148" t="s">
        <v>2507</v>
      </c>
      <c r="B4405" s="149" t="s">
        <v>9962</v>
      </c>
      <c r="C4405" s="150" t="s">
        <v>18</v>
      </c>
      <c r="D4405" s="150">
        <v>0</v>
      </c>
      <c r="E4405" s="151">
        <f ca="1">OFFSET(INDEX(Composições!A:H,MATCH(Orçamentária!A4405,Composições!A:A,0),8),2,0)</f>
        <v>93.43249999999999</v>
      </c>
      <c r="F4405" s="152">
        <f t="shared" ca="1" si="206"/>
        <v>0</v>
      </c>
      <c r="G4405" s="153">
        <f>IF($K4405="Padrão",BDI!$B$17,IF($K4405="Diferenciado",BDI!$E$17,0))</f>
        <v>0.2039</v>
      </c>
      <c r="H4405" s="151">
        <f t="shared" ca="1" si="204"/>
        <v>112.48</v>
      </c>
      <c r="I4405" s="152">
        <f t="shared" ca="1" si="205"/>
        <v>0</v>
      </c>
      <c r="J4405" s="154"/>
      <c r="K4405" s="155" t="s">
        <v>2966</v>
      </c>
    </row>
    <row r="4406" spans="1:11" hidden="1" x14ac:dyDescent="0.25">
      <c r="A4406" s="148" t="s">
        <v>2508</v>
      </c>
      <c r="B4406" s="149" t="s">
        <v>9963</v>
      </c>
      <c r="C4406" s="150" t="s">
        <v>18</v>
      </c>
      <c r="D4406" s="150">
        <v>0</v>
      </c>
      <c r="E4406" s="151">
        <f ca="1">OFFSET(INDEX(Composições!A:H,MATCH(Orçamentária!A4406,Composições!A:A,0),8),2,0)</f>
        <v>85.509500000000003</v>
      </c>
      <c r="F4406" s="152">
        <f t="shared" ca="1" si="206"/>
        <v>0</v>
      </c>
      <c r="G4406" s="153">
        <f>IF($K4406="Padrão",BDI!$B$17,IF($K4406="Diferenciado",BDI!$E$17,0))</f>
        <v>0.2039</v>
      </c>
      <c r="H4406" s="151">
        <f t="shared" ca="1" si="204"/>
        <v>102.94</v>
      </c>
      <c r="I4406" s="152">
        <f t="shared" ca="1" si="205"/>
        <v>0</v>
      </c>
      <c r="J4406" s="154"/>
      <c r="K4406" s="155" t="s">
        <v>2966</v>
      </c>
    </row>
    <row r="4407" spans="1:11" ht="25.5" hidden="1" x14ac:dyDescent="0.25">
      <c r="A4407" s="148" t="s">
        <v>9964</v>
      </c>
      <c r="B4407" s="149" t="s">
        <v>9965</v>
      </c>
      <c r="C4407" s="150" t="s">
        <v>18</v>
      </c>
      <c r="D4407" s="150">
        <v>0</v>
      </c>
      <c r="E4407" s="151" t="s">
        <v>13</v>
      </c>
      <c r="F4407" s="152" t="str">
        <f t="shared" si="206"/>
        <v/>
      </c>
      <c r="G4407" s="153">
        <f>IF($K4407="Padrão",BDI!$B$17,IF($K4407="Diferenciado",BDI!$E$17,0))</f>
        <v>0.2039</v>
      </c>
      <c r="H4407" s="151" t="str">
        <f t="shared" si="204"/>
        <v/>
      </c>
      <c r="I4407" s="152" t="str">
        <f t="shared" si="205"/>
        <v/>
      </c>
      <c r="J4407" s="154"/>
      <c r="K4407" s="155" t="s">
        <v>2966</v>
      </c>
    </row>
    <row r="4408" spans="1:11" ht="25.5" hidden="1" x14ac:dyDescent="0.25">
      <c r="A4408" s="148" t="s">
        <v>9966</v>
      </c>
      <c r="B4408" s="149" t="s">
        <v>9967</v>
      </c>
      <c r="C4408" s="150" t="s">
        <v>18</v>
      </c>
      <c r="D4408" s="150">
        <v>0</v>
      </c>
      <c r="E4408" s="151" t="s">
        <v>13</v>
      </c>
      <c r="F4408" s="152" t="str">
        <f t="shared" si="206"/>
        <v/>
      </c>
      <c r="G4408" s="153">
        <f>IF($K4408="Padrão",BDI!$B$17,IF($K4408="Diferenciado",BDI!$E$17,0))</f>
        <v>0.2039</v>
      </c>
      <c r="H4408" s="151" t="str">
        <f t="shared" si="204"/>
        <v/>
      </c>
      <c r="I4408" s="152" t="str">
        <f t="shared" si="205"/>
        <v/>
      </c>
      <c r="J4408" s="154"/>
      <c r="K4408" s="155" t="s">
        <v>2966</v>
      </c>
    </row>
    <row r="4409" spans="1:11" ht="25.5" hidden="1" x14ac:dyDescent="0.25">
      <c r="A4409" s="148" t="s">
        <v>9968</v>
      </c>
      <c r="B4409" s="149" t="s">
        <v>9969</v>
      </c>
      <c r="C4409" s="150" t="s">
        <v>18</v>
      </c>
      <c r="D4409" s="150">
        <v>0</v>
      </c>
      <c r="E4409" s="151" t="s">
        <v>13</v>
      </c>
      <c r="F4409" s="152" t="str">
        <f t="shared" si="206"/>
        <v/>
      </c>
      <c r="G4409" s="153">
        <f>IF($K4409="Padrão",BDI!$B$17,IF($K4409="Diferenciado",BDI!$E$17,0))</f>
        <v>0.2039</v>
      </c>
      <c r="H4409" s="151" t="str">
        <f t="shared" si="204"/>
        <v/>
      </c>
      <c r="I4409" s="152" t="str">
        <f t="shared" si="205"/>
        <v/>
      </c>
      <c r="J4409" s="154"/>
      <c r="K4409" s="155" t="s">
        <v>2966</v>
      </c>
    </row>
    <row r="4410" spans="1:11" ht="25.5" hidden="1" x14ac:dyDescent="0.25">
      <c r="A4410" s="148" t="s">
        <v>9970</v>
      </c>
      <c r="B4410" s="149" t="s">
        <v>9971</v>
      </c>
      <c r="C4410" s="150" t="s">
        <v>18</v>
      </c>
      <c r="D4410" s="150">
        <v>0</v>
      </c>
      <c r="E4410" s="151" t="s">
        <v>13</v>
      </c>
      <c r="F4410" s="152" t="str">
        <f t="shared" si="206"/>
        <v/>
      </c>
      <c r="G4410" s="153">
        <f>IF($K4410="Padrão",BDI!$B$17,IF($K4410="Diferenciado",BDI!$E$17,0))</f>
        <v>0.2039</v>
      </c>
      <c r="H4410" s="151" t="str">
        <f t="shared" si="204"/>
        <v/>
      </c>
      <c r="I4410" s="152" t="str">
        <f t="shared" si="205"/>
        <v/>
      </c>
      <c r="J4410" s="154"/>
      <c r="K4410" s="155" t="s">
        <v>2966</v>
      </c>
    </row>
    <row r="4411" spans="1:11" ht="25.5" hidden="1" x14ac:dyDescent="0.25">
      <c r="A4411" s="148" t="s">
        <v>9972</v>
      </c>
      <c r="B4411" s="149" t="s">
        <v>9973</v>
      </c>
      <c r="C4411" s="150" t="s">
        <v>18</v>
      </c>
      <c r="D4411" s="150">
        <v>0</v>
      </c>
      <c r="E4411" s="151" t="s">
        <v>13</v>
      </c>
      <c r="F4411" s="152" t="str">
        <f t="shared" si="206"/>
        <v/>
      </c>
      <c r="G4411" s="153">
        <f>IF($K4411="Padrão",BDI!$B$17,IF($K4411="Diferenciado",BDI!$E$17,0))</f>
        <v>0.2039</v>
      </c>
      <c r="H4411" s="151" t="str">
        <f t="shared" si="204"/>
        <v/>
      </c>
      <c r="I4411" s="152" t="str">
        <f t="shared" si="205"/>
        <v/>
      </c>
      <c r="J4411" s="154"/>
      <c r="K4411" s="155" t="s">
        <v>2966</v>
      </c>
    </row>
    <row r="4412" spans="1:11" ht="25.5" hidden="1" x14ac:dyDescent="0.25">
      <c r="A4412" s="148" t="s">
        <v>9974</v>
      </c>
      <c r="B4412" s="149" t="s">
        <v>9975</v>
      </c>
      <c r="C4412" s="150" t="s">
        <v>18</v>
      </c>
      <c r="D4412" s="150">
        <v>0</v>
      </c>
      <c r="E4412" s="151" t="s">
        <v>13</v>
      </c>
      <c r="F4412" s="152" t="str">
        <f t="shared" si="206"/>
        <v/>
      </c>
      <c r="G4412" s="153">
        <f>IF($K4412="Padrão",BDI!$B$17,IF($K4412="Diferenciado",BDI!$E$17,0))</f>
        <v>0.2039</v>
      </c>
      <c r="H4412" s="151" t="str">
        <f t="shared" si="204"/>
        <v/>
      </c>
      <c r="I4412" s="152" t="str">
        <f t="shared" si="205"/>
        <v/>
      </c>
      <c r="J4412" s="154"/>
      <c r="K4412" s="155" t="s">
        <v>2966</v>
      </c>
    </row>
    <row r="4413" spans="1:11" ht="25.5" hidden="1" x14ac:dyDescent="0.25">
      <c r="A4413" s="148" t="s">
        <v>9976</v>
      </c>
      <c r="B4413" s="149" t="s">
        <v>9977</v>
      </c>
      <c r="C4413" s="150" t="s">
        <v>18</v>
      </c>
      <c r="D4413" s="150">
        <v>0</v>
      </c>
      <c r="E4413" s="151" t="s">
        <v>13</v>
      </c>
      <c r="F4413" s="152" t="str">
        <f t="shared" si="206"/>
        <v/>
      </c>
      <c r="G4413" s="153">
        <f>IF($K4413="Padrão",BDI!$B$17,IF($K4413="Diferenciado",BDI!$E$17,0))</f>
        <v>0.2039</v>
      </c>
      <c r="H4413" s="151" t="str">
        <f t="shared" si="204"/>
        <v/>
      </c>
      <c r="I4413" s="152" t="str">
        <f t="shared" si="205"/>
        <v/>
      </c>
      <c r="J4413" s="154"/>
      <c r="K4413" s="155" t="s">
        <v>2966</v>
      </c>
    </row>
    <row r="4414" spans="1:11" ht="25.5" hidden="1" x14ac:dyDescent="0.25">
      <c r="A4414" s="148" t="s">
        <v>9978</v>
      </c>
      <c r="B4414" s="149" t="s">
        <v>9979</v>
      </c>
      <c r="C4414" s="150" t="s">
        <v>18</v>
      </c>
      <c r="D4414" s="150">
        <v>0</v>
      </c>
      <c r="E4414" s="151" t="s">
        <v>13</v>
      </c>
      <c r="F4414" s="152" t="str">
        <f t="shared" si="206"/>
        <v/>
      </c>
      <c r="G4414" s="153">
        <f>IF($K4414="Padrão",BDI!$B$17,IF($K4414="Diferenciado",BDI!$E$17,0))</f>
        <v>0.2039</v>
      </c>
      <c r="H4414" s="151" t="str">
        <f t="shared" si="204"/>
        <v/>
      </c>
      <c r="I4414" s="152" t="str">
        <f t="shared" si="205"/>
        <v/>
      </c>
      <c r="J4414" s="154"/>
      <c r="K4414" s="155" t="s">
        <v>2966</v>
      </c>
    </row>
    <row r="4415" spans="1:11" ht="25.5" hidden="1" x14ac:dyDescent="0.25">
      <c r="A4415" s="148" t="s">
        <v>9980</v>
      </c>
      <c r="B4415" s="149" t="s">
        <v>9981</v>
      </c>
      <c r="C4415" s="150" t="s">
        <v>18</v>
      </c>
      <c r="D4415" s="150">
        <v>0</v>
      </c>
      <c r="E4415" s="151" t="s">
        <v>13</v>
      </c>
      <c r="F4415" s="152" t="str">
        <f t="shared" si="206"/>
        <v/>
      </c>
      <c r="G4415" s="153">
        <f>IF($K4415="Padrão",BDI!$B$17,IF($K4415="Diferenciado",BDI!$E$17,0))</f>
        <v>0.2039</v>
      </c>
      <c r="H4415" s="151" t="str">
        <f t="shared" si="204"/>
        <v/>
      </c>
      <c r="I4415" s="152" t="str">
        <f t="shared" si="205"/>
        <v/>
      </c>
      <c r="J4415" s="154"/>
      <c r="K4415" s="155" t="s">
        <v>2966</v>
      </c>
    </row>
    <row r="4416" spans="1:11" ht="25.5" hidden="1" x14ac:dyDescent="0.25">
      <c r="A4416" s="148" t="s">
        <v>9982</v>
      </c>
      <c r="B4416" s="149" t="s">
        <v>9983</v>
      </c>
      <c r="C4416" s="150" t="s">
        <v>18</v>
      </c>
      <c r="D4416" s="150">
        <v>0</v>
      </c>
      <c r="E4416" s="151" t="s">
        <v>13</v>
      </c>
      <c r="F4416" s="152" t="str">
        <f t="shared" si="206"/>
        <v/>
      </c>
      <c r="G4416" s="153">
        <f>IF($K4416="Padrão",BDI!$B$17,IF($K4416="Diferenciado",BDI!$E$17,0))</f>
        <v>0.2039</v>
      </c>
      <c r="H4416" s="151" t="str">
        <f t="shared" si="204"/>
        <v/>
      </c>
      <c r="I4416" s="152" t="str">
        <f t="shared" si="205"/>
        <v/>
      </c>
      <c r="J4416" s="154"/>
      <c r="K4416" s="155" t="s">
        <v>2966</v>
      </c>
    </row>
    <row r="4417" spans="1:11" ht="25.5" hidden="1" x14ac:dyDescent="0.25">
      <c r="A4417" s="148" t="s">
        <v>9984</v>
      </c>
      <c r="B4417" s="149" t="s">
        <v>9985</v>
      </c>
      <c r="C4417" s="150" t="s">
        <v>18</v>
      </c>
      <c r="D4417" s="150">
        <v>0</v>
      </c>
      <c r="E4417" s="151" t="s">
        <v>13</v>
      </c>
      <c r="F4417" s="152" t="str">
        <f t="shared" si="206"/>
        <v/>
      </c>
      <c r="G4417" s="153">
        <f>IF($K4417="Padrão",BDI!$B$17,IF($K4417="Diferenciado",BDI!$E$17,0))</f>
        <v>0.2039</v>
      </c>
      <c r="H4417" s="151" t="str">
        <f t="shared" si="204"/>
        <v/>
      </c>
      <c r="I4417" s="152" t="str">
        <f t="shared" si="205"/>
        <v/>
      </c>
      <c r="J4417" s="154"/>
      <c r="K4417" s="155" t="s">
        <v>2966</v>
      </c>
    </row>
    <row r="4418" spans="1:11" hidden="1" x14ac:dyDescent="0.25">
      <c r="A4418" s="148" t="s">
        <v>2509</v>
      </c>
      <c r="B4418" s="149" t="s">
        <v>9986</v>
      </c>
      <c r="C4418" s="150" t="s">
        <v>18</v>
      </c>
      <c r="D4418" s="150">
        <v>0</v>
      </c>
      <c r="E4418" s="151">
        <f ca="1">OFFSET(INDEX(Composições!A:H,MATCH(Orçamentária!A4418,Composições!A:A,0),8),2,0)</f>
        <v>6.4504999999999999</v>
      </c>
      <c r="F4418" s="152">
        <f t="shared" ca="1" si="206"/>
        <v>0</v>
      </c>
      <c r="G4418" s="153">
        <f>IF($K4418="Padrão",BDI!$B$17,IF($K4418="Diferenciado",BDI!$E$17,0))</f>
        <v>0.2039</v>
      </c>
      <c r="H4418" s="151">
        <f t="shared" ca="1" si="204"/>
        <v>7.77</v>
      </c>
      <c r="I4418" s="152">
        <f t="shared" ca="1" si="205"/>
        <v>0</v>
      </c>
      <c r="J4418" s="154"/>
      <c r="K4418" s="155" t="s">
        <v>2966</v>
      </c>
    </row>
    <row r="4419" spans="1:11" hidden="1" x14ac:dyDescent="0.25">
      <c r="A4419" s="148" t="s">
        <v>2510</v>
      </c>
      <c r="B4419" s="149" t="s">
        <v>9987</v>
      </c>
      <c r="C4419" s="150" t="s">
        <v>18</v>
      </c>
      <c r="D4419" s="150">
        <v>0</v>
      </c>
      <c r="E4419" s="151">
        <f ca="1">OFFSET(INDEX(Composições!A:H,MATCH(Orçamentária!A4419,Composições!A:A,0),8),2,0)</f>
        <v>18.391999999999999</v>
      </c>
      <c r="F4419" s="152">
        <f t="shared" ca="1" si="206"/>
        <v>0</v>
      </c>
      <c r="G4419" s="153">
        <f>IF($K4419="Padrão",BDI!$B$17,IF($K4419="Diferenciado",BDI!$E$17,0))</f>
        <v>0.2039</v>
      </c>
      <c r="H4419" s="151">
        <f t="shared" ca="1" si="204"/>
        <v>22.14</v>
      </c>
      <c r="I4419" s="152">
        <f t="shared" ca="1" si="205"/>
        <v>0</v>
      </c>
      <c r="J4419" s="154"/>
      <c r="K4419" s="155" t="s">
        <v>2966</v>
      </c>
    </row>
    <row r="4420" spans="1:11" hidden="1" x14ac:dyDescent="0.25">
      <c r="A4420" s="148" t="s">
        <v>2511</v>
      </c>
      <c r="B4420" s="149" t="s">
        <v>9988</v>
      </c>
      <c r="C4420" s="150" t="s">
        <v>18</v>
      </c>
      <c r="D4420" s="150">
        <v>0</v>
      </c>
      <c r="E4420" s="151">
        <f ca="1">OFFSET(INDEX(Composições!A:H,MATCH(Orçamentária!A4420,Composições!A:A,0),8),2,0)</f>
        <v>13.413999999999998</v>
      </c>
      <c r="F4420" s="152">
        <f t="shared" ca="1" si="206"/>
        <v>0</v>
      </c>
      <c r="G4420" s="153">
        <f>IF($K4420="Padrão",BDI!$B$17,IF($K4420="Diferenciado",BDI!$E$17,0))</f>
        <v>0.2039</v>
      </c>
      <c r="H4420" s="151">
        <f t="shared" ca="1" si="204"/>
        <v>16.149999999999999</v>
      </c>
      <c r="I4420" s="152">
        <f t="shared" ca="1" si="205"/>
        <v>0</v>
      </c>
      <c r="J4420" s="154"/>
      <c r="K4420" s="155" t="s">
        <v>2966</v>
      </c>
    </row>
    <row r="4421" spans="1:11" hidden="1" x14ac:dyDescent="0.25">
      <c r="A4421" s="148" t="s">
        <v>2512</v>
      </c>
      <c r="B4421" s="149" t="s">
        <v>9989</v>
      </c>
      <c r="C4421" s="150" t="s">
        <v>18</v>
      </c>
      <c r="D4421" s="150">
        <v>0</v>
      </c>
      <c r="E4421" s="151">
        <f ca="1">OFFSET(INDEX(Composições!A:H,MATCH(Orçamentária!A4421,Composições!A:A,0),8),2,0)</f>
        <v>14.9245</v>
      </c>
      <c r="F4421" s="152">
        <f t="shared" ca="1" si="206"/>
        <v>0</v>
      </c>
      <c r="G4421" s="153">
        <f>IF($K4421="Padrão",BDI!$B$17,IF($K4421="Diferenciado",BDI!$E$17,0))</f>
        <v>0.2039</v>
      </c>
      <c r="H4421" s="151">
        <f t="shared" ca="1" si="204"/>
        <v>17.97</v>
      </c>
      <c r="I4421" s="152">
        <f t="shared" ca="1" si="205"/>
        <v>0</v>
      </c>
      <c r="J4421" s="154"/>
      <c r="K4421" s="155" t="s">
        <v>2966</v>
      </c>
    </row>
    <row r="4422" spans="1:11" hidden="1" x14ac:dyDescent="0.25">
      <c r="A4422" s="148" t="s">
        <v>2513</v>
      </c>
      <c r="B4422" s="149" t="s">
        <v>9990</v>
      </c>
      <c r="C4422" s="150" t="s">
        <v>18</v>
      </c>
      <c r="D4422" s="150">
        <v>0</v>
      </c>
      <c r="E4422" s="151">
        <f ca="1">OFFSET(INDEX(Composições!A:H,MATCH(Orçamentária!A4422,Composições!A:A,0),8),2,0)</f>
        <v>24.966000000000001</v>
      </c>
      <c r="F4422" s="152">
        <f t="shared" ca="1" si="206"/>
        <v>0</v>
      </c>
      <c r="G4422" s="153">
        <f>IF($K4422="Padrão",BDI!$B$17,IF($K4422="Diferenciado",BDI!$E$17,0))</f>
        <v>0.2039</v>
      </c>
      <c r="H4422" s="151">
        <f t="shared" ref="H4422:H4485" ca="1" si="207">IF(ISNUMBER(E4422),ROUND(E4422*(1+G4422),2),"")</f>
        <v>30.06</v>
      </c>
      <c r="I4422" s="152">
        <f t="shared" ref="I4422:I4485" ca="1" si="208">IF(ISNUMBER(E4422),ROUND(H4422*D4422,2),"")</f>
        <v>0</v>
      </c>
      <c r="J4422" s="154"/>
      <c r="K4422" s="155" t="s">
        <v>2966</v>
      </c>
    </row>
    <row r="4423" spans="1:11" hidden="1" x14ac:dyDescent="0.25">
      <c r="A4423" s="148" t="s">
        <v>2514</v>
      </c>
      <c r="B4423" s="149" t="s">
        <v>9991</v>
      </c>
      <c r="C4423" s="150" t="s">
        <v>18</v>
      </c>
      <c r="D4423" s="150">
        <v>0</v>
      </c>
      <c r="E4423" s="151">
        <f ca="1">OFFSET(INDEX(Composições!A:H,MATCH(Orçamentária!A4423,Composições!A:A,0),8),2,0)</f>
        <v>40.735999999999997</v>
      </c>
      <c r="F4423" s="152">
        <f t="shared" ref="F4423:F4486" ca="1" si="209">IF(ISNUMBER(E4423),D4423*E4423,"")</f>
        <v>0</v>
      </c>
      <c r="G4423" s="153">
        <f>IF($K4423="Padrão",BDI!$B$17,IF($K4423="Diferenciado",BDI!$E$17,0))</f>
        <v>0.2039</v>
      </c>
      <c r="H4423" s="151">
        <f t="shared" ca="1" si="207"/>
        <v>49.04</v>
      </c>
      <c r="I4423" s="152">
        <f t="shared" ca="1" si="208"/>
        <v>0</v>
      </c>
      <c r="J4423" s="154"/>
      <c r="K4423" s="155" t="s">
        <v>2966</v>
      </c>
    </row>
    <row r="4424" spans="1:11" hidden="1" x14ac:dyDescent="0.25">
      <c r="A4424" s="148" t="s">
        <v>2515</v>
      </c>
      <c r="B4424" s="149" t="s">
        <v>9992</v>
      </c>
      <c r="C4424" s="150" t="s">
        <v>18</v>
      </c>
      <c r="D4424" s="150">
        <v>0</v>
      </c>
      <c r="E4424" s="151">
        <f ca="1">OFFSET(INDEX(Composições!A:H,MATCH(Orçamentária!A4424,Composições!A:A,0),8),2,0)</f>
        <v>54.396999999999998</v>
      </c>
      <c r="F4424" s="152">
        <f t="shared" ca="1" si="209"/>
        <v>0</v>
      </c>
      <c r="G4424" s="153">
        <f>IF($K4424="Padrão",BDI!$B$17,IF($K4424="Diferenciado",BDI!$E$17,0))</f>
        <v>0.2039</v>
      </c>
      <c r="H4424" s="151">
        <f t="shared" ca="1" si="207"/>
        <v>65.489999999999995</v>
      </c>
      <c r="I4424" s="152">
        <f t="shared" ca="1" si="208"/>
        <v>0</v>
      </c>
      <c r="J4424" s="154"/>
      <c r="K4424" s="155" t="s">
        <v>2966</v>
      </c>
    </row>
    <row r="4425" spans="1:11" hidden="1" x14ac:dyDescent="0.25">
      <c r="A4425" s="148" t="s">
        <v>2516</v>
      </c>
      <c r="B4425" s="149" t="s">
        <v>9993</v>
      </c>
      <c r="C4425" s="150" t="s">
        <v>18</v>
      </c>
      <c r="D4425" s="150">
        <v>0</v>
      </c>
      <c r="E4425" s="151">
        <f ca="1">OFFSET(INDEX(Composições!A:H,MATCH(Orçamentária!A4425,Composições!A:A,0),8),2,0)</f>
        <v>87.409499999999994</v>
      </c>
      <c r="F4425" s="152">
        <f t="shared" ca="1" si="209"/>
        <v>0</v>
      </c>
      <c r="G4425" s="153">
        <f>IF($K4425="Padrão",BDI!$B$17,IF($K4425="Diferenciado",BDI!$E$17,0))</f>
        <v>0.2039</v>
      </c>
      <c r="H4425" s="151">
        <f t="shared" ca="1" si="207"/>
        <v>105.23</v>
      </c>
      <c r="I4425" s="152">
        <f t="shared" ca="1" si="208"/>
        <v>0</v>
      </c>
      <c r="J4425" s="154"/>
      <c r="K4425" s="155" t="s">
        <v>2966</v>
      </c>
    </row>
    <row r="4426" spans="1:11" hidden="1" x14ac:dyDescent="0.25">
      <c r="A4426" s="148" t="s">
        <v>2517</v>
      </c>
      <c r="B4426" s="149" t="s">
        <v>9994</v>
      </c>
      <c r="C4426" s="150" t="s">
        <v>18</v>
      </c>
      <c r="D4426" s="150">
        <v>0</v>
      </c>
      <c r="E4426" s="151">
        <f ca="1">OFFSET(INDEX(Composições!A:H,MATCH(Orçamentária!A4426,Composições!A:A,0),8),2,0)</f>
        <v>19.664999999999999</v>
      </c>
      <c r="F4426" s="152">
        <f t="shared" ca="1" si="209"/>
        <v>0</v>
      </c>
      <c r="G4426" s="153">
        <f>IF($K4426="Padrão",BDI!$B$17,IF($K4426="Diferenciado",BDI!$E$17,0))</f>
        <v>0.2039</v>
      </c>
      <c r="H4426" s="151">
        <f t="shared" ca="1" si="207"/>
        <v>23.67</v>
      </c>
      <c r="I4426" s="152">
        <f t="shared" ca="1" si="208"/>
        <v>0</v>
      </c>
      <c r="J4426" s="154"/>
      <c r="K4426" s="155" t="s">
        <v>2966</v>
      </c>
    </row>
    <row r="4427" spans="1:11" hidden="1" x14ac:dyDescent="0.25">
      <c r="A4427" s="148" t="s">
        <v>2518</v>
      </c>
      <c r="B4427" s="149" t="s">
        <v>9995</v>
      </c>
      <c r="C4427" s="150" t="s">
        <v>18</v>
      </c>
      <c r="D4427" s="150">
        <v>0</v>
      </c>
      <c r="E4427" s="151">
        <f ca="1">OFFSET(INDEX(Composições!A:H,MATCH(Orçamentária!A4427,Composições!A:A,0),8),2,0)</f>
        <v>25.317499999999999</v>
      </c>
      <c r="F4427" s="152">
        <f t="shared" ca="1" si="209"/>
        <v>0</v>
      </c>
      <c r="G4427" s="153">
        <f>IF($K4427="Padrão",BDI!$B$17,IF($K4427="Diferenciado",BDI!$E$17,0))</f>
        <v>0.2039</v>
      </c>
      <c r="H4427" s="151">
        <f t="shared" ca="1" si="207"/>
        <v>30.48</v>
      </c>
      <c r="I4427" s="152">
        <f t="shared" ca="1" si="208"/>
        <v>0</v>
      </c>
      <c r="J4427" s="154"/>
      <c r="K4427" s="155" t="s">
        <v>2966</v>
      </c>
    </row>
    <row r="4428" spans="1:11" hidden="1" x14ac:dyDescent="0.25">
      <c r="A4428" s="148" t="s">
        <v>2519</v>
      </c>
      <c r="B4428" s="149" t="s">
        <v>9996</v>
      </c>
      <c r="C4428" s="150" t="s">
        <v>18</v>
      </c>
      <c r="D4428" s="150">
        <v>0</v>
      </c>
      <c r="E4428" s="151">
        <f ca="1">OFFSET(INDEX(Composições!A:H,MATCH(Orçamentária!A4428,Composições!A:A,0),8),2,0)</f>
        <v>40.194499999999998</v>
      </c>
      <c r="F4428" s="152">
        <f t="shared" ca="1" si="209"/>
        <v>0</v>
      </c>
      <c r="G4428" s="153">
        <f>IF($K4428="Padrão",BDI!$B$17,IF($K4428="Diferenciado",BDI!$E$17,0))</f>
        <v>0.2039</v>
      </c>
      <c r="H4428" s="151">
        <f t="shared" ca="1" si="207"/>
        <v>48.39</v>
      </c>
      <c r="I4428" s="152">
        <f t="shared" ca="1" si="208"/>
        <v>0</v>
      </c>
      <c r="J4428" s="154"/>
      <c r="K4428" s="155" t="s">
        <v>2966</v>
      </c>
    </row>
    <row r="4429" spans="1:11" hidden="1" x14ac:dyDescent="0.25">
      <c r="A4429" s="148" t="s">
        <v>2520</v>
      </c>
      <c r="B4429" s="149" t="s">
        <v>9997</v>
      </c>
      <c r="C4429" s="150" t="s">
        <v>18</v>
      </c>
      <c r="D4429" s="150">
        <v>0</v>
      </c>
      <c r="E4429" s="151">
        <f ca="1">OFFSET(INDEX(Composições!A:H,MATCH(Orçamentária!A4429,Composições!A:A,0),8),2,0)</f>
        <v>53.7605</v>
      </c>
      <c r="F4429" s="152">
        <f t="shared" ca="1" si="209"/>
        <v>0</v>
      </c>
      <c r="G4429" s="153">
        <f>IF($K4429="Padrão",BDI!$B$17,IF($K4429="Diferenciado",BDI!$E$17,0))</f>
        <v>0.2039</v>
      </c>
      <c r="H4429" s="151">
        <f t="shared" ca="1" si="207"/>
        <v>64.72</v>
      </c>
      <c r="I4429" s="152">
        <f t="shared" ca="1" si="208"/>
        <v>0</v>
      </c>
      <c r="J4429" s="154"/>
      <c r="K4429" s="155" t="s">
        <v>2966</v>
      </c>
    </row>
    <row r="4430" spans="1:11" hidden="1" x14ac:dyDescent="0.25">
      <c r="A4430" s="148" t="s">
        <v>2521</v>
      </c>
      <c r="B4430" s="149" t="s">
        <v>9998</v>
      </c>
      <c r="C4430" s="150" t="s">
        <v>18</v>
      </c>
      <c r="D4430" s="150">
        <v>0</v>
      </c>
      <c r="E4430" s="151">
        <f ca="1">OFFSET(INDEX(Composições!A:H,MATCH(Orçamentária!A4430,Composições!A:A,0),8),2,0)</f>
        <v>55.517999999999994</v>
      </c>
      <c r="F4430" s="152">
        <f t="shared" ca="1" si="209"/>
        <v>0</v>
      </c>
      <c r="G4430" s="153">
        <f>IF($K4430="Padrão",BDI!$B$17,IF($K4430="Diferenciado",BDI!$E$17,0))</f>
        <v>0.2039</v>
      </c>
      <c r="H4430" s="151">
        <f t="shared" ca="1" si="207"/>
        <v>66.84</v>
      </c>
      <c r="I4430" s="152">
        <f t="shared" ca="1" si="208"/>
        <v>0</v>
      </c>
      <c r="J4430" s="154"/>
      <c r="K4430" s="155" t="s">
        <v>2966</v>
      </c>
    </row>
    <row r="4431" spans="1:11" hidden="1" x14ac:dyDescent="0.25">
      <c r="A4431" s="148" t="s">
        <v>9999</v>
      </c>
      <c r="B4431" s="149" t="s">
        <v>10000</v>
      </c>
      <c r="C4431" s="150" t="s">
        <v>18</v>
      </c>
      <c r="D4431" s="150">
        <v>0</v>
      </c>
      <c r="E4431" s="151" t="s">
        <v>13</v>
      </c>
      <c r="F4431" s="152" t="str">
        <f t="shared" si="209"/>
        <v/>
      </c>
      <c r="G4431" s="153">
        <f>IF($K4431="Padrão",BDI!$B$17,IF($K4431="Diferenciado",BDI!$E$17,0))</f>
        <v>0.2039</v>
      </c>
      <c r="H4431" s="151" t="str">
        <f t="shared" si="207"/>
        <v/>
      </c>
      <c r="I4431" s="152" t="str">
        <f t="shared" si="208"/>
        <v/>
      </c>
      <c r="J4431" s="154"/>
      <c r="K4431" s="155" t="s">
        <v>2966</v>
      </c>
    </row>
    <row r="4432" spans="1:11" hidden="1" x14ac:dyDescent="0.25">
      <c r="A4432" s="148" t="s">
        <v>10001</v>
      </c>
      <c r="B4432" s="149" t="s">
        <v>10002</v>
      </c>
      <c r="C4432" s="150" t="s">
        <v>18</v>
      </c>
      <c r="D4432" s="150">
        <v>0</v>
      </c>
      <c r="E4432" s="151" t="s">
        <v>13</v>
      </c>
      <c r="F4432" s="152" t="str">
        <f t="shared" si="209"/>
        <v/>
      </c>
      <c r="G4432" s="153">
        <f>IF($K4432="Padrão",BDI!$B$17,IF($K4432="Diferenciado",BDI!$E$17,0))</f>
        <v>0.2039</v>
      </c>
      <c r="H4432" s="151" t="str">
        <f t="shared" si="207"/>
        <v/>
      </c>
      <c r="I4432" s="152" t="str">
        <f t="shared" si="208"/>
        <v/>
      </c>
      <c r="J4432" s="154"/>
      <c r="K4432" s="155" t="s">
        <v>2966</v>
      </c>
    </row>
    <row r="4433" spans="1:11" hidden="1" x14ac:dyDescent="0.25">
      <c r="A4433" s="148" t="s">
        <v>10003</v>
      </c>
      <c r="B4433" s="149" t="s">
        <v>10004</v>
      </c>
      <c r="C4433" s="150" t="s">
        <v>18</v>
      </c>
      <c r="D4433" s="150">
        <v>0</v>
      </c>
      <c r="E4433" s="151" t="s">
        <v>13</v>
      </c>
      <c r="F4433" s="152" t="str">
        <f t="shared" si="209"/>
        <v/>
      </c>
      <c r="G4433" s="153">
        <f>IF($K4433="Padrão",BDI!$B$17,IF($K4433="Diferenciado",BDI!$E$17,0))</f>
        <v>0.2039</v>
      </c>
      <c r="H4433" s="151" t="str">
        <f t="shared" si="207"/>
        <v/>
      </c>
      <c r="I4433" s="152" t="str">
        <f t="shared" si="208"/>
        <v/>
      </c>
      <c r="J4433" s="154"/>
      <c r="K4433" s="155" t="s">
        <v>2966</v>
      </c>
    </row>
    <row r="4434" spans="1:11" hidden="1" x14ac:dyDescent="0.25">
      <c r="A4434" s="148" t="s">
        <v>10005</v>
      </c>
      <c r="B4434" s="149" t="s">
        <v>10006</v>
      </c>
      <c r="C4434" s="150" t="s">
        <v>18</v>
      </c>
      <c r="D4434" s="150">
        <v>0</v>
      </c>
      <c r="E4434" s="151" t="s">
        <v>13</v>
      </c>
      <c r="F4434" s="152" t="str">
        <f t="shared" si="209"/>
        <v/>
      </c>
      <c r="G4434" s="153">
        <f>IF($K4434="Padrão",BDI!$B$17,IF($K4434="Diferenciado",BDI!$E$17,0))</f>
        <v>0.2039</v>
      </c>
      <c r="H4434" s="151" t="str">
        <f t="shared" si="207"/>
        <v/>
      </c>
      <c r="I4434" s="152" t="str">
        <f t="shared" si="208"/>
        <v/>
      </c>
      <c r="J4434" s="154"/>
      <c r="K4434" s="155" t="s">
        <v>2966</v>
      </c>
    </row>
    <row r="4435" spans="1:11" hidden="1" x14ac:dyDescent="0.25">
      <c r="A4435" s="148" t="s">
        <v>10007</v>
      </c>
      <c r="B4435" s="149" t="s">
        <v>10008</v>
      </c>
      <c r="C4435" s="150" t="s">
        <v>18</v>
      </c>
      <c r="D4435" s="150">
        <v>0</v>
      </c>
      <c r="E4435" s="151" t="s">
        <v>13</v>
      </c>
      <c r="F4435" s="152" t="str">
        <f t="shared" si="209"/>
        <v/>
      </c>
      <c r="G4435" s="153">
        <f>IF($K4435="Padrão",BDI!$B$17,IF($K4435="Diferenciado",BDI!$E$17,0))</f>
        <v>0.2039</v>
      </c>
      <c r="H4435" s="151" t="str">
        <f t="shared" si="207"/>
        <v/>
      </c>
      <c r="I4435" s="152" t="str">
        <f t="shared" si="208"/>
        <v/>
      </c>
      <c r="J4435" s="154"/>
      <c r="K4435" s="155" t="s">
        <v>2966</v>
      </c>
    </row>
    <row r="4436" spans="1:11" hidden="1" x14ac:dyDescent="0.25">
      <c r="A4436" s="148" t="s">
        <v>10009</v>
      </c>
      <c r="B4436" s="149" t="s">
        <v>10010</v>
      </c>
      <c r="C4436" s="150" t="s">
        <v>18</v>
      </c>
      <c r="D4436" s="150">
        <v>0</v>
      </c>
      <c r="E4436" s="151" t="s">
        <v>13</v>
      </c>
      <c r="F4436" s="152" t="str">
        <f t="shared" si="209"/>
        <v/>
      </c>
      <c r="G4436" s="153">
        <f>IF($K4436="Padrão",BDI!$B$17,IF($K4436="Diferenciado",BDI!$E$17,0))</f>
        <v>0.2039</v>
      </c>
      <c r="H4436" s="151" t="str">
        <f t="shared" si="207"/>
        <v/>
      </c>
      <c r="I4436" s="152" t="str">
        <f t="shared" si="208"/>
        <v/>
      </c>
      <c r="J4436" s="154"/>
      <c r="K4436" s="155" t="s">
        <v>2966</v>
      </c>
    </row>
    <row r="4437" spans="1:11" hidden="1" x14ac:dyDescent="0.25">
      <c r="A4437" s="148" t="s">
        <v>2522</v>
      </c>
      <c r="B4437" s="149" t="s">
        <v>10011</v>
      </c>
      <c r="C4437" s="150" t="s">
        <v>18</v>
      </c>
      <c r="D4437" s="150">
        <v>0</v>
      </c>
      <c r="E4437" s="151">
        <f ca="1">OFFSET(INDEX(Composições!A:H,MATCH(Orçamentária!A4437,Composições!A:A,0),8),2,0)</f>
        <v>19.921499999999998</v>
      </c>
      <c r="F4437" s="152">
        <f t="shared" ca="1" si="209"/>
        <v>0</v>
      </c>
      <c r="G4437" s="153">
        <f>IF($K4437="Padrão",BDI!$B$17,IF($K4437="Diferenciado",BDI!$E$17,0))</f>
        <v>0.2039</v>
      </c>
      <c r="H4437" s="151">
        <f t="shared" ca="1" si="207"/>
        <v>23.98</v>
      </c>
      <c r="I4437" s="152">
        <f t="shared" ca="1" si="208"/>
        <v>0</v>
      </c>
      <c r="J4437" s="154"/>
      <c r="K4437" s="155" t="s">
        <v>2966</v>
      </c>
    </row>
    <row r="4438" spans="1:11" hidden="1" x14ac:dyDescent="0.25">
      <c r="A4438" s="148" t="s">
        <v>2523</v>
      </c>
      <c r="B4438" s="149" t="s">
        <v>10012</v>
      </c>
      <c r="C4438" s="150" t="s">
        <v>18</v>
      </c>
      <c r="D4438" s="150">
        <v>0</v>
      </c>
      <c r="E4438" s="151">
        <f ca="1">OFFSET(INDEX(Composições!A:H,MATCH(Orçamentária!A4438,Composições!A:A,0),8),2,0)</f>
        <v>26.257999999999999</v>
      </c>
      <c r="F4438" s="152">
        <f t="shared" ca="1" si="209"/>
        <v>0</v>
      </c>
      <c r="G4438" s="153">
        <f>IF($K4438="Padrão",BDI!$B$17,IF($K4438="Diferenciado",BDI!$E$17,0))</f>
        <v>0.2039</v>
      </c>
      <c r="H4438" s="151">
        <f t="shared" ca="1" si="207"/>
        <v>31.61</v>
      </c>
      <c r="I4438" s="152">
        <f t="shared" ca="1" si="208"/>
        <v>0</v>
      </c>
      <c r="J4438" s="154"/>
      <c r="K4438" s="155" t="s">
        <v>2966</v>
      </c>
    </row>
    <row r="4439" spans="1:11" hidden="1" x14ac:dyDescent="0.25">
      <c r="A4439" s="148" t="s">
        <v>2524</v>
      </c>
      <c r="B4439" s="149" t="s">
        <v>2525</v>
      </c>
      <c r="C4439" s="150" t="s">
        <v>18</v>
      </c>
      <c r="D4439" s="150">
        <v>0</v>
      </c>
      <c r="E4439" s="151">
        <f ca="1">OFFSET(INDEX(Composições!A:H,MATCH(Orçamentária!A4439,Composições!A:A,0),8),2,0)</f>
        <v>0</v>
      </c>
      <c r="F4439" s="152">
        <f t="shared" ca="1" si="209"/>
        <v>0</v>
      </c>
      <c r="G4439" s="153">
        <f>IF($K4439="Padrão",BDI!$B$17,IF($K4439="Diferenciado",BDI!$E$17,0))</f>
        <v>0.2039</v>
      </c>
      <c r="H4439" s="151">
        <f t="shared" ca="1" si="207"/>
        <v>0</v>
      </c>
      <c r="I4439" s="152">
        <f t="shared" ca="1" si="208"/>
        <v>0</v>
      </c>
      <c r="J4439" s="154"/>
      <c r="K4439" s="155" t="s">
        <v>2966</v>
      </c>
    </row>
    <row r="4440" spans="1:11" hidden="1" x14ac:dyDescent="0.25">
      <c r="A4440" s="148" t="s">
        <v>10013</v>
      </c>
      <c r="B4440" s="149" t="s">
        <v>10014</v>
      </c>
      <c r="C4440" s="150" t="s">
        <v>18</v>
      </c>
      <c r="D4440" s="150">
        <v>0</v>
      </c>
      <c r="E4440" s="151" t="s">
        <v>13</v>
      </c>
      <c r="F4440" s="152" t="str">
        <f t="shared" si="209"/>
        <v/>
      </c>
      <c r="G4440" s="153">
        <f>IF($K4440="Padrão",BDI!$B$17,IF($K4440="Diferenciado",BDI!$E$17,0))</f>
        <v>0.2039</v>
      </c>
      <c r="H4440" s="151" t="str">
        <f t="shared" si="207"/>
        <v/>
      </c>
      <c r="I4440" s="152" t="str">
        <f t="shared" si="208"/>
        <v/>
      </c>
      <c r="J4440" s="154"/>
      <c r="K4440" s="155" t="s">
        <v>2966</v>
      </c>
    </row>
    <row r="4441" spans="1:11" hidden="1" x14ac:dyDescent="0.25">
      <c r="A4441" s="148" t="s">
        <v>10015</v>
      </c>
      <c r="B4441" s="149" t="s">
        <v>10016</v>
      </c>
      <c r="C4441" s="150" t="s">
        <v>18</v>
      </c>
      <c r="D4441" s="150">
        <v>0</v>
      </c>
      <c r="E4441" s="151" t="s">
        <v>13</v>
      </c>
      <c r="F4441" s="152" t="str">
        <f t="shared" si="209"/>
        <v/>
      </c>
      <c r="G4441" s="153">
        <f>IF($K4441="Padrão",BDI!$B$17,IF($K4441="Diferenciado",BDI!$E$17,0))</f>
        <v>0.2039</v>
      </c>
      <c r="H4441" s="151" t="str">
        <f t="shared" si="207"/>
        <v/>
      </c>
      <c r="I4441" s="152" t="str">
        <f t="shared" si="208"/>
        <v/>
      </c>
      <c r="J4441" s="154"/>
      <c r="K4441" s="155" t="s">
        <v>2966</v>
      </c>
    </row>
    <row r="4442" spans="1:11" hidden="1" x14ac:dyDescent="0.25">
      <c r="A4442" s="148" t="s">
        <v>10017</v>
      </c>
      <c r="B4442" s="149" t="s">
        <v>10018</v>
      </c>
      <c r="C4442" s="150" t="s">
        <v>18</v>
      </c>
      <c r="D4442" s="150">
        <v>0</v>
      </c>
      <c r="E4442" s="151" t="s">
        <v>13</v>
      </c>
      <c r="F4442" s="152" t="str">
        <f t="shared" si="209"/>
        <v/>
      </c>
      <c r="G4442" s="153">
        <f>IF($K4442="Padrão",BDI!$B$17,IF($K4442="Diferenciado",BDI!$E$17,0))</f>
        <v>0.2039</v>
      </c>
      <c r="H4442" s="151" t="str">
        <f t="shared" si="207"/>
        <v/>
      </c>
      <c r="I4442" s="152" t="str">
        <f t="shared" si="208"/>
        <v/>
      </c>
      <c r="J4442" s="154"/>
      <c r="K4442" s="155" t="s">
        <v>2966</v>
      </c>
    </row>
    <row r="4443" spans="1:11" hidden="1" x14ac:dyDescent="0.25">
      <c r="A4443" s="148" t="s">
        <v>10019</v>
      </c>
      <c r="B4443" s="149" t="s">
        <v>10020</v>
      </c>
      <c r="C4443" s="150" t="s">
        <v>18</v>
      </c>
      <c r="D4443" s="150">
        <v>0</v>
      </c>
      <c r="E4443" s="151" t="s">
        <v>13</v>
      </c>
      <c r="F4443" s="152" t="str">
        <f t="shared" si="209"/>
        <v/>
      </c>
      <c r="G4443" s="153">
        <f>IF($K4443="Padrão",BDI!$B$17,IF($K4443="Diferenciado",BDI!$E$17,0))</f>
        <v>0.2039</v>
      </c>
      <c r="H4443" s="151" t="str">
        <f t="shared" si="207"/>
        <v/>
      </c>
      <c r="I4443" s="152" t="str">
        <f t="shared" si="208"/>
        <v/>
      </c>
      <c r="J4443" s="154"/>
      <c r="K4443" s="155" t="s">
        <v>2966</v>
      </c>
    </row>
    <row r="4444" spans="1:11" hidden="1" x14ac:dyDescent="0.25">
      <c r="A4444" s="148" t="s">
        <v>10021</v>
      </c>
      <c r="B4444" s="149" t="s">
        <v>10022</v>
      </c>
      <c r="C4444" s="150" t="s">
        <v>18</v>
      </c>
      <c r="D4444" s="150">
        <v>0</v>
      </c>
      <c r="E4444" s="151" t="s">
        <v>13</v>
      </c>
      <c r="F4444" s="152" t="str">
        <f t="shared" si="209"/>
        <v/>
      </c>
      <c r="G4444" s="153">
        <f>IF($K4444="Padrão",BDI!$B$17,IF($K4444="Diferenciado",BDI!$E$17,0))</f>
        <v>0.2039</v>
      </c>
      <c r="H4444" s="151" t="str">
        <f t="shared" si="207"/>
        <v/>
      </c>
      <c r="I4444" s="152" t="str">
        <f t="shared" si="208"/>
        <v/>
      </c>
      <c r="J4444" s="154"/>
      <c r="K4444" s="155" t="s">
        <v>2966</v>
      </c>
    </row>
    <row r="4445" spans="1:11" hidden="1" x14ac:dyDescent="0.25">
      <c r="A4445" s="148" t="s">
        <v>10023</v>
      </c>
      <c r="B4445" s="149" t="s">
        <v>10024</v>
      </c>
      <c r="C4445" s="150" t="s">
        <v>18</v>
      </c>
      <c r="D4445" s="150">
        <v>0</v>
      </c>
      <c r="E4445" s="151" t="s">
        <v>13</v>
      </c>
      <c r="F4445" s="152" t="str">
        <f t="shared" si="209"/>
        <v/>
      </c>
      <c r="G4445" s="153">
        <f>IF($K4445="Padrão",BDI!$B$17,IF($K4445="Diferenciado",BDI!$E$17,0))</f>
        <v>0.2039</v>
      </c>
      <c r="H4445" s="151" t="str">
        <f t="shared" si="207"/>
        <v/>
      </c>
      <c r="I4445" s="152" t="str">
        <f t="shared" si="208"/>
        <v/>
      </c>
      <c r="J4445" s="154"/>
      <c r="K4445" s="155" t="s">
        <v>2966</v>
      </c>
    </row>
    <row r="4446" spans="1:11" hidden="1" x14ac:dyDescent="0.25">
      <c r="A4446" s="148" t="s">
        <v>10025</v>
      </c>
      <c r="B4446" s="149" t="s">
        <v>10026</v>
      </c>
      <c r="C4446" s="150" t="s">
        <v>18</v>
      </c>
      <c r="D4446" s="150">
        <v>0</v>
      </c>
      <c r="E4446" s="151" t="s">
        <v>13</v>
      </c>
      <c r="F4446" s="152" t="str">
        <f t="shared" si="209"/>
        <v/>
      </c>
      <c r="G4446" s="153">
        <f>IF($K4446="Padrão",BDI!$B$17,IF($K4446="Diferenciado",BDI!$E$17,0))</f>
        <v>0.2039</v>
      </c>
      <c r="H4446" s="151" t="str">
        <f t="shared" si="207"/>
        <v/>
      </c>
      <c r="I4446" s="152" t="str">
        <f t="shared" si="208"/>
        <v/>
      </c>
      <c r="J4446" s="154"/>
      <c r="K4446" s="155" t="s">
        <v>2966</v>
      </c>
    </row>
    <row r="4447" spans="1:11" hidden="1" x14ac:dyDescent="0.25">
      <c r="A4447" s="148" t="s">
        <v>10027</v>
      </c>
      <c r="B4447" s="149" t="s">
        <v>10028</v>
      </c>
      <c r="C4447" s="150" t="s">
        <v>18</v>
      </c>
      <c r="D4447" s="150">
        <v>0</v>
      </c>
      <c r="E4447" s="151" t="s">
        <v>13</v>
      </c>
      <c r="F4447" s="152" t="str">
        <f t="shared" si="209"/>
        <v/>
      </c>
      <c r="G4447" s="153">
        <f>IF($K4447="Padrão",BDI!$B$17,IF($K4447="Diferenciado",BDI!$E$17,0))</f>
        <v>0.2039</v>
      </c>
      <c r="H4447" s="151" t="str">
        <f t="shared" si="207"/>
        <v/>
      </c>
      <c r="I4447" s="152" t="str">
        <f t="shared" si="208"/>
        <v/>
      </c>
      <c r="J4447" s="154"/>
      <c r="K4447" s="155" t="s">
        <v>2966</v>
      </c>
    </row>
    <row r="4448" spans="1:11" hidden="1" x14ac:dyDescent="0.25">
      <c r="A4448" s="148" t="s">
        <v>10029</v>
      </c>
      <c r="B4448" s="149" t="s">
        <v>10030</v>
      </c>
      <c r="C4448" s="150" t="s">
        <v>18</v>
      </c>
      <c r="D4448" s="150">
        <v>0</v>
      </c>
      <c r="E4448" s="151" t="s">
        <v>13</v>
      </c>
      <c r="F4448" s="152" t="str">
        <f t="shared" si="209"/>
        <v/>
      </c>
      <c r="G4448" s="153">
        <f>IF($K4448="Padrão",BDI!$B$17,IF($K4448="Diferenciado",BDI!$E$17,0))</f>
        <v>0.2039</v>
      </c>
      <c r="H4448" s="151" t="str">
        <f t="shared" si="207"/>
        <v/>
      </c>
      <c r="I4448" s="152" t="str">
        <f t="shared" si="208"/>
        <v/>
      </c>
      <c r="J4448" s="154"/>
      <c r="K4448" s="155" t="s">
        <v>2966</v>
      </c>
    </row>
    <row r="4449" spans="1:11" hidden="1" x14ac:dyDescent="0.25">
      <c r="A4449" s="148" t="s">
        <v>10031</v>
      </c>
      <c r="B4449" s="149" t="s">
        <v>10032</v>
      </c>
      <c r="C4449" s="150" t="s">
        <v>18</v>
      </c>
      <c r="D4449" s="150">
        <v>0</v>
      </c>
      <c r="E4449" s="151" t="s">
        <v>13</v>
      </c>
      <c r="F4449" s="152" t="str">
        <f t="shared" si="209"/>
        <v/>
      </c>
      <c r="G4449" s="153">
        <f>IF($K4449="Padrão",BDI!$B$17,IF($K4449="Diferenciado",BDI!$E$17,0))</f>
        <v>0.2039</v>
      </c>
      <c r="H4449" s="151" t="str">
        <f t="shared" si="207"/>
        <v/>
      </c>
      <c r="I4449" s="152" t="str">
        <f t="shared" si="208"/>
        <v/>
      </c>
      <c r="J4449" s="154"/>
      <c r="K4449" s="155" t="s">
        <v>2966</v>
      </c>
    </row>
    <row r="4450" spans="1:11" hidden="1" x14ac:dyDescent="0.25">
      <c r="A4450" s="148" t="s">
        <v>10033</v>
      </c>
      <c r="B4450" s="149" t="s">
        <v>10034</v>
      </c>
      <c r="C4450" s="150" t="s">
        <v>18</v>
      </c>
      <c r="D4450" s="150">
        <v>0</v>
      </c>
      <c r="E4450" s="151" t="s">
        <v>13</v>
      </c>
      <c r="F4450" s="152" t="str">
        <f t="shared" si="209"/>
        <v/>
      </c>
      <c r="G4450" s="153">
        <f>IF($K4450="Padrão",BDI!$B$17,IF($K4450="Diferenciado",BDI!$E$17,0))</f>
        <v>0.2039</v>
      </c>
      <c r="H4450" s="151" t="str">
        <f t="shared" si="207"/>
        <v/>
      </c>
      <c r="I4450" s="152" t="str">
        <f t="shared" si="208"/>
        <v/>
      </c>
      <c r="J4450" s="154"/>
      <c r="K4450" s="155" t="s">
        <v>2966</v>
      </c>
    </row>
    <row r="4451" spans="1:11" hidden="1" x14ac:dyDescent="0.25">
      <c r="A4451" s="148" t="s">
        <v>10035</v>
      </c>
      <c r="B4451" s="149" t="s">
        <v>10036</v>
      </c>
      <c r="C4451" s="150" t="s">
        <v>18</v>
      </c>
      <c r="D4451" s="150">
        <v>0</v>
      </c>
      <c r="E4451" s="151" t="s">
        <v>13</v>
      </c>
      <c r="F4451" s="152" t="str">
        <f t="shared" si="209"/>
        <v/>
      </c>
      <c r="G4451" s="153">
        <f>IF($K4451="Padrão",BDI!$B$17,IF($K4451="Diferenciado",BDI!$E$17,0))</f>
        <v>0.2039</v>
      </c>
      <c r="H4451" s="151" t="str">
        <f t="shared" si="207"/>
        <v/>
      </c>
      <c r="I4451" s="152" t="str">
        <f t="shared" si="208"/>
        <v/>
      </c>
      <c r="J4451" s="154"/>
      <c r="K4451" s="155" t="s">
        <v>2966</v>
      </c>
    </row>
    <row r="4452" spans="1:11" hidden="1" x14ac:dyDescent="0.25">
      <c r="A4452" s="148" t="s">
        <v>10037</v>
      </c>
      <c r="B4452" s="149" t="s">
        <v>10038</v>
      </c>
      <c r="C4452" s="150" t="s">
        <v>18</v>
      </c>
      <c r="D4452" s="150">
        <v>0</v>
      </c>
      <c r="E4452" s="151" t="s">
        <v>13</v>
      </c>
      <c r="F4452" s="152" t="str">
        <f t="shared" si="209"/>
        <v/>
      </c>
      <c r="G4452" s="153">
        <f>IF($K4452="Padrão",BDI!$B$17,IF($K4452="Diferenciado",BDI!$E$17,0))</f>
        <v>0.2039</v>
      </c>
      <c r="H4452" s="151" t="str">
        <f t="shared" si="207"/>
        <v/>
      </c>
      <c r="I4452" s="152" t="str">
        <f t="shared" si="208"/>
        <v/>
      </c>
      <c r="J4452" s="154"/>
      <c r="K4452" s="155" t="s">
        <v>2966</v>
      </c>
    </row>
    <row r="4453" spans="1:11" hidden="1" x14ac:dyDescent="0.25">
      <c r="A4453" s="148" t="s">
        <v>10039</v>
      </c>
      <c r="B4453" s="149" t="s">
        <v>10040</v>
      </c>
      <c r="C4453" s="150" t="s">
        <v>18</v>
      </c>
      <c r="D4453" s="150">
        <v>0</v>
      </c>
      <c r="E4453" s="151" t="s">
        <v>13</v>
      </c>
      <c r="F4453" s="152" t="str">
        <f t="shared" si="209"/>
        <v/>
      </c>
      <c r="G4453" s="153">
        <f>IF($K4453="Padrão",BDI!$B$17,IF($K4453="Diferenciado",BDI!$E$17,0))</f>
        <v>0.2039</v>
      </c>
      <c r="H4453" s="151" t="str">
        <f t="shared" si="207"/>
        <v/>
      </c>
      <c r="I4453" s="152" t="str">
        <f t="shared" si="208"/>
        <v/>
      </c>
      <c r="J4453" s="154"/>
      <c r="K4453" s="155" t="s">
        <v>2966</v>
      </c>
    </row>
    <row r="4454" spans="1:11" hidden="1" x14ac:dyDescent="0.25">
      <c r="A4454" s="148" t="s">
        <v>10041</v>
      </c>
      <c r="B4454" s="149" t="s">
        <v>10042</v>
      </c>
      <c r="C4454" s="150" t="s">
        <v>18</v>
      </c>
      <c r="D4454" s="150">
        <v>0</v>
      </c>
      <c r="E4454" s="151" t="s">
        <v>13</v>
      </c>
      <c r="F4454" s="152" t="str">
        <f t="shared" si="209"/>
        <v/>
      </c>
      <c r="G4454" s="153">
        <f>IF($K4454="Padrão",BDI!$B$17,IF($K4454="Diferenciado",BDI!$E$17,0))</f>
        <v>0.2039</v>
      </c>
      <c r="H4454" s="151" t="str">
        <f t="shared" si="207"/>
        <v/>
      </c>
      <c r="I4454" s="152" t="str">
        <f t="shared" si="208"/>
        <v/>
      </c>
      <c r="J4454" s="154"/>
      <c r="K4454" s="155" t="s">
        <v>2966</v>
      </c>
    </row>
    <row r="4455" spans="1:11" hidden="1" x14ac:dyDescent="0.25">
      <c r="A4455" s="148" t="s">
        <v>10043</v>
      </c>
      <c r="B4455" s="149" t="s">
        <v>10044</v>
      </c>
      <c r="C4455" s="150" t="s">
        <v>18</v>
      </c>
      <c r="D4455" s="150">
        <v>0</v>
      </c>
      <c r="E4455" s="151" t="s">
        <v>13</v>
      </c>
      <c r="F4455" s="152" t="str">
        <f t="shared" si="209"/>
        <v/>
      </c>
      <c r="G4455" s="153">
        <f>IF($K4455="Padrão",BDI!$B$17,IF($K4455="Diferenciado",BDI!$E$17,0))</f>
        <v>0.2039</v>
      </c>
      <c r="H4455" s="151" t="str">
        <f t="shared" si="207"/>
        <v/>
      </c>
      <c r="I4455" s="152" t="str">
        <f t="shared" si="208"/>
        <v/>
      </c>
      <c r="J4455" s="154"/>
      <c r="K4455" s="155" t="s">
        <v>2966</v>
      </c>
    </row>
    <row r="4456" spans="1:11" hidden="1" x14ac:dyDescent="0.25">
      <c r="A4456" s="148" t="s">
        <v>10045</v>
      </c>
      <c r="B4456" s="149" t="s">
        <v>10046</v>
      </c>
      <c r="C4456" s="150" t="s">
        <v>18</v>
      </c>
      <c r="D4456" s="150">
        <v>0</v>
      </c>
      <c r="E4456" s="151" t="s">
        <v>13</v>
      </c>
      <c r="F4456" s="152" t="str">
        <f t="shared" si="209"/>
        <v/>
      </c>
      <c r="G4456" s="153">
        <f>IF($K4456="Padrão",BDI!$B$17,IF($K4456="Diferenciado",BDI!$E$17,0))</f>
        <v>0.2039</v>
      </c>
      <c r="H4456" s="151" t="str">
        <f t="shared" si="207"/>
        <v/>
      </c>
      <c r="I4456" s="152" t="str">
        <f t="shared" si="208"/>
        <v/>
      </c>
      <c r="J4456" s="154"/>
      <c r="K4456" s="155" t="s">
        <v>2966</v>
      </c>
    </row>
    <row r="4457" spans="1:11" hidden="1" x14ac:dyDescent="0.25">
      <c r="A4457" s="148" t="s">
        <v>10047</v>
      </c>
      <c r="B4457" s="149" t="s">
        <v>10048</v>
      </c>
      <c r="C4457" s="150" t="s">
        <v>18</v>
      </c>
      <c r="D4457" s="150">
        <v>0</v>
      </c>
      <c r="E4457" s="151" t="s">
        <v>13</v>
      </c>
      <c r="F4457" s="152" t="str">
        <f t="shared" si="209"/>
        <v/>
      </c>
      <c r="G4457" s="153">
        <f>IF($K4457="Padrão",BDI!$B$17,IF($K4457="Diferenciado",BDI!$E$17,0))</f>
        <v>0.2039</v>
      </c>
      <c r="H4457" s="151" t="str">
        <f t="shared" si="207"/>
        <v/>
      </c>
      <c r="I4457" s="152" t="str">
        <f t="shared" si="208"/>
        <v/>
      </c>
      <c r="J4457" s="154"/>
      <c r="K4457" s="155" t="s">
        <v>2966</v>
      </c>
    </row>
    <row r="4458" spans="1:11" hidden="1" x14ac:dyDescent="0.25">
      <c r="A4458" s="148" t="s">
        <v>2526</v>
      </c>
      <c r="B4458" s="149" t="s">
        <v>2527</v>
      </c>
      <c r="C4458" s="150" t="s">
        <v>18</v>
      </c>
      <c r="D4458" s="150">
        <v>0</v>
      </c>
      <c r="E4458" s="151">
        <f ca="1">OFFSET(INDEX(Composições!A:H,MATCH(Orçamentária!A4458,Composições!A:A,0),8),2,0)</f>
        <v>0</v>
      </c>
      <c r="F4458" s="152">
        <f t="shared" ca="1" si="209"/>
        <v>0</v>
      </c>
      <c r="G4458" s="153">
        <f>IF($K4458="Padrão",BDI!$B$17,IF($K4458="Diferenciado",BDI!$E$17,0))</f>
        <v>0.2039</v>
      </c>
      <c r="H4458" s="151">
        <f t="shared" ca="1" si="207"/>
        <v>0</v>
      </c>
      <c r="I4458" s="152">
        <f t="shared" ca="1" si="208"/>
        <v>0</v>
      </c>
      <c r="J4458" s="154"/>
      <c r="K4458" s="155" t="s">
        <v>2966</v>
      </c>
    </row>
    <row r="4459" spans="1:11" hidden="1" x14ac:dyDescent="0.25">
      <c r="A4459" s="148" t="s">
        <v>2528</v>
      </c>
      <c r="B4459" s="149" t="s">
        <v>2529</v>
      </c>
      <c r="C4459" s="150" t="s">
        <v>18</v>
      </c>
      <c r="D4459" s="150">
        <v>0</v>
      </c>
      <c r="E4459" s="151">
        <f ca="1">OFFSET(INDEX(Composições!A:H,MATCH(Orçamentária!A4459,Composições!A:A,0),8),2,0)</f>
        <v>0</v>
      </c>
      <c r="F4459" s="152">
        <f t="shared" ca="1" si="209"/>
        <v>0</v>
      </c>
      <c r="G4459" s="153">
        <f>IF($K4459="Padrão",BDI!$B$17,IF($K4459="Diferenciado",BDI!$E$17,0))</f>
        <v>0.2039</v>
      </c>
      <c r="H4459" s="151">
        <f t="shared" ca="1" si="207"/>
        <v>0</v>
      </c>
      <c r="I4459" s="152">
        <f t="shared" ca="1" si="208"/>
        <v>0</v>
      </c>
      <c r="J4459" s="154"/>
      <c r="K4459" s="155" t="s">
        <v>2966</v>
      </c>
    </row>
    <row r="4460" spans="1:11" hidden="1" x14ac:dyDescent="0.25">
      <c r="A4460" s="148" t="s">
        <v>2530</v>
      </c>
      <c r="B4460" s="149" t="s">
        <v>2531</v>
      </c>
      <c r="C4460" s="150" t="s">
        <v>18</v>
      </c>
      <c r="D4460" s="150">
        <v>0</v>
      </c>
      <c r="E4460" s="151">
        <f ca="1">OFFSET(INDEX(Composições!A:H,MATCH(Orçamentária!A4460,Composições!A:A,0),8),2,0)</f>
        <v>0</v>
      </c>
      <c r="F4460" s="152">
        <f t="shared" ca="1" si="209"/>
        <v>0</v>
      </c>
      <c r="G4460" s="153">
        <f>IF($K4460="Padrão",BDI!$B$17,IF($K4460="Diferenciado",BDI!$E$17,0))</f>
        <v>0.2039</v>
      </c>
      <c r="H4460" s="151">
        <f t="shared" ca="1" si="207"/>
        <v>0</v>
      </c>
      <c r="I4460" s="152">
        <f t="shared" ca="1" si="208"/>
        <v>0</v>
      </c>
      <c r="J4460" s="154"/>
      <c r="K4460" s="155" t="s">
        <v>2966</v>
      </c>
    </row>
    <row r="4461" spans="1:11" hidden="1" x14ac:dyDescent="0.25">
      <c r="A4461" s="148" t="s">
        <v>2532</v>
      </c>
      <c r="B4461" s="149" t="s">
        <v>2533</v>
      </c>
      <c r="C4461" s="150" t="s">
        <v>18</v>
      </c>
      <c r="D4461" s="150">
        <v>0</v>
      </c>
      <c r="E4461" s="151">
        <f ca="1">OFFSET(INDEX(Composições!A:H,MATCH(Orçamentária!A4461,Composições!A:A,0),8),2,0)</f>
        <v>0</v>
      </c>
      <c r="F4461" s="152">
        <f t="shared" ca="1" si="209"/>
        <v>0</v>
      </c>
      <c r="G4461" s="153">
        <f>IF($K4461="Padrão",BDI!$B$17,IF($K4461="Diferenciado",BDI!$E$17,0))</f>
        <v>0.2039</v>
      </c>
      <c r="H4461" s="151">
        <f t="shared" ca="1" si="207"/>
        <v>0</v>
      </c>
      <c r="I4461" s="152">
        <f t="shared" ca="1" si="208"/>
        <v>0</v>
      </c>
      <c r="J4461" s="154"/>
      <c r="K4461" s="155" t="s">
        <v>2966</v>
      </c>
    </row>
    <row r="4462" spans="1:11" hidden="1" x14ac:dyDescent="0.25">
      <c r="A4462" s="148" t="s">
        <v>2534</v>
      </c>
      <c r="B4462" s="149" t="s">
        <v>2535</v>
      </c>
      <c r="C4462" s="150" t="s">
        <v>18</v>
      </c>
      <c r="D4462" s="150">
        <v>0</v>
      </c>
      <c r="E4462" s="151">
        <f ca="1">OFFSET(INDEX(Composições!A:H,MATCH(Orçamentária!A4462,Composições!A:A,0),8),2,0)</f>
        <v>0</v>
      </c>
      <c r="F4462" s="152">
        <f t="shared" ca="1" si="209"/>
        <v>0</v>
      </c>
      <c r="G4462" s="153">
        <f>IF($K4462="Padrão",BDI!$B$17,IF($K4462="Diferenciado",BDI!$E$17,0))</f>
        <v>0.2039</v>
      </c>
      <c r="H4462" s="151">
        <f t="shared" ca="1" si="207"/>
        <v>0</v>
      </c>
      <c r="I4462" s="152">
        <f t="shared" ca="1" si="208"/>
        <v>0</v>
      </c>
      <c r="J4462" s="154"/>
      <c r="K4462" s="155" t="s">
        <v>2966</v>
      </c>
    </row>
    <row r="4463" spans="1:11" hidden="1" x14ac:dyDescent="0.25">
      <c r="A4463" s="148" t="s">
        <v>2536</v>
      </c>
      <c r="B4463" s="149" t="s">
        <v>2537</v>
      </c>
      <c r="C4463" s="150" t="s">
        <v>18</v>
      </c>
      <c r="D4463" s="150">
        <v>0</v>
      </c>
      <c r="E4463" s="151">
        <f ca="1">OFFSET(INDEX(Composições!A:H,MATCH(Orçamentária!A4463,Composições!A:A,0),8),2,0)</f>
        <v>0</v>
      </c>
      <c r="F4463" s="152">
        <f t="shared" ca="1" si="209"/>
        <v>0</v>
      </c>
      <c r="G4463" s="153">
        <f>IF($K4463="Padrão",BDI!$B$17,IF($K4463="Diferenciado",BDI!$E$17,0))</f>
        <v>0.2039</v>
      </c>
      <c r="H4463" s="151">
        <f t="shared" ca="1" si="207"/>
        <v>0</v>
      </c>
      <c r="I4463" s="152">
        <f t="shared" ca="1" si="208"/>
        <v>0</v>
      </c>
      <c r="J4463" s="154"/>
      <c r="K4463" s="155" t="s">
        <v>2966</v>
      </c>
    </row>
    <row r="4464" spans="1:11" hidden="1" x14ac:dyDescent="0.25">
      <c r="A4464" s="148" t="s">
        <v>2538</v>
      </c>
      <c r="B4464" s="149" t="s">
        <v>10049</v>
      </c>
      <c r="C4464" s="150" t="s">
        <v>18</v>
      </c>
      <c r="D4464" s="150">
        <v>0</v>
      </c>
      <c r="E4464" s="151">
        <f ca="1">OFFSET(INDEX(Composições!A:H,MATCH(Orçamentária!A4464,Composições!A:A,0),8),2,0)</f>
        <v>0</v>
      </c>
      <c r="F4464" s="152">
        <f t="shared" ca="1" si="209"/>
        <v>0</v>
      </c>
      <c r="G4464" s="153">
        <f>IF($K4464="Padrão",BDI!$B$17,IF($K4464="Diferenciado",BDI!$E$17,0))</f>
        <v>0.2039</v>
      </c>
      <c r="H4464" s="151">
        <f t="shared" ca="1" si="207"/>
        <v>0</v>
      </c>
      <c r="I4464" s="152">
        <f t="shared" ca="1" si="208"/>
        <v>0</v>
      </c>
      <c r="J4464" s="154"/>
      <c r="K4464" s="155" t="s">
        <v>2966</v>
      </c>
    </row>
    <row r="4465" spans="1:11" hidden="1" x14ac:dyDescent="0.25">
      <c r="A4465" s="148" t="s">
        <v>10050</v>
      </c>
      <c r="B4465" s="149" t="s">
        <v>10051</v>
      </c>
      <c r="C4465" s="150" t="s">
        <v>18</v>
      </c>
      <c r="D4465" s="150">
        <v>0</v>
      </c>
      <c r="E4465" s="151" t="s">
        <v>13</v>
      </c>
      <c r="F4465" s="152" t="str">
        <f t="shared" si="209"/>
        <v/>
      </c>
      <c r="G4465" s="153">
        <f>IF($K4465="Padrão",BDI!$B$17,IF($K4465="Diferenciado",BDI!$E$17,0))</f>
        <v>0.2039</v>
      </c>
      <c r="H4465" s="151" t="str">
        <f t="shared" si="207"/>
        <v/>
      </c>
      <c r="I4465" s="152" t="str">
        <f t="shared" si="208"/>
        <v/>
      </c>
      <c r="J4465" s="154"/>
      <c r="K4465" s="155" t="s">
        <v>2966</v>
      </c>
    </row>
    <row r="4466" spans="1:11" hidden="1" x14ac:dyDescent="0.25">
      <c r="A4466" s="148" t="s">
        <v>10052</v>
      </c>
      <c r="B4466" s="149" t="s">
        <v>10053</v>
      </c>
      <c r="C4466" s="150" t="s">
        <v>18</v>
      </c>
      <c r="D4466" s="150">
        <v>0</v>
      </c>
      <c r="E4466" s="151" t="s">
        <v>13</v>
      </c>
      <c r="F4466" s="152" t="str">
        <f t="shared" si="209"/>
        <v/>
      </c>
      <c r="G4466" s="153">
        <f>IF($K4466="Padrão",BDI!$B$17,IF($K4466="Diferenciado",BDI!$E$17,0))</f>
        <v>0.2039</v>
      </c>
      <c r="H4466" s="151" t="str">
        <f t="shared" si="207"/>
        <v/>
      </c>
      <c r="I4466" s="152" t="str">
        <f t="shared" si="208"/>
        <v/>
      </c>
      <c r="J4466" s="154"/>
      <c r="K4466" s="155" t="s">
        <v>2966</v>
      </c>
    </row>
    <row r="4467" spans="1:11" hidden="1" x14ac:dyDescent="0.25">
      <c r="A4467" s="148" t="s">
        <v>2540</v>
      </c>
      <c r="B4467" s="149" t="s">
        <v>2541</v>
      </c>
      <c r="C4467" s="150" t="s">
        <v>18</v>
      </c>
      <c r="D4467" s="150">
        <v>0</v>
      </c>
      <c r="E4467" s="151">
        <f ca="1">OFFSET(INDEX(Composições!A:H,MATCH(Orçamentária!A4467,Composições!A:A,0),8),2,0)</f>
        <v>0</v>
      </c>
      <c r="F4467" s="152">
        <f t="shared" ca="1" si="209"/>
        <v>0</v>
      </c>
      <c r="G4467" s="153">
        <f>IF($K4467="Padrão",BDI!$B$17,IF($K4467="Diferenciado",BDI!$E$17,0))</f>
        <v>0.2039</v>
      </c>
      <c r="H4467" s="151">
        <f t="shared" ca="1" si="207"/>
        <v>0</v>
      </c>
      <c r="I4467" s="152">
        <f t="shared" ca="1" si="208"/>
        <v>0</v>
      </c>
      <c r="J4467" s="154"/>
      <c r="K4467" s="155" t="s">
        <v>2966</v>
      </c>
    </row>
    <row r="4468" spans="1:11" hidden="1" x14ac:dyDescent="0.25">
      <c r="A4468" s="148" t="s">
        <v>2542</v>
      </c>
      <c r="B4468" s="149" t="s">
        <v>2543</v>
      </c>
      <c r="C4468" s="150" t="s">
        <v>18</v>
      </c>
      <c r="D4468" s="150">
        <v>0</v>
      </c>
      <c r="E4468" s="151">
        <f ca="1">OFFSET(INDEX(Composições!A:H,MATCH(Orçamentária!A4468,Composições!A:A,0),8),2,0)</f>
        <v>0</v>
      </c>
      <c r="F4468" s="152">
        <f t="shared" ca="1" si="209"/>
        <v>0</v>
      </c>
      <c r="G4468" s="153">
        <f>IF($K4468="Padrão",BDI!$B$17,IF($K4468="Diferenciado",BDI!$E$17,0))</f>
        <v>0.2039</v>
      </c>
      <c r="H4468" s="151">
        <f t="shared" ca="1" si="207"/>
        <v>0</v>
      </c>
      <c r="I4468" s="152">
        <f t="shared" ca="1" si="208"/>
        <v>0</v>
      </c>
      <c r="J4468" s="154"/>
      <c r="K4468" s="155" t="s">
        <v>2966</v>
      </c>
    </row>
    <row r="4469" spans="1:11" hidden="1" x14ac:dyDescent="0.25">
      <c r="A4469" s="148" t="s">
        <v>10054</v>
      </c>
      <c r="B4469" s="149" t="s">
        <v>10055</v>
      </c>
      <c r="C4469" s="150" t="s">
        <v>18</v>
      </c>
      <c r="D4469" s="150">
        <v>0</v>
      </c>
      <c r="E4469" s="151" t="s">
        <v>13</v>
      </c>
      <c r="F4469" s="152" t="str">
        <f t="shared" si="209"/>
        <v/>
      </c>
      <c r="G4469" s="153">
        <f>IF($K4469="Padrão",BDI!$B$17,IF($K4469="Diferenciado",BDI!$E$17,0))</f>
        <v>0.2039</v>
      </c>
      <c r="H4469" s="151" t="str">
        <f t="shared" si="207"/>
        <v/>
      </c>
      <c r="I4469" s="152" t="str">
        <f t="shared" si="208"/>
        <v/>
      </c>
      <c r="J4469" s="154"/>
      <c r="K4469" s="155" t="s">
        <v>2966</v>
      </c>
    </row>
    <row r="4470" spans="1:11" hidden="1" x14ac:dyDescent="0.25">
      <c r="A4470" s="148" t="s">
        <v>10056</v>
      </c>
      <c r="B4470" s="149" t="s">
        <v>10057</v>
      </c>
      <c r="C4470" s="150" t="s">
        <v>18</v>
      </c>
      <c r="D4470" s="150">
        <v>0</v>
      </c>
      <c r="E4470" s="151" t="s">
        <v>13</v>
      </c>
      <c r="F4470" s="152" t="str">
        <f t="shared" si="209"/>
        <v/>
      </c>
      <c r="G4470" s="153">
        <f>IF($K4470="Padrão",BDI!$B$17,IF($K4470="Diferenciado",BDI!$E$17,0))</f>
        <v>0.2039</v>
      </c>
      <c r="H4470" s="151" t="str">
        <f t="shared" si="207"/>
        <v/>
      </c>
      <c r="I4470" s="152" t="str">
        <f t="shared" si="208"/>
        <v/>
      </c>
      <c r="J4470" s="154"/>
      <c r="K4470" s="155" t="s">
        <v>2966</v>
      </c>
    </row>
    <row r="4471" spans="1:11" hidden="1" x14ac:dyDescent="0.25">
      <c r="A4471" s="148" t="s">
        <v>10058</v>
      </c>
      <c r="B4471" s="149" t="s">
        <v>10059</v>
      </c>
      <c r="C4471" s="150" t="s">
        <v>18</v>
      </c>
      <c r="D4471" s="150">
        <v>0</v>
      </c>
      <c r="E4471" s="151" t="s">
        <v>13</v>
      </c>
      <c r="F4471" s="152" t="str">
        <f t="shared" si="209"/>
        <v/>
      </c>
      <c r="G4471" s="153">
        <f>IF($K4471="Padrão",BDI!$B$17,IF($K4471="Diferenciado",BDI!$E$17,0))</f>
        <v>0.2039</v>
      </c>
      <c r="H4471" s="151" t="str">
        <f t="shared" si="207"/>
        <v/>
      </c>
      <c r="I4471" s="152" t="str">
        <f t="shared" si="208"/>
        <v/>
      </c>
      <c r="J4471" s="154"/>
      <c r="K4471" s="155" t="s">
        <v>2966</v>
      </c>
    </row>
    <row r="4472" spans="1:11" hidden="1" x14ac:dyDescent="0.25">
      <c r="A4472" s="148" t="s">
        <v>2544</v>
      </c>
      <c r="B4472" s="149" t="s">
        <v>10060</v>
      </c>
      <c r="C4472" s="150" t="s">
        <v>106</v>
      </c>
      <c r="D4472" s="150">
        <v>0</v>
      </c>
      <c r="E4472" s="151">
        <f ca="1">OFFSET(INDEX(Composições!A:H,MATCH(Orçamentária!A4472,Composições!A:A,0),8),2,0)</f>
        <v>76.664999999999992</v>
      </c>
      <c r="F4472" s="152">
        <f t="shared" ca="1" si="209"/>
        <v>0</v>
      </c>
      <c r="G4472" s="153">
        <f>IF($K4472="Padrão",BDI!$B$17,IF($K4472="Diferenciado",BDI!$E$17,0))</f>
        <v>0.2039</v>
      </c>
      <c r="H4472" s="151">
        <f t="shared" ca="1" si="207"/>
        <v>92.3</v>
      </c>
      <c r="I4472" s="152">
        <f t="shared" ca="1" si="208"/>
        <v>0</v>
      </c>
      <c r="J4472" s="154"/>
      <c r="K4472" s="155" t="s">
        <v>2966</v>
      </c>
    </row>
    <row r="4473" spans="1:11" hidden="1" x14ac:dyDescent="0.25">
      <c r="A4473" s="148" t="s">
        <v>2545</v>
      </c>
      <c r="B4473" s="149" t="s">
        <v>10061</v>
      </c>
      <c r="C4473" s="150" t="s">
        <v>106</v>
      </c>
      <c r="D4473" s="150">
        <v>0</v>
      </c>
      <c r="E4473" s="151">
        <f ca="1">OFFSET(INDEX(Composições!A:H,MATCH(Orçamentária!A4473,Composições!A:A,0),8),2,0)</f>
        <v>124.04149999999998</v>
      </c>
      <c r="F4473" s="152">
        <f t="shared" ca="1" si="209"/>
        <v>0</v>
      </c>
      <c r="G4473" s="153">
        <f>IF($K4473="Padrão",BDI!$B$17,IF($K4473="Diferenciado",BDI!$E$17,0))</f>
        <v>0.2039</v>
      </c>
      <c r="H4473" s="151">
        <f t="shared" ca="1" si="207"/>
        <v>149.33000000000001</v>
      </c>
      <c r="I4473" s="152">
        <f t="shared" ca="1" si="208"/>
        <v>0</v>
      </c>
      <c r="J4473" s="154"/>
      <c r="K4473" s="155" t="s">
        <v>2966</v>
      </c>
    </row>
    <row r="4474" spans="1:11" hidden="1" x14ac:dyDescent="0.25">
      <c r="A4474" s="148" t="s">
        <v>10062</v>
      </c>
      <c r="B4474" s="149" t="s">
        <v>10063</v>
      </c>
      <c r="C4474" s="150" t="s">
        <v>18</v>
      </c>
      <c r="D4474" s="150">
        <v>0</v>
      </c>
      <c r="E4474" s="151" t="s">
        <v>13</v>
      </c>
      <c r="F4474" s="152" t="str">
        <f t="shared" si="209"/>
        <v/>
      </c>
      <c r="G4474" s="153">
        <f>IF($K4474="Padrão",BDI!$B$17,IF($K4474="Diferenciado",BDI!$E$17,0))</f>
        <v>0.2039</v>
      </c>
      <c r="H4474" s="151" t="str">
        <f t="shared" si="207"/>
        <v/>
      </c>
      <c r="I4474" s="152" t="str">
        <f t="shared" si="208"/>
        <v/>
      </c>
      <c r="J4474" s="154"/>
      <c r="K4474" s="155" t="s">
        <v>2966</v>
      </c>
    </row>
    <row r="4475" spans="1:11" hidden="1" x14ac:dyDescent="0.25">
      <c r="A4475" s="148" t="s">
        <v>2546</v>
      </c>
      <c r="B4475" s="149" t="s">
        <v>10064</v>
      </c>
      <c r="C4475" s="150" t="s">
        <v>461</v>
      </c>
      <c r="D4475" s="150">
        <v>0</v>
      </c>
      <c r="E4475" s="151">
        <f ca="1">OFFSET(INDEX(Composições!A:H,MATCH(Orçamentária!A4475,Composições!A:A,0),8),2,0)</f>
        <v>418.86389960000002</v>
      </c>
      <c r="F4475" s="152">
        <f t="shared" ca="1" si="209"/>
        <v>0</v>
      </c>
      <c r="G4475" s="153">
        <f>IF($K4475="Padrão",BDI!$B$17,IF($K4475="Diferenciado",BDI!$E$17,0))</f>
        <v>0.2039</v>
      </c>
      <c r="H4475" s="151">
        <f t="shared" ca="1" si="207"/>
        <v>504.27</v>
      </c>
      <c r="I4475" s="152">
        <f t="shared" ca="1" si="208"/>
        <v>0</v>
      </c>
      <c r="J4475" s="154"/>
      <c r="K4475" s="155" t="s">
        <v>2966</v>
      </c>
    </row>
    <row r="4476" spans="1:11" hidden="1" x14ac:dyDescent="0.25">
      <c r="A4476" s="148" t="s">
        <v>2548</v>
      </c>
      <c r="B4476" s="149" t="s">
        <v>10065</v>
      </c>
      <c r="C4476" s="150" t="s">
        <v>18</v>
      </c>
      <c r="D4476" s="150">
        <v>0</v>
      </c>
      <c r="E4476" s="151">
        <f ca="1">OFFSET(INDEX(Composições!A:H,MATCH(Orçamentária!A4476,Composições!A:A,0),8),2,0)</f>
        <v>32.242999999999995</v>
      </c>
      <c r="F4476" s="152">
        <f t="shared" ca="1" si="209"/>
        <v>0</v>
      </c>
      <c r="G4476" s="153">
        <f>IF($K4476="Padrão",BDI!$B$17,IF($K4476="Diferenciado",BDI!$E$17,0))</f>
        <v>0.2039</v>
      </c>
      <c r="H4476" s="151">
        <f t="shared" ca="1" si="207"/>
        <v>38.82</v>
      </c>
      <c r="I4476" s="152">
        <f t="shared" ca="1" si="208"/>
        <v>0</v>
      </c>
      <c r="J4476" s="154"/>
      <c r="K4476" s="155" t="s">
        <v>2966</v>
      </c>
    </row>
    <row r="4477" spans="1:11" hidden="1" x14ac:dyDescent="0.25">
      <c r="A4477" s="148" t="s">
        <v>10066</v>
      </c>
      <c r="B4477" s="149" t="s">
        <v>10067</v>
      </c>
      <c r="C4477" s="150" t="s">
        <v>18</v>
      </c>
      <c r="D4477" s="150">
        <v>0</v>
      </c>
      <c r="E4477" s="151" t="s">
        <v>13</v>
      </c>
      <c r="F4477" s="152" t="str">
        <f t="shared" si="209"/>
        <v/>
      </c>
      <c r="G4477" s="153">
        <f>IF($K4477="Padrão",BDI!$B$17,IF($K4477="Diferenciado",BDI!$E$17,0))</f>
        <v>0.2039</v>
      </c>
      <c r="H4477" s="151" t="str">
        <f t="shared" si="207"/>
        <v/>
      </c>
      <c r="I4477" s="152" t="str">
        <f t="shared" si="208"/>
        <v/>
      </c>
      <c r="J4477" s="154"/>
      <c r="K4477" s="155" t="s">
        <v>2966</v>
      </c>
    </row>
    <row r="4478" spans="1:11" hidden="1" x14ac:dyDescent="0.25">
      <c r="A4478" s="148" t="s">
        <v>10068</v>
      </c>
      <c r="B4478" s="149" t="s">
        <v>10069</v>
      </c>
      <c r="C4478" s="150" t="s">
        <v>18</v>
      </c>
      <c r="D4478" s="150">
        <v>0</v>
      </c>
      <c r="E4478" s="151" t="s">
        <v>13</v>
      </c>
      <c r="F4478" s="152" t="str">
        <f t="shared" si="209"/>
        <v/>
      </c>
      <c r="G4478" s="153">
        <f>IF($K4478="Padrão",BDI!$B$17,IF($K4478="Diferenciado",BDI!$E$17,0))</f>
        <v>0.2039</v>
      </c>
      <c r="H4478" s="151" t="str">
        <f t="shared" si="207"/>
        <v/>
      </c>
      <c r="I4478" s="152" t="str">
        <f t="shared" si="208"/>
        <v/>
      </c>
      <c r="J4478" s="154"/>
      <c r="K4478" s="155" t="s">
        <v>2966</v>
      </c>
    </row>
    <row r="4479" spans="1:11" hidden="1" x14ac:dyDescent="0.25">
      <c r="A4479" s="148" t="s">
        <v>10070</v>
      </c>
      <c r="B4479" s="149" t="s">
        <v>10071</v>
      </c>
      <c r="C4479" s="150" t="s">
        <v>18</v>
      </c>
      <c r="D4479" s="150">
        <v>0</v>
      </c>
      <c r="E4479" s="151" t="s">
        <v>13</v>
      </c>
      <c r="F4479" s="152" t="str">
        <f t="shared" si="209"/>
        <v/>
      </c>
      <c r="G4479" s="153">
        <f>IF($K4479="Padrão",BDI!$B$17,IF($K4479="Diferenciado",BDI!$E$17,0))</f>
        <v>0.2039</v>
      </c>
      <c r="H4479" s="151" t="str">
        <f t="shared" si="207"/>
        <v/>
      </c>
      <c r="I4479" s="152" t="str">
        <f t="shared" si="208"/>
        <v/>
      </c>
      <c r="J4479" s="154"/>
      <c r="K4479" s="155" t="s">
        <v>2966</v>
      </c>
    </row>
    <row r="4480" spans="1:11" hidden="1" x14ac:dyDescent="0.25">
      <c r="A4480" s="148" t="s">
        <v>2549</v>
      </c>
      <c r="B4480" s="149" t="s">
        <v>10072</v>
      </c>
      <c r="C4480" s="150" t="s">
        <v>18</v>
      </c>
      <c r="D4480" s="150">
        <v>0</v>
      </c>
      <c r="E4480" s="151">
        <f ca="1">OFFSET(INDEX(Composições!A:H,MATCH(Orçamentária!A4480,Composições!A:A,0),8),2,0)</f>
        <v>18.3065</v>
      </c>
      <c r="F4480" s="152">
        <f t="shared" ca="1" si="209"/>
        <v>0</v>
      </c>
      <c r="G4480" s="153">
        <f>IF($K4480="Padrão",BDI!$B$17,IF($K4480="Diferenciado",BDI!$E$17,0))</f>
        <v>0.2039</v>
      </c>
      <c r="H4480" s="151">
        <f t="shared" ca="1" si="207"/>
        <v>22.04</v>
      </c>
      <c r="I4480" s="152">
        <f t="shared" ca="1" si="208"/>
        <v>0</v>
      </c>
      <c r="J4480" s="154"/>
      <c r="K4480" s="155" t="s">
        <v>2966</v>
      </c>
    </row>
    <row r="4481" spans="1:11" hidden="1" x14ac:dyDescent="0.25">
      <c r="A4481" s="148" t="s">
        <v>2550</v>
      </c>
      <c r="B4481" s="149" t="s">
        <v>10073</v>
      </c>
      <c r="C4481" s="150" t="s">
        <v>18</v>
      </c>
      <c r="D4481" s="150">
        <v>0</v>
      </c>
      <c r="E4481" s="151">
        <f ca="1">OFFSET(INDEX(Composições!A:H,MATCH(Orçamentária!A4481,Composições!A:A,0),8),2,0)</f>
        <v>29.383499999999998</v>
      </c>
      <c r="F4481" s="152">
        <f t="shared" ca="1" si="209"/>
        <v>0</v>
      </c>
      <c r="G4481" s="153">
        <f>IF($K4481="Padrão",BDI!$B$17,IF($K4481="Diferenciado",BDI!$E$17,0))</f>
        <v>0.2039</v>
      </c>
      <c r="H4481" s="151">
        <f t="shared" ca="1" si="207"/>
        <v>35.369999999999997</v>
      </c>
      <c r="I4481" s="152">
        <f t="shared" ca="1" si="208"/>
        <v>0</v>
      </c>
      <c r="J4481" s="154"/>
      <c r="K4481" s="155" t="s">
        <v>2966</v>
      </c>
    </row>
    <row r="4482" spans="1:11" hidden="1" x14ac:dyDescent="0.25">
      <c r="A4482" s="148" t="s">
        <v>2551</v>
      </c>
      <c r="B4482" s="149" t="s">
        <v>10074</v>
      </c>
      <c r="C4482" s="150" t="s">
        <v>18</v>
      </c>
      <c r="D4482" s="150">
        <v>0</v>
      </c>
      <c r="E4482" s="151">
        <f ca="1">OFFSET(INDEX(Composições!A:H,MATCH(Orçamentária!A4482,Composições!A:A,0),8),2,0)</f>
        <v>65.378999999999991</v>
      </c>
      <c r="F4482" s="152">
        <f t="shared" ca="1" si="209"/>
        <v>0</v>
      </c>
      <c r="G4482" s="153">
        <f>IF($K4482="Padrão",BDI!$B$17,IF($K4482="Diferenciado",BDI!$E$17,0))</f>
        <v>0.2039</v>
      </c>
      <c r="H4482" s="151">
        <f t="shared" ca="1" si="207"/>
        <v>78.709999999999994</v>
      </c>
      <c r="I4482" s="152">
        <f t="shared" ca="1" si="208"/>
        <v>0</v>
      </c>
      <c r="J4482" s="154"/>
      <c r="K4482" s="155" t="s">
        <v>2966</v>
      </c>
    </row>
    <row r="4483" spans="1:11" hidden="1" x14ac:dyDescent="0.25">
      <c r="A4483" s="148" t="s">
        <v>2552</v>
      </c>
      <c r="B4483" s="149" t="s">
        <v>10075</v>
      </c>
      <c r="C4483" s="150" t="s">
        <v>18</v>
      </c>
      <c r="D4483" s="150">
        <v>0</v>
      </c>
      <c r="E4483" s="151">
        <f ca="1">OFFSET(INDEX(Composições!A:H,MATCH(Orçamentária!A4483,Composições!A:A,0),8),2,0)</f>
        <v>117.78099999999999</v>
      </c>
      <c r="F4483" s="152">
        <f t="shared" ca="1" si="209"/>
        <v>0</v>
      </c>
      <c r="G4483" s="153">
        <f>IF($K4483="Padrão",BDI!$B$17,IF($K4483="Diferenciado",BDI!$E$17,0))</f>
        <v>0.2039</v>
      </c>
      <c r="H4483" s="151">
        <f t="shared" ca="1" si="207"/>
        <v>141.80000000000001</v>
      </c>
      <c r="I4483" s="152">
        <f t="shared" ca="1" si="208"/>
        <v>0</v>
      </c>
      <c r="J4483" s="154"/>
      <c r="K4483" s="155" t="s">
        <v>2966</v>
      </c>
    </row>
    <row r="4484" spans="1:11" hidden="1" x14ac:dyDescent="0.25">
      <c r="A4484" s="148" t="s">
        <v>2553</v>
      </c>
      <c r="B4484" s="149" t="s">
        <v>10076</v>
      </c>
      <c r="C4484" s="150" t="s">
        <v>18</v>
      </c>
      <c r="D4484" s="150">
        <v>0</v>
      </c>
      <c r="E4484" s="151">
        <f ca="1">OFFSET(INDEX(Composições!A:H,MATCH(Orçamentária!A4484,Composições!A:A,0),8),2,0)</f>
        <v>17.841000000000001</v>
      </c>
      <c r="F4484" s="152">
        <f t="shared" ca="1" si="209"/>
        <v>0</v>
      </c>
      <c r="G4484" s="153">
        <f>IF($K4484="Padrão",BDI!$B$17,IF($K4484="Diferenciado",BDI!$E$17,0))</f>
        <v>0.2039</v>
      </c>
      <c r="H4484" s="151">
        <f t="shared" ca="1" si="207"/>
        <v>21.48</v>
      </c>
      <c r="I4484" s="152">
        <f t="shared" ca="1" si="208"/>
        <v>0</v>
      </c>
      <c r="J4484" s="154"/>
      <c r="K4484" s="155" t="s">
        <v>2966</v>
      </c>
    </row>
    <row r="4485" spans="1:11" hidden="1" x14ac:dyDescent="0.25">
      <c r="A4485" s="148" t="s">
        <v>2554</v>
      </c>
      <c r="B4485" s="149" t="s">
        <v>10077</v>
      </c>
      <c r="C4485" s="150" t="s">
        <v>18</v>
      </c>
      <c r="D4485" s="150">
        <v>0</v>
      </c>
      <c r="E4485" s="151">
        <f ca="1">OFFSET(INDEX(Composições!A:H,MATCH(Orçamentária!A4485,Composições!A:A,0),8),2,0)</f>
        <v>11.02</v>
      </c>
      <c r="F4485" s="152">
        <f t="shared" ca="1" si="209"/>
        <v>0</v>
      </c>
      <c r="G4485" s="153">
        <f>IF($K4485="Padrão",BDI!$B$17,IF($K4485="Diferenciado",BDI!$E$17,0))</f>
        <v>0.2039</v>
      </c>
      <c r="H4485" s="151">
        <f t="shared" ca="1" si="207"/>
        <v>13.27</v>
      </c>
      <c r="I4485" s="152">
        <f t="shared" ca="1" si="208"/>
        <v>0</v>
      </c>
      <c r="J4485" s="154"/>
      <c r="K4485" s="155" t="s">
        <v>2966</v>
      </c>
    </row>
    <row r="4486" spans="1:11" hidden="1" x14ac:dyDescent="0.25">
      <c r="A4486" s="148" t="s">
        <v>2555</v>
      </c>
      <c r="B4486" s="149" t="s">
        <v>10078</v>
      </c>
      <c r="C4486" s="150" t="s">
        <v>18</v>
      </c>
      <c r="D4486" s="150">
        <v>0</v>
      </c>
      <c r="E4486" s="151">
        <f ca="1">OFFSET(INDEX(Composições!A:H,MATCH(Orçamentária!A4486,Composições!A:A,0),8),2,0)</f>
        <v>17.841000000000001</v>
      </c>
      <c r="F4486" s="152">
        <f t="shared" ca="1" si="209"/>
        <v>0</v>
      </c>
      <c r="G4486" s="153">
        <f>IF($K4486="Padrão",BDI!$B$17,IF($K4486="Diferenciado",BDI!$E$17,0))</f>
        <v>0.2039</v>
      </c>
      <c r="H4486" s="151">
        <f t="shared" ref="H4486:H4549" ca="1" si="210">IF(ISNUMBER(E4486),ROUND(E4486*(1+G4486),2),"")</f>
        <v>21.48</v>
      </c>
      <c r="I4486" s="152">
        <f t="shared" ref="I4486:I4549" ca="1" si="211">IF(ISNUMBER(E4486),ROUND(H4486*D4486,2),"")</f>
        <v>0</v>
      </c>
      <c r="J4486" s="154"/>
      <c r="K4486" s="155" t="s">
        <v>2966</v>
      </c>
    </row>
    <row r="4487" spans="1:11" hidden="1" x14ac:dyDescent="0.25">
      <c r="A4487" s="148" t="s">
        <v>2556</v>
      </c>
      <c r="B4487" s="149" t="s">
        <v>10079</v>
      </c>
      <c r="C4487" s="150" t="s">
        <v>18</v>
      </c>
      <c r="D4487" s="150">
        <v>0</v>
      </c>
      <c r="E4487" s="151">
        <f ca="1">OFFSET(INDEX(Composições!A:H,MATCH(Orçamentária!A4487,Composições!A:A,0),8),2,0)</f>
        <v>39.576999999999998</v>
      </c>
      <c r="F4487" s="152">
        <f t="shared" ref="F4487:F4550" ca="1" si="212">IF(ISNUMBER(E4487),D4487*E4487,"")</f>
        <v>0</v>
      </c>
      <c r="G4487" s="153">
        <f>IF($K4487="Padrão",BDI!$B$17,IF($K4487="Diferenciado",BDI!$E$17,0))</f>
        <v>0.2039</v>
      </c>
      <c r="H4487" s="151">
        <f t="shared" ca="1" si="210"/>
        <v>47.65</v>
      </c>
      <c r="I4487" s="152">
        <f t="shared" ca="1" si="211"/>
        <v>0</v>
      </c>
      <c r="J4487" s="154"/>
      <c r="K4487" s="155" t="s">
        <v>2966</v>
      </c>
    </row>
    <row r="4488" spans="1:11" hidden="1" x14ac:dyDescent="0.25">
      <c r="A4488" s="148" t="s">
        <v>2557</v>
      </c>
      <c r="B4488" s="149" t="s">
        <v>10080</v>
      </c>
      <c r="C4488" s="150" t="s">
        <v>18</v>
      </c>
      <c r="D4488" s="150">
        <v>0</v>
      </c>
      <c r="E4488" s="151">
        <f ca="1">OFFSET(INDEX(Composições!A:H,MATCH(Orçamentária!A4488,Composições!A:A,0),8),2,0)</f>
        <v>61.008999999999993</v>
      </c>
      <c r="F4488" s="152">
        <f t="shared" ca="1" si="212"/>
        <v>0</v>
      </c>
      <c r="G4488" s="153">
        <f>IF($K4488="Padrão",BDI!$B$17,IF($K4488="Diferenciado",BDI!$E$17,0))</f>
        <v>0.2039</v>
      </c>
      <c r="H4488" s="151">
        <f t="shared" ca="1" si="210"/>
        <v>73.45</v>
      </c>
      <c r="I4488" s="152">
        <f t="shared" ca="1" si="211"/>
        <v>0</v>
      </c>
      <c r="J4488" s="154"/>
      <c r="K4488" s="155" t="s">
        <v>2966</v>
      </c>
    </row>
    <row r="4489" spans="1:11" hidden="1" x14ac:dyDescent="0.25">
      <c r="A4489" s="148" t="s">
        <v>2558</v>
      </c>
      <c r="B4489" s="149" t="s">
        <v>10081</v>
      </c>
      <c r="C4489" s="150" t="s">
        <v>18</v>
      </c>
      <c r="D4489" s="150">
        <v>0</v>
      </c>
      <c r="E4489" s="151">
        <f ca="1">OFFSET(INDEX(Composições!A:H,MATCH(Orçamentária!A4489,Composições!A:A,0),8),2,0)</f>
        <v>93.622499999999988</v>
      </c>
      <c r="F4489" s="152">
        <f t="shared" ca="1" si="212"/>
        <v>0</v>
      </c>
      <c r="G4489" s="153">
        <f>IF($K4489="Padrão",BDI!$B$17,IF($K4489="Diferenciado",BDI!$E$17,0))</f>
        <v>0.2039</v>
      </c>
      <c r="H4489" s="151">
        <f t="shared" ca="1" si="210"/>
        <v>112.71</v>
      </c>
      <c r="I4489" s="152">
        <f t="shared" ca="1" si="211"/>
        <v>0</v>
      </c>
      <c r="J4489" s="154"/>
      <c r="K4489" s="155" t="s">
        <v>2966</v>
      </c>
    </row>
    <row r="4490" spans="1:11" hidden="1" x14ac:dyDescent="0.25">
      <c r="A4490" s="148" t="s">
        <v>2559</v>
      </c>
      <c r="B4490" s="149" t="s">
        <v>10082</v>
      </c>
      <c r="C4490" s="150" t="s">
        <v>18</v>
      </c>
      <c r="D4490" s="150">
        <v>0</v>
      </c>
      <c r="E4490" s="151">
        <f ca="1">OFFSET(INDEX(Composições!A:H,MATCH(Orçamentária!A4490,Composições!A:A,0),8),2,0)</f>
        <v>267.30149999999998</v>
      </c>
      <c r="F4490" s="152">
        <f t="shared" ca="1" si="212"/>
        <v>0</v>
      </c>
      <c r="G4490" s="153">
        <f>IF($K4490="Padrão",BDI!$B$17,IF($K4490="Diferenciado",BDI!$E$17,0))</f>
        <v>0.2039</v>
      </c>
      <c r="H4490" s="151">
        <f t="shared" ca="1" si="210"/>
        <v>321.8</v>
      </c>
      <c r="I4490" s="152">
        <f t="shared" ca="1" si="211"/>
        <v>0</v>
      </c>
      <c r="J4490" s="154"/>
      <c r="K4490" s="155" t="s">
        <v>2966</v>
      </c>
    </row>
    <row r="4491" spans="1:11" hidden="1" x14ac:dyDescent="0.25">
      <c r="A4491" s="148" t="s">
        <v>10083</v>
      </c>
      <c r="B4491" s="149" t="s">
        <v>10084</v>
      </c>
      <c r="C4491" s="150" t="s">
        <v>18</v>
      </c>
      <c r="D4491" s="150">
        <v>0</v>
      </c>
      <c r="E4491" s="151" t="s">
        <v>13</v>
      </c>
      <c r="F4491" s="152" t="str">
        <f t="shared" si="212"/>
        <v/>
      </c>
      <c r="G4491" s="153">
        <f>IF($K4491="Padrão",BDI!$B$17,IF($K4491="Diferenciado",BDI!$E$17,0))</f>
        <v>0.2039</v>
      </c>
      <c r="H4491" s="151" t="str">
        <f t="shared" si="210"/>
        <v/>
      </c>
      <c r="I4491" s="152" t="str">
        <f t="shared" si="211"/>
        <v/>
      </c>
      <c r="J4491" s="154"/>
      <c r="K4491" s="155" t="s">
        <v>2966</v>
      </c>
    </row>
    <row r="4492" spans="1:11" hidden="1" x14ac:dyDescent="0.25">
      <c r="A4492" s="148" t="s">
        <v>2560</v>
      </c>
      <c r="B4492" s="149" t="s">
        <v>10085</v>
      </c>
      <c r="C4492" s="150" t="s">
        <v>18</v>
      </c>
      <c r="D4492" s="150">
        <v>0</v>
      </c>
      <c r="E4492" s="151">
        <f ca="1">OFFSET(INDEX(Composições!A:H,MATCH(Orçamentária!A4492,Composições!A:A,0),8),2,0)</f>
        <v>14.354499999999998</v>
      </c>
      <c r="F4492" s="152">
        <f t="shared" ca="1" si="212"/>
        <v>0</v>
      </c>
      <c r="G4492" s="153">
        <f>IF($K4492="Padrão",BDI!$B$17,IF($K4492="Diferenciado",BDI!$E$17,0))</f>
        <v>0.2039</v>
      </c>
      <c r="H4492" s="151">
        <f t="shared" ca="1" si="210"/>
        <v>17.28</v>
      </c>
      <c r="I4492" s="152">
        <f t="shared" ca="1" si="211"/>
        <v>0</v>
      </c>
      <c r="J4492" s="154"/>
      <c r="K4492" s="155" t="s">
        <v>2966</v>
      </c>
    </row>
    <row r="4493" spans="1:11" hidden="1" x14ac:dyDescent="0.25">
      <c r="A4493" s="148" t="s">
        <v>2561</v>
      </c>
      <c r="B4493" s="149" t="s">
        <v>10086</v>
      </c>
      <c r="C4493" s="150" t="s">
        <v>18</v>
      </c>
      <c r="D4493" s="150">
        <v>0</v>
      </c>
      <c r="E4493" s="151">
        <f ca="1">OFFSET(INDEX(Composições!A:H,MATCH(Orçamentária!A4493,Composições!A:A,0),8),2,0)</f>
        <v>32.812999999999995</v>
      </c>
      <c r="F4493" s="152">
        <f t="shared" ca="1" si="212"/>
        <v>0</v>
      </c>
      <c r="G4493" s="153">
        <f>IF($K4493="Padrão",BDI!$B$17,IF($K4493="Diferenciado",BDI!$E$17,0))</f>
        <v>0.2039</v>
      </c>
      <c r="H4493" s="151">
        <f t="shared" ca="1" si="210"/>
        <v>39.5</v>
      </c>
      <c r="I4493" s="152">
        <f t="shared" ca="1" si="211"/>
        <v>0</v>
      </c>
      <c r="J4493" s="154"/>
      <c r="K4493" s="155" t="s">
        <v>2966</v>
      </c>
    </row>
    <row r="4494" spans="1:11" hidden="1" x14ac:dyDescent="0.25">
      <c r="A4494" s="148" t="s">
        <v>2562</v>
      </c>
      <c r="B4494" s="149" t="s">
        <v>10087</v>
      </c>
      <c r="C4494" s="150" t="s">
        <v>18</v>
      </c>
      <c r="D4494" s="150">
        <v>0</v>
      </c>
      <c r="E4494" s="151">
        <f ca="1">OFFSET(INDEX(Composições!A:H,MATCH(Orçamentária!A4494,Composições!A:A,0),8),2,0)</f>
        <v>39.652999999999999</v>
      </c>
      <c r="F4494" s="152">
        <f t="shared" ca="1" si="212"/>
        <v>0</v>
      </c>
      <c r="G4494" s="153">
        <f>IF($K4494="Padrão",BDI!$B$17,IF($K4494="Diferenciado",BDI!$E$17,0))</f>
        <v>0.2039</v>
      </c>
      <c r="H4494" s="151">
        <f t="shared" ca="1" si="210"/>
        <v>47.74</v>
      </c>
      <c r="I4494" s="152">
        <f t="shared" ca="1" si="211"/>
        <v>0</v>
      </c>
      <c r="J4494" s="154"/>
      <c r="K4494" s="155" t="s">
        <v>2966</v>
      </c>
    </row>
    <row r="4495" spans="1:11" hidden="1" x14ac:dyDescent="0.25">
      <c r="A4495" s="148" t="s">
        <v>10088</v>
      </c>
      <c r="B4495" s="149" t="s">
        <v>10089</v>
      </c>
      <c r="C4495" s="150" t="s">
        <v>18</v>
      </c>
      <c r="D4495" s="150">
        <v>0</v>
      </c>
      <c r="E4495" s="151" t="s">
        <v>13</v>
      </c>
      <c r="F4495" s="152" t="str">
        <f t="shared" si="212"/>
        <v/>
      </c>
      <c r="G4495" s="153">
        <f>IF($K4495="Padrão",BDI!$B$17,IF($K4495="Diferenciado",BDI!$E$17,0))</f>
        <v>0.2039</v>
      </c>
      <c r="H4495" s="151" t="str">
        <f t="shared" si="210"/>
        <v/>
      </c>
      <c r="I4495" s="152" t="str">
        <f t="shared" si="211"/>
        <v/>
      </c>
      <c r="J4495" s="154"/>
      <c r="K4495" s="155" t="s">
        <v>2966</v>
      </c>
    </row>
    <row r="4496" spans="1:11" hidden="1" x14ac:dyDescent="0.25">
      <c r="A4496" s="148" t="s">
        <v>10090</v>
      </c>
      <c r="B4496" s="149" t="s">
        <v>10091</v>
      </c>
      <c r="C4496" s="150" t="s">
        <v>18</v>
      </c>
      <c r="D4496" s="150">
        <v>0</v>
      </c>
      <c r="E4496" s="151" t="s">
        <v>13</v>
      </c>
      <c r="F4496" s="152" t="str">
        <f t="shared" si="212"/>
        <v/>
      </c>
      <c r="G4496" s="153">
        <f>IF($K4496="Padrão",BDI!$B$17,IF($K4496="Diferenciado",BDI!$E$17,0))</f>
        <v>0.2039</v>
      </c>
      <c r="H4496" s="151" t="str">
        <f t="shared" si="210"/>
        <v/>
      </c>
      <c r="I4496" s="152" t="str">
        <f t="shared" si="211"/>
        <v/>
      </c>
      <c r="J4496" s="154"/>
      <c r="K4496" s="155" t="s">
        <v>2966</v>
      </c>
    </row>
    <row r="4497" spans="1:11" hidden="1" x14ac:dyDescent="0.25">
      <c r="A4497" s="148" t="s">
        <v>10092</v>
      </c>
      <c r="B4497" s="149" t="s">
        <v>10093</v>
      </c>
      <c r="C4497" s="150" t="s">
        <v>18</v>
      </c>
      <c r="D4497" s="150">
        <v>0</v>
      </c>
      <c r="E4497" s="151" t="s">
        <v>13</v>
      </c>
      <c r="F4497" s="152" t="str">
        <f t="shared" si="212"/>
        <v/>
      </c>
      <c r="G4497" s="153">
        <f>IF($K4497="Padrão",BDI!$B$17,IF($K4497="Diferenciado",BDI!$E$17,0))</f>
        <v>0.2039</v>
      </c>
      <c r="H4497" s="151" t="str">
        <f t="shared" si="210"/>
        <v/>
      </c>
      <c r="I4497" s="152" t="str">
        <f t="shared" si="211"/>
        <v/>
      </c>
      <c r="J4497" s="154"/>
      <c r="K4497" s="155" t="s">
        <v>2966</v>
      </c>
    </row>
    <row r="4498" spans="1:11" ht="25.5" hidden="1" x14ac:dyDescent="0.25">
      <c r="A4498" s="148" t="s">
        <v>2563</v>
      </c>
      <c r="B4498" s="149" t="s">
        <v>2564</v>
      </c>
      <c r="C4498" s="150" t="s">
        <v>18</v>
      </c>
      <c r="D4498" s="150">
        <v>0</v>
      </c>
      <c r="E4498" s="151">
        <f ca="1">OFFSET(INDEX(Composições!A:H,MATCH(Orçamentária!A4498,Composições!A:A,0),8),2,0)</f>
        <v>0</v>
      </c>
      <c r="F4498" s="152">
        <f t="shared" ca="1" si="212"/>
        <v>0</v>
      </c>
      <c r="G4498" s="153">
        <f>IF($K4498="Padrão",BDI!$B$17,IF($K4498="Diferenciado",BDI!$E$17,0))</f>
        <v>0.2039</v>
      </c>
      <c r="H4498" s="151">
        <f t="shared" ca="1" si="210"/>
        <v>0</v>
      </c>
      <c r="I4498" s="152">
        <f t="shared" ca="1" si="211"/>
        <v>0</v>
      </c>
      <c r="J4498" s="154"/>
      <c r="K4498" s="155" t="s">
        <v>2966</v>
      </c>
    </row>
    <row r="4499" spans="1:11" ht="25.5" hidden="1" x14ac:dyDescent="0.25">
      <c r="A4499" s="148" t="s">
        <v>2565</v>
      </c>
      <c r="B4499" s="149" t="s">
        <v>2566</v>
      </c>
      <c r="C4499" s="150" t="s">
        <v>18</v>
      </c>
      <c r="D4499" s="150">
        <v>0</v>
      </c>
      <c r="E4499" s="151">
        <f ca="1">OFFSET(INDEX(Composições!A:H,MATCH(Orçamentária!A4499,Composições!A:A,0),8),2,0)</f>
        <v>0</v>
      </c>
      <c r="F4499" s="152">
        <f t="shared" ca="1" si="212"/>
        <v>0</v>
      </c>
      <c r="G4499" s="153">
        <f>IF($K4499="Padrão",BDI!$B$17,IF($K4499="Diferenciado",BDI!$E$17,0))</f>
        <v>0.2039</v>
      </c>
      <c r="H4499" s="151">
        <f t="shared" ca="1" si="210"/>
        <v>0</v>
      </c>
      <c r="I4499" s="152">
        <f t="shared" ca="1" si="211"/>
        <v>0</v>
      </c>
      <c r="J4499" s="154"/>
      <c r="K4499" s="155" t="s">
        <v>2966</v>
      </c>
    </row>
    <row r="4500" spans="1:11" ht="25.5" hidden="1" x14ac:dyDescent="0.25">
      <c r="A4500" s="148" t="s">
        <v>2567</v>
      </c>
      <c r="B4500" s="149" t="s">
        <v>2568</v>
      </c>
      <c r="C4500" s="150" t="s">
        <v>18</v>
      </c>
      <c r="D4500" s="150">
        <v>0</v>
      </c>
      <c r="E4500" s="151">
        <f ca="1">OFFSET(INDEX(Composições!A:H,MATCH(Orçamentária!A4500,Composições!A:A,0),8),2,0)</f>
        <v>0</v>
      </c>
      <c r="F4500" s="152">
        <f t="shared" ca="1" si="212"/>
        <v>0</v>
      </c>
      <c r="G4500" s="153">
        <f>IF($K4500="Padrão",BDI!$B$17,IF($K4500="Diferenciado",BDI!$E$17,0))</f>
        <v>0.2039</v>
      </c>
      <c r="H4500" s="151">
        <f t="shared" ca="1" si="210"/>
        <v>0</v>
      </c>
      <c r="I4500" s="152">
        <f t="shared" ca="1" si="211"/>
        <v>0</v>
      </c>
      <c r="J4500" s="154"/>
      <c r="K4500" s="155" t="s">
        <v>2966</v>
      </c>
    </row>
    <row r="4501" spans="1:11" ht="25.5" hidden="1" x14ac:dyDescent="0.25">
      <c r="A4501" s="148" t="s">
        <v>2569</v>
      </c>
      <c r="B4501" s="149" t="s">
        <v>2570</v>
      </c>
      <c r="C4501" s="150" t="s">
        <v>18</v>
      </c>
      <c r="D4501" s="150">
        <v>0</v>
      </c>
      <c r="E4501" s="151">
        <f ca="1">OFFSET(INDEX(Composições!A:H,MATCH(Orçamentária!A4501,Composições!A:A,0),8),2,0)</f>
        <v>0</v>
      </c>
      <c r="F4501" s="152">
        <f t="shared" ca="1" si="212"/>
        <v>0</v>
      </c>
      <c r="G4501" s="153">
        <f>IF($K4501="Padrão",BDI!$B$17,IF($K4501="Diferenciado",BDI!$E$17,0))</f>
        <v>0.2039</v>
      </c>
      <c r="H4501" s="151">
        <f t="shared" ca="1" si="210"/>
        <v>0</v>
      </c>
      <c r="I4501" s="152">
        <f t="shared" ca="1" si="211"/>
        <v>0</v>
      </c>
      <c r="J4501" s="154"/>
      <c r="K4501" s="155" t="s">
        <v>2966</v>
      </c>
    </row>
    <row r="4502" spans="1:11" ht="25.5" hidden="1" x14ac:dyDescent="0.25">
      <c r="A4502" s="148" t="s">
        <v>2571</v>
      </c>
      <c r="B4502" s="149" t="s">
        <v>2572</v>
      </c>
      <c r="C4502" s="150" t="s">
        <v>18</v>
      </c>
      <c r="D4502" s="150">
        <v>0</v>
      </c>
      <c r="E4502" s="151">
        <f ca="1">OFFSET(INDEX(Composições!A:H,MATCH(Orçamentária!A4502,Composições!A:A,0),8),2,0)</f>
        <v>0</v>
      </c>
      <c r="F4502" s="152">
        <f t="shared" ca="1" si="212"/>
        <v>0</v>
      </c>
      <c r="G4502" s="153">
        <f>IF($K4502="Padrão",BDI!$B$17,IF($K4502="Diferenciado",BDI!$E$17,0))</f>
        <v>0.2039</v>
      </c>
      <c r="H4502" s="151">
        <f t="shared" ca="1" si="210"/>
        <v>0</v>
      </c>
      <c r="I4502" s="152">
        <f t="shared" ca="1" si="211"/>
        <v>0</v>
      </c>
      <c r="J4502" s="154"/>
      <c r="K4502" s="155" t="s">
        <v>2966</v>
      </c>
    </row>
    <row r="4503" spans="1:11" ht="25.5" hidden="1" x14ac:dyDescent="0.25">
      <c r="A4503" s="148" t="s">
        <v>2573</v>
      </c>
      <c r="B4503" s="149" t="s">
        <v>2574</v>
      </c>
      <c r="C4503" s="150" t="s">
        <v>18</v>
      </c>
      <c r="D4503" s="150">
        <v>0</v>
      </c>
      <c r="E4503" s="151">
        <f ca="1">OFFSET(INDEX(Composições!A:H,MATCH(Orçamentária!A4503,Composições!A:A,0),8),2,0)</f>
        <v>0</v>
      </c>
      <c r="F4503" s="152">
        <f t="shared" ca="1" si="212"/>
        <v>0</v>
      </c>
      <c r="G4503" s="153">
        <f>IF($K4503="Padrão",BDI!$B$17,IF($K4503="Diferenciado",BDI!$E$17,0))</f>
        <v>0.2039</v>
      </c>
      <c r="H4503" s="151">
        <f t="shared" ca="1" si="210"/>
        <v>0</v>
      </c>
      <c r="I4503" s="152">
        <f t="shared" ca="1" si="211"/>
        <v>0</v>
      </c>
      <c r="J4503" s="154"/>
      <c r="K4503" s="155" t="s">
        <v>2966</v>
      </c>
    </row>
    <row r="4504" spans="1:11" ht="25.5" hidden="1" x14ac:dyDescent="0.25">
      <c r="A4504" s="148" t="s">
        <v>2575</v>
      </c>
      <c r="B4504" s="149" t="s">
        <v>2576</v>
      </c>
      <c r="C4504" s="150" t="s">
        <v>18</v>
      </c>
      <c r="D4504" s="150">
        <v>0</v>
      </c>
      <c r="E4504" s="151">
        <f ca="1">OFFSET(INDEX(Composições!A:H,MATCH(Orçamentária!A4504,Composições!A:A,0),8),2,0)</f>
        <v>0</v>
      </c>
      <c r="F4504" s="152">
        <f t="shared" ca="1" si="212"/>
        <v>0</v>
      </c>
      <c r="G4504" s="153">
        <f>IF($K4504="Padrão",BDI!$B$17,IF($K4504="Diferenciado",BDI!$E$17,0))</f>
        <v>0.2039</v>
      </c>
      <c r="H4504" s="151">
        <f t="shared" ca="1" si="210"/>
        <v>0</v>
      </c>
      <c r="I4504" s="152">
        <f t="shared" ca="1" si="211"/>
        <v>0</v>
      </c>
      <c r="J4504" s="154"/>
      <c r="K4504" s="155" t="s">
        <v>2966</v>
      </c>
    </row>
    <row r="4505" spans="1:11" ht="25.5" hidden="1" x14ac:dyDescent="0.25">
      <c r="A4505" s="148" t="s">
        <v>2577</v>
      </c>
      <c r="B4505" s="149" t="s">
        <v>2578</v>
      </c>
      <c r="C4505" s="150" t="s">
        <v>18</v>
      </c>
      <c r="D4505" s="150">
        <v>0</v>
      </c>
      <c r="E4505" s="151">
        <f ca="1">OFFSET(INDEX(Composições!A:H,MATCH(Orçamentária!A4505,Composições!A:A,0),8),2,0)</f>
        <v>0</v>
      </c>
      <c r="F4505" s="152">
        <f t="shared" ca="1" si="212"/>
        <v>0</v>
      </c>
      <c r="G4505" s="153">
        <f>IF($K4505="Padrão",BDI!$B$17,IF($K4505="Diferenciado",BDI!$E$17,0))</f>
        <v>0.2039</v>
      </c>
      <c r="H4505" s="151">
        <f t="shared" ca="1" si="210"/>
        <v>0</v>
      </c>
      <c r="I4505" s="152">
        <f t="shared" ca="1" si="211"/>
        <v>0</v>
      </c>
      <c r="J4505" s="154"/>
      <c r="K4505" s="155" t="s">
        <v>2966</v>
      </c>
    </row>
    <row r="4506" spans="1:11" ht="25.5" hidden="1" x14ac:dyDescent="0.25">
      <c r="A4506" s="148" t="s">
        <v>2579</v>
      </c>
      <c r="B4506" s="149" t="s">
        <v>2580</v>
      </c>
      <c r="C4506" s="150" t="s">
        <v>18</v>
      </c>
      <c r="D4506" s="150">
        <v>0</v>
      </c>
      <c r="E4506" s="151">
        <f ca="1">OFFSET(INDEX(Composições!A:H,MATCH(Orçamentária!A4506,Composições!A:A,0),8),2,0)</f>
        <v>0</v>
      </c>
      <c r="F4506" s="152">
        <f t="shared" ca="1" si="212"/>
        <v>0</v>
      </c>
      <c r="G4506" s="153">
        <f>IF($K4506="Padrão",BDI!$B$17,IF($K4506="Diferenciado",BDI!$E$17,0))</f>
        <v>0.2039</v>
      </c>
      <c r="H4506" s="151">
        <f t="shared" ca="1" si="210"/>
        <v>0</v>
      </c>
      <c r="I4506" s="152">
        <f t="shared" ca="1" si="211"/>
        <v>0</v>
      </c>
      <c r="J4506" s="154"/>
      <c r="K4506" s="155" t="s">
        <v>2966</v>
      </c>
    </row>
    <row r="4507" spans="1:11" ht="25.5" hidden="1" x14ac:dyDescent="0.25">
      <c r="A4507" s="148" t="s">
        <v>2581</v>
      </c>
      <c r="B4507" s="149" t="s">
        <v>2582</v>
      </c>
      <c r="C4507" s="150" t="s">
        <v>18</v>
      </c>
      <c r="D4507" s="150">
        <v>0</v>
      </c>
      <c r="E4507" s="151">
        <f ca="1">OFFSET(INDEX(Composições!A:H,MATCH(Orçamentária!A4507,Composições!A:A,0),8),2,0)</f>
        <v>0</v>
      </c>
      <c r="F4507" s="152">
        <f t="shared" ca="1" si="212"/>
        <v>0</v>
      </c>
      <c r="G4507" s="153">
        <f>IF($K4507="Padrão",BDI!$B$17,IF($K4507="Diferenciado",BDI!$E$17,0))</f>
        <v>0.2039</v>
      </c>
      <c r="H4507" s="151">
        <f t="shared" ca="1" si="210"/>
        <v>0</v>
      </c>
      <c r="I4507" s="152">
        <f t="shared" ca="1" si="211"/>
        <v>0</v>
      </c>
      <c r="J4507" s="154"/>
      <c r="K4507" s="155" t="s">
        <v>2966</v>
      </c>
    </row>
    <row r="4508" spans="1:11" hidden="1" x14ac:dyDescent="0.25">
      <c r="A4508" s="148" t="s">
        <v>10094</v>
      </c>
      <c r="B4508" s="149" t="s">
        <v>10095</v>
      </c>
      <c r="C4508" s="150" t="s">
        <v>18</v>
      </c>
      <c r="D4508" s="150">
        <v>0</v>
      </c>
      <c r="E4508" s="151" t="s">
        <v>13</v>
      </c>
      <c r="F4508" s="152" t="str">
        <f t="shared" si="212"/>
        <v/>
      </c>
      <c r="G4508" s="153">
        <f>IF($K4508="Padrão",BDI!$B$17,IF($K4508="Diferenciado",BDI!$E$17,0))</f>
        <v>0.2039</v>
      </c>
      <c r="H4508" s="151" t="str">
        <f t="shared" si="210"/>
        <v/>
      </c>
      <c r="I4508" s="152" t="str">
        <f t="shared" si="211"/>
        <v/>
      </c>
      <c r="J4508" s="154"/>
      <c r="K4508" s="155" t="s">
        <v>2966</v>
      </c>
    </row>
    <row r="4509" spans="1:11" hidden="1" x14ac:dyDescent="0.25">
      <c r="A4509" s="148" t="s">
        <v>10096</v>
      </c>
      <c r="B4509" s="149" t="s">
        <v>10097</v>
      </c>
      <c r="C4509" s="150" t="s">
        <v>18</v>
      </c>
      <c r="D4509" s="150">
        <v>0</v>
      </c>
      <c r="E4509" s="151" t="s">
        <v>13</v>
      </c>
      <c r="F4509" s="152" t="str">
        <f t="shared" si="212"/>
        <v/>
      </c>
      <c r="G4509" s="153">
        <f>IF($K4509="Padrão",BDI!$B$17,IF($K4509="Diferenciado",BDI!$E$17,0))</f>
        <v>0.2039</v>
      </c>
      <c r="H4509" s="151" t="str">
        <f t="shared" si="210"/>
        <v/>
      </c>
      <c r="I4509" s="152" t="str">
        <f t="shared" si="211"/>
        <v/>
      </c>
      <c r="J4509" s="154"/>
      <c r="K4509" s="155" t="s">
        <v>2966</v>
      </c>
    </row>
    <row r="4510" spans="1:11" hidden="1" x14ac:dyDescent="0.25">
      <c r="A4510" s="148" t="s">
        <v>10098</v>
      </c>
      <c r="B4510" s="149" t="s">
        <v>10099</v>
      </c>
      <c r="C4510" s="150" t="s">
        <v>18</v>
      </c>
      <c r="D4510" s="150">
        <v>0</v>
      </c>
      <c r="E4510" s="151" t="s">
        <v>13</v>
      </c>
      <c r="F4510" s="152" t="str">
        <f t="shared" si="212"/>
        <v/>
      </c>
      <c r="G4510" s="153">
        <f>IF($K4510="Padrão",BDI!$B$17,IF($K4510="Diferenciado",BDI!$E$17,0))</f>
        <v>0.2039</v>
      </c>
      <c r="H4510" s="151" t="str">
        <f t="shared" si="210"/>
        <v/>
      </c>
      <c r="I4510" s="152" t="str">
        <f t="shared" si="211"/>
        <v/>
      </c>
      <c r="J4510" s="154"/>
      <c r="K4510" s="155" t="s">
        <v>2966</v>
      </c>
    </row>
    <row r="4511" spans="1:11" hidden="1" x14ac:dyDescent="0.25">
      <c r="A4511" s="148" t="s">
        <v>10100</v>
      </c>
      <c r="B4511" s="149" t="s">
        <v>10101</v>
      </c>
      <c r="C4511" s="150" t="s">
        <v>18</v>
      </c>
      <c r="D4511" s="150">
        <v>0</v>
      </c>
      <c r="E4511" s="151" t="s">
        <v>13</v>
      </c>
      <c r="F4511" s="152" t="str">
        <f t="shared" si="212"/>
        <v/>
      </c>
      <c r="G4511" s="153">
        <f>IF($K4511="Padrão",BDI!$B$17,IF($K4511="Diferenciado",BDI!$E$17,0))</f>
        <v>0.2039</v>
      </c>
      <c r="H4511" s="151" t="str">
        <f t="shared" si="210"/>
        <v/>
      </c>
      <c r="I4511" s="152" t="str">
        <f t="shared" si="211"/>
        <v/>
      </c>
      <c r="J4511" s="154"/>
      <c r="K4511" s="155" t="s">
        <v>2966</v>
      </c>
    </row>
    <row r="4512" spans="1:11" hidden="1" x14ac:dyDescent="0.25">
      <c r="A4512" s="148" t="s">
        <v>10102</v>
      </c>
      <c r="B4512" s="149" t="s">
        <v>10103</v>
      </c>
      <c r="C4512" s="150" t="s">
        <v>18</v>
      </c>
      <c r="D4512" s="150">
        <v>0</v>
      </c>
      <c r="E4512" s="151" t="s">
        <v>13</v>
      </c>
      <c r="F4512" s="152" t="str">
        <f t="shared" si="212"/>
        <v/>
      </c>
      <c r="G4512" s="153">
        <f>IF($K4512="Padrão",BDI!$B$17,IF($K4512="Diferenciado",BDI!$E$17,0))</f>
        <v>0.2039</v>
      </c>
      <c r="H4512" s="151" t="str">
        <f t="shared" si="210"/>
        <v/>
      </c>
      <c r="I4512" s="152" t="str">
        <f t="shared" si="211"/>
        <v/>
      </c>
      <c r="J4512" s="154"/>
      <c r="K4512" s="155" t="s">
        <v>2966</v>
      </c>
    </row>
    <row r="4513" spans="1:11" hidden="1" x14ac:dyDescent="0.25">
      <c r="A4513" s="148" t="s">
        <v>10104</v>
      </c>
      <c r="B4513" s="149" t="s">
        <v>10105</v>
      </c>
      <c r="C4513" s="150" t="s">
        <v>18</v>
      </c>
      <c r="D4513" s="150">
        <v>0</v>
      </c>
      <c r="E4513" s="151" t="s">
        <v>13</v>
      </c>
      <c r="F4513" s="152" t="str">
        <f t="shared" si="212"/>
        <v/>
      </c>
      <c r="G4513" s="153">
        <f>IF($K4513="Padrão",BDI!$B$17,IF($K4513="Diferenciado",BDI!$E$17,0))</f>
        <v>0.2039</v>
      </c>
      <c r="H4513" s="151" t="str">
        <f t="shared" si="210"/>
        <v/>
      </c>
      <c r="I4513" s="152" t="str">
        <f t="shared" si="211"/>
        <v/>
      </c>
      <c r="J4513" s="154"/>
      <c r="K4513" s="155" t="s">
        <v>2966</v>
      </c>
    </row>
    <row r="4514" spans="1:11" hidden="1" x14ac:dyDescent="0.25">
      <c r="A4514" s="148" t="s">
        <v>10106</v>
      </c>
      <c r="B4514" s="149" t="s">
        <v>10107</v>
      </c>
      <c r="C4514" s="150" t="s">
        <v>18</v>
      </c>
      <c r="D4514" s="150">
        <v>0</v>
      </c>
      <c r="E4514" s="151" t="s">
        <v>13</v>
      </c>
      <c r="F4514" s="152" t="str">
        <f t="shared" si="212"/>
        <v/>
      </c>
      <c r="G4514" s="153">
        <f>IF($K4514="Padrão",BDI!$B$17,IF($K4514="Diferenciado",BDI!$E$17,0))</f>
        <v>0.2039</v>
      </c>
      <c r="H4514" s="151" t="str">
        <f t="shared" si="210"/>
        <v/>
      </c>
      <c r="I4514" s="152" t="str">
        <f t="shared" si="211"/>
        <v/>
      </c>
      <c r="J4514" s="154"/>
      <c r="K4514" s="155" t="s">
        <v>2966</v>
      </c>
    </row>
    <row r="4515" spans="1:11" hidden="1" x14ac:dyDescent="0.25">
      <c r="A4515" s="148" t="s">
        <v>10108</v>
      </c>
      <c r="B4515" s="149" t="s">
        <v>10109</v>
      </c>
      <c r="C4515" s="150" t="s">
        <v>18</v>
      </c>
      <c r="D4515" s="150">
        <v>0</v>
      </c>
      <c r="E4515" s="151" t="s">
        <v>13</v>
      </c>
      <c r="F4515" s="152" t="str">
        <f t="shared" si="212"/>
        <v/>
      </c>
      <c r="G4515" s="153">
        <f>IF($K4515="Padrão",BDI!$B$17,IF($K4515="Diferenciado",BDI!$E$17,0))</f>
        <v>0.2039</v>
      </c>
      <c r="H4515" s="151" t="str">
        <f t="shared" si="210"/>
        <v/>
      </c>
      <c r="I4515" s="152" t="str">
        <f t="shared" si="211"/>
        <v/>
      </c>
      <c r="J4515" s="154"/>
      <c r="K4515" s="155" t="s">
        <v>2966</v>
      </c>
    </row>
    <row r="4516" spans="1:11" hidden="1" x14ac:dyDescent="0.25">
      <c r="A4516" s="148" t="s">
        <v>10110</v>
      </c>
      <c r="B4516" s="149" t="s">
        <v>10111</v>
      </c>
      <c r="C4516" s="150" t="s">
        <v>18</v>
      </c>
      <c r="D4516" s="150">
        <v>0</v>
      </c>
      <c r="E4516" s="151" t="s">
        <v>13</v>
      </c>
      <c r="F4516" s="152" t="str">
        <f t="shared" si="212"/>
        <v/>
      </c>
      <c r="G4516" s="153">
        <f>IF($K4516="Padrão",BDI!$B$17,IF($K4516="Diferenciado",BDI!$E$17,0))</f>
        <v>0.2039</v>
      </c>
      <c r="H4516" s="151" t="str">
        <f t="shared" si="210"/>
        <v/>
      </c>
      <c r="I4516" s="152" t="str">
        <f t="shared" si="211"/>
        <v/>
      </c>
      <c r="J4516" s="154"/>
      <c r="K4516" s="155" t="s">
        <v>2966</v>
      </c>
    </row>
    <row r="4517" spans="1:11" ht="25.5" hidden="1" x14ac:dyDescent="0.25">
      <c r="A4517" s="148" t="s">
        <v>2583</v>
      </c>
      <c r="B4517" s="149" t="s">
        <v>10112</v>
      </c>
      <c r="C4517" s="150" t="s">
        <v>18</v>
      </c>
      <c r="D4517" s="150">
        <v>0</v>
      </c>
      <c r="E4517" s="151">
        <f ca="1">OFFSET(INDEX(Composições!A:H,MATCH(Orçamentária!A4517,Composições!A:A,0),8),2,0)</f>
        <v>81.661999999999992</v>
      </c>
      <c r="F4517" s="152">
        <f t="shared" ca="1" si="212"/>
        <v>0</v>
      </c>
      <c r="G4517" s="153">
        <f>IF($K4517="Padrão",BDI!$B$17,IF($K4517="Diferenciado",BDI!$E$17,0))</f>
        <v>0.2039</v>
      </c>
      <c r="H4517" s="151">
        <f t="shared" ca="1" si="210"/>
        <v>98.31</v>
      </c>
      <c r="I4517" s="152">
        <f t="shared" ca="1" si="211"/>
        <v>0</v>
      </c>
      <c r="J4517" s="154"/>
      <c r="K4517" s="155" t="s">
        <v>2966</v>
      </c>
    </row>
    <row r="4518" spans="1:11" ht="25.5" hidden="1" x14ac:dyDescent="0.25">
      <c r="A4518" s="148" t="s">
        <v>2584</v>
      </c>
      <c r="B4518" s="149" t="s">
        <v>10113</v>
      </c>
      <c r="C4518" s="150" t="s">
        <v>18</v>
      </c>
      <c r="D4518" s="150">
        <v>0</v>
      </c>
      <c r="E4518" s="151">
        <f ca="1">OFFSET(INDEX(Composições!A:H,MATCH(Orçamentária!A4518,Composições!A:A,0),8),2,0)</f>
        <v>119.681</v>
      </c>
      <c r="F4518" s="152">
        <f t="shared" ca="1" si="212"/>
        <v>0</v>
      </c>
      <c r="G4518" s="153">
        <f>IF($K4518="Padrão",BDI!$B$17,IF($K4518="Diferenciado",BDI!$E$17,0))</f>
        <v>0.2039</v>
      </c>
      <c r="H4518" s="151">
        <f t="shared" ca="1" si="210"/>
        <v>144.08000000000001</v>
      </c>
      <c r="I4518" s="152">
        <f t="shared" ca="1" si="211"/>
        <v>0</v>
      </c>
      <c r="J4518" s="154"/>
      <c r="K4518" s="155" t="s">
        <v>2966</v>
      </c>
    </row>
    <row r="4519" spans="1:11" hidden="1" x14ac:dyDescent="0.25">
      <c r="A4519" s="148" t="s">
        <v>10114</v>
      </c>
      <c r="B4519" s="149" t="s">
        <v>10115</v>
      </c>
      <c r="C4519" s="150" t="s">
        <v>18</v>
      </c>
      <c r="D4519" s="150">
        <v>0</v>
      </c>
      <c r="E4519" s="151" t="s">
        <v>13</v>
      </c>
      <c r="F4519" s="152" t="str">
        <f t="shared" si="212"/>
        <v/>
      </c>
      <c r="G4519" s="153">
        <f>IF($K4519="Padrão",BDI!$B$17,IF($K4519="Diferenciado",BDI!$E$17,0))</f>
        <v>0.2039</v>
      </c>
      <c r="H4519" s="151" t="str">
        <f t="shared" si="210"/>
        <v/>
      </c>
      <c r="I4519" s="152" t="str">
        <f t="shared" si="211"/>
        <v/>
      </c>
      <c r="J4519" s="154"/>
      <c r="K4519" s="155" t="s">
        <v>2966</v>
      </c>
    </row>
    <row r="4520" spans="1:11" hidden="1" x14ac:dyDescent="0.25">
      <c r="A4520" s="148" t="s">
        <v>10116</v>
      </c>
      <c r="B4520" s="149" t="s">
        <v>10117</v>
      </c>
      <c r="C4520" s="150" t="s">
        <v>18</v>
      </c>
      <c r="D4520" s="150">
        <v>0</v>
      </c>
      <c r="E4520" s="151" t="s">
        <v>13</v>
      </c>
      <c r="F4520" s="152" t="str">
        <f t="shared" si="212"/>
        <v/>
      </c>
      <c r="G4520" s="153">
        <f>IF($K4520="Padrão",BDI!$B$17,IF($K4520="Diferenciado",BDI!$E$17,0))</f>
        <v>0.2039</v>
      </c>
      <c r="H4520" s="151" t="str">
        <f t="shared" si="210"/>
        <v/>
      </c>
      <c r="I4520" s="152" t="str">
        <f t="shared" si="211"/>
        <v/>
      </c>
      <c r="J4520" s="154"/>
      <c r="K4520" s="155" t="s">
        <v>2966</v>
      </c>
    </row>
    <row r="4521" spans="1:11" ht="25.5" hidden="1" x14ac:dyDescent="0.25">
      <c r="A4521" s="148" t="s">
        <v>2585</v>
      </c>
      <c r="B4521" s="149" t="s">
        <v>2586</v>
      </c>
      <c r="C4521" s="150" t="s">
        <v>18</v>
      </c>
      <c r="D4521" s="150">
        <v>0</v>
      </c>
      <c r="E4521" s="151">
        <f ca="1">OFFSET(INDEX(Composições!A:H,MATCH(Orçamentária!A4521,Composições!A:A,0),8),2,0)</f>
        <v>0</v>
      </c>
      <c r="F4521" s="152">
        <f t="shared" ca="1" si="212"/>
        <v>0</v>
      </c>
      <c r="G4521" s="153">
        <f>IF($K4521="Padrão",BDI!$B$17,IF($K4521="Diferenciado",BDI!$E$17,0))</f>
        <v>0.2039</v>
      </c>
      <c r="H4521" s="151">
        <f t="shared" ca="1" si="210"/>
        <v>0</v>
      </c>
      <c r="I4521" s="152">
        <f t="shared" ca="1" si="211"/>
        <v>0</v>
      </c>
      <c r="J4521" s="154"/>
      <c r="K4521" s="155" t="s">
        <v>2966</v>
      </c>
    </row>
    <row r="4522" spans="1:11" ht="25.5" hidden="1" x14ac:dyDescent="0.25">
      <c r="A4522" s="148" t="s">
        <v>2587</v>
      </c>
      <c r="B4522" s="149" t="s">
        <v>2588</v>
      </c>
      <c r="C4522" s="150" t="s">
        <v>18</v>
      </c>
      <c r="D4522" s="150">
        <v>0</v>
      </c>
      <c r="E4522" s="151">
        <f ca="1">OFFSET(INDEX(Composições!A:H,MATCH(Orçamentária!A4522,Composições!A:A,0),8),2,0)</f>
        <v>0</v>
      </c>
      <c r="F4522" s="152">
        <f t="shared" ca="1" si="212"/>
        <v>0</v>
      </c>
      <c r="G4522" s="153">
        <f>IF($K4522="Padrão",BDI!$B$17,IF($K4522="Diferenciado",BDI!$E$17,0))</f>
        <v>0.2039</v>
      </c>
      <c r="H4522" s="151">
        <f t="shared" ca="1" si="210"/>
        <v>0</v>
      </c>
      <c r="I4522" s="152">
        <f t="shared" ca="1" si="211"/>
        <v>0</v>
      </c>
      <c r="J4522" s="154"/>
      <c r="K4522" s="155" t="s">
        <v>2966</v>
      </c>
    </row>
    <row r="4523" spans="1:11" hidden="1" x14ac:dyDescent="0.25">
      <c r="A4523" s="148" t="s">
        <v>2589</v>
      </c>
      <c r="B4523" s="149" t="s">
        <v>10118</v>
      </c>
      <c r="C4523" s="150" t="s">
        <v>18</v>
      </c>
      <c r="D4523" s="150">
        <v>0</v>
      </c>
      <c r="E4523" s="151">
        <f ca="1">OFFSET(INDEX(Composições!A:H,MATCH(Orçamentária!A4523,Composições!A:A,0),8),2,0)</f>
        <v>831.81050000000005</v>
      </c>
      <c r="F4523" s="152">
        <f t="shared" ca="1" si="212"/>
        <v>0</v>
      </c>
      <c r="G4523" s="153">
        <f>IF($K4523="Padrão",BDI!$B$17,IF($K4523="Diferenciado",BDI!$E$17,0))</f>
        <v>0.2039</v>
      </c>
      <c r="H4523" s="151">
        <f t="shared" ca="1" si="210"/>
        <v>1001.42</v>
      </c>
      <c r="I4523" s="152">
        <f t="shared" ca="1" si="211"/>
        <v>0</v>
      </c>
      <c r="J4523" s="154"/>
      <c r="K4523" s="155" t="s">
        <v>2966</v>
      </c>
    </row>
    <row r="4524" spans="1:11" hidden="1" x14ac:dyDescent="0.25">
      <c r="A4524" s="148" t="s">
        <v>2590</v>
      </c>
      <c r="B4524" s="149" t="s">
        <v>10119</v>
      </c>
      <c r="C4524" s="150" t="s">
        <v>18</v>
      </c>
      <c r="D4524" s="150">
        <v>0</v>
      </c>
      <c r="E4524" s="151">
        <f ca="1">OFFSET(INDEX(Composições!A:H,MATCH(Orçamentária!A4524,Composições!A:A,0),8),2,0)</f>
        <v>913.63400000000001</v>
      </c>
      <c r="F4524" s="152">
        <f t="shared" ca="1" si="212"/>
        <v>0</v>
      </c>
      <c r="G4524" s="153">
        <f>IF($K4524="Padrão",BDI!$B$17,IF($K4524="Diferenciado",BDI!$E$17,0))</f>
        <v>0.2039</v>
      </c>
      <c r="H4524" s="151">
        <f t="shared" ca="1" si="210"/>
        <v>1099.92</v>
      </c>
      <c r="I4524" s="152">
        <f t="shared" ca="1" si="211"/>
        <v>0</v>
      </c>
      <c r="J4524" s="154"/>
      <c r="K4524" s="155" t="s">
        <v>2966</v>
      </c>
    </row>
    <row r="4525" spans="1:11" hidden="1" x14ac:dyDescent="0.25">
      <c r="A4525" s="148" t="s">
        <v>2591</v>
      </c>
      <c r="B4525" s="149" t="s">
        <v>10120</v>
      </c>
      <c r="C4525" s="150" t="s">
        <v>18</v>
      </c>
      <c r="D4525" s="150">
        <v>0</v>
      </c>
      <c r="E4525" s="151">
        <f ca="1">OFFSET(INDEX(Composições!A:H,MATCH(Orçamentária!A4525,Composições!A:A,0),8),2,0)</f>
        <v>1045.703</v>
      </c>
      <c r="F4525" s="152">
        <f t="shared" ca="1" si="212"/>
        <v>0</v>
      </c>
      <c r="G4525" s="153">
        <f>IF($K4525="Padrão",BDI!$B$17,IF($K4525="Diferenciado",BDI!$E$17,0))</f>
        <v>0.2039</v>
      </c>
      <c r="H4525" s="151">
        <f t="shared" ca="1" si="210"/>
        <v>1258.92</v>
      </c>
      <c r="I4525" s="152">
        <f t="shared" ca="1" si="211"/>
        <v>0</v>
      </c>
      <c r="J4525" s="154"/>
      <c r="K4525" s="155" t="s">
        <v>2966</v>
      </c>
    </row>
    <row r="4526" spans="1:11" hidden="1" x14ac:dyDescent="0.25">
      <c r="A4526" s="148" t="s">
        <v>2592</v>
      </c>
      <c r="B4526" s="149" t="s">
        <v>10121</v>
      </c>
      <c r="C4526" s="150" t="s">
        <v>18</v>
      </c>
      <c r="D4526" s="150">
        <v>0</v>
      </c>
      <c r="E4526" s="151">
        <f ca="1">OFFSET(INDEX(Composições!A:H,MATCH(Orçamentária!A4526,Composições!A:A,0),8),2,0)</f>
        <v>1309.2139999999999</v>
      </c>
      <c r="F4526" s="152">
        <f t="shared" ca="1" si="212"/>
        <v>0</v>
      </c>
      <c r="G4526" s="153">
        <f>IF($K4526="Padrão",BDI!$B$17,IF($K4526="Diferenciado",BDI!$E$17,0))</f>
        <v>0.2039</v>
      </c>
      <c r="H4526" s="151">
        <f t="shared" ca="1" si="210"/>
        <v>1576.16</v>
      </c>
      <c r="I4526" s="152">
        <f t="shared" ca="1" si="211"/>
        <v>0</v>
      </c>
      <c r="J4526" s="154"/>
      <c r="K4526" s="155" t="s">
        <v>2966</v>
      </c>
    </row>
    <row r="4527" spans="1:11" hidden="1" x14ac:dyDescent="0.25">
      <c r="A4527" s="148" t="s">
        <v>2593</v>
      </c>
      <c r="B4527" s="149" t="s">
        <v>10122</v>
      </c>
      <c r="C4527" s="150" t="s">
        <v>18</v>
      </c>
      <c r="D4527" s="150">
        <v>0</v>
      </c>
      <c r="E4527" s="151">
        <f ca="1">OFFSET(INDEX(Composições!A:H,MATCH(Orçamentária!A4527,Composições!A:A,0),8),2,0)</f>
        <v>1815.8205</v>
      </c>
      <c r="F4527" s="152">
        <f t="shared" ca="1" si="212"/>
        <v>0</v>
      </c>
      <c r="G4527" s="153">
        <f>IF($K4527="Padrão",BDI!$B$17,IF($K4527="Diferenciado",BDI!$E$17,0))</f>
        <v>0.2039</v>
      </c>
      <c r="H4527" s="151">
        <f t="shared" ca="1" si="210"/>
        <v>2186.0700000000002</v>
      </c>
      <c r="I4527" s="152">
        <f t="shared" ca="1" si="211"/>
        <v>0</v>
      </c>
      <c r="J4527" s="154"/>
      <c r="K4527" s="155" t="s">
        <v>2966</v>
      </c>
    </row>
    <row r="4528" spans="1:11" hidden="1" x14ac:dyDescent="0.25">
      <c r="A4528" s="148" t="s">
        <v>2594</v>
      </c>
      <c r="B4528" s="149" t="s">
        <v>10123</v>
      </c>
      <c r="C4528" s="150" t="s">
        <v>18</v>
      </c>
      <c r="D4528" s="150">
        <v>0</v>
      </c>
      <c r="E4528" s="151">
        <f ca="1">OFFSET(INDEX(Composições!A:H,MATCH(Orçamentária!A4528,Composições!A:A,0),8),2,0)</f>
        <v>2398.3984999999998</v>
      </c>
      <c r="F4528" s="152">
        <f t="shared" ca="1" si="212"/>
        <v>0</v>
      </c>
      <c r="G4528" s="153">
        <f>IF($K4528="Padrão",BDI!$B$17,IF($K4528="Diferenciado",BDI!$E$17,0))</f>
        <v>0.2039</v>
      </c>
      <c r="H4528" s="151">
        <f t="shared" ca="1" si="210"/>
        <v>2887.43</v>
      </c>
      <c r="I4528" s="152">
        <f t="shared" ca="1" si="211"/>
        <v>0</v>
      </c>
      <c r="J4528" s="154"/>
      <c r="K4528" s="155" t="s">
        <v>2966</v>
      </c>
    </row>
    <row r="4529" spans="1:11" ht="25.5" hidden="1" x14ac:dyDescent="0.25">
      <c r="A4529" s="148" t="s">
        <v>2595</v>
      </c>
      <c r="B4529" s="149" t="s">
        <v>10124</v>
      </c>
      <c r="C4529" s="150" t="s">
        <v>18</v>
      </c>
      <c r="D4529" s="150">
        <v>0</v>
      </c>
      <c r="E4529" s="151">
        <f ca="1">OFFSET(INDEX(Composições!A:H,MATCH(Orçamentária!A4529,Composições!A:A,0),8),2,0)</f>
        <v>9.2720000000000002</v>
      </c>
      <c r="F4529" s="152">
        <f t="shared" ca="1" si="212"/>
        <v>0</v>
      </c>
      <c r="G4529" s="153">
        <f>IF($K4529="Padrão",BDI!$B$17,IF($K4529="Diferenciado",BDI!$E$17,0))</f>
        <v>0.2039</v>
      </c>
      <c r="H4529" s="151">
        <f t="shared" ca="1" si="210"/>
        <v>11.16</v>
      </c>
      <c r="I4529" s="152">
        <f t="shared" ca="1" si="211"/>
        <v>0</v>
      </c>
      <c r="J4529" s="154"/>
      <c r="K4529" s="155" t="s">
        <v>2966</v>
      </c>
    </row>
    <row r="4530" spans="1:11" ht="25.5" hidden="1" x14ac:dyDescent="0.25">
      <c r="A4530" s="148" t="s">
        <v>2596</v>
      </c>
      <c r="B4530" s="149" t="s">
        <v>10125</v>
      </c>
      <c r="C4530" s="150" t="s">
        <v>18</v>
      </c>
      <c r="D4530" s="150">
        <v>0</v>
      </c>
      <c r="E4530" s="151">
        <f ca="1">OFFSET(INDEX(Composições!A:H,MATCH(Orçamentária!A4530,Composições!A:A,0),8),2,0)</f>
        <v>13.727499999999999</v>
      </c>
      <c r="F4530" s="152">
        <f t="shared" ca="1" si="212"/>
        <v>0</v>
      </c>
      <c r="G4530" s="153">
        <f>IF($K4530="Padrão",BDI!$B$17,IF($K4530="Diferenciado",BDI!$E$17,0))</f>
        <v>0.2039</v>
      </c>
      <c r="H4530" s="151">
        <f t="shared" ca="1" si="210"/>
        <v>16.53</v>
      </c>
      <c r="I4530" s="152">
        <f t="shared" ca="1" si="211"/>
        <v>0</v>
      </c>
      <c r="J4530" s="154"/>
      <c r="K4530" s="155" t="s">
        <v>2966</v>
      </c>
    </row>
    <row r="4531" spans="1:11" ht="25.5" hidden="1" x14ac:dyDescent="0.25">
      <c r="A4531" s="148" t="s">
        <v>2597</v>
      </c>
      <c r="B4531" s="149" t="s">
        <v>10126</v>
      </c>
      <c r="C4531" s="150" t="s">
        <v>18</v>
      </c>
      <c r="D4531" s="150">
        <v>0</v>
      </c>
      <c r="E4531" s="151">
        <f ca="1">OFFSET(INDEX(Composições!A:H,MATCH(Orçamentária!A4531,Composições!A:A,0),8),2,0)</f>
        <v>10.392999999999999</v>
      </c>
      <c r="F4531" s="152">
        <f t="shared" ca="1" si="212"/>
        <v>0</v>
      </c>
      <c r="G4531" s="153">
        <f>IF($K4531="Padrão",BDI!$B$17,IF($K4531="Diferenciado",BDI!$E$17,0))</f>
        <v>0.2039</v>
      </c>
      <c r="H4531" s="151">
        <f t="shared" ca="1" si="210"/>
        <v>12.51</v>
      </c>
      <c r="I4531" s="152">
        <f t="shared" ca="1" si="211"/>
        <v>0</v>
      </c>
      <c r="J4531" s="154"/>
      <c r="K4531" s="155" t="s">
        <v>2966</v>
      </c>
    </row>
    <row r="4532" spans="1:11" ht="25.5" hidden="1" x14ac:dyDescent="0.25">
      <c r="A4532" s="148" t="s">
        <v>2598</v>
      </c>
      <c r="B4532" s="149" t="s">
        <v>10127</v>
      </c>
      <c r="C4532" s="150" t="s">
        <v>18</v>
      </c>
      <c r="D4532" s="150">
        <v>0</v>
      </c>
      <c r="E4532" s="151">
        <f ca="1">OFFSET(INDEX(Composições!A:H,MATCH(Orçamentária!A4532,Composições!A:A,0),8),2,0)</f>
        <v>19.170999999999999</v>
      </c>
      <c r="F4532" s="152">
        <f t="shared" ca="1" si="212"/>
        <v>0</v>
      </c>
      <c r="G4532" s="153">
        <f>IF($K4532="Padrão",BDI!$B$17,IF($K4532="Diferenciado",BDI!$E$17,0))</f>
        <v>0.2039</v>
      </c>
      <c r="H4532" s="151">
        <f t="shared" ca="1" si="210"/>
        <v>23.08</v>
      </c>
      <c r="I4532" s="152">
        <f t="shared" ca="1" si="211"/>
        <v>0</v>
      </c>
      <c r="J4532" s="154"/>
      <c r="K4532" s="155" t="s">
        <v>2966</v>
      </c>
    </row>
    <row r="4533" spans="1:11" ht="25.5" hidden="1" x14ac:dyDescent="0.25">
      <c r="A4533" s="148" t="s">
        <v>2600</v>
      </c>
      <c r="B4533" s="149" t="s">
        <v>10128</v>
      </c>
      <c r="C4533" s="150" t="s">
        <v>18</v>
      </c>
      <c r="D4533" s="150">
        <v>0</v>
      </c>
      <c r="E4533" s="151">
        <f ca="1">OFFSET(INDEX(Composições!A:H,MATCH(Orçamentária!A4533,Composições!A:A,0),8),2,0)</f>
        <v>0</v>
      </c>
      <c r="F4533" s="152">
        <f t="shared" ca="1" si="212"/>
        <v>0</v>
      </c>
      <c r="G4533" s="153">
        <f>IF($K4533="Padrão",BDI!$B$17,IF($K4533="Diferenciado",BDI!$E$17,0))</f>
        <v>0.2039</v>
      </c>
      <c r="H4533" s="151">
        <f t="shared" ca="1" si="210"/>
        <v>0</v>
      </c>
      <c r="I4533" s="152">
        <f t="shared" ca="1" si="211"/>
        <v>0</v>
      </c>
      <c r="J4533" s="154"/>
      <c r="K4533" s="155" t="s">
        <v>2966</v>
      </c>
    </row>
    <row r="4534" spans="1:11" ht="25.5" hidden="1" x14ac:dyDescent="0.25">
      <c r="A4534" s="148" t="s">
        <v>10129</v>
      </c>
      <c r="B4534" s="149" t="s">
        <v>10130</v>
      </c>
      <c r="C4534" s="150" t="s">
        <v>18</v>
      </c>
      <c r="D4534" s="150">
        <v>0</v>
      </c>
      <c r="E4534" s="151" t="s">
        <v>13</v>
      </c>
      <c r="F4534" s="152" t="str">
        <f t="shared" si="212"/>
        <v/>
      </c>
      <c r="G4534" s="153">
        <f>IF($K4534="Padrão",BDI!$B$17,IF($K4534="Diferenciado",BDI!$E$17,0))</f>
        <v>0.2039</v>
      </c>
      <c r="H4534" s="151" t="str">
        <f t="shared" si="210"/>
        <v/>
      </c>
      <c r="I4534" s="152" t="str">
        <f t="shared" si="211"/>
        <v/>
      </c>
      <c r="J4534" s="154"/>
      <c r="K4534" s="155" t="s">
        <v>2966</v>
      </c>
    </row>
    <row r="4535" spans="1:11" ht="25.5" hidden="1" x14ac:dyDescent="0.25">
      <c r="A4535" s="148" t="s">
        <v>10131</v>
      </c>
      <c r="B4535" s="149" t="s">
        <v>10132</v>
      </c>
      <c r="C4535" s="150" t="s">
        <v>18</v>
      </c>
      <c r="D4535" s="150">
        <v>0</v>
      </c>
      <c r="E4535" s="151" t="s">
        <v>13</v>
      </c>
      <c r="F4535" s="152" t="str">
        <f t="shared" si="212"/>
        <v/>
      </c>
      <c r="G4535" s="153">
        <f>IF($K4535="Padrão",BDI!$B$17,IF($K4535="Diferenciado",BDI!$E$17,0))</f>
        <v>0.2039</v>
      </c>
      <c r="H4535" s="151" t="str">
        <f t="shared" si="210"/>
        <v/>
      </c>
      <c r="I4535" s="152" t="str">
        <f t="shared" si="211"/>
        <v/>
      </c>
      <c r="J4535" s="154"/>
      <c r="K4535" s="155" t="s">
        <v>2966</v>
      </c>
    </row>
    <row r="4536" spans="1:11" ht="25.5" hidden="1" x14ac:dyDescent="0.25">
      <c r="A4536" s="148" t="s">
        <v>10133</v>
      </c>
      <c r="B4536" s="149" t="s">
        <v>10134</v>
      </c>
      <c r="C4536" s="150" t="s">
        <v>18</v>
      </c>
      <c r="D4536" s="150">
        <v>0</v>
      </c>
      <c r="E4536" s="151" t="s">
        <v>13</v>
      </c>
      <c r="F4536" s="152" t="str">
        <f t="shared" si="212"/>
        <v/>
      </c>
      <c r="G4536" s="153">
        <f>IF($K4536="Padrão",BDI!$B$17,IF($K4536="Diferenciado",BDI!$E$17,0))</f>
        <v>0.2039</v>
      </c>
      <c r="H4536" s="151" t="str">
        <f t="shared" si="210"/>
        <v/>
      </c>
      <c r="I4536" s="152" t="str">
        <f t="shared" si="211"/>
        <v/>
      </c>
      <c r="J4536" s="154"/>
      <c r="K4536" s="155" t="s">
        <v>2966</v>
      </c>
    </row>
    <row r="4537" spans="1:11" ht="25.5" hidden="1" x14ac:dyDescent="0.25">
      <c r="A4537" s="148" t="s">
        <v>2602</v>
      </c>
      <c r="B4537" s="149" t="s">
        <v>10135</v>
      </c>
      <c r="C4537" s="150" t="s">
        <v>18</v>
      </c>
      <c r="D4537" s="150">
        <v>0</v>
      </c>
      <c r="E4537" s="151">
        <f ca="1">OFFSET(INDEX(Composições!A:H,MATCH(Orçamentária!A4537,Composições!A:A,0),8),2,0)</f>
        <v>0</v>
      </c>
      <c r="F4537" s="152">
        <f t="shared" ca="1" si="212"/>
        <v>0</v>
      </c>
      <c r="G4537" s="153">
        <f>IF($K4537="Padrão",BDI!$B$17,IF($K4537="Diferenciado",BDI!$E$17,0))</f>
        <v>0.2039</v>
      </c>
      <c r="H4537" s="151">
        <f t="shared" ca="1" si="210"/>
        <v>0</v>
      </c>
      <c r="I4537" s="152">
        <f t="shared" ca="1" si="211"/>
        <v>0</v>
      </c>
      <c r="J4537" s="154"/>
      <c r="K4537" s="155" t="s">
        <v>2966</v>
      </c>
    </row>
    <row r="4538" spans="1:11" ht="25.5" hidden="1" x14ac:dyDescent="0.25">
      <c r="A4538" s="148" t="s">
        <v>2604</v>
      </c>
      <c r="B4538" s="149" t="s">
        <v>10136</v>
      </c>
      <c r="C4538" s="150" t="s">
        <v>18</v>
      </c>
      <c r="D4538" s="150">
        <v>0</v>
      </c>
      <c r="E4538" s="151">
        <f ca="1">OFFSET(INDEX(Composições!A:H,MATCH(Orçamentária!A4538,Composições!A:A,0),8),2,0)</f>
        <v>0</v>
      </c>
      <c r="F4538" s="152">
        <f t="shared" ca="1" si="212"/>
        <v>0</v>
      </c>
      <c r="G4538" s="153">
        <f>IF($K4538="Padrão",BDI!$B$17,IF($K4538="Diferenciado",BDI!$E$17,0))</f>
        <v>0.2039</v>
      </c>
      <c r="H4538" s="151">
        <f t="shared" ca="1" si="210"/>
        <v>0</v>
      </c>
      <c r="I4538" s="152">
        <f t="shared" ca="1" si="211"/>
        <v>0</v>
      </c>
      <c r="J4538" s="154"/>
      <c r="K4538" s="155" t="s">
        <v>2966</v>
      </c>
    </row>
    <row r="4539" spans="1:11" ht="25.5" hidden="1" x14ac:dyDescent="0.25">
      <c r="A4539" s="148" t="s">
        <v>2606</v>
      </c>
      <c r="B4539" s="149" t="s">
        <v>10137</v>
      </c>
      <c r="C4539" s="150" t="s">
        <v>18</v>
      </c>
      <c r="D4539" s="150">
        <v>0</v>
      </c>
      <c r="E4539" s="151">
        <f ca="1">OFFSET(INDEX(Composições!A:H,MATCH(Orçamentária!A4539,Composições!A:A,0),8),2,0)</f>
        <v>0</v>
      </c>
      <c r="F4539" s="152">
        <f t="shared" ca="1" si="212"/>
        <v>0</v>
      </c>
      <c r="G4539" s="153">
        <f>IF($K4539="Padrão",BDI!$B$17,IF($K4539="Diferenciado",BDI!$E$17,0))</f>
        <v>0.2039</v>
      </c>
      <c r="H4539" s="151">
        <f t="shared" ca="1" si="210"/>
        <v>0</v>
      </c>
      <c r="I4539" s="152">
        <f t="shared" ca="1" si="211"/>
        <v>0</v>
      </c>
      <c r="J4539" s="154"/>
      <c r="K4539" s="155" t="s">
        <v>2966</v>
      </c>
    </row>
    <row r="4540" spans="1:11" ht="25.5" hidden="1" x14ac:dyDescent="0.25">
      <c r="A4540" s="148" t="s">
        <v>2599</v>
      </c>
      <c r="B4540" s="149" t="s">
        <v>10138</v>
      </c>
      <c r="C4540" s="150" t="s">
        <v>18</v>
      </c>
      <c r="D4540" s="150">
        <v>0</v>
      </c>
      <c r="E4540" s="151">
        <f ca="1">OFFSET(INDEX(Composições!A:H,MATCH(Orçamentária!A4540,Composições!A:A,0),8),2,0)</f>
        <v>11.190999999999999</v>
      </c>
      <c r="F4540" s="152">
        <f t="shared" ca="1" si="212"/>
        <v>0</v>
      </c>
      <c r="G4540" s="153">
        <f>IF($K4540="Padrão",BDI!$B$17,IF($K4540="Diferenciado",BDI!$E$17,0))</f>
        <v>0.2039</v>
      </c>
      <c r="H4540" s="151">
        <f t="shared" ca="1" si="210"/>
        <v>13.47</v>
      </c>
      <c r="I4540" s="152">
        <f t="shared" ca="1" si="211"/>
        <v>0</v>
      </c>
      <c r="J4540" s="154"/>
      <c r="K4540" s="155" t="s">
        <v>2966</v>
      </c>
    </row>
    <row r="4541" spans="1:11" ht="25.5" hidden="1" x14ac:dyDescent="0.25">
      <c r="A4541" s="148" t="s">
        <v>2608</v>
      </c>
      <c r="B4541" s="149" t="s">
        <v>10139</v>
      </c>
      <c r="C4541" s="150" t="s">
        <v>18</v>
      </c>
      <c r="D4541" s="150">
        <v>0</v>
      </c>
      <c r="E4541" s="151">
        <f ca="1">OFFSET(INDEX(Composições!A:H,MATCH(Orçamentária!A4541,Composições!A:A,0),8),2,0)</f>
        <v>12.986499999999999</v>
      </c>
      <c r="F4541" s="152">
        <f t="shared" ca="1" si="212"/>
        <v>0</v>
      </c>
      <c r="G4541" s="153">
        <f>IF($K4541="Padrão",BDI!$B$17,IF($K4541="Diferenciado",BDI!$E$17,0))</f>
        <v>0.2039</v>
      </c>
      <c r="H4541" s="151">
        <f t="shared" ca="1" si="210"/>
        <v>15.63</v>
      </c>
      <c r="I4541" s="152">
        <f t="shared" ca="1" si="211"/>
        <v>0</v>
      </c>
      <c r="J4541" s="154"/>
      <c r="K4541" s="155" t="s">
        <v>2966</v>
      </c>
    </row>
    <row r="4542" spans="1:11" ht="25.5" hidden="1" x14ac:dyDescent="0.25">
      <c r="A4542" s="148" t="s">
        <v>2609</v>
      </c>
      <c r="B4542" s="149" t="s">
        <v>10140</v>
      </c>
      <c r="C4542" s="150" t="s">
        <v>18</v>
      </c>
      <c r="D4542" s="150">
        <v>0</v>
      </c>
      <c r="E4542" s="151">
        <f ca="1">OFFSET(INDEX(Composições!A:H,MATCH(Orçamentária!A4542,Composições!A:A,0),8),2,0)</f>
        <v>15.408999999999999</v>
      </c>
      <c r="F4542" s="152">
        <f t="shared" ca="1" si="212"/>
        <v>0</v>
      </c>
      <c r="G4542" s="153">
        <f>IF($K4542="Padrão",BDI!$B$17,IF($K4542="Diferenciado",BDI!$E$17,0))</f>
        <v>0.2039</v>
      </c>
      <c r="H4542" s="151">
        <f t="shared" ca="1" si="210"/>
        <v>18.55</v>
      </c>
      <c r="I4542" s="152">
        <f t="shared" ca="1" si="211"/>
        <v>0</v>
      </c>
      <c r="J4542" s="154"/>
      <c r="K4542" s="155" t="s">
        <v>2966</v>
      </c>
    </row>
    <row r="4543" spans="1:11" ht="25.5" hidden="1" x14ac:dyDescent="0.25">
      <c r="A4543" s="148" t="s">
        <v>2610</v>
      </c>
      <c r="B4543" s="149" t="s">
        <v>10141</v>
      </c>
      <c r="C4543" s="150" t="s">
        <v>18</v>
      </c>
      <c r="D4543" s="150">
        <v>0</v>
      </c>
      <c r="E4543" s="151">
        <f ca="1">OFFSET(INDEX(Composições!A:H,MATCH(Orçamentária!A4543,Composições!A:A,0),8),2,0)</f>
        <v>19.456</v>
      </c>
      <c r="F4543" s="152">
        <f t="shared" ca="1" si="212"/>
        <v>0</v>
      </c>
      <c r="G4543" s="153">
        <f>IF($K4543="Padrão",BDI!$B$17,IF($K4543="Diferenciado",BDI!$E$17,0))</f>
        <v>0.2039</v>
      </c>
      <c r="H4543" s="151">
        <f t="shared" ca="1" si="210"/>
        <v>23.42</v>
      </c>
      <c r="I4543" s="152">
        <f t="shared" ca="1" si="211"/>
        <v>0</v>
      </c>
      <c r="J4543" s="154"/>
      <c r="K4543" s="155" t="s">
        <v>2966</v>
      </c>
    </row>
    <row r="4544" spans="1:11" ht="25.5" hidden="1" x14ac:dyDescent="0.25">
      <c r="A4544" s="148" t="s">
        <v>2611</v>
      </c>
      <c r="B4544" s="149" t="s">
        <v>10142</v>
      </c>
      <c r="C4544" s="150" t="s">
        <v>18</v>
      </c>
      <c r="D4544" s="150">
        <v>0</v>
      </c>
      <c r="E4544" s="151">
        <f ca="1">OFFSET(INDEX(Composições!A:H,MATCH(Orçamentária!A4544,Composições!A:A,0),8),2,0)</f>
        <v>0</v>
      </c>
      <c r="F4544" s="152">
        <f t="shared" ca="1" si="212"/>
        <v>0</v>
      </c>
      <c r="G4544" s="153">
        <f>IF($K4544="Padrão",BDI!$B$17,IF($K4544="Diferenciado",BDI!$E$17,0))</f>
        <v>0.2039</v>
      </c>
      <c r="H4544" s="151">
        <f t="shared" ca="1" si="210"/>
        <v>0</v>
      </c>
      <c r="I4544" s="152">
        <f t="shared" ca="1" si="211"/>
        <v>0</v>
      </c>
      <c r="J4544" s="154"/>
      <c r="K4544" s="155" t="s">
        <v>2966</v>
      </c>
    </row>
    <row r="4545" spans="1:11" ht="25.5" hidden="1" x14ac:dyDescent="0.25">
      <c r="A4545" s="148" t="s">
        <v>2613</v>
      </c>
      <c r="B4545" s="149" t="s">
        <v>10143</v>
      </c>
      <c r="C4545" s="150" t="s">
        <v>18</v>
      </c>
      <c r="D4545" s="150">
        <v>0</v>
      </c>
      <c r="E4545" s="151">
        <f ca="1">OFFSET(INDEX(Composições!A:H,MATCH(Orçamentária!A4545,Composições!A:A,0),8),2,0)</f>
        <v>0</v>
      </c>
      <c r="F4545" s="152">
        <f t="shared" ca="1" si="212"/>
        <v>0</v>
      </c>
      <c r="G4545" s="153">
        <f>IF($K4545="Padrão",BDI!$B$17,IF($K4545="Diferenciado",BDI!$E$17,0))</f>
        <v>0.2039</v>
      </c>
      <c r="H4545" s="151">
        <f t="shared" ca="1" si="210"/>
        <v>0</v>
      </c>
      <c r="I4545" s="152">
        <f t="shared" ca="1" si="211"/>
        <v>0</v>
      </c>
      <c r="J4545" s="154"/>
      <c r="K4545" s="155" t="s">
        <v>2966</v>
      </c>
    </row>
    <row r="4546" spans="1:11" ht="25.5" hidden="1" x14ac:dyDescent="0.25">
      <c r="A4546" s="148" t="s">
        <v>10144</v>
      </c>
      <c r="B4546" s="149" t="s">
        <v>10145</v>
      </c>
      <c r="C4546" s="150" t="s">
        <v>18</v>
      </c>
      <c r="D4546" s="150">
        <v>0</v>
      </c>
      <c r="E4546" s="151" t="s">
        <v>13</v>
      </c>
      <c r="F4546" s="152" t="str">
        <f t="shared" si="212"/>
        <v/>
      </c>
      <c r="G4546" s="153">
        <f>IF($K4546="Padrão",BDI!$B$17,IF($K4546="Diferenciado",BDI!$E$17,0))</f>
        <v>0.2039</v>
      </c>
      <c r="H4546" s="151" t="str">
        <f t="shared" si="210"/>
        <v/>
      </c>
      <c r="I4546" s="152" t="str">
        <f t="shared" si="211"/>
        <v/>
      </c>
      <c r="J4546" s="154"/>
      <c r="K4546" s="155" t="s">
        <v>2966</v>
      </c>
    </row>
    <row r="4547" spans="1:11" ht="25.5" hidden="1" x14ac:dyDescent="0.25">
      <c r="A4547" s="148" t="s">
        <v>2615</v>
      </c>
      <c r="B4547" s="149" t="s">
        <v>10146</v>
      </c>
      <c r="C4547" s="150" t="s">
        <v>18</v>
      </c>
      <c r="D4547" s="150">
        <v>0</v>
      </c>
      <c r="E4547" s="151">
        <f ca="1">OFFSET(INDEX(Composições!A:H,MATCH(Orçamentária!A4547,Composições!A:A,0),8),2,0)</f>
        <v>0</v>
      </c>
      <c r="F4547" s="152">
        <f t="shared" ca="1" si="212"/>
        <v>0</v>
      </c>
      <c r="G4547" s="153">
        <f>IF($K4547="Padrão",BDI!$B$17,IF($K4547="Diferenciado",BDI!$E$17,0))</f>
        <v>0.2039</v>
      </c>
      <c r="H4547" s="151">
        <f t="shared" ca="1" si="210"/>
        <v>0</v>
      </c>
      <c r="I4547" s="152">
        <f t="shared" ca="1" si="211"/>
        <v>0</v>
      </c>
      <c r="J4547" s="154"/>
      <c r="K4547" s="155" t="s">
        <v>2966</v>
      </c>
    </row>
    <row r="4548" spans="1:11" ht="25.5" hidden="1" x14ac:dyDescent="0.25">
      <c r="A4548" s="148" t="s">
        <v>10147</v>
      </c>
      <c r="B4548" s="149" t="s">
        <v>10148</v>
      </c>
      <c r="C4548" s="150" t="s">
        <v>18</v>
      </c>
      <c r="D4548" s="150">
        <v>0</v>
      </c>
      <c r="E4548" s="151" t="s">
        <v>13</v>
      </c>
      <c r="F4548" s="152" t="str">
        <f t="shared" si="212"/>
        <v/>
      </c>
      <c r="G4548" s="153">
        <f>IF($K4548="Padrão",BDI!$B$17,IF($K4548="Diferenciado",BDI!$E$17,0))</f>
        <v>0.2039</v>
      </c>
      <c r="H4548" s="151" t="str">
        <f t="shared" si="210"/>
        <v/>
      </c>
      <c r="I4548" s="152" t="str">
        <f t="shared" si="211"/>
        <v/>
      </c>
      <c r="J4548" s="154"/>
      <c r="K4548" s="155" t="s">
        <v>2966</v>
      </c>
    </row>
    <row r="4549" spans="1:11" ht="25.5" hidden="1" x14ac:dyDescent="0.25">
      <c r="A4549" s="148" t="s">
        <v>2617</v>
      </c>
      <c r="B4549" s="149" t="s">
        <v>10149</v>
      </c>
      <c r="C4549" s="150" t="s">
        <v>18</v>
      </c>
      <c r="D4549" s="150">
        <v>0</v>
      </c>
      <c r="E4549" s="151">
        <f ca="1">OFFSET(INDEX(Composições!A:H,MATCH(Orçamentária!A4549,Composições!A:A,0),8),2,0)</f>
        <v>0</v>
      </c>
      <c r="F4549" s="152">
        <f t="shared" ca="1" si="212"/>
        <v>0</v>
      </c>
      <c r="G4549" s="153">
        <f>IF($K4549="Padrão",BDI!$B$17,IF($K4549="Diferenciado",BDI!$E$17,0))</f>
        <v>0.2039</v>
      </c>
      <c r="H4549" s="151">
        <f t="shared" ca="1" si="210"/>
        <v>0</v>
      </c>
      <c r="I4549" s="152">
        <f t="shared" ca="1" si="211"/>
        <v>0</v>
      </c>
      <c r="J4549" s="154"/>
      <c r="K4549" s="155" t="s">
        <v>2966</v>
      </c>
    </row>
    <row r="4550" spans="1:11" hidden="1" x14ac:dyDescent="0.25">
      <c r="A4550" s="148" t="s">
        <v>2619</v>
      </c>
      <c r="B4550" s="149" t="s">
        <v>10150</v>
      </c>
      <c r="C4550" s="150" t="s">
        <v>18</v>
      </c>
      <c r="D4550" s="150">
        <v>0</v>
      </c>
      <c r="E4550" s="151">
        <f ca="1">OFFSET(INDEX(Composições!A:H,MATCH(Orçamentária!A4550,Composições!A:A,0),8),2,0)</f>
        <v>9.3384999999999998</v>
      </c>
      <c r="F4550" s="152">
        <f t="shared" ca="1" si="212"/>
        <v>0</v>
      </c>
      <c r="G4550" s="153">
        <f>IF($K4550="Padrão",BDI!$B$17,IF($K4550="Diferenciado",BDI!$E$17,0))</f>
        <v>0.2039</v>
      </c>
      <c r="H4550" s="151">
        <f t="shared" ref="H4550:H4613" ca="1" si="213">IF(ISNUMBER(E4550),ROUND(E4550*(1+G4550),2),"")</f>
        <v>11.24</v>
      </c>
      <c r="I4550" s="152">
        <f t="shared" ref="I4550:I4613" ca="1" si="214">IF(ISNUMBER(E4550),ROUND(H4550*D4550,2),"")</f>
        <v>0</v>
      </c>
      <c r="J4550" s="154"/>
      <c r="K4550" s="155" t="s">
        <v>2966</v>
      </c>
    </row>
    <row r="4551" spans="1:11" hidden="1" x14ac:dyDescent="0.25">
      <c r="A4551" s="148" t="s">
        <v>2620</v>
      </c>
      <c r="B4551" s="149" t="s">
        <v>10151</v>
      </c>
      <c r="C4551" s="150" t="s">
        <v>18</v>
      </c>
      <c r="D4551" s="150">
        <v>0</v>
      </c>
      <c r="E4551" s="151">
        <f ca="1">OFFSET(INDEX(Composições!A:H,MATCH(Orçamentária!A4551,Composições!A:A,0),8),2,0)</f>
        <v>12.501999999999999</v>
      </c>
      <c r="F4551" s="152">
        <f t="shared" ref="F4551:F4614" ca="1" si="215">IF(ISNUMBER(E4551),D4551*E4551,"")</f>
        <v>0</v>
      </c>
      <c r="G4551" s="153">
        <f>IF($K4551="Padrão",BDI!$B$17,IF($K4551="Diferenciado",BDI!$E$17,0))</f>
        <v>0.2039</v>
      </c>
      <c r="H4551" s="151">
        <f t="shared" ca="1" si="213"/>
        <v>15.05</v>
      </c>
      <c r="I4551" s="152">
        <f t="shared" ca="1" si="214"/>
        <v>0</v>
      </c>
      <c r="J4551" s="154"/>
      <c r="K4551" s="155" t="s">
        <v>2966</v>
      </c>
    </row>
    <row r="4552" spans="1:11" hidden="1" x14ac:dyDescent="0.25">
      <c r="A4552" s="148" t="s">
        <v>2621</v>
      </c>
      <c r="B4552" s="149" t="s">
        <v>10152</v>
      </c>
      <c r="C4552" s="150" t="s">
        <v>18</v>
      </c>
      <c r="D4552" s="150">
        <v>0</v>
      </c>
      <c r="E4552" s="151">
        <f ca="1">OFFSET(INDEX(Composições!A:H,MATCH(Orçamentária!A4552,Composições!A:A,0),8),2,0)</f>
        <v>22.733499999999999</v>
      </c>
      <c r="F4552" s="152">
        <f t="shared" ca="1" si="215"/>
        <v>0</v>
      </c>
      <c r="G4552" s="153">
        <f>IF($K4552="Padrão",BDI!$B$17,IF($K4552="Diferenciado",BDI!$E$17,0))</f>
        <v>0.2039</v>
      </c>
      <c r="H4552" s="151">
        <f t="shared" ca="1" si="213"/>
        <v>27.37</v>
      </c>
      <c r="I4552" s="152">
        <f t="shared" ca="1" si="214"/>
        <v>0</v>
      </c>
      <c r="J4552" s="154"/>
      <c r="K4552" s="155" t="s">
        <v>2966</v>
      </c>
    </row>
    <row r="4553" spans="1:11" ht="25.5" hidden="1" x14ac:dyDescent="0.25">
      <c r="A4553" s="148" t="s">
        <v>10153</v>
      </c>
      <c r="B4553" s="149" t="s">
        <v>10154</v>
      </c>
      <c r="C4553" s="150" t="s">
        <v>18</v>
      </c>
      <c r="D4553" s="150">
        <v>0</v>
      </c>
      <c r="E4553" s="151" t="s">
        <v>13</v>
      </c>
      <c r="F4553" s="152" t="str">
        <f t="shared" si="215"/>
        <v/>
      </c>
      <c r="G4553" s="153">
        <f>IF($K4553="Padrão",BDI!$B$17,IF($K4553="Diferenciado",BDI!$E$17,0))</f>
        <v>0.2039</v>
      </c>
      <c r="H4553" s="151" t="str">
        <f t="shared" si="213"/>
        <v/>
      </c>
      <c r="I4553" s="152" t="str">
        <f t="shared" si="214"/>
        <v/>
      </c>
      <c r="J4553" s="154"/>
      <c r="K4553" s="155" t="s">
        <v>2966</v>
      </c>
    </row>
    <row r="4554" spans="1:11" ht="25.5" hidden="1" x14ac:dyDescent="0.25">
      <c r="A4554" s="148" t="s">
        <v>2622</v>
      </c>
      <c r="B4554" s="149" t="s">
        <v>10155</v>
      </c>
      <c r="C4554" s="150" t="s">
        <v>18</v>
      </c>
      <c r="D4554" s="150">
        <v>0</v>
      </c>
      <c r="E4554" s="151">
        <f ca="1">OFFSET(INDEX(Composições!A:H,MATCH(Orçamentária!A4554,Composições!A:A,0),8),2,0)</f>
        <v>15.931499999999998</v>
      </c>
      <c r="F4554" s="152">
        <f t="shared" ca="1" si="215"/>
        <v>0</v>
      </c>
      <c r="G4554" s="153">
        <f>IF($K4554="Padrão",BDI!$B$17,IF($K4554="Diferenciado",BDI!$E$17,0))</f>
        <v>0.2039</v>
      </c>
      <c r="H4554" s="151">
        <f t="shared" ca="1" si="213"/>
        <v>19.18</v>
      </c>
      <c r="I4554" s="152">
        <f t="shared" ca="1" si="214"/>
        <v>0</v>
      </c>
      <c r="J4554" s="154"/>
      <c r="K4554" s="155" t="s">
        <v>2966</v>
      </c>
    </row>
    <row r="4555" spans="1:11" ht="25.5" hidden="1" x14ac:dyDescent="0.25">
      <c r="A4555" s="148" t="s">
        <v>2623</v>
      </c>
      <c r="B4555" s="149" t="s">
        <v>10156</v>
      </c>
      <c r="C4555" s="150" t="s">
        <v>18</v>
      </c>
      <c r="D4555" s="150">
        <v>0</v>
      </c>
      <c r="E4555" s="151">
        <f ca="1">OFFSET(INDEX(Composições!A:H,MATCH(Orçamentária!A4555,Composições!A:A,0),8),2,0)</f>
        <v>31.976999999999997</v>
      </c>
      <c r="F4555" s="152">
        <f t="shared" ca="1" si="215"/>
        <v>0</v>
      </c>
      <c r="G4555" s="153">
        <f>IF($K4555="Padrão",BDI!$B$17,IF($K4555="Diferenciado",BDI!$E$17,0))</f>
        <v>0.2039</v>
      </c>
      <c r="H4555" s="151">
        <f t="shared" ca="1" si="213"/>
        <v>38.5</v>
      </c>
      <c r="I4555" s="152">
        <f t="shared" ca="1" si="214"/>
        <v>0</v>
      </c>
      <c r="J4555" s="154"/>
      <c r="K4555" s="155" t="s">
        <v>2966</v>
      </c>
    </row>
    <row r="4556" spans="1:11" ht="25.5" hidden="1" x14ac:dyDescent="0.25">
      <c r="A4556" s="148" t="s">
        <v>10157</v>
      </c>
      <c r="B4556" s="149" t="s">
        <v>10158</v>
      </c>
      <c r="C4556" s="150" t="s">
        <v>18</v>
      </c>
      <c r="D4556" s="150">
        <v>0</v>
      </c>
      <c r="E4556" s="151" t="s">
        <v>13</v>
      </c>
      <c r="F4556" s="152" t="str">
        <f t="shared" si="215"/>
        <v/>
      </c>
      <c r="G4556" s="153">
        <f>IF($K4556="Padrão",BDI!$B$17,IF($K4556="Diferenciado",BDI!$E$17,0))</f>
        <v>0.2039</v>
      </c>
      <c r="H4556" s="151" t="str">
        <f t="shared" si="213"/>
        <v/>
      </c>
      <c r="I4556" s="152" t="str">
        <f t="shared" si="214"/>
        <v/>
      </c>
      <c r="J4556" s="154"/>
      <c r="K4556" s="155" t="s">
        <v>2966</v>
      </c>
    </row>
    <row r="4557" spans="1:11" ht="25.5" hidden="1" x14ac:dyDescent="0.25">
      <c r="A4557" s="148" t="s">
        <v>10159</v>
      </c>
      <c r="B4557" s="149" t="s">
        <v>10160</v>
      </c>
      <c r="C4557" s="150" t="s">
        <v>18</v>
      </c>
      <c r="D4557" s="150">
        <v>0</v>
      </c>
      <c r="E4557" s="151" t="s">
        <v>13</v>
      </c>
      <c r="F4557" s="152" t="str">
        <f t="shared" si="215"/>
        <v/>
      </c>
      <c r="G4557" s="153">
        <f>IF($K4557="Padrão",BDI!$B$17,IF($K4557="Diferenciado",BDI!$E$17,0))</f>
        <v>0.2039</v>
      </c>
      <c r="H4557" s="151" t="str">
        <f t="shared" si="213"/>
        <v/>
      </c>
      <c r="I4557" s="152" t="str">
        <f t="shared" si="214"/>
        <v/>
      </c>
      <c r="J4557" s="154"/>
      <c r="K4557" s="155" t="s">
        <v>2966</v>
      </c>
    </row>
    <row r="4558" spans="1:11" ht="25.5" hidden="1" x14ac:dyDescent="0.25">
      <c r="A4558" s="148" t="s">
        <v>10161</v>
      </c>
      <c r="B4558" s="149" t="s">
        <v>10162</v>
      </c>
      <c r="C4558" s="150" t="s">
        <v>18</v>
      </c>
      <c r="D4558" s="150">
        <v>0</v>
      </c>
      <c r="E4558" s="151" t="s">
        <v>13</v>
      </c>
      <c r="F4558" s="152" t="str">
        <f t="shared" si="215"/>
        <v/>
      </c>
      <c r="G4558" s="153">
        <f>IF($K4558="Padrão",BDI!$B$17,IF($K4558="Diferenciado",BDI!$E$17,0))</f>
        <v>0.2039</v>
      </c>
      <c r="H4558" s="151" t="str">
        <f t="shared" si="213"/>
        <v/>
      </c>
      <c r="I4558" s="152" t="str">
        <f t="shared" si="214"/>
        <v/>
      </c>
      <c r="J4558" s="154"/>
      <c r="K4558" s="155" t="s">
        <v>2966</v>
      </c>
    </row>
    <row r="4559" spans="1:11" ht="25.5" hidden="1" x14ac:dyDescent="0.25">
      <c r="A4559" s="148" t="s">
        <v>2624</v>
      </c>
      <c r="B4559" s="149" t="s">
        <v>2625</v>
      </c>
      <c r="C4559" s="150" t="s">
        <v>18</v>
      </c>
      <c r="D4559" s="150">
        <v>0</v>
      </c>
      <c r="E4559" s="151">
        <f ca="1">OFFSET(INDEX(Composições!A:H,MATCH(Orçamentária!A4559,Composições!A:A,0),8),2,0)</f>
        <v>0</v>
      </c>
      <c r="F4559" s="152">
        <f t="shared" ca="1" si="215"/>
        <v>0</v>
      </c>
      <c r="G4559" s="153">
        <f>IF($K4559="Padrão",BDI!$B$17,IF($K4559="Diferenciado",BDI!$E$17,0))</f>
        <v>0.2039</v>
      </c>
      <c r="H4559" s="151">
        <f t="shared" ca="1" si="213"/>
        <v>0</v>
      </c>
      <c r="I4559" s="152">
        <f t="shared" ca="1" si="214"/>
        <v>0</v>
      </c>
      <c r="J4559" s="154"/>
      <c r="K4559" s="155" t="s">
        <v>2966</v>
      </c>
    </row>
    <row r="4560" spans="1:11" ht="25.5" hidden="1" x14ac:dyDescent="0.25">
      <c r="A4560" s="148" t="s">
        <v>2626</v>
      </c>
      <c r="B4560" s="149" t="s">
        <v>2627</v>
      </c>
      <c r="C4560" s="150" t="s">
        <v>18</v>
      </c>
      <c r="D4560" s="150">
        <v>0</v>
      </c>
      <c r="E4560" s="151">
        <f ca="1">OFFSET(INDEX(Composições!A:H,MATCH(Orçamentária!A4560,Composições!A:A,0),8),2,0)</f>
        <v>0</v>
      </c>
      <c r="F4560" s="152">
        <f t="shared" ca="1" si="215"/>
        <v>0</v>
      </c>
      <c r="G4560" s="153">
        <f>IF($K4560="Padrão",BDI!$B$17,IF($K4560="Diferenciado",BDI!$E$17,0))</f>
        <v>0.2039</v>
      </c>
      <c r="H4560" s="151">
        <f t="shared" ca="1" si="213"/>
        <v>0</v>
      </c>
      <c r="I4560" s="152">
        <f t="shared" ca="1" si="214"/>
        <v>0</v>
      </c>
      <c r="J4560" s="154"/>
      <c r="K4560" s="155" t="s">
        <v>2966</v>
      </c>
    </row>
    <row r="4561" spans="1:11" ht="25.5" hidden="1" x14ac:dyDescent="0.25">
      <c r="A4561" s="148" t="s">
        <v>10163</v>
      </c>
      <c r="B4561" s="149" t="s">
        <v>10164</v>
      </c>
      <c r="C4561" s="150" t="s">
        <v>18</v>
      </c>
      <c r="D4561" s="150">
        <v>0</v>
      </c>
      <c r="E4561" s="151" t="s">
        <v>13</v>
      </c>
      <c r="F4561" s="152" t="str">
        <f t="shared" si="215"/>
        <v/>
      </c>
      <c r="G4561" s="153">
        <f>IF($K4561="Padrão",BDI!$B$17,IF($K4561="Diferenciado",BDI!$E$17,0))</f>
        <v>0.2039</v>
      </c>
      <c r="H4561" s="151" t="str">
        <f t="shared" si="213"/>
        <v/>
      </c>
      <c r="I4561" s="152" t="str">
        <f t="shared" si="214"/>
        <v/>
      </c>
      <c r="J4561" s="154"/>
      <c r="K4561" s="155" t="s">
        <v>2966</v>
      </c>
    </row>
    <row r="4562" spans="1:11" ht="25.5" hidden="1" x14ac:dyDescent="0.25">
      <c r="A4562" s="148" t="s">
        <v>10165</v>
      </c>
      <c r="B4562" s="149" t="s">
        <v>10166</v>
      </c>
      <c r="C4562" s="150" t="s">
        <v>18</v>
      </c>
      <c r="D4562" s="150">
        <v>0</v>
      </c>
      <c r="E4562" s="151" t="s">
        <v>13</v>
      </c>
      <c r="F4562" s="152" t="str">
        <f t="shared" si="215"/>
        <v/>
      </c>
      <c r="G4562" s="153">
        <f>IF($K4562="Padrão",BDI!$B$17,IF($K4562="Diferenciado",BDI!$E$17,0))</f>
        <v>0.2039</v>
      </c>
      <c r="H4562" s="151" t="str">
        <f t="shared" si="213"/>
        <v/>
      </c>
      <c r="I4562" s="152" t="str">
        <f t="shared" si="214"/>
        <v/>
      </c>
      <c r="J4562" s="154"/>
      <c r="K4562" s="155" t="s">
        <v>2966</v>
      </c>
    </row>
    <row r="4563" spans="1:11" ht="25.5" hidden="1" x14ac:dyDescent="0.25">
      <c r="A4563" s="148" t="s">
        <v>10167</v>
      </c>
      <c r="B4563" s="149" t="s">
        <v>10168</v>
      </c>
      <c r="C4563" s="150" t="s">
        <v>18</v>
      </c>
      <c r="D4563" s="150">
        <v>0</v>
      </c>
      <c r="E4563" s="151" t="s">
        <v>13</v>
      </c>
      <c r="F4563" s="152" t="str">
        <f t="shared" si="215"/>
        <v/>
      </c>
      <c r="G4563" s="153">
        <f>IF($K4563="Padrão",BDI!$B$17,IF($K4563="Diferenciado",BDI!$E$17,0))</f>
        <v>0.2039</v>
      </c>
      <c r="H4563" s="151" t="str">
        <f t="shared" si="213"/>
        <v/>
      </c>
      <c r="I4563" s="152" t="str">
        <f t="shared" si="214"/>
        <v/>
      </c>
      <c r="J4563" s="154"/>
      <c r="K4563" s="155" t="s">
        <v>2966</v>
      </c>
    </row>
    <row r="4564" spans="1:11" ht="25.5" hidden="1" x14ac:dyDescent="0.25">
      <c r="A4564" s="148" t="s">
        <v>2628</v>
      </c>
      <c r="B4564" s="149" t="s">
        <v>10169</v>
      </c>
      <c r="C4564" s="150" t="s">
        <v>18</v>
      </c>
      <c r="D4564" s="150">
        <v>0</v>
      </c>
      <c r="E4564" s="151">
        <f ca="1">OFFSET(INDEX(Composições!A:H,MATCH(Orçamentária!A4564,Composições!A:A,0),8),2,0)</f>
        <v>20.614999999999998</v>
      </c>
      <c r="F4564" s="152">
        <f t="shared" ca="1" si="215"/>
        <v>0</v>
      </c>
      <c r="G4564" s="153">
        <f>IF($K4564="Padrão",BDI!$B$17,IF($K4564="Diferenciado",BDI!$E$17,0))</f>
        <v>0.2039</v>
      </c>
      <c r="H4564" s="151">
        <f t="shared" ca="1" si="213"/>
        <v>24.82</v>
      </c>
      <c r="I4564" s="152">
        <f t="shared" ca="1" si="214"/>
        <v>0</v>
      </c>
      <c r="J4564" s="154"/>
      <c r="K4564" s="155" t="s">
        <v>2966</v>
      </c>
    </row>
    <row r="4565" spans="1:11" ht="25.5" hidden="1" x14ac:dyDescent="0.25">
      <c r="A4565" s="148" t="s">
        <v>10170</v>
      </c>
      <c r="B4565" s="149" t="s">
        <v>10171</v>
      </c>
      <c r="C4565" s="150" t="s">
        <v>18</v>
      </c>
      <c r="D4565" s="150">
        <v>0</v>
      </c>
      <c r="E4565" s="151" t="s">
        <v>13</v>
      </c>
      <c r="F4565" s="152" t="str">
        <f t="shared" si="215"/>
        <v/>
      </c>
      <c r="G4565" s="153">
        <f>IF($K4565="Padrão",BDI!$B$17,IF($K4565="Diferenciado",BDI!$E$17,0))</f>
        <v>0.2039</v>
      </c>
      <c r="H4565" s="151" t="str">
        <f t="shared" si="213"/>
        <v/>
      </c>
      <c r="I4565" s="152" t="str">
        <f t="shared" si="214"/>
        <v/>
      </c>
      <c r="J4565" s="154"/>
      <c r="K4565" s="155" t="s">
        <v>2966</v>
      </c>
    </row>
    <row r="4566" spans="1:11" hidden="1" x14ac:dyDescent="0.25">
      <c r="A4566" s="148" t="s">
        <v>10172</v>
      </c>
      <c r="B4566" s="149" t="s">
        <v>10173</v>
      </c>
      <c r="C4566" s="150" t="s">
        <v>18</v>
      </c>
      <c r="D4566" s="150">
        <v>0</v>
      </c>
      <c r="E4566" s="151" t="s">
        <v>13</v>
      </c>
      <c r="F4566" s="152" t="str">
        <f t="shared" si="215"/>
        <v/>
      </c>
      <c r="G4566" s="153">
        <f>IF($K4566="Padrão",BDI!$B$17,IF($K4566="Diferenciado",BDI!$E$17,0))</f>
        <v>0.2039</v>
      </c>
      <c r="H4566" s="151" t="str">
        <f t="shared" si="213"/>
        <v/>
      </c>
      <c r="I4566" s="152" t="str">
        <f t="shared" si="214"/>
        <v/>
      </c>
      <c r="J4566" s="154"/>
      <c r="K4566" s="155" t="s">
        <v>2966</v>
      </c>
    </row>
    <row r="4567" spans="1:11" hidden="1" x14ac:dyDescent="0.25">
      <c r="A4567" s="148" t="s">
        <v>10174</v>
      </c>
      <c r="B4567" s="149" t="s">
        <v>10175</v>
      </c>
      <c r="C4567" s="150" t="s">
        <v>18</v>
      </c>
      <c r="D4567" s="150">
        <v>0</v>
      </c>
      <c r="E4567" s="151" t="s">
        <v>13</v>
      </c>
      <c r="F4567" s="152" t="str">
        <f t="shared" si="215"/>
        <v/>
      </c>
      <c r="G4567" s="153">
        <f>IF($K4567="Padrão",BDI!$B$17,IF($K4567="Diferenciado",BDI!$E$17,0))</f>
        <v>0.2039</v>
      </c>
      <c r="H4567" s="151" t="str">
        <f t="shared" si="213"/>
        <v/>
      </c>
      <c r="I4567" s="152" t="str">
        <f t="shared" si="214"/>
        <v/>
      </c>
      <c r="J4567" s="154"/>
      <c r="K4567" s="155" t="s">
        <v>2966</v>
      </c>
    </row>
    <row r="4568" spans="1:11" hidden="1" x14ac:dyDescent="0.25">
      <c r="A4568" s="148" t="s">
        <v>10176</v>
      </c>
      <c r="B4568" s="149" t="s">
        <v>10177</v>
      </c>
      <c r="C4568" s="150" t="s">
        <v>18</v>
      </c>
      <c r="D4568" s="150">
        <v>0</v>
      </c>
      <c r="E4568" s="151" t="s">
        <v>13</v>
      </c>
      <c r="F4568" s="152" t="str">
        <f t="shared" si="215"/>
        <v/>
      </c>
      <c r="G4568" s="153">
        <f>IF($K4568="Padrão",BDI!$B$17,IF($K4568="Diferenciado",BDI!$E$17,0))</f>
        <v>0.2039</v>
      </c>
      <c r="H4568" s="151" t="str">
        <f t="shared" si="213"/>
        <v/>
      </c>
      <c r="I4568" s="152" t="str">
        <f t="shared" si="214"/>
        <v/>
      </c>
      <c r="J4568" s="154"/>
      <c r="K4568" s="155" t="s">
        <v>2966</v>
      </c>
    </row>
    <row r="4569" spans="1:11" hidden="1" x14ac:dyDescent="0.25">
      <c r="A4569" s="148" t="s">
        <v>2629</v>
      </c>
      <c r="B4569" s="149" t="s">
        <v>10178</v>
      </c>
      <c r="C4569" s="150" t="s">
        <v>106</v>
      </c>
      <c r="D4569" s="150">
        <v>0</v>
      </c>
      <c r="E4569" s="151">
        <f ca="1">OFFSET(INDEX(Composições!A:H,MATCH(Orçamentária!A4569,Composições!A:A,0),8),2,0)</f>
        <v>9.1864999999999988</v>
      </c>
      <c r="F4569" s="152">
        <f t="shared" ca="1" si="215"/>
        <v>0</v>
      </c>
      <c r="G4569" s="153">
        <f>IF($K4569="Padrão",BDI!$B$17,IF($K4569="Diferenciado",BDI!$E$17,0))</f>
        <v>0.2039</v>
      </c>
      <c r="H4569" s="151">
        <f t="shared" ca="1" si="213"/>
        <v>11.06</v>
      </c>
      <c r="I4569" s="152">
        <f t="shared" ca="1" si="214"/>
        <v>0</v>
      </c>
      <c r="J4569" s="154"/>
      <c r="K4569" s="155" t="s">
        <v>2966</v>
      </c>
    </row>
    <row r="4570" spans="1:11" ht="25.5" hidden="1" x14ac:dyDescent="0.25">
      <c r="A4570" s="148" t="s">
        <v>10179</v>
      </c>
      <c r="B4570" s="149" t="s">
        <v>10180</v>
      </c>
      <c r="C4570" s="150" t="s">
        <v>18</v>
      </c>
      <c r="D4570" s="150">
        <v>0</v>
      </c>
      <c r="E4570" s="151" t="s">
        <v>13</v>
      </c>
      <c r="F4570" s="152" t="str">
        <f t="shared" si="215"/>
        <v/>
      </c>
      <c r="G4570" s="153">
        <f>IF($K4570="Padrão",BDI!$B$17,IF($K4570="Diferenciado",BDI!$E$17,0))</f>
        <v>0.2039</v>
      </c>
      <c r="H4570" s="151" t="str">
        <f t="shared" si="213"/>
        <v/>
      </c>
      <c r="I4570" s="152" t="str">
        <f t="shared" si="214"/>
        <v/>
      </c>
      <c r="J4570" s="154"/>
      <c r="K4570" s="155" t="s">
        <v>2966</v>
      </c>
    </row>
    <row r="4571" spans="1:11" hidden="1" x14ac:dyDescent="0.25">
      <c r="A4571" s="148" t="s">
        <v>10181</v>
      </c>
      <c r="B4571" s="149" t="s">
        <v>10182</v>
      </c>
      <c r="C4571" s="150" t="s">
        <v>18</v>
      </c>
      <c r="D4571" s="150">
        <v>0</v>
      </c>
      <c r="E4571" s="151" t="s">
        <v>13</v>
      </c>
      <c r="F4571" s="152" t="str">
        <f t="shared" si="215"/>
        <v/>
      </c>
      <c r="G4571" s="153">
        <f>IF($K4571="Padrão",BDI!$B$17,IF($K4571="Diferenciado",BDI!$E$17,0))</f>
        <v>0.2039</v>
      </c>
      <c r="H4571" s="151" t="str">
        <f t="shared" si="213"/>
        <v/>
      </c>
      <c r="I4571" s="152" t="str">
        <f t="shared" si="214"/>
        <v/>
      </c>
      <c r="J4571" s="154"/>
      <c r="K4571" s="155" t="s">
        <v>2966</v>
      </c>
    </row>
    <row r="4572" spans="1:11" hidden="1" x14ac:dyDescent="0.25">
      <c r="A4572" s="148" t="s">
        <v>10183</v>
      </c>
      <c r="B4572" s="149" t="s">
        <v>10184</v>
      </c>
      <c r="C4572" s="150" t="s">
        <v>18</v>
      </c>
      <c r="D4572" s="150">
        <v>0</v>
      </c>
      <c r="E4572" s="151" t="s">
        <v>13</v>
      </c>
      <c r="F4572" s="152" t="str">
        <f t="shared" si="215"/>
        <v/>
      </c>
      <c r="G4572" s="153">
        <f>IF($K4572="Padrão",BDI!$B$17,IF($K4572="Diferenciado",BDI!$E$17,0))</f>
        <v>0.2039</v>
      </c>
      <c r="H4572" s="151" t="str">
        <f t="shared" si="213"/>
        <v/>
      </c>
      <c r="I4572" s="152" t="str">
        <f t="shared" si="214"/>
        <v/>
      </c>
      <c r="J4572" s="154"/>
      <c r="K4572" s="155" t="s">
        <v>2966</v>
      </c>
    </row>
    <row r="4573" spans="1:11" hidden="1" x14ac:dyDescent="0.25">
      <c r="A4573" s="148" t="s">
        <v>10185</v>
      </c>
      <c r="B4573" s="149" t="s">
        <v>10186</v>
      </c>
      <c r="C4573" s="150" t="s">
        <v>18</v>
      </c>
      <c r="D4573" s="150">
        <v>0</v>
      </c>
      <c r="E4573" s="151" t="s">
        <v>13</v>
      </c>
      <c r="F4573" s="152" t="str">
        <f t="shared" si="215"/>
        <v/>
      </c>
      <c r="G4573" s="153">
        <f>IF($K4573="Padrão",BDI!$B$17,IF($K4573="Diferenciado",BDI!$E$17,0))</f>
        <v>0.2039</v>
      </c>
      <c r="H4573" s="151" t="str">
        <f t="shared" si="213"/>
        <v/>
      </c>
      <c r="I4573" s="152" t="str">
        <f t="shared" si="214"/>
        <v/>
      </c>
      <c r="J4573" s="154"/>
      <c r="K4573" s="155" t="s">
        <v>2966</v>
      </c>
    </row>
    <row r="4574" spans="1:11" hidden="1" x14ac:dyDescent="0.25">
      <c r="A4574" s="148" t="s">
        <v>10187</v>
      </c>
      <c r="B4574" s="149" t="s">
        <v>10188</v>
      </c>
      <c r="C4574" s="150" t="s">
        <v>18</v>
      </c>
      <c r="D4574" s="150">
        <v>0</v>
      </c>
      <c r="E4574" s="151" t="s">
        <v>13</v>
      </c>
      <c r="F4574" s="152" t="str">
        <f t="shared" si="215"/>
        <v/>
      </c>
      <c r="G4574" s="153">
        <f>IF($K4574="Padrão",BDI!$B$17,IF($K4574="Diferenciado",BDI!$E$17,0))</f>
        <v>0.2039</v>
      </c>
      <c r="H4574" s="151" t="str">
        <f t="shared" si="213"/>
        <v/>
      </c>
      <c r="I4574" s="152" t="str">
        <f t="shared" si="214"/>
        <v/>
      </c>
      <c r="J4574" s="154"/>
      <c r="K4574" s="155" t="s">
        <v>2966</v>
      </c>
    </row>
    <row r="4575" spans="1:11" hidden="1" x14ac:dyDescent="0.25">
      <c r="A4575" s="148" t="s">
        <v>2630</v>
      </c>
      <c r="B4575" s="149" t="s">
        <v>10189</v>
      </c>
      <c r="C4575" s="150" t="s">
        <v>18</v>
      </c>
      <c r="D4575" s="150">
        <v>0</v>
      </c>
      <c r="E4575" s="151">
        <f ca="1">OFFSET(INDEX(Composições!A:H,MATCH(Orçamentária!A4575,Composições!A:A,0),8),2,0)</f>
        <v>451.06</v>
      </c>
      <c r="F4575" s="152">
        <f t="shared" ca="1" si="215"/>
        <v>0</v>
      </c>
      <c r="G4575" s="153">
        <f>IF($K4575="Padrão",BDI!$B$17,IF($K4575="Diferenciado",BDI!$E$17,0))</f>
        <v>0.2039</v>
      </c>
      <c r="H4575" s="151">
        <f t="shared" ca="1" si="213"/>
        <v>543.03</v>
      </c>
      <c r="I4575" s="152">
        <f t="shared" ca="1" si="214"/>
        <v>0</v>
      </c>
      <c r="J4575" s="154"/>
      <c r="K4575" s="155" t="s">
        <v>2966</v>
      </c>
    </row>
    <row r="4576" spans="1:11" hidden="1" x14ac:dyDescent="0.25">
      <c r="A4576" s="148" t="s">
        <v>2631</v>
      </c>
      <c r="B4576" s="149" t="s">
        <v>10190</v>
      </c>
      <c r="C4576" s="150" t="s">
        <v>18</v>
      </c>
      <c r="D4576" s="150">
        <v>0</v>
      </c>
      <c r="E4576" s="151">
        <f ca="1">OFFSET(INDEX(Composições!A:H,MATCH(Orçamentária!A4576,Composições!A:A,0),8),2,0)</f>
        <v>225.53</v>
      </c>
      <c r="F4576" s="152">
        <f t="shared" ca="1" si="215"/>
        <v>0</v>
      </c>
      <c r="G4576" s="153">
        <f>IF($K4576="Padrão",BDI!$B$17,IF($K4576="Diferenciado",BDI!$E$17,0))</f>
        <v>0.2039</v>
      </c>
      <c r="H4576" s="151">
        <f t="shared" ca="1" si="213"/>
        <v>271.52</v>
      </c>
      <c r="I4576" s="152">
        <f t="shared" ca="1" si="214"/>
        <v>0</v>
      </c>
      <c r="J4576" s="154"/>
      <c r="K4576" s="155" t="s">
        <v>2966</v>
      </c>
    </row>
    <row r="4577" spans="1:11" hidden="1" x14ac:dyDescent="0.25">
      <c r="A4577" s="148" t="s">
        <v>2633</v>
      </c>
      <c r="B4577" s="149" t="s">
        <v>10191</v>
      </c>
      <c r="C4577" s="150" t="s">
        <v>18</v>
      </c>
      <c r="D4577" s="150">
        <v>0</v>
      </c>
      <c r="E4577" s="151">
        <f ca="1">OFFSET(INDEX(Composições!A:H,MATCH(Orçamentária!A4577,Composições!A:A,0),8),2,0)</f>
        <v>225.53</v>
      </c>
      <c r="F4577" s="152">
        <f t="shared" ca="1" si="215"/>
        <v>0</v>
      </c>
      <c r="G4577" s="153">
        <f>IF($K4577="Padrão",BDI!$B$17,IF($K4577="Diferenciado",BDI!$E$17,0))</f>
        <v>0.2039</v>
      </c>
      <c r="H4577" s="151">
        <f t="shared" ca="1" si="213"/>
        <v>271.52</v>
      </c>
      <c r="I4577" s="152">
        <f t="shared" ca="1" si="214"/>
        <v>0</v>
      </c>
      <c r="J4577" s="154"/>
      <c r="K4577" s="155" t="s">
        <v>2966</v>
      </c>
    </row>
    <row r="4578" spans="1:11" ht="25.5" hidden="1" x14ac:dyDescent="0.25">
      <c r="A4578" s="148" t="s">
        <v>2635</v>
      </c>
      <c r="B4578" s="149" t="s">
        <v>10192</v>
      </c>
      <c r="C4578" s="150" t="s">
        <v>106</v>
      </c>
      <c r="D4578" s="150">
        <v>0</v>
      </c>
      <c r="E4578" s="151">
        <f ca="1">OFFSET(INDEX(Composições!A:H,MATCH(Orçamentária!A4578,Composições!A:A,0),8),2,0)</f>
        <v>56.3825</v>
      </c>
      <c r="F4578" s="152">
        <f t="shared" ca="1" si="215"/>
        <v>0</v>
      </c>
      <c r="G4578" s="153">
        <f>IF($K4578="Padrão",BDI!$B$17,IF($K4578="Diferenciado",BDI!$E$17,0))</f>
        <v>0.2039</v>
      </c>
      <c r="H4578" s="151">
        <f t="shared" ca="1" si="213"/>
        <v>67.88</v>
      </c>
      <c r="I4578" s="152">
        <f t="shared" ca="1" si="214"/>
        <v>0</v>
      </c>
      <c r="J4578" s="154"/>
      <c r="K4578" s="155" t="s">
        <v>2966</v>
      </c>
    </row>
    <row r="4579" spans="1:11" hidden="1" x14ac:dyDescent="0.25">
      <c r="A4579" s="148" t="s">
        <v>2637</v>
      </c>
      <c r="B4579" s="149" t="s">
        <v>10193</v>
      </c>
      <c r="C4579" s="150" t="s">
        <v>18</v>
      </c>
      <c r="D4579" s="150">
        <v>0</v>
      </c>
      <c r="E4579" s="151">
        <f ca="1">OFFSET(INDEX(Composições!A:H,MATCH(Orçamentária!A4579,Composições!A:A,0),8),2,0)</f>
        <v>214.85176724999997</v>
      </c>
      <c r="F4579" s="152">
        <f t="shared" ca="1" si="215"/>
        <v>0</v>
      </c>
      <c r="G4579" s="153">
        <f>IF($K4579="Padrão",BDI!$B$17,IF($K4579="Diferenciado",BDI!$E$17,0))</f>
        <v>0.2039</v>
      </c>
      <c r="H4579" s="151">
        <f t="shared" ca="1" si="213"/>
        <v>258.66000000000003</v>
      </c>
      <c r="I4579" s="152">
        <f t="shared" ca="1" si="214"/>
        <v>0</v>
      </c>
      <c r="J4579" s="154"/>
      <c r="K4579" s="155" t="s">
        <v>2966</v>
      </c>
    </row>
    <row r="4580" spans="1:11" ht="25.5" hidden="1" x14ac:dyDescent="0.25">
      <c r="A4580" s="148" t="s">
        <v>2638</v>
      </c>
      <c r="B4580" s="149" t="s">
        <v>10194</v>
      </c>
      <c r="C4580" s="150" t="s">
        <v>106</v>
      </c>
      <c r="D4580" s="150">
        <v>0</v>
      </c>
      <c r="E4580" s="151">
        <f ca="1">OFFSET(INDEX(Composições!A:H,MATCH(Orçamentária!A4580,Composições!A:A,0),8),2,0)</f>
        <v>56.3825</v>
      </c>
      <c r="F4580" s="152">
        <f t="shared" ca="1" si="215"/>
        <v>0</v>
      </c>
      <c r="G4580" s="153">
        <f>IF($K4580="Padrão",BDI!$B$17,IF($K4580="Diferenciado",BDI!$E$17,0))</f>
        <v>0.2039</v>
      </c>
      <c r="H4580" s="151">
        <f t="shared" ca="1" si="213"/>
        <v>67.88</v>
      </c>
      <c r="I4580" s="152">
        <f t="shared" ca="1" si="214"/>
        <v>0</v>
      </c>
      <c r="J4580" s="154"/>
      <c r="K4580" s="155" t="s">
        <v>2966</v>
      </c>
    </row>
    <row r="4581" spans="1:11" ht="25.5" hidden="1" x14ac:dyDescent="0.25">
      <c r="A4581" s="148" t="s">
        <v>2640</v>
      </c>
      <c r="B4581" s="149" t="s">
        <v>10195</v>
      </c>
      <c r="C4581" s="150" t="s">
        <v>18</v>
      </c>
      <c r="D4581" s="150">
        <v>0</v>
      </c>
      <c r="E4581" s="151">
        <f ca="1">OFFSET(INDEX(Composições!A:H,MATCH(Orçamentária!A4581,Composições!A:A,0),8),2,0)</f>
        <v>34.456267250000003</v>
      </c>
      <c r="F4581" s="152">
        <f t="shared" ca="1" si="215"/>
        <v>0</v>
      </c>
      <c r="G4581" s="153">
        <f>IF($K4581="Padrão",BDI!$B$17,IF($K4581="Diferenciado",BDI!$E$17,0))</f>
        <v>0.2039</v>
      </c>
      <c r="H4581" s="151">
        <f t="shared" ca="1" si="213"/>
        <v>41.48</v>
      </c>
      <c r="I4581" s="152">
        <f t="shared" ca="1" si="214"/>
        <v>0</v>
      </c>
      <c r="J4581" s="154"/>
      <c r="K4581" s="155" t="s">
        <v>2966</v>
      </c>
    </row>
    <row r="4582" spans="1:11" hidden="1" x14ac:dyDescent="0.25">
      <c r="A4582" s="148" t="s">
        <v>2642</v>
      </c>
      <c r="B4582" s="149" t="s">
        <v>10196</v>
      </c>
      <c r="C4582" s="150" t="s">
        <v>18</v>
      </c>
      <c r="D4582" s="150">
        <v>0</v>
      </c>
      <c r="E4582" s="151">
        <f ca="1">OFFSET(INDEX(Composições!A:H,MATCH(Orçamentária!A4582,Composições!A:A,0),8),2,0)</f>
        <v>18.211233287500001</v>
      </c>
      <c r="F4582" s="152">
        <f t="shared" ca="1" si="215"/>
        <v>0</v>
      </c>
      <c r="G4582" s="153">
        <f>IF($K4582="Padrão",BDI!$B$17,IF($K4582="Diferenciado",BDI!$E$17,0))</f>
        <v>0.2039</v>
      </c>
      <c r="H4582" s="151">
        <f t="shared" ca="1" si="213"/>
        <v>21.92</v>
      </c>
      <c r="I4582" s="152">
        <f t="shared" ca="1" si="214"/>
        <v>0</v>
      </c>
      <c r="J4582" s="154"/>
      <c r="K4582" s="155" t="s">
        <v>2966</v>
      </c>
    </row>
    <row r="4583" spans="1:11" hidden="1" x14ac:dyDescent="0.25">
      <c r="A4583" s="148" t="s">
        <v>2644</v>
      </c>
      <c r="B4583" s="149" t="s">
        <v>10197</v>
      </c>
      <c r="C4583" s="150" t="s">
        <v>18</v>
      </c>
      <c r="D4583" s="150">
        <v>0</v>
      </c>
      <c r="E4583" s="151">
        <f ca="1">OFFSET(INDEX(Composições!A:H,MATCH(Orçamentária!A4583,Composições!A:A,0),8),2,0)</f>
        <v>11415.349999999999</v>
      </c>
      <c r="F4583" s="152">
        <f t="shared" ca="1" si="215"/>
        <v>0</v>
      </c>
      <c r="G4583" s="153">
        <f>IF($K4583="Padrão",BDI!$B$17,IF($K4583="Diferenciado",BDI!$E$17,0))</f>
        <v>0.2039</v>
      </c>
      <c r="H4583" s="151">
        <f t="shared" ca="1" si="213"/>
        <v>13742.94</v>
      </c>
      <c r="I4583" s="152">
        <f t="shared" ca="1" si="214"/>
        <v>0</v>
      </c>
      <c r="J4583" s="154"/>
      <c r="K4583" s="155" t="s">
        <v>2966</v>
      </c>
    </row>
    <row r="4584" spans="1:11" hidden="1" x14ac:dyDescent="0.25">
      <c r="A4584" s="148" t="s">
        <v>2645</v>
      </c>
      <c r="B4584" s="149" t="s">
        <v>10198</v>
      </c>
      <c r="C4584" s="150" t="s">
        <v>18</v>
      </c>
      <c r="D4584" s="150">
        <v>0</v>
      </c>
      <c r="E4584" s="151">
        <f ca="1">OFFSET(INDEX(Composições!A:H,MATCH(Orçamentária!A4584,Composições!A:A,0),8),2,0)</f>
        <v>225.53</v>
      </c>
      <c r="F4584" s="152">
        <f t="shared" ca="1" si="215"/>
        <v>0</v>
      </c>
      <c r="G4584" s="153">
        <f>IF($K4584="Padrão",BDI!$B$17,IF($K4584="Diferenciado",BDI!$E$17,0))</f>
        <v>0.2039</v>
      </c>
      <c r="H4584" s="151">
        <f t="shared" ca="1" si="213"/>
        <v>271.52</v>
      </c>
      <c r="I4584" s="152">
        <f t="shared" ca="1" si="214"/>
        <v>0</v>
      </c>
      <c r="J4584" s="154"/>
      <c r="K4584" s="155" t="s">
        <v>2966</v>
      </c>
    </row>
    <row r="4585" spans="1:11" hidden="1" x14ac:dyDescent="0.25">
      <c r="A4585" s="148" t="s">
        <v>10199</v>
      </c>
      <c r="B4585" s="149" t="s">
        <v>10200</v>
      </c>
      <c r="C4585" s="150" t="s">
        <v>3025</v>
      </c>
      <c r="D4585" s="150">
        <v>0</v>
      </c>
      <c r="E4585" s="151" t="s">
        <v>13</v>
      </c>
      <c r="F4585" s="152" t="str">
        <f t="shared" si="215"/>
        <v/>
      </c>
      <c r="G4585" s="153">
        <f>IF($K4585="Padrão",BDI!$B$17,IF($K4585="Diferenciado",BDI!$E$17,0))</f>
        <v>0.2039</v>
      </c>
      <c r="H4585" s="151" t="str">
        <f t="shared" si="213"/>
        <v/>
      </c>
      <c r="I4585" s="152" t="str">
        <f t="shared" si="214"/>
        <v/>
      </c>
      <c r="J4585" s="154"/>
      <c r="K4585" s="155" t="s">
        <v>2966</v>
      </c>
    </row>
    <row r="4586" spans="1:11" hidden="1" x14ac:dyDescent="0.25">
      <c r="A4586" s="148" t="s">
        <v>2646</v>
      </c>
      <c r="B4586" s="149" t="s">
        <v>10201</v>
      </c>
      <c r="C4586" s="150" t="s">
        <v>106</v>
      </c>
      <c r="D4586" s="150">
        <v>0</v>
      </c>
      <c r="E4586" s="151">
        <f ca="1">OFFSET(INDEX(Composições!A:H,MATCH(Orçamentária!A4586,Composições!A:A,0),8),2,0)</f>
        <v>284.54228999999998</v>
      </c>
      <c r="F4586" s="152">
        <f t="shared" ca="1" si="215"/>
        <v>0</v>
      </c>
      <c r="G4586" s="153">
        <f>IF($K4586="Padrão",BDI!$B$17,IF($K4586="Diferenciado",BDI!$E$17,0))</f>
        <v>0.2039</v>
      </c>
      <c r="H4586" s="151">
        <f t="shared" ca="1" si="213"/>
        <v>342.56</v>
      </c>
      <c r="I4586" s="152">
        <f t="shared" ca="1" si="214"/>
        <v>0</v>
      </c>
      <c r="J4586" s="154"/>
      <c r="K4586" s="155" t="s">
        <v>2966</v>
      </c>
    </row>
    <row r="4587" spans="1:11" hidden="1" x14ac:dyDescent="0.25">
      <c r="A4587" s="148" t="s">
        <v>2648</v>
      </c>
      <c r="B4587" s="149" t="s">
        <v>10202</v>
      </c>
      <c r="C4587" s="150" t="s">
        <v>68</v>
      </c>
      <c r="D4587" s="150">
        <v>0</v>
      </c>
      <c r="E4587" s="151">
        <f ca="1">OFFSET(INDEX(Composições!A:H,MATCH(Orçamentária!A4587,Composições!A:A,0),8),2,0)</f>
        <v>118.465</v>
      </c>
      <c r="F4587" s="152">
        <f t="shared" ca="1" si="215"/>
        <v>0</v>
      </c>
      <c r="G4587" s="153">
        <f>IF($K4587="Padrão",BDI!$B$17,IF($K4587="Diferenciado",BDI!$E$17,0))</f>
        <v>0.2039</v>
      </c>
      <c r="H4587" s="151">
        <f t="shared" ca="1" si="213"/>
        <v>142.62</v>
      </c>
      <c r="I4587" s="152">
        <f t="shared" ca="1" si="214"/>
        <v>0</v>
      </c>
      <c r="J4587" s="154"/>
      <c r="K4587" s="155" t="s">
        <v>2966</v>
      </c>
    </row>
    <row r="4588" spans="1:11" hidden="1" x14ac:dyDescent="0.25">
      <c r="A4588" s="148" t="s">
        <v>2649</v>
      </c>
      <c r="B4588" s="149" t="s">
        <v>10203</v>
      </c>
      <c r="C4588" s="150" t="s">
        <v>18</v>
      </c>
      <c r="D4588" s="150">
        <v>0</v>
      </c>
      <c r="E4588" s="151">
        <f ca="1">OFFSET(INDEX(Composições!A:H,MATCH(Orçamentária!A4588,Composições!A:A,0),8),2,0)</f>
        <v>15.041333137500001</v>
      </c>
      <c r="F4588" s="152">
        <f t="shared" ca="1" si="215"/>
        <v>0</v>
      </c>
      <c r="G4588" s="153">
        <f>IF($K4588="Padrão",BDI!$B$17,IF($K4588="Diferenciado",BDI!$E$17,0))</f>
        <v>0.2039</v>
      </c>
      <c r="H4588" s="151">
        <f t="shared" ca="1" si="213"/>
        <v>18.11</v>
      </c>
      <c r="I4588" s="152">
        <f t="shared" ca="1" si="214"/>
        <v>0</v>
      </c>
      <c r="J4588" s="154"/>
      <c r="K4588" s="155" t="s">
        <v>2966</v>
      </c>
    </row>
    <row r="4589" spans="1:11" hidden="1" x14ac:dyDescent="0.25">
      <c r="A4589" s="148" t="s">
        <v>2651</v>
      </c>
      <c r="B4589" s="149" t="s">
        <v>10204</v>
      </c>
      <c r="C4589" s="150" t="s">
        <v>18</v>
      </c>
      <c r="D4589" s="150">
        <v>0</v>
      </c>
      <c r="E4589" s="151">
        <f ca="1">OFFSET(INDEX(Composições!A:H,MATCH(Orçamentária!A4589,Composições!A:A,0),8),2,0)</f>
        <v>15.041333137500001</v>
      </c>
      <c r="F4589" s="152">
        <f t="shared" ca="1" si="215"/>
        <v>0</v>
      </c>
      <c r="G4589" s="153">
        <f>IF($K4589="Padrão",BDI!$B$17,IF($K4589="Diferenciado",BDI!$E$17,0))</f>
        <v>0.2039</v>
      </c>
      <c r="H4589" s="151">
        <f t="shared" ca="1" si="213"/>
        <v>18.11</v>
      </c>
      <c r="I4589" s="152">
        <f t="shared" ca="1" si="214"/>
        <v>0</v>
      </c>
      <c r="J4589" s="154"/>
      <c r="K4589" s="155" t="s">
        <v>2966</v>
      </c>
    </row>
    <row r="4590" spans="1:11" hidden="1" x14ac:dyDescent="0.25">
      <c r="A4590" s="148" t="s">
        <v>2653</v>
      </c>
      <c r="B4590" s="149" t="s">
        <v>10205</v>
      </c>
      <c r="C4590" s="150" t="s">
        <v>18</v>
      </c>
      <c r="D4590" s="150">
        <v>0</v>
      </c>
      <c r="E4590" s="151">
        <f ca="1">OFFSET(INDEX(Composições!A:H,MATCH(Orçamentária!A4590,Composições!A:A,0),8),2,0)</f>
        <v>73.216499999999996</v>
      </c>
      <c r="F4590" s="152">
        <f t="shared" ca="1" si="215"/>
        <v>0</v>
      </c>
      <c r="G4590" s="153">
        <f>IF($K4590="Padrão",BDI!$B$17,IF($K4590="Diferenciado",BDI!$E$17,0))</f>
        <v>0.2039</v>
      </c>
      <c r="H4590" s="151">
        <f t="shared" ca="1" si="213"/>
        <v>88.15</v>
      </c>
      <c r="I4590" s="152">
        <f t="shared" ca="1" si="214"/>
        <v>0</v>
      </c>
      <c r="J4590" s="154"/>
      <c r="K4590" s="155" t="s">
        <v>2966</v>
      </c>
    </row>
    <row r="4591" spans="1:11" hidden="1" x14ac:dyDescent="0.25">
      <c r="A4591" s="148" t="s">
        <v>2654</v>
      </c>
      <c r="B4591" s="149" t="s">
        <v>10206</v>
      </c>
      <c r="C4591" s="150" t="s">
        <v>18</v>
      </c>
      <c r="D4591" s="150">
        <v>0</v>
      </c>
      <c r="E4591" s="151">
        <f ca="1">OFFSET(INDEX(Composições!A:H,MATCH(Orçamentária!A4591,Composições!A:A,0),8),2,0)</f>
        <v>109.12649999999999</v>
      </c>
      <c r="F4591" s="152">
        <f t="shared" ca="1" si="215"/>
        <v>0</v>
      </c>
      <c r="G4591" s="153">
        <f>IF($K4591="Padrão",BDI!$B$17,IF($K4591="Diferenciado",BDI!$E$17,0))</f>
        <v>0.2039</v>
      </c>
      <c r="H4591" s="151">
        <f t="shared" ca="1" si="213"/>
        <v>131.38</v>
      </c>
      <c r="I4591" s="152">
        <f t="shared" ca="1" si="214"/>
        <v>0</v>
      </c>
      <c r="J4591" s="154"/>
      <c r="K4591" s="155" t="s">
        <v>2966</v>
      </c>
    </row>
    <row r="4592" spans="1:11" hidden="1" x14ac:dyDescent="0.25">
      <c r="A4592" s="148" t="s">
        <v>2655</v>
      </c>
      <c r="B4592" s="149" t="s">
        <v>10207</v>
      </c>
      <c r="C4592" s="150" t="s">
        <v>106</v>
      </c>
      <c r="D4592" s="150">
        <v>0</v>
      </c>
      <c r="E4592" s="151">
        <f ca="1">OFFSET(INDEX(Composições!A:H,MATCH(Orçamentária!A4592,Composições!A:A,0),8),2,0)</f>
        <v>157.79499999999999</v>
      </c>
      <c r="F4592" s="152">
        <f t="shared" ca="1" si="215"/>
        <v>0</v>
      </c>
      <c r="G4592" s="153">
        <f>IF($K4592="Padrão",BDI!$B$17,IF($K4592="Diferenciado",BDI!$E$17,0))</f>
        <v>0.2039</v>
      </c>
      <c r="H4592" s="151">
        <f t="shared" ca="1" si="213"/>
        <v>189.97</v>
      </c>
      <c r="I4592" s="152">
        <f t="shared" ca="1" si="214"/>
        <v>0</v>
      </c>
      <c r="J4592" s="154"/>
      <c r="K4592" s="155" t="s">
        <v>2966</v>
      </c>
    </row>
    <row r="4593" spans="1:11" hidden="1" x14ac:dyDescent="0.25">
      <c r="A4593" s="148" t="s">
        <v>2656</v>
      </c>
      <c r="B4593" s="149" t="s">
        <v>10208</v>
      </c>
      <c r="C4593" s="150" t="s">
        <v>18</v>
      </c>
      <c r="D4593" s="150">
        <v>0</v>
      </c>
      <c r="E4593" s="151">
        <f ca="1">OFFSET(INDEX(Composições!A:H,MATCH(Orçamentária!A4593,Composições!A:A,0),8),2,0)</f>
        <v>304</v>
      </c>
      <c r="F4593" s="152">
        <f t="shared" ca="1" si="215"/>
        <v>0</v>
      </c>
      <c r="G4593" s="153">
        <f>IF($K4593="Padrão",BDI!$B$17,IF($K4593="Diferenciado",BDI!$E$17,0))</f>
        <v>0.2039</v>
      </c>
      <c r="H4593" s="151">
        <f t="shared" ca="1" si="213"/>
        <v>365.99</v>
      </c>
      <c r="I4593" s="152">
        <f t="shared" ca="1" si="214"/>
        <v>0</v>
      </c>
      <c r="J4593" s="154"/>
      <c r="K4593" s="155" t="s">
        <v>2966</v>
      </c>
    </row>
    <row r="4594" spans="1:11" hidden="1" x14ac:dyDescent="0.25">
      <c r="A4594" s="148" t="s">
        <v>2657</v>
      </c>
      <c r="B4594" s="149" t="s">
        <v>10209</v>
      </c>
      <c r="C4594" s="150" t="s">
        <v>461</v>
      </c>
      <c r="D4594" s="150">
        <v>0</v>
      </c>
      <c r="E4594" s="151">
        <f ca="1">OFFSET(INDEX(Composições!A:H,MATCH(Orçamentária!A4594,Composições!A:A,0),8),2,0)</f>
        <v>1047.1597489999999</v>
      </c>
      <c r="F4594" s="152">
        <f t="shared" ca="1" si="215"/>
        <v>0</v>
      </c>
      <c r="G4594" s="153">
        <f>IF($K4594="Padrão",BDI!$B$17,IF($K4594="Diferenciado",BDI!$E$17,0))</f>
        <v>0.2039</v>
      </c>
      <c r="H4594" s="151">
        <f t="shared" ca="1" si="213"/>
        <v>1260.68</v>
      </c>
      <c r="I4594" s="152">
        <f t="shared" ca="1" si="214"/>
        <v>0</v>
      </c>
      <c r="J4594" s="154"/>
      <c r="K4594" s="155" t="s">
        <v>2966</v>
      </c>
    </row>
    <row r="4595" spans="1:11" hidden="1" x14ac:dyDescent="0.25">
      <c r="A4595" s="148" t="s">
        <v>2659</v>
      </c>
      <c r="B4595" s="149" t="s">
        <v>10210</v>
      </c>
      <c r="C4595" s="150" t="s">
        <v>18</v>
      </c>
      <c r="D4595" s="150">
        <v>0</v>
      </c>
      <c r="E4595" s="151">
        <f ca="1">OFFSET(INDEX(Composições!A:H,MATCH(Orçamentária!A4595,Composições!A:A,0),8),2,0)</f>
        <v>903.59644975588344</v>
      </c>
      <c r="F4595" s="152">
        <f t="shared" ca="1" si="215"/>
        <v>0</v>
      </c>
      <c r="G4595" s="153">
        <f>IF($K4595="Padrão",BDI!$B$17,IF($K4595="Diferenciado",BDI!$E$17,0))</f>
        <v>0.2039</v>
      </c>
      <c r="H4595" s="151">
        <f t="shared" ca="1" si="213"/>
        <v>1087.8399999999999</v>
      </c>
      <c r="I4595" s="152">
        <f t="shared" ca="1" si="214"/>
        <v>0</v>
      </c>
      <c r="J4595" s="154"/>
      <c r="K4595" s="155" t="s">
        <v>2966</v>
      </c>
    </row>
    <row r="4596" spans="1:11" hidden="1" x14ac:dyDescent="0.25">
      <c r="A4596" s="148" t="s">
        <v>10211</v>
      </c>
      <c r="B4596" s="149" t="s">
        <v>10212</v>
      </c>
      <c r="C4596" s="150" t="s">
        <v>68</v>
      </c>
      <c r="D4596" s="150">
        <v>0</v>
      </c>
      <c r="E4596" s="151" t="s">
        <v>13</v>
      </c>
      <c r="F4596" s="152" t="str">
        <f t="shared" si="215"/>
        <v/>
      </c>
      <c r="G4596" s="153">
        <f>IF($K4596="Padrão",BDI!$B$17,IF($K4596="Diferenciado",BDI!$E$17,0))</f>
        <v>0.2039</v>
      </c>
      <c r="H4596" s="151" t="str">
        <f t="shared" si="213"/>
        <v/>
      </c>
      <c r="I4596" s="152" t="str">
        <f t="shared" si="214"/>
        <v/>
      </c>
      <c r="J4596" s="154"/>
      <c r="K4596" s="155" t="s">
        <v>2966</v>
      </c>
    </row>
    <row r="4597" spans="1:11" hidden="1" x14ac:dyDescent="0.25">
      <c r="A4597" s="148" t="s">
        <v>10213</v>
      </c>
      <c r="B4597" s="149" t="s">
        <v>10214</v>
      </c>
      <c r="C4597" s="150" t="s">
        <v>68</v>
      </c>
      <c r="D4597" s="150">
        <v>0</v>
      </c>
      <c r="E4597" s="151" t="s">
        <v>13</v>
      </c>
      <c r="F4597" s="152" t="str">
        <f t="shared" si="215"/>
        <v/>
      </c>
      <c r="G4597" s="153">
        <f>IF($K4597="Padrão",BDI!$B$17,IF($K4597="Diferenciado",BDI!$E$17,0))</f>
        <v>0.2039</v>
      </c>
      <c r="H4597" s="151" t="str">
        <f t="shared" si="213"/>
        <v/>
      </c>
      <c r="I4597" s="152" t="str">
        <f t="shared" si="214"/>
        <v/>
      </c>
      <c r="J4597" s="154"/>
      <c r="K4597" s="155" t="s">
        <v>2966</v>
      </c>
    </row>
    <row r="4598" spans="1:11" hidden="1" x14ac:dyDescent="0.25">
      <c r="A4598" s="148" t="s">
        <v>10215</v>
      </c>
      <c r="B4598" s="149" t="s">
        <v>10216</v>
      </c>
      <c r="C4598" s="150" t="s">
        <v>68</v>
      </c>
      <c r="D4598" s="150">
        <v>0</v>
      </c>
      <c r="E4598" s="151" t="s">
        <v>13</v>
      </c>
      <c r="F4598" s="152" t="str">
        <f t="shared" si="215"/>
        <v/>
      </c>
      <c r="G4598" s="153">
        <f>IF($K4598="Padrão",BDI!$B$17,IF($K4598="Diferenciado",BDI!$E$17,0))</f>
        <v>0.2039</v>
      </c>
      <c r="H4598" s="151" t="str">
        <f t="shared" si="213"/>
        <v/>
      </c>
      <c r="I4598" s="152" t="str">
        <f t="shared" si="214"/>
        <v/>
      </c>
      <c r="J4598" s="154"/>
      <c r="K4598" s="155" t="s">
        <v>2966</v>
      </c>
    </row>
    <row r="4599" spans="1:11" hidden="1" x14ac:dyDescent="0.25">
      <c r="A4599" s="148" t="s">
        <v>2660</v>
      </c>
      <c r="B4599" s="149" t="s">
        <v>10217</v>
      </c>
      <c r="C4599" s="150" t="s">
        <v>18</v>
      </c>
      <c r="D4599" s="150">
        <v>0</v>
      </c>
      <c r="E4599" s="151">
        <f ca="1">OFFSET(INDEX(Composições!A:H,MATCH(Orçamentária!A4599,Composições!A:A,0),8),2,0)</f>
        <v>32.853237132271254</v>
      </c>
      <c r="F4599" s="152">
        <f t="shared" ca="1" si="215"/>
        <v>0</v>
      </c>
      <c r="G4599" s="153">
        <f>IF($K4599="Padrão",BDI!$B$17,IF($K4599="Diferenciado",BDI!$E$17,0))</f>
        <v>0.2039</v>
      </c>
      <c r="H4599" s="151">
        <f t="shared" ca="1" si="213"/>
        <v>39.549999999999997</v>
      </c>
      <c r="I4599" s="152">
        <f t="shared" ca="1" si="214"/>
        <v>0</v>
      </c>
      <c r="J4599" s="154"/>
      <c r="K4599" s="155" t="s">
        <v>2966</v>
      </c>
    </row>
    <row r="4600" spans="1:11" hidden="1" x14ac:dyDescent="0.25">
      <c r="A4600" s="148" t="s">
        <v>2662</v>
      </c>
      <c r="B4600" s="149" t="s">
        <v>10218</v>
      </c>
      <c r="C4600" s="150" t="s">
        <v>72</v>
      </c>
      <c r="D4600" s="150">
        <v>0</v>
      </c>
      <c r="E4600" s="151">
        <f ca="1">OFFSET(INDEX(Composições!A:H,MATCH(Orçamentária!A4600,Composições!A:A,0),8),2,0)</f>
        <v>16.30585795</v>
      </c>
      <c r="F4600" s="152">
        <f t="shared" ca="1" si="215"/>
        <v>0</v>
      </c>
      <c r="G4600" s="153">
        <f>IF($K4600="Padrão",BDI!$B$17,IF($K4600="Diferenciado",BDI!$E$17,0))</f>
        <v>0.2039</v>
      </c>
      <c r="H4600" s="151">
        <f t="shared" ca="1" si="213"/>
        <v>19.63</v>
      </c>
      <c r="I4600" s="152">
        <f t="shared" ca="1" si="214"/>
        <v>0</v>
      </c>
      <c r="J4600" s="154"/>
      <c r="K4600" s="155" t="s">
        <v>2966</v>
      </c>
    </row>
    <row r="4601" spans="1:11" hidden="1" x14ac:dyDescent="0.25">
      <c r="A4601" s="148" t="s">
        <v>2664</v>
      </c>
      <c r="B4601" s="149" t="s">
        <v>10219</v>
      </c>
      <c r="C4601" s="150" t="s">
        <v>68</v>
      </c>
      <c r="D4601" s="150">
        <v>0</v>
      </c>
      <c r="E4601" s="151">
        <f ca="1">OFFSET(INDEX(Composições!A:H,MATCH(Orçamentária!A4601,Composições!A:A,0),8),2,0)</f>
        <v>7.3243954999999996</v>
      </c>
      <c r="F4601" s="152">
        <f t="shared" ca="1" si="215"/>
        <v>0</v>
      </c>
      <c r="G4601" s="153">
        <f>IF($K4601="Padrão",BDI!$B$17,IF($K4601="Diferenciado",BDI!$E$17,0))</f>
        <v>0.2039</v>
      </c>
      <c r="H4601" s="151">
        <f t="shared" ca="1" si="213"/>
        <v>8.82</v>
      </c>
      <c r="I4601" s="152">
        <f t="shared" ca="1" si="214"/>
        <v>0</v>
      </c>
      <c r="J4601" s="154"/>
      <c r="K4601" s="155" t="s">
        <v>2966</v>
      </c>
    </row>
    <row r="4602" spans="1:11" hidden="1" x14ac:dyDescent="0.25">
      <c r="A4602" s="148" t="s">
        <v>2667</v>
      </c>
      <c r="B4602" s="149" t="s">
        <v>10220</v>
      </c>
      <c r="C4602" s="150" t="s">
        <v>3982</v>
      </c>
      <c r="D4602" s="150">
        <v>0</v>
      </c>
      <c r="E4602" s="151" t="e">
        <f ca="1">OFFSET(INDEX(Composições!A:H,MATCH(Orçamentária!A4602,Composições!A:A,0),8),2,0)</f>
        <v>#REF!</v>
      </c>
      <c r="F4602" s="152" t="str">
        <f t="shared" ca="1" si="215"/>
        <v/>
      </c>
      <c r="G4602" s="153">
        <f>IF($K4602="Padrão",BDI!$B$17,IF($K4602="Diferenciado",BDI!$E$17,0))</f>
        <v>0.2039</v>
      </c>
      <c r="H4602" s="151" t="str">
        <f t="shared" ca="1" si="213"/>
        <v/>
      </c>
      <c r="I4602" s="152" t="str">
        <f t="shared" ca="1" si="214"/>
        <v/>
      </c>
      <c r="J4602" s="154"/>
      <c r="K4602" s="155" t="s">
        <v>2966</v>
      </c>
    </row>
    <row r="4603" spans="1:11" hidden="1" x14ac:dyDescent="0.25">
      <c r="A4603" s="148" t="s">
        <v>2668</v>
      </c>
      <c r="B4603" s="149" t="s">
        <v>10221</v>
      </c>
      <c r="C4603" s="150" t="s">
        <v>106</v>
      </c>
      <c r="D4603" s="150">
        <v>0</v>
      </c>
      <c r="E4603" s="151">
        <f ca="1">OFFSET(INDEX(Composições!A:H,MATCH(Orçamentária!A4603,Composições!A:A,0),8),2,0)</f>
        <v>82.692750000000004</v>
      </c>
      <c r="F4603" s="152">
        <f t="shared" ca="1" si="215"/>
        <v>0</v>
      </c>
      <c r="G4603" s="153">
        <f>IF($K4603="Padrão",BDI!$B$17,IF($K4603="Diferenciado",BDI!$E$17,0))</f>
        <v>0.2039</v>
      </c>
      <c r="H4603" s="151">
        <f t="shared" ca="1" si="213"/>
        <v>99.55</v>
      </c>
      <c r="I4603" s="152">
        <f t="shared" ca="1" si="214"/>
        <v>0</v>
      </c>
      <c r="J4603" s="154"/>
      <c r="K4603" s="155" t="s">
        <v>2966</v>
      </c>
    </row>
    <row r="4604" spans="1:11" hidden="1" x14ac:dyDescent="0.25">
      <c r="A4604" s="148" t="s">
        <v>2670</v>
      </c>
      <c r="B4604" s="149" t="s">
        <v>10222</v>
      </c>
      <c r="C4604" s="150" t="s">
        <v>18</v>
      </c>
      <c r="D4604" s="150">
        <v>0</v>
      </c>
      <c r="E4604" s="151">
        <f ca="1">OFFSET(INDEX(Composições!A:H,MATCH(Orçamentária!A4604,Composições!A:A,0),8),2,0)</f>
        <v>34.000490500000005</v>
      </c>
      <c r="F4604" s="152">
        <f t="shared" ca="1" si="215"/>
        <v>0</v>
      </c>
      <c r="G4604" s="153">
        <f>IF($K4604="Padrão",BDI!$B$17,IF($K4604="Diferenciado",BDI!$E$17,0))</f>
        <v>0.2039</v>
      </c>
      <c r="H4604" s="151">
        <f t="shared" ca="1" si="213"/>
        <v>40.93</v>
      </c>
      <c r="I4604" s="152">
        <f t="shared" ca="1" si="214"/>
        <v>0</v>
      </c>
      <c r="J4604" s="154"/>
      <c r="K4604" s="155" t="s">
        <v>2966</v>
      </c>
    </row>
    <row r="4605" spans="1:11" hidden="1" x14ac:dyDescent="0.25">
      <c r="A4605" s="148" t="s">
        <v>10223</v>
      </c>
      <c r="B4605" s="149" t="s">
        <v>10224</v>
      </c>
      <c r="C4605" s="150" t="s">
        <v>10225</v>
      </c>
      <c r="D4605" s="150">
        <v>0</v>
      </c>
      <c r="E4605" s="151" t="s">
        <v>13</v>
      </c>
      <c r="F4605" s="152" t="str">
        <f t="shared" si="215"/>
        <v/>
      </c>
      <c r="G4605" s="153">
        <f>IF($K4605="Padrão",BDI!$B$17,IF($K4605="Diferenciado",BDI!$E$17,0))</f>
        <v>0.2039</v>
      </c>
      <c r="H4605" s="151" t="str">
        <f t="shared" si="213"/>
        <v/>
      </c>
      <c r="I4605" s="152" t="str">
        <f t="shared" si="214"/>
        <v/>
      </c>
      <c r="J4605" s="154"/>
      <c r="K4605" s="155" t="s">
        <v>2966</v>
      </c>
    </row>
    <row r="4606" spans="1:11" hidden="1" x14ac:dyDescent="0.25">
      <c r="A4606" s="148" t="s">
        <v>10226</v>
      </c>
      <c r="B4606" s="149" t="s">
        <v>10227</v>
      </c>
      <c r="C4606" s="150" t="s">
        <v>18</v>
      </c>
      <c r="D4606" s="150">
        <v>0</v>
      </c>
      <c r="E4606" s="151" t="s">
        <v>13</v>
      </c>
      <c r="F4606" s="152" t="str">
        <f t="shared" si="215"/>
        <v/>
      </c>
      <c r="G4606" s="153">
        <f>IF($K4606="Padrão",BDI!$B$17,IF($K4606="Diferenciado",BDI!$E$17,0))</f>
        <v>0.2039</v>
      </c>
      <c r="H4606" s="151" t="str">
        <f t="shared" si="213"/>
        <v/>
      </c>
      <c r="I4606" s="152" t="str">
        <f t="shared" si="214"/>
        <v/>
      </c>
      <c r="J4606" s="154"/>
      <c r="K4606" s="155" t="s">
        <v>2966</v>
      </c>
    </row>
    <row r="4607" spans="1:11" hidden="1" x14ac:dyDescent="0.25">
      <c r="A4607" s="148" t="s">
        <v>10228</v>
      </c>
      <c r="B4607" s="149" t="s">
        <v>10229</v>
      </c>
      <c r="C4607" s="150" t="s">
        <v>18</v>
      </c>
      <c r="D4607" s="150">
        <v>0</v>
      </c>
      <c r="E4607" s="151" t="s">
        <v>13</v>
      </c>
      <c r="F4607" s="152" t="str">
        <f t="shared" si="215"/>
        <v/>
      </c>
      <c r="G4607" s="153">
        <f>IF($K4607="Padrão",BDI!$B$17,IF($K4607="Diferenciado",BDI!$E$17,0))</f>
        <v>0.2039</v>
      </c>
      <c r="H4607" s="151" t="str">
        <f t="shared" si="213"/>
        <v/>
      </c>
      <c r="I4607" s="152" t="str">
        <f t="shared" si="214"/>
        <v/>
      </c>
      <c r="J4607" s="154"/>
      <c r="K4607" s="155" t="s">
        <v>2966</v>
      </c>
    </row>
    <row r="4608" spans="1:11" ht="25.5" hidden="1" x14ac:dyDescent="0.25">
      <c r="A4608" s="148" t="s">
        <v>10230</v>
      </c>
      <c r="B4608" s="149" t="s">
        <v>10231</v>
      </c>
      <c r="C4608" s="150" t="s">
        <v>18</v>
      </c>
      <c r="D4608" s="150">
        <v>0</v>
      </c>
      <c r="E4608" s="151" t="s">
        <v>13</v>
      </c>
      <c r="F4608" s="152" t="str">
        <f t="shared" si="215"/>
        <v/>
      </c>
      <c r="G4608" s="153">
        <f>IF($K4608="Padrão",BDI!$B$17,IF($K4608="Diferenciado",BDI!$E$17,0))</f>
        <v>0.2039</v>
      </c>
      <c r="H4608" s="151" t="str">
        <f t="shared" si="213"/>
        <v/>
      </c>
      <c r="I4608" s="152" t="str">
        <f t="shared" si="214"/>
        <v/>
      </c>
      <c r="J4608" s="154"/>
      <c r="K4608" s="155" t="s">
        <v>2966</v>
      </c>
    </row>
    <row r="4609" spans="1:11" ht="25.5" hidden="1" x14ac:dyDescent="0.25">
      <c r="A4609" s="148" t="s">
        <v>2672</v>
      </c>
      <c r="B4609" s="149" t="s">
        <v>10232</v>
      </c>
      <c r="C4609" s="150" t="s">
        <v>18</v>
      </c>
      <c r="D4609" s="150">
        <v>0</v>
      </c>
      <c r="E4609" s="151">
        <f ca="1">OFFSET(INDEX(Composições!A:H,MATCH(Orçamentária!A4609,Composições!A:A,0),8),2,0)</f>
        <v>8629.3799999999992</v>
      </c>
      <c r="F4609" s="152">
        <f t="shared" ca="1" si="215"/>
        <v>0</v>
      </c>
      <c r="G4609" s="153">
        <f>IF($K4609="Padrão",BDI!$B$17,IF($K4609="Diferenciado",BDI!$E$17,0))</f>
        <v>0.2039</v>
      </c>
      <c r="H4609" s="151">
        <f t="shared" ca="1" si="213"/>
        <v>10388.91</v>
      </c>
      <c r="I4609" s="152">
        <f t="shared" ca="1" si="214"/>
        <v>0</v>
      </c>
      <c r="J4609" s="154"/>
      <c r="K4609" s="155" t="s">
        <v>2966</v>
      </c>
    </row>
    <row r="4610" spans="1:11" ht="25.5" hidden="1" x14ac:dyDescent="0.25">
      <c r="A4610" s="148" t="s">
        <v>10233</v>
      </c>
      <c r="B4610" s="149" t="s">
        <v>10234</v>
      </c>
      <c r="C4610" s="150" t="s">
        <v>18</v>
      </c>
      <c r="D4610" s="150">
        <v>0</v>
      </c>
      <c r="E4610" s="151" t="s">
        <v>13</v>
      </c>
      <c r="F4610" s="152" t="str">
        <f t="shared" si="215"/>
        <v/>
      </c>
      <c r="G4610" s="153">
        <f>IF($K4610="Padrão",BDI!$B$17,IF($K4610="Diferenciado",BDI!$E$17,0))</f>
        <v>0.2039</v>
      </c>
      <c r="H4610" s="151" t="str">
        <f t="shared" si="213"/>
        <v/>
      </c>
      <c r="I4610" s="152" t="str">
        <f t="shared" si="214"/>
        <v/>
      </c>
      <c r="J4610" s="154"/>
      <c r="K4610" s="155" t="s">
        <v>2966</v>
      </c>
    </row>
    <row r="4611" spans="1:11" ht="25.5" hidden="1" x14ac:dyDescent="0.25">
      <c r="A4611" s="148" t="s">
        <v>2673</v>
      </c>
      <c r="B4611" s="149" t="s">
        <v>10235</v>
      </c>
      <c r="C4611" s="150" t="s">
        <v>18</v>
      </c>
      <c r="D4611" s="150">
        <v>0</v>
      </c>
      <c r="E4611" s="151">
        <f ca="1">OFFSET(INDEX(Composições!A:H,MATCH(Orçamentária!A4611,Composições!A:A,0),8),2,0)</f>
        <v>243.11673368864001</v>
      </c>
      <c r="F4611" s="152">
        <f t="shared" ca="1" si="215"/>
        <v>0</v>
      </c>
      <c r="G4611" s="153">
        <f>IF($K4611="Padrão",BDI!$B$17,IF($K4611="Diferenciado",BDI!$E$17,0))</f>
        <v>0.2039</v>
      </c>
      <c r="H4611" s="151">
        <f t="shared" ca="1" si="213"/>
        <v>292.69</v>
      </c>
      <c r="I4611" s="152">
        <f t="shared" ca="1" si="214"/>
        <v>0</v>
      </c>
      <c r="J4611" s="154"/>
      <c r="K4611" s="155" t="s">
        <v>2966</v>
      </c>
    </row>
    <row r="4612" spans="1:11" hidden="1" x14ac:dyDescent="0.25">
      <c r="A4612" s="148" t="s">
        <v>10236</v>
      </c>
      <c r="B4612" s="149" t="s">
        <v>10237</v>
      </c>
      <c r="C4612" s="150" t="s">
        <v>18</v>
      </c>
      <c r="D4612" s="150">
        <v>0</v>
      </c>
      <c r="E4612" s="151" t="s">
        <v>13</v>
      </c>
      <c r="F4612" s="152" t="str">
        <f t="shared" si="215"/>
        <v/>
      </c>
      <c r="G4612" s="153">
        <f>IF($K4612="Padrão",BDI!$B$17,IF($K4612="Diferenciado",BDI!$E$17,0))</f>
        <v>0.2039</v>
      </c>
      <c r="H4612" s="151" t="str">
        <f t="shared" si="213"/>
        <v/>
      </c>
      <c r="I4612" s="152" t="str">
        <f t="shared" si="214"/>
        <v/>
      </c>
      <c r="J4612" s="154"/>
      <c r="K4612" s="155" t="s">
        <v>2966</v>
      </c>
    </row>
    <row r="4613" spans="1:11" hidden="1" x14ac:dyDescent="0.25">
      <c r="A4613" s="148" t="s">
        <v>2679</v>
      </c>
      <c r="B4613" s="149" t="s">
        <v>10238</v>
      </c>
      <c r="C4613" s="150" t="s">
        <v>106</v>
      </c>
      <c r="D4613" s="150">
        <v>0</v>
      </c>
      <c r="E4613" s="151">
        <f ca="1">OFFSET(INDEX(Composições!A:H,MATCH(Orçamentária!A4613,Composições!A:A,0),8),2,0)</f>
        <v>0.55104750000000002</v>
      </c>
      <c r="F4613" s="152">
        <f t="shared" ca="1" si="215"/>
        <v>0</v>
      </c>
      <c r="G4613" s="153">
        <f>IF($K4613="Padrão",BDI!$B$17,IF($K4613="Diferenciado",BDI!$E$17,0))</f>
        <v>0.2039</v>
      </c>
      <c r="H4613" s="151">
        <f t="shared" ca="1" si="213"/>
        <v>0.66</v>
      </c>
      <c r="I4613" s="152">
        <f t="shared" ca="1" si="214"/>
        <v>0</v>
      </c>
      <c r="J4613" s="154"/>
      <c r="K4613" s="155" t="s">
        <v>2966</v>
      </c>
    </row>
    <row r="4614" spans="1:11" hidden="1" x14ac:dyDescent="0.25">
      <c r="A4614" s="148" t="s">
        <v>2681</v>
      </c>
      <c r="B4614" s="149" t="s">
        <v>10239</v>
      </c>
      <c r="C4614" s="150" t="s">
        <v>3982</v>
      </c>
      <c r="D4614" s="150">
        <v>0</v>
      </c>
      <c r="E4614" s="151" t="e">
        <f ca="1">OFFSET(INDEX(Composições!A:H,MATCH(Orçamentária!A4614,Composições!A:A,0),8),2,0)</f>
        <v>#REF!</v>
      </c>
      <c r="F4614" s="152" t="str">
        <f t="shared" ca="1" si="215"/>
        <v/>
      </c>
      <c r="G4614" s="153">
        <f>IF($K4614="Padrão",BDI!$B$17,IF($K4614="Diferenciado",BDI!$E$17,0))</f>
        <v>0.2039</v>
      </c>
      <c r="H4614" s="151" t="str">
        <f t="shared" ref="H4614:H4677" ca="1" si="216">IF(ISNUMBER(E4614),ROUND(E4614*(1+G4614),2),"")</f>
        <v/>
      </c>
      <c r="I4614" s="152" t="str">
        <f t="shared" ref="I4614:I4677" ca="1" si="217">IF(ISNUMBER(E4614),ROUND(H4614*D4614,2),"")</f>
        <v/>
      </c>
      <c r="J4614" s="154"/>
      <c r="K4614" s="155" t="s">
        <v>2966</v>
      </c>
    </row>
    <row r="4615" spans="1:11" hidden="1" x14ac:dyDescent="0.25">
      <c r="A4615" s="148" t="s">
        <v>2682</v>
      </c>
      <c r="B4615" s="149" t="s">
        <v>10240</v>
      </c>
      <c r="C4615" s="150" t="s">
        <v>3982</v>
      </c>
      <c r="D4615" s="150">
        <v>0</v>
      </c>
      <c r="E4615" s="151" t="e">
        <f ca="1">OFFSET(INDEX(Composições!A:H,MATCH(Orçamentária!A4615,Composições!A:A,0),8),2,0)</f>
        <v>#REF!</v>
      </c>
      <c r="F4615" s="152" t="str">
        <f t="shared" ref="F4615:F4678" ca="1" si="218">IF(ISNUMBER(E4615),D4615*E4615,"")</f>
        <v/>
      </c>
      <c r="G4615" s="153">
        <f>IF($K4615="Padrão",BDI!$B$17,IF($K4615="Diferenciado",BDI!$E$17,0))</f>
        <v>0.2039</v>
      </c>
      <c r="H4615" s="151" t="str">
        <f t="shared" ca="1" si="216"/>
        <v/>
      </c>
      <c r="I4615" s="152" t="str">
        <f t="shared" ca="1" si="217"/>
        <v/>
      </c>
      <c r="J4615" s="154"/>
      <c r="K4615" s="155" t="s">
        <v>2966</v>
      </c>
    </row>
    <row r="4616" spans="1:11" hidden="1" x14ac:dyDescent="0.25">
      <c r="A4616" s="148" t="s">
        <v>2683</v>
      </c>
      <c r="B4616" s="149" t="s">
        <v>10241</v>
      </c>
      <c r="C4616" s="150" t="s">
        <v>18</v>
      </c>
      <c r="D4616" s="150">
        <v>0</v>
      </c>
      <c r="E4616" s="151">
        <f ca="1">OFFSET(INDEX(Composições!A:H,MATCH(Orçamentária!A4616,Composições!A:A,0),8),2,0)</f>
        <v>515.55550000000005</v>
      </c>
      <c r="F4616" s="152">
        <f t="shared" ca="1" si="218"/>
        <v>0</v>
      </c>
      <c r="G4616" s="153">
        <f>IF($K4616="Padrão",BDI!$B$17,IF($K4616="Diferenciado",BDI!$E$17,0))</f>
        <v>0.2039</v>
      </c>
      <c r="H4616" s="151">
        <f t="shared" ca="1" si="216"/>
        <v>620.67999999999995</v>
      </c>
      <c r="I4616" s="152">
        <f t="shared" ca="1" si="217"/>
        <v>0</v>
      </c>
      <c r="J4616" s="154"/>
      <c r="K4616" s="155" t="s">
        <v>2966</v>
      </c>
    </row>
    <row r="4617" spans="1:11" hidden="1" x14ac:dyDescent="0.25">
      <c r="A4617" s="148" t="s">
        <v>2684</v>
      </c>
      <c r="B4617" s="149" t="s">
        <v>10242</v>
      </c>
      <c r="C4617" s="150" t="s">
        <v>18</v>
      </c>
      <c r="D4617" s="150">
        <v>0</v>
      </c>
      <c r="E4617" s="151">
        <f ca="1">OFFSET(INDEX(Composições!A:H,MATCH(Orçamentária!A4617,Composições!A:A,0),8),2,0)</f>
        <v>18.772000000000002</v>
      </c>
      <c r="F4617" s="152">
        <f t="shared" ca="1" si="218"/>
        <v>0</v>
      </c>
      <c r="G4617" s="153">
        <f>IF($K4617="Padrão",BDI!$B$17,IF($K4617="Diferenciado",BDI!$E$17,0))</f>
        <v>0.2039</v>
      </c>
      <c r="H4617" s="151">
        <f t="shared" ca="1" si="216"/>
        <v>22.6</v>
      </c>
      <c r="I4617" s="152">
        <f t="shared" ca="1" si="217"/>
        <v>0</v>
      </c>
      <c r="J4617" s="154"/>
      <c r="K4617" s="155" t="s">
        <v>2966</v>
      </c>
    </row>
    <row r="4618" spans="1:11" hidden="1" x14ac:dyDescent="0.25">
      <c r="A4618" s="148" t="s">
        <v>2685</v>
      </c>
      <c r="B4618" s="149" t="s">
        <v>10243</v>
      </c>
      <c r="C4618" s="150" t="s">
        <v>18</v>
      </c>
      <c r="D4618" s="150">
        <v>0</v>
      </c>
      <c r="E4618" s="151">
        <f ca="1">OFFSET(INDEX(Composições!A:H,MATCH(Orçamentária!A4618,Composições!A:A,0),8),2,0)</f>
        <v>63.374499999999991</v>
      </c>
      <c r="F4618" s="152">
        <f t="shared" ca="1" si="218"/>
        <v>0</v>
      </c>
      <c r="G4618" s="153">
        <f>IF($K4618="Padrão",BDI!$B$17,IF($K4618="Diferenciado",BDI!$E$17,0))</f>
        <v>0.2039</v>
      </c>
      <c r="H4618" s="151">
        <f t="shared" ca="1" si="216"/>
        <v>76.3</v>
      </c>
      <c r="I4618" s="152">
        <f t="shared" ca="1" si="217"/>
        <v>0</v>
      </c>
      <c r="J4618" s="154"/>
      <c r="K4618" s="155" t="s">
        <v>2966</v>
      </c>
    </row>
    <row r="4619" spans="1:11" hidden="1" x14ac:dyDescent="0.25">
      <c r="A4619" s="148" t="s">
        <v>2686</v>
      </c>
      <c r="B4619" s="149" t="s">
        <v>10244</v>
      </c>
      <c r="C4619" s="150" t="s">
        <v>18</v>
      </c>
      <c r="D4619" s="150">
        <v>0</v>
      </c>
      <c r="E4619" s="151">
        <f ca="1">OFFSET(INDEX(Composições!A:H,MATCH(Orçamentária!A4619,Composições!A:A,0),8),2,0)</f>
        <v>97.260999999999996</v>
      </c>
      <c r="F4619" s="152">
        <f t="shared" ca="1" si="218"/>
        <v>0</v>
      </c>
      <c r="G4619" s="153">
        <f>IF($K4619="Padrão",BDI!$B$17,IF($K4619="Diferenciado",BDI!$E$17,0))</f>
        <v>0.2039</v>
      </c>
      <c r="H4619" s="151">
        <f t="shared" ca="1" si="216"/>
        <v>117.09</v>
      </c>
      <c r="I4619" s="152">
        <f t="shared" ca="1" si="217"/>
        <v>0</v>
      </c>
      <c r="J4619" s="154"/>
      <c r="K4619" s="155" t="s">
        <v>2966</v>
      </c>
    </row>
    <row r="4620" spans="1:11" hidden="1" x14ac:dyDescent="0.25">
      <c r="A4620" s="148" t="s">
        <v>2687</v>
      </c>
      <c r="B4620" s="149" t="s">
        <v>10245</v>
      </c>
      <c r="C4620" s="150" t="s">
        <v>18</v>
      </c>
      <c r="D4620" s="150">
        <v>0</v>
      </c>
      <c r="E4620" s="151">
        <f ca="1">OFFSET(INDEX(Composições!A:H,MATCH(Orçamentária!A4620,Composições!A:A,0),8),2,0)</f>
        <v>154.40349999999998</v>
      </c>
      <c r="F4620" s="152">
        <f t="shared" ca="1" si="218"/>
        <v>0</v>
      </c>
      <c r="G4620" s="153">
        <f>IF($K4620="Padrão",BDI!$B$17,IF($K4620="Diferenciado",BDI!$E$17,0))</f>
        <v>0.2039</v>
      </c>
      <c r="H4620" s="151">
        <f t="shared" ca="1" si="216"/>
        <v>185.89</v>
      </c>
      <c r="I4620" s="152">
        <f t="shared" ca="1" si="217"/>
        <v>0</v>
      </c>
      <c r="J4620" s="154"/>
      <c r="K4620" s="155" t="s">
        <v>2966</v>
      </c>
    </row>
    <row r="4621" spans="1:11" hidden="1" x14ac:dyDescent="0.25">
      <c r="A4621" s="148" t="s">
        <v>2688</v>
      </c>
      <c r="B4621" s="149" t="s">
        <v>10246</v>
      </c>
      <c r="C4621" s="150" t="s">
        <v>18</v>
      </c>
      <c r="D4621" s="150">
        <v>0</v>
      </c>
      <c r="E4621" s="151">
        <f ca="1">OFFSET(INDEX(Composições!A:H,MATCH(Orçamentária!A4621,Composições!A:A,0),8),2,0)</f>
        <v>537.63349999999991</v>
      </c>
      <c r="F4621" s="152">
        <f t="shared" ca="1" si="218"/>
        <v>0</v>
      </c>
      <c r="G4621" s="153">
        <f>IF($K4621="Padrão",BDI!$B$17,IF($K4621="Diferenciado",BDI!$E$17,0))</f>
        <v>0.2039</v>
      </c>
      <c r="H4621" s="151">
        <f t="shared" ca="1" si="216"/>
        <v>647.26</v>
      </c>
      <c r="I4621" s="152">
        <f t="shared" ca="1" si="217"/>
        <v>0</v>
      </c>
      <c r="J4621" s="154"/>
      <c r="K4621" s="155" t="s">
        <v>2966</v>
      </c>
    </row>
    <row r="4622" spans="1:11" hidden="1" x14ac:dyDescent="0.25">
      <c r="A4622" s="148" t="s">
        <v>2689</v>
      </c>
      <c r="B4622" s="149" t="s">
        <v>10247</v>
      </c>
      <c r="C4622" s="150" t="s">
        <v>18</v>
      </c>
      <c r="D4622" s="150">
        <v>0</v>
      </c>
      <c r="E4622" s="151">
        <f ca="1">OFFSET(INDEX(Composições!A:H,MATCH(Orçamentária!A4622,Composições!A:A,0),8),2,0)</f>
        <v>77.396499999999989</v>
      </c>
      <c r="F4622" s="152">
        <f t="shared" ca="1" si="218"/>
        <v>0</v>
      </c>
      <c r="G4622" s="153">
        <f>IF($K4622="Padrão",BDI!$B$17,IF($K4622="Diferenciado",BDI!$E$17,0))</f>
        <v>0.2039</v>
      </c>
      <c r="H4622" s="151">
        <f t="shared" ca="1" si="216"/>
        <v>93.18</v>
      </c>
      <c r="I4622" s="152">
        <f t="shared" ca="1" si="217"/>
        <v>0</v>
      </c>
      <c r="J4622" s="154"/>
      <c r="K4622" s="155" t="s">
        <v>2966</v>
      </c>
    </row>
    <row r="4623" spans="1:11" hidden="1" x14ac:dyDescent="0.25">
      <c r="A4623" s="148" t="s">
        <v>2690</v>
      </c>
      <c r="B4623" s="149" t="s">
        <v>10248</v>
      </c>
      <c r="C4623" s="150" t="s">
        <v>18</v>
      </c>
      <c r="D4623" s="150">
        <v>0</v>
      </c>
      <c r="E4623" s="151">
        <f ca="1">OFFSET(INDEX(Composições!A:H,MATCH(Orçamentária!A4623,Composições!A:A,0),8),2,0)</f>
        <v>123.5855</v>
      </c>
      <c r="F4623" s="152">
        <f t="shared" ca="1" si="218"/>
        <v>0</v>
      </c>
      <c r="G4623" s="153">
        <f>IF($K4623="Padrão",BDI!$B$17,IF($K4623="Diferenciado",BDI!$E$17,0))</f>
        <v>0.2039</v>
      </c>
      <c r="H4623" s="151">
        <f t="shared" ca="1" si="216"/>
        <v>148.78</v>
      </c>
      <c r="I4623" s="152">
        <f t="shared" ca="1" si="217"/>
        <v>0</v>
      </c>
      <c r="J4623" s="154"/>
      <c r="K4623" s="155" t="s">
        <v>2966</v>
      </c>
    </row>
    <row r="4624" spans="1:11" hidden="1" x14ac:dyDescent="0.25">
      <c r="A4624" s="148" t="s">
        <v>2691</v>
      </c>
      <c r="B4624" s="149" t="s">
        <v>10249</v>
      </c>
      <c r="C4624" s="150" t="s">
        <v>18</v>
      </c>
      <c r="D4624" s="150">
        <v>0</v>
      </c>
      <c r="E4624" s="151">
        <f ca="1">OFFSET(INDEX(Composições!A:H,MATCH(Orçamentária!A4624,Composições!A:A,0),8),2,0)</f>
        <v>183.559</v>
      </c>
      <c r="F4624" s="152">
        <f t="shared" ca="1" si="218"/>
        <v>0</v>
      </c>
      <c r="G4624" s="153">
        <f>IF($K4624="Padrão",BDI!$B$17,IF($K4624="Diferenciado",BDI!$E$17,0))</f>
        <v>0.2039</v>
      </c>
      <c r="H4624" s="151">
        <f t="shared" ca="1" si="216"/>
        <v>220.99</v>
      </c>
      <c r="I4624" s="152">
        <f t="shared" ca="1" si="217"/>
        <v>0</v>
      </c>
      <c r="J4624" s="154"/>
      <c r="K4624" s="155" t="s">
        <v>2966</v>
      </c>
    </row>
    <row r="4625" spans="1:11" hidden="1" x14ac:dyDescent="0.25">
      <c r="A4625" s="148" t="s">
        <v>2692</v>
      </c>
      <c r="B4625" s="149" t="s">
        <v>10250</v>
      </c>
      <c r="C4625" s="150" t="s">
        <v>18</v>
      </c>
      <c r="D4625" s="150">
        <v>0</v>
      </c>
      <c r="E4625" s="151">
        <f ca="1">OFFSET(INDEX(Composições!A:H,MATCH(Orçamentária!A4625,Composições!A:A,0),8),2,0)</f>
        <v>436.24949999999995</v>
      </c>
      <c r="F4625" s="152">
        <f t="shared" ca="1" si="218"/>
        <v>0</v>
      </c>
      <c r="G4625" s="153">
        <f>IF($K4625="Padrão",BDI!$B$17,IF($K4625="Diferenciado",BDI!$E$17,0))</f>
        <v>0.2039</v>
      </c>
      <c r="H4625" s="151">
        <f t="shared" ca="1" si="216"/>
        <v>525.20000000000005</v>
      </c>
      <c r="I4625" s="152">
        <f t="shared" ca="1" si="217"/>
        <v>0</v>
      </c>
      <c r="J4625" s="154"/>
      <c r="K4625" s="155" t="s">
        <v>2966</v>
      </c>
    </row>
    <row r="4626" spans="1:11" hidden="1" x14ac:dyDescent="0.25">
      <c r="A4626" s="148" t="s">
        <v>10251</v>
      </c>
      <c r="B4626" s="149" t="s">
        <v>10252</v>
      </c>
      <c r="C4626" s="150" t="s">
        <v>18</v>
      </c>
      <c r="D4626" s="150">
        <v>0</v>
      </c>
      <c r="E4626" s="151" t="s">
        <v>13</v>
      </c>
      <c r="F4626" s="152" t="str">
        <f t="shared" si="218"/>
        <v/>
      </c>
      <c r="G4626" s="153">
        <f>IF($K4626="Padrão",BDI!$B$17,IF($K4626="Diferenciado",BDI!$E$17,0))</f>
        <v>0.2039</v>
      </c>
      <c r="H4626" s="151" t="str">
        <f t="shared" si="216"/>
        <v/>
      </c>
      <c r="I4626" s="152" t="str">
        <f t="shared" si="217"/>
        <v/>
      </c>
      <c r="J4626" s="154"/>
      <c r="K4626" s="155" t="s">
        <v>2966</v>
      </c>
    </row>
    <row r="4627" spans="1:11" hidden="1" x14ac:dyDescent="0.25">
      <c r="A4627" s="148" t="s">
        <v>10253</v>
      </c>
      <c r="B4627" s="149" t="s">
        <v>10254</v>
      </c>
      <c r="C4627" s="150" t="s">
        <v>18</v>
      </c>
      <c r="D4627" s="150">
        <v>0</v>
      </c>
      <c r="E4627" s="151" t="s">
        <v>13</v>
      </c>
      <c r="F4627" s="152" t="str">
        <f t="shared" si="218"/>
        <v/>
      </c>
      <c r="G4627" s="153">
        <f>IF($K4627="Padrão",BDI!$B$17,IF($K4627="Diferenciado",BDI!$E$17,0))</f>
        <v>0.2039</v>
      </c>
      <c r="H4627" s="151" t="str">
        <f t="shared" si="216"/>
        <v/>
      </c>
      <c r="I4627" s="152" t="str">
        <f t="shared" si="217"/>
        <v/>
      </c>
      <c r="J4627" s="154"/>
      <c r="K4627" s="155" t="s">
        <v>2966</v>
      </c>
    </row>
    <row r="4628" spans="1:11" ht="25.5" hidden="1" x14ac:dyDescent="0.25">
      <c r="A4628" s="148" t="s">
        <v>10255</v>
      </c>
      <c r="B4628" s="149" t="s">
        <v>10256</v>
      </c>
      <c r="C4628" s="150" t="s">
        <v>18</v>
      </c>
      <c r="D4628" s="150">
        <v>0</v>
      </c>
      <c r="E4628" s="151" t="s">
        <v>13</v>
      </c>
      <c r="F4628" s="152" t="str">
        <f t="shared" si="218"/>
        <v/>
      </c>
      <c r="G4628" s="153">
        <f>IF($K4628="Padrão",BDI!$B$17,IF($K4628="Diferenciado",BDI!$E$17,0))</f>
        <v>0.2039</v>
      </c>
      <c r="H4628" s="151" t="str">
        <f t="shared" si="216"/>
        <v/>
      </c>
      <c r="I4628" s="152" t="str">
        <f t="shared" si="217"/>
        <v/>
      </c>
      <c r="J4628" s="154"/>
      <c r="K4628" s="155" t="s">
        <v>2966</v>
      </c>
    </row>
    <row r="4629" spans="1:11" hidden="1" x14ac:dyDescent="0.25">
      <c r="A4629" s="148" t="s">
        <v>10257</v>
      </c>
      <c r="B4629" s="149" t="s">
        <v>10258</v>
      </c>
      <c r="C4629" s="150" t="s">
        <v>106</v>
      </c>
      <c r="D4629" s="150">
        <v>0</v>
      </c>
      <c r="E4629" s="151" t="s">
        <v>13</v>
      </c>
      <c r="F4629" s="152" t="str">
        <f t="shared" si="218"/>
        <v/>
      </c>
      <c r="G4629" s="153">
        <f>IF($K4629="Padrão",BDI!$B$17,IF($K4629="Diferenciado",BDI!$E$17,0))</f>
        <v>0.2039</v>
      </c>
      <c r="H4629" s="151" t="str">
        <f t="shared" si="216"/>
        <v/>
      </c>
      <c r="I4629" s="152" t="str">
        <f t="shared" si="217"/>
        <v/>
      </c>
      <c r="J4629" s="154"/>
      <c r="K4629" s="155" t="s">
        <v>2966</v>
      </c>
    </row>
    <row r="4630" spans="1:11" hidden="1" x14ac:dyDescent="0.25">
      <c r="A4630" s="148" t="s">
        <v>2693</v>
      </c>
      <c r="B4630" s="149" t="s">
        <v>10259</v>
      </c>
      <c r="C4630" s="150" t="s">
        <v>18</v>
      </c>
      <c r="D4630" s="150">
        <v>0</v>
      </c>
      <c r="E4630" s="151">
        <f ca="1">OFFSET(INDEX(Composições!A:H,MATCH(Orçamentária!A4630,Composições!A:A,0),8),2,0)</f>
        <v>50.553870000000003</v>
      </c>
      <c r="F4630" s="152">
        <f t="shared" ca="1" si="218"/>
        <v>0</v>
      </c>
      <c r="G4630" s="153">
        <f>IF($K4630="Padrão",BDI!$B$17,IF($K4630="Diferenciado",BDI!$E$17,0))</f>
        <v>0.2039</v>
      </c>
      <c r="H4630" s="151">
        <f t="shared" ca="1" si="216"/>
        <v>60.86</v>
      </c>
      <c r="I4630" s="152">
        <f t="shared" ca="1" si="217"/>
        <v>0</v>
      </c>
      <c r="J4630" s="154"/>
      <c r="K4630" s="155" t="s">
        <v>2966</v>
      </c>
    </row>
    <row r="4631" spans="1:11" hidden="1" x14ac:dyDescent="0.25">
      <c r="A4631" s="148" t="s">
        <v>2695</v>
      </c>
      <c r="B4631" s="149" t="s">
        <v>10260</v>
      </c>
      <c r="C4631" s="150" t="s">
        <v>18</v>
      </c>
      <c r="D4631" s="150">
        <v>0</v>
      </c>
      <c r="E4631" s="151">
        <f ca="1">OFFSET(INDEX(Composições!A:H,MATCH(Orçamentária!A4631,Composições!A:A,0),8),2,0)</f>
        <v>50.553870000000003</v>
      </c>
      <c r="F4631" s="152">
        <f t="shared" ca="1" si="218"/>
        <v>0</v>
      </c>
      <c r="G4631" s="153">
        <f>IF($K4631="Padrão",BDI!$B$17,IF($K4631="Diferenciado",BDI!$E$17,0))</f>
        <v>0.2039</v>
      </c>
      <c r="H4631" s="151">
        <f t="shared" ca="1" si="216"/>
        <v>60.86</v>
      </c>
      <c r="I4631" s="152">
        <f t="shared" ca="1" si="217"/>
        <v>0</v>
      </c>
      <c r="J4631" s="154"/>
      <c r="K4631" s="155" t="s">
        <v>2966</v>
      </c>
    </row>
    <row r="4632" spans="1:11" hidden="1" x14ac:dyDescent="0.25">
      <c r="A4632" s="148" t="s">
        <v>2697</v>
      </c>
      <c r="B4632" s="149" t="s">
        <v>10261</v>
      </c>
      <c r="C4632" s="150" t="s">
        <v>18</v>
      </c>
      <c r="D4632" s="150">
        <v>0</v>
      </c>
      <c r="E4632" s="151">
        <f ca="1">OFFSET(INDEX(Composições!A:H,MATCH(Orçamentária!A4632,Composições!A:A,0),8),2,0)</f>
        <v>108.72550975</v>
      </c>
      <c r="F4632" s="152">
        <f t="shared" ca="1" si="218"/>
        <v>0</v>
      </c>
      <c r="G4632" s="153">
        <f>IF($K4632="Padrão",BDI!$B$17,IF($K4632="Diferenciado",BDI!$E$17,0))</f>
        <v>0.2039</v>
      </c>
      <c r="H4632" s="151">
        <f t="shared" ca="1" si="216"/>
        <v>130.88999999999999</v>
      </c>
      <c r="I4632" s="152">
        <f t="shared" ca="1" si="217"/>
        <v>0</v>
      </c>
      <c r="J4632" s="154"/>
      <c r="K4632" s="155" t="s">
        <v>2966</v>
      </c>
    </row>
    <row r="4633" spans="1:11" hidden="1" x14ac:dyDescent="0.25">
      <c r="A4633" s="148" t="s">
        <v>2699</v>
      </c>
      <c r="B4633" s="149" t="s">
        <v>10262</v>
      </c>
      <c r="C4633" s="150" t="s">
        <v>18</v>
      </c>
      <c r="D4633" s="150">
        <v>0</v>
      </c>
      <c r="E4633" s="151">
        <f ca="1">OFFSET(INDEX(Composições!A:H,MATCH(Orçamentária!A4633,Composições!A:A,0),8),2,0)</f>
        <v>108.72550975</v>
      </c>
      <c r="F4633" s="152">
        <f t="shared" ca="1" si="218"/>
        <v>0</v>
      </c>
      <c r="G4633" s="153">
        <f>IF($K4633="Padrão",BDI!$B$17,IF($K4633="Diferenciado",BDI!$E$17,0))</f>
        <v>0.2039</v>
      </c>
      <c r="H4633" s="151">
        <f t="shared" ca="1" si="216"/>
        <v>130.88999999999999</v>
      </c>
      <c r="I4633" s="152">
        <f t="shared" ca="1" si="217"/>
        <v>0</v>
      </c>
      <c r="J4633" s="154"/>
      <c r="K4633" s="155" t="s">
        <v>2966</v>
      </c>
    </row>
    <row r="4634" spans="1:11" hidden="1" x14ac:dyDescent="0.25">
      <c r="A4634" s="148" t="s">
        <v>2701</v>
      </c>
      <c r="B4634" s="149" t="s">
        <v>10263</v>
      </c>
      <c r="C4634" s="150" t="s">
        <v>18</v>
      </c>
      <c r="D4634" s="150">
        <v>0</v>
      </c>
      <c r="E4634" s="151">
        <f ca="1">OFFSET(INDEX(Composições!A:H,MATCH(Orçamentária!A4634,Composições!A:A,0),8),2,0)</f>
        <v>108.72550975</v>
      </c>
      <c r="F4634" s="152">
        <f t="shared" ca="1" si="218"/>
        <v>0</v>
      </c>
      <c r="G4634" s="153">
        <f>IF($K4634="Padrão",BDI!$B$17,IF($K4634="Diferenciado",BDI!$E$17,0))</f>
        <v>0.2039</v>
      </c>
      <c r="H4634" s="151">
        <f t="shared" ca="1" si="216"/>
        <v>130.88999999999999</v>
      </c>
      <c r="I4634" s="152">
        <f t="shared" ca="1" si="217"/>
        <v>0</v>
      </c>
      <c r="J4634" s="154"/>
      <c r="K4634" s="155" t="s">
        <v>2966</v>
      </c>
    </row>
    <row r="4635" spans="1:11" hidden="1" x14ac:dyDescent="0.25">
      <c r="A4635" s="148" t="s">
        <v>2703</v>
      </c>
      <c r="B4635" s="149" t="s">
        <v>10264</v>
      </c>
      <c r="C4635" s="150" t="s">
        <v>1788</v>
      </c>
      <c r="D4635" s="150">
        <v>0</v>
      </c>
      <c r="E4635" s="151">
        <f ca="1">OFFSET(INDEX(Composições!A:H,MATCH(Orçamentária!A4635,Composições!A:A,0),8),2,0)</f>
        <v>856.88066750000007</v>
      </c>
      <c r="F4635" s="152">
        <f t="shared" ca="1" si="218"/>
        <v>0</v>
      </c>
      <c r="G4635" s="153">
        <f>IF($K4635="Padrão",BDI!$B$17,IF($K4635="Diferenciado",BDI!$E$17,0))</f>
        <v>0.2039</v>
      </c>
      <c r="H4635" s="151">
        <f t="shared" ca="1" si="216"/>
        <v>1031.5999999999999</v>
      </c>
      <c r="I4635" s="152">
        <f t="shared" ca="1" si="217"/>
        <v>0</v>
      </c>
      <c r="J4635" s="154"/>
      <c r="K4635" s="155" t="s">
        <v>2966</v>
      </c>
    </row>
    <row r="4636" spans="1:11" hidden="1" x14ac:dyDescent="0.25">
      <c r="A4636" s="148" t="s">
        <v>2705</v>
      </c>
      <c r="B4636" s="149" t="s">
        <v>2706</v>
      </c>
      <c r="C4636" s="150" t="s">
        <v>18</v>
      </c>
      <c r="D4636" s="150">
        <v>0</v>
      </c>
      <c r="E4636" s="151">
        <f ca="1">OFFSET(INDEX(Composições!A:H,MATCH(Orçamentária!A4636,Composições!A:A,0),8),2,0)</f>
        <v>108.72550975</v>
      </c>
      <c r="F4636" s="152">
        <f t="shared" ca="1" si="218"/>
        <v>0</v>
      </c>
      <c r="G4636" s="153">
        <f>IF($K4636="Padrão",BDI!$B$17,IF($K4636="Diferenciado",BDI!$E$17,0))</f>
        <v>0.2039</v>
      </c>
      <c r="H4636" s="151">
        <f t="shared" ca="1" si="216"/>
        <v>130.88999999999999</v>
      </c>
      <c r="I4636" s="152">
        <f t="shared" ca="1" si="217"/>
        <v>0</v>
      </c>
      <c r="J4636" s="154"/>
      <c r="K4636" s="155" t="s">
        <v>2966</v>
      </c>
    </row>
    <row r="4637" spans="1:11" hidden="1" x14ac:dyDescent="0.25">
      <c r="A4637" s="148" t="s">
        <v>2707</v>
      </c>
      <c r="B4637" s="149" t="s">
        <v>2708</v>
      </c>
      <c r="C4637" s="150" t="s">
        <v>18</v>
      </c>
      <c r="D4637" s="150">
        <v>0</v>
      </c>
      <c r="E4637" s="151">
        <f ca="1">OFFSET(INDEX(Composições!A:H,MATCH(Orçamentária!A4637,Composições!A:A,0),8),2,0)</f>
        <v>108.72550975</v>
      </c>
      <c r="F4637" s="152">
        <f t="shared" ca="1" si="218"/>
        <v>0</v>
      </c>
      <c r="G4637" s="153">
        <f>IF($K4637="Padrão",BDI!$B$17,IF($K4637="Diferenciado",BDI!$E$17,0))</f>
        <v>0.2039</v>
      </c>
      <c r="H4637" s="151">
        <f t="shared" ca="1" si="216"/>
        <v>130.88999999999999</v>
      </c>
      <c r="I4637" s="152">
        <f t="shared" ca="1" si="217"/>
        <v>0</v>
      </c>
      <c r="J4637" s="154"/>
      <c r="K4637" s="155" t="s">
        <v>2966</v>
      </c>
    </row>
    <row r="4638" spans="1:11" hidden="1" x14ac:dyDescent="0.25">
      <c r="A4638" s="148" t="s">
        <v>2709</v>
      </c>
      <c r="B4638" s="149" t="s">
        <v>2710</v>
      </c>
      <c r="C4638" s="150" t="s">
        <v>18</v>
      </c>
      <c r="D4638" s="150">
        <v>0</v>
      </c>
      <c r="E4638" s="151">
        <f ca="1">OFFSET(INDEX(Composições!A:H,MATCH(Orçamentária!A4638,Composições!A:A,0),8),2,0)</f>
        <v>108.72550975</v>
      </c>
      <c r="F4638" s="152">
        <f t="shared" ca="1" si="218"/>
        <v>0</v>
      </c>
      <c r="G4638" s="153">
        <f>IF($K4638="Padrão",BDI!$B$17,IF($K4638="Diferenciado",BDI!$E$17,0))</f>
        <v>0.2039</v>
      </c>
      <c r="H4638" s="151">
        <f t="shared" ca="1" si="216"/>
        <v>130.88999999999999</v>
      </c>
      <c r="I4638" s="152">
        <f t="shared" ca="1" si="217"/>
        <v>0</v>
      </c>
      <c r="J4638" s="154"/>
      <c r="K4638" s="155" t="s">
        <v>2966</v>
      </c>
    </row>
    <row r="4639" spans="1:11" hidden="1" x14ac:dyDescent="0.25">
      <c r="A4639" s="148" t="s">
        <v>2711</v>
      </c>
      <c r="B4639" s="149" t="s">
        <v>10265</v>
      </c>
      <c r="C4639" s="150" t="s">
        <v>106</v>
      </c>
      <c r="D4639" s="150">
        <v>0</v>
      </c>
      <c r="E4639" s="151">
        <f ca="1">OFFSET(INDEX(Composições!A:H,MATCH(Orçamentária!A4639,Composições!A:A,0),8),2,0)</f>
        <v>2.5766165999999999</v>
      </c>
      <c r="F4639" s="152">
        <f t="shared" ca="1" si="218"/>
        <v>0</v>
      </c>
      <c r="G4639" s="153">
        <f>IF($K4639="Padrão",BDI!$B$17,IF($K4639="Diferenciado",BDI!$E$17,0))</f>
        <v>0.2039</v>
      </c>
      <c r="H4639" s="151">
        <f t="shared" ca="1" si="216"/>
        <v>3.1</v>
      </c>
      <c r="I4639" s="152">
        <f t="shared" ca="1" si="217"/>
        <v>0</v>
      </c>
      <c r="J4639" s="154"/>
      <c r="K4639" s="155" t="s">
        <v>2966</v>
      </c>
    </row>
    <row r="4640" spans="1:11" hidden="1" x14ac:dyDescent="0.25">
      <c r="A4640" s="148" t="s">
        <v>2713</v>
      </c>
      <c r="B4640" s="149" t="s">
        <v>10266</v>
      </c>
      <c r="C4640" s="150" t="s">
        <v>106</v>
      </c>
      <c r="D4640" s="150">
        <v>0</v>
      </c>
      <c r="E4640" s="151">
        <f ca="1">OFFSET(INDEX(Composições!A:H,MATCH(Orçamentária!A4640,Composições!A:A,0),8),2,0)</f>
        <v>2.5766165999999999</v>
      </c>
      <c r="F4640" s="152">
        <f t="shared" ca="1" si="218"/>
        <v>0</v>
      </c>
      <c r="G4640" s="153">
        <f>IF($K4640="Padrão",BDI!$B$17,IF($K4640="Diferenciado",BDI!$E$17,0))</f>
        <v>0.2039</v>
      </c>
      <c r="H4640" s="151">
        <f t="shared" ca="1" si="216"/>
        <v>3.1</v>
      </c>
      <c r="I4640" s="152">
        <f t="shared" ca="1" si="217"/>
        <v>0</v>
      </c>
      <c r="J4640" s="154"/>
      <c r="K4640" s="155" t="s">
        <v>2966</v>
      </c>
    </row>
    <row r="4641" spans="1:11" hidden="1" x14ac:dyDescent="0.25">
      <c r="A4641" s="148" t="s">
        <v>2715</v>
      </c>
      <c r="B4641" s="149" t="s">
        <v>10267</v>
      </c>
      <c r="C4641" s="150" t="s">
        <v>106</v>
      </c>
      <c r="D4641" s="150">
        <v>0</v>
      </c>
      <c r="E4641" s="151">
        <f ca="1">OFFSET(INDEX(Composições!A:H,MATCH(Orçamentária!A4641,Composições!A:A,0),8),2,0)</f>
        <v>2.5766165999999999</v>
      </c>
      <c r="F4641" s="152">
        <f t="shared" ca="1" si="218"/>
        <v>0</v>
      </c>
      <c r="G4641" s="153">
        <f>IF($K4641="Padrão",BDI!$B$17,IF($K4641="Diferenciado",BDI!$E$17,0))</f>
        <v>0.2039</v>
      </c>
      <c r="H4641" s="151">
        <f t="shared" ca="1" si="216"/>
        <v>3.1</v>
      </c>
      <c r="I4641" s="152">
        <f t="shared" ca="1" si="217"/>
        <v>0</v>
      </c>
      <c r="J4641" s="154"/>
      <c r="K4641" s="155" t="s">
        <v>2966</v>
      </c>
    </row>
    <row r="4642" spans="1:11" ht="25.5" hidden="1" x14ac:dyDescent="0.25">
      <c r="A4642" s="148" t="s">
        <v>2717</v>
      </c>
      <c r="B4642" s="149" t="s">
        <v>2718</v>
      </c>
      <c r="C4642" s="150" t="s">
        <v>18</v>
      </c>
      <c r="D4642" s="150">
        <v>0</v>
      </c>
      <c r="E4642" s="151">
        <f ca="1">OFFSET(INDEX(Composições!A:H,MATCH(Orçamentária!A4642,Composições!A:A,0),8),2,0)</f>
        <v>74.031642750000003</v>
      </c>
      <c r="F4642" s="152">
        <f t="shared" ca="1" si="218"/>
        <v>0</v>
      </c>
      <c r="G4642" s="153">
        <f>IF($K4642="Padrão",BDI!$B$17,IF($K4642="Diferenciado",BDI!$E$17,0))</f>
        <v>0.2039</v>
      </c>
      <c r="H4642" s="151">
        <f t="shared" ca="1" si="216"/>
        <v>89.13</v>
      </c>
      <c r="I4642" s="152">
        <f t="shared" ca="1" si="217"/>
        <v>0</v>
      </c>
      <c r="J4642" s="154"/>
      <c r="K4642" s="155" t="s">
        <v>2966</v>
      </c>
    </row>
    <row r="4643" spans="1:11" ht="25.5" hidden="1" x14ac:dyDescent="0.25">
      <c r="A4643" s="148" t="s">
        <v>2719</v>
      </c>
      <c r="B4643" s="149" t="s">
        <v>2720</v>
      </c>
      <c r="C4643" s="150" t="s">
        <v>18</v>
      </c>
      <c r="D4643" s="150">
        <v>0</v>
      </c>
      <c r="E4643" s="151">
        <f ca="1">OFFSET(INDEX(Composições!A:H,MATCH(Orçamentária!A4643,Composições!A:A,0),8),2,0)</f>
        <v>74.031642750000003</v>
      </c>
      <c r="F4643" s="152">
        <f t="shared" ca="1" si="218"/>
        <v>0</v>
      </c>
      <c r="G4643" s="153">
        <f>IF($K4643="Padrão",BDI!$B$17,IF($K4643="Diferenciado",BDI!$E$17,0))</f>
        <v>0.2039</v>
      </c>
      <c r="H4643" s="151">
        <f t="shared" ca="1" si="216"/>
        <v>89.13</v>
      </c>
      <c r="I4643" s="152">
        <f t="shared" ca="1" si="217"/>
        <v>0</v>
      </c>
      <c r="J4643" s="154"/>
      <c r="K4643" s="155" t="s">
        <v>2966</v>
      </c>
    </row>
    <row r="4644" spans="1:11" ht="25.5" hidden="1" x14ac:dyDescent="0.25">
      <c r="A4644" s="148" t="s">
        <v>2721</v>
      </c>
      <c r="B4644" s="149" t="s">
        <v>2722</v>
      </c>
      <c r="C4644" s="150" t="s">
        <v>18</v>
      </c>
      <c r="D4644" s="150">
        <v>0</v>
      </c>
      <c r="E4644" s="151">
        <f ca="1">OFFSET(INDEX(Composições!A:H,MATCH(Orçamentária!A4644,Composições!A:A,0),8),2,0)</f>
        <v>74.031642750000003</v>
      </c>
      <c r="F4644" s="152">
        <f t="shared" ca="1" si="218"/>
        <v>0</v>
      </c>
      <c r="G4644" s="153">
        <f>IF($K4644="Padrão",BDI!$B$17,IF($K4644="Diferenciado",BDI!$E$17,0))</f>
        <v>0.2039</v>
      </c>
      <c r="H4644" s="151">
        <f t="shared" ca="1" si="216"/>
        <v>89.13</v>
      </c>
      <c r="I4644" s="152">
        <f t="shared" ca="1" si="217"/>
        <v>0</v>
      </c>
      <c r="J4644" s="154"/>
      <c r="K4644" s="155" t="s">
        <v>2966</v>
      </c>
    </row>
    <row r="4645" spans="1:11" ht="25.5" hidden="1" x14ac:dyDescent="0.25">
      <c r="A4645" s="148" t="s">
        <v>2723</v>
      </c>
      <c r="B4645" s="149" t="s">
        <v>2724</v>
      </c>
      <c r="C4645" s="150" t="s">
        <v>18</v>
      </c>
      <c r="D4645" s="150">
        <v>0</v>
      </c>
      <c r="E4645" s="151">
        <f ca="1">OFFSET(INDEX(Composições!A:H,MATCH(Orçamentária!A4645,Composições!A:A,0),8),2,0)</f>
        <v>74.031642750000003</v>
      </c>
      <c r="F4645" s="152">
        <f t="shared" ca="1" si="218"/>
        <v>0</v>
      </c>
      <c r="G4645" s="153">
        <f>IF($K4645="Padrão",BDI!$B$17,IF($K4645="Diferenciado",BDI!$E$17,0))</f>
        <v>0.2039</v>
      </c>
      <c r="H4645" s="151">
        <f t="shared" ca="1" si="216"/>
        <v>89.13</v>
      </c>
      <c r="I4645" s="152">
        <f t="shared" ca="1" si="217"/>
        <v>0</v>
      </c>
      <c r="J4645" s="154"/>
      <c r="K4645" s="155" t="s">
        <v>2966</v>
      </c>
    </row>
    <row r="4646" spans="1:11" hidden="1" x14ac:dyDescent="0.25">
      <c r="A4646" s="148" t="s">
        <v>2725</v>
      </c>
      <c r="B4646" s="149" t="s">
        <v>10268</v>
      </c>
      <c r="C4646" s="150" t="s">
        <v>18</v>
      </c>
      <c r="D4646" s="150">
        <v>0</v>
      </c>
      <c r="E4646" s="151">
        <f ca="1">OFFSET(INDEX(Composições!A:H,MATCH(Orçamentária!A4646,Composições!A:A,0),8),2,0)</f>
        <v>16.307699999999997</v>
      </c>
      <c r="F4646" s="152">
        <f t="shared" ca="1" si="218"/>
        <v>0</v>
      </c>
      <c r="G4646" s="153">
        <f>IF($K4646="Padrão",BDI!$B$17,IF($K4646="Diferenciado",BDI!$E$17,0))</f>
        <v>0.2039</v>
      </c>
      <c r="H4646" s="151">
        <f t="shared" ca="1" si="216"/>
        <v>19.63</v>
      </c>
      <c r="I4646" s="152">
        <f t="shared" ca="1" si="217"/>
        <v>0</v>
      </c>
      <c r="J4646" s="154"/>
      <c r="K4646" s="155" t="s">
        <v>2966</v>
      </c>
    </row>
    <row r="4647" spans="1:11" hidden="1" x14ac:dyDescent="0.25">
      <c r="A4647" s="148" t="s">
        <v>2727</v>
      </c>
      <c r="B4647" s="149" t="s">
        <v>10269</v>
      </c>
      <c r="C4647" s="150" t="s">
        <v>18</v>
      </c>
      <c r="D4647" s="150">
        <v>0</v>
      </c>
      <c r="E4647" s="151">
        <f ca="1">OFFSET(INDEX(Composições!A:H,MATCH(Orçamentária!A4647,Composições!A:A,0),8),2,0)</f>
        <v>16.307699999999997</v>
      </c>
      <c r="F4647" s="152">
        <f t="shared" ca="1" si="218"/>
        <v>0</v>
      </c>
      <c r="G4647" s="153">
        <f>IF($K4647="Padrão",BDI!$B$17,IF($K4647="Diferenciado",BDI!$E$17,0))</f>
        <v>0.2039</v>
      </c>
      <c r="H4647" s="151">
        <f t="shared" ca="1" si="216"/>
        <v>19.63</v>
      </c>
      <c r="I4647" s="152">
        <f t="shared" ca="1" si="217"/>
        <v>0</v>
      </c>
      <c r="J4647" s="154"/>
      <c r="K4647" s="155" t="s">
        <v>2966</v>
      </c>
    </row>
    <row r="4648" spans="1:11" hidden="1" x14ac:dyDescent="0.25">
      <c r="A4648" s="148" t="s">
        <v>2729</v>
      </c>
      <c r="B4648" s="149" t="s">
        <v>10270</v>
      </c>
      <c r="C4648" s="150" t="s">
        <v>18</v>
      </c>
      <c r="D4648" s="150">
        <v>0</v>
      </c>
      <c r="E4648" s="151">
        <f ca="1">OFFSET(INDEX(Composições!A:H,MATCH(Orçamentária!A4648,Composições!A:A,0),8),2,0)</f>
        <v>209.43194980000001</v>
      </c>
      <c r="F4648" s="152">
        <f t="shared" ca="1" si="218"/>
        <v>0</v>
      </c>
      <c r="G4648" s="153">
        <f>IF($K4648="Padrão",BDI!$B$17,IF($K4648="Diferenciado",BDI!$E$17,0))</f>
        <v>0.2039</v>
      </c>
      <c r="H4648" s="151">
        <f t="shared" ca="1" si="216"/>
        <v>252.14</v>
      </c>
      <c r="I4648" s="152">
        <f t="shared" ca="1" si="217"/>
        <v>0</v>
      </c>
      <c r="J4648" s="154"/>
      <c r="K4648" s="155" t="s">
        <v>2966</v>
      </c>
    </row>
    <row r="4649" spans="1:11" hidden="1" x14ac:dyDescent="0.25">
      <c r="A4649" s="148" t="s">
        <v>2731</v>
      </c>
      <c r="B4649" s="149" t="s">
        <v>10271</v>
      </c>
      <c r="C4649" s="150" t="s">
        <v>106</v>
      </c>
      <c r="D4649" s="150">
        <v>0</v>
      </c>
      <c r="E4649" s="151">
        <f ca="1">OFFSET(INDEX(Composições!A:H,MATCH(Orçamentária!A4649,Composições!A:A,0),8),2,0)</f>
        <v>164.40638724999999</v>
      </c>
      <c r="F4649" s="152">
        <f t="shared" ca="1" si="218"/>
        <v>0</v>
      </c>
      <c r="G4649" s="153">
        <f>IF($K4649="Padrão",BDI!$B$17,IF($K4649="Diferenciado",BDI!$E$17,0))</f>
        <v>0.2039</v>
      </c>
      <c r="H4649" s="151">
        <f t="shared" ca="1" si="216"/>
        <v>197.93</v>
      </c>
      <c r="I4649" s="152">
        <f t="shared" ca="1" si="217"/>
        <v>0</v>
      </c>
      <c r="J4649" s="154"/>
      <c r="K4649" s="155" t="s">
        <v>2966</v>
      </c>
    </row>
    <row r="4650" spans="1:11" hidden="1" x14ac:dyDescent="0.25">
      <c r="A4650" s="148" t="s">
        <v>2732</v>
      </c>
      <c r="B4650" s="149" t="s">
        <v>10272</v>
      </c>
      <c r="C4650" s="150" t="s">
        <v>18</v>
      </c>
      <c r="D4650" s="150">
        <v>0</v>
      </c>
      <c r="E4650" s="151">
        <f ca="1">OFFSET(INDEX(Composições!A:H,MATCH(Orçamentária!A4650,Composições!A:A,0),8),2,0)</f>
        <v>82.350174300000006</v>
      </c>
      <c r="F4650" s="152">
        <f t="shared" ca="1" si="218"/>
        <v>0</v>
      </c>
      <c r="G4650" s="153">
        <f>IF($K4650="Padrão",BDI!$B$17,IF($K4650="Diferenciado",BDI!$E$17,0))</f>
        <v>0.2039</v>
      </c>
      <c r="H4650" s="151">
        <f t="shared" ca="1" si="216"/>
        <v>99.14</v>
      </c>
      <c r="I4650" s="152">
        <f t="shared" ca="1" si="217"/>
        <v>0</v>
      </c>
      <c r="J4650" s="154"/>
      <c r="K4650" s="155" t="s">
        <v>2966</v>
      </c>
    </row>
    <row r="4651" spans="1:11" hidden="1" x14ac:dyDescent="0.25">
      <c r="A4651" s="148" t="s">
        <v>2733</v>
      </c>
      <c r="B4651" s="149" t="s">
        <v>2734</v>
      </c>
      <c r="C4651" s="150" t="s">
        <v>18</v>
      </c>
      <c r="D4651" s="150">
        <v>0</v>
      </c>
      <c r="E4651" s="151">
        <f ca="1">OFFSET(INDEX(Composições!A:H,MATCH(Orçamentária!A4651,Composições!A:A,0),8),2,0)</f>
        <v>243.11673368864001</v>
      </c>
      <c r="F4651" s="152">
        <f t="shared" ca="1" si="218"/>
        <v>0</v>
      </c>
      <c r="G4651" s="153">
        <f>IF($K4651="Padrão",BDI!$B$17,IF($K4651="Diferenciado",BDI!$E$17,0))</f>
        <v>0.2039</v>
      </c>
      <c r="H4651" s="151">
        <f t="shared" ca="1" si="216"/>
        <v>292.69</v>
      </c>
      <c r="I4651" s="152">
        <f t="shared" ca="1" si="217"/>
        <v>0</v>
      </c>
      <c r="J4651" s="154"/>
      <c r="K4651" s="155" t="s">
        <v>2966</v>
      </c>
    </row>
    <row r="4652" spans="1:11" hidden="1" x14ac:dyDescent="0.25">
      <c r="A4652" s="148" t="s">
        <v>2735</v>
      </c>
      <c r="B4652" s="149" t="s">
        <v>2736</v>
      </c>
      <c r="C4652" s="150" t="s">
        <v>18</v>
      </c>
      <c r="D4652" s="150">
        <v>0</v>
      </c>
      <c r="E4652" s="151">
        <f ca="1">OFFSET(INDEX(Composições!A:H,MATCH(Orçamentária!A4652,Composições!A:A,0),8),2,0)</f>
        <v>114.60267714999998</v>
      </c>
      <c r="F4652" s="152">
        <f t="shared" ca="1" si="218"/>
        <v>0</v>
      </c>
      <c r="G4652" s="153">
        <f>IF($K4652="Padrão",BDI!$B$17,IF($K4652="Diferenciado",BDI!$E$17,0))</f>
        <v>0.2039</v>
      </c>
      <c r="H4652" s="151">
        <f t="shared" ca="1" si="216"/>
        <v>137.97</v>
      </c>
      <c r="I4652" s="152">
        <f t="shared" ca="1" si="217"/>
        <v>0</v>
      </c>
      <c r="J4652" s="154"/>
      <c r="K4652" s="155" t="s">
        <v>2966</v>
      </c>
    </row>
    <row r="4653" spans="1:11" hidden="1" x14ac:dyDescent="0.25">
      <c r="A4653" s="148" t="s">
        <v>2737</v>
      </c>
      <c r="B4653" s="149" t="s">
        <v>2738</v>
      </c>
      <c r="C4653" s="150" t="s">
        <v>18</v>
      </c>
      <c r="D4653" s="150">
        <v>0</v>
      </c>
      <c r="E4653" s="151">
        <f ca="1">OFFSET(INDEX(Composições!A:H,MATCH(Orçamentária!A4653,Composições!A:A,0),8),2,0)</f>
        <v>114.60267714999998</v>
      </c>
      <c r="F4653" s="152">
        <f t="shared" ca="1" si="218"/>
        <v>0</v>
      </c>
      <c r="G4653" s="153">
        <f>IF($K4653="Padrão",BDI!$B$17,IF($K4653="Diferenciado",BDI!$E$17,0))</f>
        <v>0.2039</v>
      </c>
      <c r="H4653" s="151">
        <f t="shared" ca="1" si="216"/>
        <v>137.97</v>
      </c>
      <c r="I4653" s="152">
        <f t="shared" ca="1" si="217"/>
        <v>0</v>
      </c>
      <c r="J4653" s="154"/>
      <c r="K4653" s="155" t="s">
        <v>2966</v>
      </c>
    </row>
    <row r="4654" spans="1:11" hidden="1" x14ac:dyDescent="0.25">
      <c r="A4654" s="148" t="s">
        <v>2739</v>
      </c>
      <c r="B4654" s="149" t="s">
        <v>10273</v>
      </c>
      <c r="C4654" s="150" t="s">
        <v>106</v>
      </c>
      <c r="D4654" s="150">
        <v>0</v>
      </c>
      <c r="E4654" s="151">
        <f ca="1">OFFSET(INDEX(Composições!A:H,MATCH(Orçamentária!A4654,Composições!A:A,0),8),2,0)</f>
        <v>219.38621699999999</v>
      </c>
      <c r="F4654" s="152">
        <f t="shared" ca="1" si="218"/>
        <v>0</v>
      </c>
      <c r="G4654" s="153">
        <f>IF($K4654="Padrão",BDI!$B$17,IF($K4654="Diferenciado",BDI!$E$17,0))</f>
        <v>0.2039</v>
      </c>
      <c r="H4654" s="151">
        <f t="shared" ca="1" si="216"/>
        <v>264.12</v>
      </c>
      <c r="I4654" s="152">
        <f t="shared" ca="1" si="217"/>
        <v>0</v>
      </c>
      <c r="J4654" s="154"/>
      <c r="K4654" s="155" t="s">
        <v>2966</v>
      </c>
    </row>
    <row r="4655" spans="1:11" hidden="1" x14ac:dyDescent="0.25">
      <c r="A4655" s="148" t="s">
        <v>2740</v>
      </c>
      <c r="B4655" s="149" t="s">
        <v>10274</v>
      </c>
      <c r="C4655" s="150" t="s">
        <v>106</v>
      </c>
      <c r="D4655" s="150">
        <v>0</v>
      </c>
      <c r="E4655" s="151">
        <f ca="1">OFFSET(INDEX(Composições!A:H,MATCH(Orçamentária!A4655,Composições!A:A,0),8),2,0)</f>
        <v>145.68718349999997</v>
      </c>
      <c r="F4655" s="152">
        <f t="shared" ca="1" si="218"/>
        <v>0</v>
      </c>
      <c r="G4655" s="153">
        <f>IF($K4655="Padrão",BDI!$B$17,IF($K4655="Diferenciado",BDI!$E$17,0))</f>
        <v>0.2039</v>
      </c>
      <c r="H4655" s="151">
        <f t="shared" ca="1" si="216"/>
        <v>175.39</v>
      </c>
      <c r="I4655" s="152">
        <f t="shared" ca="1" si="217"/>
        <v>0</v>
      </c>
      <c r="J4655" s="154"/>
      <c r="K4655" s="155" t="s">
        <v>2966</v>
      </c>
    </row>
    <row r="4656" spans="1:11" hidden="1" x14ac:dyDescent="0.25">
      <c r="A4656" s="148" t="s">
        <v>2741</v>
      </c>
      <c r="B4656" s="149" t="s">
        <v>10275</v>
      </c>
      <c r="C4656" s="150" t="s">
        <v>106</v>
      </c>
      <c r="D4656" s="150">
        <v>0</v>
      </c>
      <c r="E4656" s="151">
        <f ca="1">OFFSET(INDEX(Composições!A:H,MATCH(Orçamentária!A4656,Composições!A:A,0),8),2,0)</f>
        <v>371.88544199999995</v>
      </c>
      <c r="F4656" s="152">
        <f t="shared" ca="1" si="218"/>
        <v>0</v>
      </c>
      <c r="G4656" s="153">
        <f>IF($K4656="Padrão",BDI!$B$17,IF($K4656="Diferenciado",BDI!$E$17,0))</f>
        <v>0.2039</v>
      </c>
      <c r="H4656" s="151">
        <f t="shared" ca="1" si="216"/>
        <v>447.71</v>
      </c>
      <c r="I4656" s="152">
        <f t="shared" ca="1" si="217"/>
        <v>0</v>
      </c>
      <c r="J4656" s="154"/>
      <c r="K4656" s="155" t="s">
        <v>2966</v>
      </c>
    </row>
    <row r="4657" spans="1:11" hidden="1" x14ac:dyDescent="0.25">
      <c r="A4657" s="148" t="s">
        <v>2742</v>
      </c>
      <c r="B4657" s="149" t="s">
        <v>10276</v>
      </c>
      <c r="C4657" s="150" t="s">
        <v>106</v>
      </c>
      <c r="D4657" s="150">
        <v>0</v>
      </c>
      <c r="E4657" s="151">
        <f ca="1">OFFSET(INDEX(Composições!A:H,MATCH(Orçamentária!A4657,Composições!A:A,0),8),2,0)</f>
        <v>629.0415784999999</v>
      </c>
      <c r="F4657" s="152">
        <f t="shared" ca="1" si="218"/>
        <v>0</v>
      </c>
      <c r="G4657" s="153">
        <f>IF($K4657="Padrão",BDI!$B$17,IF($K4657="Diferenciado",BDI!$E$17,0))</f>
        <v>0.2039</v>
      </c>
      <c r="H4657" s="151">
        <f t="shared" ca="1" si="216"/>
        <v>757.3</v>
      </c>
      <c r="I4657" s="152">
        <f t="shared" ca="1" si="217"/>
        <v>0</v>
      </c>
      <c r="J4657" s="154"/>
      <c r="K4657" s="155" t="s">
        <v>2966</v>
      </c>
    </row>
    <row r="4658" spans="1:11" hidden="1" x14ac:dyDescent="0.25">
      <c r="A4658" s="148" t="s">
        <v>2743</v>
      </c>
      <c r="B4658" s="149" t="s">
        <v>10277</v>
      </c>
      <c r="C4658" s="150" t="s">
        <v>18</v>
      </c>
      <c r="D4658" s="150">
        <v>0</v>
      </c>
      <c r="E4658" s="151">
        <f ca="1">OFFSET(INDEX(Composições!A:H,MATCH(Orçamentária!A4658,Composições!A:A,0),8),2,0)</f>
        <v>25.1560095</v>
      </c>
      <c r="F4658" s="152">
        <f t="shared" ca="1" si="218"/>
        <v>0</v>
      </c>
      <c r="G4658" s="153">
        <f>IF($K4658="Padrão",BDI!$B$17,IF($K4658="Diferenciado",BDI!$E$17,0))</f>
        <v>0.2039</v>
      </c>
      <c r="H4658" s="151">
        <f t="shared" ca="1" si="216"/>
        <v>30.29</v>
      </c>
      <c r="I4658" s="152">
        <f t="shared" ca="1" si="217"/>
        <v>0</v>
      </c>
      <c r="J4658" s="154"/>
      <c r="K4658" s="155" t="s">
        <v>2966</v>
      </c>
    </row>
    <row r="4659" spans="1:11" hidden="1" x14ac:dyDescent="0.25">
      <c r="A4659" s="148" t="s">
        <v>2745</v>
      </c>
      <c r="B4659" s="149" t="s">
        <v>10278</v>
      </c>
      <c r="C4659" s="150" t="s">
        <v>18</v>
      </c>
      <c r="D4659" s="150">
        <v>0</v>
      </c>
      <c r="E4659" s="151">
        <f ca="1">OFFSET(INDEX(Composições!A:H,MATCH(Orçamentária!A4659,Composições!A:A,0),8),2,0)</f>
        <v>18.824360200000001</v>
      </c>
      <c r="F4659" s="152">
        <f t="shared" ca="1" si="218"/>
        <v>0</v>
      </c>
      <c r="G4659" s="153">
        <f>IF($K4659="Padrão",BDI!$B$17,IF($K4659="Diferenciado",BDI!$E$17,0))</f>
        <v>0.2039</v>
      </c>
      <c r="H4659" s="151">
        <f t="shared" ca="1" si="216"/>
        <v>22.66</v>
      </c>
      <c r="I4659" s="152">
        <f t="shared" ca="1" si="217"/>
        <v>0</v>
      </c>
      <c r="J4659" s="154"/>
      <c r="K4659" s="155" t="s">
        <v>2966</v>
      </c>
    </row>
    <row r="4660" spans="1:11" hidden="1" x14ac:dyDescent="0.25">
      <c r="A4660" s="148" t="s">
        <v>2747</v>
      </c>
      <c r="B4660" s="149" t="s">
        <v>10279</v>
      </c>
      <c r="C4660" s="150" t="s">
        <v>18</v>
      </c>
      <c r="D4660" s="150">
        <v>0</v>
      </c>
      <c r="E4660" s="151">
        <f ca="1">OFFSET(INDEX(Composições!A:H,MATCH(Orçamentária!A4660,Composições!A:A,0),8),2,0)</f>
        <v>39.939518100000001</v>
      </c>
      <c r="F4660" s="152">
        <f t="shared" ca="1" si="218"/>
        <v>0</v>
      </c>
      <c r="G4660" s="153">
        <f>IF($K4660="Padrão",BDI!$B$17,IF($K4660="Diferenciado",BDI!$E$17,0))</f>
        <v>0.2039</v>
      </c>
      <c r="H4660" s="151">
        <f t="shared" ca="1" si="216"/>
        <v>48.08</v>
      </c>
      <c r="I4660" s="152">
        <f t="shared" ca="1" si="217"/>
        <v>0</v>
      </c>
      <c r="J4660" s="154"/>
      <c r="K4660" s="155" t="s">
        <v>2966</v>
      </c>
    </row>
    <row r="4661" spans="1:11" hidden="1" x14ac:dyDescent="0.25">
      <c r="A4661" s="148" t="s">
        <v>2749</v>
      </c>
      <c r="B4661" s="149" t="s">
        <v>10280</v>
      </c>
      <c r="C4661" s="150" t="s">
        <v>18</v>
      </c>
      <c r="D4661" s="150">
        <v>0</v>
      </c>
      <c r="E4661" s="151">
        <f ca="1">OFFSET(INDEX(Composições!A:H,MATCH(Orçamentária!A4661,Composições!A:A,0),8),2,0)</f>
        <v>39.939518100000001</v>
      </c>
      <c r="F4661" s="152">
        <f t="shared" ca="1" si="218"/>
        <v>0</v>
      </c>
      <c r="G4661" s="153">
        <f>IF($K4661="Padrão",BDI!$B$17,IF($K4661="Diferenciado",BDI!$E$17,0))</f>
        <v>0.2039</v>
      </c>
      <c r="H4661" s="151">
        <f t="shared" ca="1" si="216"/>
        <v>48.08</v>
      </c>
      <c r="I4661" s="152">
        <f t="shared" ca="1" si="217"/>
        <v>0</v>
      </c>
      <c r="J4661" s="154"/>
      <c r="K4661" s="155" t="s">
        <v>2966</v>
      </c>
    </row>
    <row r="4662" spans="1:11" hidden="1" x14ac:dyDescent="0.25">
      <c r="A4662" s="148" t="s">
        <v>2751</v>
      </c>
      <c r="B4662" s="149" t="s">
        <v>10281</v>
      </c>
      <c r="C4662" s="150" t="s">
        <v>106</v>
      </c>
      <c r="D4662" s="150">
        <v>0</v>
      </c>
      <c r="E4662" s="151">
        <f ca="1">OFFSET(INDEX(Composições!A:H,MATCH(Orçamentária!A4662,Composições!A:A,0),8),2,0)</f>
        <v>8.396210833333333</v>
      </c>
      <c r="F4662" s="152">
        <f t="shared" ca="1" si="218"/>
        <v>0</v>
      </c>
      <c r="G4662" s="153">
        <f>IF($K4662="Padrão",BDI!$B$17,IF($K4662="Diferenciado",BDI!$E$17,0))</f>
        <v>0.2039</v>
      </c>
      <c r="H4662" s="151">
        <f t="shared" ca="1" si="216"/>
        <v>10.11</v>
      </c>
      <c r="I4662" s="152">
        <f t="shared" ca="1" si="217"/>
        <v>0</v>
      </c>
      <c r="J4662" s="154"/>
      <c r="K4662" s="155" t="s">
        <v>2966</v>
      </c>
    </row>
    <row r="4663" spans="1:11" hidden="1" x14ac:dyDescent="0.25">
      <c r="A4663" s="148" t="s">
        <v>2752</v>
      </c>
      <c r="B4663" s="149" t="s">
        <v>2753</v>
      </c>
      <c r="C4663" s="150" t="s">
        <v>68</v>
      </c>
      <c r="D4663" s="150">
        <v>0</v>
      </c>
      <c r="E4663" s="151">
        <f ca="1">OFFSET(INDEX(Composições!A:H,MATCH(Orçamentária!A4663,Composições!A:A,0),8),2,0)</f>
        <v>4.2992249999999999</v>
      </c>
      <c r="F4663" s="152">
        <f t="shared" ca="1" si="218"/>
        <v>0</v>
      </c>
      <c r="G4663" s="153">
        <f>IF($K4663="Padrão",BDI!$B$17,IF($K4663="Diferenciado",BDI!$E$17,0))</f>
        <v>0.2039</v>
      </c>
      <c r="H4663" s="151">
        <f t="shared" ca="1" si="216"/>
        <v>5.18</v>
      </c>
      <c r="I4663" s="152">
        <f t="shared" ca="1" si="217"/>
        <v>0</v>
      </c>
      <c r="J4663" s="154"/>
      <c r="K4663" s="155" t="s">
        <v>2966</v>
      </c>
    </row>
    <row r="4664" spans="1:11" hidden="1" x14ac:dyDescent="0.25">
      <c r="A4664" s="148" t="s">
        <v>2754</v>
      </c>
      <c r="B4664" s="149" t="s">
        <v>10282</v>
      </c>
      <c r="C4664" s="150" t="s">
        <v>106</v>
      </c>
      <c r="D4664" s="150">
        <v>0</v>
      </c>
      <c r="E4664" s="151">
        <f ca="1">OFFSET(INDEX(Composições!A:H,MATCH(Orçamentária!A4664,Composições!A:A,0),8),2,0)</f>
        <v>9.2006359999999994</v>
      </c>
      <c r="F4664" s="152">
        <f t="shared" ca="1" si="218"/>
        <v>0</v>
      </c>
      <c r="G4664" s="153">
        <f>IF($K4664="Padrão",BDI!$B$17,IF($K4664="Diferenciado",BDI!$E$17,0))</f>
        <v>0.2039</v>
      </c>
      <c r="H4664" s="151">
        <f t="shared" ca="1" si="216"/>
        <v>11.08</v>
      </c>
      <c r="I4664" s="152">
        <f t="shared" ca="1" si="217"/>
        <v>0</v>
      </c>
      <c r="J4664" s="154"/>
      <c r="K4664" s="155" t="s">
        <v>2966</v>
      </c>
    </row>
    <row r="4665" spans="1:11" hidden="1" x14ac:dyDescent="0.25">
      <c r="A4665" s="148" t="s">
        <v>2755</v>
      </c>
      <c r="B4665" s="149" t="s">
        <v>2756</v>
      </c>
      <c r="C4665" s="150" t="s">
        <v>68</v>
      </c>
      <c r="D4665" s="150">
        <v>0</v>
      </c>
      <c r="E4665" s="151">
        <f ca="1">OFFSET(INDEX(Composições!A:H,MATCH(Orçamentária!A4665,Composições!A:A,0),8),2,0)</f>
        <v>4.2992249999999999</v>
      </c>
      <c r="F4665" s="152">
        <f t="shared" ca="1" si="218"/>
        <v>0</v>
      </c>
      <c r="G4665" s="153">
        <f>IF($K4665="Padrão",BDI!$B$17,IF($K4665="Diferenciado",BDI!$E$17,0))</f>
        <v>0.2039</v>
      </c>
      <c r="H4665" s="151">
        <f t="shared" ca="1" si="216"/>
        <v>5.18</v>
      </c>
      <c r="I4665" s="152">
        <f t="shared" ca="1" si="217"/>
        <v>0</v>
      </c>
      <c r="J4665" s="154"/>
      <c r="K4665" s="155" t="s">
        <v>2966</v>
      </c>
    </row>
    <row r="4666" spans="1:11" hidden="1" x14ac:dyDescent="0.25">
      <c r="A4666" s="148" t="s">
        <v>10283</v>
      </c>
      <c r="B4666" s="149" t="s">
        <v>10284</v>
      </c>
      <c r="C4666" s="150" t="s">
        <v>18</v>
      </c>
      <c r="D4666" s="150">
        <v>0</v>
      </c>
      <c r="E4666" s="151" t="s">
        <v>13</v>
      </c>
      <c r="F4666" s="152" t="str">
        <f t="shared" si="218"/>
        <v/>
      </c>
      <c r="G4666" s="153">
        <f>IF($K4666="Padrão",BDI!$B$17,IF($K4666="Diferenciado",BDI!$E$17,0))</f>
        <v>0.2039</v>
      </c>
      <c r="H4666" s="151" t="str">
        <f t="shared" si="216"/>
        <v/>
      </c>
      <c r="I4666" s="152" t="str">
        <f t="shared" si="217"/>
        <v/>
      </c>
      <c r="J4666" s="154"/>
      <c r="K4666" s="155" t="s">
        <v>2966</v>
      </c>
    </row>
    <row r="4667" spans="1:11" hidden="1" x14ac:dyDescent="0.25">
      <c r="A4667" s="148" t="s">
        <v>2757</v>
      </c>
      <c r="B4667" s="149" t="s">
        <v>10285</v>
      </c>
      <c r="C4667" s="150" t="s">
        <v>18</v>
      </c>
      <c r="D4667" s="150">
        <v>0</v>
      </c>
      <c r="E4667" s="151">
        <f ca="1">OFFSET(INDEX(Composições!A:H,MATCH(Orçamentária!A4667,Composições!A:A,0),8),2,0)</f>
        <v>896757.95903154998</v>
      </c>
      <c r="F4667" s="152">
        <f t="shared" ca="1" si="218"/>
        <v>0</v>
      </c>
      <c r="G4667" s="153">
        <f>IF($K4667="Padrão",BDI!$B$17,IF($K4667="Diferenciado",BDI!$E$17,0))</f>
        <v>0.2039</v>
      </c>
      <c r="H4667" s="151">
        <f t="shared" ca="1" si="216"/>
        <v>1079606.9099999999</v>
      </c>
      <c r="I4667" s="152">
        <f t="shared" ca="1" si="217"/>
        <v>0</v>
      </c>
      <c r="J4667" s="154"/>
      <c r="K4667" s="155" t="s">
        <v>2966</v>
      </c>
    </row>
    <row r="4668" spans="1:11" hidden="1" x14ac:dyDescent="0.25">
      <c r="A4668" s="148" t="s">
        <v>2759</v>
      </c>
      <c r="B4668" s="149" t="s">
        <v>10286</v>
      </c>
      <c r="C4668" s="150" t="s">
        <v>18</v>
      </c>
      <c r="D4668" s="150">
        <v>0</v>
      </c>
      <c r="E4668" s="151">
        <f ca="1">OFFSET(INDEX(Composições!A:H,MATCH(Orçamentária!A4668,Composições!A:A,0),8),2,0)</f>
        <v>22.482205999999998</v>
      </c>
      <c r="F4668" s="152">
        <f t="shared" ca="1" si="218"/>
        <v>0</v>
      </c>
      <c r="G4668" s="153">
        <f>IF($K4668="Padrão",BDI!$B$17,IF($K4668="Diferenciado",BDI!$E$17,0))</f>
        <v>0.2039</v>
      </c>
      <c r="H4668" s="151">
        <f t="shared" ca="1" si="216"/>
        <v>27.07</v>
      </c>
      <c r="I4668" s="152">
        <f t="shared" ca="1" si="217"/>
        <v>0</v>
      </c>
      <c r="J4668" s="154"/>
      <c r="K4668" s="155" t="s">
        <v>2966</v>
      </c>
    </row>
    <row r="4669" spans="1:11" hidden="1" x14ac:dyDescent="0.25">
      <c r="A4669" s="148" t="s">
        <v>2760</v>
      </c>
      <c r="B4669" s="149" t="s">
        <v>10287</v>
      </c>
      <c r="C4669" s="150" t="s">
        <v>18</v>
      </c>
      <c r="D4669" s="150">
        <v>0</v>
      </c>
      <c r="E4669" s="151">
        <f ca="1">OFFSET(INDEX(Composições!A:H,MATCH(Orçamentária!A4669,Composições!A:A,0),8),2,0)</f>
        <v>3343.1639999999998</v>
      </c>
      <c r="F4669" s="152">
        <f t="shared" ca="1" si="218"/>
        <v>0</v>
      </c>
      <c r="G4669" s="153">
        <f>IF($K4669="Padrão",BDI!$B$17,IF($K4669="Diferenciado",BDI!$E$17,0))</f>
        <v>0.2039</v>
      </c>
      <c r="H4669" s="151">
        <f t="shared" ca="1" si="216"/>
        <v>4024.84</v>
      </c>
      <c r="I4669" s="152">
        <f t="shared" ca="1" si="217"/>
        <v>0</v>
      </c>
      <c r="J4669" s="154"/>
      <c r="K4669" s="155" t="s">
        <v>2966</v>
      </c>
    </row>
    <row r="4670" spans="1:11" ht="25.5" hidden="1" x14ac:dyDescent="0.25">
      <c r="A4670" s="148" t="s">
        <v>10288</v>
      </c>
      <c r="B4670" s="149" t="s">
        <v>10289</v>
      </c>
      <c r="C4670" s="150" t="s">
        <v>18</v>
      </c>
      <c r="D4670" s="150">
        <v>0</v>
      </c>
      <c r="E4670" s="151" t="s">
        <v>13</v>
      </c>
      <c r="F4670" s="152" t="str">
        <f t="shared" si="218"/>
        <v/>
      </c>
      <c r="G4670" s="153">
        <f>IF($K4670="Padrão",BDI!$B$17,IF($K4670="Diferenciado",BDI!$E$17,0))</f>
        <v>0.2039</v>
      </c>
      <c r="H4670" s="151" t="str">
        <f t="shared" si="216"/>
        <v/>
      </c>
      <c r="I4670" s="152" t="str">
        <f t="shared" si="217"/>
        <v/>
      </c>
      <c r="J4670" s="154"/>
      <c r="K4670" s="155" t="s">
        <v>2966</v>
      </c>
    </row>
    <row r="4671" spans="1:11" ht="25.5" hidden="1" x14ac:dyDescent="0.25">
      <c r="A4671" s="148" t="s">
        <v>10290</v>
      </c>
      <c r="B4671" s="149" t="s">
        <v>10291</v>
      </c>
      <c r="C4671" s="150" t="s">
        <v>18</v>
      </c>
      <c r="D4671" s="150">
        <v>0</v>
      </c>
      <c r="E4671" s="151" t="s">
        <v>13</v>
      </c>
      <c r="F4671" s="152" t="str">
        <f t="shared" si="218"/>
        <v/>
      </c>
      <c r="G4671" s="153">
        <f>IF($K4671="Padrão",BDI!$B$17,IF($K4671="Diferenciado",BDI!$E$17,0))</f>
        <v>0.2039</v>
      </c>
      <c r="H4671" s="151" t="str">
        <f t="shared" si="216"/>
        <v/>
      </c>
      <c r="I4671" s="152" t="str">
        <f t="shared" si="217"/>
        <v/>
      </c>
      <c r="J4671" s="154"/>
      <c r="K4671" s="155" t="s">
        <v>2966</v>
      </c>
    </row>
    <row r="4672" spans="1:11" hidden="1" x14ac:dyDescent="0.25">
      <c r="A4672" s="148" t="s">
        <v>2761</v>
      </c>
      <c r="B4672" s="149" t="s">
        <v>10292</v>
      </c>
      <c r="C4672" s="150" t="s">
        <v>18</v>
      </c>
      <c r="D4672" s="150">
        <v>0</v>
      </c>
      <c r="E4672" s="151">
        <f ca="1">OFFSET(INDEX(Composições!A:H,MATCH(Orçamentária!A4672,Composições!A:A,0),8),2,0)</f>
        <v>8.5984499999999997</v>
      </c>
      <c r="F4672" s="152">
        <f t="shared" ca="1" si="218"/>
        <v>0</v>
      </c>
      <c r="G4672" s="153">
        <f>IF($K4672="Padrão",BDI!$B$17,IF($K4672="Diferenciado",BDI!$E$17,0))</f>
        <v>0.2039</v>
      </c>
      <c r="H4672" s="151">
        <f t="shared" ca="1" si="216"/>
        <v>10.35</v>
      </c>
      <c r="I4672" s="152">
        <f t="shared" ca="1" si="217"/>
        <v>0</v>
      </c>
      <c r="J4672" s="154"/>
      <c r="K4672" s="155" t="s">
        <v>2966</v>
      </c>
    </row>
    <row r="4673" spans="1:11" hidden="1" x14ac:dyDescent="0.25">
      <c r="A4673" s="148" t="s">
        <v>2763</v>
      </c>
      <c r="B4673" s="149" t="s">
        <v>10293</v>
      </c>
      <c r="C4673" s="150" t="s">
        <v>18</v>
      </c>
      <c r="D4673" s="150">
        <v>0</v>
      </c>
      <c r="E4673" s="151">
        <f ca="1">OFFSET(INDEX(Composições!A:H,MATCH(Orçamentária!A4673,Composições!A:A,0),8),2,0)</f>
        <v>1508.4804187500001</v>
      </c>
      <c r="F4673" s="152">
        <f t="shared" ca="1" si="218"/>
        <v>0</v>
      </c>
      <c r="G4673" s="153">
        <f>IF($K4673="Padrão",BDI!$B$17,IF($K4673="Diferenciado",BDI!$E$17,0))</f>
        <v>0.2039</v>
      </c>
      <c r="H4673" s="151">
        <f t="shared" ca="1" si="216"/>
        <v>1816.06</v>
      </c>
      <c r="I4673" s="152">
        <f t="shared" ca="1" si="217"/>
        <v>0</v>
      </c>
      <c r="J4673" s="154"/>
      <c r="K4673" s="155" t="s">
        <v>2966</v>
      </c>
    </row>
    <row r="4674" spans="1:11" hidden="1" x14ac:dyDescent="0.25">
      <c r="A4674" s="148" t="s">
        <v>2764</v>
      </c>
      <c r="B4674" s="149" t="s">
        <v>10294</v>
      </c>
      <c r="C4674" s="150" t="s">
        <v>18</v>
      </c>
      <c r="D4674" s="150">
        <v>0</v>
      </c>
      <c r="E4674" s="151">
        <f ca="1">OFFSET(INDEX(Composições!A:H,MATCH(Orçamentária!A4674,Composições!A:A,0),8),2,0)</f>
        <v>3822.7161909999995</v>
      </c>
      <c r="F4674" s="152">
        <f t="shared" ca="1" si="218"/>
        <v>0</v>
      </c>
      <c r="G4674" s="153">
        <f>IF($K4674="Padrão",BDI!$B$17,IF($K4674="Diferenciado",BDI!$E$17,0))</f>
        <v>0.2039</v>
      </c>
      <c r="H4674" s="151">
        <f t="shared" ca="1" si="216"/>
        <v>4602.17</v>
      </c>
      <c r="I4674" s="152">
        <f t="shared" ca="1" si="217"/>
        <v>0</v>
      </c>
      <c r="J4674" s="154"/>
      <c r="K4674" s="155" t="s">
        <v>2966</v>
      </c>
    </row>
    <row r="4675" spans="1:11" hidden="1" x14ac:dyDescent="0.25">
      <c r="A4675" s="148" t="s">
        <v>2765</v>
      </c>
      <c r="B4675" s="149" t="s">
        <v>2766</v>
      </c>
      <c r="C4675" s="150" t="s">
        <v>18</v>
      </c>
      <c r="D4675" s="150">
        <v>0</v>
      </c>
      <c r="E4675" s="151">
        <f ca="1">OFFSET(INDEX(Composições!A:H,MATCH(Orçamentária!A4675,Composições!A:A,0),8),2,0)</f>
        <v>18.211233287500001</v>
      </c>
      <c r="F4675" s="152">
        <f t="shared" ca="1" si="218"/>
        <v>0</v>
      </c>
      <c r="G4675" s="153">
        <f>IF($K4675="Padrão",BDI!$B$17,IF($K4675="Diferenciado",BDI!$E$17,0))</f>
        <v>0.2039</v>
      </c>
      <c r="H4675" s="151">
        <f t="shared" ca="1" si="216"/>
        <v>21.92</v>
      </c>
      <c r="I4675" s="152">
        <f t="shared" ca="1" si="217"/>
        <v>0</v>
      </c>
      <c r="J4675" s="154"/>
      <c r="K4675" s="155" t="s">
        <v>2966</v>
      </c>
    </row>
    <row r="4676" spans="1:11" hidden="1" x14ac:dyDescent="0.25">
      <c r="A4676" s="148" t="s">
        <v>2767</v>
      </c>
      <c r="B4676" s="149" t="s">
        <v>10295</v>
      </c>
      <c r="C4676" s="150" t="s">
        <v>3982</v>
      </c>
      <c r="D4676" s="150">
        <v>0</v>
      </c>
      <c r="E4676" s="151" t="e">
        <f ca="1">OFFSET(INDEX(Composições!A:H,MATCH(Orçamentária!A4676,Composições!A:A,0),8),2,0)</f>
        <v>#REF!</v>
      </c>
      <c r="F4676" s="152" t="str">
        <f t="shared" ca="1" si="218"/>
        <v/>
      </c>
      <c r="G4676" s="153">
        <f>IF($K4676="Padrão",BDI!$B$17,IF($K4676="Diferenciado",BDI!$E$17,0))</f>
        <v>0.2039</v>
      </c>
      <c r="H4676" s="151" t="str">
        <f t="shared" ca="1" si="216"/>
        <v/>
      </c>
      <c r="I4676" s="152" t="str">
        <f t="shared" ca="1" si="217"/>
        <v/>
      </c>
      <c r="J4676" s="154"/>
      <c r="K4676" s="155" t="s">
        <v>2966</v>
      </c>
    </row>
    <row r="4677" spans="1:11" hidden="1" x14ac:dyDescent="0.25">
      <c r="A4677" s="148" t="s">
        <v>10296</v>
      </c>
      <c r="B4677" s="149" t="s">
        <v>10297</v>
      </c>
      <c r="C4677" s="150" t="s">
        <v>18</v>
      </c>
      <c r="D4677" s="150">
        <v>0</v>
      </c>
      <c r="E4677" s="151" t="s">
        <v>13</v>
      </c>
      <c r="F4677" s="152" t="str">
        <f t="shared" si="218"/>
        <v/>
      </c>
      <c r="G4677" s="153">
        <f>IF($K4677="Padrão",BDI!$B$17,IF($K4677="Diferenciado",BDI!$E$17,0))</f>
        <v>0.2039</v>
      </c>
      <c r="H4677" s="151" t="str">
        <f t="shared" si="216"/>
        <v/>
      </c>
      <c r="I4677" s="152" t="str">
        <f t="shared" si="217"/>
        <v/>
      </c>
      <c r="J4677" s="154"/>
      <c r="K4677" s="155" t="s">
        <v>2966</v>
      </c>
    </row>
    <row r="4678" spans="1:11" hidden="1" x14ac:dyDescent="0.25">
      <c r="A4678" s="148" t="s">
        <v>10298</v>
      </c>
      <c r="B4678" s="149" t="s">
        <v>10299</v>
      </c>
      <c r="C4678" s="150" t="s">
        <v>18</v>
      </c>
      <c r="D4678" s="150">
        <v>0</v>
      </c>
      <c r="E4678" s="151" t="s">
        <v>13</v>
      </c>
      <c r="F4678" s="152" t="str">
        <f t="shared" si="218"/>
        <v/>
      </c>
      <c r="G4678" s="153">
        <f>IF($K4678="Padrão",BDI!$B$17,IF($K4678="Diferenciado",BDI!$E$17,0))</f>
        <v>0.2039</v>
      </c>
      <c r="H4678" s="151" t="str">
        <f t="shared" ref="H4678:H4741" si="219">IF(ISNUMBER(E4678),ROUND(E4678*(1+G4678),2),"")</f>
        <v/>
      </c>
      <c r="I4678" s="152" t="str">
        <f t="shared" ref="I4678:I4741" si="220">IF(ISNUMBER(E4678),ROUND(H4678*D4678,2),"")</f>
        <v/>
      </c>
      <c r="J4678" s="154"/>
      <c r="K4678" s="155" t="s">
        <v>2966</v>
      </c>
    </row>
    <row r="4679" spans="1:11" ht="25.5" hidden="1" x14ac:dyDescent="0.25">
      <c r="A4679" s="148" t="s">
        <v>10300</v>
      </c>
      <c r="B4679" s="149" t="s">
        <v>10301</v>
      </c>
      <c r="C4679" s="150" t="s">
        <v>18</v>
      </c>
      <c r="D4679" s="150">
        <v>0</v>
      </c>
      <c r="E4679" s="151" t="s">
        <v>13</v>
      </c>
      <c r="F4679" s="152" t="str">
        <f t="shared" ref="F4679:F4681" si="221">IF(ISNUMBER(E4679),D4679*E4679,"")</f>
        <v/>
      </c>
      <c r="G4679" s="153">
        <f>IF($K4679="Padrão",BDI!$B$17,IF($K4679="Diferenciado",BDI!$E$17,0))</f>
        <v>0.2039</v>
      </c>
      <c r="H4679" s="151" t="str">
        <f t="shared" si="219"/>
        <v/>
      </c>
      <c r="I4679" s="152" t="str">
        <f t="shared" si="220"/>
        <v/>
      </c>
      <c r="J4679" s="154"/>
      <c r="K4679" s="155" t="s">
        <v>2966</v>
      </c>
    </row>
    <row r="4680" spans="1:11" hidden="1" x14ac:dyDescent="0.25">
      <c r="A4680" s="148" t="s">
        <v>2768</v>
      </c>
      <c r="B4680" s="149" t="s">
        <v>10302</v>
      </c>
      <c r="C4680" s="150" t="s">
        <v>3982</v>
      </c>
      <c r="D4680" s="150">
        <v>0</v>
      </c>
      <c r="E4680" s="151" t="e">
        <f ca="1">OFFSET(INDEX(Composições!A:H,MATCH(Orçamentária!A4680,Composições!A:A,0),8),2,0)</f>
        <v>#REF!</v>
      </c>
      <c r="F4680" s="152" t="str">
        <f t="shared" ca="1" si="221"/>
        <v/>
      </c>
      <c r="G4680" s="153">
        <f>IF($K4680="Padrão",BDI!$B$17,IF($K4680="Diferenciado",BDI!$E$17,0))</f>
        <v>0.2039</v>
      </c>
      <c r="H4680" s="151" t="str">
        <f t="shared" ca="1" si="219"/>
        <v/>
      </c>
      <c r="I4680" s="152" t="str">
        <f t="shared" ca="1" si="220"/>
        <v/>
      </c>
      <c r="J4680" s="154"/>
      <c r="K4680" s="155" t="s">
        <v>2966</v>
      </c>
    </row>
    <row r="4681" spans="1:11" hidden="1" x14ac:dyDescent="0.25">
      <c r="A4681" s="148" t="s">
        <v>10303</v>
      </c>
      <c r="B4681" s="149" t="s">
        <v>10304</v>
      </c>
      <c r="C4681" s="150" t="s">
        <v>18</v>
      </c>
      <c r="D4681" s="150">
        <v>0</v>
      </c>
      <c r="E4681" s="151" t="s">
        <v>13</v>
      </c>
      <c r="F4681" s="152" t="str">
        <f t="shared" si="221"/>
        <v/>
      </c>
      <c r="G4681" s="153">
        <f>IF($K4681="Padrão",BDI!$B$17,IF($K4681="Diferenciado",BDI!$E$17,0))</f>
        <v>0.2039</v>
      </c>
      <c r="H4681" s="151" t="str">
        <f t="shared" si="219"/>
        <v/>
      </c>
      <c r="I4681" s="152" t="str">
        <f t="shared" si="220"/>
        <v/>
      </c>
      <c r="J4681" s="154"/>
      <c r="K4681" s="155" t="s">
        <v>2966</v>
      </c>
    </row>
    <row r="4682" spans="1:11" hidden="1" x14ac:dyDescent="0.25">
      <c r="A4682" s="148" t="s">
        <v>10305</v>
      </c>
      <c r="B4682" s="149" t="s">
        <v>10306</v>
      </c>
      <c r="C4682" s="150" t="s">
        <v>18</v>
      </c>
      <c r="D4682" s="150">
        <v>0</v>
      </c>
      <c r="E4682" s="151" t="s">
        <v>13</v>
      </c>
      <c r="F4682" s="152" t="str">
        <f>IF(ISNUMBER(E4682),D4682*E4682,"")</f>
        <v/>
      </c>
      <c r="G4682" s="153">
        <f>IF($K4682="Padrão",BDI!$B$17,IF($K4682="Diferenciado",BDI!$E$17,0))</f>
        <v>0.2039</v>
      </c>
      <c r="H4682" s="151" t="str">
        <f t="shared" si="219"/>
        <v/>
      </c>
      <c r="I4682" s="152" t="str">
        <f t="shared" si="220"/>
        <v/>
      </c>
      <c r="J4682" s="154"/>
      <c r="K4682" s="155" t="s">
        <v>2966</v>
      </c>
    </row>
    <row r="4683" spans="1:11" hidden="1" x14ac:dyDescent="0.25">
      <c r="A4683" s="148" t="s">
        <v>2769</v>
      </c>
      <c r="B4683" s="149" t="s">
        <v>10307</v>
      </c>
      <c r="C4683" s="150" t="s">
        <v>3982</v>
      </c>
      <c r="D4683" s="150">
        <v>0</v>
      </c>
      <c r="E4683" s="151" t="e">
        <f ca="1">OFFSET(INDEX(Composições!A:H,MATCH(Orçamentária!A4683,Composições!A:A,0),8),2,0)</f>
        <v>#REF!</v>
      </c>
      <c r="F4683" s="152" t="str">
        <f ca="1">IF(ISNUMBER(E4683),D4683*E4683,"")</f>
        <v/>
      </c>
      <c r="G4683" s="153">
        <f>IF($K4683="Padrão",BDI!$B$17,IF($K4683="Diferenciado",BDI!$E$17,0))</f>
        <v>0.2039</v>
      </c>
      <c r="H4683" s="151" t="str">
        <f t="shared" ca="1" si="219"/>
        <v/>
      </c>
      <c r="I4683" s="152" t="str">
        <f t="shared" ca="1" si="220"/>
        <v/>
      </c>
      <c r="J4683" s="154"/>
      <c r="K4683" s="155" t="s">
        <v>2966</v>
      </c>
    </row>
    <row r="4684" spans="1:11" hidden="1" x14ac:dyDescent="0.25">
      <c r="A4684" s="148" t="s">
        <v>2770</v>
      </c>
      <c r="B4684" s="149" t="s">
        <v>10308</v>
      </c>
      <c r="C4684" s="150" t="s">
        <v>3982</v>
      </c>
      <c r="D4684" s="150">
        <v>0</v>
      </c>
      <c r="E4684" s="151" t="e">
        <f ca="1">OFFSET(INDEX(Composições!A:H,MATCH(Orçamentária!A4684,Composições!A:A,0),8),2,0)</f>
        <v>#REF!</v>
      </c>
      <c r="F4684" s="152" t="str">
        <f ca="1">IF(ISNUMBER(E4684),D4684*E4684,"")</f>
        <v/>
      </c>
      <c r="G4684" s="153">
        <f>IF($K4684="Padrão",BDI!$B$17,IF($K4684="Diferenciado",BDI!$E$17,0))</f>
        <v>0.2039</v>
      </c>
      <c r="H4684" s="151" t="str">
        <f t="shared" ca="1" si="219"/>
        <v/>
      </c>
      <c r="I4684" s="152" t="str">
        <f t="shared" ca="1" si="220"/>
        <v/>
      </c>
      <c r="J4684" s="154"/>
      <c r="K4684" s="155" t="s">
        <v>2966</v>
      </c>
    </row>
    <row r="4685" spans="1:11" hidden="1" x14ac:dyDescent="0.25">
      <c r="A4685" s="148" t="s">
        <v>2771</v>
      </c>
      <c r="B4685" s="149" t="s">
        <v>10309</v>
      </c>
      <c r="C4685" s="150" t="s">
        <v>18</v>
      </c>
      <c r="D4685" s="150">
        <v>0</v>
      </c>
      <c r="E4685" s="151">
        <f ca="1">OFFSET(INDEX(Composições!A:H,MATCH(Orçamentária!A4685,Composições!A:A,0),8),2,0)</f>
        <v>18.211233287500001</v>
      </c>
      <c r="F4685" s="152">
        <f ca="1">IF(ISNUMBER(E4685),D4685*E4685,"")</f>
        <v>0</v>
      </c>
      <c r="G4685" s="153">
        <f>IF($K4685="Padrão",BDI!$B$17,IF($K4685="Diferenciado",BDI!$E$17,0))</f>
        <v>0.2039</v>
      </c>
      <c r="H4685" s="151">
        <f t="shared" ca="1" si="219"/>
        <v>21.92</v>
      </c>
      <c r="I4685" s="152">
        <f t="shared" ca="1" si="220"/>
        <v>0</v>
      </c>
      <c r="J4685" s="154"/>
      <c r="K4685" s="155" t="s">
        <v>2966</v>
      </c>
    </row>
    <row r="4686" spans="1:11" hidden="1" x14ac:dyDescent="0.25">
      <c r="A4686" s="148" t="s">
        <v>10310</v>
      </c>
      <c r="B4686" s="149" t="s">
        <v>10311</v>
      </c>
      <c r="C4686" s="150" t="s">
        <v>106</v>
      </c>
      <c r="D4686" s="150">
        <v>0</v>
      </c>
      <c r="E4686" s="151" t="s">
        <v>13</v>
      </c>
      <c r="F4686" s="152" t="str">
        <f t="shared" ref="F4686:F4749" si="222">IF(ISNUMBER(E4686),D4686*E4686,"")</f>
        <v/>
      </c>
      <c r="G4686" s="153">
        <f>IF($K4686="Padrão",BDI!$B$17,IF($K4686="Diferenciado",BDI!$E$17,0))</f>
        <v>0.2039</v>
      </c>
      <c r="H4686" s="151" t="str">
        <f t="shared" si="219"/>
        <v/>
      </c>
      <c r="I4686" s="152" t="str">
        <f t="shared" si="220"/>
        <v/>
      </c>
      <c r="J4686" s="154"/>
      <c r="K4686" s="155" t="s">
        <v>2966</v>
      </c>
    </row>
    <row r="4687" spans="1:11" hidden="1" x14ac:dyDescent="0.25">
      <c r="A4687" s="148" t="s">
        <v>10312</v>
      </c>
      <c r="B4687" s="149" t="s">
        <v>10313</v>
      </c>
      <c r="C4687" s="150" t="s">
        <v>18</v>
      </c>
      <c r="D4687" s="150">
        <v>0</v>
      </c>
      <c r="E4687" s="151" t="s">
        <v>13</v>
      </c>
      <c r="F4687" s="152" t="str">
        <f t="shared" si="222"/>
        <v/>
      </c>
      <c r="G4687" s="153">
        <f>IF($K4687="Padrão",BDI!$B$17,IF($K4687="Diferenciado",BDI!$E$17,0))</f>
        <v>0.2039</v>
      </c>
      <c r="H4687" s="151" t="str">
        <f t="shared" si="219"/>
        <v/>
      </c>
      <c r="I4687" s="152" t="str">
        <f t="shared" si="220"/>
        <v/>
      </c>
      <c r="J4687" s="154"/>
      <c r="K4687" s="155" t="s">
        <v>2966</v>
      </c>
    </row>
    <row r="4688" spans="1:11" hidden="1" x14ac:dyDescent="0.25">
      <c r="A4688" s="148" t="s">
        <v>10314</v>
      </c>
      <c r="B4688" s="149" t="s">
        <v>10315</v>
      </c>
      <c r="C4688" s="150" t="s">
        <v>18</v>
      </c>
      <c r="D4688" s="150">
        <v>0</v>
      </c>
      <c r="E4688" s="151" t="s">
        <v>13</v>
      </c>
      <c r="F4688" s="152" t="str">
        <f t="shared" si="222"/>
        <v/>
      </c>
      <c r="G4688" s="153">
        <f>IF($K4688="Padrão",BDI!$B$17,IF($K4688="Diferenciado",BDI!$E$17,0))</f>
        <v>0.2039</v>
      </c>
      <c r="H4688" s="151" t="str">
        <f t="shared" si="219"/>
        <v/>
      </c>
      <c r="I4688" s="152" t="str">
        <f t="shared" si="220"/>
        <v/>
      </c>
      <c r="J4688" s="154"/>
      <c r="K4688" s="155" t="s">
        <v>2966</v>
      </c>
    </row>
    <row r="4689" spans="1:11" hidden="1" x14ac:dyDescent="0.25">
      <c r="A4689" s="148" t="s">
        <v>2774</v>
      </c>
      <c r="B4689" s="149" t="s">
        <v>10316</v>
      </c>
      <c r="C4689" s="150" t="s">
        <v>18</v>
      </c>
      <c r="D4689" s="150">
        <v>0</v>
      </c>
      <c r="E4689" s="151">
        <f ca="1">OFFSET(INDEX(Composições!A:H,MATCH(Orçamentária!A4689,Composições!A:A,0),8),2,0)</f>
        <v>23.683499999999999</v>
      </c>
      <c r="F4689" s="152">
        <f t="shared" ca="1" si="222"/>
        <v>0</v>
      </c>
      <c r="G4689" s="153">
        <f>IF($K4689="Padrão",BDI!$B$17,IF($K4689="Diferenciado",BDI!$E$17,0))</f>
        <v>0.2039</v>
      </c>
      <c r="H4689" s="151">
        <f t="shared" ca="1" si="219"/>
        <v>28.51</v>
      </c>
      <c r="I4689" s="152">
        <f t="shared" ca="1" si="220"/>
        <v>0</v>
      </c>
      <c r="J4689" s="154"/>
      <c r="K4689" s="155" t="s">
        <v>2966</v>
      </c>
    </row>
    <row r="4690" spans="1:11" hidden="1" x14ac:dyDescent="0.25">
      <c r="A4690" s="148" t="s">
        <v>2775</v>
      </c>
      <c r="B4690" s="149" t="s">
        <v>10317</v>
      </c>
      <c r="C4690" s="150" t="s">
        <v>18</v>
      </c>
      <c r="D4690" s="150">
        <v>0</v>
      </c>
      <c r="E4690" s="151">
        <f ca="1">OFFSET(INDEX(Composições!A:H,MATCH(Orçamentária!A4690,Composições!A:A,0),8),2,0)</f>
        <v>9.9085000000000001</v>
      </c>
      <c r="F4690" s="152">
        <f t="shared" ca="1" si="222"/>
        <v>0</v>
      </c>
      <c r="G4690" s="153">
        <f>IF($K4690="Padrão",BDI!$B$17,IF($K4690="Diferenciado",BDI!$E$17,0))</f>
        <v>0.2039</v>
      </c>
      <c r="H4690" s="151">
        <f t="shared" ca="1" si="219"/>
        <v>11.93</v>
      </c>
      <c r="I4690" s="152">
        <f t="shared" ca="1" si="220"/>
        <v>0</v>
      </c>
      <c r="J4690" s="154"/>
      <c r="K4690" s="155" t="s">
        <v>2966</v>
      </c>
    </row>
    <row r="4691" spans="1:11" hidden="1" x14ac:dyDescent="0.25">
      <c r="A4691" s="148" t="s">
        <v>2776</v>
      </c>
      <c r="B4691" s="149" t="s">
        <v>10318</v>
      </c>
      <c r="C4691" s="150" t="s">
        <v>18</v>
      </c>
      <c r="D4691" s="150">
        <v>0</v>
      </c>
      <c r="E4691" s="151">
        <f ca="1">OFFSET(INDEX(Composições!A:H,MATCH(Orçamentária!A4691,Composições!A:A,0),8),2,0)</f>
        <v>18.211233287500001</v>
      </c>
      <c r="F4691" s="152">
        <f t="shared" ca="1" si="222"/>
        <v>0</v>
      </c>
      <c r="G4691" s="153">
        <f>IF($K4691="Padrão",BDI!$B$17,IF($K4691="Diferenciado",BDI!$E$17,0))</f>
        <v>0.2039</v>
      </c>
      <c r="H4691" s="151">
        <f t="shared" ca="1" si="219"/>
        <v>21.92</v>
      </c>
      <c r="I4691" s="152">
        <f t="shared" ca="1" si="220"/>
        <v>0</v>
      </c>
      <c r="J4691" s="154"/>
      <c r="K4691" s="155" t="s">
        <v>2966</v>
      </c>
    </row>
    <row r="4692" spans="1:11" hidden="1" x14ac:dyDescent="0.25">
      <c r="A4692" s="148" t="s">
        <v>2778</v>
      </c>
      <c r="B4692" s="149" t="s">
        <v>10319</v>
      </c>
      <c r="C4692" s="150" t="s">
        <v>18</v>
      </c>
      <c r="D4692" s="150">
        <v>0</v>
      </c>
      <c r="E4692" s="151">
        <f ca="1">OFFSET(INDEX(Composições!A:H,MATCH(Orçamentária!A4692,Composições!A:A,0),8),2,0)</f>
        <v>18.211233287500001</v>
      </c>
      <c r="F4692" s="152">
        <f t="shared" ca="1" si="222"/>
        <v>0</v>
      </c>
      <c r="G4692" s="153">
        <f>IF($K4692="Padrão",BDI!$B$17,IF($K4692="Diferenciado",BDI!$E$17,0))</f>
        <v>0.2039</v>
      </c>
      <c r="H4692" s="151">
        <f t="shared" ca="1" si="219"/>
        <v>21.92</v>
      </c>
      <c r="I4692" s="152">
        <f t="shared" ca="1" si="220"/>
        <v>0</v>
      </c>
      <c r="J4692" s="154"/>
      <c r="K4692" s="155" t="s">
        <v>2966</v>
      </c>
    </row>
    <row r="4693" spans="1:11" hidden="1" x14ac:dyDescent="0.25">
      <c r="A4693" s="148" t="s">
        <v>2781</v>
      </c>
      <c r="B4693" s="149" t="s">
        <v>10320</v>
      </c>
      <c r="C4693" s="150" t="s">
        <v>18</v>
      </c>
      <c r="D4693" s="150">
        <v>0</v>
      </c>
      <c r="E4693" s="151">
        <f ca="1">OFFSET(INDEX(Composições!A:H,MATCH(Orçamentária!A4693,Composições!A:A,0),8),2,0)</f>
        <v>18.211233287500001</v>
      </c>
      <c r="F4693" s="152">
        <f t="shared" ca="1" si="222"/>
        <v>0</v>
      </c>
      <c r="G4693" s="153">
        <f>IF($K4693="Padrão",BDI!$B$17,IF($K4693="Diferenciado",BDI!$E$17,0))</f>
        <v>0.2039</v>
      </c>
      <c r="H4693" s="151">
        <f t="shared" ca="1" si="219"/>
        <v>21.92</v>
      </c>
      <c r="I4693" s="152">
        <f t="shared" ca="1" si="220"/>
        <v>0</v>
      </c>
      <c r="J4693" s="154"/>
      <c r="K4693" s="155" t="s">
        <v>2966</v>
      </c>
    </row>
    <row r="4694" spans="1:11" hidden="1" x14ac:dyDescent="0.25">
      <c r="A4694" s="148" t="s">
        <v>10321</v>
      </c>
      <c r="B4694" s="149" t="s">
        <v>10322</v>
      </c>
      <c r="C4694" s="150" t="s">
        <v>18</v>
      </c>
      <c r="D4694" s="150">
        <v>0</v>
      </c>
      <c r="E4694" s="151" t="s">
        <v>13</v>
      </c>
      <c r="F4694" s="152" t="str">
        <f t="shared" si="222"/>
        <v/>
      </c>
      <c r="G4694" s="153">
        <f>IF($K4694="Padrão",BDI!$B$17,IF($K4694="Diferenciado",BDI!$E$17,0))</f>
        <v>0.2039</v>
      </c>
      <c r="H4694" s="151" t="str">
        <f t="shared" si="219"/>
        <v/>
      </c>
      <c r="I4694" s="152" t="str">
        <f t="shared" si="220"/>
        <v/>
      </c>
      <c r="J4694" s="154"/>
      <c r="K4694" s="155" t="s">
        <v>2966</v>
      </c>
    </row>
    <row r="4695" spans="1:11" hidden="1" x14ac:dyDescent="0.25">
      <c r="A4695" s="148" t="s">
        <v>10323</v>
      </c>
      <c r="B4695" s="149" t="s">
        <v>10324</v>
      </c>
      <c r="C4695" s="150" t="s">
        <v>18</v>
      </c>
      <c r="D4695" s="150">
        <v>0</v>
      </c>
      <c r="E4695" s="151" t="s">
        <v>13</v>
      </c>
      <c r="F4695" s="152" t="str">
        <f t="shared" si="222"/>
        <v/>
      </c>
      <c r="G4695" s="153">
        <f>IF($K4695="Padrão",BDI!$B$17,IF($K4695="Diferenciado",BDI!$E$17,0))</f>
        <v>0.2039</v>
      </c>
      <c r="H4695" s="151" t="str">
        <f t="shared" si="219"/>
        <v/>
      </c>
      <c r="I4695" s="152" t="str">
        <f t="shared" si="220"/>
        <v/>
      </c>
      <c r="J4695" s="154"/>
      <c r="K4695" s="155" t="s">
        <v>2966</v>
      </c>
    </row>
    <row r="4696" spans="1:11" hidden="1" x14ac:dyDescent="0.25">
      <c r="A4696" s="148" t="s">
        <v>10325</v>
      </c>
      <c r="B4696" s="149" t="s">
        <v>10326</v>
      </c>
      <c r="C4696" s="150" t="s">
        <v>18</v>
      </c>
      <c r="D4696" s="150">
        <v>0</v>
      </c>
      <c r="E4696" s="151" t="s">
        <v>13</v>
      </c>
      <c r="F4696" s="152" t="str">
        <f t="shared" si="222"/>
        <v/>
      </c>
      <c r="G4696" s="153">
        <f>IF($K4696="Padrão",BDI!$B$17,IF($K4696="Diferenciado",BDI!$E$17,0))</f>
        <v>0.2039</v>
      </c>
      <c r="H4696" s="151" t="str">
        <f t="shared" si="219"/>
        <v/>
      </c>
      <c r="I4696" s="152" t="str">
        <f t="shared" si="220"/>
        <v/>
      </c>
      <c r="J4696" s="154"/>
      <c r="K4696" s="155" t="s">
        <v>2966</v>
      </c>
    </row>
    <row r="4697" spans="1:11" hidden="1" x14ac:dyDescent="0.25">
      <c r="A4697" s="148" t="s">
        <v>10327</v>
      </c>
      <c r="B4697" s="149" t="s">
        <v>10328</v>
      </c>
      <c r="C4697" s="150" t="s">
        <v>18</v>
      </c>
      <c r="D4697" s="150">
        <v>0</v>
      </c>
      <c r="E4697" s="151" t="s">
        <v>13</v>
      </c>
      <c r="F4697" s="152" t="str">
        <f t="shared" si="222"/>
        <v/>
      </c>
      <c r="G4697" s="153">
        <f>IF($K4697="Padrão",BDI!$B$17,IF($K4697="Diferenciado",BDI!$E$17,0))</f>
        <v>0.2039</v>
      </c>
      <c r="H4697" s="151" t="str">
        <f t="shared" si="219"/>
        <v/>
      </c>
      <c r="I4697" s="152" t="str">
        <f t="shared" si="220"/>
        <v/>
      </c>
      <c r="J4697" s="154"/>
      <c r="K4697" s="155" t="s">
        <v>2966</v>
      </c>
    </row>
    <row r="4698" spans="1:11" hidden="1" x14ac:dyDescent="0.25">
      <c r="A4698" s="148" t="s">
        <v>10329</v>
      </c>
      <c r="B4698" s="149" t="s">
        <v>10330</v>
      </c>
      <c r="C4698" s="150" t="s">
        <v>18</v>
      </c>
      <c r="D4698" s="150">
        <v>0</v>
      </c>
      <c r="E4698" s="151" t="s">
        <v>13</v>
      </c>
      <c r="F4698" s="152" t="str">
        <f t="shared" si="222"/>
        <v/>
      </c>
      <c r="G4698" s="153">
        <f>IF($K4698="Padrão",BDI!$B$17,IF($K4698="Diferenciado",BDI!$E$17,0))</f>
        <v>0.2039</v>
      </c>
      <c r="H4698" s="151" t="str">
        <f t="shared" si="219"/>
        <v/>
      </c>
      <c r="I4698" s="152" t="str">
        <f t="shared" si="220"/>
        <v/>
      </c>
      <c r="J4698" s="154"/>
      <c r="K4698" s="155" t="s">
        <v>2966</v>
      </c>
    </row>
    <row r="4699" spans="1:11" hidden="1" x14ac:dyDescent="0.25">
      <c r="A4699" s="148" t="s">
        <v>10331</v>
      </c>
      <c r="B4699" s="149" t="s">
        <v>10332</v>
      </c>
      <c r="C4699" s="150" t="s">
        <v>18</v>
      </c>
      <c r="D4699" s="150">
        <v>0</v>
      </c>
      <c r="E4699" s="151" t="s">
        <v>13</v>
      </c>
      <c r="F4699" s="152" t="str">
        <f t="shared" si="222"/>
        <v/>
      </c>
      <c r="G4699" s="153">
        <f>IF($K4699="Padrão",BDI!$B$17,IF($K4699="Diferenciado",BDI!$E$17,0))</f>
        <v>0.2039</v>
      </c>
      <c r="H4699" s="151" t="str">
        <f t="shared" si="219"/>
        <v/>
      </c>
      <c r="I4699" s="152" t="str">
        <f t="shared" si="220"/>
        <v/>
      </c>
      <c r="J4699" s="154"/>
      <c r="K4699" s="155" t="s">
        <v>2966</v>
      </c>
    </row>
    <row r="4700" spans="1:11" hidden="1" x14ac:dyDescent="0.25">
      <c r="A4700" s="148" t="s">
        <v>10333</v>
      </c>
      <c r="B4700" s="149" t="s">
        <v>10334</v>
      </c>
      <c r="C4700" s="150" t="s">
        <v>18</v>
      </c>
      <c r="D4700" s="150">
        <v>0</v>
      </c>
      <c r="E4700" s="151" t="s">
        <v>13</v>
      </c>
      <c r="F4700" s="152" t="str">
        <f t="shared" si="222"/>
        <v/>
      </c>
      <c r="G4700" s="153">
        <f>IF($K4700="Padrão",BDI!$B$17,IF($K4700="Diferenciado",BDI!$E$17,0))</f>
        <v>0.2039</v>
      </c>
      <c r="H4700" s="151" t="str">
        <f t="shared" si="219"/>
        <v/>
      </c>
      <c r="I4700" s="152" t="str">
        <f t="shared" si="220"/>
        <v/>
      </c>
      <c r="J4700" s="154"/>
      <c r="K4700" s="155" t="s">
        <v>2966</v>
      </c>
    </row>
    <row r="4701" spans="1:11" hidden="1" x14ac:dyDescent="0.25">
      <c r="A4701" s="148" t="s">
        <v>10335</v>
      </c>
      <c r="B4701" s="149" t="s">
        <v>10336</v>
      </c>
      <c r="C4701" s="150" t="s">
        <v>18</v>
      </c>
      <c r="D4701" s="150">
        <v>0</v>
      </c>
      <c r="E4701" s="151" t="s">
        <v>13</v>
      </c>
      <c r="F4701" s="152" t="str">
        <f t="shared" si="222"/>
        <v/>
      </c>
      <c r="G4701" s="153">
        <f>IF($K4701="Padrão",BDI!$B$17,IF($K4701="Diferenciado",BDI!$E$17,0))</f>
        <v>0.2039</v>
      </c>
      <c r="H4701" s="151" t="str">
        <f t="shared" si="219"/>
        <v/>
      </c>
      <c r="I4701" s="152" t="str">
        <f t="shared" si="220"/>
        <v/>
      </c>
      <c r="J4701" s="154"/>
      <c r="K4701" s="155" t="s">
        <v>2966</v>
      </c>
    </row>
    <row r="4702" spans="1:11" hidden="1" x14ac:dyDescent="0.25">
      <c r="A4702" s="148" t="s">
        <v>10337</v>
      </c>
      <c r="B4702" s="149" t="s">
        <v>10338</v>
      </c>
      <c r="C4702" s="150" t="s">
        <v>18</v>
      </c>
      <c r="D4702" s="150">
        <v>0</v>
      </c>
      <c r="E4702" s="151" t="s">
        <v>13</v>
      </c>
      <c r="F4702" s="152" t="str">
        <f t="shared" si="222"/>
        <v/>
      </c>
      <c r="G4702" s="153">
        <f>IF($K4702="Padrão",BDI!$B$17,IF($K4702="Diferenciado",BDI!$E$17,0))</f>
        <v>0.2039</v>
      </c>
      <c r="H4702" s="151" t="str">
        <f t="shared" si="219"/>
        <v/>
      </c>
      <c r="I4702" s="152" t="str">
        <f t="shared" si="220"/>
        <v/>
      </c>
      <c r="J4702" s="154"/>
      <c r="K4702" s="155" t="s">
        <v>2966</v>
      </c>
    </row>
    <row r="4703" spans="1:11" hidden="1" x14ac:dyDescent="0.25">
      <c r="A4703" s="148" t="s">
        <v>10339</v>
      </c>
      <c r="B4703" s="149" t="s">
        <v>10340</v>
      </c>
      <c r="C4703" s="150" t="s">
        <v>18</v>
      </c>
      <c r="D4703" s="150">
        <v>0</v>
      </c>
      <c r="E4703" s="151" t="s">
        <v>13</v>
      </c>
      <c r="F4703" s="152" t="str">
        <f t="shared" si="222"/>
        <v/>
      </c>
      <c r="G4703" s="153">
        <f>IF($K4703="Padrão",BDI!$B$17,IF($K4703="Diferenciado",BDI!$E$17,0))</f>
        <v>0.2039</v>
      </c>
      <c r="H4703" s="151" t="str">
        <f t="shared" si="219"/>
        <v/>
      </c>
      <c r="I4703" s="152" t="str">
        <f t="shared" si="220"/>
        <v/>
      </c>
      <c r="J4703" s="154"/>
      <c r="K4703" s="155" t="s">
        <v>2966</v>
      </c>
    </row>
    <row r="4704" spans="1:11" hidden="1" x14ac:dyDescent="0.25">
      <c r="A4704" s="148" t="s">
        <v>10341</v>
      </c>
      <c r="B4704" s="149" t="s">
        <v>10342</v>
      </c>
      <c r="C4704" s="150" t="s">
        <v>18</v>
      </c>
      <c r="D4704" s="150">
        <v>0</v>
      </c>
      <c r="E4704" s="151" t="s">
        <v>13</v>
      </c>
      <c r="F4704" s="152" t="str">
        <f t="shared" si="222"/>
        <v/>
      </c>
      <c r="G4704" s="153">
        <f>IF($K4704="Padrão",BDI!$B$17,IF($K4704="Diferenciado",BDI!$E$17,0))</f>
        <v>0.2039</v>
      </c>
      <c r="H4704" s="151" t="str">
        <f t="shared" si="219"/>
        <v/>
      </c>
      <c r="I4704" s="152" t="str">
        <f t="shared" si="220"/>
        <v/>
      </c>
      <c r="J4704" s="154"/>
      <c r="K4704" s="155" t="s">
        <v>2966</v>
      </c>
    </row>
    <row r="4705" spans="1:11" hidden="1" x14ac:dyDescent="0.25">
      <c r="A4705" s="148" t="s">
        <v>2783</v>
      </c>
      <c r="B4705" s="149" t="s">
        <v>10343</v>
      </c>
      <c r="C4705" s="150" t="s">
        <v>18</v>
      </c>
      <c r="D4705" s="150">
        <v>0</v>
      </c>
      <c r="E4705" s="151">
        <f ca="1">OFFSET(INDEX(Composições!A:H,MATCH(Orçamentária!A4705,Composições!A:A,0),8),2,0)</f>
        <v>0</v>
      </c>
      <c r="F4705" s="152">
        <f t="shared" ca="1" si="222"/>
        <v>0</v>
      </c>
      <c r="G4705" s="153">
        <f>IF($K4705="Padrão",BDI!$B$17,IF($K4705="Diferenciado",BDI!$E$17,0))</f>
        <v>0.2039</v>
      </c>
      <c r="H4705" s="151">
        <f t="shared" ca="1" si="219"/>
        <v>0</v>
      </c>
      <c r="I4705" s="152">
        <f t="shared" ca="1" si="220"/>
        <v>0</v>
      </c>
      <c r="J4705" s="154"/>
      <c r="K4705" s="155" t="s">
        <v>2966</v>
      </c>
    </row>
    <row r="4706" spans="1:11" ht="25.5" hidden="1" x14ac:dyDescent="0.25">
      <c r="A4706" s="148" t="s">
        <v>2785</v>
      </c>
      <c r="B4706" s="149" t="s">
        <v>10344</v>
      </c>
      <c r="C4706" s="150" t="s">
        <v>18</v>
      </c>
      <c r="D4706" s="150">
        <v>0</v>
      </c>
      <c r="E4706" s="151">
        <f ca="1">OFFSET(INDEX(Composições!A:H,MATCH(Orçamentária!A4706,Composições!A:A,0),8),2,0)</f>
        <v>48.725499999999997</v>
      </c>
      <c r="F4706" s="152">
        <f t="shared" ca="1" si="222"/>
        <v>0</v>
      </c>
      <c r="G4706" s="153">
        <f>IF($K4706="Padrão",BDI!$B$17,IF($K4706="Diferenciado",BDI!$E$17,0))</f>
        <v>0.2039</v>
      </c>
      <c r="H4706" s="151">
        <f t="shared" ca="1" si="219"/>
        <v>58.66</v>
      </c>
      <c r="I4706" s="152">
        <f t="shared" ca="1" si="220"/>
        <v>0</v>
      </c>
      <c r="J4706" s="154"/>
      <c r="K4706" s="155" t="s">
        <v>2966</v>
      </c>
    </row>
    <row r="4707" spans="1:11" hidden="1" x14ac:dyDescent="0.25">
      <c r="A4707" s="148" t="s">
        <v>10345</v>
      </c>
      <c r="B4707" s="149" t="s">
        <v>10346</v>
      </c>
      <c r="C4707" s="150" t="s">
        <v>68</v>
      </c>
      <c r="D4707" s="150">
        <v>0</v>
      </c>
      <c r="E4707" s="151" t="s">
        <v>13</v>
      </c>
      <c r="F4707" s="152" t="str">
        <f t="shared" si="222"/>
        <v/>
      </c>
      <c r="G4707" s="153">
        <f>IF($K4707="Padrão",BDI!$B$17,IF($K4707="Diferenciado",BDI!$E$17,0))</f>
        <v>0.2039</v>
      </c>
      <c r="H4707" s="151" t="str">
        <f t="shared" si="219"/>
        <v/>
      </c>
      <c r="I4707" s="152" t="str">
        <f t="shared" si="220"/>
        <v/>
      </c>
      <c r="J4707" s="154"/>
      <c r="K4707" s="155" t="s">
        <v>2966</v>
      </c>
    </row>
    <row r="4708" spans="1:11" ht="25.5" hidden="1" x14ac:dyDescent="0.25">
      <c r="A4708" s="148" t="s">
        <v>2786</v>
      </c>
      <c r="B4708" s="149" t="s">
        <v>10347</v>
      </c>
      <c r="C4708" s="150" t="s">
        <v>18</v>
      </c>
      <c r="D4708" s="150">
        <v>0</v>
      </c>
      <c r="E4708" s="151">
        <f ca="1">OFFSET(INDEX(Composições!A:H,MATCH(Orçamentária!A4708,Composições!A:A,0),8),2,0)</f>
        <v>775.38695079773004</v>
      </c>
      <c r="F4708" s="152">
        <f t="shared" ca="1" si="222"/>
        <v>0</v>
      </c>
      <c r="G4708" s="153">
        <f>IF($K4708="Padrão",BDI!$B$17,IF($K4708="Diferenciado",BDI!$E$17,0))</f>
        <v>0.2039</v>
      </c>
      <c r="H4708" s="151">
        <f t="shared" ca="1" si="219"/>
        <v>933.49</v>
      </c>
      <c r="I4708" s="152">
        <f t="shared" ca="1" si="220"/>
        <v>0</v>
      </c>
      <c r="J4708" s="154"/>
      <c r="K4708" s="155" t="s">
        <v>2966</v>
      </c>
    </row>
    <row r="4709" spans="1:11" ht="38.25" hidden="1" x14ac:dyDescent="0.25">
      <c r="A4709" s="148" t="s">
        <v>10348</v>
      </c>
      <c r="B4709" s="149" t="s">
        <v>10349</v>
      </c>
      <c r="C4709" s="150" t="s">
        <v>18</v>
      </c>
      <c r="D4709" s="150">
        <v>0</v>
      </c>
      <c r="E4709" s="151" t="s">
        <v>13</v>
      </c>
      <c r="F4709" s="152" t="str">
        <f t="shared" si="222"/>
        <v/>
      </c>
      <c r="G4709" s="153">
        <f>IF($K4709="Padrão",BDI!$B$17,IF($K4709="Diferenciado",BDI!$E$17,0))</f>
        <v>0.2039</v>
      </c>
      <c r="H4709" s="151" t="str">
        <f t="shared" si="219"/>
        <v/>
      </c>
      <c r="I4709" s="152" t="str">
        <f t="shared" si="220"/>
        <v/>
      </c>
      <c r="J4709" s="154"/>
      <c r="K4709" s="155" t="s">
        <v>2966</v>
      </c>
    </row>
    <row r="4710" spans="1:11" ht="38.25" hidden="1" x14ac:dyDescent="0.25">
      <c r="A4710" s="148" t="s">
        <v>10350</v>
      </c>
      <c r="B4710" s="149" t="s">
        <v>10351</v>
      </c>
      <c r="C4710" s="150" t="s">
        <v>18</v>
      </c>
      <c r="D4710" s="150">
        <v>0</v>
      </c>
      <c r="E4710" s="151" t="s">
        <v>13</v>
      </c>
      <c r="F4710" s="152" t="str">
        <f t="shared" si="222"/>
        <v/>
      </c>
      <c r="G4710" s="153">
        <f>IF($K4710="Padrão",BDI!$B$17,IF($K4710="Diferenciado",BDI!$E$17,0))</f>
        <v>0.2039</v>
      </c>
      <c r="H4710" s="151" t="str">
        <f t="shared" si="219"/>
        <v/>
      </c>
      <c r="I4710" s="152" t="str">
        <f t="shared" si="220"/>
        <v/>
      </c>
      <c r="J4710" s="154"/>
      <c r="K4710" s="155" t="s">
        <v>2966</v>
      </c>
    </row>
    <row r="4711" spans="1:11" ht="38.25" hidden="1" x14ac:dyDescent="0.25">
      <c r="A4711" s="148" t="s">
        <v>10352</v>
      </c>
      <c r="B4711" s="149" t="s">
        <v>10353</v>
      </c>
      <c r="C4711" s="150" t="s">
        <v>18</v>
      </c>
      <c r="D4711" s="150">
        <v>0</v>
      </c>
      <c r="E4711" s="151" t="s">
        <v>13</v>
      </c>
      <c r="F4711" s="152" t="str">
        <f t="shared" si="222"/>
        <v/>
      </c>
      <c r="G4711" s="153">
        <f>IF($K4711="Padrão",BDI!$B$17,IF($K4711="Diferenciado",BDI!$E$17,0))</f>
        <v>0.2039</v>
      </c>
      <c r="H4711" s="151" t="str">
        <f t="shared" si="219"/>
        <v/>
      </c>
      <c r="I4711" s="152" t="str">
        <f t="shared" si="220"/>
        <v/>
      </c>
      <c r="J4711" s="154"/>
      <c r="K4711" s="155" t="s">
        <v>2966</v>
      </c>
    </row>
    <row r="4712" spans="1:11" ht="38.25" hidden="1" x14ac:dyDescent="0.25">
      <c r="A4712" s="148" t="s">
        <v>10354</v>
      </c>
      <c r="B4712" s="149" t="s">
        <v>10355</v>
      </c>
      <c r="C4712" s="150" t="s">
        <v>18</v>
      </c>
      <c r="D4712" s="150">
        <v>0</v>
      </c>
      <c r="E4712" s="151" t="s">
        <v>13</v>
      </c>
      <c r="F4712" s="152" t="str">
        <f t="shared" si="222"/>
        <v/>
      </c>
      <c r="G4712" s="153">
        <f>IF($K4712="Padrão",BDI!$B$17,IF($K4712="Diferenciado",BDI!$E$17,0))</f>
        <v>0.2039</v>
      </c>
      <c r="H4712" s="151" t="str">
        <f t="shared" si="219"/>
        <v/>
      </c>
      <c r="I4712" s="152" t="str">
        <f t="shared" si="220"/>
        <v/>
      </c>
      <c r="J4712" s="154"/>
      <c r="K4712" s="155" t="s">
        <v>2966</v>
      </c>
    </row>
    <row r="4713" spans="1:11" ht="38.25" hidden="1" x14ac:dyDescent="0.25">
      <c r="A4713" s="148" t="s">
        <v>10356</v>
      </c>
      <c r="B4713" s="149" t="s">
        <v>10357</v>
      </c>
      <c r="C4713" s="150" t="s">
        <v>18</v>
      </c>
      <c r="D4713" s="150">
        <v>0</v>
      </c>
      <c r="E4713" s="151" t="s">
        <v>13</v>
      </c>
      <c r="F4713" s="152" t="str">
        <f t="shared" si="222"/>
        <v/>
      </c>
      <c r="G4713" s="153">
        <f>IF($K4713="Padrão",BDI!$B$17,IF($K4713="Diferenciado",BDI!$E$17,0))</f>
        <v>0.2039</v>
      </c>
      <c r="H4713" s="151" t="str">
        <f t="shared" si="219"/>
        <v/>
      </c>
      <c r="I4713" s="152" t="str">
        <f t="shared" si="220"/>
        <v/>
      </c>
      <c r="J4713" s="154"/>
      <c r="K4713" s="155" t="s">
        <v>2966</v>
      </c>
    </row>
    <row r="4714" spans="1:11" ht="38.25" hidden="1" x14ac:dyDescent="0.25">
      <c r="A4714" s="148" t="s">
        <v>10358</v>
      </c>
      <c r="B4714" s="149" t="s">
        <v>10359</v>
      </c>
      <c r="C4714" s="150" t="s">
        <v>18</v>
      </c>
      <c r="D4714" s="150">
        <v>0</v>
      </c>
      <c r="E4714" s="151" t="s">
        <v>13</v>
      </c>
      <c r="F4714" s="152" t="str">
        <f t="shared" si="222"/>
        <v/>
      </c>
      <c r="G4714" s="153">
        <f>IF($K4714="Padrão",BDI!$B$17,IF($K4714="Diferenciado",BDI!$E$17,0))</f>
        <v>0.2039</v>
      </c>
      <c r="H4714" s="151" t="str">
        <f t="shared" si="219"/>
        <v/>
      </c>
      <c r="I4714" s="152" t="str">
        <f t="shared" si="220"/>
        <v/>
      </c>
      <c r="J4714" s="154"/>
      <c r="K4714" s="155" t="s">
        <v>2966</v>
      </c>
    </row>
    <row r="4715" spans="1:11" hidden="1" x14ac:dyDescent="0.25">
      <c r="A4715" s="148" t="s">
        <v>10360</v>
      </c>
      <c r="B4715" s="149" t="s">
        <v>10361</v>
      </c>
      <c r="C4715" s="150" t="s">
        <v>18</v>
      </c>
      <c r="D4715" s="150">
        <v>0</v>
      </c>
      <c r="E4715" s="151" t="s">
        <v>13</v>
      </c>
      <c r="F4715" s="152" t="str">
        <f t="shared" si="222"/>
        <v/>
      </c>
      <c r="G4715" s="153">
        <f>IF($K4715="Padrão",BDI!$B$17,IF($K4715="Diferenciado",BDI!$E$17,0))</f>
        <v>0.2039</v>
      </c>
      <c r="H4715" s="151" t="str">
        <f t="shared" si="219"/>
        <v/>
      </c>
      <c r="I4715" s="152" t="str">
        <f t="shared" si="220"/>
        <v/>
      </c>
      <c r="J4715" s="154"/>
      <c r="K4715" s="155" t="s">
        <v>2966</v>
      </c>
    </row>
    <row r="4716" spans="1:11" hidden="1" x14ac:dyDescent="0.25">
      <c r="A4716" s="148" t="s">
        <v>10362</v>
      </c>
      <c r="B4716" s="149" t="s">
        <v>10363</v>
      </c>
      <c r="C4716" s="150" t="s">
        <v>18</v>
      </c>
      <c r="D4716" s="150">
        <v>0</v>
      </c>
      <c r="E4716" s="151" t="s">
        <v>13</v>
      </c>
      <c r="F4716" s="152" t="str">
        <f t="shared" si="222"/>
        <v/>
      </c>
      <c r="G4716" s="153">
        <f>IF($K4716="Padrão",BDI!$B$17,IF($K4716="Diferenciado",BDI!$E$17,0))</f>
        <v>0.2039</v>
      </c>
      <c r="H4716" s="151" t="str">
        <f t="shared" si="219"/>
        <v/>
      </c>
      <c r="I4716" s="152" t="str">
        <f t="shared" si="220"/>
        <v/>
      </c>
      <c r="J4716" s="154"/>
      <c r="K4716" s="155" t="s">
        <v>2966</v>
      </c>
    </row>
    <row r="4717" spans="1:11" hidden="1" x14ac:dyDescent="0.25">
      <c r="A4717" s="148" t="s">
        <v>10364</v>
      </c>
      <c r="B4717" s="149" t="s">
        <v>10365</v>
      </c>
      <c r="C4717" s="150" t="s">
        <v>18</v>
      </c>
      <c r="D4717" s="150">
        <v>0</v>
      </c>
      <c r="E4717" s="151" t="s">
        <v>13</v>
      </c>
      <c r="F4717" s="152" t="str">
        <f t="shared" si="222"/>
        <v/>
      </c>
      <c r="G4717" s="153">
        <f>IF($K4717="Padrão",BDI!$B$17,IF($K4717="Diferenciado",BDI!$E$17,0))</f>
        <v>0.2039</v>
      </c>
      <c r="H4717" s="151" t="str">
        <f t="shared" si="219"/>
        <v/>
      </c>
      <c r="I4717" s="152" t="str">
        <f t="shared" si="220"/>
        <v/>
      </c>
      <c r="J4717" s="154"/>
      <c r="K4717" s="155" t="s">
        <v>2966</v>
      </c>
    </row>
    <row r="4718" spans="1:11" hidden="1" x14ac:dyDescent="0.25">
      <c r="A4718" s="148" t="s">
        <v>10366</v>
      </c>
      <c r="B4718" s="149" t="s">
        <v>10367</v>
      </c>
      <c r="C4718" s="150" t="s">
        <v>18</v>
      </c>
      <c r="D4718" s="150">
        <v>0</v>
      </c>
      <c r="E4718" s="151" t="s">
        <v>13</v>
      </c>
      <c r="F4718" s="152" t="str">
        <f t="shared" si="222"/>
        <v/>
      </c>
      <c r="G4718" s="153">
        <f>IF($K4718="Padrão",BDI!$B$17,IF($K4718="Diferenciado",BDI!$E$17,0))</f>
        <v>0.2039</v>
      </c>
      <c r="H4718" s="151" t="str">
        <f t="shared" si="219"/>
        <v/>
      </c>
      <c r="I4718" s="152" t="str">
        <f t="shared" si="220"/>
        <v/>
      </c>
      <c r="J4718" s="154"/>
      <c r="K4718" s="155" t="s">
        <v>2966</v>
      </c>
    </row>
    <row r="4719" spans="1:11" hidden="1" x14ac:dyDescent="0.25">
      <c r="A4719" s="148" t="s">
        <v>10368</v>
      </c>
      <c r="B4719" s="149" t="s">
        <v>10369</v>
      </c>
      <c r="C4719" s="150" t="s">
        <v>18</v>
      </c>
      <c r="D4719" s="150">
        <v>0</v>
      </c>
      <c r="E4719" s="151" t="s">
        <v>13</v>
      </c>
      <c r="F4719" s="152" t="str">
        <f t="shared" si="222"/>
        <v/>
      </c>
      <c r="G4719" s="153">
        <f>IF($K4719="Padrão",BDI!$B$17,IF($K4719="Diferenciado",BDI!$E$17,0))</f>
        <v>0.2039</v>
      </c>
      <c r="H4719" s="151" t="str">
        <f t="shared" si="219"/>
        <v/>
      </c>
      <c r="I4719" s="152" t="str">
        <f t="shared" si="220"/>
        <v/>
      </c>
      <c r="J4719" s="154"/>
      <c r="K4719" s="155" t="s">
        <v>2966</v>
      </c>
    </row>
    <row r="4720" spans="1:11" ht="25.5" hidden="1" x14ac:dyDescent="0.25">
      <c r="A4720" s="148" t="s">
        <v>10370</v>
      </c>
      <c r="B4720" s="149" t="s">
        <v>10371</v>
      </c>
      <c r="C4720" s="150" t="s">
        <v>18</v>
      </c>
      <c r="D4720" s="150">
        <v>0</v>
      </c>
      <c r="E4720" s="151" t="s">
        <v>13</v>
      </c>
      <c r="F4720" s="152" t="str">
        <f t="shared" si="222"/>
        <v/>
      </c>
      <c r="G4720" s="153">
        <f>IF($K4720="Padrão",BDI!$B$17,IF($K4720="Diferenciado",BDI!$E$17,0))</f>
        <v>0.2039</v>
      </c>
      <c r="H4720" s="151" t="str">
        <f t="shared" si="219"/>
        <v/>
      </c>
      <c r="I4720" s="152" t="str">
        <f t="shared" si="220"/>
        <v/>
      </c>
      <c r="J4720" s="154"/>
      <c r="K4720" s="155" t="s">
        <v>2966</v>
      </c>
    </row>
    <row r="4721" spans="1:11" hidden="1" x14ac:dyDescent="0.25">
      <c r="A4721" s="148" t="s">
        <v>2787</v>
      </c>
      <c r="B4721" s="149" t="s">
        <v>10372</v>
      </c>
      <c r="C4721" s="150" t="s">
        <v>18</v>
      </c>
      <c r="D4721" s="150">
        <v>0</v>
      </c>
      <c r="E4721" s="151">
        <f ca="1">OFFSET(INDEX(Composições!A:H,MATCH(Orçamentária!A4721,Composições!A:A,0),8),2,0)</f>
        <v>2228.7759999999998</v>
      </c>
      <c r="F4721" s="152">
        <f t="shared" ca="1" si="222"/>
        <v>0</v>
      </c>
      <c r="G4721" s="153">
        <f>IF($K4721="Padrão",BDI!$B$17,IF($K4721="Diferenciado",BDI!$E$17,0))</f>
        <v>0.2039</v>
      </c>
      <c r="H4721" s="151">
        <f t="shared" ca="1" si="219"/>
        <v>2683.22</v>
      </c>
      <c r="I4721" s="152">
        <f t="shared" ca="1" si="220"/>
        <v>0</v>
      </c>
      <c r="J4721" s="154"/>
      <c r="K4721" s="155" t="s">
        <v>2966</v>
      </c>
    </row>
    <row r="4722" spans="1:11" hidden="1" x14ac:dyDescent="0.25">
      <c r="A4722" s="148" t="s">
        <v>2788</v>
      </c>
      <c r="B4722" s="149" t="s">
        <v>10373</v>
      </c>
      <c r="C4722" s="150" t="s">
        <v>18</v>
      </c>
      <c r="D4722" s="150">
        <v>0</v>
      </c>
      <c r="E4722" s="151">
        <f ca="1">OFFSET(INDEX(Composições!A:H,MATCH(Orçamentária!A4722,Composições!A:A,0),8),2,0)</f>
        <v>2228.7759999999998</v>
      </c>
      <c r="F4722" s="152">
        <f t="shared" ca="1" si="222"/>
        <v>0</v>
      </c>
      <c r="G4722" s="153">
        <f>IF($K4722="Padrão",BDI!$B$17,IF($K4722="Diferenciado",BDI!$E$17,0))</f>
        <v>0.2039</v>
      </c>
      <c r="H4722" s="151">
        <f t="shared" ca="1" si="219"/>
        <v>2683.22</v>
      </c>
      <c r="I4722" s="152">
        <f t="shared" ca="1" si="220"/>
        <v>0</v>
      </c>
      <c r="J4722" s="154"/>
      <c r="K4722" s="155" t="s">
        <v>2966</v>
      </c>
    </row>
    <row r="4723" spans="1:11" hidden="1" x14ac:dyDescent="0.25">
      <c r="A4723" s="148" t="s">
        <v>2789</v>
      </c>
      <c r="B4723" s="149" t="s">
        <v>10374</v>
      </c>
      <c r="C4723" s="150" t="s">
        <v>18</v>
      </c>
      <c r="D4723" s="150">
        <v>0</v>
      </c>
      <c r="E4723" s="151">
        <f ca="1">OFFSET(INDEX(Composições!A:H,MATCH(Orçamentária!A4723,Composições!A:A,0),8),2,0)</f>
        <v>1114.3879999999999</v>
      </c>
      <c r="F4723" s="152">
        <f t="shared" ca="1" si="222"/>
        <v>0</v>
      </c>
      <c r="G4723" s="153">
        <f>IF($K4723="Padrão",BDI!$B$17,IF($K4723="Diferenciado",BDI!$E$17,0))</f>
        <v>0.2039</v>
      </c>
      <c r="H4723" s="151">
        <f t="shared" ca="1" si="219"/>
        <v>1341.61</v>
      </c>
      <c r="I4723" s="152">
        <f t="shared" ca="1" si="220"/>
        <v>0</v>
      </c>
      <c r="J4723" s="154"/>
      <c r="K4723" s="155" t="s">
        <v>2966</v>
      </c>
    </row>
    <row r="4724" spans="1:11" hidden="1" x14ac:dyDescent="0.25">
      <c r="A4724" s="148" t="s">
        <v>2790</v>
      </c>
      <c r="B4724" s="149" t="s">
        <v>10375</v>
      </c>
      <c r="C4724" s="150" t="s">
        <v>68</v>
      </c>
      <c r="D4724" s="150">
        <v>0</v>
      </c>
      <c r="E4724" s="151">
        <f ca="1">OFFSET(INDEX(Composições!A:H,MATCH(Orçamentária!A4724,Composições!A:A,0),8),2,0)</f>
        <v>578.21702780344992</v>
      </c>
      <c r="F4724" s="152">
        <f t="shared" ca="1" si="222"/>
        <v>0</v>
      </c>
      <c r="G4724" s="153">
        <f>IF($K4724="Padrão",BDI!$B$17,IF($K4724="Diferenciado",BDI!$E$17,0))</f>
        <v>0.2039</v>
      </c>
      <c r="H4724" s="151">
        <f t="shared" ca="1" si="219"/>
        <v>696.12</v>
      </c>
      <c r="I4724" s="152">
        <f t="shared" ca="1" si="220"/>
        <v>0</v>
      </c>
      <c r="J4724" s="154"/>
      <c r="K4724" s="155" t="s">
        <v>2966</v>
      </c>
    </row>
    <row r="4725" spans="1:11" hidden="1" x14ac:dyDescent="0.25">
      <c r="A4725" s="148" t="s">
        <v>2791</v>
      </c>
      <c r="B4725" s="149" t="s">
        <v>10376</v>
      </c>
      <c r="C4725" s="150" t="s">
        <v>68</v>
      </c>
      <c r="D4725" s="150">
        <v>0</v>
      </c>
      <c r="E4725" s="151">
        <f ca="1">OFFSET(INDEX(Composições!A:H,MATCH(Orçamentária!A4725,Composições!A:A,0),8),2,0)</f>
        <v>169.51866604218682</v>
      </c>
      <c r="F4725" s="152">
        <f t="shared" ca="1" si="222"/>
        <v>0</v>
      </c>
      <c r="G4725" s="153">
        <f>IF($K4725="Padrão",BDI!$B$17,IF($K4725="Diferenciado",BDI!$E$17,0))</f>
        <v>0.2039</v>
      </c>
      <c r="H4725" s="151">
        <f t="shared" ca="1" si="219"/>
        <v>204.08</v>
      </c>
      <c r="I4725" s="152">
        <f t="shared" ca="1" si="220"/>
        <v>0</v>
      </c>
      <c r="J4725" s="154"/>
      <c r="K4725" s="155" t="s">
        <v>2966</v>
      </c>
    </row>
    <row r="4726" spans="1:11" hidden="1" x14ac:dyDescent="0.25">
      <c r="A4726" s="148" t="s">
        <v>2792</v>
      </c>
      <c r="B4726" s="149" t="s">
        <v>2793</v>
      </c>
      <c r="C4726" s="150" t="s">
        <v>18</v>
      </c>
      <c r="D4726" s="150">
        <v>0</v>
      </c>
      <c r="E4726" s="151">
        <f ca="1">OFFSET(INDEX(Composições!A:H,MATCH(Orçamentária!A4726,Composições!A:A,0),8),2,0)</f>
        <v>5.6382500000000002</v>
      </c>
      <c r="F4726" s="152">
        <f t="shared" ca="1" si="222"/>
        <v>0</v>
      </c>
      <c r="G4726" s="153">
        <f>IF($K4726="Padrão",BDI!$B$17,IF($K4726="Diferenciado",BDI!$E$17,0))</f>
        <v>0.2039</v>
      </c>
      <c r="H4726" s="151">
        <f t="shared" ca="1" si="219"/>
        <v>6.79</v>
      </c>
      <c r="I4726" s="152">
        <f t="shared" ca="1" si="220"/>
        <v>0</v>
      </c>
      <c r="J4726" s="154"/>
      <c r="K4726" s="155" t="s">
        <v>2966</v>
      </c>
    </row>
    <row r="4727" spans="1:11" hidden="1" x14ac:dyDescent="0.25">
      <c r="A4727" s="148" t="s">
        <v>2794</v>
      </c>
      <c r="B4727" s="149" t="s">
        <v>2795</v>
      </c>
      <c r="C4727" s="150" t="s">
        <v>18</v>
      </c>
      <c r="D4727" s="150">
        <v>0</v>
      </c>
      <c r="E4727" s="151">
        <f ca="1">OFFSET(INDEX(Composições!A:H,MATCH(Orçamentária!A4727,Composições!A:A,0),8),2,0)</f>
        <v>12.652784</v>
      </c>
      <c r="F4727" s="152">
        <f t="shared" ca="1" si="222"/>
        <v>0</v>
      </c>
      <c r="G4727" s="153">
        <f>IF($K4727="Padrão",BDI!$B$17,IF($K4727="Diferenciado",BDI!$E$17,0))</f>
        <v>0.2039</v>
      </c>
      <c r="H4727" s="151">
        <f t="shared" ca="1" si="219"/>
        <v>15.23</v>
      </c>
      <c r="I4727" s="152">
        <f t="shared" ca="1" si="220"/>
        <v>0</v>
      </c>
      <c r="J4727" s="154"/>
      <c r="K4727" s="155" t="s">
        <v>2966</v>
      </c>
    </row>
    <row r="4728" spans="1:11" hidden="1" x14ac:dyDescent="0.25">
      <c r="A4728" s="148" t="s">
        <v>2796</v>
      </c>
      <c r="B4728" s="149" t="s">
        <v>2797</v>
      </c>
      <c r="C4728" s="150" t="s">
        <v>18</v>
      </c>
      <c r="D4728" s="150">
        <v>0</v>
      </c>
      <c r="E4728" s="151">
        <f ca="1">OFFSET(INDEX(Composições!A:H,MATCH(Orçamentária!A4728,Composições!A:A,0),8),2,0)</f>
        <v>5.6382500000000002</v>
      </c>
      <c r="F4728" s="152">
        <f t="shared" ca="1" si="222"/>
        <v>0</v>
      </c>
      <c r="G4728" s="153">
        <f>IF($K4728="Padrão",BDI!$B$17,IF($K4728="Diferenciado",BDI!$E$17,0))</f>
        <v>0.2039</v>
      </c>
      <c r="H4728" s="151">
        <f t="shared" ca="1" si="219"/>
        <v>6.79</v>
      </c>
      <c r="I4728" s="152">
        <f t="shared" ca="1" si="220"/>
        <v>0</v>
      </c>
      <c r="J4728" s="154"/>
      <c r="K4728" s="155" t="s">
        <v>2966</v>
      </c>
    </row>
    <row r="4729" spans="1:11" ht="25.5" hidden="1" x14ac:dyDescent="0.25">
      <c r="A4729" s="148" t="s">
        <v>2798</v>
      </c>
      <c r="B4729" s="149" t="s">
        <v>10377</v>
      </c>
      <c r="C4729" s="150" t="s">
        <v>68</v>
      </c>
      <c r="D4729" s="150">
        <v>0</v>
      </c>
      <c r="E4729" s="151">
        <f ca="1">OFFSET(INDEX(Composições!A:H,MATCH(Orçamentária!A4729,Composições!A:A,0),8),2,0)</f>
        <v>1.049001051524711</v>
      </c>
      <c r="F4729" s="152">
        <f t="shared" ca="1" si="222"/>
        <v>0</v>
      </c>
      <c r="G4729" s="153">
        <f>IF($K4729="Padrão",BDI!$B$17,IF($K4729="Diferenciado",BDI!$E$17,0))</f>
        <v>0.2039</v>
      </c>
      <c r="H4729" s="151">
        <f t="shared" ca="1" si="219"/>
        <v>1.26</v>
      </c>
      <c r="I4729" s="152">
        <f t="shared" ca="1" si="220"/>
        <v>0</v>
      </c>
      <c r="J4729" s="154"/>
      <c r="K4729" s="155" t="s">
        <v>2966</v>
      </c>
    </row>
    <row r="4730" spans="1:11" hidden="1" x14ac:dyDescent="0.25">
      <c r="A4730" s="148" t="s">
        <v>10378</v>
      </c>
      <c r="B4730" s="149" t="s">
        <v>10379</v>
      </c>
      <c r="C4730" s="150" t="s">
        <v>18</v>
      </c>
      <c r="D4730" s="150">
        <v>0</v>
      </c>
      <c r="E4730" s="151" t="s">
        <v>13</v>
      </c>
      <c r="F4730" s="152" t="str">
        <f t="shared" si="222"/>
        <v/>
      </c>
      <c r="G4730" s="153">
        <f>IF($K4730="Padrão",BDI!$B$17,IF($K4730="Diferenciado",BDI!$E$17,0))</f>
        <v>0.2039</v>
      </c>
      <c r="H4730" s="151" t="str">
        <f t="shared" si="219"/>
        <v/>
      </c>
      <c r="I4730" s="152" t="str">
        <f t="shared" si="220"/>
        <v/>
      </c>
      <c r="J4730" s="154"/>
      <c r="K4730" s="155" t="s">
        <v>2966</v>
      </c>
    </row>
    <row r="4731" spans="1:11" ht="25.5" hidden="1" x14ac:dyDescent="0.25">
      <c r="A4731" s="148" t="s">
        <v>2805</v>
      </c>
      <c r="B4731" s="149" t="s">
        <v>10380</v>
      </c>
      <c r="C4731" s="150" t="s">
        <v>68</v>
      </c>
      <c r="D4731" s="150">
        <v>0</v>
      </c>
      <c r="E4731" s="151">
        <f ca="1">OFFSET(INDEX(Composições!A:H,MATCH(Orçamentária!A4731,Composições!A:A,0),8),2,0)</f>
        <v>1.5735015772870664</v>
      </c>
      <c r="F4731" s="152">
        <f t="shared" ca="1" si="222"/>
        <v>0</v>
      </c>
      <c r="G4731" s="153">
        <f>IF($K4731="Padrão",BDI!$B$17,IF($K4731="Diferenciado",BDI!$E$17,0))</f>
        <v>0.2039</v>
      </c>
      <c r="H4731" s="151">
        <f t="shared" ca="1" si="219"/>
        <v>1.89</v>
      </c>
      <c r="I4731" s="152">
        <f t="shared" ca="1" si="220"/>
        <v>0</v>
      </c>
      <c r="J4731" s="154"/>
      <c r="K4731" s="155" t="s">
        <v>2966</v>
      </c>
    </row>
    <row r="4732" spans="1:11" hidden="1" x14ac:dyDescent="0.25">
      <c r="A4732" s="148" t="s">
        <v>10381</v>
      </c>
      <c r="B4732" s="149" t="s">
        <v>10382</v>
      </c>
      <c r="C4732" s="150" t="s">
        <v>18</v>
      </c>
      <c r="D4732" s="150">
        <v>0</v>
      </c>
      <c r="E4732" s="151" t="s">
        <v>13</v>
      </c>
      <c r="F4732" s="152" t="str">
        <f t="shared" si="222"/>
        <v/>
      </c>
      <c r="G4732" s="153">
        <f>IF($K4732="Padrão",BDI!$B$17,IF($K4732="Diferenciado",BDI!$E$17,0))</f>
        <v>0.2039</v>
      </c>
      <c r="H4732" s="151" t="str">
        <f t="shared" si="219"/>
        <v/>
      </c>
      <c r="I4732" s="152" t="str">
        <f t="shared" si="220"/>
        <v/>
      </c>
      <c r="J4732" s="154"/>
      <c r="K4732" s="155" t="s">
        <v>2966</v>
      </c>
    </row>
    <row r="4733" spans="1:11" ht="25.5" hidden="1" x14ac:dyDescent="0.25">
      <c r="A4733" s="148" t="s">
        <v>10383</v>
      </c>
      <c r="B4733" s="149" t="s">
        <v>10384</v>
      </c>
      <c r="C4733" s="150" t="s">
        <v>18</v>
      </c>
      <c r="D4733" s="150">
        <v>0</v>
      </c>
      <c r="E4733" s="151" t="s">
        <v>13</v>
      </c>
      <c r="F4733" s="152" t="str">
        <f t="shared" si="222"/>
        <v/>
      </c>
      <c r="G4733" s="153">
        <f>IF($K4733="Padrão",BDI!$B$17,IF($K4733="Diferenciado",BDI!$E$17,0))</f>
        <v>0.2039</v>
      </c>
      <c r="H4733" s="151" t="str">
        <f t="shared" si="219"/>
        <v/>
      </c>
      <c r="I4733" s="152" t="str">
        <f t="shared" si="220"/>
        <v/>
      </c>
      <c r="J4733" s="154"/>
      <c r="K4733" s="155" t="s">
        <v>2966</v>
      </c>
    </row>
    <row r="4734" spans="1:11" hidden="1" x14ac:dyDescent="0.25">
      <c r="A4734" s="148" t="s">
        <v>10385</v>
      </c>
      <c r="B4734" s="149" t="s">
        <v>10386</v>
      </c>
      <c r="C4734" s="150" t="s">
        <v>18</v>
      </c>
      <c r="D4734" s="150">
        <v>0</v>
      </c>
      <c r="E4734" s="151" t="s">
        <v>13</v>
      </c>
      <c r="F4734" s="152" t="str">
        <f t="shared" si="222"/>
        <v/>
      </c>
      <c r="G4734" s="153">
        <f>IF($K4734="Padrão",BDI!$B$17,IF($K4734="Diferenciado",BDI!$E$17,0))</f>
        <v>0.2039</v>
      </c>
      <c r="H4734" s="151" t="str">
        <f t="shared" si="219"/>
        <v/>
      </c>
      <c r="I4734" s="152" t="str">
        <f t="shared" si="220"/>
        <v/>
      </c>
      <c r="J4734" s="154"/>
      <c r="K4734" s="155" t="s">
        <v>2966</v>
      </c>
    </row>
    <row r="4735" spans="1:11" hidden="1" x14ac:dyDescent="0.25">
      <c r="A4735" s="148" t="s">
        <v>2806</v>
      </c>
      <c r="B4735" s="149" t="s">
        <v>10387</v>
      </c>
      <c r="C4735" s="150" t="s">
        <v>18</v>
      </c>
      <c r="D4735" s="150">
        <v>0</v>
      </c>
      <c r="E4735" s="151">
        <f ca="1">OFFSET(INDEX(Composições!A:H,MATCH(Orçamentária!A4735,Composições!A:A,0),8),2,0)</f>
        <v>5.548</v>
      </c>
      <c r="F4735" s="152">
        <f t="shared" ca="1" si="222"/>
        <v>0</v>
      </c>
      <c r="G4735" s="153">
        <f>IF($K4735="Padrão",BDI!$B$17,IF($K4735="Diferenciado",BDI!$E$17,0))</f>
        <v>0.2039</v>
      </c>
      <c r="H4735" s="151">
        <f t="shared" ca="1" si="219"/>
        <v>6.68</v>
      </c>
      <c r="I4735" s="152">
        <f t="shared" ca="1" si="220"/>
        <v>0</v>
      </c>
      <c r="J4735" s="154"/>
      <c r="K4735" s="155" t="s">
        <v>2966</v>
      </c>
    </row>
    <row r="4736" spans="1:11" ht="25.5" hidden="1" x14ac:dyDescent="0.25">
      <c r="A4736" s="148" t="s">
        <v>2807</v>
      </c>
      <c r="B4736" s="149" t="s">
        <v>10388</v>
      </c>
      <c r="C4736" s="150" t="s">
        <v>18</v>
      </c>
      <c r="D4736" s="150">
        <v>0</v>
      </c>
      <c r="E4736" s="151">
        <f ca="1">OFFSET(INDEX(Composições!A:H,MATCH(Orçamentária!A4736,Composições!A:A,0),8),2,0)</f>
        <v>227.75299999999999</v>
      </c>
      <c r="F4736" s="152">
        <f t="shared" ca="1" si="222"/>
        <v>0</v>
      </c>
      <c r="G4736" s="153">
        <f>IF($K4736="Padrão",BDI!$B$17,IF($K4736="Diferenciado",BDI!$E$17,0))</f>
        <v>0.2039</v>
      </c>
      <c r="H4736" s="151">
        <f t="shared" ca="1" si="219"/>
        <v>274.19</v>
      </c>
      <c r="I4736" s="152">
        <f t="shared" ca="1" si="220"/>
        <v>0</v>
      </c>
      <c r="J4736" s="154"/>
      <c r="K4736" s="155" t="s">
        <v>2966</v>
      </c>
    </row>
    <row r="4737" spans="1:11" ht="25.5" hidden="1" x14ac:dyDescent="0.25">
      <c r="A4737" s="148" t="s">
        <v>2808</v>
      </c>
      <c r="B4737" s="149" t="s">
        <v>10389</v>
      </c>
      <c r="C4737" s="150" t="s">
        <v>18</v>
      </c>
      <c r="D4737" s="150">
        <v>0</v>
      </c>
      <c r="E4737" s="151">
        <f ca="1">OFFSET(INDEX(Composições!A:H,MATCH(Orçamentária!A4737,Composições!A:A,0),8),2,0)</f>
        <v>0</v>
      </c>
      <c r="F4737" s="152">
        <f t="shared" ca="1" si="222"/>
        <v>0</v>
      </c>
      <c r="G4737" s="153">
        <f>IF($K4737="Padrão",BDI!$B$17,IF($K4737="Diferenciado",BDI!$E$17,0))</f>
        <v>0.2039</v>
      </c>
      <c r="H4737" s="151">
        <f t="shared" ca="1" si="219"/>
        <v>0</v>
      </c>
      <c r="I4737" s="152">
        <f t="shared" ca="1" si="220"/>
        <v>0</v>
      </c>
      <c r="J4737" s="154"/>
      <c r="K4737" s="155" t="s">
        <v>2966</v>
      </c>
    </row>
    <row r="4738" spans="1:11" ht="25.5" hidden="1" x14ac:dyDescent="0.25">
      <c r="A4738" s="148" t="s">
        <v>10390</v>
      </c>
      <c r="B4738" s="149" t="s">
        <v>10391</v>
      </c>
      <c r="C4738" s="150" t="s">
        <v>18</v>
      </c>
      <c r="D4738" s="150">
        <v>0</v>
      </c>
      <c r="E4738" s="151" t="s">
        <v>13</v>
      </c>
      <c r="F4738" s="152" t="str">
        <f t="shared" si="222"/>
        <v/>
      </c>
      <c r="G4738" s="153">
        <f>IF($K4738="Padrão",BDI!$B$17,IF($K4738="Diferenciado",BDI!$E$17,0))</f>
        <v>0.2039</v>
      </c>
      <c r="H4738" s="151" t="str">
        <f t="shared" si="219"/>
        <v/>
      </c>
      <c r="I4738" s="152" t="str">
        <f t="shared" si="220"/>
        <v/>
      </c>
      <c r="J4738" s="154"/>
      <c r="K4738" s="155" t="s">
        <v>2966</v>
      </c>
    </row>
    <row r="4739" spans="1:11" ht="25.5" hidden="1" x14ac:dyDescent="0.25">
      <c r="A4739" s="148" t="s">
        <v>10392</v>
      </c>
      <c r="B4739" s="149" t="s">
        <v>10393</v>
      </c>
      <c r="C4739" s="150" t="s">
        <v>18</v>
      </c>
      <c r="D4739" s="150">
        <v>0</v>
      </c>
      <c r="E4739" s="151" t="s">
        <v>13</v>
      </c>
      <c r="F4739" s="152" t="str">
        <f t="shared" si="222"/>
        <v/>
      </c>
      <c r="G4739" s="153">
        <f>IF($K4739="Padrão",BDI!$B$17,IF($K4739="Diferenciado",BDI!$E$17,0))</f>
        <v>0.2039</v>
      </c>
      <c r="H4739" s="151" t="str">
        <f t="shared" si="219"/>
        <v/>
      </c>
      <c r="I4739" s="152" t="str">
        <f t="shared" si="220"/>
        <v/>
      </c>
      <c r="J4739" s="154"/>
      <c r="K4739" s="155" t="s">
        <v>2966</v>
      </c>
    </row>
    <row r="4740" spans="1:11" ht="25.5" hidden="1" x14ac:dyDescent="0.25">
      <c r="A4740" s="148" t="s">
        <v>2810</v>
      </c>
      <c r="B4740" s="149" t="s">
        <v>10394</v>
      </c>
      <c r="C4740" s="150" t="s">
        <v>18</v>
      </c>
      <c r="D4740" s="150">
        <v>0</v>
      </c>
      <c r="E4740" s="151">
        <f ca="1">OFFSET(INDEX(Composições!A:H,MATCH(Orçamentária!A4740,Composições!A:A,0),8),2,0)</f>
        <v>0</v>
      </c>
      <c r="F4740" s="152">
        <f t="shared" ca="1" si="222"/>
        <v>0</v>
      </c>
      <c r="G4740" s="153">
        <f>IF($K4740="Padrão",BDI!$B$17,IF($K4740="Diferenciado",BDI!$E$17,0))</f>
        <v>0.2039</v>
      </c>
      <c r="H4740" s="151">
        <f t="shared" ca="1" si="219"/>
        <v>0</v>
      </c>
      <c r="I4740" s="152">
        <f t="shared" ca="1" si="220"/>
        <v>0</v>
      </c>
      <c r="J4740" s="154"/>
      <c r="K4740" s="155" t="s">
        <v>2966</v>
      </c>
    </row>
    <row r="4741" spans="1:11" ht="25.5" hidden="1" x14ac:dyDescent="0.25">
      <c r="A4741" s="148" t="s">
        <v>10395</v>
      </c>
      <c r="B4741" s="149" t="s">
        <v>10396</v>
      </c>
      <c r="C4741" s="150" t="s">
        <v>18</v>
      </c>
      <c r="D4741" s="150">
        <v>0</v>
      </c>
      <c r="E4741" s="151" t="s">
        <v>13</v>
      </c>
      <c r="F4741" s="152" t="str">
        <f t="shared" si="222"/>
        <v/>
      </c>
      <c r="G4741" s="153">
        <f>IF($K4741="Padrão",BDI!$B$17,IF($K4741="Diferenciado",BDI!$E$17,0))</f>
        <v>0.2039</v>
      </c>
      <c r="H4741" s="151" t="str">
        <f t="shared" si="219"/>
        <v/>
      </c>
      <c r="I4741" s="152" t="str">
        <f t="shared" si="220"/>
        <v/>
      </c>
      <c r="J4741" s="154"/>
      <c r="K4741" s="155" t="s">
        <v>2966</v>
      </c>
    </row>
    <row r="4742" spans="1:11" ht="25.5" hidden="1" x14ac:dyDescent="0.25">
      <c r="A4742" s="148" t="s">
        <v>10397</v>
      </c>
      <c r="B4742" s="149" t="s">
        <v>10398</v>
      </c>
      <c r="C4742" s="150" t="s">
        <v>18</v>
      </c>
      <c r="D4742" s="150">
        <v>0</v>
      </c>
      <c r="E4742" s="151" t="s">
        <v>13</v>
      </c>
      <c r="F4742" s="152" t="str">
        <f t="shared" si="222"/>
        <v/>
      </c>
      <c r="G4742" s="153">
        <f>IF($K4742="Padrão",BDI!$B$17,IF($K4742="Diferenciado",BDI!$E$17,0))</f>
        <v>0.2039</v>
      </c>
      <c r="H4742" s="151" t="str">
        <f t="shared" ref="H4742:H4805" si="223">IF(ISNUMBER(E4742),ROUND(E4742*(1+G4742),2),"")</f>
        <v/>
      </c>
      <c r="I4742" s="152" t="str">
        <f t="shared" ref="I4742:I4805" si="224">IF(ISNUMBER(E4742),ROUND(H4742*D4742,2),"")</f>
        <v/>
      </c>
      <c r="J4742" s="154"/>
      <c r="K4742" s="155" t="s">
        <v>2966</v>
      </c>
    </row>
    <row r="4743" spans="1:11" ht="25.5" hidden="1" x14ac:dyDescent="0.25">
      <c r="A4743" s="148" t="s">
        <v>10399</v>
      </c>
      <c r="B4743" s="149" t="s">
        <v>10400</v>
      </c>
      <c r="C4743" s="150" t="s">
        <v>18</v>
      </c>
      <c r="D4743" s="150">
        <v>0</v>
      </c>
      <c r="E4743" s="151" t="s">
        <v>13</v>
      </c>
      <c r="F4743" s="152" t="str">
        <f t="shared" si="222"/>
        <v/>
      </c>
      <c r="G4743" s="153">
        <f>IF($K4743="Padrão",BDI!$B$17,IF($K4743="Diferenciado",BDI!$E$17,0))</f>
        <v>0.2039</v>
      </c>
      <c r="H4743" s="151" t="str">
        <f t="shared" si="223"/>
        <v/>
      </c>
      <c r="I4743" s="152" t="str">
        <f t="shared" si="224"/>
        <v/>
      </c>
      <c r="J4743" s="154"/>
      <c r="K4743" s="155" t="s">
        <v>2966</v>
      </c>
    </row>
    <row r="4744" spans="1:11" ht="25.5" hidden="1" x14ac:dyDescent="0.25">
      <c r="A4744" s="148" t="s">
        <v>10401</v>
      </c>
      <c r="B4744" s="149" t="s">
        <v>10402</v>
      </c>
      <c r="C4744" s="150" t="s">
        <v>18</v>
      </c>
      <c r="D4744" s="150">
        <v>0</v>
      </c>
      <c r="E4744" s="151" t="s">
        <v>13</v>
      </c>
      <c r="F4744" s="152" t="str">
        <f t="shared" si="222"/>
        <v/>
      </c>
      <c r="G4744" s="153">
        <f>IF($K4744="Padrão",BDI!$B$17,IF($K4744="Diferenciado",BDI!$E$17,0))</f>
        <v>0.2039</v>
      </c>
      <c r="H4744" s="151" t="str">
        <f t="shared" si="223"/>
        <v/>
      </c>
      <c r="I4744" s="152" t="str">
        <f t="shared" si="224"/>
        <v/>
      </c>
      <c r="J4744" s="154"/>
      <c r="K4744" s="155" t="s">
        <v>2966</v>
      </c>
    </row>
    <row r="4745" spans="1:11" ht="25.5" hidden="1" x14ac:dyDescent="0.25">
      <c r="A4745" s="148" t="s">
        <v>10403</v>
      </c>
      <c r="B4745" s="149" t="s">
        <v>10404</v>
      </c>
      <c r="C4745" s="150" t="s">
        <v>18</v>
      </c>
      <c r="D4745" s="150">
        <v>0</v>
      </c>
      <c r="E4745" s="151" t="s">
        <v>13</v>
      </c>
      <c r="F4745" s="152" t="str">
        <f t="shared" si="222"/>
        <v/>
      </c>
      <c r="G4745" s="153">
        <f>IF($K4745="Padrão",BDI!$B$17,IF($K4745="Diferenciado",BDI!$E$17,0))</f>
        <v>0.2039</v>
      </c>
      <c r="H4745" s="151" t="str">
        <f t="shared" si="223"/>
        <v/>
      </c>
      <c r="I4745" s="152" t="str">
        <f t="shared" si="224"/>
        <v/>
      </c>
      <c r="J4745" s="154"/>
      <c r="K4745" s="155" t="s">
        <v>2966</v>
      </c>
    </row>
    <row r="4746" spans="1:11" ht="25.5" hidden="1" x14ac:dyDescent="0.25">
      <c r="A4746" s="148" t="s">
        <v>10405</v>
      </c>
      <c r="B4746" s="149" t="s">
        <v>10406</v>
      </c>
      <c r="C4746" s="150" t="s">
        <v>18</v>
      </c>
      <c r="D4746" s="150">
        <v>0</v>
      </c>
      <c r="E4746" s="151" t="s">
        <v>13</v>
      </c>
      <c r="F4746" s="152" t="str">
        <f t="shared" si="222"/>
        <v/>
      </c>
      <c r="G4746" s="153">
        <f>IF($K4746="Padrão",BDI!$B$17,IF($K4746="Diferenciado",BDI!$E$17,0))</f>
        <v>0.2039</v>
      </c>
      <c r="H4746" s="151" t="str">
        <f t="shared" si="223"/>
        <v/>
      </c>
      <c r="I4746" s="152" t="str">
        <f t="shared" si="224"/>
        <v/>
      </c>
      <c r="J4746" s="154"/>
      <c r="K4746" s="155" t="s">
        <v>2966</v>
      </c>
    </row>
    <row r="4747" spans="1:11" hidden="1" x14ac:dyDescent="0.25">
      <c r="A4747" s="148" t="s">
        <v>2812</v>
      </c>
      <c r="B4747" s="149" t="s">
        <v>10407</v>
      </c>
      <c r="C4747" s="150" t="s">
        <v>72</v>
      </c>
      <c r="D4747" s="150">
        <v>0</v>
      </c>
      <c r="E4747" s="151">
        <f ca="1">OFFSET(INDEX(Composições!A:H,MATCH(Orçamentária!A4747,Composições!A:A,0),8),2,0)</f>
        <v>16.30585795</v>
      </c>
      <c r="F4747" s="152">
        <f t="shared" ca="1" si="222"/>
        <v>0</v>
      </c>
      <c r="G4747" s="153">
        <f>IF($K4747="Padrão",BDI!$B$17,IF($K4747="Diferenciado",BDI!$E$17,0))</f>
        <v>0.2039</v>
      </c>
      <c r="H4747" s="151">
        <f t="shared" ca="1" si="223"/>
        <v>19.63</v>
      </c>
      <c r="I4747" s="152">
        <f t="shared" ca="1" si="224"/>
        <v>0</v>
      </c>
      <c r="J4747" s="154"/>
      <c r="K4747" s="155" t="s">
        <v>2966</v>
      </c>
    </row>
    <row r="4748" spans="1:11" hidden="1" x14ac:dyDescent="0.25">
      <c r="A4748" s="148" t="s">
        <v>10408</v>
      </c>
      <c r="B4748" s="149" t="s">
        <v>10409</v>
      </c>
      <c r="C4748" s="150" t="s">
        <v>18</v>
      </c>
      <c r="D4748" s="150">
        <v>0</v>
      </c>
      <c r="E4748" s="151" t="s">
        <v>13</v>
      </c>
      <c r="F4748" s="152" t="str">
        <f t="shared" si="222"/>
        <v/>
      </c>
      <c r="G4748" s="153">
        <f>IF($K4748="Padrão",BDI!$B$17,IF($K4748="Diferenciado",BDI!$E$17,0))</f>
        <v>0.2039</v>
      </c>
      <c r="H4748" s="151" t="str">
        <f t="shared" si="223"/>
        <v/>
      </c>
      <c r="I4748" s="152" t="str">
        <f t="shared" si="224"/>
        <v/>
      </c>
      <c r="J4748" s="154"/>
      <c r="K4748" s="155" t="s">
        <v>2966</v>
      </c>
    </row>
    <row r="4749" spans="1:11" hidden="1" x14ac:dyDescent="0.25">
      <c r="A4749" s="148" t="s">
        <v>2813</v>
      </c>
      <c r="B4749" s="149" t="s">
        <v>6078</v>
      </c>
      <c r="C4749" s="150" t="s">
        <v>18</v>
      </c>
      <c r="D4749" s="150">
        <v>0</v>
      </c>
      <c r="E4749" s="151">
        <f ca="1">OFFSET(INDEX(Composições!A:H,MATCH(Orçamentária!A4749,Composições!A:A,0),8),2,0)</f>
        <v>25.176414086400001</v>
      </c>
      <c r="F4749" s="152">
        <f t="shared" ca="1" si="222"/>
        <v>0</v>
      </c>
      <c r="G4749" s="153">
        <f>IF($K4749="Padrão",BDI!$B$17,IF($K4749="Diferenciado",BDI!$E$17,0))</f>
        <v>0.2039</v>
      </c>
      <c r="H4749" s="151">
        <f t="shared" ca="1" si="223"/>
        <v>30.31</v>
      </c>
      <c r="I4749" s="152">
        <f t="shared" ca="1" si="224"/>
        <v>0</v>
      </c>
      <c r="J4749" s="154"/>
      <c r="K4749" s="155" t="s">
        <v>2966</v>
      </c>
    </row>
    <row r="4750" spans="1:11" hidden="1" x14ac:dyDescent="0.25">
      <c r="A4750" s="148" t="s">
        <v>2815</v>
      </c>
      <c r="B4750" s="149" t="s">
        <v>6080</v>
      </c>
      <c r="C4750" s="150" t="s">
        <v>18</v>
      </c>
      <c r="D4750" s="150">
        <v>0</v>
      </c>
      <c r="E4750" s="151">
        <f ca="1">OFFSET(INDEX(Composições!A:H,MATCH(Orçamentária!A4750,Composições!A:A,0),8),2,0)</f>
        <v>21.339956120699998</v>
      </c>
      <c r="F4750" s="152">
        <f t="shared" ref="F4750:F4813" ca="1" si="225">IF(ISNUMBER(E4750),D4750*E4750,"")</f>
        <v>0</v>
      </c>
      <c r="G4750" s="153">
        <f>IF($K4750="Padrão",BDI!$B$17,IF($K4750="Diferenciado",BDI!$E$17,0))</f>
        <v>0.2039</v>
      </c>
      <c r="H4750" s="151">
        <f t="shared" ca="1" si="223"/>
        <v>25.69</v>
      </c>
      <c r="I4750" s="152">
        <f t="shared" ca="1" si="224"/>
        <v>0</v>
      </c>
      <c r="J4750" s="154"/>
      <c r="K4750" s="155" t="s">
        <v>2966</v>
      </c>
    </row>
    <row r="4751" spans="1:11" hidden="1" x14ac:dyDescent="0.25">
      <c r="A4751" s="148" t="s">
        <v>2817</v>
      </c>
      <c r="B4751" s="149" t="s">
        <v>8197</v>
      </c>
      <c r="C4751" s="150" t="s">
        <v>8198</v>
      </c>
      <c r="D4751" s="150">
        <v>0</v>
      </c>
      <c r="E4751" s="151">
        <f ca="1">OFFSET(INDEX(Composições!A:H,MATCH(Orçamentária!A4751,Composições!A:A,0),8),2,0)</f>
        <v>73.651600000000002</v>
      </c>
      <c r="F4751" s="152">
        <f t="shared" ca="1" si="225"/>
        <v>0</v>
      </c>
      <c r="G4751" s="153">
        <f>IF($K4751="Padrão",BDI!$B$17,IF($K4751="Diferenciado",BDI!$E$17,0))</f>
        <v>0.2039</v>
      </c>
      <c r="H4751" s="151">
        <f t="shared" ca="1" si="223"/>
        <v>88.67</v>
      </c>
      <c r="I4751" s="152">
        <f t="shared" ca="1" si="224"/>
        <v>0</v>
      </c>
      <c r="J4751" s="154"/>
      <c r="K4751" s="155" t="s">
        <v>2966</v>
      </c>
    </row>
    <row r="4752" spans="1:11" hidden="1" x14ac:dyDescent="0.25">
      <c r="A4752" s="148" t="s">
        <v>2818</v>
      </c>
      <c r="B4752" s="149" t="s">
        <v>10410</v>
      </c>
      <c r="C4752" s="150" t="s">
        <v>18</v>
      </c>
      <c r="D4752" s="150">
        <v>0</v>
      </c>
      <c r="E4752" s="151">
        <f ca="1">OFFSET(INDEX(Composições!A:H,MATCH(Orçamentária!A4752,Composições!A:A,0),8),2,0)</f>
        <v>5055.9284999999991</v>
      </c>
      <c r="F4752" s="152">
        <f t="shared" ca="1" si="225"/>
        <v>0</v>
      </c>
      <c r="G4752" s="153">
        <f>IF($K4752="Padrão",BDI!$B$17,IF($K4752="Diferenciado",BDI!$E$17,0))</f>
        <v>0.2039</v>
      </c>
      <c r="H4752" s="151">
        <f t="shared" ca="1" si="223"/>
        <v>6086.83</v>
      </c>
      <c r="I4752" s="152">
        <f t="shared" ca="1" si="224"/>
        <v>0</v>
      </c>
      <c r="J4752" s="154"/>
      <c r="K4752" s="155" t="s">
        <v>2966</v>
      </c>
    </row>
    <row r="4753" spans="1:11" ht="25.5" hidden="1" x14ac:dyDescent="0.25">
      <c r="A4753" s="148" t="s">
        <v>2819</v>
      </c>
      <c r="B4753" s="149" t="s">
        <v>10411</v>
      </c>
      <c r="C4753" s="150" t="s">
        <v>18</v>
      </c>
      <c r="D4753" s="150">
        <v>0</v>
      </c>
      <c r="E4753" s="151">
        <f ca="1">OFFSET(INDEX(Composições!A:H,MATCH(Orçamentária!A4753,Composições!A:A,0),8),2,0)</f>
        <v>28.271999999999998</v>
      </c>
      <c r="F4753" s="152">
        <f t="shared" ca="1" si="225"/>
        <v>0</v>
      </c>
      <c r="G4753" s="153">
        <f>IF($K4753="Padrão",BDI!$B$17,IF($K4753="Diferenciado",BDI!$E$17,0))</f>
        <v>0.2039</v>
      </c>
      <c r="H4753" s="151">
        <f t="shared" ca="1" si="223"/>
        <v>34.04</v>
      </c>
      <c r="I4753" s="152">
        <f t="shared" ca="1" si="224"/>
        <v>0</v>
      </c>
      <c r="J4753" s="154"/>
      <c r="K4753" s="155" t="s">
        <v>2966</v>
      </c>
    </row>
    <row r="4754" spans="1:11" hidden="1" x14ac:dyDescent="0.25">
      <c r="A4754" s="148" t="s">
        <v>2820</v>
      </c>
      <c r="B4754" s="149" t="s">
        <v>10412</v>
      </c>
      <c r="C4754" s="150" t="s">
        <v>18</v>
      </c>
      <c r="D4754" s="150">
        <v>0</v>
      </c>
      <c r="E4754" s="151">
        <f ca="1">OFFSET(INDEX(Composições!A:H,MATCH(Orçamentária!A4754,Composições!A:A,0),8),2,0)</f>
        <v>20.500999999999998</v>
      </c>
      <c r="F4754" s="152">
        <f t="shared" ca="1" si="225"/>
        <v>0</v>
      </c>
      <c r="G4754" s="153">
        <f>IF($K4754="Padrão",BDI!$B$17,IF($K4754="Diferenciado",BDI!$E$17,0))</f>
        <v>0.2039</v>
      </c>
      <c r="H4754" s="151">
        <f t="shared" ca="1" si="223"/>
        <v>24.68</v>
      </c>
      <c r="I4754" s="152">
        <f t="shared" ca="1" si="224"/>
        <v>0</v>
      </c>
      <c r="J4754" s="154"/>
      <c r="K4754" s="155" t="s">
        <v>2966</v>
      </c>
    </row>
    <row r="4755" spans="1:11" hidden="1" x14ac:dyDescent="0.25">
      <c r="A4755" s="148" t="s">
        <v>2821</v>
      </c>
      <c r="B4755" s="149" t="s">
        <v>10413</v>
      </c>
      <c r="C4755" s="150" t="s">
        <v>18</v>
      </c>
      <c r="D4755" s="150">
        <v>0</v>
      </c>
      <c r="E4755" s="151">
        <f ca="1">OFFSET(INDEX(Composições!A:H,MATCH(Orçamentária!A4755,Composições!A:A,0),8),2,0)</f>
        <v>44.2605</v>
      </c>
      <c r="F4755" s="152">
        <f t="shared" ca="1" si="225"/>
        <v>0</v>
      </c>
      <c r="G4755" s="153">
        <f>IF($K4755="Padrão",BDI!$B$17,IF($K4755="Diferenciado",BDI!$E$17,0))</f>
        <v>0.2039</v>
      </c>
      <c r="H4755" s="151">
        <f t="shared" ca="1" si="223"/>
        <v>53.29</v>
      </c>
      <c r="I4755" s="152">
        <f t="shared" ca="1" si="224"/>
        <v>0</v>
      </c>
      <c r="J4755" s="154"/>
      <c r="K4755" s="155" t="s">
        <v>2966</v>
      </c>
    </row>
    <row r="4756" spans="1:11" hidden="1" x14ac:dyDescent="0.25">
      <c r="A4756" s="148" t="s">
        <v>2822</v>
      </c>
      <c r="B4756" s="149" t="s">
        <v>10414</v>
      </c>
      <c r="C4756" s="150" t="s">
        <v>18</v>
      </c>
      <c r="D4756" s="150">
        <v>0</v>
      </c>
      <c r="E4756" s="151">
        <f ca="1">OFFSET(INDEX(Composições!A:H,MATCH(Orçamentária!A4756,Composições!A:A,0),8),2,0)</f>
        <v>44.2605</v>
      </c>
      <c r="F4756" s="152">
        <f t="shared" ca="1" si="225"/>
        <v>0</v>
      </c>
      <c r="G4756" s="153">
        <f>IF($K4756="Padrão",BDI!$B$17,IF($K4756="Diferenciado",BDI!$E$17,0))</f>
        <v>0.2039</v>
      </c>
      <c r="H4756" s="151">
        <f t="shared" ca="1" si="223"/>
        <v>53.29</v>
      </c>
      <c r="I4756" s="152">
        <f t="shared" ca="1" si="224"/>
        <v>0</v>
      </c>
      <c r="J4756" s="154"/>
      <c r="K4756" s="155" t="s">
        <v>2966</v>
      </c>
    </row>
    <row r="4757" spans="1:11" hidden="1" x14ac:dyDescent="0.25">
      <c r="A4757" s="148" t="s">
        <v>2823</v>
      </c>
      <c r="B4757" s="149" t="s">
        <v>10415</v>
      </c>
      <c r="C4757" s="150" t="s">
        <v>18</v>
      </c>
      <c r="D4757" s="150">
        <v>0</v>
      </c>
      <c r="E4757" s="151">
        <f ca="1">OFFSET(INDEX(Composições!A:H,MATCH(Orçamentária!A4757,Composições!A:A,0),8),2,0)</f>
        <v>27.512</v>
      </c>
      <c r="F4757" s="152">
        <f t="shared" ca="1" si="225"/>
        <v>0</v>
      </c>
      <c r="G4757" s="153">
        <f>IF($K4757="Padrão",BDI!$B$17,IF($K4757="Diferenciado",BDI!$E$17,0))</f>
        <v>0.2039</v>
      </c>
      <c r="H4757" s="151">
        <f t="shared" ca="1" si="223"/>
        <v>33.119999999999997</v>
      </c>
      <c r="I4757" s="152">
        <f t="shared" ca="1" si="224"/>
        <v>0</v>
      </c>
      <c r="J4757" s="154"/>
      <c r="K4757" s="155" t="s">
        <v>2966</v>
      </c>
    </row>
    <row r="4758" spans="1:11" hidden="1" x14ac:dyDescent="0.25">
      <c r="A4758" s="148" t="s">
        <v>10416</v>
      </c>
      <c r="B4758" s="149" t="s">
        <v>10417</v>
      </c>
      <c r="C4758" s="150" t="s">
        <v>68</v>
      </c>
      <c r="D4758" s="150">
        <v>0</v>
      </c>
      <c r="E4758" s="151" t="s">
        <v>13</v>
      </c>
      <c r="F4758" s="152" t="str">
        <f t="shared" si="225"/>
        <v/>
      </c>
      <c r="G4758" s="153">
        <f>IF($K4758="Padrão",BDI!$B$17,IF($K4758="Diferenciado",BDI!$E$17,0))</f>
        <v>0.2039</v>
      </c>
      <c r="H4758" s="151" t="str">
        <f t="shared" si="223"/>
        <v/>
      </c>
      <c r="I4758" s="152" t="str">
        <f t="shared" si="224"/>
        <v/>
      </c>
      <c r="J4758" s="154"/>
      <c r="K4758" s="155" t="s">
        <v>2966</v>
      </c>
    </row>
    <row r="4759" spans="1:11" hidden="1" x14ac:dyDescent="0.25">
      <c r="A4759" s="148" t="s">
        <v>10418</v>
      </c>
      <c r="B4759" s="149" t="s">
        <v>10419</v>
      </c>
      <c r="C4759" s="150" t="s">
        <v>106</v>
      </c>
      <c r="D4759" s="150">
        <v>0</v>
      </c>
      <c r="E4759" s="151" t="s">
        <v>13</v>
      </c>
      <c r="F4759" s="152" t="str">
        <f t="shared" si="225"/>
        <v/>
      </c>
      <c r="G4759" s="153">
        <f>IF($K4759="Padrão",BDI!$B$17,IF($K4759="Diferenciado",BDI!$E$17,0))</f>
        <v>0.2039</v>
      </c>
      <c r="H4759" s="151" t="str">
        <f t="shared" si="223"/>
        <v/>
      </c>
      <c r="I4759" s="152" t="str">
        <f t="shared" si="224"/>
        <v/>
      </c>
      <c r="J4759" s="154"/>
      <c r="K4759" s="155" t="s">
        <v>2966</v>
      </c>
    </row>
    <row r="4760" spans="1:11" hidden="1" x14ac:dyDescent="0.25">
      <c r="A4760" s="148" t="s">
        <v>2824</v>
      </c>
      <c r="B4760" s="149" t="s">
        <v>10420</v>
      </c>
      <c r="C4760" s="150" t="s">
        <v>68</v>
      </c>
      <c r="D4760" s="150">
        <v>0</v>
      </c>
      <c r="E4760" s="151">
        <f ca="1">OFFSET(INDEX(Composições!A:H,MATCH(Orçamentária!A4760,Composições!A:A,0),8),2,0)</f>
        <v>3.1511690000000003</v>
      </c>
      <c r="F4760" s="152">
        <f t="shared" ca="1" si="225"/>
        <v>0</v>
      </c>
      <c r="G4760" s="153">
        <f>IF($K4760="Padrão",BDI!$B$17,IF($K4760="Diferenciado",BDI!$E$17,0))</f>
        <v>0.2039</v>
      </c>
      <c r="H4760" s="151">
        <f t="shared" ca="1" si="223"/>
        <v>3.79</v>
      </c>
      <c r="I4760" s="152">
        <f t="shared" ca="1" si="224"/>
        <v>0</v>
      </c>
      <c r="J4760" s="154"/>
      <c r="K4760" s="155" t="s">
        <v>2966</v>
      </c>
    </row>
    <row r="4761" spans="1:11" hidden="1" x14ac:dyDescent="0.25">
      <c r="A4761" s="148" t="s">
        <v>2825</v>
      </c>
      <c r="B4761" s="149" t="s">
        <v>10421</v>
      </c>
      <c r="C4761" s="150" t="s">
        <v>18</v>
      </c>
      <c r="D4761" s="150">
        <v>0</v>
      </c>
      <c r="E4761" s="151">
        <f ca="1">OFFSET(INDEX(Composições!A:H,MATCH(Orçamentária!A4761,Composições!A:A,0),8),2,0)</f>
        <v>36.178042500000004</v>
      </c>
      <c r="F4761" s="152">
        <f t="shared" ca="1" si="225"/>
        <v>0</v>
      </c>
      <c r="G4761" s="153">
        <f>IF($K4761="Padrão",BDI!$B$17,IF($K4761="Diferenciado",BDI!$E$17,0))</f>
        <v>0.2039</v>
      </c>
      <c r="H4761" s="151">
        <f t="shared" ca="1" si="223"/>
        <v>43.55</v>
      </c>
      <c r="I4761" s="152">
        <f t="shared" ca="1" si="224"/>
        <v>0</v>
      </c>
      <c r="J4761" s="154"/>
      <c r="K4761" s="155" t="s">
        <v>2966</v>
      </c>
    </row>
    <row r="4762" spans="1:11" hidden="1" x14ac:dyDescent="0.25">
      <c r="A4762" s="148" t="s">
        <v>2827</v>
      </c>
      <c r="B4762" s="149" t="s">
        <v>10422</v>
      </c>
      <c r="C4762" s="150" t="s">
        <v>18</v>
      </c>
      <c r="D4762" s="150">
        <v>0</v>
      </c>
      <c r="E4762" s="151">
        <f ca="1">OFFSET(INDEX(Composições!A:H,MATCH(Orçamentária!A4762,Composições!A:A,0),8),2,0)</f>
        <v>52.874197500000001</v>
      </c>
      <c r="F4762" s="152">
        <f t="shared" ca="1" si="225"/>
        <v>0</v>
      </c>
      <c r="G4762" s="153">
        <f>IF($K4762="Padrão",BDI!$B$17,IF($K4762="Diferenciado",BDI!$E$17,0))</f>
        <v>0.2039</v>
      </c>
      <c r="H4762" s="151">
        <f t="shared" ca="1" si="223"/>
        <v>63.66</v>
      </c>
      <c r="I4762" s="152">
        <f t="shared" ca="1" si="224"/>
        <v>0</v>
      </c>
      <c r="J4762" s="154"/>
      <c r="K4762" s="155" t="s">
        <v>2966</v>
      </c>
    </row>
    <row r="4763" spans="1:11" hidden="1" x14ac:dyDescent="0.25">
      <c r="A4763" s="148" t="s">
        <v>2829</v>
      </c>
      <c r="B4763" s="149" t="s">
        <v>10423</v>
      </c>
      <c r="C4763" s="150" t="s">
        <v>18</v>
      </c>
      <c r="D4763" s="150">
        <v>0</v>
      </c>
      <c r="E4763" s="151">
        <f ca="1">OFFSET(INDEX(Composições!A:H,MATCH(Orçamentária!A4763,Composições!A:A,0),8),2,0)</f>
        <v>8629.3799999999992</v>
      </c>
      <c r="F4763" s="152">
        <f t="shared" ca="1" si="225"/>
        <v>0</v>
      </c>
      <c r="G4763" s="153">
        <f>IF($K4763="Padrão",BDI!$B$17,IF($K4763="Diferenciado",BDI!$E$17,0))</f>
        <v>0.2039</v>
      </c>
      <c r="H4763" s="151">
        <f t="shared" ca="1" si="223"/>
        <v>10388.91</v>
      </c>
      <c r="I4763" s="152">
        <f t="shared" ca="1" si="224"/>
        <v>0</v>
      </c>
      <c r="J4763" s="154"/>
      <c r="K4763" s="155" t="s">
        <v>2966</v>
      </c>
    </row>
    <row r="4764" spans="1:11" hidden="1" x14ac:dyDescent="0.25">
      <c r="A4764" s="148" t="s">
        <v>10424</v>
      </c>
      <c r="B4764" s="149" t="s">
        <v>10425</v>
      </c>
      <c r="C4764" s="150" t="s">
        <v>18</v>
      </c>
      <c r="D4764" s="150">
        <v>0</v>
      </c>
      <c r="E4764" s="151" t="s">
        <v>13</v>
      </c>
      <c r="F4764" s="152" t="str">
        <f t="shared" si="225"/>
        <v/>
      </c>
      <c r="G4764" s="153">
        <f>IF($K4764="Padrão",BDI!$B$17,IF($K4764="Diferenciado",BDI!$E$17,0))</f>
        <v>0.2039</v>
      </c>
      <c r="H4764" s="151" t="str">
        <f t="shared" si="223"/>
        <v/>
      </c>
      <c r="I4764" s="152" t="str">
        <f t="shared" si="224"/>
        <v/>
      </c>
      <c r="J4764" s="154"/>
      <c r="K4764" s="155" t="s">
        <v>2966</v>
      </c>
    </row>
    <row r="4765" spans="1:11" hidden="1" x14ac:dyDescent="0.25">
      <c r="A4765" s="148" t="s">
        <v>2830</v>
      </c>
      <c r="B4765" s="149" t="s">
        <v>10426</v>
      </c>
      <c r="C4765" s="150" t="s">
        <v>68</v>
      </c>
      <c r="D4765" s="150">
        <v>0</v>
      </c>
      <c r="E4765" s="151">
        <f ca="1">OFFSET(INDEX(Composições!A:H,MATCH(Orçamentária!A4765,Composições!A:A,0),8),2,0)</f>
        <v>6.5870016999999992</v>
      </c>
      <c r="F4765" s="152">
        <f t="shared" ca="1" si="225"/>
        <v>0</v>
      </c>
      <c r="G4765" s="153">
        <f>IF($K4765="Padrão",BDI!$B$17,IF($K4765="Diferenciado",BDI!$E$17,0))</f>
        <v>0.2039</v>
      </c>
      <c r="H4765" s="151">
        <f t="shared" ca="1" si="223"/>
        <v>7.93</v>
      </c>
      <c r="I4765" s="152">
        <f t="shared" ca="1" si="224"/>
        <v>0</v>
      </c>
      <c r="J4765" s="154"/>
      <c r="K4765" s="155" t="s">
        <v>2966</v>
      </c>
    </row>
    <row r="4766" spans="1:11" hidden="1" x14ac:dyDescent="0.25">
      <c r="A4766" s="148" t="s">
        <v>10427</v>
      </c>
      <c r="B4766" s="149" t="s">
        <v>10428</v>
      </c>
      <c r="C4766" s="150" t="s">
        <v>18</v>
      </c>
      <c r="D4766" s="150">
        <v>0</v>
      </c>
      <c r="E4766" s="151" t="s">
        <v>13</v>
      </c>
      <c r="F4766" s="152" t="str">
        <f t="shared" si="225"/>
        <v/>
      </c>
      <c r="G4766" s="153">
        <f>IF($K4766="Padrão",BDI!$B$17,IF($K4766="Diferenciado",BDI!$E$17,0))</f>
        <v>0.2039</v>
      </c>
      <c r="H4766" s="151" t="str">
        <f t="shared" si="223"/>
        <v/>
      </c>
      <c r="I4766" s="152" t="str">
        <f t="shared" si="224"/>
        <v/>
      </c>
      <c r="J4766" s="154"/>
      <c r="K4766" s="155" t="s">
        <v>2966</v>
      </c>
    </row>
    <row r="4767" spans="1:11" hidden="1" x14ac:dyDescent="0.25">
      <c r="A4767" s="148" t="s">
        <v>10429</v>
      </c>
      <c r="B4767" s="149" t="s">
        <v>10430</v>
      </c>
      <c r="C4767" s="150" t="s">
        <v>68</v>
      </c>
      <c r="D4767" s="150">
        <v>0</v>
      </c>
      <c r="E4767" s="151" t="s">
        <v>13</v>
      </c>
      <c r="F4767" s="152" t="str">
        <f t="shared" si="225"/>
        <v/>
      </c>
      <c r="G4767" s="153">
        <f>IF($K4767="Padrão",BDI!$B$17,IF($K4767="Diferenciado",BDI!$E$17,0))</f>
        <v>0.2039</v>
      </c>
      <c r="H4767" s="151" t="str">
        <f t="shared" si="223"/>
        <v/>
      </c>
      <c r="I4767" s="152" t="str">
        <f t="shared" si="224"/>
        <v/>
      </c>
      <c r="J4767" s="154"/>
      <c r="K4767" s="155" t="s">
        <v>2966</v>
      </c>
    </row>
    <row r="4768" spans="1:11" hidden="1" x14ac:dyDescent="0.25">
      <c r="A4768" s="148" t="s">
        <v>2831</v>
      </c>
      <c r="B4768" s="149" t="s">
        <v>10431</v>
      </c>
      <c r="C4768" s="150" t="s">
        <v>68</v>
      </c>
      <c r="D4768" s="150">
        <v>0</v>
      </c>
      <c r="E4768" s="151">
        <f ca="1">OFFSET(INDEX(Composições!A:H,MATCH(Orçamentária!A4768,Composições!A:A,0),8),2,0)</f>
        <v>174.67649999999998</v>
      </c>
      <c r="F4768" s="152">
        <f t="shared" ca="1" si="225"/>
        <v>0</v>
      </c>
      <c r="G4768" s="153">
        <f>IF($K4768="Padrão",BDI!$B$17,IF($K4768="Diferenciado",BDI!$E$17,0))</f>
        <v>0.2039</v>
      </c>
      <c r="H4768" s="151">
        <f t="shared" ca="1" si="223"/>
        <v>210.29</v>
      </c>
      <c r="I4768" s="152">
        <f t="shared" ca="1" si="224"/>
        <v>0</v>
      </c>
      <c r="J4768" s="154"/>
      <c r="K4768" s="155" t="s">
        <v>2966</v>
      </c>
    </row>
    <row r="4769" spans="1:11" hidden="1" x14ac:dyDescent="0.25">
      <c r="A4769" s="148" t="s">
        <v>10432</v>
      </c>
      <c r="B4769" s="149" t="s">
        <v>10433</v>
      </c>
      <c r="C4769" s="150" t="s">
        <v>18</v>
      </c>
      <c r="D4769" s="150">
        <v>0</v>
      </c>
      <c r="E4769" s="151" t="s">
        <v>13</v>
      </c>
      <c r="F4769" s="152" t="str">
        <f t="shared" si="225"/>
        <v/>
      </c>
      <c r="G4769" s="153">
        <f>IF($K4769="Padrão",BDI!$B$17,IF($K4769="Diferenciado",BDI!$E$17,0))</f>
        <v>0.2039</v>
      </c>
      <c r="H4769" s="151" t="str">
        <f t="shared" si="223"/>
        <v/>
      </c>
      <c r="I4769" s="152" t="str">
        <f t="shared" si="224"/>
        <v/>
      </c>
      <c r="J4769" s="154"/>
      <c r="K4769" s="155" t="s">
        <v>2966</v>
      </c>
    </row>
    <row r="4770" spans="1:11" hidden="1" x14ac:dyDescent="0.25">
      <c r="A4770" s="148" t="s">
        <v>2836</v>
      </c>
      <c r="B4770" s="149" t="s">
        <v>10434</v>
      </c>
      <c r="C4770" s="150" t="s">
        <v>18</v>
      </c>
      <c r="D4770" s="150">
        <v>0</v>
      </c>
      <c r="E4770" s="151">
        <f ca="1">OFFSET(INDEX(Composições!A:H,MATCH(Orçamentária!A4770,Composições!A:A,0),8),2,0)</f>
        <v>85.887462249999999</v>
      </c>
      <c r="F4770" s="152">
        <f t="shared" ca="1" si="225"/>
        <v>0</v>
      </c>
      <c r="G4770" s="153">
        <f>IF($K4770="Padrão",BDI!$B$17,IF($K4770="Diferenciado",BDI!$E$17,0))</f>
        <v>0.2039</v>
      </c>
      <c r="H4770" s="151">
        <f t="shared" ca="1" si="223"/>
        <v>103.4</v>
      </c>
      <c r="I4770" s="152">
        <f t="shared" ca="1" si="224"/>
        <v>0</v>
      </c>
      <c r="J4770" s="154"/>
      <c r="K4770" s="155" t="s">
        <v>2966</v>
      </c>
    </row>
    <row r="4771" spans="1:11" hidden="1" x14ac:dyDescent="0.25">
      <c r="A4771" s="148" t="s">
        <v>2838</v>
      </c>
      <c r="B4771" s="149" t="s">
        <v>10435</v>
      </c>
      <c r="C4771" s="150" t="s">
        <v>18</v>
      </c>
      <c r="D4771" s="150">
        <v>0</v>
      </c>
      <c r="E4771" s="151">
        <f ca="1">OFFSET(INDEX(Composições!A:H,MATCH(Orçamentária!A4771,Composições!A:A,0),8),2,0)</f>
        <v>85.887462249999999</v>
      </c>
      <c r="F4771" s="152">
        <f t="shared" ca="1" si="225"/>
        <v>0</v>
      </c>
      <c r="G4771" s="153">
        <f>IF($K4771="Padrão",BDI!$B$17,IF($K4771="Diferenciado",BDI!$E$17,0))</f>
        <v>0.2039</v>
      </c>
      <c r="H4771" s="151">
        <f t="shared" ca="1" si="223"/>
        <v>103.4</v>
      </c>
      <c r="I4771" s="152">
        <f t="shared" ca="1" si="224"/>
        <v>0</v>
      </c>
      <c r="J4771" s="154"/>
      <c r="K4771" s="155" t="s">
        <v>2966</v>
      </c>
    </row>
    <row r="4772" spans="1:11" ht="25.5" hidden="1" x14ac:dyDescent="0.25">
      <c r="A4772" s="148" t="s">
        <v>2840</v>
      </c>
      <c r="B4772" s="149" t="s">
        <v>10436</v>
      </c>
      <c r="C4772" s="150" t="s">
        <v>18</v>
      </c>
      <c r="D4772" s="150">
        <v>0</v>
      </c>
      <c r="E4772" s="151">
        <f ca="1">OFFSET(INDEX(Composições!A:H,MATCH(Orçamentária!A4772,Composições!A:A,0),8),2,0)</f>
        <v>5571.94</v>
      </c>
      <c r="F4772" s="152">
        <f t="shared" ca="1" si="225"/>
        <v>0</v>
      </c>
      <c r="G4772" s="153">
        <f>IF($K4772="Padrão",BDI!$B$17,IF($K4772="Diferenciado",BDI!$E$17,0))</f>
        <v>0.2039</v>
      </c>
      <c r="H4772" s="151">
        <f t="shared" ca="1" si="223"/>
        <v>6708.06</v>
      </c>
      <c r="I4772" s="152">
        <f t="shared" ca="1" si="224"/>
        <v>0</v>
      </c>
      <c r="J4772" s="154"/>
      <c r="K4772" s="155" t="s">
        <v>2966</v>
      </c>
    </row>
    <row r="4773" spans="1:11" hidden="1" x14ac:dyDescent="0.25">
      <c r="A4773" s="148" t="s">
        <v>2841</v>
      </c>
      <c r="B4773" s="149" t="s">
        <v>10437</v>
      </c>
      <c r="C4773" s="150" t="s">
        <v>3025</v>
      </c>
      <c r="D4773" s="150">
        <v>0</v>
      </c>
      <c r="E4773" s="151">
        <f ca="1">OFFSET(INDEX(Composições!A:H,MATCH(Orçamentária!A4773,Composições!A:A,0),8),2,0)</f>
        <v>0</v>
      </c>
      <c r="F4773" s="152">
        <f t="shared" ca="1" si="225"/>
        <v>0</v>
      </c>
      <c r="G4773" s="153">
        <f>IF($K4773="Padrão",BDI!$B$17,IF($K4773="Diferenciado",BDI!$E$17,0))</f>
        <v>0.2039</v>
      </c>
      <c r="H4773" s="151">
        <f t="shared" ca="1" si="223"/>
        <v>0</v>
      </c>
      <c r="I4773" s="152">
        <f t="shared" ca="1" si="224"/>
        <v>0</v>
      </c>
      <c r="J4773" s="154"/>
      <c r="K4773" s="155" t="s">
        <v>2966</v>
      </c>
    </row>
    <row r="4774" spans="1:11" hidden="1" x14ac:dyDescent="0.25">
      <c r="A4774" s="148" t="s">
        <v>2843</v>
      </c>
      <c r="B4774" s="149" t="s">
        <v>10438</v>
      </c>
      <c r="C4774" s="150" t="s">
        <v>18</v>
      </c>
      <c r="D4774" s="150">
        <v>0</v>
      </c>
      <c r="E4774" s="151">
        <f ca="1">OFFSET(INDEX(Composições!A:H,MATCH(Orçamentária!A4774,Composições!A:A,0),8),2,0)</f>
        <v>5.2819999999999991</v>
      </c>
      <c r="F4774" s="152">
        <f t="shared" ca="1" si="225"/>
        <v>0</v>
      </c>
      <c r="G4774" s="153">
        <f>IF($K4774="Padrão",BDI!$B$17,IF($K4774="Diferenciado",BDI!$E$17,0))</f>
        <v>0.2039</v>
      </c>
      <c r="H4774" s="151">
        <f t="shared" ca="1" si="223"/>
        <v>6.36</v>
      </c>
      <c r="I4774" s="152">
        <f t="shared" ca="1" si="224"/>
        <v>0</v>
      </c>
      <c r="J4774" s="154"/>
      <c r="K4774" s="155" t="s">
        <v>2966</v>
      </c>
    </row>
    <row r="4775" spans="1:11" hidden="1" x14ac:dyDescent="0.25">
      <c r="A4775" s="148" t="s">
        <v>2844</v>
      </c>
      <c r="B4775" s="149" t="s">
        <v>10439</v>
      </c>
      <c r="C4775" s="150" t="s">
        <v>18</v>
      </c>
      <c r="D4775" s="150">
        <v>0</v>
      </c>
      <c r="E4775" s="151">
        <f ca="1">OFFSET(INDEX(Composições!A:H,MATCH(Orçamentária!A4775,Composições!A:A,0),8),2,0)</f>
        <v>0</v>
      </c>
      <c r="F4775" s="152">
        <f t="shared" ca="1" si="225"/>
        <v>0</v>
      </c>
      <c r="G4775" s="153">
        <f>IF($K4775="Padrão",BDI!$B$17,IF($K4775="Diferenciado",BDI!$E$17,0))</f>
        <v>0.2039</v>
      </c>
      <c r="H4775" s="151">
        <f t="shared" ca="1" si="223"/>
        <v>0</v>
      </c>
      <c r="I4775" s="152">
        <f t="shared" ca="1" si="224"/>
        <v>0</v>
      </c>
      <c r="J4775" s="154"/>
      <c r="K4775" s="155" t="s">
        <v>2966</v>
      </c>
    </row>
    <row r="4776" spans="1:11" hidden="1" x14ac:dyDescent="0.25">
      <c r="A4776" s="148" t="s">
        <v>2846</v>
      </c>
      <c r="B4776" s="149" t="s">
        <v>10440</v>
      </c>
      <c r="C4776" s="150" t="s">
        <v>18</v>
      </c>
      <c r="D4776" s="150">
        <v>0</v>
      </c>
      <c r="E4776" s="151">
        <f ca="1">OFFSET(INDEX(Composições!A:H,MATCH(Orçamentária!A4776,Composições!A:A,0),8),2,0)</f>
        <v>0</v>
      </c>
      <c r="F4776" s="152">
        <f t="shared" ca="1" si="225"/>
        <v>0</v>
      </c>
      <c r="G4776" s="153">
        <f>IF($K4776="Padrão",BDI!$B$17,IF($K4776="Diferenciado",BDI!$E$17,0))</f>
        <v>0.2039</v>
      </c>
      <c r="H4776" s="151">
        <f t="shared" ca="1" si="223"/>
        <v>0</v>
      </c>
      <c r="I4776" s="152">
        <f t="shared" ca="1" si="224"/>
        <v>0</v>
      </c>
      <c r="J4776" s="154"/>
      <c r="K4776" s="155" t="s">
        <v>2966</v>
      </c>
    </row>
    <row r="4777" spans="1:11" hidden="1" x14ac:dyDescent="0.25">
      <c r="A4777" s="148" t="s">
        <v>2848</v>
      </c>
      <c r="B4777" s="149" t="s">
        <v>10441</v>
      </c>
      <c r="C4777" s="150" t="s">
        <v>18</v>
      </c>
      <c r="D4777" s="150">
        <v>0</v>
      </c>
      <c r="E4777" s="151">
        <f ca="1">OFFSET(INDEX(Composições!A:H,MATCH(Orçamentária!A4777,Composições!A:A,0),8),2,0)</f>
        <v>0</v>
      </c>
      <c r="F4777" s="152">
        <f t="shared" ca="1" si="225"/>
        <v>0</v>
      </c>
      <c r="G4777" s="153">
        <f>IF($K4777="Padrão",BDI!$B$17,IF($K4777="Diferenciado",BDI!$E$17,0))</f>
        <v>0.2039</v>
      </c>
      <c r="H4777" s="151">
        <f t="shared" ca="1" si="223"/>
        <v>0</v>
      </c>
      <c r="I4777" s="152">
        <f t="shared" ca="1" si="224"/>
        <v>0</v>
      </c>
      <c r="J4777" s="154"/>
      <c r="K4777" s="155" t="s">
        <v>2966</v>
      </c>
    </row>
    <row r="4778" spans="1:11" hidden="1" x14ac:dyDescent="0.25">
      <c r="A4778" s="148" t="s">
        <v>2850</v>
      </c>
      <c r="B4778" s="149" t="s">
        <v>10442</v>
      </c>
      <c r="C4778" s="150" t="s">
        <v>18</v>
      </c>
      <c r="D4778" s="150">
        <v>0</v>
      </c>
      <c r="E4778" s="151">
        <f ca="1">OFFSET(INDEX(Composições!A:H,MATCH(Orçamentária!A4778,Composições!A:A,0),8),2,0)</f>
        <v>0</v>
      </c>
      <c r="F4778" s="152">
        <f t="shared" ca="1" si="225"/>
        <v>0</v>
      </c>
      <c r="G4778" s="153">
        <f>IF($K4778="Padrão",BDI!$B$17,IF($K4778="Diferenciado",BDI!$E$17,0))</f>
        <v>0.2039</v>
      </c>
      <c r="H4778" s="151">
        <f t="shared" ca="1" si="223"/>
        <v>0</v>
      </c>
      <c r="I4778" s="152">
        <f t="shared" ca="1" si="224"/>
        <v>0</v>
      </c>
      <c r="J4778" s="154"/>
      <c r="K4778" s="155" t="s">
        <v>2966</v>
      </c>
    </row>
    <row r="4779" spans="1:11" hidden="1" x14ac:dyDescent="0.25">
      <c r="A4779" s="148" t="s">
        <v>2852</v>
      </c>
      <c r="B4779" s="149" t="s">
        <v>10443</v>
      </c>
      <c r="C4779" s="150" t="s">
        <v>68</v>
      </c>
      <c r="D4779" s="150">
        <v>0</v>
      </c>
      <c r="E4779" s="151">
        <f ca="1">OFFSET(INDEX(Composições!A:H,MATCH(Orçamentária!A4779,Composições!A:A,0),8),2,0)</f>
        <v>13.031150000000002</v>
      </c>
      <c r="F4779" s="152">
        <f t="shared" ca="1" si="225"/>
        <v>0</v>
      </c>
      <c r="G4779" s="153">
        <f>IF($K4779="Padrão",BDI!$B$17,IF($K4779="Diferenciado",BDI!$E$17,0))</f>
        <v>0.2039</v>
      </c>
      <c r="H4779" s="151">
        <f t="shared" ca="1" si="223"/>
        <v>15.69</v>
      </c>
      <c r="I4779" s="152">
        <f t="shared" ca="1" si="224"/>
        <v>0</v>
      </c>
      <c r="J4779" s="154"/>
      <c r="K4779" s="155" t="s">
        <v>2966</v>
      </c>
    </row>
    <row r="4780" spans="1:11" hidden="1" x14ac:dyDescent="0.25">
      <c r="A4780" s="148" t="s">
        <v>2853</v>
      </c>
      <c r="B4780" s="149" t="s">
        <v>10444</v>
      </c>
      <c r="C4780" s="150" t="s">
        <v>68</v>
      </c>
      <c r="D4780" s="150">
        <v>0</v>
      </c>
      <c r="E4780" s="151">
        <f ca="1">OFFSET(INDEX(Composições!A:H,MATCH(Orçamentária!A4780,Composições!A:A,0),8),2,0)</f>
        <v>17.393550000000001</v>
      </c>
      <c r="F4780" s="152">
        <f t="shared" ca="1" si="225"/>
        <v>0</v>
      </c>
      <c r="G4780" s="153">
        <f>IF($K4780="Padrão",BDI!$B$17,IF($K4780="Diferenciado",BDI!$E$17,0))</f>
        <v>0.2039</v>
      </c>
      <c r="H4780" s="151">
        <f t="shared" ca="1" si="223"/>
        <v>20.94</v>
      </c>
      <c r="I4780" s="152">
        <f t="shared" ca="1" si="224"/>
        <v>0</v>
      </c>
      <c r="J4780" s="154"/>
      <c r="K4780" s="155" t="s">
        <v>2966</v>
      </c>
    </row>
    <row r="4781" spans="1:11" hidden="1" x14ac:dyDescent="0.25">
      <c r="A4781" s="148" t="s">
        <v>2855</v>
      </c>
      <c r="B4781" s="149" t="s">
        <v>10445</v>
      </c>
      <c r="C4781" s="150" t="s">
        <v>68</v>
      </c>
      <c r="D4781" s="150">
        <v>0</v>
      </c>
      <c r="E4781" s="151">
        <f ca="1">OFFSET(INDEX(Composições!A:H,MATCH(Orçamentária!A4781,Composições!A:A,0),8),2,0)</f>
        <v>10.606085</v>
      </c>
      <c r="F4781" s="152">
        <f t="shared" ca="1" si="225"/>
        <v>0</v>
      </c>
      <c r="G4781" s="153">
        <f>IF($K4781="Padrão",BDI!$B$17,IF($K4781="Diferenciado",BDI!$E$17,0))</f>
        <v>0.2039</v>
      </c>
      <c r="H4781" s="151">
        <f t="shared" ca="1" si="223"/>
        <v>12.77</v>
      </c>
      <c r="I4781" s="152">
        <f t="shared" ca="1" si="224"/>
        <v>0</v>
      </c>
      <c r="J4781" s="154"/>
      <c r="K4781" s="155" t="s">
        <v>2966</v>
      </c>
    </row>
    <row r="4782" spans="1:11" hidden="1" x14ac:dyDescent="0.25">
      <c r="A4782" s="148" t="s">
        <v>10446</v>
      </c>
      <c r="B4782" s="149" t="s">
        <v>10447</v>
      </c>
      <c r="C4782" s="150" t="s">
        <v>18</v>
      </c>
      <c r="D4782" s="150">
        <v>0</v>
      </c>
      <c r="E4782" s="151" t="s">
        <v>13</v>
      </c>
      <c r="F4782" s="152" t="str">
        <f t="shared" si="225"/>
        <v/>
      </c>
      <c r="G4782" s="153">
        <f>IF($K4782="Padrão",BDI!$B$17,IF($K4782="Diferenciado",BDI!$E$17,0))</f>
        <v>0.2039</v>
      </c>
      <c r="H4782" s="151" t="str">
        <f t="shared" si="223"/>
        <v/>
      </c>
      <c r="I4782" s="152" t="str">
        <f t="shared" si="224"/>
        <v/>
      </c>
      <c r="J4782" s="154"/>
      <c r="K4782" s="155" t="s">
        <v>2966</v>
      </c>
    </row>
    <row r="4783" spans="1:11" hidden="1" x14ac:dyDescent="0.25">
      <c r="A4783" s="148" t="s">
        <v>10448</v>
      </c>
      <c r="B4783" s="149" t="s">
        <v>10449</v>
      </c>
      <c r="C4783" s="150" t="s">
        <v>18</v>
      </c>
      <c r="D4783" s="150">
        <v>0</v>
      </c>
      <c r="E4783" s="151" t="s">
        <v>13</v>
      </c>
      <c r="F4783" s="152" t="str">
        <f t="shared" si="225"/>
        <v/>
      </c>
      <c r="G4783" s="153">
        <f>IF($K4783="Padrão",BDI!$B$17,IF($K4783="Diferenciado",BDI!$E$17,0))</f>
        <v>0.2039</v>
      </c>
      <c r="H4783" s="151" t="str">
        <f t="shared" si="223"/>
        <v/>
      </c>
      <c r="I4783" s="152" t="str">
        <f t="shared" si="224"/>
        <v/>
      </c>
      <c r="J4783" s="154"/>
      <c r="K4783" s="155" t="s">
        <v>2966</v>
      </c>
    </row>
    <row r="4784" spans="1:11" hidden="1" x14ac:dyDescent="0.25">
      <c r="A4784" s="148" t="s">
        <v>10450</v>
      </c>
      <c r="B4784" s="149" t="s">
        <v>10451</v>
      </c>
      <c r="C4784" s="150" t="s">
        <v>18</v>
      </c>
      <c r="D4784" s="150">
        <v>0</v>
      </c>
      <c r="E4784" s="151" t="s">
        <v>13</v>
      </c>
      <c r="F4784" s="152" t="str">
        <f t="shared" si="225"/>
        <v/>
      </c>
      <c r="G4784" s="153">
        <f>IF($K4784="Padrão",BDI!$B$17,IF($K4784="Diferenciado",BDI!$E$17,0))</f>
        <v>0.2039</v>
      </c>
      <c r="H4784" s="151" t="str">
        <f t="shared" si="223"/>
        <v/>
      </c>
      <c r="I4784" s="152" t="str">
        <f t="shared" si="224"/>
        <v/>
      </c>
      <c r="J4784" s="154"/>
      <c r="K4784" s="155" t="s">
        <v>2966</v>
      </c>
    </row>
    <row r="4785" spans="1:11" hidden="1" x14ac:dyDescent="0.25">
      <c r="A4785" s="148" t="s">
        <v>2856</v>
      </c>
      <c r="B4785" s="149" t="s">
        <v>10452</v>
      </c>
      <c r="C4785" s="150" t="s">
        <v>18</v>
      </c>
      <c r="D4785" s="150">
        <v>0</v>
      </c>
      <c r="E4785" s="151">
        <f ca="1">OFFSET(INDEX(Composições!A:H,MATCH(Orçamentária!A4785,Composições!A:A,0),8),2,0)</f>
        <v>24.118695000000002</v>
      </c>
      <c r="F4785" s="152">
        <f t="shared" ca="1" si="225"/>
        <v>0</v>
      </c>
      <c r="G4785" s="153">
        <f>IF($K4785="Padrão",BDI!$B$17,IF($K4785="Diferenciado",BDI!$E$17,0))</f>
        <v>0.2039</v>
      </c>
      <c r="H4785" s="151">
        <f t="shared" ca="1" si="223"/>
        <v>29.04</v>
      </c>
      <c r="I4785" s="152">
        <f t="shared" ca="1" si="224"/>
        <v>0</v>
      </c>
      <c r="J4785" s="154"/>
      <c r="K4785" s="155" t="s">
        <v>2966</v>
      </c>
    </row>
    <row r="4786" spans="1:11" hidden="1" x14ac:dyDescent="0.25">
      <c r="A4786" s="148" t="s">
        <v>10453</v>
      </c>
      <c r="B4786" s="149" t="s">
        <v>10454</v>
      </c>
      <c r="C4786" s="150" t="s">
        <v>68</v>
      </c>
      <c r="D4786" s="150">
        <v>0</v>
      </c>
      <c r="E4786" s="151" t="s">
        <v>13</v>
      </c>
      <c r="F4786" s="152" t="str">
        <f t="shared" si="225"/>
        <v/>
      </c>
      <c r="G4786" s="153">
        <f>IF($K4786="Padrão",BDI!$B$17,IF($K4786="Diferenciado",BDI!$E$17,0))</f>
        <v>0.2039</v>
      </c>
      <c r="H4786" s="151" t="str">
        <f t="shared" si="223"/>
        <v/>
      </c>
      <c r="I4786" s="152" t="str">
        <f t="shared" si="224"/>
        <v/>
      </c>
      <c r="J4786" s="154"/>
      <c r="K4786" s="155" t="s">
        <v>2966</v>
      </c>
    </row>
    <row r="4787" spans="1:11" hidden="1" x14ac:dyDescent="0.25">
      <c r="A4787" s="148" t="s">
        <v>2857</v>
      </c>
      <c r="B4787" s="149" t="s">
        <v>10455</v>
      </c>
      <c r="C4787" s="150" t="s">
        <v>72</v>
      </c>
      <c r="D4787" s="150">
        <v>0</v>
      </c>
      <c r="E4787" s="151">
        <f ca="1">OFFSET(INDEX(Composições!A:H,MATCH(Orçamentária!A4787,Composições!A:A,0),8),2,0)</f>
        <v>24.713608956309013</v>
      </c>
      <c r="F4787" s="152">
        <f t="shared" ca="1" si="225"/>
        <v>0</v>
      </c>
      <c r="G4787" s="153">
        <f>IF($K4787="Padrão",BDI!$B$17,IF($K4787="Diferenciado",BDI!$E$17,0))</f>
        <v>0.2039</v>
      </c>
      <c r="H4787" s="151">
        <f t="shared" ca="1" si="223"/>
        <v>29.75</v>
      </c>
      <c r="I4787" s="152">
        <f t="shared" ca="1" si="224"/>
        <v>0</v>
      </c>
      <c r="J4787" s="154"/>
      <c r="K4787" s="155" t="s">
        <v>2966</v>
      </c>
    </row>
    <row r="4788" spans="1:11" hidden="1" x14ac:dyDescent="0.25">
      <c r="A4788" s="148" t="s">
        <v>2858</v>
      </c>
      <c r="B4788" s="149" t="s">
        <v>10456</v>
      </c>
      <c r="C4788" s="150" t="s">
        <v>68</v>
      </c>
      <c r="D4788" s="150">
        <v>0</v>
      </c>
      <c r="E4788" s="151">
        <f ca="1">OFFSET(INDEX(Composições!A:H,MATCH(Orçamentária!A4788,Composições!A:A,0),8),2,0)</f>
        <v>99.195724399999989</v>
      </c>
      <c r="F4788" s="152">
        <f t="shared" ca="1" si="225"/>
        <v>0</v>
      </c>
      <c r="G4788" s="153">
        <f>IF($K4788="Padrão",BDI!$B$17,IF($K4788="Diferenciado",BDI!$E$17,0))</f>
        <v>0.2039</v>
      </c>
      <c r="H4788" s="151">
        <f t="shared" ca="1" si="223"/>
        <v>119.42</v>
      </c>
      <c r="I4788" s="152">
        <f t="shared" ca="1" si="224"/>
        <v>0</v>
      </c>
      <c r="J4788" s="154"/>
      <c r="K4788" s="155" t="s">
        <v>2966</v>
      </c>
    </row>
    <row r="4789" spans="1:11" hidden="1" x14ac:dyDescent="0.25">
      <c r="A4789" s="148" t="s">
        <v>2859</v>
      </c>
      <c r="B4789" s="149" t="s">
        <v>7674</v>
      </c>
      <c r="C4789" s="150" t="s">
        <v>106</v>
      </c>
      <c r="D4789" s="150">
        <v>0</v>
      </c>
      <c r="E4789" s="151">
        <f ca="1">OFFSET(INDEX(Composições!A:H,MATCH(Orçamentária!A4789,Composições!A:A,0),8),2,0)</f>
        <v>11.807510099999998</v>
      </c>
      <c r="F4789" s="152">
        <f t="shared" ca="1" si="225"/>
        <v>0</v>
      </c>
      <c r="G4789" s="153">
        <f>IF($K4789="Padrão",BDI!$B$17,IF($K4789="Diferenciado",BDI!$E$17,0))</f>
        <v>0.2039</v>
      </c>
      <c r="H4789" s="151">
        <f t="shared" ca="1" si="223"/>
        <v>14.22</v>
      </c>
      <c r="I4789" s="152">
        <f t="shared" ca="1" si="224"/>
        <v>0</v>
      </c>
      <c r="J4789" s="154"/>
      <c r="K4789" s="155" t="s">
        <v>2966</v>
      </c>
    </row>
    <row r="4790" spans="1:11" hidden="1" x14ac:dyDescent="0.25">
      <c r="A4790" s="148" t="s">
        <v>10457</v>
      </c>
      <c r="B4790" s="149" t="s">
        <v>10458</v>
      </c>
      <c r="C4790" s="150" t="s">
        <v>461</v>
      </c>
      <c r="D4790" s="150">
        <v>0</v>
      </c>
      <c r="E4790" s="151" t="s">
        <v>13</v>
      </c>
      <c r="F4790" s="152" t="str">
        <f t="shared" si="225"/>
        <v/>
      </c>
      <c r="G4790" s="153">
        <f>IF($K4790="Padrão",BDI!$B$17,IF($K4790="Diferenciado",BDI!$E$17,0))</f>
        <v>0.2039</v>
      </c>
      <c r="H4790" s="151" t="str">
        <f t="shared" si="223"/>
        <v/>
      </c>
      <c r="I4790" s="152" t="str">
        <f t="shared" si="224"/>
        <v/>
      </c>
      <c r="J4790" s="154"/>
      <c r="K4790" s="155" t="s">
        <v>2966</v>
      </c>
    </row>
    <row r="4791" spans="1:11" hidden="1" x14ac:dyDescent="0.25">
      <c r="A4791" s="148" t="s">
        <v>10459</v>
      </c>
      <c r="B4791" s="149" t="s">
        <v>10460</v>
      </c>
      <c r="C4791" s="150" t="s">
        <v>461</v>
      </c>
      <c r="D4791" s="150">
        <v>0</v>
      </c>
      <c r="E4791" s="151" t="s">
        <v>13</v>
      </c>
      <c r="F4791" s="152" t="str">
        <f t="shared" si="225"/>
        <v/>
      </c>
      <c r="G4791" s="153">
        <f>IF($K4791="Padrão",BDI!$B$17,IF($K4791="Diferenciado",BDI!$E$17,0))</f>
        <v>0.2039</v>
      </c>
      <c r="H4791" s="151" t="str">
        <f t="shared" si="223"/>
        <v/>
      </c>
      <c r="I4791" s="152" t="str">
        <f t="shared" si="224"/>
        <v/>
      </c>
      <c r="J4791" s="154"/>
      <c r="K4791" s="155" t="s">
        <v>2966</v>
      </c>
    </row>
    <row r="4792" spans="1:11" hidden="1" x14ac:dyDescent="0.25">
      <c r="A4792" s="148" t="s">
        <v>10461</v>
      </c>
      <c r="B4792" s="149" t="s">
        <v>10462</v>
      </c>
      <c r="C4792" s="150" t="s">
        <v>18</v>
      </c>
      <c r="D4792" s="150">
        <v>0</v>
      </c>
      <c r="E4792" s="151" t="s">
        <v>13</v>
      </c>
      <c r="F4792" s="152" t="str">
        <f t="shared" si="225"/>
        <v/>
      </c>
      <c r="G4792" s="153">
        <f>IF($K4792="Padrão",BDI!$B$17,IF($K4792="Diferenciado",BDI!$E$17,0))</f>
        <v>0.2039</v>
      </c>
      <c r="H4792" s="151" t="str">
        <f t="shared" si="223"/>
        <v/>
      </c>
      <c r="I4792" s="152" t="str">
        <f t="shared" si="224"/>
        <v/>
      </c>
      <c r="J4792" s="154"/>
      <c r="K4792" s="155" t="s">
        <v>2966</v>
      </c>
    </row>
    <row r="4793" spans="1:11" x14ac:dyDescent="0.25">
      <c r="A4793" s="148" t="s">
        <v>10463</v>
      </c>
      <c r="B4793" s="149" t="s">
        <v>10464</v>
      </c>
      <c r="C4793" s="150" t="s">
        <v>68</v>
      </c>
      <c r="D4793" s="150">
        <v>1537.39</v>
      </c>
      <c r="E4793" s="207">
        <v>19.649999999999999</v>
      </c>
      <c r="F4793" s="152">
        <f t="shared" si="225"/>
        <v>30209.713499999998</v>
      </c>
      <c r="G4793" s="153">
        <f>IF($K4793="Padrão",BDI!$B$17,IF($K4793="Diferenciado",BDI!$E$17,0))</f>
        <v>0</v>
      </c>
      <c r="H4793" s="151">
        <f t="shared" si="223"/>
        <v>19.649999999999999</v>
      </c>
      <c r="I4793" s="152">
        <f t="shared" si="224"/>
        <v>30209.71</v>
      </c>
      <c r="J4793" s="154"/>
      <c r="K4793" s="155" t="s">
        <v>2962</v>
      </c>
    </row>
    <row r="4794" spans="1:11" x14ac:dyDescent="0.25">
      <c r="A4794" s="148" t="s">
        <v>10465</v>
      </c>
      <c r="B4794" s="149" t="s">
        <v>10466</v>
      </c>
      <c r="C4794" s="150" t="s">
        <v>68</v>
      </c>
      <c r="D4794" s="150">
        <v>1537.39</v>
      </c>
      <c r="E4794" s="207">
        <v>7.94</v>
      </c>
      <c r="F4794" s="152">
        <f t="shared" si="225"/>
        <v>12206.876600000001</v>
      </c>
      <c r="G4794" s="153">
        <f>IF($K4794="Padrão",BDI!$B$17,IF($K4794="Diferenciado",BDI!$E$17,0))</f>
        <v>0</v>
      </c>
      <c r="H4794" s="151">
        <f t="shared" si="223"/>
        <v>7.94</v>
      </c>
      <c r="I4794" s="152">
        <f t="shared" si="224"/>
        <v>12206.88</v>
      </c>
      <c r="J4794" s="154"/>
      <c r="K4794" s="155" t="s">
        <v>2962</v>
      </c>
    </row>
    <row r="4795" spans="1:11" x14ac:dyDescent="0.25">
      <c r="A4795" s="148" t="s">
        <v>10467</v>
      </c>
      <c r="B4795" s="149" t="s">
        <v>10468</v>
      </c>
      <c r="C4795" s="150" t="s">
        <v>68</v>
      </c>
      <c r="D4795" s="150">
        <v>1537.39</v>
      </c>
      <c r="E4795" s="207">
        <v>5.58</v>
      </c>
      <c r="F4795" s="152">
        <f t="shared" si="225"/>
        <v>8578.6362000000008</v>
      </c>
      <c r="G4795" s="153">
        <f>IF($K4795="Padrão",BDI!$B$17,IF($K4795="Diferenciado",BDI!$E$17,0))</f>
        <v>0</v>
      </c>
      <c r="H4795" s="151">
        <f t="shared" si="223"/>
        <v>5.58</v>
      </c>
      <c r="I4795" s="152">
        <f t="shared" si="224"/>
        <v>8578.64</v>
      </c>
      <c r="J4795" s="154"/>
      <c r="K4795" s="155" t="s">
        <v>2962</v>
      </c>
    </row>
    <row r="4796" spans="1:11" hidden="1" x14ac:dyDescent="0.25">
      <c r="A4796" s="148" t="s">
        <v>10469</v>
      </c>
      <c r="B4796" s="149" t="s">
        <v>10470</v>
      </c>
      <c r="C4796" s="150" t="s">
        <v>18</v>
      </c>
      <c r="D4796" s="150">
        <v>0</v>
      </c>
      <c r="E4796" s="151" t="s">
        <v>13</v>
      </c>
      <c r="F4796" s="152" t="str">
        <f t="shared" si="225"/>
        <v/>
      </c>
      <c r="G4796" s="153">
        <f>IF($K4796="Padrão",BDI!$B$17,IF($K4796="Diferenciado",BDI!$E$17,0))</f>
        <v>0.2039</v>
      </c>
      <c r="H4796" s="151" t="str">
        <f t="shared" si="223"/>
        <v/>
      </c>
      <c r="I4796" s="152" t="str">
        <f t="shared" si="224"/>
        <v/>
      </c>
      <c r="J4796" s="154"/>
      <c r="K4796" s="155" t="s">
        <v>2966</v>
      </c>
    </row>
    <row r="4797" spans="1:11" hidden="1" x14ac:dyDescent="0.25">
      <c r="A4797" s="148" t="s">
        <v>10471</v>
      </c>
      <c r="B4797" s="149" t="s">
        <v>10472</v>
      </c>
      <c r="C4797" s="150" t="s">
        <v>18</v>
      </c>
      <c r="D4797" s="150">
        <v>0</v>
      </c>
      <c r="E4797" s="151" t="s">
        <v>13</v>
      </c>
      <c r="F4797" s="152" t="str">
        <f t="shared" si="225"/>
        <v/>
      </c>
      <c r="G4797" s="153">
        <f>IF($K4797="Padrão",BDI!$B$17,IF($K4797="Diferenciado",BDI!$E$17,0))</f>
        <v>0.2039</v>
      </c>
      <c r="H4797" s="151" t="str">
        <f t="shared" si="223"/>
        <v/>
      </c>
      <c r="I4797" s="152" t="str">
        <f t="shared" si="224"/>
        <v/>
      </c>
      <c r="J4797" s="154"/>
      <c r="K4797" s="155" t="s">
        <v>2966</v>
      </c>
    </row>
    <row r="4798" spans="1:11" hidden="1" x14ac:dyDescent="0.25">
      <c r="A4798" s="148" t="s">
        <v>10473</v>
      </c>
      <c r="B4798" s="149" t="s">
        <v>10474</v>
      </c>
      <c r="C4798" s="150" t="s">
        <v>18</v>
      </c>
      <c r="D4798" s="150">
        <v>0</v>
      </c>
      <c r="E4798" s="151" t="s">
        <v>13</v>
      </c>
      <c r="F4798" s="152" t="str">
        <f t="shared" si="225"/>
        <v/>
      </c>
      <c r="G4798" s="153">
        <f>IF($K4798="Padrão",BDI!$B$17,IF($K4798="Diferenciado",BDI!$E$17,0))</f>
        <v>0.2039</v>
      </c>
      <c r="H4798" s="151" t="str">
        <f t="shared" si="223"/>
        <v/>
      </c>
      <c r="I4798" s="152" t="str">
        <f t="shared" si="224"/>
        <v/>
      </c>
      <c r="J4798" s="154"/>
      <c r="K4798" s="155" t="s">
        <v>2966</v>
      </c>
    </row>
    <row r="4799" spans="1:11" hidden="1" x14ac:dyDescent="0.25">
      <c r="A4799" s="148" t="s">
        <v>10475</v>
      </c>
      <c r="B4799" s="149" t="s">
        <v>10476</v>
      </c>
      <c r="C4799" s="150" t="s">
        <v>18</v>
      </c>
      <c r="D4799" s="150">
        <v>0</v>
      </c>
      <c r="E4799" s="151" t="s">
        <v>13</v>
      </c>
      <c r="F4799" s="152" t="str">
        <f t="shared" si="225"/>
        <v/>
      </c>
      <c r="G4799" s="153">
        <f>IF($K4799="Padrão",BDI!$B$17,IF($K4799="Diferenciado",BDI!$E$17,0))</f>
        <v>0.2039</v>
      </c>
      <c r="H4799" s="151" t="str">
        <f t="shared" si="223"/>
        <v/>
      </c>
      <c r="I4799" s="152" t="str">
        <f t="shared" si="224"/>
        <v/>
      </c>
      <c r="J4799" s="154"/>
      <c r="K4799" s="155" t="s">
        <v>2966</v>
      </c>
    </row>
    <row r="4800" spans="1:11" ht="25.5" hidden="1" x14ac:dyDescent="0.25">
      <c r="A4800" s="148" t="s">
        <v>10477</v>
      </c>
      <c r="B4800" s="149" t="s">
        <v>10478</v>
      </c>
      <c r="C4800" s="150" t="s">
        <v>18</v>
      </c>
      <c r="D4800" s="150">
        <v>0</v>
      </c>
      <c r="E4800" s="151" t="s">
        <v>13</v>
      </c>
      <c r="F4800" s="152" t="str">
        <f t="shared" si="225"/>
        <v/>
      </c>
      <c r="G4800" s="153">
        <f>IF($K4800="Padrão",BDI!$B$17,IF($K4800="Diferenciado",BDI!$E$17,0))</f>
        <v>0.2039</v>
      </c>
      <c r="H4800" s="151" t="str">
        <f t="shared" si="223"/>
        <v/>
      </c>
      <c r="I4800" s="152" t="str">
        <f t="shared" si="224"/>
        <v/>
      </c>
      <c r="J4800" s="154"/>
      <c r="K4800" s="155" t="s">
        <v>2966</v>
      </c>
    </row>
    <row r="4801" spans="1:11" hidden="1" x14ac:dyDescent="0.25">
      <c r="A4801" s="148" t="s">
        <v>10479</v>
      </c>
      <c r="B4801" s="149" t="s">
        <v>10480</v>
      </c>
      <c r="C4801" s="150" t="s">
        <v>18</v>
      </c>
      <c r="D4801" s="150">
        <v>0</v>
      </c>
      <c r="E4801" s="151" t="s">
        <v>13</v>
      </c>
      <c r="F4801" s="152" t="str">
        <f t="shared" si="225"/>
        <v/>
      </c>
      <c r="G4801" s="153">
        <f>IF($K4801="Padrão",BDI!$B$17,IF($K4801="Diferenciado",BDI!$E$17,0))</f>
        <v>0.2039</v>
      </c>
      <c r="H4801" s="151" t="str">
        <f t="shared" si="223"/>
        <v/>
      </c>
      <c r="I4801" s="152" t="str">
        <f t="shared" si="224"/>
        <v/>
      </c>
      <c r="J4801" s="154"/>
      <c r="K4801" s="155" t="s">
        <v>2966</v>
      </c>
    </row>
    <row r="4802" spans="1:11" ht="25.5" hidden="1" x14ac:dyDescent="0.25">
      <c r="A4802" s="148" t="s">
        <v>10481</v>
      </c>
      <c r="B4802" s="149" t="s">
        <v>10482</v>
      </c>
      <c r="C4802" s="150" t="s">
        <v>18</v>
      </c>
      <c r="D4802" s="150">
        <v>0</v>
      </c>
      <c r="E4802" s="151" t="s">
        <v>13</v>
      </c>
      <c r="F4802" s="152" t="str">
        <f t="shared" si="225"/>
        <v/>
      </c>
      <c r="G4802" s="153">
        <f>IF($K4802="Padrão",BDI!$B$17,IF($K4802="Diferenciado",BDI!$E$17,0))</f>
        <v>0.2039</v>
      </c>
      <c r="H4802" s="151" t="str">
        <f t="shared" si="223"/>
        <v/>
      </c>
      <c r="I4802" s="152" t="str">
        <f t="shared" si="224"/>
        <v/>
      </c>
      <c r="J4802" s="154"/>
      <c r="K4802" s="155" t="s">
        <v>2966</v>
      </c>
    </row>
    <row r="4803" spans="1:11" hidden="1" x14ac:dyDescent="0.25">
      <c r="A4803" s="148" t="s">
        <v>2860</v>
      </c>
      <c r="B4803" s="149" t="s">
        <v>10483</v>
      </c>
      <c r="C4803" s="150" t="s">
        <v>18</v>
      </c>
      <c r="D4803" s="150">
        <v>0</v>
      </c>
      <c r="E4803" s="151">
        <f ca="1">OFFSET(INDEX(Composições!A:H,MATCH(Orçamentária!A4803,Composições!A:A,0),8),2,0)</f>
        <v>349.61234999999999</v>
      </c>
      <c r="F4803" s="152">
        <f t="shared" ca="1" si="225"/>
        <v>0</v>
      </c>
      <c r="G4803" s="153">
        <f>IF($K4803="Padrão",BDI!$B$17,IF($K4803="Diferenciado",BDI!$E$17,0))</f>
        <v>0.2039</v>
      </c>
      <c r="H4803" s="151">
        <f t="shared" ca="1" si="223"/>
        <v>420.9</v>
      </c>
      <c r="I4803" s="152">
        <f t="shared" ca="1" si="224"/>
        <v>0</v>
      </c>
      <c r="J4803" s="154"/>
      <c r="K4803" s="155" t="s">
        <v>2966</v>
      </c>
    </row>
    <row r="4804" spans="1:11" hidden="1" x14ac:dyDescent="0.25">
      <c r="A4804" s="148" t="s">
        <v>2861</v>
      </c>
      <c r="B4804" s="149" t="s">
        <v>10484</v>
      </c>
      <c r="C4804" s="150" t="s">
        <v>3982</v>
      </c>
      <c r="D4804" s="150">
        <v>0</v>
      </c>
      <c r="E4804" s="151" t="e">
        <f ca="1">OFFSET(INDEX(Composições!A:H,MATCH(Orçamentária!A4804,Composições!A:A,0),8),2,0)</f>
        <v>#REF!</v>
      </c>
      <c r="F4804" s="152" t="str">
        <f t="shared" ca="1" si="225"/>
        <v/>
      </c>
      <c r="G4804" s="153">
        <f>IF($K4804="Padrão",BDI!$B$17,IF($K4804="Diferenciado",BDI!$E$17,0))</f>
        <v>0.2039</v>
      </c>
      <c r="H4804" s="151" t="str">
        <f t="shared" ca="1" si="223"/>
        <v/>
      </c>
      <c r="I4804" s="152" t="str">
        <f t="shared" ca="1" si="224"/>
        <v/>
      </c>
      <c r="J4804" s="154"/>
      <c r="K4804" s="155" t="s">
        <v>2966</v>
      </c>
    </row>
    <row r="4805" spans="1:11" hidden="1" x14ac:dyDescent="0.25">
      <c r="A4805" s="148" t="s">
        <v>2862</v>
      </c>
      <c r="B4805" s="149" t="s">
        <v>10485</v>
      </c>
      <c r="C4805" s="150" t="s">
        <v>68</v>
      </c>
      <c r="D4805" s="150">
        <v>0</v>
      </c>
      <c r="E4805" s="151">
        <f ca="1">OFFSET(INDEX(Composições!A:H,MATCH(Orçamentária!A4805,Composições!A:A,0),8),2,0)</f>
        <v>13.357593749999999</v>
      </c>
      <c r="F4805" s="152">
        <f t="shared" ca="1" si="225"/>
        <v>0</v>
      </c>
      <c r="G4805" s="153">
        <f>IF($K4805="Padrão",BDI!$B$17,IF($K4805="Diferenciado",BDI!$E$17,0))</f>
        <v>0.2039</v>
      </c>
      <c r="H4805" s="151">
        <f t="shared" ca="1" si="223"/>
        <v>16.079999999999998</v>
      </c>
      <c r="I4805" s="152">
        <f t="shared" ca="1" si="224"/>
        <v>0</v>
      </c>
      <c r="J4805" s="154"/>
      <c r="K4805" s="155" t="s">
        <v>2966</v>
      </c>
    </row>
    <row r="4806" spans="1:11" ht="25.5" hidden="1" x14ac:dyDescent="0.25">
      <c r="A4806" s="148" t="s">
        <v>2864</v>
      </c>
      <c r="B4806" s="149" t="s">
        <v>10486</v>
      </c>
      <c r="C4806" s="150" t="s">
        <v>106</v>
      </c>
      <c r="D4806" s="150">
        <v>0</v>
      </c>
      <c r="E4806" s="151">
        <f ca="1">OFFSET(INDEX(Composições!A:H,MATCH(Orçamentária!A4806,Composições!A:A,0),8),2,0)</f>
        <v>11.906663500000001</v>
      </c>
      <c r="F4806" s="152">
        <f t="shared" ca="1" si="225"/>
        <v>0</v>
      </c>
      <c r="G4806" s="153">
        <f>IF($K4806="Padrão",BDI!$B$17,IF($K4806="Diferenciado",BDI!$E$17,0))</f>
        <v>0.2039</v>
      </c>
      <c r="H4806" s="151">
        <f t="shared" ref="H4806:H4869" ca="1" si="226">IF(ISNUMBER(E4806),ROUND(E4806*(1+G4806),2),"")</f>
        <v>14.33</v>
      </c>
      <c r="I4806" s="152">
        <f t="shared" ref="I4806:I4869" ca="1" si="227">IF(ISNUMBER(E4806),ROUND(H4806*D4806,2),"")</f>
        <v>0</v>
      </c>
      <c r="J4806" s="154"/>
      <c r="K4806" s="155" t="s">
        <v>2966</v>
      </c>
    </row>
    <row r="4807" spans="1:11" hidden="1" x14ac:dyDescent="0.25">
      <c r="A4807" s="148" t="s">
        <v>2866</v>
      </c>
      <c r="B4807" s="149" t="s">
        <v>10487</v>
      </c>
      <c r="C4807" s="150" t="s">
        <v>68</v>
      </c>
      <c r="D4807" s="150">
        <v>0</v>
      </c>
      <c r="E4807" s="151">
        <f ca="1">OFFSET(INDEX(Composições!A:H,MATCH(Orçamentária!A4807,Composições!A:A,0),8),2,0)</f>
        <v>13.357593749999999</v>
      </c>
      <c r="F4807" s="152">
        <f t="shared" ca="1" si="225"/>
        <v>0</v>
      </c>
      <c r="G4807" s="153">
        <f>IF($K4807="Padrão",BDI!$B$17,IF($K4807="Diferenciado",BDI!$E$17,0))</f>
        <v>0.2039</v>
      </c>
      <c r="H4807" s="151">
        <f t="shared" ca="1" si="226"/>
        <v>16.079999999999998</v>
      </c>
      <c r="I4807" s="152">
        <f t="shared" ca="1" si="227"/>
        <v>0</v>
      </c>
      <c r="J4807" s="154"/>
      <c r="K4807" s="155" t="s">
        <v>2966</v>
      </c>
    </row>
    <row r="4808" spans="1:11" ht="25.5" hidden="1" x14ac:dyDescent="0.25">
      <c r="A4808" s="148" t="s">
        <v>2868</v>
      </c>
      <c r="B4808" s="149" t="s">
        <v>10488</v>
      </c>
      <c r="C4808" s="150" t="s">
        <v>106</v>
      </c>
      <c r="D4808" s="150">
        <v>0</v>
      </c>
      <c r="E4808" s="151">
        <f ca="1">OFFSET(INDEX(Composições!A:H,MATCH(Orçamentária!A4808,Composições!A:A,0),8),2,0)</f>
        <v>11.906663500000001</v>
      </c>
      <c r="F4808" s="152">
        <f t="shared" ca="1" si="225"/>
        <v>0</v>
      </c>
      <c r="G4808" s="153">
        <f>IF($K4808="Padrão",BDI!$B$17,IF($K4808="Diferenciado",BDI!$E$17,0))</f>
        <v>0.2039</v>
      </c>
      <c r="H4808" s="151">
        <f t="shared" ca="1" si="226"/>
        <v>14.33</v>
      </c>
      <c r="I4808" s="152">
        <f t="shared" ca="1" si="227"/>
        <v>0</v>
      </c>
      <c r="J4808" s="154"/>
      <c r="K4808" s="155" t="s">
        <v>2966</v>
      </c>
    </row>
    <row r="4809" spans="1:11" hidden="1" x14ac:dyDescent="0.25">
      <c r="A4809" s="148" t="s">
        <v>10489</v>
      </c>
      <c r="B4809" s="149" t="s">
        <v>10490</v>
      </c>
      <c r="C4809" s="150" t="s">
        <v>18</v>
      </c>
      <c r="D4809" s="150">
        <v>0</v>
      </c>
      <c r="E4809" s="151" t="s">
        <v>13</v>
      </c>
      <c r="F4809" s="152" t="str">
        <f t="shared" si="225"/>
        <v/>
      </c>
      <c r="G4809" s="153">
        <f>IF($K4809="Padrão",BDI!$B$17,IF($K4809="Diferenciado",BDI!$E$17,0))</f>
        <v>0.2039</v>
      </c>
      <c r="H4809" s="151" t="str">
        <f t="shared" si="226"/>
        <v/>
      </c>
      <c r="I4809" s="152" t="str">
        <f t="shared" si="227"/>
        <v/>
      </c>
      <c r="J4809" s="154"/>
      <c r="K4809" s="155" t="s">
        <v>2966</v>
      </c>
    </row>
    <row r="4810" spans="1:11" hidden="1" x14ac:dyDescent="0.25">
      <c r="A4810" s="148" t="s">
        <v>10491</v>
      </c>
      <c r="B4810" s="149" t="s">
        <v>10492</v>
      </c>
      <c r="C4810" s="150" t="s">
        <v>18</v>
      </c>
      <c r="D4810" s="150">
        <v>0</v>
      </c>
      <c r="E4810" s="151" t="s">
        <v>13</v>
      </c>
      <c r="F4810" s="152" t="str">
        <f t="shared" si="225"/>
        <v/>
      </c>
      <c r="G4810" s="153">
        <f>IF($K4810="Padrão",BDI!$B$17,IF($K4810="Diferenciado",BDI!$E$17,0))</f>
        <v>0.2039</v>
      </c>
      <c r="H4810" s="151" t="str">
        <f t="shared" si="226"/>
        <v/>
      </c>
      <c r="I4810" s="152" t="str">
        <f t="shared" si="227"/>
        <v/>
      </c>
      <c r="J4810" s="154"/>
      <c r="K4810" s="155" t="s">
        <v>2966</v>
      </c>
    </row>
    <row r="4811" spans="1:11" hidden="1" x14ac:dyDescent="0.25">
      <c r="A4811" s="148" t="s">
        <v>10493</v>
      </c>
      <c r="B4811" s="149" t="s">
        <v>10494</v>
      </c>
      <c r="C4811" s="150" t="s">
        <v>18</v>
      </c>
      <c r="D4811" s="150">
        <v>0</v>
      </c>
      <c r="E4811" s="151" t="s">
        <v>13</v>
      </c>
      <c r="F4811" s="152" t="str">
        <f t="shared" si="225"/>
        <v/>
      </c>
      <c r="G4811" s="153">
        <f>IF($K4811="Padrão",BDI!$B$17,IF($K4811="Diferenciado",BDI!$E$17,0))</f>
        <v>0.2039</v>
      </c>
      <c r="H4811" s="151" t="str">
        <f t="shared" si="226"/>
        <v/>
      </c>
      <c r="I4811" s="152" t="str">
        <f t="shared" si="227"/>
        <v/>
      </c>
      <c r="J4811" s="154"/>
      <c r="K4811" s="155" t="s">
        <v>2966</v>
      </c>
    </row>
    <row r="4812" spans="1:11" hidden="1" x14ac:dyDescent="0.25">
      <c r="A4812" s="148" t="s">
        <v>10495</v>
      </c>
      <c r="B4812" s="149" t="s">
        <v>10496</v>
      </c>
      <c r="C4812" s="150" t="s">
        <v>18</v>
      </c>
      <c r="D4812" s="150">
        <v>0</v>
      </c>
      <c r="E4812" s="151" t="s">
        <v>13</v>
      </c>
      <c r="F4812" s="152" t="str">
        <f t="shared" si="225"/>
        <v/>
      </c>
      <c r="G4812" s="153">
        <f>IF($K4812="Padrão",BDI!$B$17,IF($K4812="Diferenciado",BDI!$E$17,0))</f>
        <v>0.2039</v>
      </c>
      <c r="H4812" s="151" t="str">
        <f t="shared" si="226"/>
        <v/>
      </c>
      <c r="I4812" s="152" t="str">
        <f t="shared" si="227"/>
        <v/>
      </c>
      <c r="J4812" s="154"/>
      <c r="K4812" s="155" t="s">
        <v>2966</v>
      </c>
    </row>
    <row r="4813" spans="1:11" hidden="1" x14ac:dyDescent="0.25">
      <c r="A4813" s="148" t="s">
        <v>10497</v>
      </c>
      <c r="B4813" s="149" t="s">
        <v>10498</v>
      </c>
      <c r="C4813" s="150" t="s">
        <v>18</v>
      </c>
      <c r="D4813" s="150">
        <v>0</v>
      </c>
      <c r="E4813" s="151" t="s">
        <v>13</v>
      </c>
      <c r="F4813" s="152" t="str">
        <f t="shared" si="225"/>
        <v/>
      </c>
      <c r="G4813" s="153">
        <f>IF($K4813="Padrão",BDI!$B$17,IF($K4813="Diferenciado",BDI!$E$17,0))</f>
        <v>0.2039</v>
      </c>
      <c r="H4813" s="151" t="str">
        <f t="shared" si="226"/>
        <v/>
      </c>
      <c r="I4813" s="152" t="str">
        <f t="shared" si="227"/>
        <v/>
      </c>
      <c r="J4813" s="154"/>
      <c r="K4813" s="155" t="s">
        <v>2966</v>
      </c>
    </row>
    <row r="4814" spans="1:11" hidden="1" x14ac:dyDescent="0.25">
      <c r="A4814" s="148" t="s">
        <v>10499</v>
      </c>
      <c r="B4814" s="149" t="s">
        <v>10500</v>
      </c>
      <c r="C4814" s="150" t="s">
        <v>18</v>
      </c>
      <c r="D4814" s="150">
        <v>0</v>
      </c>
      <c r="E4814" s="151" t="s">
        <v>13</v>
      </c>
      <c r="F4814" s="152" t="str">
        <f t="shared" ref="F4814:F4877" si="228">IF(ISNUMBER(E4814),D4814*E4814,"")</f>
        <v/>
      </c>
      <c r="G4814" s="153">
        <f>IF($K4814="Padrão",BDI!$B$17,IF($K4814="Diferenciado",BDI!$E$17,0))</f>
        <v>0.2039</v>
      </c>
      <c r="H4814" s="151" t="str">
        <f t="shared" si="226"/>
        <v/>
      </c>
      <c r="I4814" s="152" t="str">
        <f t="shared" si="227"/>
        <v/>
      </c>
      <c r="J4814" s="154"/>
      <c r="K4814" s="155" t="s">
        <v>2966</v>
      </c>
    </row>
    <row r="4815" spans="1:11" hidden="1" x14ac:dyDescent="0.25">
      <c r="A4815" s="148" t="s">
        <v>10501</v>
      </c>
      <c r="B4815" s="149" t="s">
        <v>10502</v>
      </c>
      <c r="C4815" s="150" t="s">
        <v>18</v>
      </c>
      <c r="D4815" s="150">
        <v>0</v>
      </c>
      <c r="E4815" s="151" t="s">
        <v>13</v>
      </c>
      <c r="F4815" s="152" t="str">
        <f t="shared" si="228"/>
        <v/>
      </c>
      <c r="G4815" s="153">
        <f>IF($K4815="Padrão",BDI!$B$17,IF($K4815="Diferenciado",BDI!$E$17,0))</f>
        <v>0.2039</v>
      </c>
      <c r="H4815" s="151" t="str">
        <f t="shared" si="226"/>
        <v/>
      </c>
      <c r="I4815" s="152" t="str">
        <f t="shared" si="227"/>
        <v/>
      </c>
      <c r="J4815" s="154"/>
      <c r="K4815" s="155" t="s">
        <v>2966</v>
      </c>
    </row>
    <row r="4816" spans="1:11" hidden="1" x14ac:dyDescent="0.25">
      <c r="A4816" s="148" t="s">
        <v>10503</v>
      </c>
      <c r="B4816" s="149" t="s">
        <v>10504</v>
      </c>
      <c r="C4816" s="150" t="s">
        <v>18</v>
      </c>
      <c r="D4816" s="150">
        <v>0</v>
      </c>
      <c r="E4816" s="151" t="s">
        <v>13</v>
      </c>
      <c r="F4816" s="152" t="str">
        <f t="shared" si="228"/>
        <v/>
      </c>
      <c r="G4816" s="153">
        <f>IF($K4816="Padrão",BDI!$B$17,IF($K4816="Diferenciado",BDI!$E$17,0))</f>
        <v>0.2039</v>
      </c>
      <c r="H4816" s="151" t="str">
        <f t="shared" si="226"/>
        <v/>
      </c>
      <c r="I4816" s="152" t="str">
        <f t="shared" si="227"/>
        <v/>
      </c>
      <c r="J4816" s="154"/>
      <c r="K4816" s="155" t="s">
        <v>2966</v>
      </c>
    </row>
    <row r="4817" spans="1:11" hidden="1" x14ac:dyDescent="0.25">
      <c r="A4817" s="148" t="s">
        <v>10505</v>
      </c>
      <c r="B4817" s="149" t="s">
        <v>10506</v>
      </c>
      <c r="C4817" s="150" t="s">
        <v>461</v>
      </c>
      <c r="D4817" s="150">
        <v>0</v>
      </c>
      <c r="E4817" s="151" t="s">
        <v>13</v>
      </c>
      <c r="F4817" s="152" t="str">
        <f t="shared" si="228"/>
        <v/>
      </c>
      <c r="G4817" s="153">
        <f>IF($K4817="Padrão",BDI!$B$17,IF($K4817="Diferenciado",BDI!$E$17,0))</f>
        <v>0.2039</v>
      </c>
      <c r="H4817" s="151" t="str">
        <f t="shared" si="226"/>
        <v/>
      </c>
      <c r="I4817" s="152" t="str">
        <f t="shared" si="227"/>
        <v/>
      </c>
      <c r="J4817" s="154"/>
      <c r="K4817" s="155" t="s">
        <v>2966</v>
      </c>
    </row>
    <row r="4818" spans="1:11" hidden="1" x14ac:dyDescent="0.25">
      <c r="A4818" s="148" t="s">
        <v>2870</v>
      </c>
      <c r="B4818" s="149" t="s">
        <v>10507</v>
      </c>
      <c r="C4818" s="150" t="s">
        <v>68</v>
      </c>
      <c r="D4818" s="150">
        <v>0</v>
      </c>
      <c r="E4818" s="151">
        <f ca="1">OFFSET(INDEX(Composições!A:H,MATCH(Orçamentária!A4818,Composições!A:A,0),8),2,0)</f>
        <v>5.3620835802225292E-2</v>
      </c>
      <c r="F4818" s="152">
        <f t="shared" ca="1" si="228"/>
        <v>0</v>
      </c>
      <c r="G4818" s="153">
        <f>IF($K4818="Padrão",BDI!$B$17,IF($K4818="Diferenciado",BDI!$E$17,0))</f>
        <v>0.2039</v>
      </c>
      <c r="H4818" s="151">
        <f t="shared" ca="1" si="226"/>
        <v>0.06</v>
      </c>
      <c r="I4818" s="152">
        <f t="shared" ca="1" si="227"/>
        <v>0</v>
      </c>
      <c r="J4818" s="154"/>
      <c r="K4818" s="155" t="s">
        <v>2966</v>
      </c>
    </row>
    <row r="4819" spans="1:11" hidden="1" x14ac:dyDescent="0.25">
      <c r="A4819" s="148" t="s">
        <v>2871</v>
      </c>
      <c r="B4819" s="149" t="s">
        <v>10508</v>
      </c>
      <c r="C4819" s="150" t="s">
        <v>68</v>
      </c>
      <c r="D4819" s="150">
        <v>0</v>
      </c>
      <c r="E4819" s="151">
        <f ca="1">OFFSET(INDEX(Composições!A:H,MATCH(Orçamentária!A4819,Composições!A:A,0),8),2,0)</f>
        <v>1.1279879510999999</v>
      </c>
      <c r="F4819" s="152">
        <f t="shared" ca="1" si="228"/>
        <v>0</v>
      </c>
      <c r="G4819" s="153">
        <f>IF($K4819="Padrão",BDI!$B$17,IF($K4819="Diferenciado",BDI!$E$17,0))</f>
        <v>0.2039</v>
      </c>
      <c r="H4819" s="151">
        <f t="shared" ca="1" si="226"/>
        <v>1.36</v>
      </c>
      <c r="I4819" s="152">
        <f t="shared" ca="1" si="227"/>
        <v>0</v>
      </c>
      <c r="J4819" s="154"/>
      <c r="K4819" s="155" t="s">
        <v>2966</v>
      </c>
    </row>
    <row r="4820" spans="1:11" hidden="1" x14ac:dyDescent="0.25">
      <c r="A4820" s="148" t="s">
        <v>2873</v>
      </c>
      <c r="B4820" s="149" t="s">
        <v>10509</v>
      </c>
      <c r="C4820" s="150" t="s">
        <v>10510</v>
      </c>
      <c r="D4820" s="150">
        <v>0</v>
      </c>
      <c r="E4820" s="151">
        <f ca="1">OFFSET(INDEX(Composições!A:H,MATCH(Orçamentária!A4820,Composições!A:A,0),8),2,0)</f>
        <v>9.9682975401606413</v>
      </c>
      <c r="F4820" s="152">
        <f t="shared" ca="1" si="228"/>
        <v>0</v>
      </c>
      <c r="G4820" s="153">
        <f>IF($K4820="Padrão",BDI!$B$17,IF($K4820="Diferenciado",BDI!$E$17,0))</f>
        <v>0.2039</v>
      </c>
      <c r="H4820" s="151">
        <f t="shared" ca="1" si="226"/>
        <v>12</v>
      </c>
      <c r="I4820" s="152">
        <f t="shared" ca="1" si="227"/>
        <v>0</v>
      </c>
      <c r="J4820" s="154"/>
      <c r="K4820" s="155" t="s">
        <v>2966</v>
      </c>
    </row>
    <row r="4821" spans="1:11" hidden="1" x14ac:dyDescent="0.25">
      <c r="A4821" s="148" t="s">
        <v>2890</v>
      </c>
      <c r="B4821" s="149" t="s">
        <v>10511</v>
      </c>
      <c r="C4821" s="150" t="s">
        <v>106</v>
      </c>
      <c r="D4821" s="150">
        <v>0</v>
      </c>
      <c r="E4821" s="151">
        <f ca="1">OFFSET(INDEX(Composições!A:H,MATCH(Orçamentária!A4821,Composições!A:A,0),8),2,0)</f>
        <v>122.20913809999999</v>
      </c>
      <c r="F4821" s="152">
        <f t="shared" ca="1" si="228"/>
        <v>0</v>
      </c>
      <c r="G4821" s="153">
        <f>IF($K4821="Padrão",BDI!$B$17,IF($K4821="Diferenciado",BDI!$E$17,0))</f>
        <v>0.2039</v>
      </c>
      <c r="H4821" s="151">
        <f t="shared" ca="1" si="226"/>
        <v>147.13</v>
      </c>
      <c r="I4821" s="152">
        <f t="shared" ca="1" si="227"/>
        <v>0</v>
      </c>
      <c r="J4821" s="154"/>
      <c r="K4821" s="155" t="s">
        <v>2966</v>
      </c>
    </row>
    <row r="4822" spans="1:11" hidden="1" x14ac:dyDescent="0.25">
      <c r="A4822" s="148" t="s">
        <v>2893</v>
      </c>
      <c r="B4822" s="149" t="s">
        <v>10512</v>
      </c>
      <c r="C4822" s="150" t="s">
        <v>18</v>
      </c>
      <c r="D4822" s="150">
        <v>0</v>
      </c>
      <c r="E4822" s="151">
        <f ca="1">OFFSET(INDEX(Composições!A:H,MATCH(Orçamentária!A4822,Composições!A:A,0),8),2,0)</f>
        <v>6.5682809999999998</v>
      </c>
      <c r="F4822" s="152">
        <f t="shared" ca="1" si="228"/>
        <v>0</v>
      </c>
      <c r="G4822" s="153">
        <f>IF($K4822="Padrão",BDI!$B$17,IF($K4822="Diferenciado",BDI!$E$17,0))</f>
        <v>0.2039</v>
      </c>
      <c r="H4822" s="151">
        <f t="shared" ca="1" si="226"/>
        <v>7.91</v>
      </c>
      <c r="I4822" s="152">
        <f t="shared" ca="1" si="227"/>
        <v>0</v>
      </c>
      <c r="J4822" s="154"/>
      <c r="K4822" s="155" t="s">
        <v>2966</v>
      </c>
    </row>
    <row r="4823" spans="1:11" hidden="1" x14ac:dyDescent="0.25">
      <c r="A4823" s="148" t="s">
        <v>2895</v>
      </c>
      <c r="B4823" s="149" t="s">
        <v>10513</v>
      </c>
      <c r="C4823" s="150" t="s">
        <v>18</v>
      </c>
      <c r="D4823" s="150">
        <v>0</v>
      </c>
      <c r="E4823" s="151">
        <f ca="1">OFFSET(INDEX(Composições!A:H,MATCH(Orçamentária!A4823,Composições!A:A,0),8),2,0)</f>
        <v>39.220749999999995</v>
      </c>
      <c r="F4823" s="152">
        <f t="shared" ca="1" si="228"/>
        <v>0</v>
      </c>
      <c r="G4823" s="153">
        <f>IF($K4823="Padrão",BDI!$B$17,IF($K4823="Diferenciado",BDI!$E$17,0))</f>
        <v>0.2039</v>
      </c>
      <c r="H4823" s="151">
        <f t="shared" ca="1" si="226"/>
        <v>47.22</v>
      </c>
      <c r="I4823" s="152">
        <f t="shared" ca="1" si="227"/>
        <v>0</v>
      </c>
      <c r="J4823" s="154"/>
      <c r="K4823" s="155" t="s">
        <v>2966</v>
      </c>
    </row>
    <row r="4824" spans="1:11" hidden="1" x14ac:dyDescent="0.25">
      <c r="A4824" s="148" t="s">
        <v>2898</v>
      </c>
      <c r="B4824" s="149" t="s">
        <v>10514</v>
      </c>
      <c r="C4824" s="150" t="s">
        <v>18</v>
      </c>
      <c r="D4824" s="150">
        <v>0</v>
      </c>
      <c r="E4824" s="151">
        <f ca="1">OFFSET(INDEX(Composições!A:H,MATCH(Orçamentária!A4824,Composições!A:A,0),8),2,0)</f>
        <v>52.454249999999995</v>
      </c>
      <c r="F4824" s="152">
        <f t="shared" ca="1" si="228"/>
        <v>0</v>
      </c>
      <c r="G4824" s="153">
        <f>IF($K4824="Padrão",BDI!$B$17,IF($K4824="Diferenciado",BDI!$E$17,0))</f>
        <v>0.2039</v>
      </c>
      <c r="H4824" s="151">
        <f t="shared" ca="1" si="226"/>
        <v>63.15</v>
      </c>
      <c r="I4824" s="152">
        <f t="shared" ca="1" si="227"/>
        <v>0</v>
      </c>
      <c r="J4824" s="154"/>
      <c r="K4824" s="155" t="s">
        <v>2966</v>
      </c>
    </row>
    <row r="4825" spans="1:11" hidden="1" x14ac:dyDescent="0.25">
      <c r="A4825" s="148" t="s">
        <v>2900</v>
      </c>
      <c r="B4825" s="149" t="s">
        <v>10515</v>
      </c>
      <c r="C4825" s="150" t="s">
        <v>18</v>
      </c>
      <c r="D4825" s="150">
        <v>0</v>
      </c>
      <c r="E4825" s="151">
        <f ca="1">OFFSET(INDEX(Composições!A:H,MATCH(Orçamentária!A4825,Composições!A:A,0),8),2,0)</f>
        <v>14.5274</v>
      </c>
      <c r="F4825" s="152">
        <f t="shared" ca="1" si="228"/>
        <v>0</v>
      </c>
      <c r="G4825" s="153">
        <f>IF($K4825="Padrão",BDI!$B$17,IF($K4825="Diferenciado",BDI!$E$17,0))</f>
        <v>0.2039</v>
      </c>
      <c r="H4825" s="151">
        <f t="shared" ca="1" si="226"/>
        <v>17.489999999999998</v>
      </c>
      <c r="I4825" s="152">
        <f t="shared" ca="1" si="227"/>
        <v>0</v>
      </c>
      <c r="J4825" s="154"/>
      <c r="K4825" s="155" t="s">
        <v>2966</v>
      </c>
    </row>
    <row r="4826" spans="1:11" hidden="1" x14ac:dyDescent="0.25">
      <c r="A4826" s="148" t="s">
        <v>2902</v>
      </c>
      <c r="B4826" s="149" t="s">
        <v>10516</v>
      </c>
      <c r="C4826" s="150" t="s">
        <v>18</v>
      </c>
      <c r="D4826" s="150">
        <v>0</v>
      </c>
      <c r="E4826" s="151">
        <f ca="1">OFFSET(INDEX(Composições!A:H,MATCH(Orçamentária!A4826,Composições!A:A,0),8),2,0)</f>
        <v>7.5817600000000009</v>
      </c>
      <c r="F4826" s="152">
        <f t="shared" ca="1" si="228"/>
        <v>0</v>
      </c>
      <c r="G4826" s="153">
        <f>IF($K4826="Padrão",BDI!$B$17,IF($K4826="Diferenciado",BDI!$E$17,0))</f>
        <v>0.2039</v>
      </c>
      <c r="H4826" s="151">
        <f t="shared" ca="1" si="226"/>
        <v>9.1300000000000008</v>
      </c>
      <c r="I4826" s="152">
        <f t="shared" ca="1" si="227"/>
        <v>0</v>
      </c>
      <c r="J4826" s="154"/>
      <c r="K4826" s="155" t="s">
        <v>2966</v>
      </c>
    </row>
    <row r="4827" spans="1:11" hidden="1" x14ac:dyDescent="0.25">
      <c r="A4827" s="148" t="s">
        <v>2904</v>
      </c>
      <c r="B4827" s="149" t="s">
        <v>10517</v>
      </c>
      <c r="C4827" s="150" t="s">
        <v>106</v>
      </c>
      <c r="D4827" s="150">
        <v>0</v>
      </c>
      <c r="E4827" s="151">
        <f ca="1">OFFSET(INDEX(Composições!A:H,MATCH(Orçamentária!A4827,Composições!A:A,0),8),2,0)</f>
        <v>39.263309999999997</v>
      </c>
      <c r="F4827" s="152">
        <f t="shared" ca="1" si="228"/>
        <v>0</v>
      </c>
      <c r="G4827" s="153">
        <f>IF($K4827="Padrão",BDI!$B$17,IF($K4827="Diferenciado",BDI!$E$17,0))</f>
        <v>0.2039</v>
      </c>
      <c r="H4827" s="151">
        <f t="shared" ca="1" si="226"/>
        <v>47.27</v>
      </c>
      <c r="I4827" s="152">
        <f t="shared" ca="1" si="227"/>
        <v>0</v>
      </c>
      <c r="J4827" s="154"/>
      <c r="K4827" s="155" t="s">
        <v>2966</v>
      </c>
    </row>
    <row r="4828" spans="1:11" hidden="1" x14ac:dyDescent="0.25">
      <c r="A4828" s="148" t="s">
        <v>2906</v>
      </c>
      <c r="B4828" s="149" t="s">
        <v>10518</v>
      </c>
      <c r="C4828" s="150" t="s">
        <v>18</v>
      </c>
      <c r="D4828" s="150">
        <v>0</v>
      </c>
      <c r="E4828" s="151">
        <f ca="1">OFFSET(INDEX(Composições!A:H,MATCH(Orçamentária!A4828,Composições!A:A,0),8),2,0)</f>
        <v>427.8455055</v>
      </c>
      <c r="F4828" s="152">
        <f t="shared" ca="1" si="228"/>
        <v>0</v>
      </c>
      <c r="G4828" s="153">
        <f>IF($K4828="Padrão",BDI!$B$17,IF($K4828="Diferenciado",BDI!$E$17,0))</f>
        <v>0.2039</v>
      </c>
      <c r="H4828" s="151">
        <f t="shared" ca="1" si="226"/>
        <v>515.08000000000004</v>
      </c>
      <c r="I4828" s="152">
        <f t="shared" ca="1" si="227"/>
        <v>0</v>
      </c>
      <c r="J4828" s="154"/>
      <c r="K4828" s="155" t="s">
        <v>2966</v>
      </c>
    </row>
    <row r="4829" spans="1:11" hidden="1" x14ac:dyDescent="0.25">
      <c r="A4829" s="148" t="s">
        <v>2908</v>
      </c>
      <c r="B4829" s="149" t="s">
        <v>10519</v>
      </c>
      <c r="C4829" s="150" t="s">
        <v>18</v>
      </c>
      <c r="D4829" s="150">
        <v>0</v>
      </c>
      <c r="E4829" s="151">
        <f ca="1">OFFSET(INDEX(Composições!A:H,MATCH(Orçamentária!A4829,Composições!A:A,0),8),2,0)</f>
        <v>582.32150000000001</v>
      </c>
      <c r="F4829" s="152">
        <f t="shared" ca="1" si="228"/>
        <v>0</v>
      </c>
      <c r="G4829" s="153">
        <f>IF($K4829="Padrão",BDI!$B$17,IF($K4829="Diferenciado",BDI!$E$17,0))</f>
        <v>0.2039</v>
      </c>
      <c r="H4829" s="151">
        <f t="shared" ca="1" si="226"/>
        <v>701.06</v>
      </c>
      <c r="I4829" s="152">
        <f t="shared" ca="1" si="227"/>
        <v>0</v>
      </c>
      <c r="J4829" s="154"/>
      <c r="K4829" s="155" t="s">
        <v>2966</v>
      </c>
    </row>
    <row r="4830" spans="1:11" hidden="1" x14ac:dyDescent="0.25">
      <c r="A4830" s="148" t="s">
        <v>10520</v>
      </c>
      <c r="B4830" s="149" t="s">
        <v>10521</v>
      </c>
      <c r="C4830" s="150" t="s">
        <v>18</v>
      </c>
      <c r="D4830" s="150">
        <v>0</v>
      </c>
      <c r="E4830" s="151" t="s">
        <v>13</v>
      </c>
      <c r="F4830" s="152" t="str">
        <f t="shared" si="228"/>
        <v/>
      </c>
      <c r="G4830" s="153">
        <f>IF($K4830="Padrão",BDI!$B$17,IF($K4830="Diferenciado",BDI!$E$17,0))</f>
        <v>0.2039</v>
      </c>
      <c r="H4830" s="151" t="str">
        <f t="shared" si="226"/>
        <v/>
      </c>
      <c r="I4830" s="152" t="str">
        <f t="shared" si="227"/>
        <v/>
      </c>
      <c r="J4830" s="154"/>
      <c r="K4830" s="155" t="s">
        <v>2966</v>
      </c>
    </row>
    <row r="4831" spans="1:11" hidden="1" x14ac:dyDescent="0.25">
      <c r="A4831" s="148" t="s">
        <v>2909</v>
      </c>
      <c r="B4831" s="149" t="s">
        <v>10522</v>
      </c>
      <c r="C4831" s="150" t="s">
        <v>106</v>
      </c>
      <c r="D4831" s="150">
        <v>0</v>
      </c>
      <c r="E4831" s="151">
        <f ca="1">OFFSET(INDEX(Composições!A:H,MATCH(Orçamentária!A4831,Composições!A:A,0),8),2,0)</f>
        <v>102.735185</v>
      </c>
      <c r="F4831" s="152">
        <f t="shared" ca="1" si="228"/>
        <v>0</v>
      </c>
      <c r="G4831" s="153">
        <f>IF($K4831="Padrão",BDI!$B$17,IF($K4831="Diferenciado",BDI!$E$17,0))</f>
        <v>0.2039</v>
      </c>
      <c r="H4831" s="151">
        <f t="shared" ca="1" si="226"/>
        <v>123.68</v>
      </c>
      <c r="I4831" s="152">
        <f t="shared" ca="1" si="227"/>
        <v>0</v>
      </c>
      <c r="J4831" s="154"/>
      <c r="K4831" s="155" t="s">
        <v>2966</v>
      </c>
    </row>
    <row r="4832" spans="1:11" hidden="1" x14ac:dyDescent="0.25">
      <c r="A4832" s="148" t="s">
        <v>2910</v>
      </c>
      <c r="B4832" s="149" t="s">
        <v>10523</v>
      </c>
      <c r="C4832" s="150" t="s">
        <v>68</v>
      </c>
      <c r="D4832" s="150">
        <v>0</v>
      </c>
      <c r="E4832" s="151">
        <f ca="1">OFFSET(INDEX(Composições!A:H,MATCH(Orçamentária!A4832,Composições!A:A,0),8),2,0)</f>
        <v>331.17961589999999</v>
      </c>
      <c r="F4832" s="152">
        <f t="shared" ca="1" si="228"/>
        <v>0</v>
      </c>
      <c r="G4832" s="153">
        <f>IF($K4832="Padrão",BDI!$B$17,IF($K4832="Diferenciado",BDI!$E$17,0))</f>
        <v>0.2039</v>
      </c>
      <c r="H4832" s="151">
        <f t="shared" ca="1" si="226"/>
        <v>398.71</v>
      </c>
      <c r="I4832" s="152">
        <f t="shared" ca="1" si="227"/>
        <v>0</v>
      </c>
      <c r="J4832" s="154"/>
      <c r="K4832" s="155" t="s">
        <v>2966</v>
      </c>
    </row>
    <row r="4833" spans="1:11" hidden="1" x14ac:dyDescent="0.25">
      <c r="A4833" s="148" t="s">
        <v>2911</v>
      </c>
      <c r="B4833" s="149" t="s">
        <v>10524</v>
      </c>
      <c r="C4833" s="150" t="s">
        <v>106</v>
      </c>
      <c r="D4833" s="150">
        <v>0</v>
      </c>
      <c r="E4833" s="151">
        <f ca="1">OFFSET(INDEX(Composições!A:H,MATCH(Orçamentária!A4833,Composições!A:A,0),8),2,0)</f>
        <v>2.2399062000000001</v>
      </c>
      <c r="F4833" s="152">
        <f t="shared" ca="1" si="228"/>
        <v>0</v>
      </c>
      <c r="G4833" s="153">
        <f>IF($K4833="Padrão",BDI!$B$17,IF($K4833="Diferenciado",BDI!$E$17,0))</f>
        <v>0.2039</v>
      </c>
      <c r="H4833" s="151">
        <f t="shared" ca="1" si="226"/>
        <v>2.7</v>
      </c>
      <c r="I4833" s="152">
        <f t="shared" ca="1" si="227"/>
        <v>0</v>
      </c>
      <c r="J4833" s="154"/>
      <c r="K4833" s="155" t="s">
        <v>2966</v>
      </c>
    </row>
    <row r="4834" spans="1:11" hidden="1" x14ac:dyDescent="0.25">
      <c r="A4834" s="148" t="s">
        <v>2913</v>
      </c>
      <c r="B4834" s="149" t="s">
        <v>10525</v>
      </c>
      <c r="C4834" s="150" t="s">
        <v>68</v>
      </c>
      <c r="D4834" s="150">
        <v>0</v>
      </c>
      <c r="E4834" s="151">
        <f ca="1">OFFSET(INDEX(Composições!A:H,MATCH(Orçamentária!A4834,Composições!A:A,0),8),2,0)</f>
        <v>168.03609024999997</v>
      </c>
      <c r="F4834" s="152">
        <f t="shared" ca="1" si="228"/>
        <v>0</v>
      </c>
      <c r="G4834" s="153">
        <f>IF($K4834="Padrão",BDI!$B$17,IF($K4834="Diferenciado",BDI!$E$17,0))</f>
        <v>0.2039</v>
      </c>
      <c r="H4834" s="151">
        <f t="shared" ca="1" si="226"/>
        <v>202.3</v>
      </c>
      <c r="I4834" s="152">
        <f t="shared" ca="1" si="227"/>
        <v>0</v>
      </c>
      <c r="J4834" s="154"/>
      <c r="K4834" s="155" t="s">
        <v>2966</v>
      </c>
    </row>
    <row r="4835" spans="1:11" hidden="1" x14ac:dyDescent="0.25">
      <c r="A4835" s="148" t="s">
        <v>2914</v>
      </c>
      <c r="B4835" s="149" t="s">
        <v>10526</v>
      </c>
      <c r="C4835" s="150" t="s">
        <v>1788</v>
      </c>
      <c r="D4835" s="150">
        <v>0</v>
      </c>
      <c r="E4835" s="151">
        <f ca="1">OFFSET(INDEX(Composições!A:H,MATCH(Orçamentária!A4835,Composições!A:A,0),8),2,0)</f>
        <v>1.4497042626963084</v>
      </c>
      <c r="F4835" s="152">
        <f t="shared" ca="1" si="228"/>
        <v>0</v>
      </c>
      <c r="G4835" s="153">
        <f>IF($K4835="Padrão",BDI!$B$17,IF($K4835="Diferenciado",BDI!$E$17,0))</f>
        <v>0.2039</v>
      </c>
      <c r="H4835" s="151">
        <f t="shared" ca="1" si="226"/>
        <v>1.75</v>
      </c>
      <c r="I4835" s="152">
        <f t="shared" ca="1" si="227"/>
        <v>0</v>
      </c>
      <c r="J4835" s="154"/>
      <c r="K4835" s="155" t="s">
        <v>2966</v>
      </c>
    </row>
    <row r="4836" spans="1:11" hidden="1" x14ac:dyDescent="0.25">
      <c r="A4836" s="148" t="s">
        <v>2921</v>
      </c>
      <c r="B4836" s="149" t="s">
        <v>10527</v>
      </c>
      <c r="C4836" s="150" t="s">
        <v>18</v>
      </c>
      <c r="D4836" s="150">
        <v>0</v>
      </c>
      <c r="E4836" s="151">
        <f ca="1">OFFSET(INDEX(Composições!A:H,MATCH(Orçamentária!A4836,Composições!A:A,0),8),2,0)</f>
        <v>41.312460000000002</v>
      </c>
      <c r="F4836" s="152">
        <f t="shared" ca="1" si="228"/>
        <v>0</v>
      </c>
      <c r="G4836" s="153">
        <f>IF($K4836="Padrão",BDI!$B$17,IF($K4836="Diferenciado",BDI!$E$17,0))</f>
        <v>0.2039</v>
      </c>
      <c r="H4836" s="151">
        <f t="shared" ca="1" si="226"/>
        <v>49.74</v>
      </c>
      <c r="I4836" s="152">
        <f t="shared" ca="1" si="227"/>
        <v>0</v>
      </c>
      <c r="J4836" s="154"/>
      <c r="K4836" s="155" t="s">
        <v>2966</v>
      </c>
    </row>
    <row r="4837" spans="1:11" hidden="1" x14ac:dyDescent="0.25">
      <c r="A4837" s="148" t="s">
        <v>2922</v>
      </c>
      <c r="B4837" s="149" t="s">
        <v>10528</v>
      </c>
      <c r="C4837" s="150" t="s">
        <v>18</v>
      </c>
      <c r="D4837" s="150">
        <v>0</v>
      </c>
      <c r="E4837" s="151">
        <f ca="1">OFFSET(INDEX(Composições!A:H,MATCH(Orçamentária!A4837,Composições!A:A,0),8),2,0)</f>
        <v>41.312460000000002</v>
      </c>
      <c r="F4837" s="152">
        <f t="shared" ca="1" si="228"/>
        <v>0</v>
      </c>
      <c r="G4837" s="153">
        <f>IF($K4837="Padrão",BDI!$B$17,IF($K4837="Diferenciado",BDI!$E$17,0))</f>
        <v>0.2039</v>
      </c>
      <c r="H4837" s="151">
        <f t="shared" ca="1" si="226"/>
        <v>49.74</v>
      </c>
      <c r="I4837" s="152">
        <f t="shared" ca="1" si="227"/>
        <v>0</v>
      </c>
      <c r="J4837" s="154"/>
      <c r="K4837" s="155" t="s">
        <v>2966</v>
      </c>
    </row>
    <row r="4838" spans="1:11" hidden="1" x14ac:dyDescent="0.25">
      <c r="A4838" s="148" t="s">
        <v>2923</v>
      </c>
      <c r="B4838" s="149" t="s">
        <v>10529</v>
      </c>
      <c r="C4838" s="150" t="s">
        <v>18</v>
      </c>
      <c r="D4838" s="150">
        <v>0</v>
      </c>
      <c r="E4838" s="151">
        <f ca="1">OFFSET(INDEX(Composições!A:H,MATCH(Orçamentária!A4838,Composições!A:A,0),8),2,0)</f>
        <v>65.145679999999999</v>
      </c>
      <c r="F4838" s="152">
        <f t="shared" ca="1" si="228"/>
        <v>0</v>
      </c>
      <c r="G4838" s="153">
        <f>IF($K4838="Padrão",BDI!$B$17,IF($K4838="Diferenciado",BDI!$E$17,0))</f>
        <v>0.2039</v>
      </c>
      <c r="H4838" s="151">
        <f t="shared" ca="1" si="226"/>
        <v>78.430000000000007</v>
      </c>
      <c r="I4838" s="152">
        <f t="shared" ca="1" si="227"/>
        <v>0</v>
      </c>
      <c r="J4838" s="154"/>
      <c r="K4838" s="155" t="s">
        <v>2966</v>
      </c>
    </row>
    <row r="4839" spans="1:11" hidden="1" x14ac:dyDescent="0.25">
      <c r="A4839" s="148" t="s">
        <v>2924</v>
      </c>
      <c r="B4839" s="149" t="s">
        <v>10530</v>
      </c>
      <c r="C4839" s="150" t="s">
        <v>18</v>
      </c>
      <c r="D4839" s="150">
        <v>0</v>
      </c>
      <c r="E4839" s="151">
        <f ca="1">OFFSET(INDEX(Composições!A:H,MATCH(Orçamentária!A4839,Composições!A:A,0),8),2,0)</f>
        <v>22.620846862500002</v>
      </c>
      <c r="F4839" s="152">
        <f t="shared" ca="1" si="228"/>
        <v>0</v>
      </c>
      <c r="G4839" s="153">
        <f>IF($K4839="Padrão",BDI!$B$17,IF($K4839="Diferenciado",BDI!$E$17,0))</f>
        <v>0.2039</v>
      </c>
      <c r="H4839" s="151">
        <f t="shared" ca="1" si="226"/>
        <v>27.23</v>
      </c>
      <c r="I4839" s="152">
        <f t="shared" ca="1" si="227"/>
        <v>0</v>
      </c>
      <c r="J4839" s="154"/>
      <c r="K4839" s="155" t="s">
        <v>2966</v>
      </c>
    </row>
    <row r="4840" spans="1:11" hidden="1" x14ac:dyDescent="0.25">
      <c r="A4840" s="148" t="s">
        <v>2926</v>
      </c>
      <c r="B4840" s="149" t="s">
        <v>10531</v>
      </c>
      <c r="C4840" s="150" t="s">
        <v>18</v>
      </c>
      <c r="D4840" s="150">
        <v>0</v>
      </c>
      <c r="E4840" s="151">
        <f ca="1">OFFSET(INDEX(Composições!A:H,MATCH(Orçamentária!A4840,Composições!A:A,0),8),2,0)</f>
        <v>6715.51</v>
      </c>
      <c r="F4840" s="152">
        <f t="shared" ca="1" si="228"/>
        <v>0</v>
      </c>
      <c r="G4840" s="153">
        <f>IF($K4840="Padrão",BDI!$B$17,IF($K4840="Diferenciado",BDI!$E$17,0))</f>
        <v>0.2039</v>
      </c>
      <c r="H4840" s="151">
        <f t="shared" ca="1" si="226"/>
        <v>8084.8</v>
      </c>
      <c r="I4840" s="152">
        <f t="shared" ca="1" si="227"/>
        <v>0</v>
      </c>
      <c r="J4840" s="154"/>
      <c r="K4840" s="155" t="s">
        <v>2966</v>
      </c>
    </row>
    <row r="4841" spans="1:11" hidden="1" x14ac:dyDescent="0.25">
      <c r="A4841" s="148" t="s">
        <v>2927</v>
      </c>
      <c r="B4841" s="149" t="s">
        <v>10532</v>
      </c>
      <c r="C4841" s="150" t="s">
        <v>18</v>
      </c>
      <c r="D4841" s="150">
        <v>0</v>
      </c>
      <c r="E4841" s="151">
        <f ca="1">OFFSET(INDEX(Composições!A:H,MATCH(Orçamentária!A4841,Composições!A:A,0),8),2,0)</f>
        <v>57.842806750000001</v>
      </c>
      <c r="F4841" s="152">
        <f t="shared" ca="1" si="228"/>
        <v>0</v>
      </c>
      <c r="G4841" s="153">
        <f>IF($K4841="Padrão",BDI!$B$17,IF($K4841="Diferenciado",BDI!$E$17,0))</f>
        <v>0.2039</v>
      </c>
      <c r="H4841" s="151">
        <f t="shared" ca="1" si="226"/>
        <v>69.64</v>
      </c>
      <c r="I4841" s="152">
        <f t="shared" ca="1" si="227"/>
        <v>0</v>
      </c>
      <c r="J4841" s="154"/>
      <c r="K4841" s="155" t="s">
        <v>2966</v>
      </c>
    </row>
    <row r="4842" spans="1:11" hidden="1" x14ac:dyDescent="0.25">
      <c r="A4842" s="148" t="s">
        <v>2929</v>
      </c>
      <c r="B4842" s="149" t="s">
        <v>10533</v>
      </c>
      <c r="C4842" s="150" t="s">
        <v>18</v>
      </c>
      <c r="D4842" s="150">
        <v>0</v>
      </c>
      <c r="E4842" s="151">
        <f ca="1">OFFSET(INDEX(Composições!A:H,MATCH(Orçamentária!A4842,Composições!A:A,0),8),2,0)</f>
        <v>57.842806750000001</v>
      </c>
      <c r="F4842" s="152">
        <f t="shared" ca="1" si="228"/>
        <v>0</v>
      </c>
      <c r="G4842" s="153">
        <f>IF($K4842="Padrão",BDI!$B$17,IF($K4842="Diferenciado",BDI!$E$17,0))</f>
        <v>0.2039</v>
      </c>
      <c r="H4842" s="151">
        <f t="shared" ca="1" si="226"/>
        <v>69.64</v>
      </c>
      <c r="I4842" s="152">
        <f t="shared" ca="1" si="227"/>
        <v>0</v>
      </c>
      <c r="J4842" s="154"/>
      <c r="K4842" s="155" t="s">
        <v>2966</v>
      </c>
    </row>
    <row r="4843" spans="1:11" hidden="1" x14ac:dyDescent="0.25">
      <c r="A4843" s="148" t="s">
        <v>2931</v>
      </c>
      <c r="B4843" s="149" t="s">
        <v>10534</v>
      </c>
      <c r="C4843" s="150" t="s">
        <v>18</v>
      </c>
      <c r="D4843" s="150">
        <v>0</v>
      </c>
      <c r="E4843" s="151">
        <f ca="1">OFFSET(INDEX(Composições!A:H,MATCH(Orçamentária!A4843,Composições!A:A,0),8),2,0)</f>
        <v>25.176414086400001</v>
      </c>
      <c r="F4843" s="152">
        <f t="shared" ca="1" si="228"/>
        <v>0</v>
      </c>
      <c r="G4843" s="153">
        <f>IF($K4843="Padrão",BDI!$B$17,IF($K4843="Diferenciado",BDI!$E$17,0))</f>
        <v>0.2039</v>
      </c>
      <c r="H4843" s="151">
        <f t="shared" ca="1" si="226"/>
        <v>30.31</v>
      </c>
      <c r="I4843" s="152">
        <f t="shared" ca="1" si="227"/>
        <v>0</v>
      </c>
      <c r="J4843" s="154"/>
      <c r="K4843" s="155" t="s">
        <v>2966</v>
      </c>
    </row>
    <row r="4844" spans="1:11" hidden="1" x14ac:dyDescent="0.25">
      <c r="A4844" s="148" t="s">
        <v>2933</v>
      </c>
      <c r="B4844" s="149" t="s">
        <v>10535</v>
      </c>
      <c r="C4844" s="150" t="s">
        <v>18</v>
      </c>
      <c r="D4844" s="150">
        <v>0</v>
      </c>
      <c r="E4844" s="151">
        <f ca="1">OFFSET(INDEX(Composições!A:H,MATCH(Orçamentária!A4844,Composições!A:A,0),8),2,0)</f>
        <v>18.211233287500001</v>
      </c>
      <c r="F4844" s="152">
        <f t="shared" ca="1" si="228"/>
        <v>0</v>
      </c>
      <c r="G4844" s="153">
        <f>IF($K4844="Padrão",BDI!$B$17,IF($K4844="Diferenciado",BDI!$E$17,0))</f>
        <v>0.2039</v>
      </c>
      <c r="H4844" s="151">
        <f t="shared" ca="1" si="226"/>
        <v>21.92</v>
      </c>
      <c r="I4844" s="152">
        <f t="shared" ca="1" si="227"/>
        <v>0</v>
      </c>
      <c r="J4844" s="154"/>
      <c r="K4844" s="155" t="s">
        <v>2966</v>
      </c>
    </row>
    <row r="4845" spans="1:11" hidden="1" x14ac:dyDescent="0.25">
      <c r="A4845" s="148" t="s">
        <v>2935</v>
      </c>
      <c r="B4845" s="149" t="s">
        <v>10536</v>
      </c>
      <c r="C4845" s="150" t="s">
        <v>18</v>
      </c>
      <c r="D4845" s="150">
        <v>0</v>
      </c>
      <c r="E4845" s="151">
        <f ca="1">OFFSET(INDEX(Composições!A:H,MATCH(Orçamentária!A4845,Composições!A:A,0),8),2,0)</f>
        <v>18.211233287500001</v>
      </c>
      <c r="F4845" s="152">
        <f t="shared" ca="1" si="228"/>
        <v>0</v>
      </c>
      <c r="G4845" s="153">
        <f>IF($K4845="Padrão",BDI!$B$17,IF($K4845="Diferenciado",BDI!$E$17,0))</f>
        <v>0.2039</v>
      </c>
      <c r="H4845" s="151">
        <f t="shared" ca="1" si="226"/>
        <v>21.92</v>
      </c>
      <c r="I4845" s="152">
        <f t="shared" ca="1" si="227"/>
        <v>0</v>
      </c>
      <c r="J4845" s="154"/>
      <c r="K4845" s="155" t="s">
        <v>2966</v>
      </c>
    </row>
    <row r="4846" spans="1:11" hidden="1" x14ac:dyDescent="0.25">
      <c r="A4846" s="148" t="s">
        <v>2937</v>
      </c>
      <c r="B4846" s="149" t="s">
        <v>10537</v>
      </c>
      <c r="C4846" s="150" t="s">
        <v>106</v>
      </c>
      <c r="D4846" s="150">
        <v>0</v>
      </c>
      <c r="E4846" s="151">
        <f ca="1">OFFSET(INDEX(Composições!A:H,MATCH(Orçamentária!A4846,Composições!A:A,0),8),2,0)</f>
        <v>2.8755074999999994</v>
      </c>
      <c r="F4846" s="152">
        <f t="shared" ca="1" si="228"/>
        <v>0</v>
      </c>
      <c r="G4846" s="153">
        <f>IF($K4846="Padrão",BDI!$B$17,IF($K4846="Diferenciado",BDI!$E$17,0))</f>
        <v>0.2039</v>
      </c>
      <c r="H4846" s="151">
        <f t="shared" ca="1" si="226"/>
        <v>3.46</v>
      </c>
      <c r="I4846" s="152">
        <f t="shared" ca="1" si="227"/>
        <v>0</v>
      </c>
      <c r="J4846" s="154"/>
      <c r="K4846" s="155" t="s">
        <v>2966</v>
      </c>
    </row>
    <row r="4847" spans="1:11" hidden="1" x14ac:dyDescent="0.25">
      <c r="A4847" s="148" t="s">
        <v>2939</v>
      </c>
      <c r="B4847" s="149" t="s">
        <v>10538</v>
      </c>
      <c r="C4847" s="150" t="s">
        <v>68</v>
      </c>
      <c r="D4847" s="150">
        <v>0</v>
      </c>
      <c r="E4847" s="151">
        <f ca="1">OFFSET(INDEX(Composições!A:H,MATCH(Orçamentária!A4847,Composições!A:A,0),8),2,0)</f>
        <v>503.40088209295004</v>
      </c>
      <c r="F4847" s="152">
        <f t="shared" ca="1" si="228"/>
        <v>0</v>
      </c>
      <c r="G4847" s="153">
        <f>IF($K4847="Padrão",BDI!$B$17,IF($K4847="Diferenciado",BDI!$E$17,0))</f>
        <v>0.2039</v>
      </c>
      <c r="H4847" s="151">
        <f t="shared" ca="1" si="226"/>
        <v>606.04</v>
      </c>
      <c r="I4847" s="152">
        <f t="shared" ca="1" si="227"/>
        <v>0</v>
      </c>
      <c r="J4847" s="154"/>
      <c r="K4847" s="155" t="s">
        <v>2966</v>
      </c>
    </row>
    <row r="4848" spans="1:11" hidden="1" x14ac:dyDescent="0.25">
      <c r="A4848" s="148" t="s">
        <v>10539</v>
      </c>
      <c r="B4848" s="149" t="s">
        <v>10540</v>
      </c>
      <c r="C4848" s="150" t="s">
        <v>18</v>
      </c>
      <c r="D4848" s="150">
        <v>0</v>
      </c>
      <c r="E4848" s="151" t="s">
        <v>13</v>
      </c>
      <c r="F4848" s="152" t="str">
        <f t="shared" si="228"/>
        <v/>
      </c>
      <c r="G4848" s="153">
        <f>IF($K4848="Padrão",BDI!$B$17,IF($K4848="Diferenciado",BDI!$E$17,0))</f>
        <v>0.2039</v>
      </c>
      <c r="H4848" s="151" t="str">
        <f t="shared" si="226"/>
        <v/>
      </c>
      <c r="I4848" s="152" t="str">
        <f t="shared" si="227"/>
        <v/>
      </c>
      <c r="J4848" s="154"/>
      <c r="K4848" s="155" t="s">
        <v>2966</v>
      </c>
    </row>
    <row r="4849" spans="1:11" ht="25.5" hidden="1" x14ac:dyDescent="0.25">
      <c r="A4849" s="148" t="s">
        <v>10541</v>
      </c>
      <c r="B4849" s="149" t="s">
        <v>10542</v>
      </c>
      <c r="C4849" s="150" t="s">
        <v>18</v>
      </c>
      <c r="D4849" s="150">
        <v>0</v>
      </c>
      <c r="E4849" s="151" t="s">
        <v>13</v>
      </c>
      <c r="F4849" s="152" t="str">
        <f t="shared" si="228"/>
        <v/>
      </c>
      <c r="G4849" s="153">
        <f>IF($K4849="Padrão",BDI!$B$17,IF($K4849="Diferenciado",BDI!$E$17,0))</f>
        <v>0.2039</v>
      </c>
      <c r="H4849" s="151" t="str">
        <f t="shared" si="226"/>
        <v/>
      </c>
      <c r="I4849" s="152" t="str">
        <f t="shared" si="227"/>
        <v/>
      </c>
      <c r="J4849" s="154"/>
      <c r="K4849" s="155" t="s">
        <v>2966</v>
      </c>
    </row>
    <row r="4850" spans="1:11" hidden="1" x14ac:dyDescent="0.25">
      <c r="A4850" s="148" t="s">
        <v>2940</v>
      </c>
      <c r="B4850" s="149" t="s">
        <v>5503</v>
      </c>
      <c r="C4850" s="150" t="s">
        <v>18</v>
      </c>
      <c r="D4850" s="150">
        <v>0</v>
      </c>
      <c r="E4850" s="151">
        <f ca="1">OFFSET(INDEX(Composições!A:H,MATCH(Orçamentária!A4850,Composições!A:A,0),8),2,0)</f>
        <v>12.814569000000001</v>
      </c>
      <c r="F4850" s="152">
        <f t="shared" ca="1" si="228"/>
        <v>0</v>
      </c>
      <c r="G4850" s="153">
        <f>IF($K4850="Padrão",BDI!$B$17,IF($K4850="Diferenciado",BDI!$E$17,0))</f>
        <v>0.2039</v>
      </c>
      <c r="H4850" s="151">
        <f t="shared" ca="1" si="226"/>
        <v>15.43</v>
      </c>
      <c r="I4850" s="152">
        <f t="shared" ca="1" si="227"/>
        <v>0</v>
      </c>
      <c r="J4850" s="154"/>
      <c r="K4850" s="155" t="s">
        <v>2966</v>
      </c>
    </row>
    <row r="4851" spans="1:11" hidden="1" x14ac:dyDescent="0.25">
      <c r="A4851" s="148" t="s">
        <v>2942</v>
      </c>
      <c r="B4851" s="149" t="s">
        <v>5838</v>
      </c>
      <c r="C4851" s="150" t="s">
        <v>106</v>
      </c>
      <c r="D4851" s="150">
        <v>0</v>
      </c>
      <c r="E4851" s="151">
        <f ca="1">OFFSET(INDEX(Composições!A:H,MATCH(Orçamentária!A4851,Composições!A:A,0),8),2,0)</f>
        <v>22.524803999999996</v>
      </c>
      <c r="F4851" s="152">
        <f t="shared" ca="1" si="228"/>
        <v>0</v>
      </c>
      <c r="G4851" s="153">
        <f>IF($K4851="Padrão",BDI!$B$17,IF($K4851="Diferenciado",BDI!$E$17,0))</f>
        <v>0.2039</v>
      </c>
      <c r="H4851" s="151">
        <f t="shared" ca="1" si="226"/>
        <v>27.12</v>
      </c>
      <c r="I4851" s="152">
        <f t="shared" ca="1" si="227"/>
        <v>0</v>
      </c>
      <c r="J4851" s="154"/>
      <c r="K4851" s="155" t="s">
        <v>2966</v>
      </c>
    </row>
    <row r="4852" spans="1:11" hidden="1" x14ac:dyDescent="0.25">
      <c r="A4852" s="148" t="s">
        <v>2943</v>
      </c>
      <c r="B4852" s="149" t="s">
        <v>10543</v>
      </c>
      <c r="C4852" s="150" t="s">
        <v>106</v>
      </c>
      <c r="D4852" s="150">
        <v>0</v>
      </c>
      <c r="E4852" s="151">
        <f ca="1">OFFSET(INDEX(Composições!A:H,MATCH(Orçamentária!A4852,Composições!A:A,0),8),2,0)</f>
        <v>28.19125</v>
      </c>
      <c r="F4852" s="152">
        <f t="shared" ca="1" si="228"/>
        <v>0</v>
      </c>
      <c r="G4852" s="153">
        <f>IF($K4852="Padrão",BDI!$B$17,IF($K4852="Diferenciado",BDI!$E$17,0))</f>
        <v>0.2039</v>
      </c>
      <c r="H4852" s="151">
        <f t="shared" ca="1" si="226"/>
        <v>33.94</v>
      </c>
      <c r="I4852" s="152">
        <f t="shared" ca="1" si="227"/>
        <v>0</v>
      </c>
      <c r="J4852" s="154"/>
      <c r="K4852" s="155" t="s">
        <v>2966</v>
      </c>
    </row>
    <row r="4853" spans="1:11" hidden="1" x14ac:dyDescent="0.25">
      <c r="A4853" s="148" t="s">
        <v>2945</v>
      </c>
      <c r="B4853" s="149" t="s">
        <v>6596</v>
      </c>
      <c r="C4853" s="150" t="s">
        <v>18</v>
      </c>
      <c r="D4853" s="150">
        <v>0</v>
      </c>
      <c r="E4853" s="151">
        <f ca="1">OFFSET(INDEX(Composições!A:H,MATCH(Orçamentária!A4853,Composições!A:A,0),8),2,0)</f>
        <v>107.99458449999999</v>
      </c>
      <c r="F4853" s="152">
        <f t="shared" ca="1" si="228"/>
        <v>0</v>
      </c>
      <c r="G4853" s="153">
        <f>IF($K4853="Padrão",BDI!$B$17,IF($K4853="Diferenciado",BDI!$E$17,0))</f>
        <v>0.2039</v>
      </c>
      <c r="H4853" s="151">
        <f t="shared" ca="1" si="226"/>
        <v>130.01</v>
      </c>
      <c r="I4853" s="152">
        <f t="shared" ca="1" si="227"/>
        <v>0</v>
      </c>
      <c r="J4853" s="154"/>
      <c r="K4853" s="155" t="s">
        <v>2966</v>
      </c>
    </row>
    <row r="4854" spans="1:11" hidden="1" x14ac:dyDescent="0.25">
      <c r="A4854" s="148" t="s">
        <v>2946</v>
      </c>
      <c r="B4854" s="149" t="s">
        <v>6601</v>
      </c>
      <c r="C4854" s="150" t="s">
        <v>18</v>
      </c>
      <c r="D4854" s="150">
        <v>0</v>
      </c>
      <c r="E4854" s="151">
        <f ca="1">OFFSET(INDEX(Composições!A:H,MATCH(Orçamentária!A4854,Composições!A:A,0),8),2,0)</f>
        <v>153.01046275000002</v>
      </c>
      <c r="F4854" s="152">
        <f t="shared" ca="1" si="228"/>
        <v>0</v>
      </c>
      <c r="G4854" s="153">
        <f>IF($K4854="Padrão",BDI!$B$17,IF($K4854="Diferenciado",BDI!$E$17,0))</f>
        <v>0.2039</v>
      </c>
      <c r="H4854" s="151">
        <f t="shared" ca="1" si="226"/>
        <v>184.21</v>
      </c>
      <c r="I4854" s="152">
        <f t="shared" ca="1" si="227"/>
        <v>0</v>
      </c>
      <c r="J4854" s="154"/>
      <c r="K4854" s="155" t="s">
        <v>2966</v>
      </c>
    </row>
    <row r="4855" spans="1:11" hidden="1" x14ac:dyDescent="0.25">
      <c r="A4855" s="148" t="s">
        <v>2947</v>
      </c>
      <c r="B4855" s="149" t="s">
        <v>6605</v>
      </c>
      <c r="C4855" s="150" t="s">
        <v>18</v>
      </c>
      <c r="D4855" s="150">
        <v>0</v>
      </c>
      <c r="E4855" s="151">
        <f ca="1">OFFSET(INDEX(Composições!A:H,MATCH(Orçamentária!A4855,Composições!A:A,0),8),2,0)</f>
        <v>296.62196275000002</v>
      </c>
      <c r="F4855" s="152">
        <f t="shared" ca="1" si="228"/>
        <v>0</v>
      </c>
      <c r="G4855" s="153">
        <f>IF($K4855="Padrão",BDI!$B$17,IF($K4855="Diferenciado",BDI!$E$17,0))</f>
        <v>0.2039</v>
      </c>
      <c r="H4855" s="151">
        <f t="shared" ca="1" si="226"/>
        <v>357.1</v>
      </c>
      <c r="I4855" s="152">
        <f t="shared" ca="1" si="227"/>
        <v>0</v>
      </c>
      <c r="J4855" s="154"/>
      <c r="K4855" s="155" t="s">
        <v>2966</v>
      </c>
    </row>
    <row r="4856" spans="1:11" hidden="1" x14ac:dyDescent="0.25">
      <c r="A4856" s="148" t="s">
        <v>2948</v>
      </c>
      <c r="B4856" s="149" t="s">
        <v>10544</v>
      </c>
      <c r="C4856" s="150" t="s">
        <v>18</v>
      </c>
      <c r="D4856" s="150">
        <v>0</v>
      </c>
      <c r="E4856" s="151">
        <f ca="1">OFFSET(INDEX(Composições!A:H,MATCH(Orçamentária!A4856,Composições!A:A,0),8),2,0)</f>
        <v>21.178188500000001</v>
      </c>
      <c r="F4856" s="152">
        <f t="shared" ca="1" si="228"/>
        <v>0</v>
      </c>
      <c r="G4856" s="153">
        <f>IF($K4856="Padrão",BDI!$B$17,IF($K4856="Diferenciado",BDI!$E$17,0))</f>
        <v>0.2039</v>
      </c>
      <c r="H4856" s="151">
        <f t="shared" ca="1" si="226"/>
        <v>25.5</v>
      </c>
      <c r="I4856" s="152">
        <f t="shared" ca="1" si="227"/>
        <v>0</v>
      </c>
      <c r="J4856" s="154"/>
      <c r="K4856" s="155" t="s">
        <v>2966</v>
      </c>
    </row>
    <row r="4857" spans="1:11" hidden="1" x14ac:dyDescent="0.25">
      <c r="A4857" s="148" t="s">
        <v>2950</v>
      </c>
      <c r="B4857" s="149" t="s">
        <v>10545</v>
      </c>
      <c r="C4857" s="150" t="s">
        <v>18</v>
      </c>
      <c r="D4857" s="150">
        <v>0</v>
      </c>
      <c r="E4857" s="151">
        <f ca="1">OFFSET(INDEX(Composições!A:H,MATCH(Orçamentária!A4857,Composições!A:A,0),8),2,0)</f>
        <v>23.288404499999999</v>
      </c>
      <c r="F4857" s="152">
        <f t="shared" ca="1" si="228"/>
        <v>0</v>
      </c>
      <c r="G4857" s="153">
        <f>IF($K4857="Padrão",BDI!$B$17,IF($K4857="Diferenciado",BDI!$E$17,0))</f>
        <v>0.2039</v>
      </c>
      <c r="H4857" s="151">
        <f t="shared" ca="1" si="226"/>
        <v>28.04</v>
      </c>
      <c r="I4857" s="152">
        <f t="shared" ca="1" si="227"/>
        <v>0</v>
      </c>
      <c r="J4857" s="154"/>
      <c r="K4857" s="155" t="s">
        <v>2966</v>
      </c>
    </row>
    <row r="4858" spans="1:11" hidden="1" x14ac:dyDescent="0.25">
      <c r="A4858" s="148" t="s">
        <v>10546</v>
      </c>
      <c r="B4858" s="149" t="s">
        <v>10547</v>
      </c>
      <c r="C4858" s="150" t="s">
        <v>18</v>
      </c>
      <c r="D4858" s="150">
        <v>0</v>
      </c>
      <c r="E4858" s="151" t="s">
        <v>13</v>
      </c>
      <c r="F4858" s="152" t="str">
        <f t="shared" si="228"/>
        <v/>
      </c>
      <c r="G4858" s="153">
        <f>IF($K4858="Padrão",BDI!$B$17,IF($K4858="Diferenciado",BDI!$E$17,0))</f>
        <v>0.2039</v>
      </c>
      <c r="H4858" s="151" t="str">
        <f t="shared" si="226"/>
        <v/>
      </c>
      <c r="I4858" s="152" t="str">
        <f t="shared" si="227"/>
        <v/>
      </c>
      <c r="J4858" s="154"/>
      <c r="K4858" s="155" t="s">
        <v>2966</v>
      </c>
    </row>
    <row r="4859" spans="1:11" hidden="1" x14ac:dyDescent="0.25">
      <c r="A4859" s="148" t="s">
        <v>10548</v>
      </c>
      <c r="B4859" s="149" t="s">
        <v>10549</v>
      </c>
      <c r="C4859" s="150" t="s">
        <v>68</v>
      </c>
      <c r="D4859" s="150">
        <v>0</v>
      </c>
      <c r="E4859" s="151" t="s">
        <v>13</v>
      </c>
      <c r="F4859" s="152" t="str">
        <f t="shared" si="228"/>
        <v/>
      </c>
      <c r="G4859" s="153">
        <f>IF($K4859="Padrão",BDI!$B$17,IF($K4859="Diferenciado",BDI!$E$17,0))</f>
        <v>0.2039</v>
      </c>
      <c r="H4859" s="151" t="str">
        <f t="shared" si="226"/>
        <v/>
      </c>
      <c r="I4859" s="152" t="str">
        <f t="shared" si="227"/>
        <v/>
      </c>
      <c r="J4859" s="154"/>
      <c r="K4859" s="155" t="s">
        <v>2966</v>
      </c>
    </row>
    <row r="4860" spans="1:11" hidden="1" x14ac:dyDescent="0.25">
      <c r="A4860" s="148" t="s">
        <v>10550</v>
      </c>
      <c r="B4860" s="149" t="s">
        <v>10551</v>
      </c>
      <c r="C4860" s="150" t="s">
        <v>68</v>
      </c>
      <c r="D4860" s="150">
        <v>0</v>
      </c>
      <c r="E4860" s="151" t="s">
        <v>13</v>
      </c>
      <c r="F4860" s="152" t="str">
        <f t="shared" si="228"/>
        <v/>
      </c>
      <c r="G4860" s="153">
        <f>IF($K4860="Padrão",BDI!$B$17,IF($K4860="Diferenciado",BDI!$E$17,0))</f>
        <v>0.2039</v>
      </c>
      <c r="H4860" s="151" t="str">
        <f t="shared" si="226"/>
        <v/>
      </c>
      <c r="I4860" s="152" t="str">
        <f t="shared" si="227"/>
        <v/>
      </c>
      <c r="J4860" s="154"/>
      <c r="K4860" s="155" t="s">
        <v>2966</v>
      </c>
    </row>
    <row r="4861" spans="1:11" hidden="1" x14ac:dyDescent="0.25">
      <c r="A4861" s="148" t="s">
        <v>2951</v>
      </c>
      <c r="B4861" s="149" t="s">
        <v>10552</v>
      </c>
      <c r="C4861" s="150" t="s">
        <v>68</v>
      </c>
      <c r="D4861" s="150">
        <v>0</v>
      </c>
      <c r="E4861" s="151">
        <f ca="1">OFFSET(INDEX(Composições!A:H,MATCH(Orçamentária!A4861,Composições!A:A,0),8),2,0)</f>
        <v>17.393550000000001</v>
      </c>
      <c r="F4861" s="152">
        <f t="shared" ca="1" si="228"/>
        <v>0</v>
      </c>
      <c r="G4861" s="153">
        <f>IF($K4861="Padrão",BDI!$B$17,IF($K4861="Diferenciado",BDI!$E$17,0))</f>
        <v>0.2039</v>
      </c>
      <c r="H4861" s="151">
        <f t="shared" ca="1" si="226"/>
        <v>20.94</v>
      </c>
      <c r="I4861" s="152">
        <f t="shared" ca="1" si="227"/>
        <v>0</v>
      </c>
      <c r="J4861" s="154"/>
      <c r="K4861" s="155" t="s">
        <v>2966</v>
      </c>
    </row>
    <row r="4862" spans="1:11" hidden="1" x14ac:dyDescent="0.25">
      <c r="A4862" s="148" t="s">
        <v>10553</v>
      </c>
      <c r="B4862" s="149" t="s">
        <v>10554</v>
      </c>
      <c r="C4862" s="150" t="s">
        <v>18</v>
      </c>
      <c r="D4862" s="150">
        <v>0</v>
      </c>
      <c r="E4862" s="151" t="s">
        <v>13</v>
      </c>
      <c r="F4862" s="152" t="str">
        <f t="shared" si="228"/>
        <v/>
      </c>
      <c r="G4862" s="153">
        <f>IF($K4862="Padrão",BDI!$B$17,IF($K4862="Diferenciado",BDI!$E$17,0))</f>
        <v>0.2039</v>
      </c>
      <c r="H4862" s="151" t="str">
        <f t="shared" si="226"/>
        <v/>
      </c>
      <c r="I4862" s="152" t="str">
        <f t="shared" si="227"/>
        <v/>
      </c>
      <c r="J4862" s="154"/>
      <c r="K4862" s="155" t="s">
        <v>2966</v>
      </c>
    </row>
    <row r="4863" spans="1:11" hidden="1" x14ac:dyDescent="0.25">
      <c r="A4863" s="148" t="s">
        <v>10555</v>
      </c>
      <c r="B4863" s="149" t="s">
        <v>10556</v>
      </c>
      <c r="C4863" s="150" t="s">
        <v>18</v>
      </c>
      <c r="D4863" s="150">
        <v>0</v>
      </c>
      <c r="E4863" s="151" t="s">
        <v>13</v>
      </c>
      <c r="F4863" s="152" t="str">
        <f t="shared" si="228"/>
        <v/>
      </c>
      <c r="G4863" s="153">
        <f>IF($K4863="Padrão",BDI!$B$17,IF($K4863="Diferenciado",BDI!$E$17,0))</f>
        <v>0.2039</v>
      </c>
      <c r="H4863" s="151" t="str">
        <f t="shared" si="226"/>
        <v/>
      </c>
      <c r="I4863" s="152" t="str">
        <f t="shared" si="227"/>
        <v/>
      </c>
      <c r="J4863" s="154"/>
      <c r="K4863" s="155" t="s">
        <v>2966</v>
      </c>
    </row>
    <row r="4864" spans="1:11" hidden="1" x14ac:dyDescent="0.25">
      <c r="A4864" s="148" t="s">
        <v>10557</v>
      </c>
      <c r="B4864" s="149" t="s">
        <v>10558</v>
      </c>
      <c r="C4864" s="150" t="s">
        <v>18</v>
      </c>
      <c r="D4864" s="150">
        <v>0</v>
      </c>
      <c r="E4864" s="151" t="s">
        <v>13</v>
      </c>
      <c r="F4864" s="152" t="str">
        <f t="shared" si="228"/>
        <v/>
      </c>
      <c r="G4864" s="153">
        <f>IF($K4864="Padrão",BDI!$B$17,IF($K4864="Diferenciado",BDI!$E$17,0))</f>
        <v>0.2039</v>
      </c>
      <c r="H4864" s="151" t="str">
        <f t="shared" si="226"/>
        <v/>
      </c>
      <c r="I4864" s="152" t="str">
        <f t="shared" si="227"/>
        <v/>
      </c>
      <c r="J4864" s="154"/>
      <c r="K4864" s="155" t="s">
        <v>2966</v>
      </c>
    </row>
    <row r="4865" spans="1:11" ht="25.5" hidden="1" x14ac:dyDescent="0.25">
      <c r="A4865" s="148" t="s">
        <v>10559</v>
      </c>
      <c r="B4865" s="149" t="s">
        <v>10560</v>
      </c>
      <c r="C4865" s="150" t="s">
        <v>18</v>
      </c>
      <c r="D4865" s="150">
        <v>0</v>
      </c>
      <c r="E4865" s="151" t="s">
        <v>13</v>
      </c>
      <c r="F4865" s="152" t="str">
        <f t="shared" si="228"/>
        <v/>
      </c>
      <c r="G4865" s="153">
        <f>IF($K4865="Padrão",BDI!$B$17,IF($K4865="Diferenciado",BDI!$E$17,0))</f>
        <v>0.2039</v>
      </c>
      <c r="H4865" s="151" t="str">
        <f t="shared" si="226"/>
        <v/>
      </c>
      <c r="I4865" s="152" t="str">
        <f t="shared" si="227"/>
        <v/>
      </c>
      <c r="J4865" s="154"/>
      <c r="K4865" s="155" t="s">
        <v>2966</v>
      </c>
    </row>
    <row r="4866" spans="1:11" hidden="1" x14ac:dyDescent="0.25">
      <c r="A4866" s="148" t="s">
        <v>10561</v>
      </c>
      <c r="B4866" s="149" t="s">
        <v>10562</v>
      </c>
      <c r="C4866" s="150" t="s">
        <v>18</v>
      </c>
      <c r="D4866" s="150">
        <v>0</v>
      </c>
      <c r="E4866" s="151" t="s">
        <v>13</v>
      </c>
      <c r="F4866" s="152" t="str">
        <f t="shared" si="228"/>
        <v/>
      </c>
      <c r="G4866" s="153">
        <f>IF($K4866="Padrão",BDI!$B$17,IF($K4866="Diferenciado",BDI!$E$17,0))</f>
        <v>0.2039</v>
      </c>
      <c r="H4866" s="151" t="str">
        <f t="shared" si="226"/>
        <v/>
      </c>
      <c r="I4866" s="152" t="str">
        <f t="shared" si="227"/>
        <v/>
      </c>
      <c r="J4866" s="154"/>
      <c r="K4866" s="155" t="s">
        <v>2966</v>
      </c>
    </row>
    <row r="4867" spans="1:11" hidden="1" x14ac:dyDescent="0.25">
      <c r="A4867" s="148" t="s">
        <v>10563</v>
      </c>
      <c r="B4867" s="149" t="s">
        <v>10564</v>
      </c>
      <c r="C4867" s="150" t="s">
        <v>18</v>
      </c>
      <c r="D4867" s="150">
        <v>0</v>
      </c>
      <c r="E4867" s="151" t="s">
        <v>13</v>
      </c>
      <c r="F4867" s="152" t="str">
        <f t="shared" si="228"/>
        <v/>
      </c>
      <c r="G4867" s="153">
        <f>IF($K4867="Padrão",BDI!$B$17,IF($K4867="Diferenciado",BDI!$E$17,0))</f>
        <v>0.2039</v>
      </c>
      <c r="H4867" s="151" t="str">
        <f t="shared" si="226"/>
        <v/>
      </c>
      <c r="I4867" s="152" t="str">
        <f t="shared" si="227"/>
        <v/>
      </c>
      <c r="J4867" s="154"/>
      <c r="K4867" s="155" t="s">
        <v>2966</v>
      </c>
    </row>
    <row r="4868" spans="1:11" hidden="1" x14ac:dyDescent="0.25">
      <c r="A4868" s="148" t="s">
        <v>10565</v>
      </c>
      <c r="B4868" s="149" t="s">
        <v>10566</v>
      </c>
      <c r="C4868" s="150" t="s">
        <v>106</v>
      </c>
      <c r="D4868" s="150">
        <v>0</v>
      </c>
      <c r="E4868" s="151" t="s">
        <v>13</v>
      </c>
      <c r="F4868" s="152" t="str">
        <f t="shared" si="228"/>
        <v/>
      </c>
      <c r="G4868" s="153">
        <f>IF($K4868="Padrão",BDI!$B$17,IF($K4868="Diferenciado",BDI!$E$17,0))</f>
        <v>0.2039</v>
      </c>
      <c r="H4868" s="151" t="str">
        <f t="shared" si="226"/>
        <v/>
      </c>
      <c r="I4868" s="152" t="str">
        <f t="shared" si="227"/>
        <v/>
      </c>
      <c r="J4868" s="154"/>
      <c r="K4868" s="155" t="s">
        <v>2966</v>
      </c>
    </row>
    <row r="4869" spans="1:11" hidden="1" x14ac:dyDescent="0.25">
      <c r="A4869" s="148" t="s">
        <v>10567</v>
      </c>
      <c r="B4869" s="149" t="s">
        <v>10568</v>
      </c>
      <c r="C4869" s="150" t="s">
        <v>106</v>
      </c>
      <c r="D4869" s="150">
        <v>0</v>
      </c>
      <c r="E4869" s="151" t="s">
        <v>13</v>
      </c>
      <c r="F4869" s="152" t="str">
        <f t="shared" si="228"/>
        <v/>
      </c>
      <c r="G4869" s="153">
        <f>IF($K4869="Padrão",BDI!$B$17,IF($K4869="Diferenciado",BDI!$E$17,0))</f>
        <v>0.2039</v>
      </c>
      <c r="H4869" s="151" t="str">
        <f t="shared" si="226"/>
        <v/>
      </c>
      <c r="I4869" s="152" t="str">
        <f t="shared" si="227"/>
        <v/>
      </c>
      <c r="J4869" s="154"/>
      <c r="K4869" s="155" t="s">
        <v>2966</v>
      </c>
    </row>
    <row r="4870" spans="1:11" hidden="1" x14ac:dyDescent="0.25">
      <c r="A4870" s="148" t="s">
        <v>10569</v>
      </c>
      <c r="B4870" s="149" t="s">
        <v>10570</v>
      </c>
      <c r="C4870" s="150" t="s">
        <v>106</v>
      </c>
      <c r="D4870" s="150">
        <v>0</v>
      </c>
      <c r="E4870" s="151" t="s">
        <v>13</v>
      </c>
      <c r="F4870" s="152" t="str">
        <f t="shared" si="228"/>
        <v/>
      </c>
      <c r="G4870" s="153">
        <f>IF($K4870="Padrão",BDI!$B$17,IF($K4870="Diferenciado",BDI!$E$17,0))</f>
        <v>0.2039</v>
      </c>
      <c r="H4870" s="151" t="str">
        <f t="shared" ref="H4870:H4881" si="229">IF(ISNUMBER(E4870),ROUND(E4870*(1+G4870),2),"")</f>
        <v/>
      </c>
      <c r="I4870" s="152" t="str">
        <f t="shared" ref="I4870:I4881" si="230">IF(ISNUMBER(E4870),ROUND(H4870*D4870,2),"")</f>
        <v/>
      </c>
      <c r="J4870" s="154"/>
      <c r="K4870" s="155" t="s">
        <v>2966</v>
      </c>
    </row>
    <row r="4871" spans="1:11" hidden="1" x14ac:dyDescent="0.25">
      <c r="A4871" s="148" t="s">
        <v>10571</v>
      </c>
      <c r="B4871" s="149" t="s">
        <v>10572</v>
      </c>
      <c r="C4871" s="150" t="s">
        <v>106</v>
      </c>
      <c r="D4871" s="150">
        <v>0</v>
      </c>
      <c r="E4871" s="151" t="s">
        <v>13</v>
      </c>
      <c r="F4871" s="152" t="str">
        <f t="shared" si="228"/>
        <v/>
      </c>
      <c r="G4871" s="153">
        <f>IF($K4871="Padrão",BDI!$B$17,IF($K4871="Diferenciado",BDI!$E$17,0))</f>
        <v>0.2039</v>
      </c>
      <c r="H4871" s="151" t="str">
        <f t="shared" si="229"/>
        <v/>
      </c>
      <c r="I4871" s="152" t="str">
        <f t="shared" si="230"/>
        <v/>
      </c>
      <c r="J4871" s="154"/>
      <c r="K4871" s="155" t="s">
        <v>2966</v>
      </c>
    </row>
    <row r="4872" spans="1:11" hidden="1" x14ac:dyDescent="0.25">
      <c r="A4872" s="148" t="s">
        <v>10573</v>
      </c>
      <c r="B4872" s="149" t="s">
        <v>10574</v>
      </c>
      <c r="C4872" s="150" t="s">
        <v>106</v>
      </c>
      <c r="D4872" s="150">
        <v>0</v>
      </c>
      <c r="E4872" s="151" t="s">
        <v>13</v>
      </c>
      <c r="F4872" s="152" t="str">
        <f t="shared" si="228"/>
        <v/>
      </c>
      <c r="G4872" s="153">
        <f>IF($K4872="Padrão",BDI!$B$17,IF($K4872="Diferenciado",BDI!$E$17,0))</f>
        <v>0.2039</v>
      </c>
      <c r="H4872" s="151" t="str">
        <f t="shared" si="229"/>
        <v/>
      </c>
      <c r="I4872" s="152" t="str">
        <f t="shared" si="230"/>
        <v/>
      </c>
      <c r="J4872" s="154"/>
      <c r="K4872" s="155" t="s">
        <v>2966</v>
      </c>
    </row>
    <row r="4873" spans="1:11" x14ac:dyDescent="0.25">
      <c r="A4873" s="148" t="s">
        <v>10575</v>
      </c>
      <c r="B4873" s="149" t="s">
        <v>10576</v>
      </c>
      <c r="C4873" s="150" t="s">
        <v>18</v>
      </c>
      <c r="D4873" s="150">
        <v>1</v>
      </c>
      <c r="E4873" s="207">
        <v>31593.75</v>
      </c>
      <c r="F4873" s="152">
        <f t="shared" si="228"/>
        <v>31593.75</v>
      </c>
      <c r="G4873" s="153">
        <f>IF($K4873="Padrão",BDI!$B$17,IF($K4873="Diferenciado",BDI!$E$17,0))</f>
        <v>0</v>
      </c>
      <c r="H4873" s="151">
        <f t="shared" si="229"/>
        <v>31593.75</v>
      </c>
      <c r="I4873" s="152">
        <f t="shared" si="230"/>
        <v>31593.75</v>
      </c>
      <c r="J4873" s="154"/>
      <c r="K4873" s="155" t="s">
        <v>2962</v>
      </c>
    </row>
    <row r="4874" spans="1:11" x14ac:dyDescent="0.25">
      <c r="A4874" s="148" t="s">
        <v>10577</v>
      </c>
      <c r="B4874" s="149" t="s">
        <v>10578</v>
      </c>
      <c r="C4874" s="150" t="s">
        <v>18</v>
      </c>
      <c r="D4874" s="150">
        <v>1</v>
      </c>
      <c r="E4874" s="207">
        <v>9812.5</v>
      </c>
      <c r="F4874" s="152">
        <f t="shared" si="228"/>
        <v>9812.5</v>
      </c>
      <c r="G4874" s="153">
        <f>IF($K4874="Padrão",BDI!$B$17,IF($K4874="Diferenciado",BDI!$E$17,0))</f>
        <v>0</v>
      </c>
      <c r="H4874" s="151">
        <f t="shared" si="229"/>
        <v>9812.5</v>
      </c>
      <c r="I4874" s="152">
        <f t="shared" si="230"/>
        <v>9812.5</v>
      </c>
      <c r="J4874" s="154"/>
      <c r="K4874" s="155" t="s">
        <v>2962</v>
      </c>
    </row>
    <row r="4875" spans="1:11" x14ac:dyDescent="0.25">
      <c r="A4875" s="148" t="s">
        <v>10579</v>
      </c>
      <c r="B4875" s="149" t="s">
        <v>10580</v>
      </c>
      <c r="C4875" s="150" t="s">
        <v>18</v>
      </c>
      <c r="D4875" s="150">
        <v>1</v>
      </c>
      <c r="E4875" s="207">
        <v>19562.5</v>
      </c>
      <c r="F4875" s="152">
        <f t="shared" si="228"/>
        <v>19562.5</v>
      </c>
      <c r="G4875" s="153">
        <f>IF($K4875="Padrão",BDI!$B$17,IF($K4875="Diferenciado",BDI!$E$17,0))</f>
        <v>0</v>
      </c>
      <c r="H4875" s="151">
        <f t="shared" si="229"/>
        <v>19562.5</v>
      </c>
      <c r="I4875" s="152">
        <f t="shared" si="230"/>
        <v>19562.5</v>
      </c>
      <c r="J4875" s="154"/>
      <c r="K4875" s="155" t="s">
        <v>2962</v>
      </c>
    </row>
    <row r="4876" spans="1:11" x14ac:dyDescent="0.25">
      <c r="A4876" s="148" t="s">
        <v>10581</v>
      </c>
      <c r="B4876" s="149" t="s">
        <v>10582</v>
      </c>
      <c r="C4876" s="150" t="s">
        <v>18</v>
      </c>
      <c r="D4876" s="150">
        <v>1</v>
      </c>
      <c r="E4876" s="207">
        <v>55000</v>
      </c>
      <c r="F4876" s="152">
        <f t="shared" si="228"/>
        <v>55000</v>
      </c>
      <c r="G4876" s="153">
        <f>IF($K4876="Padrão",BDI!$B$17,IF($K4876="Diferenciado",BDI!$E$17,0))</f>
        <v>0</v>
      </c>
      <c r="H4876" s="151">
        <f t="shared" si="229"/>
        <v>55000</v>
      </c>
      <c r="I4876" s="152">
        <f t="shared" si="230"/>
        <v>55000</v>
      </c>
      <c r="J4876" s="154"/>
      <c r="K4876" s="155" t="s">
        <v>2962</v>
      </c>
    </row>
    <row r="4877" spans="1:11" hidden="1" x14ac:dyDescent="0.25">
      <c r="A4877" s="148" t="s">
        <v>10583</v>
      </c>
      <c r="B4877" s="149" t="s">
        <v>10584</v>
      </c>
      <c r="C4877" s="150" t="s">
        <v>18</v>
      </c>
      <c r="D4877" s="150">
        <v>0</v>
      </c>
      <c r="E4877" s="151">
        <v>76000</v>
      </c>
      <c r="F4877" s="152">
        <f t="shared" si="228"/>
        <v>0</v>
      </c>
      <c r="G4877" s="153">
        <f>IF($K4877="Padrão",BDI!$B$17,IF($K4877="Diferenciado",BDI!$E$17,0))</f>
        <v>0</v>
      </c>
      <c r="H4877" s="151">
        <f t="shared" si="229"/>
        <v>76000</v>
      </c>
      <c r="I4877" s="152">
        <f t="shared" si="230"/>
        <v>0</v>
      </c>
      <c r="J4877" s="154"/>
      <c r="K4877" s="155" t="s">
        <v>2962</v>
      </c>
    </row>
    <row r="4878" spans="1:11" hidden="1" x14ac:dyDescent="0.25">
      <c r="A4878" s="148" t="s">
        <v>10585</v>
      </c>
      <c r="B4878" s="149" t="s">
        <v>10586</v>
      </c>
      <c r="C4878" s="150" t="s">
        <v>18</v>
      </c>
      <c r="D4878" s="150">
        <v>0</v>
      </c>
      <c r="E4878" s="151">
        <v>18450</v>
      </c>
      <c r="F4878" s="152">
        <f t="shared" ref="F4878:F4881" si="231">IF(ISNUMBER(E4878),D4878*E4878,"")</f>
        <v>0</v>
      </c>
      <c r="G4878" s="153">
        <f>IF($K4878="Padrão",BDI!$B$17,IF($K4878="Diferenciado",BDI!$E$17,0))</f>
        <v>0</v>
      </c>
      <c r="H4878" s="151">
        <f t="shared" si="229"/>
        <v>18450</v>
      </c>
      <c r="I4878" s="152">
        <f t="shared" si="230"/>
        <v>0</v>
      </c>
      <c r="J4878" s="154"/>
      <c r="K4878" s="155" t="s">
        <v>2962</v>
      </c>
    </row>
    <row r="4879" spans="1:11" hidden="1" x14ac:dyDescent="0.25">
      <c r="A4879" s="148" t="s">
        <v>10587</v>
      </c>
      <c r="B4879" s="149" t="s">
        <v>10588</v>
      </c>
      <c r="C4879" s="150" t="s">
        <v>18</v>
      </c>
      <c r="D4879" s="150">
        <v>0</v>
      </c>
      <c r="E4879" s="151">
        <v>34440</v>
      </c>
      <c r="F4879" s="152">
        <f t="shared" si="231"/>
        <v>0</v>
      </c>
      <c r="G4879" s="153">
        <f>IF($K4879="Padrão",BDI!$B$17,IF($K4879="Diferenciado",BDI!$E$17,0))</f>
        <v>0</v>
      </c>
      <c r="H4879" s="151">
        <f t="shared" si="229"/>
        <v>34440</v>
      </c>
      <c r="I4879" s="152">
        <f t="shared" si="230"/>
        <v>0</v>
      </c>
      <c r="J4879" s="154"/>
      <c r="K4879" s="155" t="s">
        <v>2962</v>
      </c>
    </row>
    <row r="4880" spans="1:11" x14ac:dyDescent="0.25">
      <c r="A4880" s="148" t="s">
        <v>10589</v>
      </c>
      <c r="B4880" s="149" t="s">
        <v>10590</v>
      </c>
      <c r="C4880" s="150" t="s">
        <v>18</v>
      </c>
      <c r="D4880" s="150">
        <v>1</v>
      </c>
      <c r="E4880" s="207">
        <v>34604.879999999997</v>
      </c>
      <c r="F4880" s="152">
        <f t="shared" si="231"/>
        <v>34604.879999999997</v>
      </c>
      <c r="G4880" s="153">
        <f>IF($K4880="Padrão",BDI!$B$17,IF($K4880="Diferenciado",BDI!$E$17,0))</f>
        <v>0</v>
      </c>
      <c r="H4880" s="151">
        <f t="shared" si="229"/>
        <v>34604.879999999997</v>
      </c>
      <c r="I4880" s="152">
        <f t="shared" si="230"/>
        <v>34604.879999999997</v>
      </c>
      <c r="J4880" s="154"/>
      <c r="K4880" s="155" t="s">
        <v>2962</v>
      </c>
    </row>
    <row r="4881" spans="1:11" hidden="1" x14ac:dyDescent="0.25">
      <c r="A4881" s="148" t="s">
        <v>10591</v>
      </c>
      <c r="B4881" s="149" t="s">
        <v>10592</v>
      </c>
      <c r="C4881" s="150" t="s">
        <v>18</v>
      </c>
      <c r="D4881" s="150">
        <v>0</v>
      </c>
      <c r="E4881" s="151" t="s">
        <v>13</v>
      </c>
      <c r="F4881" s="152" t="str">
        <f t="shared" si="231"/>
        <v/>
      </c>
      <c r="G4881" s="153">
        <f>IF($K4881="Padrão",BDI!$B$17,IF($K4881="Diferenciado",BDI!$E$17,0))</f>
        <v>0.2039</v>
      </c>
      <c r="H4881" s="151" t="str">
        <f t="shared" si="229"/>
        <v/>
      </c>
      <c r="I4881" s="152" t="str">
        <f t="shared" si="230"/>
        <v/>
      </c>
      <c r="J4881" s="154"/>
      <c r="K4881" s="155" t="s">
        <v>2966</v>
      </c>
    </row>
    <row r="4882" spans="1:11" ht="5.0999999999999996" customHeight="1" thickBot="1" x14ac:dyDescent="0.3">
      <c r="A4882" s="185"/>
      <c r="B4882" s="186" t="s">
        <v>10593</v>
      </c>
      <c r="C4882" s="187"/>
      <c r="D4882" s="187"/>
      <c r="E4882" s="188" t="e">
        <f ca="1">OFFSET(INDEX(Composições!A:H,MATCH(Orçamentária!A4882,Composições!A:A,0),8),2,0)</f>
        <v>#N/A</v>
      </c>
      <c r="F4882" s="188"/>
      <c r="G4882" s="156"/>
      <c r="H4882" s="157"/>
      <c r="I4882" s="158"/>
    </row>
    <row r="4883" spans="1:11" ht="15.75" thickBot="1" x14ac:dyDescent="0.3">
      <c r="A4883" s="189">
        <f>SUBTOTAL(103,A6:A4882)</f>
        <v>15</v>
      </c>
      <c r="B4883" s="190"/>
      <c r="C4883" s="159"/>
      <c r="D4883" s="191"/>
      <c r="E4883" s="191"/>
      <c r="F4883" s="192"/>
      <c r="G4883" s="191"/>
      <c r="H4883" s="191" t="s">
        <v>10594</v>
      </c>
      <c r="I4883" s="160">
        <f ca="1">SUBTOTAL(109,F6:F4882)</f>
        <v>226490.92629999999</v>
      </c>
      <c r="K4883" s="161"/>
    </row>
    <row r="4884" spans="1:11" ht="15.75" thickBot="1" x14ac:dyDescent="0.3">
      <c r="A4884" s="193"/>
      <c r="B4884" s="194"/>
      <c r="C4884" s="159"/>
      <c r="D4884" s="195"/>
      <c r="E4884" s="195"/>
      <c r="F4884" s="196"/>
      <c r="G4884" s="197"/>
      <c r="H4884" s="197" t="s">
        <v>8</v>
      </c>
      <c r="I4884" s="162">
        <f ca="1">SUBTOTAL(109,I6:I4882)</f>
        <v>231571.62</v>
      </c>
      <c r="K4884" s="161"/>
    </row>
    <row r="4885" spans="1:11" x14ac:dyDescent="0.25">
      <c r="A4885" s="163"/>
      <c r="B4885" s="164"/>
      <c r="C4885" s="163"/>
      <c r="D4885" s="165"/>
      <c r="E4885" s="166"/>
      <c r="F4885" s="167"/>
      <c r="G4885" s="166"/>
      <c r="H4885" s="166"/>
      <c r="I4885" s="167"/>
      <c r="K4885" s="161"/>
    </row>
    <row r="4886" spans="1:11" x14ac:dyDescent="0.25">
      <c r="A4886" s="163"/>
      <c r="B4886" s="164"/>
      <c r="C4886" s="163"/>
      <c r="D4886" s="168"/>
      <c r="E4886" s="169"/>
      <c r="F4886" s="169"/>
      <c r="G4886" s="169"/>
      <c r="H4886" s="169"/>
      <c r="I4886" s="169"/>
      <c r="K4886" s="161"/>
    </row>
  </sheetData>
  <sheetProtection algorithmName="SHA-512" hashValue="RlkORA5Z1HxxHa+wwLYDU3YwNlMDgXQlNzCqCfJDS7QafuHdTgU8uJUF+WzF22xOoU/lXVI7k5OdS7MvUUCyKg==" saltValue="7LdJW3IYRCx/oGtqIjkvXw==" spinCount="100000" sheet="1" objects="1" scenarios="1"/>
  <autoFilter ref="A5:K4886" xr:uid="{7BEA9926-566F-44B8-AA71-D954D9C34C1D}">
    <filterColumn colId="3">
      <customFilters>
        <customFilter operator="notEqual" val="0"/>
      </customFilters>
    </filterColumn>
  </autoFilter>
  <conditionalFormatting sqref="C6">
    <cfRule type="containsBlanks" dxfId="28" priority="37">
      <formula>LEN(TRIM(C6))=0</formula>
    </cfRule>
    <cfRule type="containsBlanks" priority="38">
      <formula>LEN(TRIM(C6))=0</formula>
    </cfRule>
  </conditionalFormatting>
  <conditionalFormatting sqref="C341:C343 C345:C354">
    <cfRule type="containsBlanks" dxfId="27" priority="35">
      <formula>LEN(TRIM(C341))=0</formula>
    </cfRule>
    <cfRule type="containsBlanks" priority="36">
      <formula>LEN(TRIM(C341))=0</formula>
    </cfRule>
  </conditionalFormatting>
  <conditionalFormatting sqref="C355:C356">
    <cfRule type="containsBlanks" dxfId="26" priority="33">
      <formula>LEN(TRIM(C355))=0</formula>
    </cfRule>
    <cfRule type="containsBlanks" priority="34">
      <formula>LEN(TRIM(C355))=0</formula>
    </cfRule>
  </conditionalFormatting>
  <conditionalFormatting sqref="C340">
    <cfRule type="containsBlanks" dxfId="25" priority="31">
      <formula>LEN(TRIM(C340))=0</formula>
    </cfRule>
    <cfRule type="containsBlanks" priority="32">
      <formula>LEN(TRIM(C340))=0</formula>
    </cfRule>
  </conditionalFormatting>
  <conditionalFormatting sqref="C943">
    <cfRule type="containsBlanks" dxfId="24" priority="29">
      <formula>LEN(TRIM(C943))=0</formula>
    </cfRule>
    <cfRule type="containsBlanks" priority="30">
      <formula>LEN(TRIM(C943))=0</formula>
    </cfRule>
  </conditionalFormatting>
  <conditionalFormatting sqref="C59">
    <cfRule type="containsBlanks" dxfId="23" priority="27">
      <formula>LEN(TRIM(C59))=0</formula>
    </cfRule>
    <cfRule type="containsBlanks" priority="28">
      <formula>LEN(TRIM(C59))=0</formula>
    </cfRule>
  </conditionalFormatting>
  <conditionalFormatting sqref="C61">
    <cfRule type="containsBlanks" dxfId="22" priority="25">
      <formula>LEN(TRIM(C61))=0</formula>
    </cfRule>
    <cfRule type="containsBlanks" priority="26">
      <formula>LEN(TRIM(C61))=0</formula>
    </cfRule>
  </conditionalFormatting>
  <conditionalFormatting sqref="C1091">
    <cfRule type="containsBlanks" dxfId="21" priority="23">
      <formula>LEN(TRIM(C1091))=0</formula>
    </cfRule>
    <cfRule type="containsBlanks" priority="24">
      <formula>LEN(TRIM(C1091))=0</formula>
    </cfRule>
  </conditionalFormatting>
  <conditionalFormatting sqref="C1092">
    <cfRule type="containsBlanks" dxfId="20" priority="21">
      <formula>LEN(TRIM(C1092))=0</formula>
    </cfRule>
    <cfRule type="containsBlanks" priority="22">
      <formula>LEN(TRIM(C1092))=0</formula>
    </cfRule>
  </conditionalFormatting>
  <conditionalFormatting sqref="C1093:C1101">
    <cfRule type="containsBlanks" dxfId="19" priority="19">
      <formula>LEN(TRIM(C1093))=0</formula>
    </cfRule>
    <cfRule type="containsBlanks" priority="20">
      <formula>LEN(TRIM(C1093))=0</formula>
    </cfRule>
  </conditionalFormatting>
  <conditionalFormatting sqref="C1104:C1105">
    <cfRule type="containsBlanks" dxfId="18" priority="17">
      <formula>LEN(TRIM(C1104))=0</formula>
    </cfRule>
    <cfRule type="containsBlanks" priority="18">
      <formula>LEN(TRIM(C1104))=0</formula>
    </cfRule>
  </conditionalFormatting>
  <conditionalFormatting sqref="B4882:B5206 B6:B1137 B1142:B4675">
    <cfRule type="duplicateValues" dxfId="17" priority="15"/>
  </conditionalFormatting>
  <conditionalFormatting sqref="B4676:B4681">
    <cfRule type="duplicateValues" dxfId="16" priority="14"/>
  </conditionalFormatting>
  <conditionalFormatting sqref="B4682">
    <cfRule type="duplicateValues" dxfId="15" priority="13"/>
  </conditionalFormatting>
  <conditionalFormatting sqref="B4683:B4685">
    <cfRule type="duplicateValues" dxfId="14" priority="39"/>
  </conditionalFormatting>
  <conditionalFormatting sqref="B4686:B4697">
    <cfRule type="duplicateValues" dxfId="13" priority="12"/>
  </conditionalFormatting>
  <conditionalFormatting sqref="B4698:B4706">
    <cfRule type="duplicateValues" dxfId="12" priority="11"/>
  </conditionalFormatting>
  <conditionalFormatting sqref="B4707:B4709">
    <cfRule type="duplicateValues" dxfId="11" priority="40"/>
  </conditionalFormatting>
  <conditionalFormatting sqref="B4710:B4728">
    <cfRule type="duplicateValues" dxfId="10" priority="41"/>
  </conditionalFormatting>
  <conditionalFormatting sqref="B4729:B4759 B4761:B4765 B4767">
    <cfRule type="duplicateValues" dxfId="9" priority="10"/>
  </conditionalFormatting>
  <conditionalFormatting sqref="B4760">
    <cfRule type="duplicateValues" dxfId="8" priority="9"/>
  </conditionalFormatting>
  <conditionalFormatting sqref="B4768:B4769">
    <cfRule type="duplicateValues" dxfId="7" priority="8"/>
  </conditionalFormatting>
  <conditionalFormatting sqref="B4770:B4772">
    <cfRule type="duplicateValues" dxfId="6" priority="7"/>
  </conditionalFormatting>
  <conditionalFormatting sqref="C4773:C4881">
    <cfRule type="containsBlanks" dxfId="5" priority="5">
      <formula>LEN(TRIM(C4773))=0</formula>
    </cfRule>
    <cfRule type="containsBlanks" priority="6">
      <formula>LEN(TRIM(C4773))=0</formula>
    </cfRule>
  </conditionalFormatting>
  <conditionalFormatting sqref="B1138:B1141">
    <cfRule type="duplicateValues" dxfId="4" priority="4"/>
  </conditionalFormatting>
  <conditionalFormatting sqref="B4831">
    <cfRule type="duplicateValues" dxfId="3" priority="3"/>
  </conditionalFormatting>
  <conditionalFormatting sqref="B4821">
    <cfRule type="duplicateValues" dxfId="2" priority="2"/>
  </conditionalFormatting>
  <conditionalFormatting sqref="B4766">
    <cfRule type="duplicateValues" dxfId="1" priority="1"/>
  </conditionalFormatting>
  <conditionalFormatting sqref="B4773:B4820 B4822:B4830 B4832:B4881">
    <cfRule type="duplicateValues" dxfId="0" priority="42"/>
  </conditionalFormatting>
  <dataValidations count="2">
    <dataValidation type="list" allowBlank="1" showInputMessage="1" showErrorMessage="1" sqref="K6:K4881" xr:uid="{DD35A219-BA0A-49CD-B259-CFA170F0E6DD}">
      <formula1>$J$1:$J$3</formula1>
    </dataValidation>
    <dataValidation type="list" allowBlank="1" showInputMessage="1" showErrorMessage="1" sqref="H4" xr:uid="{419F3087-4105-4E2A-9C26-1E2BBEE3028F}">
      <formula1>$K$2:$K$3</formula1>
    </dataValidation>
  </dataValidations>
  <printOptions horizontalCentered="1"/>
  <pageMargins left="0.19685039370078741" right="0.19685039370078741" top="1.1811023622047245" bottom="0.59055118110236227" header="0.19685039370078741" footer="0.19685039370078741"/>
  <pageSetup paperSize="9" scale="55" fitToHeight="0"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190D1-5AC1-4D82-8277-E6B88F3A2007}">
  <sheetPr codeName="Planilha8">
    <pageSetUpPr fitToPage="1"/>
  </sheetPr>
  <dimension ref="A1:E48"/>
  <sheetViews>
    <sheetView zoomScale="80" zoomScaleNormal="80" workbookViewId="0"/>
  </sheetViews>
  <sheetFormatPr defaultRowHeight="15" x14ac:dyDescent="0.25"/>
  <cols>
    <col min="1" max="1" width="30.7109375" customWidth="1"/>
    <col min="2" max="2" width="25.7109375" customWidth="1"/>
    <col min="3" max="3" width="5.5703125" customWidth="1"/>
    <col min="4" max="4" width="30.7109375" customWidth="1"/>
    <col min="5" max="5" width="25.7109375" customWidth="1"/>
  </cols>
  <sheetData>
    <row r="1" spans="1:5" ht="24.95" customHeight="1" x14ac:dyDescent="0.25">
      <c r="A1" s="111" t="s">
        <v>10621</v>
      </c>
      <c r="B1" s="111"/>
      <c r="C1" s="111"/>
      <c r="D1" s="111"/>
      <c r="E1" s="111"/>
    </row>
    <row r="2" spans="1:5" ht="24.95" customHeight="1" x14ac:dyDescent="0.25">
      <c r="A2" s="141" t="s">
        <v>10595</v>
      </c>
      <c r="B2" s="141"/>
      <c r="C2" s="141"/>
      <c r="D2" s="141"/>
      <c r="E2" s="141"/>
    </row>
    <row r="3" spans="1:5" ht="18" customHeight="1" thickBot="1" x14ac:dyDescent="0.3">
      <c r="A3" s="171"/>
      <c r="B3" s="171"/>
      <c r="C3" s="172"/>
      <c r="D3" s="171"/>
      <c r="E3" s="171"/>
    </row>
    <row r="4" spans="1:5" ht="24.95" customHeight="1" thickBot="1" x14ac:dyDescent="0.3">
      <c r="A4" s="220" t="s">
        <v>10596</v>
      </c>
      <c r="B4" s="221"/>
      <c r="C4" s="208"/>
      <c r="D4" s="220" t="s">
        <v>10597</v>
      </c>
      <c r="E4" s="221"/>
    </row>
    <row r="5" spans="1:5" ht="20.100000000000001" customHeight="1" x14ac:dyDescent="0.25">
      <c r="A5" s="222" t="s">
        <v>10598</v>
      </c>
      <c r="B5" s="226" t="s">
        <v>10599</v>
      </c>
      <c r="C5" s="209"/>
      <c r="D5" s="222" t="s">
        <v>10598</v>
      </c>
      <c r="E5" s="226" t="s">
        <v>10599</v>
      </c>
    </row>
    <row r="6" spans="1:5" ht="20.100000000000001" customHeight="1" x14ac:dyDescent="0.25">
      <c r="A6" s="223"/>
      <c r="B6" s="227" t="s">
        <v>10600</v>
      </c>
      <c r="C6" s="209"/>
      <c r="D6" s="223"/>
      <c r="E6" s="227" t="s">
        <v>10600</v>
      </c>
    </row>
    <row r="7" spans="1:5" ht="20.100000000000001" customHeight="1" x14ac:dyDescent="0.25">
      <c r="A7" s="223"/>
      <c r="B7" s="228" t="s">
        <v>10601</v>
      </c>
      <c r="C7" s="209"/>
      <c r="D7" s="223"/>
      <c r="E7" s="228" t="s">
        <v>10601</v>
      </c>
    </row>
    <row r="8" spans="1:5" ht="20.100000000000001" customHeight="1" x14ac:dyDescent="0.25">
      <c r="A8" s="224" t="s">
        <v>10602</v>
      </c>
      <c r="B8" s="229">
        <v>3.5000000000000003E-2</v>
      </c>
      <c r="C8" s="210"/>
      <c r="D8" s="224" t="s">
        <v>10602</v>
      </c>
      <c r="E8" s="229">
        <v>2.4750000000000001E-2</v>
      </c>
    </row>
    <row r="9" spans="1:5" ht="20.100000000000001" customHeight="1" x14ac:dyDescent="0.25">
      <c r="A9" s="224" t="s">
        <v>10603</v>
      </c>
      <c r="B9" s="229">
        <v>8.0000000000000002E-3</v>
      </c>
      <c r="C9" s="210"/>
      <c r="D9" s="224" t="s">
        <v>10603</v>
      </c>
      <c r="E9" s="229">
        <v>3.8999999999999998E-3</v>
      </c>
    </row>
    <row r="10" spans="1:5" ht="20.100000000000001" customHeight="1" x14ac:dyDescent="0.25">
      <c r="A10" s="224" t="s">
        <v>10604</v>
      </c>
      <c r="B10" s="229">
        <v>1.12E-2</v>
      </c>
      <c r="C10" s="210"/>
      <c r="D10" s="224" t="s">
        <v>10604</v>
      </c>
      <c r="E10" s="229">
        <v>7.0500000000000007E-3</v>
      </c>
    </row>
    <row r="11" spans="1:5" ht="20.100000000000001" customHeight="1" x14ac:dyDescent="0.25">
      <c r="A11" s="224" t="s">
        <v>10605</v>
      </c>
      <c r="B11" s="229">
        <v>9.1000000000000004E-3</v>
      </c>
      <c r="C11" s="210"/>
      <c r="D11" s="224" t="s">
        <v>10605</v>
      </c>
      <c r="E11" s="229">
        <v>8.5000000000000006E-3</v>
      </c>
    </row>
    <row r="12" spans="1:5" ht="20.100000000000001" customHeight="1" x14ac:dyDescent="0.25">
      <c r="A12" s="224" t="s">
        <v>70</v>
      </c>
      <c r="B12" s="229">
        <v>6.7799999999999999E-2</v>
      </c>
      <c r="C12" s="210"/>
      <c r="D12" s="224" t="s">
        <v>70</v>
      </c>
      <c r="E12" s="229">
        <v>4.3050000000000005E-2</v>
      </c>
    </row>
    <row r="13" spans="1:5" ht="20.100000000000001" customHeight="1" x14ac:dyDescent="0.25">
      <c r="A13" s="224" t="s">
        <v>10606</v>
      </c>
      <c r="B13" s="229">
        <v>6.4999999999999997E-3</v>
      </c>
      <c r="C13" s="210"/>
      <c r="D13" s="224" t="s">
        <v>10606</v>
      </c>
      <c r="E13" s="229">
        <v>6.4999999999999997E-3</v>
      </c>
    </row>
    <row r="14" spans="1:5" ht="20.100000000000001" customHeight="1" x14ac:dyDescent="0.25">
      <c r="A14" s="224" t="s">
        <v>10607</v>
      </c>
      <c r="B14" s="229">
        <v>0.03</v>
      </c>
      <c r="C14" s="210"/>
      <c r="D14" s="224" t="s">
        <v>10607</v>
      </c>
      <c r="E14" s="229">
        <v>0.03</v>
      </c>
    </row>
    <row r="15" spans="1:5" ht="20.100000000000001" customHeight="1" x14ac:dyDescent="0.25">
      <c r="A15" s="224" t="s">
        <v>10608</v>
      </c>
      <c r="B15" s="229">
        <v>0</v>
      </c>
      <c r="C15" s="210"/>
      <c r="D15" s="224" t="s">
        <v>10608</v>
      </c>
      <c r="E15" s="229">
        <v>0</v>
      </c>
    </row>
    <row r="16" spans="1:5" ht="20.100000000000001" customHeight="1" x14ac:dyDescent="0.25">
      <c r="A16" s="225" t="s">
        <v>10609</v>
      </c>
      <c r="B16" s="230">
        <v>0.02</v>
      </c>
      <c r="C16" s="210"/>
      <c r="D16" s="225" t="s">
        <v>10609</v>
      </c>
      <c r="E16" s="230">
        <v>0</v>
      </c>
    </row>
    <row r="17" spans="1:5" ht="24.95" customHeight="1" thickBot="1" x14ac:dyDescent="0.3">
      <c r="A17" s="231" t="s">
        <v>10596</v>
      </c>
      <c r="B17" s="232">
        <f>ROUND(((1+B8+B9+B10)*(1+B11)*(1+B12))/(1-(B13+B14+B15+B16))-1,4)</f>
        <v>0.2039</v>
      </c>
      <c r="C17" s="210"/>
      <c r="D17" s="233" t="s">
        <v>10597</v>
      </c>
      <c r="E17" s="234">
        <f>ROUND(((1+E8+E9+E10)*(1+E11)*(1+E12))/(1-(E13+E14+E15+E16))-1,4)</f>
        <v>0.13070000000000001</v>
      </c>
    </row>
    <row r="18" spans="1:5" x14ac:dyDescent="0.25">
      <c r="A18" s="211"/>
      <c r="B18" s="210"/>
      <c r="C18" s="212"/>
      <c r="D18" s="219"/>
      <c r="E18" s="210"/>
    </row>
    <row r="19" spans="1:5" x14ac:dyDescent="0.25">
      <c r="A19" s="213"/>
      <c r="B19" s="214"/>
      <c r="C19" s="210"/>
      <c r="D19" s="213"/>
      <c r="E19" s="214"/>
    </row>
    <row r="20" spans="1:5" x14ac:dyDescent="0.25">
      <c r="A20" s="215"/>
      <c r="B20" s="215"/>
      <c r="C20" s="215"/>
      <c r="D20" s="216"/>
      <c r="E20" s="215"/>
    </row>
    <row r="21" spans="1:5" x14ac:dyDescent="0.25">
      <c r="A21" s="215"/>
      <c r="B21" s="215"/>
      <c r="C21" s="215"/>
      <c r="D21" s="215"/>
      <c r="E21" s="215"/>
    </row>
    <row r="22" spans="1:5" x14ac:dyDescent="0.25">
      <c r="A22" s="215"/>
      <c r="B22" s="215"/>
      <c r="C22" s="215"/>
      <c r="D22" s="217"/>
      <c r="E22" s="215"/>
    </row>
    <row r="23" spans="1:5" x14ac:dyDescent="0.25">
      <c r="A23" s="215"/>
      <c r="B23" s="215"/>
      <c r="C23" s="215"/>
      <c r="D23" s="215"/>
      <c r="E23" s="215"/>
    </row>
    <row r="24" spans="1:5" x14ac:dyDescent="0.25">
      <c r="A24" s="215"/>
      <c r="B24" s="215"/>
      <c r="C24" s="215"/>
      <c r="D24" s="215"/>
      <c r="E24" s="215"/>
    </row>
    <row r="25" spans="1:5" x14ac:dyDescent="0.25">
      <c r="A25" s="215"/>
      <c r="B25" s="215"/>
      <c r="C25" s="215"/>
      <c r="D25" s="215"/>
      <c r="E25" s="215"/>
    </row>
    <row r="26" spans="1:5" x14ac:dyDescent="0.25">
      <c r="A26" s="215"/>
      <c r="B26" s="215"/>
      <c r="C26" s="215"/>
      <c r="D26" s="215"/>
      <c r="E26" s="215"/>
    </row>
    <row r="27" spans="1:5" x14ac:dyDescent="0.25">
      <c r="A27" s="215"/>
      <c r="B27" s="215"/>
      <c r="C27" s="215"/>
      <c r="D27" s="215"/>
      <c r="E27" s="215"/>
    </row>
    <row r="28" spans="1:5" x14ac:dyDescent="0.25">
      <c r="A28" s="215"/>
      <c r="B28" s="215"/>
      <c r="C28" s="215"/>
      <c r="D28" s="215"/>
      <c r="E28" s="215"/>
    </row>
    <row r="29" spans="1:5" x14ac:dyDescent="0.25">
      <c r="A29" s="215"/>
      <c r="B29" s="215"/>
      <c r="C29" s="215"/>
      <c r="D29" s="215"/>
      <c r="E29" s="215"/>
    </row>
    <row r="30" spans="1:5" x14ac:dyDescent="0.25">
      <c r="A30" s="215"/>
      <c r="B30" s="215"/>
      <c r="C30" s="215"/>
      <c r="D30" s="215"/>
      <c r="E30" s="215"/>
    </row>
    <row r="31" spans="1:5" x14ac:dyDescent="0.25">
      <c r="A31" s="215"/>
      <c r="B31" s="215"/>
      <c r="C31" s="215"/>
      <c r="D31" s="215"/>
      <c r="E31" s="215"/>
    </row>
    <row r="32" spans="1:5" x14ac:dyDescent="0.25">
      <c r="A32" s="215"/>
      <c r="B32" s="215"/>
      <c r="C32" s="215"/>
      <c r="D32" s="215"/>
      <c r="E32" s="215"/>
    </row>
    <row r="33" spans="1:5" x14ac:dyDescent="0.25">
      <c r="A33" s="215"/>
      <c r="B33" s="215"/>
      <c r="C33" s="215"/>
      <c r="D33" s="215"/>
      <c r="E33" s="215"/>
    </row>
    <row r="34" spans="1:5" x14ac:dyDescent="0.25">
      <c r="A34" s="215"/>
      <c r="B34" s="215"/>
      <c r="C34" s="215"/>
      <c r="D34" s="215"/>
      <c r="E34" s="215"/>
    </row>
    <row r="35" spans="1:5" x14ac:dyDescent="0.25">
      <c r="A35" s="215"/>
      <c r="B35" s="215"/>
      <c r="C35" s="215"/>
      <c r="D35" s="215"/>
      <c r="E35" s="215"/>
    </row>
    <row r="36" spans="1:5" x14ac:dyDescent="0.25">
      <c r="A36" s="215"/>
      <c r="B36" s="215"/>
      <c r="C36" s="215"/>
      <c r="D36" s="215"/>
      <c r="E36" s="215"/>
    </row>
    <row r="37" spans="1:5" x14ac:dyDescent="0.25">
      <c r="A37" s="215"/>
      <c r="B37" s="215"/>
      <c r="C37" s="215"/>
      <c r="D37" s="215"/>
      <c r="E37" s="215"/>
    </row>
    <row r="38" spans="1:5" x14ac:dyDescent="0.25">
      <c r="A38" s="215"/>
      <c r="B38" s="215"/>
      <c r="C38" s="215"/>
      <c r="D38" s="215"/>
      <c r="E38" s="215"/>
    </row>
    <row r="39" spans="1:5" ht="15.75" x14ac:dyDescent="0.25">
      <c r="A39" s="218" t="s">
        <v>10610</v>
      </c>
      <c r="B39" s="218"/>
      <c r="C39" s="218"/>
      <c r="D39" s="218"/>
      <c r="E39" s="218"/>
    </row>
    <row r="40" spans="1:5" x14ac:dyDescent="0.25">
      <c r="A40" s="215"/>
      <c r="B40" s="215"/>
      <c r="C40" s="215"/>
      <c r="D40" s="215"/>
      <c r="E40" s="215"/>
    </row>
    <row r="41" spans="1:5" x14ac:dyDescent="0.25">
      <c r="A41" s="215"/>
      <c r="B41" s="215"/>
      <c r="C41" s="215"/>
      <c r="D41" s="215"/>
      <c r="E41" s="215"/>
    </row>
    <row r="42" spans="1:5" x14ac:dyDescent="0.25">
      <c r="A42" s="215"/>
      <c r="B42" s="215"/>
      <c r="C42" s="215"/>
      <c r="D42" s="215"/>
      <c r="E42" s="215"/>
    </row>
    <row r="43" spans="1:5" x14ac:dyDescent="0.25">
      <c r="A43" s="215"/>
      <c r="B43" s="215"/>
      <c r="C43" s="215"/>
      <c r="D43" s="215"/>
      <c r="E43" s="215"/>
    </row>
    <row r="44" spans="1:5" x14ac:dyDescent="0.25">
      <c r="A44" s="215"/>
      <c r="B44" s="215"/>
      <c r="C44" s="215"/>
      <c r="D44" s="215"/>
      <c r="E44" s="215"/>
    </row>
    <row r="45" spans="1:5" x14ac:dyDescent="0.25">
      <c r="A45" s="215"/>
      <c r="B45" s="215"/>
      <c r="C45" s="215"/>
      <c r="D45" s="215"/>
      <c r="E45" s="215"/>
    </row>
    <row r="46" spans="1:5" x14ac:dyDescent="0.25">
      <c r="A46" s="215"/>
      <c r="B46" s="215"/>
      <c r="C46" s="215"/>
      <c r="D46" s="215"/>
      <c r="E46" s="215"/>
    </row>
    <row r="47" spans="1:5" x14ac:dyDescent="0.25">
      <c r="A47" s="215"/>
      <c r="B47" s="215"/>
      <c r="C47" s="215"/>
      <c r="D47" s="215"/>
      <c r="E47" s="215"/>
    </row>
    <row r="48" spans="1:5" x14ac:dyDescent="0.25">
      <c r="A48" s="215"/>
      <c r="B48" s="215"/>
      <c r="C48" s="215"/>
      <c r="D48" s="215"/>
      <c r="E48" s="215"/>
    </row>
  </sheetData>
  <sheetProtection algorithmName="SHA-512" hashValue="A4CbnUVzN5JZrgwibcbcUUGnZygPaBNQEUYjDybrCAaPoSASFzLBuFEV1jDJgo5t7Qi420toSBLhtWCHuHag1w==" saltValue="+RkcD3+E3S5jCM1G45iAvw==" spinCount="100000" sheet="1" objects="1" scenarios="1"/>
  <mergeCells count="5">
    <mergeCell ref="A5:A7"/>
    <mergeCell ref="D5:D7"/>
    <mergeCell ref="A39:E39"/>
    <mergeCell ref="A4:B4"/>
    <mergeCell ref="D4:E4"/>
  </mergeCells>
  <printOptions horizontalCentered="1"/>
  <pageMargins left="0.19685039370078741" right="0.19685039370078741" top="1.3779527559055118" bottom="0.59055118110236227" header="0.19685039370078741" footer="0.19685039370078741"/>
  <pageSetup paperSize="9" scale="64"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5</vt:i4>
      </vt:variant>
      <vt:variant>
        <vt:lpstr>Intervalos Nomeados</vt:lpstr>
      </vt:variant>
      <vt:variant>
        <vt:i4>12</vt:i4>
      </vt:variant>
    </vt:vector>
  </HeadingPairs>
  <TitlesOfParts>
    <vt:vector size="17" baseType="lpstr">
      <vt:lpstr>Composições</vt:lpstr>
      <vt:lpstr>Comp.Aux1</vt:lpstr>
      <vt:lpstr>Comp.Aux2</vt:lpstr>
      <vt:lpstr>Orçamentária</vt:lpstr>
      <vt:lpstr>BDI</vt:lpstr>
      <vt:lpstr>Comp.Aux1!Print_Area</vt:lpstr>
      <vt:lpstr>Comp.Aux2!Print_Area</vt:lpstr>
      <vt:lpstr>Composições!Print_Area</vt:lpstr>
      <vt:lpstr>Orçamentária!Print_Area</vt:lpstr>
      <vt:lpstr>Comp.Aux1!Print_Titles</vt:lpstr>
      <vt:lpstr>Comp.Aux2!Print_Titles</vt:lpstr>
      <vt:lpstr>Composições!Print_Titles</vt:lpstr>
      <vt:lpstr>Orçamentária!Print_Titles</vt:lpstr>
      <vt:lpstr>Comp.Aux1!Titulos_de_impressao</vt:lpstr>
      <vt:lpstr>Comp.Aux2!Titulos_de_impressao</vt:lpstr>
      <vt:lpstr>Composições!Titulos_de_impressao</vt:lpstr>
      <vt:lpstr>Orçamentária!Titulos_de_impressao</vt:lpstr>
    </vt:vector>
  </TitlesOfParts>
  <Company>Senado Federal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Thauler Ferreira Bispo de Souza</dc:creator>
  <cp:lastModifiedBy>Thauler Ferreira Bispo de Souza</cp:lastModifiedBy>
  <dcterms:created xsi:type="dcterms:W3CDTF">2025-12-30T13:19:08Z</dcterms:created>
  <dcterms:modified xsi:type="dcterms:W3CDTF">2025-12-30T13:26:40Z</dcterms:modified>
</cp:coreProperties>
</file>